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lans préventifs" sheetId="3" state="visible" r:id="rId3"/>
    <sheet xmlns:r="http://schemas.openxmlformats.org/officeDocument/2006/relationships" name="Interventions" sheetId="4" state="visible" r:id="rId4"/>
    <sheet xmlns:r="http://schemas.openxmlformats.org/officeDocument/2006/relationships" name="Calendrier" sheetId="5" state="visible" r:id="rId5"/>
    <sheet xmlns:r="http://schemas.openxmlformats.org/officeDocument/2006/relationships" name="Fiche d'intervention" sheetId="6" state="visible" r:id="rId6"/>
    <sheet xmlns:r="http://schemas.openxmlformats.org/officeDocument/2006/relationships" name="Indicateurs" sheetId="7" state="visible" r:id="rId7"/>
    <sheet xmlns:r="http://schemas.openxmlformats.org/officeDocument/2006/relationships" name="Équipements" sheetId="8" state="visible" r:id="rId8"/>
    <sheet xmlns:r="http://schemas.openxmlformats.org/officeDocument/2006/relationships" name="Paramètres" sheetId="9" state="visible" r:id="rId9"/>
    <sheet xmlns:r="http://schemas.openxmlformats.org/officeDocument/2006/relationships" name="Pourquoi Qualis ERP" sheetId="10" state="visible" r:id="rId10"/>
  </sheets>
  <definedNames>
    <definedName name="eq_code">'Équipements'!$A$6:$A$205</definedName>
    <definedName name="eq_des">'Équipements'!$B$6:$B$205</definedName>
    <definedName name="eq_model">'Équipements'!$C$6:$C$205</definedName>
    <definedName name="eq_shop">'Équipements'!$D$6:$D$205</definedName>
    <definedName name="eq_crit">'Équipements'!$E$6:$E$205</definedName>
    <definedName name="eq_start">'Équipements'!$F$6:$F$205</definedName>
    <definedName name="eq_hours">'Équipements'!$G$6:$G$205</definedName>
    <definedName name="eq_unit">'Équipements'!$H$6:$H$205</definedName>
    <definedName name="eq_use">'Équipements'!$J$6:$J$205</definedName>
    <definedName name="eq_cnt">'Équipements'!$K$6:$K$205</definedName>
    <definedName name="eq_check">'Équipements'!$P$6:$P$205</definedName>
    <definedName name="pl_num">'Plans préventifs'!$A$6:$A$505</definedName>
    <definedName name="pl_eq">'Plans préventifs'!$B$6:$B$505</definedName>
    <definedName name="pl_task">'Plans préventifs'!$D$6:$D$505</definedName>
    <definedName name="pl_trig">'Plans préventifs'!$E$6:$E$505</definedName>
    <definedName name="pl_dur">'Plans préventifs'!$H$6:$H$505</definedName>
    <definedName name="pl_due">'Plans préventifs'!$T$6:$T$505</definedName>
    <definedName name="pl_left">'Plans préventifs'!$R$6:$R$505</definedName>
    <definedName name="pl_cleft">'Plans préventifs'!$S$6:$S$505</definedName>
    <definedName name="pl_status">'Plans préventifs'!$U$6:$U$505</definedName>
    <definedName name="pl_check">'Plans préventifs'!$V$6:$V$505</definedName>
    <definedName name="pl_period">'Plans préventifs'!$Y$6:$Y$505</definedName>
    <definedName name="pl_rank">'Plans préventifs'!$AA$6:$AA$505</definedName>
    <definedName name="pl_crit">'Plans préventifs'!$AB$6:$AB$505</definedName>
    <definedName name="in_num">'Interventions'!$A$6:$A$2005</definedName>
    <definedName name="in_date">'Interventions'!$B$6:$B$2005</definedName>
    <definedName name="in_eq">'Interventions'!$C$6:$C$2005</definedName>
    <definedName name="in_type">'Interventions'!$E$6:$E$2005</definedName>
    <definedName name="in_plan">'Interventions'!$F$6:$F$2005</definedName>
    <definedName name="in_desc">'Interventions'!$G$6:$G$2005</definedName>
    <definedName name="in_cause">'Interventions'!$H$6:$H$2005</definedName>
    <definedName name="in_status">'Interventions'!$I$6:$I$2005</definedName>
    <definedName name="in_counter">'Interventions'!$J$6:$J$2005</definedName>
    <definedName name="in_stopraw">'Interventions'!$K$6:$K$2005</definedName>
    <definedName name="in_workraw">'Interventions'!$L$6:$L$2005</definedName>
    <definedName name="in_tech">'Interventions'!$M$6:$M$2005</definedName>
    <definedName name="in_partsraw">'Interventions'!$N$6:$N$2005</definedName>
    <definedName name="in_mo">'Interventions'!$O$6:$O$2005</definedName>
    <definedName name="in_otherraw">'Interventions'!$P$6:$P$2005</definedName>
    <definedName name="in_total">'Interventions'!$Q$6:$Q$2005</definedName>
    <definedName name="in_check">'Interventions'!$R$6:$R$2005</definedName>
    <definedName name="in_dnum">'Interventions'!$S$6:$S$2005</definedName>
    <definedName name="in_cnum">'Interventions'!$T$6:$T$2005</definedName>
    <definedName name="in_stop">'Interventions'!$U$6:$U$2005</definedName>
    <definedName name="in_work">'Interventions'!$V$6:$V$2005</definedName>
    <definedName name="in_done">'Interventions'!$W$6:$W$2005</definedName>
    <definedName name="in_prev">'Interventions'!$X$6:$X$2005</definedName>
    <definedName name="in_parts">'Interventions'!$Y$6:$Y$2005</definedName>
    <definedName name="in_other">'Interventions'!$Z$6:$Z$2005</definedName>
    <definedName name="tech_name">'Paramètres'!$D$6:$D$35</definedName>
    <definedName name="tech_rate">'Paramètres'!$F$6:$F$35</definedName>
    <definedName name="shop_list">'Paramètres'!$H$6:$H$35</definedName>
    <definedName name="unit_list">'Paramètres'!$J$6:$J$20</definedName>
    <definedName name="p_holidays">'Paramètres'!$L$6:$L$45</definedName>
    <definedName name="p_company">'Paramètres'!$B$5</definedName>
    <definedName name="p_today_in">'Paramètres'!$B$7</definedName>
    <definedName name="p_soon">'Paramètres'!$B$8</definedName>
    <definedName name="p_soon_pct">'Paramètres'!$B$9</definedName>
    <definedName name="p_days">'Paramètres'!$B$10</definedName>
    <definedName name="p_today">'Paramètres'!$B$13</definedName>
    <definedName name="p_monday">'Paramètres'!$B$14</definedName>
    <definedName name="p_weekend">'Paramètres'!$B$15</definedName>
    <definedName name="p_from_in">'Indicateurs'!$B$5</definedName>
    <definedName name="p_to_in">'Indicateurs'!$B$6</definedName>
    <definedName name="p_from">'Indicateurs'!$D$5</definedName>
    <definedName name="p_to">'Indicateurs'!$D$6</definedName>
    <definedName name="p_currency">'Paramètres'!$B$6</definedName>
    <definedName name="_xlnm._FilterDatabase" localSheetId="2" hidden="1">'Plans préventifs'!$A$5:$V$505</definedName>
    <definedName name="_xlnm.Print_Titles" localSheetId="2">'Plans préventifs'!$5:$5</definedName>
    <definedName name="_xlnm._FilterDatabase" localSheetId="3" hidden="1">'Interventions'!$A$5:$R$2005</definedName>
    <definedName name="_xlnm.Print_Titles" localSheetId="3">'Interventions'!$5:$5</definedName>
    <definedName name="_xlnm.Print_Titles" localSheetId="4">'Calendrier'!$5:$8</definedName>
    <definedName name="_xlnm.Print_Area" localSheetId="5">'Fiche d''intervention'!$A$1:$I$43</definedName>
    <definedName name="_xlnm.Print_Titles" localSheetId="6">'Indicateurs'!$10:$11</definedName>
    <definedName name="_xlnm._FilterDatabase" localSheetId="7" hidden="1">'Équipements'!$A$5:$P$205</definedName>
    <definedName name="_xlnm.Print_Titles" localSheetId="7">'Équipements'!$5:$5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dd/mm/yyyy"/>
    <numFmt numFmtId="165" formatCode="#,##0.0#"/>
    <numFmt numFmtId="166" formatCode="#,##0;-#,##0;"/>
    <numFmt numFmtId="167" formatCode="0;-0;"/>
    <numFmt numFmtId="168" formatCode="dd/mm/yyyy;;;"/>
    <numFmt numFmtId="169" formatCode="0;-0;0"/>
    <numFmt numFmtId="170" formatCode="#,##0;-#,##0;0"/>
    <numFmt numFmtId="171" formatCode="dd/mm"/>
    <numFmt numFmtId="172" formatCode="#,##0.0"/>
    <numFmt numFmtId="173" formatCode="0;;;"/>
    <numFmt numFmtId="174" formatCode=";;;"/>
    <numFmt numFmtId="175" formatCode="0.0%"/>
    <numFmt numFmtId="176" formatCode="mmm yy"/>
  </numFmts>
  <fonts count="43">
    <font>
      <name val="Calibri"/>
      <family val="2"/>
      <color theme="1"/>
      <sz val="11"/>
      <scheme val="minor"/>
    </font>
    <font>
      <name val="Calibri"/>
      <b val="1"/>
      <color rgb="FFFFFFFF"/>
      <sz val="18"/>
    </font>
    <font>
      <name val="Calibri"/>
      <i val="1"/>
      <color rgb="FF334155"/>
      <sz val="10"/>
    </font>
    <font>
      <name val="Calibri"/>
      <b val="1"/>
      <color rgb="FF0F172A"/>
      <sz val="12"/>
    </font>
    <font>
      <name val="Calibri"/>
      <b val="1"/>
      <color rgb="FF334155"/>
      <sz val="10"/>
      <u val="single"/>
    </font>
    <font>
      <name val="Calibri"/>
      <color rgb="FF1E293B"/>
      <sz val="10"/>
    </font>
    <font>
      <name val="Calibri"/>
      <b val="1"/>
      <color rgb="FF0F172A"/>
      <sz val="10"/>
    </font>
    <font>
      <name val="Calibri"/>
      <color rgb="FF1E293B"/>
      <sz val="9"/>
    </font>
    <font>
      <name val="Calibri"/>
      <color rgb="FF64748B"/>
      <sz val="9"/>
    </font>
    <font>
      <name val="Calibri"/>
      <b val="1"/>
      <color rgb="FFFFFFFF"/>
      <sz val="10"/>
      <u val="single"/>
    </font>
    <font>
      <name val="Calibri"/>
      <b val="1"/>
      <color rgb="FF1E293B"/>
      <sz val="10"/>
    </font>
    <font>
      <name val="Calibri"/>
      <b val="1"/>
      <color rgb="FF1E293B"/>
      <sz val="11"/>
    </font>
    <font>
      <name val="Calibri"/>
      <color rgb="FF64748B"/>
      <sz val="10"/>
    </font>
    <font>
      <name val="Calibri"/>
      <i val="1"/>
      <color rgb="FF64748B"/>
      <sz val="9"/>
    </font>
    <font>
      <name val="Calibri"/>
      <b val="1"/>
      <color rgb="FFFFFFFF"/>
      <sz val="10"/>
    </font>
    <font>
      <name val="Calibri"/>
      <color rgb="FF334155"/>
      <sz val="10"/>
    </font>
    <font>
      <name val="Calibri"/>
      <b val="1"/>
      <color rgb="FF64748B"/>
      <sz val="9"/>
    </font>
    <font>
      <name val="Calibri"/>
      <b val="1"/>
      <color rgb="FFB91C1C"/>
      <sz val="9"/>
    </font>
    <font>
      <name val="Calibri"/>
      <b val="1"/>
      <color rgb="FF92400E"/>
      <sz val="9"/>
    </font>
    <font>
      <name val="Calibri"/>
      <b val="1"/>
      <color rgb="FF166534"/>
      <sz val="9"/>
    </font>
    <font>
      <name val="Calibri"/>
      <b val="1"/>
      <color rgb="FFB91C1C"/>
      <sz val="10"/>
    </font>
    <font>
      <name val="Calibri"/>
      <b val="1"/>
      <color rgb="FF0F172A"/>
      <sz val="9"/>
    </font>
    <font>
      <name val="Calibri"/>
      <color rgb="FFFFFFFF"/>
      <sz val="8"/>
    </font>
    <font>
      <name val="Calibri"/>
      <b val="1"/>
      <color rgb="FF0F172A"/>
      <sz val="16"/>
    </font>
    <font>
      <name val="Calibri"/>
      <b val="1"/>
      <color rgb="FF334155"/>
      <sz val="14"/>
    </font>
    <font>
      <name val="Calibri"/>
      <b val="1"/>
      <color rgb="FF64748B"/>
      <sz val="10"/>
    </font>
    <font>
      <name val="Calibri"/>
      <b val="1"/>
      <color rgb="FF334155"/>
      <sz val="11"/>
    </font>
    <font>
      <name val="Calibri"/>
      <b val="1"/>
      <color rgb="FFB91C1C"/>
      <sz val="20"/>
    </font>
    <font>
      <name val="Calibri"/>
      <i val="1"/>
      <color rgb="FF94A3B8"/>
      <sz val="8"/>
    </font>
    <font>
      <name val="Calibri"/>
      <b val="1"/>
      <color rgb="FF92400E"/>
      <sz val="20"/>
    </font>
    <font>
      <name val="Calibri"/>
      <b val="1"/>
      <color rgb="FF166534"/>
      <sz val="20"/>
    </font>
    <font>
      <name val="Calibri"/>
      <b val="1"/>
      <color rgb="FF334155"/>
      <sz val="20"/>
    </font>
    <font>
      <name val="Calibri"/>
      <b val="1"/>
      <color rgb="FF0F172A"/>
      <sz val="20"/>
    </font>
    <font>
      <name val="Calibri"/>
      <b val="1"/>
      <color rgb="FFFFFFFF"/>
      <sz val="9"/>
    </font>
    <font>
      <name val="Calibri"/>
      <b val="1"/>
      <color rgb="FFFFFFFF"/>
      <sz val="22"/>
    </font>
    <font>
      <name val="Calibri"/>
      <b val="1"/>
      <color rgb="FFBFDBFE"/>
      <sz val="13"/>
    </font>
    <font>
      <name val="Calibri"/>
      <color rgb="FFE2E8F0"/>
      <sz val="10"/>
    </font>
    <font>
      <name val="Calibri"/>
      <color rgb="FF166534"/>
      <sz val="10"/>
    </font>
    <font>
      <name val="Calibri"/>
      <color rgb="FF0F172A"/>
      <sz val="10"/>
    </font>
    <font>
      <name val="Calibri"/>
      <b val="1"/>
      <color rgb="FF475569"/>
      <sz val="9"/>
    </font>
    <font>
      <name val="Calibri"/>
      <b val="1"/>
      <color rgb="FF1E3A8A"/>
      <sz val="13"/>
      <u val="single"/>
    </font>
    <font>
      <name val="Calibri"/>
      <b val="1"/>
      <color rgb="FF2563EB"/>
      <sz val="11"/>
      <u val="single"/>
    </font>
    <font>
      <name val="Calibri"/>
      <color rgb="FF2563EB"/>
      <sz val="10"/>
      <u val="single"/>
    </font>
  </fonts>
  <fills count="15">
    <fill>
      <patternFill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  <fill>
      <patternFill patternType="solid">
        <fgColor rgb="FFF1F5F9"/>
        <bgColor rgb="FFF1F5F9"/>
      </patternFill>
    </fill>
    <fill>
      <patternFill patternType="solid">
        <fgColor rgb="FF1E293B"/>
        <bgColor rgb="FF1E293B"/>
      </patternFill>
    </fill>
    <fill>
      <patternFill patternType="solid">
        <fgColor rgb="FFFEE2E2"/>
        <bgColor rgb="FFFEE2E2"/>
      </patternFill>
    </fill>
    <fill>
      <patternFill patternType="solid">
        <fgColor rgb="FFFEF3C7"/>
        <bgColor rgb="FFFEF3C7"/>
      </patternFill>
    </fill>
    <fill>
      <patternFill patternType="solid">
        <fgColor rgb="FFDCFCE7"/>
        <bgColor rgb="FFDCFCE7"/>
      </patternFill>
    </fill>
    <fill>
      <patternFill patternType="solid">
        <fgColor rgb="FFF6F8FB"/>
        <bgColor rgb="FFF6F8FB"/>
      </patternFill>
    </fill>
    <fill>
      <patternFill patternType="solid">
        <fgColor rgb="FF1E3A8A"/>
        <bgColor rgb="FF1E3A8A"/>
      </patternFill>
    </fill>
    <fill>
      <patternFill patternType="solid">
        <fgColor rgb="FF2563EB"/>
        <bgColor rgb="FF2563EB"/>
      </patternFill>
    </fill>
    <fill>
      <patternFill patternType="solid">
        <fgColor rgb="FFDBEAFE"/>
        <bgColor rgb="FFDBEAFE"/>
      </patternFill>
    </fill>
  </fills>
  <borders count="38">
    <border>
      <left/>
      <right/>
      <top/>
      <bottom/>
      <diagonal/>
    </border>
    <border>
      <bottom style="medium">
        <color rgb="FF334155"/>
      </bottom>
    </border>
    <border>
      <bottom style="thin">
        <color rgb="FFE2E8F0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/>
      <right/>
      <top style="thin">
        <color rgb="FFCBD5E1"/>
      </top>
      <bottom/>
      <diagonal/>
    </border>
    <border>
      <left/>
      <right style="thin">
        <color rgb="FFCBD5E1"/>
      </right>
      <top style="thin">
        <color rgb="FFCBD5E1"/>
      </top>
      <bottom/>
      <diagonal/>
    </border>
    <border>
      <left/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bottom style="thin">
        <color rgb="FFE2E8F0"/>
      </bottom>
    </border>
    <border>
      <bottom style="thin">
        <color rgb="FFCBD5E1"/>
      </bottom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334155"/>
      </bottom>
    </border>
    <border>
      <left style="thick">
        <color rgb="FFB91C1C"/>
      </left>
      <top style="thin">
        <color rgb="FFE2E8F0"/>
      </top>
    </border>
    <border>
      <top style="thin">
        <color rgb="FFE2E8F0"/>
      </top>
    </border>
    <border>
      <right style="thin">
        <color rgb="FFE2E8F0"/>
      </right>
      <top style="thin">
        <color rgb="FFE2E8F0"/>
      </top>
    </border>
    <border>
      <left style="thick">
        <color rgb="FFB91C1C"/>
      </left>
    </border>
    <border/>
    <border>
      <right style="thin">
        <color rgb="FFE2E8F0"/>
      </right>
    </border>
    <border>
      <left style="thick">
        <color rgb="FFB91C1C"/>
      </left>
      <bottom style="thin">
        <color rgb="FFE2E8F0"/>
      </bottom>
    </border>
    <border>
      <right style="thin">
        <color rgb="FFE2E8F0"/>
      </right>
      <bottom style="thin">
        <color rgb="FFE2E8F0"/>
      </bottom>
    </border>
    <border>
      <left style="thick">
        <color rgb="FF92400E"/>
      </left>
      <top style="thin">
        <color rgb="FFE2E8F0"/>
      </top>
    </border>
    <border>
      <left style="thick">
        <color rgb="FF92400E"/>
      </left>
    </border>
    <border>
      <left style="thick">
        <color rgb="FF92400E"/>
      </left>
      <bottom style="thin">
        <color rgb="FFE2E8F0"/>
      </bottom>
    </border>
    <border>
      <left style="thick">
        <color rgb="FF166534"/>
      </left>
      <top style="thin">
        <color rgb="FFE2E8F0"/>
      </top>
    </border>
    <border>
      <left style="thick">
        <color rgb="FF166534"/>
      </left>
    </border>
    <border>
      <left style="thick">
        <color rgb="FF166534"/>
      </left>
      <bottom style="thin">
        <color rgb="FFE2E8F0"/>
      </bottom>
    </border>
    <border>
      <left style="thick">
        <color rgb="FF334155"/>
      </left>
      <top style="thin">
        <color rgb="FFE2E8F0"/>
      </top>
    </border>
    <border>
      <left style="thick">
        <color rgb="FF334155"/>
      </left>
    </border>
    <border>
      <left style="thick">
        <color rgb="FF334155"/>
      </left>
      <bottom style="thin">
        <color rgb="FFE2E8F0"/>
      </bottom>
    </border>
    <border>
      <left style="thick">
        <color rgb="FF0F172A"/>
      </left>
      <top style="thin">
        <color rgb="FFE2E8F0"/>
      </top>
    </border>
    <border>
      <left style="thick">
        <color rgb="FF0F172A"/>
      </left>
    </border>
    <border>
      <left style="thick">
        <color rgb="FF0F172A"/>
      </left>
      <bottom style="thin">
        <color rgb="FFE2E8F0"/>
      </bottom>
    </border>
    <border>
      <bottom style="medium">
        <color rgb="FF2563EB"/>
      </bottom>
    </border>
    <border>
      <left style="medium">
        <color rgb="FF2563EB"/>
      </left>
      <top style="medium">
        <color rgb="FF2563EB"/>
      </top>
      <bottom style="medium">
        <color rgb="FF2563EB"/>
      </bottom>
    </border>
    <border>
      <right style="medium">
        <color rgb="FF2563EB"/>
      </right>
      <top style="medium">
        <color rgb="FF2563EB"/>
      </top>
      <bottom style="medium">
        <color rgb="FF2563EB"/>
      </bottom>
    </border>
    <border>
      <left style="medium">
        <color rgb="FF2563EB"/>
      </left>
      <right style="medium">
        <color rgb="FF2563EB"/>
      </right>
      <top style="medium">
        <color rgb="FF2563EB"/>
      </top>
      <bottom style="medium">
        <color rgb="FF2563EB"/>
      </bottom>
    </border>
    <border>
      <left/>
      <right/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/>
      <diagonal/>
    </border>
    <border>
      <left/>
      <right style="medium">
        <color rgb="FF2563EB"/>
      </right>
      <top style="medium">
        <color rgb="FF2563EB"/>
      </top>
      <bottom style="medium">
        <color rgb="FF2563EB"/>
      </bottom>
      <diagonal/>
    </border>
  </borders>
  <cellStyleXfs count="1">
    <xf numFmtId="0" fontId="0" fillId="0" borderId="0"/>
  </cellStyleXfs>
  <cellXfs count="16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1"/>
    </xf>
    <xf numFmtId="0" fontId="0" fillId="3" borderId="0" pivotButton="0" quotePrefix="0" xfId="0"/>
    <xf numFmtId="0" fontId="2" fillId="3" borderId="0" applyAlignment="1" pivotButton="0" quotePrefix="0" xfId="0">
      <alignment vertical="center" indent="1"/>
    </xf>
    <xf numFmtId="0" fontId="3" fillId="0" borderId="1" pivotButton="0" quotePrefix="0" xfId="0"/>
    <xf numFmtId="0" fontId="0" fillId="0" borderId="1" pivotButton="0" quotePrefix="0" xfId="0"/>
    <xf numFmtId="0" fontId="4" fillId="4" borderId="2" applyAlignment="1" pivotButton="0" quotePrefix="0" xfId="0">
      <alignment vertical="center"/>
    </xf>
    <xf numFmtId="0" fontId="5" fillId="4" borderId="2" applyAlignment="1" pivotButton="0" quotePrefix="0" xfId="0">
      <alignment vertical="center" wrapText="1"/>
    </xf>
    <xf numFmtId="0" fontId="0" fillId="4" borderId="2" pivotButton="0" quotePrefix="0" xfId="0"/>
    <xf numFmtId="0" fontId="4" fillId="5" borderId="2" applyAlignment="1" pivotButton="0" quotePrefix="0" xfId="0">
      <alignment vertical="center"/>
    </xf>
    <xf numFmtId="0" fontId="5" fillId="5" borderId="2" applyAlignment="1" pivotButton="0" quotePrefix="0" xfId="0">
      <alignment vertical="center" wrapText="1"/>
    </xf>
    <xf numFmtId="0" fontId="0" fillId="5" borderId="2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4" borderId="3" applyAlignment="1" pivotButton="0" quotePrefix="0" xfId="0">
      <alignment horizontal="center"/>
    </xf>
    <xf numFmtId="0" fontId="8" fillId="6" borderId="3" applyAlignment="1" pivotButton="0" quotePrefix="0" xfId="0">
      <alignment horizontal="center"/>
    </xf>
    <xf numFmtId="0" fontId="9" fillId="2" borderId="0" applyAlignment="1" pivotButton="0" quotePrefix="0" xfId="0">
      <alignment horizontal="right" vertical="center"/>
    </xf>
    <xf numFmtId="0" fontId="13" fillId="0" borderId="0" applyAlignment="1" pivotButton="0" quotePrefix="0" xfId="0">
      <alignment horizontal="right"/>
    </xf>
    <xf numFmtId="164" fontId="16" fillId="0" borderId="0" applyAlignment="1" pivotButton="0" quotePrefix="0" xfId="0">
      <alignment horizontal="center"/>
    </xf>
    <xf numFmtId="0" fontId="13" fillId="0" borderId="0" applyAlignment="1" pivotButton="0" quotePrefix="0" xfId="0">
      <alignment horizontal="center"/>
    </xf>
    <xf numFmtId="0" fontId="16" fillId="4" borderId="11" applyAlignment="1" pivotButton="0" quotePrefix="0" xfId="0">
      <alignment vertical="bottom" indent="1"/>
    </xf>
    <xf numFmtId="0" fontId="0" fillId="4" borderId="12" pivotButton="0" quotePrefix="0" xfId="0"/>
    <xf numFmtId="0" fontId="0" fillId="4" borderId="13" pivotButton="0" quotePrefix="0" xfId="0"/>
    <xf numFmtId="0" fontId="16" fillId="4" borderId="19" applyAlignment="1" pivotButton="0" quotePrefix="0" xfId="0">
      <alignment vertical="bottom" indent="1"/>
    </xf>
    <xf numFmtId="0" fontId="16" fillId="4" borderId="22" applyAlignment="1" pivotButton="0" quotePrefix="0" xfId="0">
      <alignment vertical="bottom" indent="1"/>
    </xf>
    <xf numFmtId="0" fontId="16" fillId="4" borderId="25" applyAlignment="1" pivotButton="0" quotePrefix="0" xfId="0">
      <alignment vertical="bottom" indent="1"/>
    </xf>
    <xf numFmtId="0" fontId="16" fillId="4" borderId="28" applyAlignment="1" pivotButton="0" quotePrefix="0" xfId="0">
      <alignment vertical="bottom" indent="1"/>
    </xf>
    <xf numFmtId="3" fontId="27" fillId="4" borderId="14" applyAlignment="1" pivotButton="0" quotePrefix="0" xfId="0">
      <alignment horizontal="left" vertical="center" indent="1"/>
    </xf>
    <xf numFmtId="0" fontId="0" fillId="4" borderId="15" pivotButton="0" quotePrefix="0" xfId="0"/>
    <xf numFmtId="0" fontId="0" fillId="4" borderId="16" pivotButton="0" quotePrefix="0" xfId="0"/>
    <xf numFmtId="3" fontId="29" fillId="4" borderId="20" applyAlignment="1" pivotButton="0" quotePrefix="0" xfId="0">
      <alignment horizontal="left" vertical="center" indent="1"/>
    </xf>
    <xf numFmtId="175" fontId="30" fillId="4" borderId="23" applyAlignment="1" pivotButton="0" quotePrefix="0" xfId="0">
      <alignment horizontal="left" vertical="center" indent="1"/>
    </xf>
    <xf numFmtId="175" fontId="31" fillId="4" borderId="26" applyAlignment="1" pivotButton="0" quotePrefix="0" xfId="0">
      <alignment horizontal="left" vertical="center" indent="1"/>
    </xf>
    <xf numFmtId="3" fontId="32" fillId="4" borderId="29" applyAlignment="1" pivotButton="0" quotePrefix="0" xfId="0">
      <alignment horizontal="left" vertical="center" indent="1"/>
    </xf>
    <xf numFmtId="0" fontId="28" fillId="4" borderId="17" applyAlignment="1" pivotButton="0" quotePrefix="0" xfId="0">
      <alignment vertical="top" indent="1"/>
    </xf>
    <xf numFmtId="0" fontId="0" fillId="4" borderId="18" pivotButton="0" quotePrefix="0" xfId="0"/>
    <xf numFmtId="0" fontId="28" fillId="4" borderId="21" applyAlignment="1" pivotButton="0" quotePrefix="0" xfId="0">
      <alignment vertical="top" indent="1"/>
    </xf>
    <xf numFmtId="0" fontId="28" fillId="4" borderId="24" applyAlignment="1" pivotButton="0" quotePrefix="0" xfId="0">
      <alignment vertical="top" indent="1"/>
    </xf>
    <xf numFmtId="0" fontId="28" fillId="4" borderId="27" applyAlignment="1" pivotButton="0" quotePrefix="0" xfId="0">
      <alignment vertical="top" indent="1"/>
    </xf>
    <xf numFmtId="0" fontId="28" fillId="4" borderId="30" applyAlignment="1" pivotButton="0" quotePrefix="0" xfId="0">
      <alignment vertical="top" indent="1"/>
    </xf>
    <xf numFmtId="0" fontId="13" fillId="0" borderId="0" pivotButton="0" quotePrefix="0" xfId="0"/>
    <xf numFmtId="0" fontId="14" fillId="7" borderId="3" applyAlignment="1" pivotButton="0" quotePrefix="0" xfId="0">
      <alignment horizontal="center" vertical="center" wrapText="1"/>
    </xf>
    <xf numFmtId="49" fontId="5" fillId="6" borderId="3" applyAlignment="1" pivotButton="0" quotePrefix="0" xfId="0">
      <alignment horizontal="center"/>
    </xf>
    <xf numFmtId="171" fontId="5" fillId="6" borderId="3" applyAlignment="1" pivotButton="0" quotePrefix="0" xfId="0">
      <alignment horizontal="center"/>
    </xf>
    <xf numFmtId="1" fontId="5" fillId="6" borderId="3" applyAlignment="1" pivotButton="0" quotePrefix="0" xfId="0">
      <alignment horizontal="center"/>
    </xf>
    <xf numFmtId="172" fontId="5" fillId="6" borderId="3" applyAlignment="1" pivotButton="0" quotePrefix="0" xfId="0">
      <alignment horizontal="center"/>
    </xf>
    <xf numFmtId="176" fontId="5" fillId="6" borderId="3" applyAlignment="1" pivotButton="0" quotePrefix="0" xfId="0">
      <alignment horizontal="center"/>
    </xf>
    <xf numFmtId="3" fontId="5" fillId="6" borderId="3" applyAlignment="1" pivotButton="0" quotePrefix="0" xfId="0">
      <alignment horizontal="center"/>
    </xf>
    <xf numFmtId="0" fontId="0" fillId="0" borderId="7" pivotButton="0" quotePrefix="0" xfId="0"/>
    <xf numFmtId="0" fontId="16" fillId="0" borderId="3" applyAlignment="1" pivotButton="0" quotePrefix="0" xfId="0">
      <alignment vertical="center" indent="1"/>
    </xf>
    <xf numFmtId="172" fontId="6" fillId="6" borderId="3" applyAlignment="1" pivotButton="0" quotePrefix="0" xfId="0">
      <alignment horizontal="center" vertical="center"/>
    </xf>
    <xf numFmtId="0" fontId="33" fillId="7" borderId="3" applyAlignment="1" pivotButton="0" quotePrefix="0" xfId="0">
      <alignment horizontal="center" vertical="center" wrapText="1"/>
    </xf>
    <xf numFmtId="0" fontId="5" fillId="0" borderId="3" applyAlignment="1" pivotButton="0" quotePrefix="0" xfId="0">
      <alignment vertical="center" indent="1"/>
    </xf>
    <xf numFmtId="165" fontId="5" fillId="6" borderId="3" applyAlignment="1" pivotButton="0" quotePrefix="0" xfId="0">
      <alignment horizontal="center" vertical="center"/>
    </xf>
    <xf numFmtId="4" fontId="6" fillId="6" borderId="3" applyAlignment="1" pivotButton="0" quotePrefix="0" xfId="0">
      <alignment horizontal="center" vertical="center"/>
    </xf>
    <xf numFmtId="0" fontId="7" fillId="6" borderId="3" applyAlignment="1" pivotButton="0" quotePrefix="0" xfId="0">
      <alignment horizontal="left" vertical="center"/>
    </xf>
    <xf numFmtId="0" fontId="7" fillId="6" borderId="3" applyAlignment="1" pivotButton="0" quotePrefix="0" xfId="0">
      <alignment horizontal="left" vertical="center" wrapText="1"/>
    </xf>
    <xf numFmtId="0" fontId="7" fillId="6" borderId="3" applyAlignment="1" pivotButton="0" quotePrefix="0" xfId="0">
      <alignment horizontal="center" vertical="center"/>
    </xf>
    <xf numFmtId="164" fontId="7" fillId="6" borderId="3" applyAlignment="1" pivotButton="0" quotePrefix="0" xfId="0">
      <alignment horizontal="center" vertical="center"/>
    </xf>
    <xf numFmtId="1" fontId="7" fillId="6" borderId="3" applyAlignment="1" pivotButton="0" quotePrefix="0" xfId="0">
      <alignment horizontal="center" vertical="center"/>
    </xf>
    <xf numFmtId="3" fontId="7" fillId="6" borderId="3" applyAlignment="1" pivotButton="0" quotePrefix="0" xfId="0">
      <alignment horizontal="center" vertical="center"/>
    </xf>
    <xf numFmtId="3" fontId="6" fillId="6" borderId="3" applyAlignment="1" pivotButton="0" quotePrefix="0" xfId="0">
      <alignment horizontal="center" vertical="center"/>
    </xf>
    <xf numFmtId="165" fontId="6" fillId="6" borderId="3" applyAlignment="1" pivotButton="0" quotePrefix="0" xfId="0">
      <alignment horizontal="center" vertical="center"/>
    </xf>
    <xf numFmtId="0" fontId="5" fillId="4" borderId="3" applyAlignment="1" pivotButton="0" quotePrefix="0" xfId="0">
      <alignment horizontal="left" vertical="center"/>
    </xf>
    <xf numFmtId="0" fontId="5" fillId="4" borderId="3" applyAlignment="1" pivotButton="0" quotePrefix="0" xfId="0">
      <alignment vertical="center"/>
    </xf>
    <xf numFmtId="0" fontId="15" fillId="6" borderId="3" applyAlignment="1" pivotButton="0" quotePrefix="0" xfId="0">
      <alignment vertical="center"/>
    </xf>
    <xf numFmtId="0" fontId="5" fillId="4" borderId="3" applyAlignment="1" pivotButton="0" quotePrefix="0" xfId="0">
      <alignment horizontal="center" vertical="center"/>
    </xf>
    <xf numFmtId="3" fontId="5" fillId="4" borderId="3" applyAlignment="1" pivotButton="0" quotePrefix="0" xfId="0">
      <alignment horizontal="center" vertical="center"/>
    </xf>
    <xf numFmtId="166" fontId="5" fillId="4" borderId="3" applyAlignment="1" pivotButton="0" quotePrefix="0" xfId="0">
      <alignment horizontal="center" vertical="center"/>
    </xf>
    <xf numFmtId="165" fontId="5" fillId="4" borderId="3" applyAlignment="1" pivotButton="0" quotePrefix="0" xfId="0">
      <alignment horizontal="center" vertical="center"/>
    </xf>
    <xf numFmtId="164" fontId="5" fillId="4" borderId="3" applyAlignment="1" pivotButton="0" quotePrefix="0" xfId="0">
      <alignment horizontal="center" vertical="center"/>
    </xf>
    <xf numFmtId="166" fontId="5" fillId="4" borderId="3" applyAlignment="1" pivotButton="0" quotePrefix="0" xfId="0">
      <alignment vertical="center"/>
    </xf>
    <xf numFmtId="168" fontId="15" fillId="6" borderId="3" applyAlignment="1" pivotButton="0" quotePrefix="0" xfId="0">
      <alignment horizontal="center" vertical="center"/>
    </xf>
    <xf numFmtId="166" fontId="15" fillId="6" borderId="3" applyAlignment="1" pivotButton="0" quotePrefix="0" xfId="0">
      <alignment vertical="center"/>
    </xf>
    <xf numFmtId="164" fontId="15" fillId="6" borderId="3" applyAlignment="1" pivotButton="0" quotePrefix="0" xfId="0">
      <alignment horizontal="center" vertical="center"/>
    </xf>
    <xf numFmtId="169" fontId="15" fillId="6" borderId="3" applyAlignment="1" pivotButton="0" quotePrefix="0" xfId="0">
      <alignment horizontal="center" vertical="center"/>
    </xf>
    <xf numFmtId="170" fontId="15" fillId="6" borderId="3" applyAlignment="1" pivotButton="0" quotePrefix="0" xfId="0">
      <alignment vertical="center"/>
    </xf>
    <xf numFmtId="0" fontId="15" fillId="6" borderId="3" applyAlignment="1" pivotButton="0" quotePrefix="0" xfId="0">
      <alignment horizontal="center" vertical="center"/>
    </xf>
    <xf numFmtId="4" fontId="5" fillId="4" borderId="3" applyAlignment="1" pivotButton="0" quotePrefix="0" xfId="0">
      <alignment vertical="center"/>
    </xf>
    <xf numFmtId="4" fontId="15" fillId="6" borderId="3" applyAlignment="1" pivotButton="0" quotePrefix="0" xfId="0">
      <alignment vertical="center"/>
    </xf>
    <xf numFmtId="0" fontId="16" fillId="0" borderId="0" pivotButton="0" quotePrefix="0" xfId="0"/>
    <xf numFmtId="0" fontId="17" fillId="8" borderId="3" applyAlignment="1" pivotButton="0" quotePrefix="0" xfId="0">
      <alignment horizontal="center"/>
    </xf>
    <xf numFmtId="0" fontId="18" fillId="9" borderId="3" applyAlignment="1" pivotButton="0" quotePrefix="0" xfId="0">
      <alignment horizontal="center"/>
    </xf>
    <xf numFmtId="0" fontId="19" fillId="10" borderId="3" applyAlignment="1" pivotButton="0" quotePrefix="0" xfId="0">
      <alignment horizontal="center"/>
    </xf>
    <xf numFmtId="0" fontId="13" fillId="0" borderId="0" applyAlignment="1" pivotButton="0" quotePrefix="0" xfId="0">
      <alignment vertical="top" wrapText="1"/>
    </xf>
    <xf numFmtId="0" fontId="0" fillId="5" borderId="3" pivotButton="0" quotePrefix="0" xfId="0"/>
    <xf numFmtId="0" fontId="13" fillId="5" borderId="3" pivotButton="0" quotePrefix="0" xfId="0"/>
    <xf numFmtId="171" fontId="8" fillId="5" borderId="3" applyAlignment="1" pivotButton="0" quotePrefix="0" xfId="0">
      <alignment horizontal="center"/>
    </xf>
    <xf numFmtId="0" fontId="10" fillId="5" borderId="3" pivotButton="0" quotePrefix="0" xfId="0"/>
    <xf numFmtId="1" fontId="10" fillId="5" borderId="3" applyAlignment="1" pivotButton="0" quotePrefix="0" xfId="0">
      <alignment horizontal="center"/>
    </xf>
    <xf numFmtId="172" fontId="10" fillId="5" borderId="3" applyAlignment="1" pivotButton="0" quotePrefix="0" xfId="0">
      <alignment horizontal="center"/>
    </xf>
    <xf numFmtId="49" fontId="7" fillId="6" borderId="2" pivotButton="0" quotePrefix="0" xfId="0"/>
    <xf numFmtId="164" fontId="7" fillId="6" borderId="2" applyAlignment="1" pivotButton="0" quotePrefix="0" xfId="0">
      <alignment horizontal="center"/>
    </xf>
    <xf numFmtId="49" fontId="7" fillId="6" borderId="2" applyAlignment="1" pivotButton="0" quotePrefix="0" xfId="0">
      <alignment horizontal="center"/>
    </xf>
    <xf numFmtId="49" fontId="20" fillId="6" borderId="2" applyAlignment="1" pivotButton="0" quotePrefix="0" xfId="0">
      <alignment horizontal="center"/>
    </xf>
    <xf numFmtId="173" fontId="21" fillId="0" borderId="8" applyAlignment="1" pivotButton="0" quotePrefix="0" xfId="0">
      <alignment horizontal="center"/>
    </xf>
    <xf numFmtId="0" fontId="10" fillId="0" borderId="0" pivotButton="0" quotePrefix="0" xfId="0"/>
    <xf numFmtId="0" fontId="11" fillId="4" borderId="3" applyAlignment="1" pivotButton="0" quotePrefix="0" xfId="0">
      <alignment horizontal="center"/>
    </xf>
    <xf numFmtId="174" fontId="22" fillId="0" borderId="0" pivotButton="0" quotePrefix="0" xfId="0"/>
    <xf numFmtId="0" fontId="23" fillId="0" borderId="0" pivotButton="0" quotePrefix="0" xfId="0"/>
    <xf numFmtId="0" fontId="24" fillId="0" borderId="0" applyAlignment="1" pivotButton="0" quotePrefix="0" xfId="0">
      <alignment horizontal="right" vertical="center"/>
    </xf>
    <xf numFmtId="0" fontId="25" fillId="0" borderId="1" applyAlignment="1" pivotButton="0" quotePrefix="0" xfId="0">
      <alignment horizontal="right"/>
    </xf>
    <xf numFmtId="0" fontId="16" fillId="5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166" fontId="6" fillId="0" borderId="3" applyAlignment="1" pivotButton="0" quotePrefix="0" xfId="0">
      <alignment horizontal="left" vertical="center" wrapText="1"/>
    </xf>
    <xf numFmtId="164" fontId="6" fillId="0" borderId="3" applyAlignment="1" pivotButton="0" quotePrefix="0" xfId="0">
      <alignment horizontal="left" vertical="center" wrapText="1"/>
    </xf>
    <xf numFmtId="0" fontId="0" fillId="0" borderId="6" pivotButton="0" quotePrefix="0" xfId="0"/>
    <xf numFmtId="165" fontId="6" fillId="0" borderId="3" applyAlignment="1" pivotButton="0" quotePrefix="0" xfId="0">
      <alignment horizontal="left" vertical="center" wrapText="1"/>
    </xf>
    <xf numFmtId="4" fontId="6" fillId="0" borderId="3" applyAlignment="1" pivotButton="0" quotePrefix="0" xfId="0">
      <alignment horizontal="left" vertical="center" wrapText="1"/>
    </xf>
    <xf numFmtId="4" fontId="26" fillId="0" borderId="3" applyAlignment="1" pivotButton="0" quotePrefix="0" xfId="0">
      <alignment horizontal="left" vertical="center" wrapText="1"/>
    </xf>
    <xf numFmtId="0" fontId="13" fillId="0" borderId="9" pivotButton="0" quotePrefix="0" xfId="0"/>
    <xf numFmtId="0" fontId="0" fillId="0" borderId="9" pivotButton="0" quotePrefix="0" xfId="0"/>
    <xf numFmtId="0" fontId="16" fillId="0" borderId="0" applyAlignment="1" pivotButton="0" quotePrefix="0" xfId="0">
      <alignment horizontal="center"/>
    </xf>
    <xf numFmtId="0" fontId="0" fillId="0" borderId="3" pivotButton="0" quotePrefix="0" xfId="0"/>
    <xf numFmtId="164" fontId="5" fillId="4" borderId="3" applyAlignment="1" pivotButton="0" quotePrefix="0" xfId="0">
      <alignment horizontal="center"/>
    </xf>
    <xf numFmtId="0" fontId="8" fillId="0" borderId="0" pivotButton="0" quotePrefix="0" xfId="0"/>
    <xf numFmtId="164" fontId="10" fillId="6" borderId="3" applyAlignment="1" pivotButton="0" quotePrefix="0" xfId="0">
      <alignment horizontal="center"/>
    </xf>
    <xf numFmtId="0" fontId="6" fillId="5" borderId="10" applyAlignment="1" pivotButton="0" quotePrefix="0" xfId="0">
      <alignment vertical="center"/>
    </xf>
    <xf numFmtId="0" fontId="6" fillId="5" borderId="10" applyAlignment="1" pivotButton="0" quotePrefix="0" xfId="0">
      <alignment horizontal="center" vertical="center"/>
    </xf>
    <xf numFmtId="3" fontId="6" fillId="5" borderId="10" applyAlignment="1" pivotButton="0" quotePrefix="0" xfId="0">
      <alignment vertical="center"/>
    </xf>
    <xf numFmtId="165" fontId="6" fillId="5" borderId="10" applyAlignment="1" pivotButton="0" quotePrefix="0" xfId="0">
      <alignment vertical="center"/>
    </xf>
    <xf numFmtId="3" fontId="6" fillId="5" borderId="10" applyAlignment="1" pivotButton="0" quotePrefix="0" xfId="0">
      <alignment horizontal="center" vertical="center"/>
    </xf>
    <xf numFmtId="172" fontId="6" fillId="5" borderId="10" applyAlignment="1" pivotButton="0" quotePrefix="0" xfId="0">
      <alignment vertical="center"/>
    </xf>
    <xf numFmtId="4" fontId="6" fillId="5" borderId="10" applyAlignment="1" pivotButton="0" quotePrefix="0" xfId="0">
      <alignment vertical="center"/>
    </xf>
    <xf numFmtId="175" fontId="6" fillId="5" borderId="10" applyAlignment="1" pivotButton="0" quotePrefix="0" xfId="0">
      <alignment vertical="center"/>
    </xf>
    <xf numFmtId="3" fontId="15" fillId="6" borderId="3" applyAlignment="1" pivotButton="0" quotePrefix="0" xfId="0">
      <alignment vertical="center"/>
    </xf>
    <xf numFmtId="165" fontId="15" fillId="6" borderId="3" applyAlignment="1" pivotButton="0" quotePrefix="0" xfId="0">
      <alignment vertical="center"/>
    </xf>
    <xf numFmtId="3" fontId="15" fillId="6" borderId="3" applyAlignment="1" pivotButton="0" quotePrefix="0" xfId="0">
      <alignment horizontal="center" vertical="center"/>
    </xf>
    <xf numFmtId="172" fontId="15" fillId="6" borderId="3" applyAlignment="1" pivotButton="0" quotePrefix="0" xfId="0">
      <alignment vertical="center"/>
    </xf>
    <xf numFmtId="175" fontId="15" fillId="6" borderId="3" applyAlignment="1" pivotButton="0" quotePrefix="0" xfId="0">
      <alignment vertical="center"/>
    </xf>
    <xf numFmtId="167" fontId="15" fillId="6" borderId="3" applyAlignment="1" pivotButton="0" quotePrefix="0" xfId="0">
      <alignment horizontal="center" vertical="center"/>
    </xf>
    <xf numFmtId="49" fontId="5" fillId="4" borderId="3" applyAlignment="1" pivotButton="0" quotePrefix="0" xfId="0">
      <alignment horizontal="center"/>
    </xf>
    <xf numFmtId="1" fontId="5" fillId="4" borderId="3" applyAlignment="1" pivotButton="0" quotePrefix="0" xfId="0">
      <alignment horizontal="center"/>
    </xf>
    <xf numFmtId="9" fontId="5" fillId="4" borderId="3" applyAlignment="1" pivotButton="0" quotePrefix="0" xfId="0">
      <alignment horizontal="center"/>
    </xf>
    <xf numFmtId="0" fontId="12" fillId="0" borderId="0" pivotButton="0" quotePrefix="0" xfId="0"/>
    <xf numFmtId="164" fontId="12" fillId="6" borderId="3" applyAlignment="1" pivotButton="0" quotePrefix="0" xfId="0">
      <alignment horizontal="center"/>
    </xf>
    <xf numFmtId="1" fontId="12" fillId="6" borderId="3" applyAlignment="1" pivotButton="0" quotePrefix="0" xfId="0">
      <alignment horizontal="center"/>
    </xf>
    <xf numFmtId="0" fontId="10" fillId="6" borderId="3" pivotButton="0" quotePrefix="0" xfId="0"/>
    <xf numFmtId="0" fontId="8" fillId="0" borderId="3" applyAlignment="1" pivotButton="0" quotePrefix="0" xfId="0">
      <alignment vertical="center"/>
    </xf>
    <xf numFmtId="0" fontId="10" fillId="6" borderId="3" applyAlignment="1" pivotButton="0" quotePrefix="0" xfId="0">
      <alignment horizontal="center"/>
    </xf>
    <xf numFmtId="0" fontId="7" fillId="4" borderId="3" applyAlignment="1" pivotButton="0" quotePrefix="0" xfId="0">
      <alignment vertical="center"/>
    </xf>
    <xf numFmtId="0" fontId="0" fillId="11" borderId="0" pivotButton="0" quotePrefix="0" xfId="0"/>
    <xf numFmtId="0" fontId="34" fillId="12" borderId="0" applyAlignment="1" pivotButton="0" quotePrefix="0" xfId="0">
      <alignment vertical="bottom" indent="1"/>
    </xf>
    <xf numFmtId="0" fontId="0" fillId="12" borderId="0" pivotButton="0" quotePrefix="0" xfId="0"/>
    <xf numFmtId="0" fontId="35" fillId="12" borderId="0" applyAlignment="1" pivotButton="0" quotePrefix="0" xfId="0">
      <alignment indent="1"/>
    </xf>
    <xf numFmtId="0" fontId="36" fillId="12" borderId="0" applyAlignment="1" pivotButton="0" quotePrefix="0" xfId="0">
      <alignment vertical="top" wrapText="1" indent="1"/>
    </xf>
    <xf numFmtId="0" fontId="3" fillId="11" borderId="31" pivotButton="0" quotePrefix="0" xfId="0"/>
    <xf numFmtId="0" fontId="0" fillId="11" borderId="31" pivotButton="0" quotePrefix="0" xfId="0"/>
    <xf numFmtId="0" fontId="37" fillId="11" borderId="0" applyAlignment="1" pivotButton="0" quotePrefix="0" xfId="0">
      <alignment vertical="center" wrapText="1"/>
    </xf>
    <xf numFmtId="0" fontId="38" fillId="11" borderId="0" applyAlignment="1" pivotButton="0" quotePrefix="0" xfId="0">
      <alignment vertical="center" wrapText="1"/>
    </xf>
    <xf numFmtId="0" fontId="14" fillId="11" borderId="15" applyAlignment="1" pivotButton="0" quotePrefix="0" xfId="0">
      <alignment vertical="center" wrapText="1" indent="1"/>
    </xf>
    <xf numFmtId="0" fontId="14" fillId="7" borderId="3" applyAlignment="1" pivotButton="0" quotePrefix="0" xfId="0">
      <alignment vertical="center" wrapText="1" indent="1"/>
    </xf>
    <xf numFmtId="0" fontId="14" fillId="13" borderId="3" applyAlignment="1" pivotButton="0" quotePrefix="0" xfId="0">
      <alignment vertical="center" wrapText="1" indent="1"/>
    </xf>
    <xf numFmtId="0" fontId="6" fillId="4" borderId="3" applyAlignment="1" pivotButton="0" quotePrefix="0" xfId="0">
      <alignment vertical="center" wrapText="1" indent="1"/>
    </xf>
    <xf numFmtId="0" fontId="38" fillId="4" borderId="3" applyAlignment="1" pivotButton="0" quotePrefix="0" xfId="0">
      <alignment vertical="center" wrapText="1" indent="1"/>
    </xf>
    <xf numFmtId="0" fontId="38" fillId="14" borderId="3" applyAlignment="1" pivotButton="0" quotePrefix="0" xfId="0">
      <alignment vertical="center" wrapText="1" indent="1"/>
    </xf>
    <xf numFmtId="0" fontId="39" fillId="6" borderId="3" applyAlignment="1" pivotButton="0" quotePrefix="0" xfId="0">
      <alignment horizontal="center" vertical="center" wrapText="1" indent="1"/>
    </xf>
    <xf numFmtId="0" fontId="19" fillId="10" borderId="3" applyAlignment="1" pivotButton="0" quotePrefix="0" xfId="0">
      <alignment horizontal="center" vertical="center" wrapText="1" indent="1"/>
    </xf>
    <xf numFmtId="0" fontId="40" fillId="14" borderId="34" applyAlignment="1" pivotButton="0" quotePrefix="0" xfId="0">
      <alignment horizontal="center" vertical="center"/>
    </xf>
    <xf numFmtId="0" fontId="0" fillId="0" borderId="37" pivotButton="0" quotePrefix="0" xfId="0"/>
    <xf numFmtId="0" fontId="41" fillId="11" borderId="0" applyAlignment="1" pivotButton="0" quotePrefix="0" xfId="0">
      <alignment horizontal="center" vertical="center"/>
    </xf>
    <xf numFmtId="0" fontId="42" fillId="11" borderId="0" applyAlignment="1" pivotButton="0" quotePrefix="0" xfId="0">
      <alignment horizontal="center" vertical="center"/>
    </xf>
    <xf numFmtId="0" fontId="8" fillId="11" borderId="0" applyAlignment="1" pivotButton="0" quotePrefix="0" xfId="0">
      <alignment vertical="top" wrapText="1"/>
    </xf>
  </cellXfs>
  <cellStyles count="1">
    <cellStyle name="Normal" xfId="0" builtinId="0" hidden="0"/>
  </cellStyles>
  <dxfs count="15">
    <dxf>
      <font>
        <color rgb="FF166534"/>
      </font>
      <fill>
        <patternFill patternType="solid">
          <fgColor rgb="FFDCFCE7"/>
          <bgColor rgb="FFDCFCE7"/>
        </patternFill>
      </fill>
    </dxf>
    <dxf>
      <font>
        <color rgb="FFB91C1C"/>
      </font>
      <fill>
        <patternFill patternType="solid">
          <fgColor rgb="FFFEE2E2"/>
          <bgColor rgb="FFFEE2E2"/>
        </patternFill>
      </fill>
    </dxf>
    <dxf>
      <font>
        <color rgb="FF1D4ED8"/>
      </font>
      <fill>
        <patternFill patternType="solid">
          <fgColor rgb="FFDBEAFE"/>
          <bgColor rgb="FFDBEAFE"/>
        </patternFill>
      </fill>
    </dxf>
    <dxf>
      <font>
        <b val="1"/>
        <color rgb="FFB91C1C"/>
      </font>
      <fill>
        <patternFill patternType="solid">
          <fgColor rgb="FFFEE2E2"/>
          <bgColor rgb="FFFEE2E2"/>
        </patternFill>
      </fill>
    </dxf>
    <dxf>
      <font>
        <b val="1"/>
        <color rgb="FF92400E"/>
      </font>
      <fill>
        <patternFill patternType="solid">
          <fgColor rgb="FFFEF3C7"/>
          <bgColor rgb="FFFEF3C7"/>
        </patternFill>
      </fill>
    </dxf>
    <dxf>
      <font>
        <color rgb="FF475569"/>
      </font>
      <fill>
        <patternFill patternType="solid">
          <fgColor rgb="FFF1F5F9"/>
          <bgColor rgb="FFF1F5F9"/>
        </patternFill>
      </fill>
    </dxf>
    <dxf>
      <numFmt numFmtId="190" formatCode="#,##0&quot; DH&quot;"/>
    </dxf>
    <dxf>
      <numFmt numFmtId="191" formatCode="#,##0&quot; €&quot;"/>
    </dxf>
    <dxf>
      <numFmt numFmtId="192" formatCode="&quot;$&quot;#,##0"/>
    </dxf>
    <dxf>
      <font>
        <b val="1"/>
        <color rgb="FF1D4ED8"/>
      </font>
      <fill>
        <patternFill patternType="solid">
          <fgColor rgb="FFDBEAFE"/>
          <bgColor rgb="FFDBEAFE"/>
        </patternFill>
      </fill>
    </dxf>
    <dxf>
      <font>
        <color rgb="FF92400E"/>
      </font>
      <fill>
        <patternFill patternType="solid">
          <fgColor rgb="FFFEF3C7"/>
          <bgColor rgb="FFFEF3C7"/>
        </patternFill>
      </fill>
    </dxf>
    <dxf>
      <numFmt numFmtId="180" formatCode="#,##0.00&quot; DH&quot;"/>
    </dxf>
    <dxf>
      <numFmt numFmtId="181" formatCode="#,##0.00&quot; €&quot;"/>
    </dxf>
    <dxf>
      <numFmt numFmtId="182" formatCode="&quot;$&quot;#,##0.00"/>
    </dxf>
    <dxf>
      <font>
        <b val="1"/>
        <color rgb="FF166534"/>
      </font>
      <fill>
        <patternFill patternType="solid">
          <fgColor rgb="FFDCFCE7"/>
          <bgColor rgb="FF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de préventif prévues par semaine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bord'!E12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solidFill>
                <a:srgbClr val="334155"/>
              </a:solidFill>
              <a:prstDash val="solid"/>
            </a:ln>
          </spPr>
          <cat>
            <numRef>
              <f>'Tableau de bord'!$B$13:$B$24</f>
            </numRef>
          </cat>
          <val>
            <numRef>
              <f>'Tableau de bord'!$E$13:$E$24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par mois et par type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'Tableau de bord'!C28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bord'!$C$29:$C$40</f>
            </numRef>
          </val>
        </ser>
        <ser>
          <idx val="1"/>
          <order val="1"/>
          <tx>
            <strRef>
              <f>'Tableau de bord'!D28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DC2626"/>
              </a:solidFill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bord'!$D$29:$D$40</f>
            </numRef>
          </val>
        </ser>
        <ser>
          <idx val="2"/>
          <order val="2"/>
          <tx>
            <strRef>
              <f>'Tableau de bord'!E28</f>
            </strRef>
          </tx>
          <spPr>
            <a:solidFill xmlns:a="http://schemas.openxmlformats.org/drawingml/2006/main">
              <a:srgbClr val="0EA5E9"/>
            </a:solidFill>
            <a:ln xmlns:a="http://schemas.openxmlformats.org/drawingml/2006/main">
              <a:solidFill>
                <a:srgbClr val="0EA5E9"/>
              </a:solidFill>
              <a:prstDash val="solid"/>
            </a:ln>
          </spPr>
          <cat>
            <numRef>
              <f>'Tableau de bord'!$B$29:$B$40</f>
            </numRef>
          </cat>
          <val>
            <numRef>
              <f>'Tableau de bord'!$E$29:$E$40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par type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bord'!D44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EA5E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Lbls>
            <showVal val="0"/>
            <showCatName val="0"/>
            <showSerName val="0"/>
            <showPercent val="1"/>
            <showLeaderLines val="0"/>
          </dLbls>
          <cat>
            <numRef>
              <f>'Tableau de bord'!$B$45:$B$47</f>
            </numRef>
          </cat>
          <val>
            <numRef>
              <f>'Tableau de bord'!$D$45:$D$47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70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26</row>
      <rowOff>0</rowOff>
    </from>
    <ext cx="70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50</row>
      <rowOff>0</rowOff>
    </from>
    <ext cx="3528000" cy="223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0.xml.rels><Relationships xmlns="http://schemas.openxmlformats.org/package/2006/relationships"><Relationship Type="http://schemas.openxmlformats.org/officeDocument/2006/relationships/hyperlink" Target="https://qualis-erp.com/register?utm_source=excel&amp;utm_medium=modele&amp;utm_campaign=plan-de-maintenance-preventive-excel" TargetMode="External" Id="rId1"/><Relationship Type="http://schemas.openxmlformats.org/officeDocument/2006/relationships/hyperlink" Target="https://qualis-erp.com/pricing?utm_source=excel&amp;utm_medium=modele&amp;utm_campaign=plan-de-maintenance-preventive-excel" TargetMode="External" Id="rId2"/><Relationship Type="http://schemas.openxmlformats.org/officeDocument/2006/relationships/hyperlink" Target="https://qualis-erp.com/?utm_source=excel&amp;utm_medium=modele&amp;utm_campaign=plan-de-maintenance-preventive-excel" TargetMode="External" Id="rId3"/></Relationships>
</file>

<file path=xl/worksheets/sheet1.xml><?xml version="1.0" encoding="utf-8"?>
<worksheet xmlns="http://schemas.openxmlformats.org/spreadsheetml/2006/main">
  <sheetPr>
    <tabColor rgb="FF475569"/>
    <outlinePr summaryBelow="1" summaryRight="1"/>
    <pageSetUpPr fitToPage="1"/>
  </sheetPr>
  <dimension ref="A1:E44"/>
  <sheetViews>
    <sheetView showGridLines="0" tabSelected="1" zoomScale="10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44" customWidth="1" min="3" max="3"/>
    <col width="44" customWidth="1" min="4" max="4"/>
    <col width="3" customWidth="1" min="5" max="5"/>
  </cols>
  <sheetData>
    <row r="1" ht="38" customHeight="1">
      <c r="A1" s="1" t="n"/>
      <c r="B1" s="2" t="inlineStr">
        <is>
          <t>Plan de maintenance préventive</t>
        </is>
      </c>
      <c r="C1" s="1" t="n"/>
      <c r="D1" s="1" t="n"/>
      <c r="E1" s="1" t="n"/>
    </row>
    <row r="2" ht="22" customHeight="1">
      <c r="A2" s="3" t="n"/>
      <c r="B2" s="4" t="inlineStr">
        <is>
          <t>Mode d'emploi. Lisez cette page une fois, puis travaillez surtout dans « Interventions » et « Plans préventifs ».</t>
        </is>
      </c>
      <c r="C2" s="3" t="n"/>
      <c r="D2" s="3" t="n"/>
      <c r="E2" s="3" t="n"/>
    </row>
    <row r="3" ht="18" customHeight="1"/>
    <row r="5" ht="22" customHeight="1">
      <c r="B5" s="5" t="inlineStr">
        <is>
          <t>Les feuilles du classeur</t>
        </is>
      </c>
      <c r="C5" s="6" t="n"/>
      <c r="D5" s="6" t="n"/>
    </row>
    <row r="6" ht="30" customHeight="1">
      <c r="B6" s="7" t="inlineStr">
        <is>
          <t>→ Tableau de bord</t>
        </is>
      </c>
      <c r="C6" s="8" t="inlineStr">
        <is>
          <t>Plans en retard, disponibilité, part du préventif, coûts du mois et échéances des 12 prochaines semaines.</t>
        </is>
      </c>
      <c r="D6" s="9" t="n"/>
    </row>
    <row r="7" ht="30" customHeight="1">
      <c r="B7" s="10" t="inlineStr">
        <is>
          <t>→ Plans préventifs</t>
        </is>
      </c>
      <c r="C7" s="11" t="inlineStr">
        <is>
          <t>Vos plans de maintenance préventive : tâche, périodicité en jours ou au compteur, prochaine échéance et statut.</t>
        </is>
      </c>
      <c r="D7" s="12" t="n"/>
    </row>
    <row r="8" ht="30" customHeight="1">
      <c r="B8" s="7" t="inlineStr">
        <is>
          <t>→ Interventions</t>
        </is>
      </c>
      <c r="C8" s="8" t="inlineStr">
        <is>
          <t>Le journal des interventions (préventives, correctives, améliorations) : la feuille que vous remplissez au quotidien.</t>
        </is>
      </c>
      <c r="D8" s="9" t="n"/>
    </row>
    <row r="9" ht="30" customHeight="1">
      <c r="B9" s="10" t="inlineStr">
        <is>
          <t>→ Calendrier</t>
        </is>
      </c>
      <c r="C9" s="11" t="inlineStr">
        <is>
          <t>Les échéances préventives des 12 prochaines semaines, plan par plan, en couleur.</t>
        </is>
      </c>
      <c r="D9" s="12" t="n"/>
    </row>
    <row r="10" ht="30" customHeight="1">
      <c r="B10" s="7" t="inlineStr">
        <is>
          <t>→ Fiche d'intervention</t>
        </is>
      </c>
      <c r="C10" s="8" t="inlineStr">
        <is>
          <t>Une fiche d'intervention (bon de travail) imprimable : choisissez un numéro, ou imprimez-la vierge.</t>
        </is>
      </c>
      <c r="D10" s="9" t="n"/>
    </row>
    <row r="11" ht="30" customHeight="1">
      <c r="B11" s="10" t="inlineStr">
        <is>
          <t>→ Indicateurs</t>
        </is>
      </c>
      <c r="C11" s="11" t="inlineStr">
        <is>
          <t>MTBF, MTTR, disponibilité, heures et coûts par équipement, sur la période de votre choix.</t>
        </is>
      </c>
      <c r="D11" s="12" t="n"/>
    </row>
    <row r="12" ht="30" customHeight="1">
      <c r="B12" s="7" t="inlineStr">
        <is>
          <t>→ Équipements</t>
        </is>
      </c>
      <c r="C12" s="8" t="inlineStr">
        <is>
          <t>La liste de vos équipements : criticité, mise en service, heures d'ouverture, compteur.</t>
        </is>
      </c>
      <c r="D12" s="9" t="n"/>
    </row>
    <row r="13" ht="30" customHeight="1">
      <c r="B13" s="10" t="inlineStr">
        <is>
          <t>→ Paramètres</t>
        </is>
      </c>
      <c r="C13" s="11" t="inlineStr">
        <is>
          <t>Entreprise, devise, date de situation, alertes, techniciens, ateliers, unités de compteur, jours fériés.</t>
        </is>
      </c>
      <c r="D13" s="12" t="n"/>
    </row>
    <row r="16" ht="22" customHeight="1">
      <c r="B16" s="5" t="inlineStr">
        <is>
          <t>Démarrer en 5 étapes</t>
        </is>
      </c>
      <c r="C16" s="6" t="n"/>
      <c r="D16" s="6" t="n"/>
    </row>
    <row r="17" ht="46" customHeight="1">
      <c r="B17" s="13" t="inlineStr">
        <is>
          <t>1. Paramètres</t>
        </is>
      </c>
      <c r="C17" s="14" t="inlineStr">
        <is>
          <t>Nom de l'entreprise, devise (MAD, EUR ou USD), jours travaillés, délai d'alerte « Bientôt » et la liste des techniciens avec leur taux horaire. Laissez la date de situation vide : le fichier prend la date du jour.</t>
        </is>
      </c>
    </row>
    <row r="18" ht="46" customHeight="1">
      <c r="B18" s="13" t="inlineStr">
        <is>
          <t>2. Équipements</t>
        </is>
      </c>
      <c r="C18" s="14" t="inlineStr">
        <is>
          <t>Une ligne par machine ou installation : code unique (TOUR-01), désignation, atelier, criticité A, B ou C, date de mise en service, heures d'ouverture par jour. Pour les machines suivies au compteur : l'unité, le dernier relevé et l'usage moyen par semaine.</t>
        </is>
      </c>
    </row>
    <row r="19" ht="46" customHeight="1">
      <c r="B19" s="13" t="inlineStr">
        <is>
          <t>3. Plans préventifs</t>
        </is>
      </c>
      <c r="C19" s="14" t="inlineStr">
        <is>
          <t>Une ligne par tâche répétitive : l'équipement, la tâche, le déclenchement (Calendrier, Compteur ou Au premier des deux), la périodicité et la date ou le compteur de la dernière réalisation. La prochaine échéance et le statut se calculent.</t>
        </is>
      </c>
    </row>
    <row r="20" ht="46" customHeight="1">
      <c r="B20" s="13" t="inlineStr">
        <is>
          <t>4. Interventions</t>
        </is>
      </c>
      <c r="C20" s="14" t="inlineStr">
        <is>
          <t>Chaque intervention faite ou à faire : date, équipement, type, plan lié pour un préventif, description, statut, durées, technicien, coût des pièces. Une intervention préventive terminée met à jour la dernière réalisation de son plan.</t>
        </is>
      </c>
    </row>
    <row r="21" ht="32" customHeight="1">
      <c r="B21" s="13" t="inlineStr">
        <is>
          <t>5. Suivre</t>
        </is>
      </c>
      <c r="C21" s="14" t="inlineStr">
        <is>
          <t>Le tableau de bord, le calendrier et les indicateurs se mettent à jour seuls. La fiche d'intervention s'imprime pour chaque bon de travail.</t>
        </is>
      </c>
    </row>
    <row r="23" ht="22" customHeight="1">
      <c r="B23" s="5" t="inlineStr">
        <is>
          <t>Comment le fichier calcule</t>
        </is>
      </c>
      <c r="C23" s="6" t="n"/>
      <c r="D23" s="6" t="n"/>
    </row>
    <row r="24" ht="32" customHeight="1">
      <c r="B24" s="15" t="inlineStr">
        <is>
          <t>Dernière réalisation</t>
        </is>
      </c>
      <c r="C24" s="14" t="inlineStr">
        <is>
          <t>La date la plus récente entre la date saisie dans le plan et les interventions préventives terminées liées à ce plan dans le journal. Même règle pour le compteur : le plus grand relevé.</t>
        </is>
      </c>
    </row>
    <row r="25" ht="46" customHeight="1">
      <c r="B25" s="15" t="inlineStr">
        <is>
          <t>Prochaine échéance</t>
        </is>
      </c>
      <c r="C25" s="14" t="inlineStr">
        <is>
          <t>Calendrier : dernière réalisation + périodicité en jours (sans réalisation, la date de mise en service sert de départ). Compteur : compteur de la dernière réalisation + périodicité. Au premier des deux : le premier terme atteint.</t>
        </is>
      </c>
    </row>
    <row r="26" ht="46" customHeight="1">
      <c r="B26" s="15" t="inlineStr">
        <is>
          <t>Statut d'un plan</t>
        </is>
      </c>
      <c r="C26" s="14" t="inlineStr">
        <is>
          <t>En retard : l'échéance est dépassée (date passée ou compteur dépassé). Bientôt : il reste au plus le délai d'alerte en jours, ou au plus le pourcentage d'alerte de la périodicité au compteur. À jour : sinon. Inactif : plan mis en pause (Actif = Non). À compléter : il manque la périodicité ou le point de départ.</t>
        </is>
      </c>
    </row>
    <row r="27" ht="46" customHeight="1">
      <c r="B27" s="15" t="inlineStr">
        <is>
          <t>Échéance estimée</t>
        </is>
      </c>
      <c r="C27" s="14" t="inlineStr">
        <is>
          <t>Pour un plan au compteur, le fichier estime la date avec l'usage moyen par semaine de l'équipement : date de situation + compteur restant / usage x 7. Sans usage moyen, le plan n'a pas de date et n'apparaît pas dans le calendrier.</t>
        </is>
      </c>
    </row>
    <row r="28" ht="32" customHeight="1">
      <c r="B28" s="15" t="inlineStr">
        <is>
          <t>Compteur retenu</t>
        </is>
      </c>
      <c r="C28" s="14" t="inlineStr">
        <is>
          <t>Le plus grand des deux : le dernier relevé saisi dans « Équipements » ou le plus grand compteur relevé lors d'une intervention terminée.</t>
        </is>
      </c>
    </row>
    <row r="29" ht="32" customHeight="1">
      <c r="B29" s="15" t="inlineStr">
        <is>
          <t>Main-d'oeuvre</t>
        </is>
      </c>
      <c r="C29" s="14" t="inlineStr">
        <is>
          <t>Durée d'intervention x taux horaire du technicien (feuille Paramètres). Les prestataires et la sous-traitance vont dans « Autres coûts ».</t>
        </is>
      </c>
    </row>
    <row r="30" ht="60" customHeight="1">
      <c r="B30" s="15" t="inlineStr">
        <is>
          <t>Indicateurs</t>
        </is>
      </c>
      <c r="C30" s="14" t="inlineStr">
        <is>
          <t>Temps d'ouverture = heures d'ouverture par jour x jours travaillés de la période. Panne = intervention corrective terminée. MTBF = (ouverture - arrêts) / pannes. MTTR = durée d'intervention des pannes / pannes. Disponibilité = (ouverture - arrêts) / ouverture. Part du préventif = heures préventives / heures totales d'intervention.</t>
        </is>
      </c>
    </row>
    <row r="32" ht="22" customHeight="1">
      <c r="B32" s="5" t="inlineStr">
        <is>
          <t>Couleurs et contrôles</t>
        </is>
      </c>
      <c r="C32" s="6" t="n"/>
      <c r="D32" s="6" t="n"/>
    </row>
    <row r="33" ht="18" customHeight="1">
      <c r="B33" s="15" t="inlineStr">
        <is>
          <t>Cellules blanches</t>
        </is>
      </c>
      <c r="C33" s="14" t="inlineStr">
        <is>
          <t>À remplir par vous.</t>
        </is>
      </c>
    </row>
    <row r="34" ht="18" customHeight="1">
      <c r="B34" s="15" t="inlineStr">
        <is>
          <t>Cellules grises</t>
        </is>
      </c>
      <c r="C34" s="14" t="inlineStr">
        <is>
          <t>Calculées par une formule. Ne tapez pas dedans.</t>
        </is>
      </c>
    </row>
    <row r="35" ht="46" customHeight="1">
      <c r="B35" s="15" t="inlineStr">
        <is>
          <t>Colonne Contrôle</t>
        </is>
      </c>
      <c r="C35" s="14" t="inlineStr">
        <is>
          <t>Chaque ligne est vérifiée : code en double, équipement ou plan inconnu, périodicité manquante, date invalide, durée négative, plan d'un autre équipement, compteur manquant pour un plan au compteur. Une ligne correcte affiche OK.</t>
        </is>
      </c>
    </row>
    <row r="37" ht="22" customHeight="1">
      <c r="B37" s="5" t="inlineStr">
        <is>
          <t>Bonnes pratiques et limites</t>
        </is>
      </c>
      <c r="C37" s="6" t="n"/>
      <c r="D37" s="6" t="n"/>
    </row>
    <row r="38" ht="32" customHeight="1">
      <c r="B38" s="15" t="inlineStr">
        <is>
          <t>Relevés de compteur</t>
        </is>
      </c>
      <c r="C38" s="14" t="inlineStr">
        <is>
          <t>Mettez à jour le dernier relevé de chaque machine au moins une fois par semaine, ou saisissez le compteur à chaque intervention : c'est lui qui déclenche les plans au compteur.</t>
        </is>
      </c>
    </row>
    <row r="39" ht="32" customHeight="1">
      <c r="B39" s="15" t="inlineStr">
        <is>
          <t>Arrêt et intervention</t>
        </is>
      </c>
      <c r="C39" s="14" t="inlineStr">
        <is>
          <t>La durée d'arrêt est le temps où la machine n'a pas produit (attente comprise). La durée d'intervention est le temps de travail du technicien. Les deux servent aux indicateurs.</t>
        </is>
      </c>
    </row>
    <row r="40" ht="32" customHeight="1">
      <c r="B40" s="15" t="inlineStr">
        <is>
          <t>Un plan = une tâche</t>
        </is>
      </c>
      <c r="C40" s="14" t="inlineStr">
        <is>
          <t>Faites un plan par tâche et par équipement (graissage toutes les 2 semaines, vidange toutes les 2 000 heures). Ne renommez pas un N° de plan qui a déjà des interventions.</t>
        </is>
      </c>
    </row>
    <row r="41" ht="32" customHeight="1">
      <c r="B41" s="15" t="inlineStr">
        <is>
          <t>Capacité</t>
        </is>
      </c>
      <c r="C41" s="14" t="inlineStr">
        <is>
          <t>200 équipements, 500 plans, 2000 interventions, 30 techniciens, 40 jours fériés. Le calendrier couvre 12 semaines, le tableau de bord 12 mois.</t>
        </is>
      </c>
    </row>
    <row r="42" ht="46" customHeight="1">
      <c r="B42" s="15" t="inlineStr">
        <is>
          <t>Compatibilité</t>
        </is>
      </c>
      <c r="C42" s="14" t="inlineStr">
        <is>
          <t>Excel 2010 et suivants (Windows, Mac), Excel en ligne, LibreOffice Calc et Google Sheets. Aucune macro VBA, aucune feuille protégée : le fichier s'ouvre partout, y compris sur un poste où les macros sont bloquées.</t>
        </is>
      </c>
    </row>
    <row r="44">
      <c r="B44" s="16" t="inlineStr">
        <is>
          <t>Saisie</t>
        </is>
      </c>
      <c r="C44" s="17" t="inlineStr">
        <is>
          <t>Calcul auto</t>
        </is>
      </c>
    </row>
  </sheetData>
  <mergeCells count="28">
    <mergeCell ref="C34:D34"/>
    <mergeCell ref="C6:D6"/>
    <mergeCell ref="C24:D24"/>
    <mergeCell ref="C30:D30"/>
    <mergeCell ref="C33:D33"/>
    <mergeCell ref="C42:D42"/>
    <mergeCell ref="C26:D26"/>
    <mergeCell ref="C35:D35"/>
    <mergeCell ref="C20:D20"/>
    <mergeCell ref="C29:D29"/>
    <mergeCell ref="C10:D10"/>
    <mergeCell ref="C25:D25"/>
    <mergeCell ref="C41:D41"/>
    <mergeCell ref="C40:D40"/>
    <mergeCell ref="C9:D9"/>
    <mergeCell ref="C12:D12"/>
    <mergeCell ref="C21:D21"/>
    <mergeCell ref="C11:D11"/>
    <mergeCell ref="C27:D27"/>
    <mergeCell ref="C17:D17"/>
    <mergeCell ref="C39:D39"/>
    <mergeCell ref="C8:D8"/>
    <mergeCell ref="C7:D7"/>
    <mergeCell ref="C38:D38"/>
    <mergeCell ref="C19:D19"/>
    <mergeCell ref="C28:D28"/>
    <mergeCell ref="C13:D13"/>
    <mergeCell ref="C18:D18"/>
  </mergeCells>
  <hyperlinks>
    <hyperlink ref="B6" location="'Tableau de bord'!A1"/>
    <hyperlink ref="B7" location="'Plans préventifs'!A1"/>
    <hyperlink ref="B8" location="'Interventions'!A1"/>
    <hyperlink ref="B9" location="'Calendrier'!A1"/>
    <hyperlink ref="B10" location="'Fiche d''intervention'!A1"/>
    <hyperlink ref="B11" location="'Indicateurs'!A1"/>
    <hyperlink ref="B12" location="'Équipements'!A1"/>
    <hyperlink ref="B13" location="'Paramètres'!A1"/>
    <hyperlink ref="B17" location="'Paramètres'!A1"/>
    <hyperlink ref="B18" location="'Équipements'!A1"/>
    <hyperlink ref="B19" location="'Plans préventifs'!A1"/>
    <hyperlink ref="B20" location="'Interventions'!A1"/>
    <hyperlink ref="B21" location="'Tableau de bord'!A1"/>
  </hyperlinks>
  <printOptions horizontalCentered="1"/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FF0F172A"/>
    <outlinePr summaryBelow="1" summaryRight="1"/>
    <pageSetUpPr fitToPage="1"/>
  </sheetPr>
  <dimension ref="A1:P57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2" customWidth="1" min="17" max="17"/>
  </cols>
  <sheetData>
    <row r="1" ht="38" customHeight="1">
      <c r="A1" s="1" t="n"/>
      <c r="B1" s="2" t="str">
        <f>"Maintenance préventive"&amp;IF(p_company&lt;&gt;""," : "&amp;p_company,"")</f>
        <v>Maintenance préventive</v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8" t="inlineStr">
        <is>
          <t>⌂ Mode d'emploi</t>
        </is>
      </c>
    </row>
    <row r="2" ht="22" customHeight="1">
      <c r="A2" s="3" t="n"/>
      <c r="B2" s="4" t="inlineStr">
        <is>
          <t>Tout se calcule depuis « Équipements », « Plans préventifs » et « Interventions ».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 ht="16" customHeight="1">
      <c r="H3" s="19" t="inlineStr">
        <is>
          <t>Indicateurs du</t>
        </is>
      </c>
      <c r="J3" s="20">
        <f>p_from</f>
        <v>46023.0</v>
      </c>
      <c r="K3" s="21" t="inlineStr">
        <is>
          <t>au</t>
        </is>
      </c>
      <c r="L3" s="20">
        <f>p_to</f>
        <v>46331.0</v>
      </c>
      <c r="M3" s="19" t="inlineStr">
        <is>
          <t>Situation au</t>
        </is>
      </c>
      <c r="P3" s="20">
        <f>p_today</f>
        <v>46331.0</v>
      </c>
    </row>
    <row r="5" ht="18" customHeight="1">
      <c r="B5" s="22" t="inlineStr">
        <is>
          <t>PLANS EN RETARD</t>
        </is>
      </c>
      <c r="C5" s="23" t="n"/>
      <c r="D5" s="24" t="n"/>
      <c r="E5" s="25" t="inlineStr">
        <is>
          <t>PLANS BIENTÔT DUS</t>
        </is>
      </c>
      <c r="F5" s="23" t="n"/>
      <c r="G5" s="24" t="n"/>
      <c r="H5" s="26" t="inlineStr">
        <is>
          <t>DISPONIBILITÉ</t>
        </is>
      </c>
      <c r="I5" s="23" t="n"/>
      <c r="J5" s="24" t="n"/>
      <c r="K5" s="27" t="inlineStr">
        <is>
          <t>PART DU PRÉVENTIF</t>
        </is>
      </c>
      <c r="L5" s="23" t="n"/>
      <c r="M5" s="24" t="n"/>
      <c r="N5" s="28" t="inlineStr">
        <is>
          <t>COÛT DE LA PÉRIODE</t>
        </is>
      </c>
      <c r="O5" s="23" t="n"/>
      <c r="P5" s="24" t="n"/>
    </row>
    <row r="6" ht="32" customHeight="1">
      <c r="B6" s="29">
        <f>COUNTIF(pl_status,"En retard")</f>
        <v>0.0</v>
      </c>
      <c r="C6" s="30" t="n"/>
      <c r="D6" s="31" t="n"/>
      <c r="E6" s="32">
        <f>COUNTIF(pl_status,"Bientôt")</f>
        <v>0.0</v>
      </c>
      <c r="F6" s="30" t="n"/>
      <c r="G6" s="31" t="n"/>
      <c r="H6" s="33" t="str">
        <f>IF(ISNUMBER('Indicateurs'!J11),'Indicateurs'!J11,"")</f>
        <v/>
      </c>
      <c r="I6" s="30" t="n"/>
      <c r="J6" s="31" t="n"/>
      <c r="K6" s="34" t="str">
        <f>IF(ISNUMBER('Indicateurs'!N11),'Indicateurs'!N11,"")</f>
        <v/>
      </c>
      <c r="L6" s="30" t="n"/>
      <c r="M6" s="31" t="n"/>
      <c r="N6" s="35">
        <f>'Indicateurs'!R11</f>
        <v>0.0</v>
      </c>
      <c r="O6" s="30" t="n"/>
      <c r="P6" s="31" t="n"/>
    </row>
    <row r="7" ht="16" customHeight="1">
      <c r="B7" s="36" t="inlineStr">
        <is>
          <t>Échéance dépassée</t>
        </is>
      </c>
      <c r="C7" s="9" t="n"/>
      <c r="D7" s="37" t="n"/>
      <c r="E7" s="38" t="str">
        <f>"Sous "&amp;p_soon&amp;" jours ou "&amp;ROUND(p_soon_pct*100,0)&amp;" % du compteur"</f>
        <v>Sous 14 jours ou 10 % du compteur</v>
      </c>
      <c r="F7" s="9" t="n"/>
      <c r="G7" s="37" t="n"/>
      <c r="H7" s="39" t="inlineStr">
        <is>
          <t>(Ouverture - arrêts) / ouverture</t>
        </is>
      </c>
      <c r="I7" s="9" t="n"/>
      <c r="J7" s="37" t="n"/>
      <c r="K7" s="40" t="inlineStr">
        <is>
          <t>En heures d'intervention</t>
        </is>
      </c>
      <c r="L7" s="9" t="n"/>
      <c r="M7" s="37" t="n"/>
      <c r="N7" s="41" t="inlineStr">
        <is>
          <t>Pièces, main-d'oeuvre, autres</t>
        </is>
      </c>
      <c r="O7" s="9" t="n"/>
      <c r="P7" s="37" t="n"/>
    </row>
    <row r="9">
      <c r="B9" s="42" t="str">
        <f>IF(COUNTIF(eq_check,"?*")-COUNTIF(eq_check,"OK")+COUNTIF(pl_check,"?*")-COUNTIF(pl_check,"OK")+COUNTIF(in_check,"?*")-COUNTIF(in_check,"OK")&gt;0,COUNTIF(eq_check,"?*")-COUNTIF(eq_check,"OK")+COUNTIF(pl_check,"?*")-COUNTIF(pl_check,"OK")+COUNTIF(in_check,"?*")-COUNTIF(in_check,"OK")&amp;" ligne(s) signalée(s) dans les colonnes Contrôle : filtrez-les pour les corriger.","Toutes les lignes saisies sont valides.")</f>
        <v>Toutes les lignes saisies sont valides.</v>
      </c>
    </row>
    <row r="11" ht="22" customHeight="1">
      <c r="B11" s="5" t="inlineStr">
        <is>
          <t>Échéances préventives, 12 semaines</t>
        </is>
      </c>
      <c r="C11" s="6" t="n"/>
      <c r="D11" s="6" t="n"/>
      <c r="E11" s="6" t="n"/>
      <c r="F11" s="6" t="n"/>
    </row>
    <row r="12" ht="20" customHeight="1">
      <c r="B12" s="43" t="inlineStr">
        <is>
          <t>Semaine</t>
        </is>
      </c>
      <c r="C12" s="43" t="inlineStr">
        <is>
          <t>Lundi</t>
        </is>
      </c>
      <c r="D12" s="43" t="inlineStr">
        <is>
          <t>Réalisations</t>
        </is>
      </c>
      <c r="E12" s="43" t="inlineStr">
        <is>
          <t>Heures prévues</t>
        </is>
      </c>
    </row>
    <row r="13">
      <c r="B13" s="44" t="str">
        <f>'Calendrier'!G5</f>
        <v>S45</v>
      </c>
      <c r="C13" s="45">
        <f>'Calendrier'!G6</f>
        <v>46328.0</v>
      </c>
      <c r="D13" s="46">
        <f>'Calendrier'!G7</f>
        <v>0.0</v>
      </c>
      <c r="E13" s="47">
        <f>'Calendrier'!G8</f>
        <v>0.0</v>
      </c>
    </row>
    <row r="14">
      <c r="B14" s="44" t="str">
        <f>'Calendrier'!H5</f>
        <v>S46</v>
      </c>
      <c r="C14" s="45">
        <f>'Calendrier'!H6</f>
        <v>46335.0</v>
      </c>
      <c r="D14" s="46">
        <f>'Calendrier'!H7</f>
        <v>0.0</v>
      </c>
      <c r="E14" s="47">
        <f>'Calendrier'!H8</f>
        <v>0.0</v>
      </c>
    </row>
    <row r="15">
      <c r="B15" s="44" t="str">
        <f>'Calendrier'!I5</f>
        <v>S47</v>
      </c>
      <c r="C15" s="45">
        <f>'Calendrier'!I6</f>
        <v>46342.0</v>
      </c>
      <c r="D15" s="46">
        <f>'Calendrier'!I7</f>
        <v>0.0</v>
      </c>
      <c r="E15" s="47">
        <f>'Calendrier'!I8</f>
        <v>0.0</v>
      </c>
    </row>
    <row r="16">
      <c r="B16" s="44" t="str">
        <f>'Calendrier'!J5</f>
        <v>S48</v>
      </c>
      <c r="C16" s="45">
        <f>'Calendrier'!J6</f>
        <v>46349.0</v>
      </c>
      <c r="D16" s="46">
        <f>'Calendrier'!J7</f>
        <v>0.0</v>
      </c>
      <c r="E16" s="47">
        <f>'Calendrier'!J8</f>
        <v>0.0</v>
      </c>
    </row>
    <row r="17">
      <c r="B17" s="44" t="str">
        <f>'Calendrier'!K5</f>
        <v>S49</v>
      </c>
      <c r="C17" s="45">
        <f>'Calendrier'!K6</f>
        <v>46356.0</v>
      </c>
      <c r="D17" s="46">
        <f>'Calendrier'!K7</f>
        <v>0.0</v>
      </c>
      <c r="E17" s="47">
        <f>'Calendrier'!K8</f>
        <v>0.0</v>
      </c>
    </row>
    <row r="18">
      <c r="B18" s="44" t="str">
        <f>'Calendrier'!L5</f>
        <v>S50</v>
      </c>
      <c r="C18" s="45">
        <f>'Calendrier'!L6</f>
        <v>46363.0</v>
      </c>
      <c r="D18" s="46">
        <f>'Calendrier'!L7</f>
        <v>0.0</v>
      </c>
      <c r="E18" s="47">
        <f>'Calendrier'!L8</f>
        <v>0.0</v>
      </c>
    </row>
    <row r="19">
      <c r="B19" s="44" t="str">
        <f>'Calendrier'!M5</f>
        <v>S51</v>
      </c>
      <c r="C19" s="45">
        <f>'Calendrier'!M6</f>
        <v>46370.0</v>
      </c>
      <c r="D19" s="46">
        <f>'Calendrier'!M7</f>
        <v>0.0</v>
      </c>
      <c r="E19" s="47">
        <f>'Calendrier'!M8</f>
        <v>0.0</v>
      </c>
    </row>
    <row r="20">
      <c r="B20" s="44" t="str">
        <f>'Calendrier'!N5</f>
        <v>S52</v>
      </c>
      <c r="C20" s="45">
        <f>'Calendrier'!N6</f>
        <v>46377.0</v>
      </c>
      <c r="D20" s="46">
        <f>'Calendrier'!N7</f>
        <v>0.0</v>
      </c>
      <c r="E20" s="47">
        <f>'Calendrier'!N8</f>
        <v>0.0</v>
      </c>
    </row>
    <row r="21">
      <c r="B21" s="44" t="str">
        <f>'Calendrier'!O5</f>
        <v>S53</v>
      </c>
      <c r="C21" s="45">
        <f>'Calendrier'!O6</f>
        <v>46384.0</v>
      </c>
      <c r="D21" s="46">
        <f>'Calendrier'!O7</f>
        <v>0.0</v>
      </c>
      <c r="E21" s="47">
        <f>'Calendrier'!O8</f>
        <v>0.0</v>
      </c>
    </row>
    <row r="22">
      <c r="B22" s="44" t="str">
        <f>'Calendrier'!P5</f>
        <v>S1</v>
      </c>
      <c r="C22" s="45">
        <f>'Calendrier'!P6</f>
        <v>46391.0</v>
      </c>
      <c r="D22" s="46">
        <f>'Calendrier'!P7</f>
        <v>0.0</v>
      </c>
      <c r="E22" s="47">
        <f>'Calendrier'!P8</f>
        <v>0.0</v>
      </c>
    </row>
    <row r="23">
      <c r="B23" s="44" t="str">
        <f>'Calendrier'!Q5</f>
        <v>S2</v>
      </c>
      <c r="C23" s="45">
        <f>'Calendrier'!Q6</f>
        <v>46398.0</v>
      </c>
      <c r="D23" s="46">
        <f>'Calendrier'!Q7</f>
        <v>0.0</v>
      </c>
      <c r="E23" s="47">
        <f>'Calendrier'!Q8</f>
        <v>0.0</v>
      </c>
    </row>
    <row r="24">
      <c r="B24" s="44" t="str">
        <f>'Calendrier'!R5</f>
        <v>S3</v>
      </c>
      <c r="C24" s="45">
        <f>'Calendrier'!R6</f>
        <v>46405.0</v>
      </c>
      <c r="D24" s="46">
        <f>'Calendrier'!R7</f>
        <v>0.0</v>
      </c>
      <c r="E24" s="47">
        <f>'Calendrier'!R8</f>
        <v>0.0</v>
      </c>
    </row>
    <row r="27" ht="22" customHeight="1">
      <c r="B27" s="5" t="inlineStr">
        <is>
          <t>Coût de maintenance par mois, 12 mois</t>
        </is>
      </c>
      <c r="C27" s="6" t="n"/>
      <c r="D27" s="6" t="n"/>
      <c r="E27" s="6" t="n"/>
      <c r="F27" s="6" t="n"/>
    </row>
    <row r="28" ht="20" customHeight="1">
      <c r="B28" s="43" t="inlineStr">
        <is>
          <t>Mois</t>
        </is>
      </c>
      <c r="C28" s="43" t="inlineStr">
        <is>
          <t>Préventif</t>
        </is>
      </c>
      <c r="D28" s="43" t="inlineStr">
        <is>
          <t>Correctif</t>
        </is>
      </c>
      <c r="E28" s="43" t="inlineStr">
        <is>
          <t>Amélioratif</t>
        </is>
      </c>
      <c r="F28" s="43" t="inlineStr">
        <is>
          <t>Total</t>
        </is>
      </c>
    </row>
    <row r="29">
      <c r="B29" s="48">
        <f>DATE(YEAR(p_today),MONTH(p_today)-11,1)</f>
        <v>45992.0</v>
      </c>
      <c r="C29" s="49">
        <f>SUMIFS(in_total,in_done,1,in_type,"Préventif",in_dnum,"&gt;="&amp;$B29,in_dnum,"&lt;"&amp;DATE(YEAR($B29),MONTH($B29)+1,1))</f>
        <v>0.0</v>
      </c>
      <c r="D29" s="49">
        <f>SUMIFS(in_total,in_done,1,in_type,"Correctif",in_dnum,"&gt;="&amp;$B29,in_dnum,"&lt;"&amp;DATE(YEAR($B29),MONTH($B29)+1,1))</f>
        <v>0.0</v>
      </c>
      <c r="E29" s="49">
        <f>SUMIFS(in_total,in_done,1,in_type,"Amélioratif",in_dnum,"&gt;="&amp;$B29,in_dnum,"&lt;"&amp;DATE(YEAR($B29),MONTH($B29)+1,1))</f>
        <v>0.0</v>
      </c>
      <c r="F29" s="49">
        <f>SUM(C29:E29)</f>
        <v>0.0</v>
      </c>
    </row>
    <row r="30">
      <c r="B30" s="48">
        <f>DATE(YEAR(p_today),MONTH(p_today)-10,1)</f>
        <v>46023.0</v>
      </c>
      <c r="C30" s="49">
        <f>SUMIFS(in_total,in_done,1,in_type,"Préventif",in_dnum,"&gt;="&amp;$B30,in_dnum,"&lt;"&amp;DATE(YEAR($B30),MONTH($B30)+1,1))</f>
        <v>0.0</v>
      </c>
      <c r="D30" s="49">
        <f>SUMIFS(in_total,in_done,1,in_type,"Correctif",in_dnum,"&gt;="&amp;$B30,in_dnum,"&lt;"&amp;DATE(YEAR($B30),MONTH($B30)+1,1))</f>
        <v>0.0</v>
      </c>
      <c r="E30" s="49">
        <f>SUMIFS(in_total,in_done,1,in_type,"Amélioratif",in_dnum,"&gt;="&amp;$B30,in_dnum,"&lt;"&amp;DATE(YEAR($B30),MONTH($B30)+1,1))</f>
        <v>0.0</v>
      </c>
      <c r="F30" s="49">
        <f>SUM(C30:E30)</f>
        <v>0.0</v>
      </c>
    </row>
    <row r="31">
      <c r="B31" s="48">
        <f>DATE(YEAR(p_today),MONTH(p_today)-9,1)</f>
        <v>46054.0</v>
      </c>
      <c r="C31" s="49">
        <f>SUMIFS(in_total,in_done,1,in_type,"Préventif",in_dnum,"&gt;="&amp;$B31,in_dnum,"&lt;"&amp;DATE(YEAR($B31),MONTH($B31)+1,1))</f>
        <v>0.0</v>
      </c>
      <c r="D31" s="49">
        <f>SUMIFS(in_total,in_done,1,in_type,"Correctif",in_dnum,"&gt;="&amp;$B31,in_dnum,"&lt;"&amp;DATE(YEAR($B31),MONTH($B31)+1,1))</f>
        <v>0.0</v>
      </c>
      <c r="E31" s="49">
        <f>SUMIFS(in_total,in_done,1,in_type,"Amélioratif",in_dnum,"&gt;="&amp;$B31,in_dnum,"&lt;"&amp;DATE(YEAR($B31),MONTH($B31)+1,1))</f>
        <v>0.0</v>
      </c>
      <c r="F31" s="49">
        <f>SUM(C31:E31)</f>
        <v>0.0</v>
      </c>
    </row>
    <row r="32">
      <c r="B32" s="48">
        <f>DATE(YEAR(p_today),MONTH(p_today)-8,1)</f>
        <v>46082.0</v>
      </c>
      <c r="C32" s="49">
        <f>SUMIFS(in_total,in_done,1,in_type,"Préventif",in_dnum,"&gt;="&amp;$B32,in_dnum,"&lt;"&amp;DATE(YEAR($B32),MONTH($B32)+1,1))</f>
        <v>0.0</v>
      </c>
      <c r="D32" s="49">
        <f>SUMIFS(in_total,in_done,1,in_type,"Correctif",in_dnum,"&gt;="&amp;$B32,in_dnum,"&lt;"&amp;DATE(YEAR($B32),MONTH($B32)+1,1))</f>
        <v>0.0</v>
      </c>
      <c r="E32" s="49">
        <f>SUMIFS(in_total,in_done,1,in_type,"Amélioratif",in_dnum,"&gt;="&amp;$B32,in_dnum,"&lt;"&amp;DATE(YEAR($B32),MONTH($B32)+1,1))</f>
        <v>0.0</v>
      </c>
      <c r="F32" s="49">
        <f>SUM(C32:E32)</f>
        <v>0.0</v>
      </c>
    </row>
    <row r="33">
      <c r="B33" s="48">
        <f>DATE(YEAR(p_today),MONTH(p_today)-7,1)</f>
        <v>46113.0</v>
      </c>
      <c r="C33" s="49">
        <f>SUMIFS(in_total,in_done,1,in_type,"Préventif",in_dnum,"&gt;="&amp;$B33,in_dnum,"&lt;"&amp;DATE(YEAR($B33),MONTH($B33)+1,1))</f>
        <v>0.0</v>
      </c>
      <c r="D33" s="49">
        <f>SUMIFS(in_total,in_done,1,in_type,"Correctif",in_dnum,"&gt;="&amp;$B33,in_dnum,"&lt;"&amp;DATE(YEAR($B33),MONTH($B33)+1,1))</f>
        <v>0.0</v>
      </c>
      <c r="E33" s="49">
        <f>SUMIFS(in_total,in_done,1,in_type,"Amélioratif",in_dnum,"&gt;="&amp;$B33,in_dnum,"&lt;"&amp;DATE(YEAR($B33),MONTH($B33)+1,1))</f>
        <v>0.0</v>
      </c>
      <c r="F33" s="49">
        <f>SUM(C33:E33)</f>
        <v>0.0</v>
      </c>
    </row>
    <row r="34">
      <c r="B34" s="48">
        <f>DATE(YEAR(p_today),MONTH(p_today)-6,1)</f>
        <v>46143.0</v>
      </c>
      <c r="C34" s="49">
        <f>SUMIFS(in_total,in_done,1,in_type,"Préventif",in_dnum,"&gt;="&amp;$B34,in_dnum,"&lt;"&amp;DATE(YEAR($B34),MONTH($B34)+1,1))</f>
        <v>0.0</v>
      </c>
      <c r="D34" s="49">
        <f>SUMIFS(in_total,in_done,1,in_type,"Correctif",in_dnum,"&gt;="&amp;$B34,in_dnum,"&lt;"&amp;DATE(YEAR($B34),MONTH($B34)+1,1))</f>
        <v>0.0</v>
      </c>
      <c r="E34" s="49">
        <f>SUMIFS(in_total,in_done,1,in_type,"Amélioratif",in_dnum,"&gt;="&amp;$B34,in_dnum,"&lt;"&amp;DATE(YEAR($B34),MONTH($B34)+1,1))</f>
        <v>0.0</v>
      </c>
      <c r="F34" s="49">
        <f>SUM(C34:E34)</f>
        <v>0.0</v>
      </c>
    </row>
    <row r="35">
      <c r="B35" s="48">
        <f>DATE(YEAR(p_today),MONTH(p_today)-5,1)</f>
        <v>46174.0</v>
      </c>
      <c r="C35" s="49">
        <f>SUMIFS(in_total,in_done,1,in_type,"Préventif",in_dnum,"&gt;="&amp;$B35,in_dnum,"&lt;"&amp;DATE(YEAR($B35),MONTH($B35)+1,1))</f>
        <v>0.0</v>
      </c>
      <c r="D35" s="49">
        <f>SUMIFS(in_total,in_done,1,in_type,"Correctif",in_dnum,"&gt;="&amp;$B35,in_dnum,"&lt;"&amp;DATE(YEAR($B35),MONTH($B35)+1,1))</f>
        <v>0.0</v>
      </c>
      <c r="E35" s="49">
        <f>SUMIFS(in_total,in_done,1,in_type,"Amélioratif",in_dnum,"&gt;="&amp;$B35,in_dnum,"&lt;"&amp;DATE(YEAR($B35),MONTH($B35)+1,1))</f>
        <v>0.0</v>
      </c>
      <c r="F35" s="49">
        <f>SUM(C35:E35)</f>
        <v>0.0</v>
      </c>
    </row>
    <row r="36">
      <c r="B36" s="48">
        <f>DATE(YEAR(p_today),MONTH(p_today)-4,1)</f>
        <v>46204.0</v>
      </c>
      <c r="C36" s="49">
        <f>SUMIFS(in_total,in_done,1,in_type,"Préventif",in_dnum,"&gt;="&amp;$B36,in_dnum,"&lt;"&amp;DATE(YEAR($B36),MONTH($B36)+1,1))</f>
        <v>0.0</v>
      </c>
      <c r="D36" s="49">
        <f>SUMIFS(in_total,in_done,1,in_type,"Correctif",in_dnum,"&gt;="&amp;$B36,in_dnum,"&lt;"&amp;DATE(YEAR($B36),MONTH($B36)+1,1))</f>
        <v>0.0</v>
      </c>
      <c r="E36" s="49">
        <f>SUMIFS(in_total,in_done,1,in_type,"Amélioratif",in_dnum,"&gt;="&amp;$B36,in_dnum,"&lt;"&amp;DATE(YEAR($B36),MONTH($B36)+1,1))</f>
        <v>0.0</v>
      </c>
      <c r="F36" s="49">
        <f>SUM(C36:E36)</f>
        <v>0.0</v>
      </c>
    </row>
    <row r="37">
      <c r="B37" s="48">
        <f>DATE(YEAR(p_today),MONTH(p_today)-3,1)</f>
        <v>46235.0</v>
      </c>
      <c r="C37" s="49">
        <f>SUMIFS(in_total,in_done,1,in_type,"Préventif",in_dnum,"&gt;="&amp;$B37,in_dnum,"&lt;"&amp;DATE(YEAR($B37),MONTH($B37)+1,1))</f>
        <v>0.0</v>
      </c>
      <c r="D37" s="49">
        <f>SUMIFS(in_total,in_done,1,in_type,"Correctif",in_dnum,"&gt;="&amp;$B37,in_dnum,"&lt;"&amp;DATE(YEAR($B37),MONTH($B37)+1,1))</f>
        <v>0.0</v>
      </c>
      <c r="E37" s="49">
        <f>SUMIFS(in_total,in_done,1,in_type,"Amélioratif",in_dnum,"&gt;="&amp;$B37,in_dnum,"&lt;"&amp;DATE(YEAR($B37),MONTH($B37)+1,1))</f>
        <v>0.0</v>
      </c>
      <c r="F37" s="49">
        <f>SUM(C37:E37)</f>
        <v>0.0</v>
      </c>
    </row>
    <row r="38">
      <c r="B38" s="48">
        <f>DATE(YEAR(p_today),MONTH(p_today)-2,1)</f>
        <v>46266.0</v>
      </c>
      <c r="C38" s="49">
        <f>SUMIFS(in_total,in_done,1,in_type,"Préventif",in_dnum,"&gt;="&amp;$B38,in_dnum,"&lt;"&amp;DATE(YEAR($B38),MONTH($B38)+1,1))</f>
        <v>0.0</v>
      </c>
      <c r="D38" s="49">
        <f>SUMIFS(in_total,in_done,1,in_type,"Correctif",in_dnum,"&gt;="&amp;$B38,in_dnum,"&lt;"&amp;DATE(YEAR($B38),MONTH($B38)+1,1))</f>
        <v>0.0</v>
      </c>
      <c r="E38" s="49">
        <f>SUMIFS(in_total,in_done,1,in_type,"Amélioratif",in_dnum,"&gt;="&amp;$B38,in_dnum,"&lt;"&amp;DATE(YEAR($B38),MONTH($B38)+1,1))</f>
        <v>0.0</v>
      </c>
      <c r="F38" s="49">
        <f>SUM(C38:E38)</f>
        <v>0.0</v>
      </c>
    </row>
    <row r="39">
      <c r="B39" s="48">
        <f>DATE(YEAR(p_today),MONTH(p_today)-1,1)</f>
        <v>46296.0</v>
      </c>
      <c r="C39" s="49">
        <f>SUMIFS(in_total,in_done,1,in_type,"Préventif",in_dnum,"&gt;="&amp;$B39,in_dnum,"&lt;"&amp;DATE(YEAR($B39),MONTH($B39)+1,1))</f>
        <v>0.0</v>
      </c>
      <c r="D39" s="49">
        <f>SUMIFS(in_total,in_done,1,in_type,"Correctif",in_dnum,"&gt;="&amp;$B39,in_dnum,"&lt;"&amp;DATE(YEAR($B39),MONTH($B39)+1,1))</f>
        <v>0.0</v>
      </c>
      <c r="E39" s="49">
        <f>SUMIFS(in_total,in_done,1,in_type,"Amélioratif",in_dnum,"&gt;="&amp;$B39,in_dnum,"&lt;"&amp;DATE(YEAR($B39),MONTH($B39)+1,1))</f>
        <v>0.0</v>
      </c>
      <c r="F39" s="49">
        <f>SUM(C39:E39)</f>
        <v>0.0</v>
      </c>
    </row>
    <row r="40">
      <c r="B40" s="48">
        <f>DATE(YEAR(p_today),MONTH(p_today)-0,1)</f>
        <v>46327.0</v>
      </c>
      <c r="C40" s="49">
        <f>SUMIFS(in_total,in_done,1,in_type,"Préventif",in_dnum,"&gt;="&amp;$B40,in_dnum,"&lt;"&amp;DATE(YEAR($B40),MONTH($B40)+1,1))</f>
        <v>0.0</v>
      </c>
      <c r="D40" s="49">
        <f>SUMIFS(in_total,in_done,1,in_type,"Correctif",in_dnum,"&gt;="&amp;$B40,in_dnum,"&lt;"&amp;DATE(YEAR($B40),MONTH($B40)+1,1))</f>
        <v>0.0</v>
      </c>
      <c r="E40" s="49">
        <f>SUMIFS(in_total,in_done,1,in_type,"Amélioratif",in_dnum,"&gt;="&amp;$B40,in_dnum,"&lt;"&amp;DATE(YEAR($B40),MONTH($B40)+1,1))</f>
        <v>0.0</v>
      </c>
      <c r="F40" s="49">
        <f>SUM(C40:E40)</f>
        <v>0.0</v>
      </c>
    </row>
    <row r="43" ht="22" customHeight="1">
      <c r="B43" s="5" t="inlineStr">
        <is>
          <t>Heures d'intervention par type</t>
        </is>
      </c>
      <c r="C43" s="6" t="n"/>
      <c r="D43" s="6" t="n"/>
      <c r="E43" s="5" t="inlineStr">
        <is>
          <t>Fiabilité de la période</t>
        </is>
      </c>
      <c r="F43" s="6" t="n"/>
      <c r="G43" s="6" t="n"/>
      <c r="H43" s="5" t="inlineStr">
        <is>
          <t>Plans à traiter en priorité (les 12 premiers)</t>
        </is>
      </c>
      <c r="I43" s="6" t="n"/>
      <c r="J43" s="6" t="n"/>
      <c r="K43" s="6" t="n"/>
      <c r="L43" s="6" t="n"/>
      <c r="M43" s="6" t="n"/>
      <c r="N43" s="6" t="n"/>
      <c r="O43" s="6" t="n"/>
      <c r="P43" s="6" t="n"/>
    </row>
    <row r="44" ht="28" customHeight="1">
      <c r="B44" s="43" t="inlineStr">
        <is>
          <t>Type</t>
        </is>
      </c>
      <c r="C44" s="50" t="n"/>
      <c r="D44" s="43" t="inlineStr">
        <is>
          <t>Heures</t>
        </is>
      </c>
      <c r="E44" s="51" t="inlineStr">
        <is>
          <t>MTBF (h)</t>
        </is>
      </c>
      <c r="F44" s="50" t="n"/>
      <c r="G44" s="52" t="str">
        <f>IF(ISNUMBER('Indicateurs'!G11),'Indicateurs'!G11,"")</f>
        <v/>
      </c>
      <c r="H44" s="53" t="inlineStr">
        <is>
          <t>N° plan</t>
        </is>
      </c>
      <c r="I44" s="53" t="inlineStr">
        <is>
          <t>Équipement</t>
        </is>
      </c>
      <c r="J44" s="53" t="inlineStr">
        <is>
          <t>Tâche</t>
        </is>
      </c>
      <c r="K44" s="53" t="n"/>
      <c r="L44" s="53" t="inlineStr">
        <is>
          <t>Crit.</t>
        </is>
      </c>
      <c r="M44" s="53" t="inlineStr">
        <is>
          <t>Échéance</t>
        </is>
      </c>
      <c r="N44" s="53" t="inlineStr">
        <is>
          <t>Jours rest.</t>
        </is>
      </c>
      <c r="O44" s="53" t="inlineStr">
        <is>
          <t>Compteur rest.</t>
        </is>
      </c>
      <c r="P44" s="53" t="inlineStr">
        <is>
          <t>Statut</t>
        </is>
      </c>
    </row>
    <row r="45" ht="24" customHeight="1">
      <c r="B45" s="54" t="inlineStr">
        <is>
          <t>Préventif</t>
        </is>
      </c>
      <c r="C45" s="54" t="n"/>
      <c r="D45" s="55">
        <f>'Indicateurs'!K11</f>
        <v>0.0</v>
      </c>
      <c r="E45" s="51" t="inlineStr">
        <is>
          <t>MTTR (h)</t>
        </is>
      </c>
      <c r="F45" s="50" t="n"/>
      <c r="G45" s="56" t="str">
        <f>IF(ISNUMBER('Indicateurs'!H11),'Indicateurs'!H11,"")</f>
        <v/>
      </c>
      <c r="H45" s="57" t="str">
        <f>IFERROR(INDEX(pl_num,MATCH(1,pl_rank,0))&amp;"","")</f>
        <v/>
      </c>
      <c r="I45" s="57" t="str">
        <f>IFERROR(INDEX(pl_eq,MATCH(1,pl_rank,0))&amp;"","")</f>
        <v/>
      </c>
      <c r="J45" s="58" t="str">
        <f>IFERROR(INDEX(pl_task,MATCH(1,pl_rank,0))&amp;"","")</f>
        <v/>
      </c>
      <c r="K45" s="59" t="n"/>
      <c r="L45" s="59" t="str">
        <f>IFERROR(INDEX(pl_crit,MATCH(1,pl_rank,0))&amp;"","")</f>
        <v/>
      </c>
      <c r="M45" s="60" t="str">
        <f>IFERROR(IF(ISNUMBER(INDEX(pl_due,MATCH(1,pl_rank,0))),INDEX(pl_due,MATCH(1,pl_rank,0)),""),"")</f>
        <v/>
      </c>
      <c r="N45" s="61" t="str">
        <f>IFERROR(IF(ISNUMBER(INDEX(pl_left,MATCH(1,pl_rank,0))),INDEX(pl_left,MATCH(1,pl_rank,0)),""),"")</f>
        <v/>
      </c>
      <c r="O45" s="62" t="str">
        <f>IFERROR(IF(ISNUMBER(INDEX(pl_cleft,MATCH(1,pl_rank,0))),INDEX(pl_cleft,MATCH(1,pl_rank,0)),""),"")</f>
        <v/>
      </c>
      <c r="P45" s="59" t="str">
        <f>IFERROR(INDEX(pl_status,MATCH(1,pl_rank,0))&amp;"","")</f>
        <v/>
      </c>
    </row>
    <row r="46" ht="24" customHeight="1">
      <c r="B46" s="54" t="inlineStr">
        <is>
          <t>Correctif</t>
        </is>
      </c>
      <c r="C46" s="54" t="n"/>
      <c r="D46" s="55">
        <f>'Indicateurs'!L11</f>
        <v>0.0</v>
      </c>
      <c r="E46" s="51" t="inlineStr">
        <is>
          <t>Arrêt moyen par panne (h)</t>
        </is>
      </c>
      <c r="F46" s="50" t="n"/>
      <c r="G46" s="56" t="str">
        <f>IF(ISNUMBER('Indicateurs'!I11),'Indicateurs'!I11,"")</f>
        <v/>
      </c>
      <c r="H46" s="57" t="str">
        <f>IFERROR(INDEX(pl_num,MATCH(2,pl_rank,0))&amp;"","")</f>
        <v/>
      </c>
      <c r="I46" s="57" t="str">
        <f>IFERROR(INDEX(pl_eq,MATCH(2,pl_rank,0))&amp;"","")</f>
        <v/>
      </c>
      <c r="J46" s="58" t="str">
        <f>IFERROR(INDEX(pl_task,MATCH(2,pl_rank,0))&amp;"","")</f>
        <v/>
      </c>
      <c r="K46" s="59" t="n"/>
      <c r="L46" s="59" t="str">
        <f>IFERROR(INDEX(pl_crit,MATCH(2,pl_rank,0))&amp;"","")</f>
        <v/>
      </c>
      <c r="M46" s="60" t="str">
        <f>IFERROR(IF(ISNUMBER(INDEX(pl_due,MATCH(2,pl_rank,0))),INDEX(pl_due,MATCH(2,pl_rank,0)),""),"")</f>
        <v/>
      </c>
      <c r="N46" s="61" t="str">
        <f>IFERROR(IF(ISNUMBER(INDEX(pl_left,MATCH(2,pl_rank,0))),INDEX(pl_left,MATCH(2,pl_rank,0)),""),"")</f>
        <v/>
      </c>
      <c r="O46" s="62" t="str">
        <f>IFERROR(IF(ISNUMBER(INDEX(pl_cleft,MATCH(2,pl_rank,0))),INDEX(pl_cleft,MATCH(2,pl_rank,0)),""),"")</f>
        <v/>
      </c>
      <c r="P46" s="59" t="str">
        <f>IFERROR(INDEX(pl_status,MATCH(2,pl_rank,0))&amp;"","")</f>
        <v/>
      </c>
    </row>
    <row r="47" ht="24" customHeight="1">
      <c r="B47" s="54" t="inlineStr">
        <is>
          <t>Amélioratif</t>
        </is>
      </c>
      <c r="C47" s="54" t="n"/>
      <c r="D47" s="55">
        <f>'Indicateurs'!M11</f>
        <v>0.0</v>
      </c>
      <c r="E47" s="51" t="inlineStr">
        <is>
          <t>Pannes</t>
        </is>
      </c>
      <c r="F47" s="50" t="n"/>
      <c r="G47" s="63">
        <f>IF(ISNUMBER('Indicateurs'!F11),'Indicateurs'!F11,"")</f>
        <v>0.0</v>
      </c>
      <c r="H47" s="57" t="str">
        <f>IFERROR(INDEX(pl_num,MATCH(3,pl_rank,0))&amp;"","")</f>
        <v/>
      </c>
      <c r="I47" s="57" t="str">
        <f>IFERROR(INDEX(pl_eq,MATCH(3,pl_rank,0))&amp;"","")</f>
        <v/>
      </c>
      <c r="J47" s="58" t="str">
        <f>IFERROR(INDEX(pl_task,MATCH(3,pl_rank,0))&amp;"","")</f>
        <v/>
      </c>
      <c r="K47" s="59" t="n"/>
      <c r="L47" s="59" t="str">
        <f>IFERROR(INDEX(pl_crit,MATCH(3,pl_rank,0))&amp;"","")</f>
        <v/>
      </c>
      <c r="M47" s="60" t="str">
        <f>IFERROR(IF(ISNUMBER(INDEX(pl_due,MATCH(3,pl_rank,0))),INDEX(pl_due,MATCH(3,pl_rank,0)),""),"")</f>
        <v/>
      </c>
      <c r="N47" s="61" t="str">
        <f>IFERROR(IF(ISNUMBER(INDEX(pl_left,MATCH(3,pl_rank,0))),INDEX(pl_left,MATCH(3,pl_rank,0)),""),"")</f>
        <v/>
      </c>
      <c r="O47" s="62" t="str">
        <f>IFERROR(IF(ISNUMBER(INDEX(pl_cleft,MATCH(3,pl_rank,0))),INDEX(pl_cleft,MATCH(3,pl_rank,0)),""),"")</f>
        <v/>
      </c>
      <c r="P47" s="59" t="str">
        <f>IFERROR(INDEX(pl_status,MATCH(3,pl_rank,0))&amp;"","")</f>
        <v/>
      </c>
    </row>
    <row r="48" ht="24" customHeight="1">
      <c r="E48" s="51" t="inlineStr">
        <is>
          <t>Heures d'arrêt</t>
        </is>
      </c>
      <c r="F48" s="50" t="n"/>
      <c r="G48" s="64">
        <f>IF(ISNUMBER('Indicateurs'!E11),'Indicateurs'!E11,"")</f>
        <v>0.0</v>
      </c>
      <c r="H48" s="57" t="str">
        <f>IFERROR(INDEX(pl_num,MATCH(4,pl_rank,0))&amp;"","")</f>
        <v/>
      </c>
      <c r="I48" s="57" t="str">
        <f>IFERROR(INDEX(pl_eq,MATCH(4,pl_rank,0))&amp;"","")</f>
        <v/>
      </c>
      <c r="J48" s="58" t="str">
        <f>IFERROR(INDEX(pl_task,MATCH(4,pl_rank,0))&amp;"","")</f>
        <v/>
      </c>
      <c r="K48" s="59" t="n"/>
      <c r="L48" s="59" t="str">
        <f>IFERROR(INDEX(pl_crit,MATCH(4,pl_rank,0))&amp;"","")</f>
        <v/>
      </c>
      <c r="M48" s="60" t="str">
        <f>IFERROR(IF(ISNUMBER(INDEX(pl_due,MATCH(4,pl_rank,0))),INDEX(pl_due,MATCH(4,pl_rank,0)),""),"")</f>
        <v/>
      </c>
      <c r="N48" s="61" t="str">
        <f>IFERROR(IF(ISNUMBER(INDEX(pl_left,MATCH(4,pl_rank,0))),INDEX(pl_left,MATCH(4,pl_rank,0)),""),"")</f>
        <v/>
      </c>
      <c r="O48" s="62" t="str">
        <f>IFERROR(IF(ISNUMBER(INDEX(pl_cleft,MATCH(4,pl_rank,0))),INDEX(pl_cleft,MATCH(4,pl_rank,0)),""),"")</f>
        <v/>
      </c>
      <c r="P48" s="59" t="str">
        <f>IFERROR(INDEX(pl_status,MATCH(4,pl_rank,0))&amp;"","")</f>
        <v/>
      </c>
    </row>
    <row r="49" ht="24" customHeight="1">
      <c r="E49" s="51" t="inlineStr">
        <is>
          <t>Interventions ouvertes</t>
        </is>
      </c>
      <c r="F49" s="50" t="n"/>
      <c r="G49" s="63">
        <f>COUNTIF(in_status,"En cours")+COUNTIF(in_status,"À faire")</f>
        <v>0.0</v>
      </c>
      <c r="H49" s="57" t="str">
        <f>IFERROR(INDEX(pl_num,MATCH(5,pl_rank,0))&amp;"","")</f>
        <v/>
      </c>
      <c r="I49" s="57" t="str">
        <f>IFERROR(INDEX(pl_eq,MATCH(5,pl_rank,0))&amp;"","")</f>
        <v/>
      </c>
      <c r="J49" s="58" t="str">
        <f>IFERROR(INDEX(pl_task,MATCH(5,pl_rank,0))&amp;"","")</f>
        <v/>
      </c>
      <c r="K49" s="59" t="n"/>
      <c r="L49" s="59" t="str">
        <f>IFERROR(INDEX(pl_crit,MATCH(5,pl_rank,0))&amp;"","")</f>
        <v/>
      </c>
      <c r="M49" s="60" t="str">
        <f>IFERROR(IF(ISNUMBER(INDEX(pl_due,MATCH(5,pl_rank,0))),INDEX(pl_due,MATCH(5,pl_rank,0)),""),"")</f>
        <v/>
      </c>
      <c r="N49" s="61" t="str">
        <f>IFERROR(IF(ISNUMBER(INDEX(pl_left,MATCH(5,pl_rank,0))),INDEX(pl_left,MATCH(5,pl_rank,0)),""),"")</f>
        <v/>
      </c>
      <c r="O49" s="62" t="str">
        <f>IFERROR(IF(ISNUMBER(INDEX(pl_cleft,MATCH(5,pl_rank,0))),INDEX(pl_cleft,MATCH(5,pl_rank,0)),""),"")</f>
        <v/>
      </c>
      <c r="P49" s="59" t="str">
        <f>IFERROR(INDEX(pl_status,MATCH(5,pl_rank,0))&amp;"","")</f>
        <v/>
      </c>
    </row>
    <row r="50" ht="24" customHeight="1">
      <c r="H50" s="57" t="str">
        <f>IFERROR(INDEX(pl_num,MATCH(6,pl_rank,0))&amp;"","")</f>
        <v/>
      </c>
      <c r="I50" s="57" t="str">
        <f>IFERROR(INDEX(pl_eq,MATCH(6,pl_rank,0))&amp;"","")</f>
        <v/>
      </c>
      <c r="J50" s="58" t="str">
        <f>IFERROR(INDEX(pl_task,MATCH(6,pl_rank,0))&amp;"","")</f>
        <v/>
      </c>
      <c r="K50" s="59" t="n"/>
      <c r="L50" s="59" t="str">
        <f>IFERROR(INDEX(pl_crit,MATCH(6,pl_rank,0))&amp;"","")</f>
        <v/>
      </c>
      <c r="M50" s="60" t="str">
        <f>IFERROR(IF(ISNUMBER(INDEX(pl_due,MATCH(6,pl_rank,0))),INDEX(pl_due,MATCH(6,pl_rank,0)),""),"")</f>
        <v/>
      </c>
      <c r="N50" s="61" t="str">
        <f>IFERROR(IF(ISNUMBER(INDEX(pl_left,MATCH(6,pl_rank,0))),INDEX(pl_left,MATCH(6,pl_rank,0)),""),"")</f>
        <v/>
      </c>
      <c r="O50" s="62" t="str">
        <f>IFERROR(IF(ISNUMBER(INDEX(pl_cleft,MATCH(6,pl_rank,0))),INDEX(pl_cleft,MATCH(6,pl_rank,0)),""),"")</f>
        <v/>
      </c>
      <c r="P50" s="59" t="str">
        <f>IFERROR(INDEX(pl_status,MATCH(6,pl_rank,0))&amp;"","")</f>
        <v/>
      </c>
    </row>
    <row r="51" ht="24" customHeight="1">
      <c r="H51" s="57" t="str">
        <f>IFERROR(INDEX(pl_num,MATCH(7,pl_rank,0))&amp;"","")</f>
        <v/>
      </c>
      <c r="I51" s="57" t="str">
        <f>IFERROR(INDEX(pl_eq,MATCH(7,pl_rank,0))&amp;"","")</f>
        <v/>
      </c>
      <c r="J51" s="58" t="str">
        <f>IFERROR(INDEX(pl_task,MATCH(7,pl_rank,0))&amp;"","")</f>
        <v/>
      </c>
      <c r="K51" s="59" t="n"/>
      <c r="L51" s="59" t="str">
        <f>IFERROR(INDEX(pl_crit,MATCH(7,pl_rank,0))&amp;"","")</f>
        <v/>
      </c>
      <c r="M51" s="60" t="str">
        <f>IFERROR(IF(ISNUMBER(INDEX(pl_due,MATCH(7,pl_rank,0))),INDEX(pl_due,MATCH(7,pl_rank,0)),""),"")</f>
        <v/>
      </c>
      <c r="N51" s="61" t="str">
        <f>IFERROR(IF(ISNUMBER(INDEX(pl_left,MATCH(7,pl_rank,0))),INDEX(pl_left,MATCH(7,pl_rank,0)),""),"")</f>
        <v/>
      </c>
      <c r="O51" s="62" t="str">
        <f>IFERROR(IF(ISNUMBER(INDEX(pl_cleft,MATCH(7,pl_rank,0))),INDEX(pl_cleft,MATCH(7,pl_rank,0)),""),"")</f>
        <v/>
      </c>
      <c r="P51" s="59" t="str">
        <f>IFERROR(INDEX(pl_status,MATCH(7,pl_rank,0))&amp;"","")</f>
        <v/>
      </c>
    </row>
    <row r="52" ht="24" customHeight="1">
      <c r="H52" s="57" t="str">
        <f>IFERROR(INDEX(pl_num,MATCH(8,pl_rank,0))&amp;"","")</f>
        <v/>
      </c>
      <c r="I52" s="57" t="str">
        <f>IFERROR(INDEX(pl_eq,MATCH(8,pl_rank,0))&amp;"","")</f>
        <v/>
      </c>
      <c r="J52" s="58" t="str">
        <f>IFERROR(INDEX(pl_task,MATCH(8,pl_rank,0))&amp;"","")</f>
        <v/>
      </c>
      <c r="K52" s="59" t="n"/>
      <c r="L52" s="59" t="str">
        <f>IFERROR(INDEX(pl_crit,MATCH(8,pl_rank,0))&amp;"","")</f>
        <v/>
      </c>
      <c r="M52" s="60" t="str">
        <f>IFERROR(IF(ISNUMBER(INDEX(pl_due,MATCH(8,pl_rank,0))),INDEX(pl_due,MATCH(8,pl_rank,0)),""),"")</f>
        <v/>
      </c>
      <c r="N52" s="61" t="str">
        <f>IFERROR(IF(ISNUMBER(INDEX(pl_left,MATCH(8,pl_rank,0))),INDEX(pl_left,MATCH(8,pl_rank,0)),""),"")</f>
        <v/>
      </c>
      <c r="O52" s="62" t="str">
        <f>IFERROR(IF(ISNUMBER(INDEX(pl_cleft,MATCH(8,pl_rank,0))),INDEX(pl_cleft,MATCH(8,pl_rank,0)),""),"")</f>
        <v/>
      </c>
      <c r="P52" s="59" t="str">
        <f>IFERROR(INDEX(pl_status,MATCH(8,pl_rank,0))&amp;"","")</f>
        <v/>
      </c>
    </row>
    <row r="53" ht="24" customHeight="1">
      <c r="H53" s="57" t="str">
        <f>IFERROR(INDEX(pl_num,MATCH(9,pl_rank,0))&amp;"","")</f>
        <v/>
      </c>
      <c r="I53" s="57" t="str">
        <f>IFERROR(INDEX(pl_eq,MATCH(9,pl_rank,0))&amp;"","")</f>
        <v/>
      </c>
      <c r="J53" s="58" t="str">
        <f>IFERROR(INDEX(pl_task,MATCH(9,pl_rank,0))&amp;"","")</f>
        <v/>
      </c>
      <c r="K53" s="59" t="n"/>
      <c r="L53" s="59" t="str">
        <f>IFERROR(INDEX(pl_crit,MATCH(9,pl_rank,0))&amp;"","")</f>
        <v/>
      </c>
      <c r="M53" s="60" t="str">
        <f>IFERROR(IF(ISNUMBER(INDEX(pl_due,MATCH(9,pl_rank,0))),INDEX(pl_due,MATCH(9,pl_rank,0)),""),"")</f>
        <v/>
      </c>
      <c r="N53" s="61" t="str">
        <f>IFERROR(IF(ISNUMBER(INDEX(pl_left,MATCH(9,pl_rank,0))),INDEX(pl_left,MATCH(9,pl_rank,0)),""),"")</f>
        <v/>
      </c>
      <c r="O53" s="62" t="str">
        <f>IFERROR(IF(ISNUMBER(INDEX(pl_cleft,MATCH(9,pl_rank,0))),INDEX(pl_cleft,MATCH(9,pl_rank,0)),""),"")</f>
        <v/>
      </c>
      <c r="P53" s="59" t="str">
        <f>IFERROR(INDEX(pl_status,MATCH(9,pl_rank,0))&amp;"","")</f>
        <v/>
      </c>
    </row>
    <row r="54" ht="24" customHeight="1">
      <c r="H54" s="57" t="str">
        <f>IFERROR(INDEX(pl_num,MATCH(10,pl_rank,0))&amp;"","")</f>
        <v/>
      </c>
      <c r="I54" s="57" t="str">
        <f>IFERROR(INDEX(pl_eq,MATCH(10,pl_rank,0))&amp;"","")</f>
        <v/>
      </c>
      <c r="J54" s="58" t="str">
        <f>IFERROR(INDEX(pl_task,MATCH(10,pl_rank,0))&amp;"","")</f>
        <v/>
      </c>
      <c r="K54" s="59" t="n"/>
      <c r="L54" s="59" t="str">
        <f>IFERROR(INDEX(pl_crit,MATCH(10,pl_rank,0))&amp;"","")</f>
        <v/>
      </c>
      <c r="M54" s="60" t="str">
        <f>IFERROR(IF(ISNUMBER(INDEX(pl_due,MATCH(10,pl_rank,0))),INDEX(pl_due,MATCH(10,pl_rank,0)),""),"")</f>
        <v/>
      </c>
      <c r="N54" s="61" t="str">
        <f>IFERROR(IF(ISNUMBER(INDEX(pl_left,MATCH(10,pl_rank,0))),INDEX(pl_left,MATCH(10,pl_rank,0)),""),"")</f>
        <v/>
      </c>
      <c r="O54" s="62" t="str">
        <f>IFERROR(IF(ISNUMBER(INDEX(pl_cleft,MATCH(10,pl_rank,0))),INDEX(pl_cleft,MATCH(10,pl_rank,0)),""),"")</f>
        <v/>
      </c>
      <c r="P54" s="59" t="str">
        <f>IFERROR(INDEX(pl_status,MATCH(10,pl_rank,0))&amp;"","")</f>
        <v/>
      </c>
    </row>
    <row r="55" ht="24" customHeight="1">
      <c r="H55" s="57" t="str">
        <f>IFERROR(INDEX(pl_num,MATCH(11,pl_rank,0))&amp;"","")</f>
        <v/>
      </c>
      <c r="I55" s="57" t="str">
        <f>IFERROR(INDEX(pl_eq,MATCH(11,pl_rank,0))&amp;"","")</f>
        <v/>
      </c>
      <c r="J55" s="58" t="str">
        <f>IFERROR(INDEX(pl_task,MATCH(11,pl_rank,0))&amp;"","")</f>
        <v/>
      </c>
      <c r="K55" s="59" t="n"/>
      <c r="L55" s="59" t="str">
        <f>IFERROR(INDEX(pl_crit,MATCH(11,pl_rank,0))&amp;"","")</f>
        <v/>
      </c>
      <c r="M55" s="60" t="str">
        <f>IFERROR(IF(ISNUMBER(INDEX(pl_due,MATCH(11,pl_rank,0))),INDEX(pl_due,MATCH(11,pl_rank,0)),""),"")</f>
        <v/>
      </c>
      <c r="N55" s="61" t="str">
        <f>IFERROR(IF(ISNUMBER(INDEX(pl_left,MATCH(11,pl_rank,0))),INDEX(pl_left,MATCH(11,pl_rank,0)),""),"")</f>
        <v/>
      </c>
      <c r="O55" s="62" t="str">
        <f>IFERROR(IF(ISNUMBER(INDEX(pl_cleft,MATCH(11,pl_rank,0))),INDEX(pl_cleft,MATCH(11,pl_rank,0)),""),"")</f>
        <v/>
      </c>
      <c r="P55" s="59" t="str">
        <f>IFERROR(INDEX(pl_status,MATCH(11,pl_rank,0))&amp;"","")</f>
        <v/>
      </c>
    </row>
    <row r="56" ht="24" customHeight="1">
      <c r="H56" s="57" t="str">
        <f>IFERROR(INDEX(pl_num,MATCH(12,pl_rank,0))&amp;"","")</f>
        <v/>
      </c>
      <c r="I56" s="57" t="str">
        <f>IFERROR(INDEX(pl_eq,MATCH(12,pl_rank,0))&amp;"","")</f>
        <v/>
      </c>
      <c r="J56" s="58" t="str">
        <f>IFERROR(INDEX(pl_task,MATCH(12,pl_rank,0))&amp;"","")</f>
        <v/>
      </c>
      <c r="K56" s="59" t="n"/>
      <c r="L56" s="59" t="str">
        <f>IFERROR(INDEX(pl_crit,MATCH(12,pl_rank,0))&amp;"","")</f>
        <v/>
      </c>
      <c r="M56" s="60" t="str">
        <f>IFERROR(IF(ISNUMBER(INDEX(pl_due,MATCH(12,pl_rank,0))),INDEX(pl_due,MATCH(12,pl_rank,0)),""),"")</f>
        <v/>
      </c>
      <c r="N56" s="61" t="str">
        <f>IFERROR(IF(ISNUMBER(INDEX(pl_left,MATCH(12,pl_rank,0))),INDEX(pl_left,MATCH(12,pl_rank,0)),""),"")</f>
        <v/>
      </c>
      <c r="O56" s="62" t="str">
        <f>IFERROR(IF(ISNUMBER(INDEX(pl_cleft,MATCH(12,pl_rank,0))),INDEX(pl_cleft,MATCH(12,pl_rank,0)),""),"")</f>
        <v/>
      </c>
      <c r="P56" s="59" t="str">
        <f>IFERROR(INDEX(pl_status,MATCH(12,pl_rank,0))&amp;"","")</f>
        <v/>
      </c>
    </row>
    <row r="57">
      <c r="H57" s="42" t="str">
        <f>IF(COUNT(pl_rank)=0,"Aucun plan en retard ni bientôt dû.",IF(COUNT(pl_rank)&gt;12,"Et "&amp;(COUNT(pl_rank)-12)&amp;" autre(s) : filtrez la colonne Statut de « Plans préventifs ».",""))</f>
        <v>Aucun plan en retard ni bientôt dû.</v>
      </c>
    </row>
  </sheetData>
  <mergeCells count="41">
    <mergeCell ref="B47:C47"/>
    <mergeCell ref="J44:K44"/>
    <mergeCell ref="B46:C46"/>
    <mergeCell ref="N5:P5"/>
    <mergeCell ref="N1:P1"/>
    <mergeCell ref="E48:F48"/>
    <mergeCell ref="J48:K48"/>
    <mergeCell ref="H7:J7"/>
    <mergeCell ref="E6:G6"/>
    <mergeCell ref="E44:F44"/>
    <mergeCell ref="J53:K53"/>
    <mergeCell ref="M3:O3"/>
    <mergeCell ref="J49:K49"/>
    <mergeCell ref="J45:K45"/>
    <mergeCell ref="J55:K55"/>
    <mergeCell ref="E7:G7"/>
    <mergeCell ref="B6:D6"/>
    <mergeCell ref="N6:P6"/>
    <mergeCell ref="K7:M7"/>
    <mergeCell ref="B44:C44"/>
    <mergeCell ref="B5:D5"/>
    <mergeCell ref="E46:F46"/>
    <mergeCell ref="K6:M6"/>
    <mergeCell ref="J54:K54"/>
    <mergeCell ref="H5:J5"/>
    <mergeCell ref="E49:F49"/>
    <mergeCell ref="E45:F45"/>
    <mergeCell ref="B7:D7"/>
    <mergeCell ref="J47:K47"/>
    <mergeCell ref="H3:I3"/>
    <mergeCell ref="J56:K56"/>
    <mergeCell ref="N7:P7"/>
    <mergeCell ref="J50:K50"/>
    <mergeCell ref="J46:K46"/>
    <mergeCell ref="E5:G5"/>
    <mergeCell ref="K5:M5"/>
    <mergeCell ref="B45:C45"/>
    <mergeCell ref="J51:K51"/>
    <mergeCell ref="J52:K52"/>
    <mergeCell ref="E47:F47"/>
    <mergeCell ref="H6:J6"/>
  </mergeCells>
  <conditionalFormatting sqref="B45:C47">
    <cfRule type="expression" priority="1" dxfId="0">
      <formula>$B45="Préventif"</formula>
    </cfRule>
    <cfRule type="expression" priority="2" dxfId="1">
      <formula>$B45="Correctif"</formula>
    </cfRule>
    <cfRule type="expression" priority="3" dxfId="2">
      <formula>$B45="Amélioratif"</formula>
    </cfRule>
  </conditionalFormatting>
  <conditionalFormatting sqref="P45:P56">
    <cfRule type="expression" priority="4" dxfId="3">
      <formula>$P45="En retard"</formula>
    </cfRule>
    <cfRule type="expression" priority="5" dxfId="4">
      <formula>$P45="Bientôt"</formula>
    </cfRule>
    <cfRule type="expression" priority="6" dxfId="0">
      <formula>$P45="À jour"</formula>
    </cfRule>
    <cfRule type="expression" priority="7" dxfId="5">
      <formula>$P45="Inactif"</formula>
    </cfRule>
    <cfRule type="expression" priority="8" dxfId="2">
      <formula>$P45="À compléter"</formula>
    </cfRule>
  </conditionalFormatting>
  <conditionalFormatting sqref="N45:O56">
    <cfRule type="expression" priority="9" dxfId="3">
      <formula>AND(ISNUMBER(N45),N45&lt;0)</formula>
    </cfRule>
  </conditionalFormatting>
  <conditionalFormatting sqref="N6">
    <cfRule type="expression" priority="10" dxfId="6">
      <formula>p_currency="MAD"</formula>
    </cfRule>
    <cfRule type="expression" priority="23" dxfId="7">
      <formula>p_currency="EUR"</formula>
    </cfRule>
    <cfRule type="expression" priority="36" dxfId="8">
      <formula>p_currency="USD"</formula>
    </cfRule>
  </conditionalFormatting>
  <conditionalFormatting sqref="C29:F29">
    <cfRule type="expression" priority="11" dxfId="6">
      <formula>p_currency="MAD"</formula>
    </cfRule>
    <cfRule type="expression" priority="24" dxfId="7">
      <formula>p_currency="EUR"</formula>
    </cfRule>
    <cfRule type="expression" priority="37" dxfId="8">
      <formula>p_currency="USD"</formula>
    </cfRule>
  </conditionalFormatting>
  <conditionalFormatting sqref="C30:F30">
    <cfRule type="expression" priority="12" dxfId="6">
      <formula>p_currency="MAD"</formula>
    </cfRule>
    <cfRule type="expression" priority="25" dxfId="7">
      <formula>p_currency="EUR"</formula>
    </cfRule>
    <cfRule type="expression" priority="38" dxfId="8">
      <formula>p_currency="USD"</formula>
    </cfRule>
  </conditionalFormatting>
  <conditionalFormatting sqref="C31:F31">
    <cfRule type="expression" priority="13" dxfId="6">
      <formula>p_currency="MAD"</formula>
    </cfRule>
    <cfRule type="expression" priority="26" dxfId="7">
      <formula>p_currency="EUR"</formula>
    </cfRule>
    <cfRule type="expression" priority="39" dxfId="8">
      <formula>p_currency="USD"</formula>
    </cfRule>
  </conditionalFormatting>
  <conditionalFormatting sqref="C32:F32">
    <cfRule type="expression" priority="14" dxfId="6">
      <formula>p_currency="MAD"</formula>
    </cfRule>
    <cfRule type="expression" priority="27" dxfId="7">
      <formula>p_currency="EUR"</formula>
    </cfRule>
    <cfRule type="expression" priority="40" dxfId="8">
      <formula>p_currency="USD"</formula>
    </cfRule>
  </conditionalFormatting>
  <conditionalFormatting sqref="C33:F33">
    <cfRule type="expression" priority="15" dxfId="6">
      <formula>p_currency="MAD"</formula>
    </cfRule>
    <cfRule type="expression" priority="28" dxfId="7">
      <formula>p_currency="EUR"</formula>
    </cfRule>
    <cfRule type="expression" priority="41" dxfId="8">
      <formula>p_currency="USD"</formula>
    </cfRule>
  </conditionalFormatting>
  <conditionalFormatting sqref="C34:F34">
    <cfRule type="expression" priority="16" dxfId="6">
      <formula>p_currency="MAD"</formula>
    </cfRule>
    <cfRule type="expression" priority="29" dxfId="7">
      <formula>p_currency="EUR"</formula>
    </cfRule>
    <cfRule type="expression" priority="42" dxfId="8">
      <formula>p_currency="USD"</formula>
    </cfRule>
  </conditionalFormatting>
  <conditionalFormatting sqref="C35:F35">
    <cfRule type="expression" priority="17" dxfId="6">
      <formula>p_currency="MAD"</formula>
    </cfRule>
    <cfRule type="expression" priority="30" dxfId="7">
      <formula>p_currency="EUR"</formula>
    </cfRule>
    <cfRule type="expression" priority="43" dxfId="8">
      <formula>p_currency="USD"</formula>
    </cfRule>
  </conditionalFormatting>
  <conditionalFormatting sqref="C36:F36">
    <cfRule type="expression" priority="18" dxfId="6">
      <formula>p_currency="MAD"</formula>
    </cfRule>
    <cfRule type="expression" priority="31" dxfId="7">
      <formula>p_currency="EUR"</formula>
    </cfRule>
    <cfRule type="expression" priority="44" dxfId="8">
      <formula>p_currency="USD"</formula>
    </cfRule>
  </conditionalFormatting>
  <conditionalFormatting sqref="C37:F37">
    <cfRule type="expression" priority="19" dxfId="6">
      <formula>p_currency="MAD"</formula>
    </cfRule>
    <cfRule type="expression" priority="32" dxfId="7">
      <formula>p_currency="EUR"</formula>
    </cfRule>
    <cfRule type="expression" priority="45" dxfId="8">
      <formula>p_currency="USD"</formula>
    </cfRule>
  </conditionalFormatting>
  <conditionalFormatting sqref="C38:F38">
    <cfRule type="expression" priority="20" dxfId="6">
      <formula>p_currency="MAD"</formula>
    </cfRule>
    <cfRule type="expression" priority="33" dxfId="7">
      <formula>p_currency="EUR"</formula>
    </cfRule>
    <cfRule type="expression" priority="46" dxfId="8">
      <formula>p_currency="USD"</formula>
    </cfRule>
  </conditionalFormatting>
  <conditionalFormatting sqref="C39:F39">
    <cfRule type="expression" priority="21" dxfId="6">
      <formula>p_currency="MAD"</formula>
    </cfRule>
    <cfRule type="expression" priority="34" dxfId="7">
      <formula>p_currency="EUR"</formula>
    </cfRule>
    <cfRule type="expression" priority="47" dxfId="8">
      <formula>p_currency="USD"</formula>
    </cfRule>
  </conditionalFormatting>
  <conditionalFormatting sqref="C40:F40">
    <cfRule type="expression" priority="22" dxfId="6">
      <formula>p_currency="MAD"</formula>
    </cfRule>
    <cfRule type="expression" priority="35" dxfId="7">
      <formula>p_currency="EUR"</formula>
    </cfRule>
    <cfRule type="expression" priority="48" dxfId="8">
      <formula>p_currency="USD"</formula>
    </cfRule>
  </conditionalFormatting>
  <hyperlinks>
    <hyperlink ref="N1" location="'Mode d''emploi'!A1"/>
  </hyperlink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AB505"/>
  <sheetViews>
    <sheetView showGridLines="0" tabSelected="0" zoomScale="10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4" customWidth="1" min="3" max="3"/>
    <col width="36" customWidth="1" min="4" max="4"/>
    <col width="18" customWidth="1" min="5" max="5"/>
    <col width="9" customWidth="1" min="6" max="6"/>
    <col width="10" customWidth="1" min="7" max="7"/>
    <col width="9" customWidth="1" min="8" max="8"/>
    <col width="17" customWidth="1" min="9" max="9"/>
    <col width="12" customWidth="1" min="10" max="10"/>
    <col width="12" customWidth="1" min="11" max="11"/>
    <col width="7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9" customWidth="1" min="18" max="18"/>
    <col width="11" customWidth="1" min="19" max="19"/>
    <col width="12" customWidth="1" min="20" max="20"/>
    <col width="12" customWidth="1" min="21" max="21"/>
    <col width="30" customWidth="1" min="22" max="22"/>
    <col hidden="1" width="6" customWidth="1" min="23" max="23"/>
    <col hidden="1" width="6" customWidth="1" min="24" max="24"/>
    <col hidden="1" width="6" customWidth="1" min="25" max="25"/>
    <col hidden="1" width="6" customWidth="1" min="26" max="26"/>
    <col hidden="1" width="6" customWidth="1" min="27" max="27"/>
    <col hidden="1" width="6" customWidth="1" min="28" max="28"/>
  </cols>
  <sheetData>
    <row r="1" ht="38" customHeight="1">
      <c r="A1" s="2" t="inlineStr">
        <is>
          <t>Plans préventifs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8" t="inlineStr">
        <is>
          <t>⌂ Mode d'emploi</t>
        </is>
      </c>
    </row>
    <row r="2" ht="22" customHeight="1">
      <c r="A2" s="4" t="inlineStr">
        <is>
          <t>Une ligne par tâche répétitive. La dernière réalisation se met à jour avec le journal des interventions.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</row>
    <row r="3" ht="18" customHeight="1">
      <c r="U3" s="16" t="inlineStr">
        <is>
          <t>Saisie</t>
        </is>
      </c>
      <c r="V3" s="17" t="inlineStr">
        <is>
          <t>Calcul auto</t>
        </is>
      </c>
    </row>
    <row r="5" ht="44" customHeight="1">
      <c r="A5" s="43" t="inlineStr">
        <is>
          <t>N° plan</t>
        </is>
      </c>
      <c r="B5" s="43" t="inlineStr">
        <is>
          <t>Équipement</t>
        </is>
      </c>
      <c r="C5" s="43" t="inlineStr">
        <is>
          <t>Désignation</t>
        </is>
      </c>
      <c r="D5" s="43" t="inlineStr">
        <is>
          <t>Tâche</t>
        </is>
      </c>
      <c r="E5" s="43" t="inlineStr">
        <is>
          <t>Déclenchement</t>
        </is>
      </c>
      <c r="F5" s="43" t="inlineStr">
        <is>
          <t>Tous les (jours)</t>
        </is>
      </c>
      <c r="G5" s="43" t="inlineStr">
        <is>
          <t>Tous les (compteur)</t>
        </is>
      </c>
      <c r="H5" s="43" t="inlineStr">
        <is>
          <t>Durée estimée (h)</t>
        </is>
      </c>
      <c r="I5" s="43" t="inlineStr">
        <is>
          <t>Technicien</t>
        </is>
      </c>
      <c r="J5" s="43" t="inlineStr">
        <is>
          <t>Dernière réalisation (saisie)</t>
        </is>
      </c>
      <c r="K5" s="43" t="inlineStr">
        <is>
          <t>Compteur à cette date (saisie)</t>
        </is>
      </c>
      <c r="L5" s="43" t="inlineStr">
        <is>
          <t>Actif</t>
        </is>
      </c>
      <c r="M5" s="43" t="inlineStr">
        <is>
          <t>Dernière réalisation</t>
        </is>
      </c>
      <c r="N5" s="43" t="inlineStr">
        <is>
          <t>Compteur dernière réalisation</t>
        </is>
      </c>
      <c r="O5" s="43" t="inlineStr">
        <is>
          <t>Prochaine échéance</t>
        </is>
      </c>
      <c r="P5" s="43" t="inlineStr">
        <is>
          <t>Prochain compteur</t>
        </is>
      </c>
      <c r="Q5" s="43" t="inlineStr">
        <is>
          <t>Compteur actuel</t>
        </is>
      </c>
      <c r="R5" s="43" t="inlineStr">
        <is>
          <t>Jours restants</t>
        </is>
      </c>
      <c r="S5" s="43" t="inlineStr">
        <is>
          <t>Compteur restant</t>
        </is>
      </c>
      <c r="T5" s="43" t="inlineStr">
        <is>
          <t>Échéance estimée</t>
        </is>
      </c>
      <c r="U5" s="43" t="inlineStr">
        <is>
          <t>Statut</t>
        </is>
      </c>
      <c r="V5" s="43" t="inlineStr">
        <is>
          <t>Contrôle</t>
        </is>
      </c>
      <c r="W5" s="43" t="inlineStr">
        <is>
          <t>Usage</t>
        </is>
      </c>
      <c r="X5" s="43" t="inlineStr">
        <is>
          <t>Date compteur</t>
        </is>
      </c>
      <c r="Y5" s="43" t="inlineStr">
        <is>
          <t>Période</t>
        </is>
      </c>
      <c r="Z5" s="43" t="inlineStr">
        <is>
          <t>Clé</t>
        </is>
      </c>
      <c r="AA5" s="43" t="inlineStr">
        <is>
          <t>Rang</t>
        </is>
      </c>
      <c r="AB5" s="43" t="inlineStr">
        <is>
          <t>Crit.</t>
        </is>
      </c>
    </row>
    <row r="6">
      <c r="A6" s="65" t="n"/>
      <c r="B6" s="66" t="n"/>
      <c r="C6" s="67" t="str">
        <f>IF(B6="","",IFERROR(INDEX(eq_des,MATCH(B6,eq_code,0))&amp;"","Équipement inconnu"))</f>
        <v/>
      </c>
      <c r="D6" s="66" t="n"/>
      <c r="E6" s="68" t="n"/>
      <c r="F6" s="69" t="n"/>
      <c r="G6" s="70" t="n"/>
      <c r="H6" s="71" t="n"/>
      <c r="I6" s="66" t="n"/>
      <c r="J6" s="72" t="n"/>
      <c r="K6" s="73" t="n"/>
      <c r="L6" s="68" t="n"/>
      <c r="M6" s="74" t="str">
        <f>IF(AND(A6="",B6="",D6=""),"",MAX(N(J6),IF(A6="",0,SUMPRODUCT(MAX((in_plan=A6)*in_prev*in_dnum)))))</f>
        <v/>
      </c>
      <c r="N6" s="75" t="str">
        <f>IF(AND(A6="",B6="",D6=""),"",MAX(N(K6),IF(A6="",0,SUMPRODUCT(MAX((in_plan=A6)*in_prev*in_cnum)))))</f>
        <v/>
      </c>
      <c r="O6" s="76" t="str">
        <f>IF(AND(OR(E6="Calendrier",E6="Au premier des deux"),N(F6)&gt;0,IF(N(M6)&gt;0,M6,IFERROR(N(INDEX(eq_start,MATCH(B6,eq_code,0))),0))&gt;0),IF(N(M6)&gt;0,M6,IFERROR(N(INDEX(eq_start,MATCH(B6,eq_code,0))),0))+F6,"")</f>
        <v/>
      </c>
      <c r="P6" s="75" t="str">
        <f>IF(AND(OR(E6="Compteur",E6="Au premier des deux"),N(G6)&gt;0),N(N6)+G6,"")</f>
        <v/>
      </c>
      <c r="Q6" s="75" t="str">
        <f>IF(B6="","",IFERROR(N(INDEX(eq_cnt,MATCH(B6,eq_code,0))),""))</f>
        <v/>
      </c>
      <c r="R6" s="77" t="str">
        <f>IF(ISNUMBER(O6),O6-p_today,"")</f>
        <v/>
      </c>
      <c r="S6" s="78" t="str">
        <f>IF(AND(ISNUMBER(P6),N(Q6)&gt;0),P6-Q6,"")</f>
        <v/>
      </c>
      <c r="T6" s="76" t="str">
        <f>IF(AND(ISNUMBER(O6),ISNUMBER(X6)),MIN(O6,X6),IF(ISNUMBER(O6),O6,X6))</f>
        <v/>
      </c>
      <c r="U6" s="79" t="str">
        <f>IF(AND(A6="",B6="",D6=""),"",IF(L6="Non","Inactif",IF(AND(NOT(ISNUMBER(R6)),NOT(ISNUMBER(S6))),"À compléter",IF(OR(AND(ISNUMBER(R6),N(R6)&lt;0),AND(ISNUMBER(S6),N(S6)&lt;0)),"En retard",IF(OR(AND(ISNUMBER(R6),N(R6)&lt;=p_soon),AND(ISNUMBER(S6),N(S6)&lt;=p_soon_pct*N(G6))),"Bientôt","À jour")))))</f>
        <v/>
      </c>
      <c r="V6" s="79" t="str">
        <f>IF(AND(A6="",B6="",D6=""),"",IF(A6="","N° de plan manquant",IF(COUNTIF($A$6:$A$505,A6)&gt;1,"N° de plan en double",IF(B6="","Équipement manquant",IF(ISNA(MATCH(B6,eq_code,0)),"Équipement inconnu",IF(D6="","Tâche manquante",IF(E6="","Déclenchement manquant",IF(AND(E6&lt;&gt;"Calendrier",E6&lt;&gt;"Compteur",E6&lt;&gt;"Au premier des deux"),"Déclenchement inconnu",IF(AND(E6&lt;&gt;"Compteur",OR(NOT(ISNUMBER(F6)),N(F6)&lt;=0)),"Périodicité en jours manquante",IF(AND(E6&lt;&gt;"Calendrier",OR(NOT(ISNUMBER(G6)),N(G6)&lt;=0)),"Périodicité compteur manquante",IF(AND(J6&lt;&gt;"",OR(NOT(ISNUMBER(J6)),N(J6)&lt;=0)),"Date de réalisation invalide",IF(AND(K6&lt;&gt;"",OR(NOT(ISNUMBER(K6)),N(K6)&lt;0)),"Compteur de réalisation invalide",IF(AND(E6&lt;&gt;"Compteur",N(M6)=0,IFERROR(N(INDEX(eq_start,MATCH(B6,eq_code,0))),0)=0),"Date de départ manquante",IF(AND(E6&lt;&gt;"Calendrier",K6="",N(N6)=0),"Compteur de départ manquant",IF(AND(E6&lt;&gt;"Calendrier",N(Q6)=0),"Relevé compteur manquant (Équipements)",IF(AND(I6&lt;&gt;"",ISNA(MATCH(I6,tech_name,0))),"Technicien inconnu",IF(AND(L6&lt;&gt;"",L6&lt;&gt;"Oui",L6&lt;&gt;"Non"),"Actif : Oui ou Non","OK")))))))))))))))))</f>
        <v/>
      </c>
      <c r="W6" s="67">
        <f>IFERROR(N(INDEX(eq_use,MATCH(B6,eq_code,0))),0)</f>
        <v>0.0</v>
      </c>
      <c r="X6" s="67" t="str">
        <f>IF(AND(ISNUMBER(S6),W6&gt;0),p_today+MAX(0,ROUNDUP(S6*7/W6,0)),"")</f>
        <v/>
      </c>
      <c r="Y6" s="67" t="str">
        <f>IF(AND(ISNUMBER(T6),OR(U6="En retard",U6="Bientôt",U6="À jour")),IF(AND(ISNUMBER(O6),ISNUMBER(X6)),MIN(F6,G6*7/W6),IF(ISNUMBER(O6),F6,G6*7/W6)),"")</f>
        <v/>
      </c>
      <c r="Z6" s="67" t="str">
        <f>IF(OR(U6="En retard",U6="Bientôt"),IF(U6="En retard",0,1)*1000000000+IF(AB6="A",0,IF(AB6="B",1,IF(AB6="C",2,3)))*100000000+IF(ISNUMBER(T6),T6,p_today)*1000+ROW()-5,"")</f>
        <v/>
      </c>
      <c r="AA6" s="67" t="str">
        <f>IF(Z6="","",COUNTIF($Z$6:$Z$505,"&lt;"&amp;Z6)+1)</f>
        <v/>
      </c>
      <c r="AB6" s="67" t="str">
        <f>IFERROR(INDEX(eq_crit,MATCH(B6,eq_code,0))&amp;"","")</f>
        <v/>
      </c>
    </row>
    <row r="7">
      <c r="A7" s="65" t="n"/>
      <c r="B7" s="66" t="n"/>
      <c r="C7" s="67" t="str">
        <f>IF(B7="","",IFERROR(INDEX(eq_des,MATCH(B7,eq_code,0))&amp;"","Équipement inconnu"))</f>
        <v/>
      </c>
      <c r="D7" s="66" t="n"/>
      <c r="E7" s="68" t="n"/>
      <c r="F7" s="69" t="n"/>
      <c r="G7" s="70" t="n"/>
      <c r="H7" s="71" t="n"/>
      <c r="I7" s="66" t="n"/>
      <c r="J7" s="72" t="n"/>
      <c r="K7" s="73" t="n"/>
      <c r="L7" s="68" t="n"/>
      <c r="M7" s="74" t="str">
        <f>IF(AND(A7="",B7="",D7=""),"",MAX(N(J7),IF(A7="",0,SUMPRODUCT(MAX((in_plan=A7)*in_prev*in_dnum)))))</f>
        <v/>
      </c>
      <c r="N7" s="75" t="str">
        <f>IF(AND(A7="",B7="",D7=""),"",MAX(N(K7),IF(A7="",0,SUMPRODUCT(MAX((in_plan=A7)*in_prev*in_cnum)))))</f>
        <v/>
      </c>
      <c r="O7" s="76" t="str">
        <f>IF(AND(OR(E7="Calendrier",E7="Au premier des deux"),N(F7)&gt;0,IF(N(M7)&gt;0,M7,IFERROR(N(INDEX(eq_start,MATCH(B7,eq_code,0))),0))&gt;0),IF(N(M7)&gt;0,M7,IFERROR(N(INDEX(eq_start,MATCH(B7,eq_code,0))),0))+F7,"")</f>
        <v/>
      </c>
      <c r="P7" s="75" t="str">
        <f>IF(AND(OR(E7="Compteur",E7="Au premier des deux"),N(G7)&gt;0),N(N7)+G7,"")</f>
        <v/>
      </c>
      <c r="Q7" s="75" t="str">
        <f>IF(B7="","",IFERROR(N(INDEX(eq_cnt,MATCH(B7,eq_code,0))),""))</f>
        <v/>
      </c>
      <c r="R7" s="77" t="str">
        <f>IF(ISNUMBER(O7),O7-p_today,"")</f>
        <v/>
      </c>
      <c r="S7" s="78" t="str">
        <f>IF(AND(ISNUMBER(P7),N(Q7)&gt;0),P7-Q7,"")</f>
        <v/>
      </c>
      <c r="T7" s="76" t="str">
        <f>IF(AND(ISNUMBER(O7),ISNUMBER(X7)),MIN(O7,X7),IF(ISNUMBER(O7),O7,X7))</f>
        <v/>
      </c>
      <c r="U7" s="79" t="str">
        <f>IF(AND(A7="",B7="",D7=""),"",IF(L7="Non","Inactif",IF(AND(NOT(ISNUMBER(R7)),NOT(ISNUMBER(S7))),"À compléter",IF(OR(AND(ISNUMBER(R7),N(R7)&lt;0),AND(ISNUMBER(S7),N(S7)&lt;0)),"En retard",IF(OR(AND(ISNUMBER(R7),N(R7)&lt;=p_soon),AND(ISNUMBER(S7),N(S7)&lt;=p_soon_pct*N(G7))),"Bientôt","À jour")))))</f>
        <v/>
      </c>
      <c r="V7" s="79" t="str">
        <f>IF(AND(A7="",B7="",D7=""),"",IF(A7="","N° de plan manquant",IF(COUNTIF($A$6:$A$505,A7)&gt;1,"N° de plan en double",IF(B7="","Équipement manquant",IF(ISNA(MATCH(B7,eq_code,0)),"Équipement inconnu",IF(D7="","Tâche manquante",IF(E7="","Déclenchement manquant",IF(AND(E7&lt;&gt;"Calendrier",E7&lt;&gt;"Compteur",E7&lt;&gt;"Au premier des deux"),"Déclenchement inconnu",IF(AND(E7&lt;&gt;"Compteur",OR(NOT(ISNUMBER(F7)),N(F7)&lt;=0)),"Périodicité en jours manquante",IF(AND(E7&lt;&gt;"Calendrier",OR(NOT(ISNUMBER(G7)),N(G7)&lt;=0)),"Périodicité compteur manquante",IF(AND(J7&lt;&gt;"",OR(NOT(ISNUMBER(J7)),N(J7)&lt;=0)),"Date de réalisation invalide",IF(AND(K7&lt;&gt;"",OR(NOT(ISNUMBER(K7)),N(K7)&lt;0)),"Compteur de réalisation invalide",IF(AND(E7&lt;&gt;"Compteur",N(M7)=0,IFERROR(N(INDEX(eq_start,MATCH(B7,eq_code,0))),0)=0),"Date de départ manquante",IF(AND(E7&lt;&gt;"Calendrier",K7="",N(N7)=0),"Compteur de départ manquant",IF(AND(E7&lt;&gt;"Calendrier",N(Q7)=0),"Relevé compteur manquant (Équipements)",IF(AND(I7&lt;&gt;"",ISNA(MATCH(I7,tech_name,0))),"Technicien inconnu",IF(AND(L7&lt;&gt;"",L7&lt;&gt;"Oui",L7&lt;&gt;"Non"),"Actif : Oui ou Non","OK")))))))))))))))))</f>
        <v/>
      </c>
      <c r="W7" s="67">
        <f>IFERROR(N(INDEX(eq_use,MATCH(B7,eq_code,0))),0)</f>
        <v>0.0</v>
      </c>
      <c r="X7" s="67" t="str">
        <f>IF(AND(ISNUMBER(S7),W7&gt;0),p_today+MAX(0,ROUNDUP(S7*7/W7,0)),"")</f>
        <v/>
      </c>
      <c r="Y7" s="67" t="str">
        <f>IF(AND(ISNUMBER(T7),OR(U7="En retard",U7="Bientôt",U7="À jour")),IF(AND(ISNUMBER(O7),ISNUMBER(X7)),MIN(F7,G7*7/W7),IF(ISNUMBER(O7),F7,G7*7/W7)),"")</f>
        <v/>
      </c>
      <c r="Z7" s="67" t="str">
        <f>IF(OR(U7="En retard",U7="Bientôt"),IF(U7="En retard",0,1)*1000000000+IF(AB7="A",0,IF(AB7="B",1,IF(AB7="C",2,3)))*100000000+IF(ISNUMBER(T7),T7,p_today)*1000+ROW()-5,"")</f>
        <v/>
      </c>
      <c r="AA7" s="67" t="str">
        <f>IF(Z7="","",COUNTIF($Z$6:$Z$505,"&lt;"&amp;Z7)+1)</f>
        <v/>
      </c>
      <c r="AB7" s="67" t="str">
        <f>IFERROR(INDEX(eq_crit,MATCH(B7,eq_code,0))&amp;"","")</f>
        <v/>
      </c>
    </row>
    <row r="8">
      <c r="A8" s="65" t="n"/>
      <c r="B8" s="66" t="n"/>
      <c r="C8" s="67" t="str">
        <f>IF(B8="","",IFERROR(INDEX(eq_des,MATCH(B8,eq_code,0))&amp;"","Équipement inconnu"))</f>
        <v/>
      </c>
      <c r="D8" s="66" t="n"/>
      <c r="E8" s="68" t="n"/>
      <c r="F8" s="69" t="n"/>
      <c r="G8" s="70" t="n"/>
      <c r="H8" s="71" t="n"/>
      <c r="I8" s="66" t="n"/>
      <c r="J8" s="72" t="n"/>
      <c r="K8" s="73" t="n"/>
      <c r="L8" s="68" t="n"/>
      <c r="M8" s="74" t="str">
        <f>IF(AND(A8="",B8="",D8=""),"",MAX(N(J8),IF(A8="",0,SUMPRODUCT(MAX((in_plan=A8)*in_prev*in_dnum)))))</f>
        <v/>
      </c>
      <c r="N8" s="75" t="str">
        <f>IF(AND(A8="",B8="",D8=""),"",MAX(N(K8),IF(A8="",0,SUMPRODUCT(MAX((in_plan=A8)*in_prev*in_cnum)))))</f>
        <v/>
      </c>
      <c r="O8" s="76" t="str">
        <f>IF(AND(OR(E8="Calendrier",E8="Au premier des deux"),N(F8)&gt;0,IF(N(M8)&gt;0,M8,IFERROR(N(INDEX(eq_start,MATCH(B8,eq_code,0))),0))&gt;0),IF(N(M8)&gt;0,M8,IFERROR(N(INDEX(eq_start,MATCH(B8,eq_code,0))),0))+F8,"")</f>
        <v/>
      </c>
      <c r="P8" s="75" t="str">
        <f>IF(AND(OR(E8="Compteur",E8="Au premier des deux"),N(G8)&gt;0),N(N8)+G8,"")</f>
        <v/>
      </c>
      <c r="Q8" s="75" t="str">
        <f>IF(B8="","",IFERROR(N(INDEX(eq_cnt,MATCH(B8,eq_code,0))),""))</f>
        <v/>
      </c>
      <c r="R8" s="77" t="str">
        <f>IF(ISNUMBER(O8),O8-p_today,"")</f>
        <v/>
      </c>
      <c r="S8" s="78" t="str">
        <f>IF(AND(ISNUMBER(P8),N(Q8)&gt;0),P8-Q8,"")</f>
        <v/>
      </c>
      <c r="T8" s="76" t="str">
        <f>IF(AND(ISNUMBER(O8),ISNUMBER(X8)),MIN(O8,X8),IF(ISNUMBER(O8),O8,X8))</f>
        <v/>
      </c>
      <c r="U8" s="79" t="str">
        <f>IF(AND(A8="",B8="",D8=""),"",IF(L8="Non","Inactif",IF(AND(NOT(ISNUMBER(R8)),NOT(ISNUMBER(S8))),"À compléter",IF(OR(AND(ISNUMBER(R8),N(R8)&lt;0),AND(ISNUMBER(S8),N(S8)&lt;0)),"En retard",IF(OR(AND(ISNUMBER(R8),N(R8)&lt;=p_soon),AND(ISNUMBER(S8),N(S8)&lt;=p_soon_pct*N(G8))),"Bientôt","À jour")))))</f>
        <v/>
      </c>
      <c r="V8" s="79" t="str">
        <f>IF(AND(A8="",B8="",D8=""),"",IF(A8="","N° de plan manquant",IF(COUNTIF($A$6:$A$505,A8)&gt;1,"N° de plan en double",IF(B8="","Équipement manquant",IF(ISNA(MATCH(B8,eq_code,0)),"Équipement inconnu",IF(D8="","Tâche manquante",IF(E8="","Déclenchement manquant",IF(AND(E8&lt;&gt;"Calendrier",E8&lt;&gt;"Compteur",E8&lt;&gt;"Au premier des deux"),"Déclenchement inconnu",IF(AND(E8&lt;&gt;"Compteur",OR(NOT(ISNUMBER(F8)),N(F8)&lt;=0)),"Périodicité en jours manquante",IF(AND(E8&lt;&gt;"Calendrier",OR(NOT(ISNUMBER(G8)),N(G8)&lt;=0)),"Périodicité compteur manquante",IF(AND(J8&lt;&gt;"",OR(NOT(ISNUMBER(J8)),N(J8)&lt;=0)),"Date de réalisation invalide",IF(AND(K8&lt;&gt;"",OR(NOT(ISNUMBER(K8)),N(K8)&lt;0)),"Compteur de réalisation invalide",IF(AND(E8&lt;&gt;"Compteur",N(M8)=0,IFERROR(N(INDEX(eq_start,MATCH(B8,eq_code,0))),0)=0),"Date de départ manquante",IF(AND(E8&lt;&gt;"Calendrier",K8="",N(N8)=0),"Compteur de départ manquant",IF(AND(E8&lt;&gt;"Calendrier",N(Q8)=0),"Relevé compteur manquant (Équipements)",IF(AND(I8&lt;&gt;"",ISNA(MATCH(I8,tech_name,0))),"Technicien inconnu",IF(AND(L8&lt;&gt;"",L8&lt;&gt;"Oui",L8&lt;&gt;"Non"),"Actif : Oui ou Non","OK")))))))))))))))))</f>
        <v/>
      </c>
      <c r="W8" s="67">
        <f>IFERROR(N(INDEX(eq_use,MATCH(B8,eq_code,0))),0)</f>
        <v>0.0</v>
      </c>
      <c r="X8" s="67" t="str">
        <f>IF(AND(ISNUMBER(S8),W8&gt;0),p_today+MAX(0,ROUNDUP(S8*7/W8,0)),"")</f>
        <v/>
      </c>
      <c r="Y8" s="67" t="str">
        <f>IF(AND(ISNUMBER(T8),OR(U8="En retard",U8="Bientôt",U8="À jour")),IF(AND(ISNUMBER(O8),ISNUMBER(X8)),MIN(F8,G8*7/W8),IF(ISNUMBER(O8),F8,G8*7/W8)),"")</f>
        <v/>
      </c>
      <c r="Z8" s="67" t="str">
        <f>IF(OR(U8="En retard",U8="Bientôt"),IF(U8="En retard",0,1)*1000000000+IF(AB8="A",0,IF(AB8="B",1,IF(AB8="C",2,3)))*100000000+IF(ISNUMBER(T8),T8,p_today)*1000+ROW()-5,"")</f>
        <v/>
      </c>
      <c r="AA8" s="67" t="str">
        <f>IF(Z8="","",COUNTIF($Z$6:$Z$505,"&lt;"&amp;Z8)+1)</f>
        <v/>
      </c>
      <c r="AB8" s="67" t="str">
        <f>IFERROR(INDEX(eq_crit,MATCH(B8,eq_code,0))&amp;"","")</f>
        <v/>
      </c>
    </row>
    <row r="9">
      <c r="A9" s="65" t="n"/>
      <c r="B9" s="66" t="n"/>
      <c r="C9" s="67" t="str">
        <f>IF(B9="","",IFERROR(INDEX(eq_des,MATCH(B9,eq_code,0))&amp;"","Équipement inconnu"))</f>
        <v/>
      </c>
      <c r="D9" s="66" t="n"/>
      <c r="E9" s="68" t="n"/>
      <c r="F9" s="69" t="n"/>
      <c r="G9" s="70" t="n"/>
      <c r="H9" s="71" t="n"/>
      <c r="I9" s="66" t="n"/>
      <c r="J9" s="72" t="n"/>
      <c r="K9" s="73" t="n"/>
      <c r="L9" s="68" t="n"/>
      <c r="M9" s="74" t="str">
        <f>IF(AND(A9="",B9="",D9=""),"",MAX(N(J9),IF(A9="",0,SUMPRODUCT(MAX((in_plan=A9)*in_prev*in_dnum)))))</f>
        <v/>
      </c>
      <c r="N9" s="75" t="str">
        <f>IF(AND(A9="",B9="",D9=""),"",MAX(N(K9),IF(A9="",0,SUMPRODUCT(MAX((in_plan=A9)*in_prev*in_cnum)))))</f>
        <v/>
      </c>
      <c r="O9" s="76" t="str">
        <f>IF(AND(OR(E9="Calendrier",E9="Au premier des deux"),N(F9)&gt;0,IF(N(M9)&gt;0,M9,IFERROR(N(INDEX(eq_start,MATCH(B9,eq_code,0))),0))&gt;0),IF(N(M9)&gt;0,M9,IFERROR(N(INDEX(eq_start,MATCH(B9,eq_code,0))),0))+F9,"")</f>
        <v/>
      </c>
      <c r="P9" s="75" t="str">
        <f>IF(AND(OR(E9="Compteur",E9="Au premier des deux"),N(G9)&gt;0),N(N9)+G9,"")</f>
        <v/>
      </c>
      <c r="Q9" s="75" t="str">
        <f>IF(B9="","",IFERROR(N(INDEX(eq_cnt,MATCH(B9,eq_code,0))),""))</f>
        <v/>
      </c>
      <c r="R9" s="77" t="str">
        <f>IF(ISNUMBER(O9),O9-p_today,"")</f>
        <v/>
      </c>
      <c r="S9" s="78" t="str">
        <f>IF(AND(ISNUMBER(P9),N(Q9)&gt;0),P9-Q9,"")</f>
        <v/>
      </c>
      <c r="T9" s="76" t="str">
        <f>IF(AND(ISNUMBER(O9),ISNUMBER(X9)),MIN(O9,X9),IF(ISNUMBER(O9),O9,X9))</f>
        <v/>
      </c>
      <c r="U9" s="79" t="str">
        <f>IF(AND(A9="",B9="",D9=""),"",IF(L9="Non","Inactif",IF(AND(NOT(ISNUMBER(R9)),NOT(ISNUMBER(S9))),"À compléter",IF(OR(AND(ISNUMBER(R9),N(R9)&lt;0),AND(ISNUMBER(S9),N(S9)&lt;0)),"En retard",IF(OR(AND(ISNUMBER(R9),N(R9)&lt;=p_soon),AND(ISNUMBER(S9),N(S9)&lt;=p_soon_pct*N(G9))),"Bientôt","À jour")))))</f>
        <v/>
      </c>
      <c r="V9" s="79" t="str">
        <f>IF(AND(A9="",B9="",D9=""),"",IF(A9="","N° de plan manquant",IF(COUNTIF($A$6:$A$505,A9)&gt;1,"N° de plan en double",IF(B9="","Équipement manquant",IF(ISNA(MATCH(B9,eq_code,0)),"Équipement inconnu",IF(D9="","Tâche manquante",IF(E9="","Déclenchement manquant",IF(AND(E9&lt;&gt;"Calendrier",E9&lt;&gt;"Compteur",E9&lt;&gt;"Au premier des deux"),"Déclenchement inconnu",IF(AND(E9&lt;&gt;"Compteur",OR(NOT(ISNUMBER(F9)),N(F9)&lt;=0)),"Périodicité en jours manquante",IF(AND(E9&lt;&gt;"Calendrier",OR(NOT(ISNUMBER(G9)),N(G9)&lt;=0)),"Périodicité compteur manquante",IF(AND(J9&lt;&gt;"",OR(NOT(ISNUMBER(J9)),N(J9)&lt;=0)),"Date de réalisation invalide",IF(AND(K9&lt;&gt;"",OR(NOT(ISNUMBER(K9)),N(K9)&lt;0)),"Compteur de réalisation invalide",IF(AND(E9&lt;&gt;"Compteur",N(M9)=0,IFERROR(N(INDEX(eq_start,MATCH(B9,eq_code,0))),0)=0),"Date de départ manquante",IF(AND(E9&lt;&gt;"Calendrier",K9="",N(N9)=0),"Compteur de départ manquant",IF(AND(E9&lt;&gt;"Calendrier",N(Q9)=0),"Relevé compteur manquant (Équipements)",IF(AND(I9&lt;&gt;"",ISNA(MATCH(I9,tech_name,0))),"Technicien inconnu",IF(AND(L9&lt;&gt;"",L9&lt;&gt;"Oui",L9&lt;&gt;"Non"),"Actif : Oui ou Non","OK")))))))))))))))))</f>
        <v/>
      </c>
      <c r="W9" s="67">
        <f>IFERROR(N(INDEX(eq_use,MATCH(B9,eq_code,0))),0)</f>
        <v>0.0</v>
      </c>
      <c r="X9" s="67" t="str">
        <f>IF(AND(ISNUMBER(S9),W9&gt;0),p_today+MAX(0,ROUNDUP(S9*7/W9,0)),"")</f>
        <v/>
      </c>
      <c r="Y9" s="67" t="str">
        <f>IF(AND(ISNUMBER(T9),OR(U9="En retard",U9="Bientôt",U9="À jour")),IF(AND(ISNUMBER(O9),ISNUMBER(X9)),MIN(F9,G9*7/W9),IF(ISNUMBER(O9),F9,G9*7/W9)),"")</f>
        <v/>
      </c>
      <c r="Z9" s="67" t="str">
        <f>IF(OR(U9="En retard",U9="Bientôt"),IF(U9="En retard",0,1)*1000000000+IF(AB9="A",0,IF(AB9="B",1,IF(AB9="C",2,3)))*100000000+IF(ISNUMBER(T9),T9,p_today)*1000+ROW()-5,"")</f>
        <v/>
      </c>
      <c r="AA9" s="67" t="str">
        <f>IF(Z9="","",COUNTIF($Z$6:$Z$505,"&lt;"&amp;Z9)+1)</f>
        <v/>
      </c>
      <c r="AB9" s="67" t="str">
        <f>IFERROR(INDEX(eq_crit,MATCH(B9,eq_code,0))&amp;"","")</f>
        <v/>
      </c>
    </row>
    <row r="10">
      <c r="A10" s="65" t="n"/>
      <c r="B10" s="66" t="n"/>
      <c r="C10" s="67" t="str">
        <f>IF(B10="","",IFERROR(INDEX(eq_des,MATCH(B10,eq_code,0))&amp;"","Équipement inconnu"))</f>
        <v/>
      </c>
      <c r="D10" s="66" t="n"/>
      <c r="E10" s="68" t="n"/>
      <c r="F10" s="69" t="n"/>
      <c r="G10" s="70" t="n"/>
      <c r="H10" s="71" t="n"/>
      <c r="I10" s="66" t="n"/>
      <c r="J10" s="72" t="n"/>
      <c r="K10" s="73" t="n"/>
      <c r="L10" s="68" t="n"/>
      <c r="M10" s="74" t="str">
        <f>IF(AND(A10="",B10="",D10=""),"",MAX(N(J10),IF(A10="",0,SUMPRODUCT(MAX((in_plan=A10)*in_prev*in_dnum)))))</f>
        <v/>
      </c>
      <c r="N10" s="75" t="str">
        <f>IF(AND(A10="",B10="",D10=""),"",MAX(N(K10),IF(A10="",0,SUMPRODUCT(MAX((in_plan=A10)*in_prev*in_cnum)))))</f>
        <v/>
      </c>
      <c r="O10" s="76" t="str">
        <f>IF(AND(OR(E10="Calendrier",E10="Au premier des deux"),N(F10)&gt;0,IF(N(M10)&gt;0,M10,IFERROR(N(INDEX(eq_start,MATCH(B10,eq_code,0))),0))&gt;0),IF(N(M10)&gt;0,M10,IFERROR(N(INDEX(eq_start,MATCH(B10,eq_code,0))),0))+F10,"")</f>
        <v/>
      </c>
      <c r="P10" s="75" t="str">
        <f>IF(AND(OR(E10="Compteur",E10="Au premier des deux"),N(G10)&gt;0),N(N10)+G10,"")</f>
        <v/>
      </c>
      <c r="Q10" s="75" t="str">
        <f>IF(B10="","",IFERROR(N(INDEX(eq_cnt,MATCH(B10,eq_code,0))),""))</f>
        <v/>
      </c>
      <c r="R10" s="77" t="str">
        <f>IF(ISNUMBER(O10),O10-p_today,"")</f>
        <v/>
      </c>
      <c r="S10" s="78" t="str">
        <f>IF(AND(ISNUMBER(P10),N(Q10)&gt;0),P10-Q10,"")</f>
        <v/>
      </c>
      <c r="T10" s="76" t="str">
        <f>IF(AND(ISNUMBER(O10),ISNUMBER(X10)),MIN(O10,X10),IF(ISNUMBER(O10),O10,X10))</f>
        <v/>
      </c>
      <c r="U10" s="79" t="str">
        <f>IF(AND(A10="",B10="",D10=""),"",IF(L10="Non","Inactif",IF(AND(NOT(ISNUMBER(R10)),NOT(ISNUMBER(S10))),"À compléter",IF(OR(AND(ISNUMBER(R10),N(R10)&lt;0),AND(ISNUMBER(S10),N(S10)&lt;0)),"En retard",IF(OR(AND(ISNUMBER(R10),N(R10)&lt;=p_soon),AND(ISNUMBER(S10),N(S10)&lt;=p_soon_pct*N(G10))),"Bientôt","À jour")))))</f>
        <v/>
      </c>
      <c r="V10" s="79" t="str">
        <f>IF(AND(A10="",B10="",D10=""),"",IF(A10="","N° de plan manquant",IF(COUNTIF($A$6:$A$505,A10)&gt;1,"N° de plan en double",IF(B10="","Équipement manquant",IF(ISNA(MATCH(B10,eq_code,0)),"Équipement inconnu",IF(D10="","Tâche manquante",IF(E10="","Déclenchement manquant",IF(AND(E10&lt;&gt;"Calendrier",E10&lt;&gt;"Compteur",E10&lt;&gt;"Au premier des deux"),"Déclenchement inconnu",IF(AND(E10&lt;&gt;"Compteur",OR(NOT(ISNUMBER(F10)),N(F10)&lt;=0)),"Périodicité en jours manquante",IF(AND(E10&lt;&gt;"Calendrier",OR(NOT(ISNUMBER(G10)),N(G10)&lt;=0)),"Périodicité compteur manquante",IF(AND(J10&lt;&gt;"",OR(NOT(ISNUMBER(J10)),N(J10)&lt;=0)),"Date de réalisation invalide",IF(AND(K10&lt;&gt;"",OR(NOT(ISNUMBER(K10)),N(K10)&lt;0)),"Compteur de réalisation invalide",IF(AND(E10&lt;&gt;"Compteur",N(M10)=0,IFERROR(N(INDEX(eq_start,MATCH(B10,eq_code,0))),0)=0),"Date de départ manquante",IF(AND(E10&lt;&gt;"Calendrier",K10="",N(N10)=0),"Compteur de départ manquant",IF(AND(E10&lt;&gt;"Calendrier",N(Q10)=0),"Relevé compteur manquant (Équipements)",IF(AND(I10&lt;&gt;"",ISNA(MATCH(I10,tech_name,0))),"Technicien inconnu",IF(AND(L10&lt;&gt;"",L10&lt;&gt;"Oui",L10&lt;&gt;"Non"),"Actif : Oui ou Non","OK")))))))))))))))))</f>
        <v/>
      </c>
      <c r="W10" s="67">
        <f>IFERROR(N(INDEX(eq_use,MATCH(B10,eq_code,0))),0)</f>
        <v>0.0</v>
      </c>
      <c r="X10" s="67" t="str">
        <f>IF(AND(ISNUMBER(S10),W10&gt;0),p_today+MAX(0,ROUNDUP(S10*7/W10,0)),"")</f>
        <v/>
      </c>
      <c r="Y10" s="67" t="str">
        <f>IF(AND(ISNUMBER(T10),OR(U10="En retard",U10="Bientôt",U10="À jour")),IF(AND(ISNUMBER(O10),ISNUMBER(X10)),MIN(F10,G10*7/W10),IF(ISNUMBER(O10),F10,G10*7/W10)),"")</f>
        <v/>
      </c>
      <c r="Z10" s="67" t="str">
        <f>IF(OR(U10="En retard",U10="Bientôt"),IF(U10="En retard",0,1)*1000000000+IF(AB10="A",0,IF(AB10="B",1,IF(AB10="C",2,3)))*100000000+IF(ISNUMBER(T10),T10,p_today)*1000+ROW()-5,"")</f>
        <v/>
      </c>
      <c r="AA10" s="67" t="str">
        <f>IF(Z10="","",COUNTIF($Z$6:$Z$505,"&lt;"&amp;Z10)+1)</f>
        <v/>
      </c>
      <c r="AB10" s="67" t="str">
        <f>IFERROR(INDEX(eq_crit,MATCH(B10,eq_code,0))&amp;"","")</f>
        <v/>
      </c>
    </row>
    <row r="11">
      <c r="A11" s="65" t="n"/>
      <c r="B11" s="66" t="n"/>
      <c r="C11" s="67" t="str">
        <f>IF(B11="","",IFERROR(INDEX(eq_des,MATCH(B11,eq_code,0))&amp;"","Équipement inconnu"))</f>
        <v/>
      </c>
      <c r="D11" s="66" t="n"/>
      <c r="E11" s="68" t="n"/>
      <c r="F11" s="69" t="n"/>
      <c r="G11" s="70" t="n"/>
      <c r="H11" s="71" t="n"/>
      <c r="I11" s="66" t="n"/>
      <c r="J11" s="72" t="n"/>
      <c r="K11" s="73" t="n"/>
      <c r="L11" s="68" t="n"/>
      <c r="M11" s="74" t="str">
        <f>IF(AND(A11="",B11="",D11=""),"",MAX(N(J11),IF(A11="",0,SUMPRODUCT(MAX((in_plan=A11)*in_prev*in_dnum)))))</f>
        <v/>
      </c>
      <c r="N11" s="75" t="str">
        <f>IF(AND(A11="",B11="",D11=""),"",MAX(N(K11),IF(A11="",0,SUMPRODUCT(MAX((in_plan=A11)*in_prev*in_cnum)))))</f>
        <v/>
      </c>
      <c r="O11" s="76" t="str">
        <f>IF(AND(OR(E11="Calendrier",E11="Au premier des deux"),N(F11)&gt;0,IF(N(M11)&gt;0,M11,IFERROR(N(INDEX(eq_start,MATCH(B11,eq_code,0))),0))&gt;0),IF(N(M11)&gt;0,M11,IFERROR(N(INDEX(eq_start,MATCH(B11,eq_code,0))),0))+F11,"")</f>
        <v/>
      </c>
      <c r="P11" s="75" t="str">
        <f>IF(AND(OR(E11="Compteur",E11="Au premier des deux"),N(G11)&gt;0),N(N11)+G11,"")</f>
        <v/>
      </c>
      <c r="Q11" s="75" t="str">
        <f>IF(B11="","",IFERROR(N(INDEX(eq_cnt,MATCH(B11,eq_code,0))),""))</f>
        <v/>
      </c>
      <c r="R11" s="77" t="str">
        <f>IF(ISNUMBER(O11),O11-p_today,"")</f>
        <v/>
      </c>
      <c r="S11" s="78" t="str">
        <f>IF(AND(ISNUMBER(P11),N(Q11)&gt;0),P11-Q11,"")</f>
        <v/>
      </c>
      <c r="T11" s="76" t="str">
        <f>IF(AND(ISNUMBER(O11),ISNUMBER(X11)),MIN(O11,X11),IF(ISNUMBER(O11),O11,X11))</f>
        <v/>
      </c>
      <c r="U11" s="79" t="str">
        <f>IF(AND(A11="",B11="",D11=""),"",IF(L11="Non","Inactif",IF(AND(NOT(ISNUMBER(R11)),NOT(ISNUMBER(S11))),"À compléter",IF(OR(AND(ISNUMBER(R11),N(R11)&lt;0),AND(ISNUMBER(S11),N(S11)&lt;0)),"En retard",IF(OR(AND(ISNUMBER(R11),N(R11)&lt;=p_soon),AND(ISNUMBER(S11),N(S11)&lt;=p_soon_pct*N(G11))),"Bientôt","À jour")))))</f>
        <v/>
      </c>
      <c r="V11" s="79" t="str">
        <f>IF(AND(A11="",B11="",D11=""),"",IF(A11="","N° de plan manquant",IF(COUNTIF($A$6:$A$505,A11)&gt;1,"N° de plan en double",IF(B11="","Équipement manquant",IF(ISNA(MATCH(B11,eq_code,0)),"Équipement inconnu",IF(D11="","Tâche manquante",IF(E11="","Déclenchement manquant",IF(AND(E11&lt;&gt;"Calendrier",E11&lt;&gt;"Compteur",E11&lt;&gt;"Au premier des deux"),"Déclenchement inconnu",IF(AND(E11&lt;&gt;"Compteur",OR(NOT(ISNUMBER(F11)),N(F11)&lt;=0)),"Périodicité en jours manquante",IF(AND(E11&lt;&gt;"Calendrier",OR(NOT(ISNUMBER(G11)),N(G11)&lt;=0)),"Périodicité compteur manquante",IF(AND(J11&lt;&gt;"",OR(NOT(ISNUMBER(J11)),N(J11)&lt;=0)),"Date de réalisation invalide",IF(AND(K11&lt;&gt;"",OR(NOT(ISNUMBER(K11)),N(K11)&lt;0)),"Compteur de réalisation invalide",IF(AND(E11&lt;&gt;"Compteur",N(M11)=0,IFERROR(N(INDEX(eq_start,MATCH(B11,eq_code,0))),0)=0),"Date de départ manquante",IF(AND(E11&lt;&gt;"Calendrier",K11="",N(N11)=0),"Compteur de départ manquant",IF(AND(E11&lt;&gt;"Calendrier",N(Q11)=0),"Relevé compteur manquant (Équipements)",IF(AND(I11&lt;&gt;"",ISNA(MATCH(I11,tech_name,0))),"Technicien inconnu",IF(AND(L11&lt;&gt;"",L11&lt;&gt;"Oui",L11&lt;&gt;"Non"),"Actif : Oui ou Non","OK")))))))))))))))))</f>
        <v/>
      </c>
      <c r="W11" s="67">
        <f>IFERROR(N(INDEX(eq_use,MATCH(B11,eq_code,0))),0)</f>
        <v>0.0</v>
      </c>
      <c r="X11" s="67" t="str">
        <f>IF(AND(ISNUMBER(S11),W11&gt;0),p_today+MAX(0,ROUNDUP(S11*7/W11,0)),"")</f>
        <v/>
      </c>
      <c r="Y11" s="67" t="str">
        <f>IF(AND(ISNUMBER(T11),OR(U11="En retard",U11="Bientôt",U11="À jour")),IF(AND(ISNUMBER(O11),ISNUMBER(X11)),MIN(F11,G11*7/W11),IF(ISNUMBER(O11),F11,G11*7/W11)),"")</f>
        <v/>
      </c>
      <c r="Z11" s="67" t="str">
        <f>IF(OR(U11="En retard",U11="Bientôt"),IF(U11="En retard",0,1)*1000000000+IF(AB11="A",0,IF(AB11="B",1,IF(AB11="C",2,3)))*100000000+IF(ISNUMBER(T11),T11,p_today)*1000+ROW()-5,"")</f>
        <v/>
      </c>
      <c r="AA11" s="67" t="str">
        <f>IF(Z11="","",COUNTIF($Z$6:$Z$505,"&lt;"&amp;Z11)+1)</f>
        <v/>
      </c>
      <c r="AB11" s="67" t="str">
        <f>IFERROR(INDEX(eq_crit,MATCH(B11,eq_code,0))&amp;"","")</f>
        <v/>
      </c>
    </row>
    <row r="12">
      <c r="A12" s="65" t="n"/>
      <c r="B12" s="66" t="n"/>
      <c r="C12" s="67" t="str">
        <f>IF(B12="","",IFERROR(INDEX(eq_des,MATCH(B12,eq_code,0))&amp;"","Équipement inconnu"))</f>
        <v/>
      </c>
      <c r="D12" s="66" t="n"/>
      <c r="E12" s="68" t="n"/>
      <c r="F12" s="69" t="n"/>
      <c r="G12" s="70" t="n"/>
      <c r="H12" s="71" t="n"/>
      <c r="I12" s="66" t="n"/>
      <c r="J12" s="72" t="n"/>
      <c r="K12" s="73" t="n"/>
      <c r="L12" s="68" t="n"/>
      <c r="M12" s="74" t="str">
        <f>IF(AND(A12="",B12="",D12=""),"",MAX(N(J12),IF(A12="",0,SUMPRODUCT(MAX((in_plan=A12)*in_prev*in_dnum)))))</f>
        <v/>
      </c>
      <c r="N12" s="75" t="str">
        <f>IF(AND(A12="",B12="",D12=""),"",MAX(N(K12),IF(A12="",0,SUMPRODUCT(MAX((in_plan=A12)*in_prev*in_cnum)))))</f>
        <v/>
      </c>
      <c r="O12" s="76" t="str">
        <f>IF(AND(OR(E12="Calendrier",E12="Au premier des deux"),N(F12)&gt;0,IF(N(M12)&gt;0,M12,IFERROR(N(INDEX(eq_start,MATCH(B12,eq_code,0))),0))&gt;0),IF(N(M12)&gt;0,M12,IFERROR(N(INDEX(eq_start,MATCH(B12,eq_code,0))),0))+F12,"")</f>
        <v/>
      </c>
      <c r="P12" s="75" t="str">
        <f>IF(AND(OR(E12="Compteur",E12="Au premier des deux"),N(G12)&gt;0),N(N12)+G12,"")</f>
        <v/>
      </c>
      <c r="Q12" s="75" t="str">
        <f>IF(B12="","",IFERROR(N(INDEX(eq_cnt,MATCH(B12,eq_code,0))),""))</f>
        <v/>
      </c>
      <c r="R12" s="77" t="str">
        <f>IF(ISNUMBER(O12),O12-p_today,"")</f>
        <v/>
      </c>
      <c r="S12" s="78" t="str">
        <f>IF(AND(ISNUMBER(P12),N(Q12)&gt;0),P12-Q12,"")</f>
        <v/>
      </c>
      <c r="T12" s="76" t="str">
        <f>IF(AND(ISNUMBER(O12),ISNUMBER(X12)),MIN(O12,X12),IF(ISNUMBER(O12),O12,X12))</f>
        <v/>
      </c>
      <c r="U12" s="79" t="str">
        <f>IF(AND(A12="",B12="",D12=""),"",IF(L12="Non","Inactif",IF(AND(NOT(ISNUMBER(R12)),NOT(ISNUMBER(S12))),"À compléter",IF(OR(AND(ISNUMBER(R12),N(R12)&lt;0),AND(ISNUMBER(S12),N(S12)&lt;0)),"En retard",IF(OR(AND(ISNUMBER(R12),N(R12)&lt;=p_soon),AND(ISNUMBER(S12),N(S12)&lt;=p_soon_pct*N(G12))),"Bientôt","À jour")))))</f>
        <v/>
      </c>
      <c r="V12" s="79" t="str">
        <f>IF(AND(A12="",B12="",D12=""),"",IF(A12="","N° de plan manquant",IF(COUNTIF($A$6:$A$505,A12)&gt;1,"N° de plan en double",IF(B12="","Équipement manquant",IF(ISNA(MATCH(B12,eq_code,0)),"Équipement inconnu",IF(D12="","Tâche manquante",IF(E12="","Déclenchement manquant",IF(AND(E12&lt;&gt;"Calendrier",E12&lt;&gt;"Compteur",E12&lt;&gt;"Au premier des deux"),"Déclenchement inconnu",IF(AND(E12&lt;&gt;"Compteur",OR(NOT(ISNUMBER(F12)),N(F12)&lt;=0)),"Périodicité en jours manquante",IF(AND(E12&lt;&gt;"Calendrier",OR(NOT(ISNUMBER(G12)),N(G12)&lt;=0)),"Périodicité compteur manquante",IF(AND(J12&lt;&gt;"",OR(NOT(ISNUMBER(J12)),N(J12)&lt;=0)),"Date de réalisation invalide",IF(AND(K12&lt;&gt;"",OR(NOT(ISNUMBER(K12)),N(K12)&lt;0)),"Compteur de réalisation invalide",IF(AND(E12&lt;&gt;"Compteur",N(M12)=0,IFERROR(N(INDEX(eq_start,MATCH(B12,eq_code,0))),0)=0),"Date de départ manquante",IF(AND(E12&lt;&gt;"Calendrier",K12="",N(N12)=0),"Compteur de départ manquant",IF(AND(E12&lt;&gt;"Calendrier",N(Q12)=0),"Relevé compteur manquant (Équipements)",IF(AND(I12&lt;&gt;"",ISNA(MATCH(I12,tech_name,0))),"Technicien inconnu",IF(AND(L12&lt;&gt;"",L12&lt;&gt;"Oui",L12&lt;&gt;"Non"),"Actif : Oui ou Non","OK")))))))))))))))))</f>
        <v/>
      </c>
      <c r="W12" s="67">
        <f>IFERROR(N(INDEX(eq_use,MATCH(B12,eq_code,0))),0)</f>
        <v>0.0</v>
      </c>
      <c r="X12" s="67" t="str">
        <f>IF(AND(ISNUMBER(S12),W12&gt;0),p_today+MAX(0,ROUNDUP(S12*7/W12,0)),"")</f>
        <v/>
      </c>
      <c r="Y12" s="67" t="str">
        <f>IF(AND(ISNUMBER(T12),OR(U12="En retard",U12="Bientôt",U12="À jour")),IF(AND(ISNUMBER(O12),ISNUMBER(X12)),MIN(F12,G12*7/W12),IF(ISNUMBER(O12),F12,G12*7/W12)),"")</f>
        <v/>
      </c>
      <c r="Z12" s="67" t="str">
        <f>IF(OR(U12="En retard",U12="Bientôt"),IF(U12="En retard",0,1)*1000000000+IF(AB12="A",0,IF(AB12="B",1,IF(AB12="C",2,3)))*100000000+IF(ISNUMBER(T12),T12,p_today)*1000+ROW()-5,"")</f>
        <v/>
      </c>
      <c r="AA12" s="67" t="str">
        <f>IF(Z12="","",COUNTIF($Z$6:$Z$505,"&lt;"&amp;Z12)+1)</f>
        <v/>
      </c>
      <c r="AB12" s="67" t="str">
        <f>IFERROR(INDEX(eq_crit,MATCH(B12,eq_code,0))&amp;"","")</f>
        <v/>
      </c>
    </row>
    <row r="13">
      <c r="A13" s="65" t="n"/>
      <c r="B13" s="66" t="n"/>
      <c r="C13" s="67" t="str">
        <f>IF(B13="","",IFERROR(INDEX(eq_des,MATCH(B13,eq_code,0))&amp;"","Équipement inconnu"))</f>
        <v/>
      </c>
      <c r="D13" s="66" t="n"/>
      <c r="E13" s="68" t="n"/>
      <c r="F13" s="69" t="n"/>
      <c r="G13" s="70" t="n"/>
      <c r="H13" s="71" t="n"/>
      <c r="I13" s="66" t="n"/>
      <c r="J13" s="72" t="n"/>
      <c r="K13" s="73" t="n"/>
      <c r="L13" s="68" t="n"/>
      <c r="M13" s="74" t="str">
        <f>IF(AND(A13="",B13="",D13=""),"",MAX(N(J13),IF(A13="",0,SUMPRODUCT(MAX((in_plan=A13)*in_prev*in_dnum)))))</f>
        <v/>
      </c>
      <c r="N13" s="75" t="str">
        <f>IF(AND(A13="",B13="",D13=""),"",MAX(N(K13),IF(A13="",0,SUMPRODUCT(MAX((in_plan=A13)*in_prev*in_cnum)))))</f>
        <v/>
      </c>
      <c r="O13" s="76" t="str">
        <f>IF(AND(OR(E13="Calendrier",E13="Au premier des deux"),N(F13)&gt;0,IF(N(M13)&gt;0,M13,IFERROR(N(INDEX(eq_start,MATCH(B13,eq_code,0))),0))&gt;0),IF(N(M13)&gt;0,M13,IFERROR(N(INDEX(eq_start,MATCH(B13,eq_code,0))),0))+F13,"")</f>
        <v/>
      </c>
      <c r="P13" s="75" t="str">
        <f>IF(AND(OR(E13="Compteur",E13="Au premier des deux"),N(G13)&gt;0),N(N13)+G13,"")</f>
        <v/>
      </c>
      <c r="Q13" s="75" t="str">
        <f>IF(B13="","",IFERROR(N(INDEX(eq_cnt,MATCH(B13,eq_code,0))),""))</f>
        <v/>
      </c>
      <c r="R13" s="77" t="str">
        <f>IF(ISNUMBER(O13),O13-p_today,"")</f>
        <v/>
      </c>
      <c r="S13" s="78" t="str">
        <f>IF(AND(ISNUMBER(P13),N(Q13)&gt;0),P13-Q13,"")</f>
        <v/>
      </c>
      <c r="T13" s="76" t="str">
        <f>IF(AND(ISNUMBER(O13),ISNUMBER(X13)),MIN(O13,X13),IF(ISNUMBER(O13),O13,X13))</f>
        <v/>
      </c>
      <c r="U13" s="79" t="str">
        <f>IF(AND(A13="",B13="",D13=""),"",IF(L13="Non","Inactif",IF(AND(NOT(ISNUMBER(R13)),NOT(ISNUMBER(S13))),"À compléter",IF(OR(AND(ISNUMBER(R13),N(R13)&lt;0),AND(ISNUMBER(S13),N(S13)&lt;0)),"En retard",IF(OR(AND(ISNUMBER(R13),N(R13)&lt;=p_soon),AND(ISNUMBER(S13),N(S13)&lt;=p_soon_pct*N(G13))),"Bientôt","À jour")))))</f>
        <v/>
      </c>
      <c r="V13" s="79" t="str">
        <f>IF(AND(A13="",B13="",D13=""),"",IF(A13="","N° de plan manquant",IF(COUNTIF($A$6:$A$505,A13)&gt;1,"N° de plan en double",IF(B13="","Équipement manquant",IF(ISNA(MATCH(B13,eq_code,0)),"Équipement inconnu",IF(D13="","Tâche manquante",IF(E13="","Déclenchement manquant",IF(AND(E13&lt;&gt;"Calendrier",E13&lt;&gt;"Compteur",E13&lt;&gt;"Au premier des deux"),"Déclenchement inconnu",IF(AND(E13&lt;&gt;"Compteur",OR(NOT(ISNUMBER(F13)),N(F13)&lt;=0)),"Périodicité en jours manquante",IF(AND(E13&lt;&gt;"Calendrier",OR(NOT(ISNUMBER(G13)),N(G13)&lt;=0)),"Périodicité compteur manquante",IF(AND(J13&lt;&gt;"",OR(NOT(ISNUMBER(J13)),N(J13)&lt;=0)),"Date de réalisation invalide",IF(AND(K13&lt;&gt;"",OR(NOT(ISNUMBER(K13)),N(K13)&lt;0)),"Compteur de réalisation invalide",IF(AND(E13&lt;&gt;"Compteur",N(M13)=0,IFERROR(N(INDEX(eq_start,MATCH(B13,eq_code,0))),0)=0),"Date de départ manquante",IF(AND(E13&lt;&gt;"Calendrier",K13="",N(N13)=0),"Compteur de départ manquant",IF(AND(E13&lt;&gt;"Calendrier",N(Q13)=0),"Relevé compteur manquant (Équipements)",IF(AND(I13&lt;&gt;"",ISNA(MATCH(I13,tech_name,0))),"Technicien inconnu",IF(AND(L13&lt;&gt;"",L13&lt;&gt;"Oui",L13&lt;&gt;"Non"),"Actif : Oui ou Non","OK")))))))))))))))))</f>
        <v/>
      </c>
      <c r="W13" s="67">
        <f>IFERROR(N(INDEX(eq_use,MATCH(B13,eq_code,0))),0)</f>
        <v>0.0</v>
      </c>
      <c r="X13" s="67" t="str">
        <f>IF(AND(ISNUMBER(S13),W13&gt;0),p_today+MAX(0,ROUNDUP(S13*7/W13,0)),"")</f>
        <v/>
      </c>
      <c r="Y13" s="67" t="str">
        <f>IF(AND(ISNUMBER(T13),OR(U13="En retard",U13="Bientôt",U13="À jour")),IF(AND(ISNUMBER(O13),ISNUMBER(X13)),MIN(F13,G13*7/W13),IF(ISNUMBER(O13),F13,G13*7/W13)),"")</f>
        <v/>
      </c>
      <c r="Z13" s="67" t="str">
        <f>IF(OR(U13="En retard",U13="Bientôt"),IF(U13="En retard",0,1)*1000000000+IF(AB13="A",0,IF(AB13="B",1,IF(AB13="C",2,3)))*100000000+IF(ISNUMBER(T13),T13,p_today)*1000+ROW()-5,"")</f>
        <v/>
      </c>
      <c r="AA13" s="67" t="str">
        <f>IF(Z13="","",COUNTIF($Z$6:$Z$505,"&lt;"&amp;Z13)+1)</f>
        <v/>
      </c>
      <c r="AB13" s="67" t="str">
        <f>IFERROR(INDEX(eq_crit,MATCH(B13,eq_code,0))&amp;"","")</f>
        <v/>
      </c>
    </row>
    <row r="14">
      <c r="A14" s="65" t="n"/>
      <c r="B14" s="66" t="n"/>
      <c r="C14" s="67" t="str">
        <f>IF(B14="","",IFERROR(INDEX(eq_des,MATCH(B14,eq_code,0))&amp;"","Équipement inconnu"))</f>
        <v/>
      </c>
      <c r="D14" s="66" t="n"/>
      <c r="E14" s="68" t="n"/>
      <c r="F14" s="69" t="n"/>
      <c r="G14" s="70" t="n"/>
      <c r="H14" s="71" t="n"/>
      <c r="I14" s="66" t="n"/>
      <c r="J14" s="72" t="n"/>
      <c r="K14" s="73" t="n"/>
      <c r="L14" s="68" t="n"/>
      <c r="M14" s="74" t="str">
        <f>IF(AND(A14="",B14="",D14=""),"",MAX(N(J14),IF(A14="",0,SUMPRODUCT(MAX((in_plan=A14)*in_prev*in_dnum)))))</f>
        <v/>
      </c>
      <c r="N14" s="75" t="str">
        <f>IF(AND(A14="",B14="",D14=""),"",MAX(N(K14),IF(A14="",0,SUMPRODUCT(MAX((in_plan=A14)*in_prev*in_cnum)))))</f>
        <v/>
      </c>
      <c r="O14" s="76" t="str">
        <f>IF(AND(OR(E14="Calendrier",E14="Au premier des deux"),N(F14)&gt;0,IF(N(M14)&gt;0,M14,IFERROR(N(INDEX(eq_start,MATCH(B14,eq_code,0))),0))&gt;0),IF(N(M14)&gt;0,M14,IFERROR(N(INDEX(eq_start,MATCH(B14,eq_code,0))),0))+F14,"")</f>
        <v/>
      </c>
      <c r="P14" s="75" t="str">
        <f>IF(AND(OR(E14="Compteur",E14="Au premier des deux"),N(G14)&gt;0),N(N14)+G14,"")</f>
        <v/>
      </c>
      <c r="Q14" s="75" t="str">
        <f>IF(B14="","",IFERROR(N(INDEX(eq_cnt,MATCH(B14,eq_code,0))),""))</f>
        <v/>
      </c>
      <c r="R14" s="77" t="str">
        <f>IF(ISNUMBER(O14),O14-p_today,"")</f>
        <v/>
      </c>
      <c r="S14" s="78" t="str">
        <f>IF(AND(ISNUMBER(P14),N(Q14)&gt;0),P14-Q14,"")</f>
        <v/>
      </c>
      <c r="T14" s="76" t="str">
        <f>IF(AND(ISNUMBER(O14),ISNUMBER(X14)),MIN(O14,X14),IF(ISNUMBER(O14),O14,X14))</f>
        <v/>
      </c>
      <c r="U14" s="79" t="str">
        <f>IF(AND(A14="",B14="",D14=""),"",IF(L14="Non","Inactif",IF(AND(NOT(ISNUMBER(R14)),NOT(ISNUMBER(S14))),"À compléter",IF(OR(AND(ISNUMBER(R14),N(R14)&lt;0),AND(ISNUMBER(S14),N(S14)&lt;0)),"En retard",IF(OR(AND(ISNUMBER(R14),N(R14)&lt;=p_soon),AND(ISNUMBER(S14),N(S14)&lt;=p_soon_pct*N(G14))),"Bientôt","À jour")))))</f>
        <v/>
      </c>
      <c r="V14" s="79" t="str">
        <f>IF(AND(A14="",B14="",D14=""),"",IF(A14="","N° de plan manquant",IF(COUNTIF($A$6:$A$505,A14)&gt;1,"N° de plan en double",IF(B14="","Équipement manquant",IF(ISNA(MATCH(B14,eq_code,0)),"Équipement inconnu",IF(D14="","Tâche manquante",IF(E14="","Déclenchement manquant",IF(AND(E14&lt;&gt;"Calendrier",E14&lt;&gt;"Compteur",E14&lt;&gt;"Au premier des deux"),"Déclenchement inconnu",IF(AND(E14&lt;&gt;"Compteur",OR(NOT(ISNUMBER(F14)),N(F14)&lt;=0)),"Périodicité en jours manquante",IF(AND(E14&lt;&gt;"Calendrier",OR(NOT(ISNUMBER(G14)),N(G14)&lt;=0)),"Périodicité compteur manquante",IF(AND(J14&lt;&gt;"",OR(NOT(ISNUMBER(J14)),N(J14)&lt;=0)),"Date de réalisation invalide",IF(AND(K14&lt;&gt;"",OR(NOT(ISNUMBER(K14)),N(K14)&lt;0)),"Compteur de réalisation invalide",IF(AND(E14&lt;&gt;"Compteur",N(M14)=0,IFERROR(N(INDEX(eq_start,MATCH(B14,eq_code,0))),0)=0),"Date de départ manquante",IF(AND(E14&lt;&gt;"Calendrier",K14="",N(N14)=0),"Compteur de départ manquant",IF(AND(E14&lt;&gt;"Calendrier",N(Q14)=0),"Relevé compteur manquant (Équipements)",IF(AND(I14&lt;&gt;"",ISNA(MATCH(I14,tech_name,0))),"Technicien inconnu",IF(AND(L14&lt;&gt;"",L14&lt;&gt;"Oui",L14&lt;&gt;"Non"),"Actif : Oui ou Non","OK")))))))))))))))))</f>
        <v/>
      </c>
      <c r="W14" s="67">
        <f>IFERROR(N(INDEX(eq_use,MATCH(B14,eq_code,0))),0)</f>
        <v>0.0</v>
      </c>
      <c r="X14" s="67" t="str">
        <f>IF(AND(ISNUMBER(S14),W14&gt;0),p_today+MAX(0,ROUNDUP(S14*7/W14,0)),"")</f>
        <v/>
      </c>
      <c r="Y14" s="67" t="str">
        <f>IF(AND(ISNUMBER(T14),OR(U14="En retard",U14="Bientôt",U14="À jour")),IF(AND(ISNUMBER(O14),ISNUMBER(X14)),MIN(F14,G14*7/W14),IF(ISNUMBER(O14),F14,G14*7/W14)),"")</f>
        <v/>
      </c>
      <c r="Z14" s="67" t="str">
        <f>IF(OR(U14="En retard",U14="Bientôt"),IF(U14="En retard",0,1)*1000000000+IF(AB14="A",0,IF(AB14="B",1,IF(AB14="C",2,3)))*100000000+IF(ISNUMBER(T14),T14,p_today)*1000+ROW()-5,"")</f>
        <v/>
      </c>
      <c r="AA14" s="67" t="str">
        <f>IF(Z14="","",COUNTIF($Z$6:$Z$505,"&lt;"&amp;Z14)+1)</f>
        <v/>
      </c>
      <c r="AB14" s="67" t="str">
        <f>IFERROR(INDEX(eq_crit,MATCH(B14,eq_code,0))&amp;"","")</f>
        <v/>
      </c>
    </row>
    <row r="15">
      <c r="A15" s="65" t="n"/>
      <c r="B15" s="66" t="n"/>
      <c r="C15" s="67" t="str">
        <f>IF(B15="","",IFERROR(INDEX(eq_des,MATCH(B15,eq_code,0))&amp;"","Équipement inconnu"))</f>
        <v/>
      </c>
      <c r="D15" s="66" t="n"/>
      <c r="E15" s="68" t="n"/>
      <c r="F15" s="69" t="n"/>
      <c r="G15" s="70" t="n"/>
      <c r="H15" s="71" t="n"/>
      <c r="I15" s="66" t="n"/>
      <c r="J15" s="72" t="n"/>
      <c r="K15" s="73" t="n"/>
      <c r="L15" s="68" t="n"/>
      <c r="M15" s="74" t="str">
        <f>IF(AND(A15="",B15="",D15=""),"",MAX(N(J15),IF(A15="",0,SUMPRODUCT(MAX((in_plan=A15)*in_prev*in_dnum)))))</f>
        <v/>
      </c>
      <c r="N15" s="75" t="str">
        <f>IF(AND(A15="",B15="",D15=""),"",MAX(N(K15),IF(A15="",0,SUMPRODUCT(MAX((in_plan=A15)*in_prev*in_cnum)))))</f>
        <v/>
      </c>
      <c r="O15" s="76" t="str">
        <f>IF(AND(OR(E15="Calendrier",E15="Au premier des deux"),N(F15)&gt;0,IF(N(M15)&gt;0,M15,IFERROR(N(INDEX(eq_start,MATCH(B15,eq_code,0))),0))&gt;0),IF(N(M15)&gt;0,M15,IFERROR(N(INDEX(eq_start,MATCH(B15,eq_code,0))),0))+F15,"")</f>
        <v/>
      </c>
      <c r="P15" s="75" t="str">
        <f>IF(AND(OR(E15="Compteur",E15="Au premier des deux"),N(G15)&gt;0),N(N15)+G15,"")</f>
        <v/>
      </c>
      <c r="Q15" s="75" t="str">
        <f>IF(B15="","",IFERROR(N(INDEX(eq_cnt,MATCH(B15,eq_code,0))),""))</f>
        <v/>
      </c>
      <c r="R15" s="77" t="str">
        <f>IF(ISNUMBER(O15),O15-p_today,"")</f>
        <v/>
      </c>
      <c r="S15" s="78" t="str">
        <f>IF(AND(ISNUMBER(P15),N(Q15)&gt;0),P15-Q15,"")</f>
        <v/>
      </c>
      <c r="T15" s="76" t="str">
        <f>IF(AND(ISNUMBER(O15),ISNUMBER(X15)),MIN(O15,X15),IF(ISNUMBER(O15),O15,X15))</f>
        <v/>
      </c>
      <c r="U15" s="79" t="str">
        <f>IF(AND(A15="",B15="",D15=""),"",IF(L15="Non","Inactif",IF(AND(NOT(ISNUMBER(R15)),NOT(ISNUMBER(S15))),"À compléter",IF(OR(AND(ISNUMBER(R15),N(R15)&lt;0),AND(ISNUMBER(S15),N(S15)&lt;0)),"En retard",IF(OR(AND(ISNUMBER(R15),N(R15)&lt;=p_soon),AND(ISNUMBER(S15),N(S15)&lt;=p_soon_pct*N(G15))),"Bientôt","À jour")))))</f>
        <v/>
      </c>
      <c r="V15" s="79" t="str">
        <f>IF(AND(A15="",B15="",D15=""),"",IF(A15="","N° de plan manquant",IF(COUNTIF($A$6:$A$505,A15)&gt;1,"N° de plan en double",IF(B15="","Équipement manquant",IF(ISNA(MATCH(B15,eq_code,0)),"Équipement inconnu",IF(D15="","Tâche manquante",IF(E15="","Déclenchement manquant",IF(AND(E15&lt;&gt;"Calendrier",E15&lt;&gt;"Compteur",E15&lt;&gt;"Au premier des deux"),"Déclenchement inconnu",IF(AND(E15&lt;&gt;"Compteur",OR(NOT(ISNUMBER(F15)),N(F15)&lt;=0)),"Périodicité en jours manquante",IF(AND(E15&lt;&gt;"Calendrier",OR(NOT(ISNUMBER(G15)),N(G15)&lt;=0)),"Périodicité compteur manquante",IF(AND(J15&lt;&gt;"",OR(NOT(ISNUMBER(J15)),N(J15)&lt;=0)),"Date de réalisation invalide",IF(AND(K15&lt;&gt;"",OR(NOT(ISNUMBER(K15)),N(K15)&lt;0)),"Compteur de réalisation invalide",IF(AND(E15&lt;&gt;"Compteur",N(M15)=0,IFERROR(N(INDEX(eq_start,MATCH(B15,eq_code,0))),0)=0),"Date de départ manquante",IF(AND(E15&lt;&gt;"Calendrier",K15="",N(N15)=0),"Compteur de départ manquant",IF(AND(E15&lt;&gt;"Calendrier",N(Q15)=0),"Relevé compteur manquant (Équipements)",IF(AND(I15&lt;&gt;"",ISNA(MATCH(I15,tech_name,0))),"Technicien inconnu",IF(AND(L15&lt;&gt;"",L15&lt;&gt;"Oui",L15&lt;&gt;"Non"),"Actif : Oui ou Non","OK")))))))))))))))))</f>
        <v/>
      </c>
      <c r="W15" s="67">
        <f>IFERROR(N(INDEX(eq_use,MATCH(B15,eq_code,0))),0)</f>
        <v>0.0</v>
      </c>
      <c r="X15" s="67" t="str">
        <f>IF(AND(ISNUMBER(S15),W15&gt;0),p_today+MAX(0,ROUNDUP(S15*7/W15,0)),"")</f>
        <v/>
      </c>
      <c r="Y15" s="67" t="str">
        <f>IF(AND(ISNUMBER(T15),OR(U15="En retard",U15="Bientôt",U15="À jour")),IF(AND(ISNUMBER(O15),ISNUMBER(X15)),MIN(F15,G15*7/W15),IF(ISNUMBER(O15),F15,G15*7/W15)),"")</f>
        <v/>
      </c>
      <c r="Z15" s="67" t="str">
        <f>IF(OR(U15="En retard",U15="Bientôt"),IF(U15="En retard",0,1)*1000000000+IF(AB15="A",0,IF(AB15="B",1,IF(AB15="C",2,3)))*100000000+IF(ISNUMBER(T15),T15,p_today)*1000+ROW()-5,"")</f>
        <v/>
      </c>
      <c r="AA15" s="67" t="str">
        <f>IF(Z15="","",COUNTIF($Z$6:$Z$505,"&lt;"&amp;Z15)+1)</f>
        <v/>
      </c>
      <c r="AB15" s="67" t="str">
        <f>IFERROR(INDEX(eq_crit,MATCH(B15,eq_code,0))&amp;"","")</f>
        <v/>
      </c>
    </row>
    <row r="16">
      <c r="A16" s="65" t="n"/>
      <c r="B16" s="66" t="n"/>
      <c r="C16" s="67" t="str">
        <f>IF(B16="","",IFERROR(INDEX(eq_des,MATCH(B16,eq_code,0))&amp;"","Équipement inconnu"))</f>
        <v/>
      </c>
      <c r="D16" s="66" t="n"/>
      <c r="E16" s="68" t="n"/>
      <c r="F16" s="69" t="n"/>
      <c r="G16" s="70" t="n"/>
      <c r="H16" s="71" t="n"/>
      <c r="I16" s="66" t="n"/>
      <c r="J16" s="72" t="n"/>
      <c r="K16" s="73" t="n"/>
      <c r="L16" s="68" t="n"/>
      <c r="M16" s="74" t="str">
        <f>IF(AND(A16="",B16="",D16=""),"",MAX(N(J16),IF(A16="",0,SUMPRODUCT(MAX((in_plan=A16)*in_prev*in_dnum)))))</f>
        <v/>
      </c>
      <c r="N16" s="75" t="str">
        <f>IF(AND(A16="",B16="",D16=""),"",MAX(N(K16),IF(A16="",0,SUMPRODUCT(MAX((in_plan=A16)*in_prev*in_cnum)))))</f>
        <v/>
      </c>
      <c r="O16" s="76" t="str">
        <f>IF(AND(OR(E16="Calendrier",E16="Au premier des deux"),N(F16)&gt;0,IF(N(M16)&gt;0,M16,IFERROR(N(INDEX(eq_start,MATCH(B16,eq_code,0))),0))&gt;0),IF(N(M16)&gt;0,M16,IFERROR(N(INDEX(eq_start,MATCH(B16,eq_code,0))),0))+F16,"")</f>
        <v/>
      </c>
      <c r="P16" s="75" t="str">
        <f>IF(AND(OR(E16="Compteur",E16="Au premier des deux"),N(G16)&gt;0),N(N16)+G16,"")</f>
        <v/>
      </c>
      <c r="Q16" s="75" t="str">
        <f>IF(B16="","",IFERROR(N(INDEX(eq_cnt,MATCH(B16,eq_code,0))),""))</f>
        <v/>
      </c>
      <c r="R16" s="77" t="str">
        <f>IF(ISNUMBER(O16),O16-p_today,"")</f>
        <v/>
      </c>
      <c r="S16" s="78" t="str">
        <f>IF(AND(ISNUMBER(P16),N(Q16)&gt;0),P16-Q16,"")</f>
        <v/>
      </c>
      <c r="T16" s="76" t="str">
        <f>IF(AND(ISNUMBER(O16),ISNUMBER(X16)),MIN(O16,X16),IF(ISNUMBER(O16),O16,X16))</f>
        <v/>
      </c>
      <c r="U16" s="79" t="str">
        <f>IF(AND(A16="",B16="",D16=""),"",IF(L16="Non","Inactif",IF(AND(NOT(ISNUMBER(R16)),NOT(ISNUMBER(S16))),"À compléter",IF(OR(AND(ISNUMBER(R16),N(R16)&lt;0),AND(ISNUMBER(S16),N(S16)&lt;0)),"En retard",IF(OR(AND(ISNUMBER(R16),N(R16)&lt;=p_soon),AND(ISNUMBER(S16),N(S16)&lt;=p_soon_pct*N(G16))),"Bientôt","À jour")))))</f>
        <v/>
      </c>
      <c r="V16" s="79" t="str">
        <f>IF(AND(A16="",B16="",D16=""),"",IF(A16="","N° de plan manquant",IF(COUNTIF($A$6:$A$505,A16)&gt;1,"N° de plan en double",IF(B16="","Équipement manquant",IF(ISNA(MATCH(B16,eq_code,0)),"Équipement inconnu",IF(D16="","Tâche manquante",IF(E16="","Déclenchement manquant",IF(AND(E16&lt;&gt;"Calendrier",E16&lt;&gt;"Compteur",E16&lt;&gt;"Au premier des deux"),"Déclenchement inconnu",IF(AND(E16&lt;&gt;"Compteur",OR(NOT(ISNUMBER(F16)),N(F16)&lt;=0)),"Périodicité en jours manquante",IF(AND(E16&lt;&gt;"Calendrier",OR(NOT(ISNUMBER(G16)),N(G16)&lt;=0)),"Périodicité compteur manquante",IF(AND(J16&lt;&gt;"",OR(NOT(ISNUMBER(J16)),N(J16)&lt;=0)),"Date de réalisation invalide",IF(AND(K16&lt;&gt;"",OR(NOT(ISNUMBER(K16)),N(K16)&lt;0)),"Compteur de réalisation invalide",IF(AND(E16&lt;&gt;"Compteur",N(M16)=0,IFERROR(N(INDEX(eq_start,MATCH(B16,eq_code,0))),0)=0),"Date de départ manquante",IF(AND(E16&lt;&gt;"Calendrier",K16="",N(N16)=0),"Compteur de départ manquant",IF(AND(E16&lt;&gt;"Calendrier",N(Q16)=0),"Relevé compteur manquant (Équipements)",IF(AND(I16&lt;&gt;"",ISNA(MATCH(I16,tech_name,0))),"Technicien inconnu",IF(AND(L16&lt;&gt;"",L16&lt;&gt;"Oui",L16&lt;&gt;"Non"),"Actif : Oui ou Non","OK")))))))))))))))))</f>
        <v/>
      </c>
      <c r="W16" s="67">
        <f>IFERROR(N(INDEX(eq_use,MATCH(B16,eq_code,0))),0)</f>
        <v>0.0</v>
      </c>
      <c r="X16" s="67" t="str">
        <f>IF(AND(ISNUMBER(S16),W16&gt;0),p_today+MAX(0,ROUNDUP(S16*7/W16,0)),"")</f>
        <v/>
      </c>
      <c r="Y16" s="67" t="str">
        <f>IF(AND(ISNUMBER(T16),OR(U16="En retard",U16="Bientôt",U16="À jour")),IF(AND(ISNUMBER(O16),ISNUMBER(X16)),MIN(F16,G16*7/W16),IF(ISNUMBER(O16),F16,G16*7/W16)),"")</f>
        <v/>
      </c>
      <c r="Z16" s="67" t="str">
        <f>IF(OR(U16="En retard",U16="Bientôt"),IF(U16="En retard",0,1)*1000000000+IF(AB16="A",0,IF(AB16="B",1,IF(AB16="C",2,3)))*100000000+IF(ISNUMBER(T16),T16,p_today)*1000+ROW()-5,"")</f>
        <v/>
      </c>
      <c r="AA16" s="67" t="str">
        <f>IF(Z16="","",COUNTIF($Z$6:$Z$505,"&lt;"&amp;Z16)+1)</f>
        <v/>
      </c>
      <c r="AB16" s="67" t="str">
        <f>IFERROR(INDEX(eq_crit,MATCH(B16,eq_code,0))&amp;"","")</f>
        <v/>
      </c>
    </row>
    <row r="17">
      <c r="A17" s="65" t="n"/>
      <c r="B17" s="66" t="n"/>
      <c r="C17" s="67" t="str">
        <f>IF(B17="","",IFERROR(INDEX(eq_des,MATCH(B17,eq_code,0))&amp;"","Équipement inconnu"))</f>
        <v/>
      </c>
      <c r="D17" s="66" t="n"/>
      <c r="E17" s="68" t="n"/>
      <c r="F17" s="69" t="n"/>
      <c r="G17" s="70" t="n"/>
      <c r="H17" s="71" t="n"/>
      <c r="I17" s="66" t="n"/>
      <c r="J17" s="72" t="n"/>
      <c r="K17" s="73" t="n"/>
      <c r="L17" s="68" t="n"/>
      <c r="M17" s="74" t="str">
        <f>IF(AND(A17="",B17="",D17=""),"",MAX(N(J17),IF(A17="",0,SUMPRODUCT(MAX((in_plan=A17)*in_prev*in_dnum)))))</f>
        <v/>
      </c>
      <c r="N17" s="75" t="str">
        <f>IF(AND(A17="",B17="",D17=""),"",MAX(N(K17),IF(A17="",0,SUMPRODUCT(MAX((in_plan=A17)*in_prev*in_cnum)))))</f>
        <v/>
      </c>
      <c r="O17" s="76" t="str">
        <f>IF(AND(OR(E17="Calendrier",E17="Au premier des deux"),N(F17)&gt;0,IF(N(M17)&gt;0,M17,IFERROR(N(INDEX(eq_start,MATCH(B17,eq_code,0))),0))&gt;0),IF(N(M17)&gt;0,M17,IFERROR(N(INDEX(eq_start,MATCH(B17,eq_code,0))),0))+F17,"")</f>
        <v/>
      </c>
      <c r="P17" s="75" t="str">
        <f>IF(AND(OR(E17="Compteur",E17="Au premier des deux"),N(G17)&gt;0),N(N17)+G17,"")</f>
        <v/>
      </c>
      <c r="Q17" s="75" t="str">
        <f>IF(B17="","",IFERROR(N(INDEX(eq_cnt,MATCH(B17,eq_code,0))),""))</f>
        <v/>
      </c>
      <c r="R17" s="77" t="str">
        <f>IF(ISNUMBER(O17),O17-p_today,"")</f>
        <v/>
      </c>
      <c r="S17" s="78" t="str">
        <f>IF(AND(ISNUMBER(P17),N(Q17)&gt;0),P17-Q17,"")</f>
        <v/>
      </c>
      <c r="T17" s="76" t="str">
        <f>IF(AND(ISNUMBER(O17),ISNUMBER(X17)),MIN(O17,X17),IF(ISNUMBER(O17),O17,X17))</f>
        <v/>
      </c>
      <c r="U17" s="79" t="str">
        <f>IF(AND(A17="",B17="",D17=""),"",IF(L17="Non","Inactif",IF(AND(NOT(ISNUMBER(R17)),NOT(ISNUMBER(S17))),"À compléter",IF(OR(AND(ISNUMBER(R17),N(R17)&lt;0),AND(ISNUMBER(S17),N(S17)&lt;0)),"En retard",IF(OR(AND(ISNUMBER(R17),N(R17)&lt;=p_soon),AND(ISNUMBER(S17),N(S17)&lt;=p_soon_pct*N(G17))),"Bientôt","À jour")))))</f>
        <v/>
      </c>
      <c r="V17" s="79" t="str">
        <f>IF(AND(A17="",B17="",D17=""),"",IF(A17="","N° de plan manquant",IF(COUNTIF($A$6:$A$505,A17)&gt;1,"N° de plan en double",IF(B17="","Équipement manquant",IF(ISNA(MATCH(B17,eq_code,0)),"Équipement inconnu",IF(D17="","Tâche manquante",IF(E17="","Déclenchement manquant",IF(AND(E17&lt;&gt;"Calendrier",E17&lt;&gt;"Compteur",E17&lt;&gt;"Au premier des deux"),"Déclenchement inconnu",IF(AND(E17&lt;&gt;"Compteur",OR(NOT(ISNUMBER(F17)),N(F17)&lt;=0)),"Périodicité en jours manquante",IF(AND(E17&lt;&gt;"Calendrier",OR(NOT(ISNUMBER(G17)),N(G17)&lt;=0)),"Périodicité compteur manquante",IF(AND(J17&lt;&gt;"",OR(NOT(ISNUMBER(J17)),N(J17)&lt;=0)),"Date de réalisation invalide",IF(AND(K17&lt;&gt;"",OR(NOT(ISNUMBER(K17)),N(K17)&lt;0)),"Compteur de réalisation invalide",IF(AND(E17&lt;&gt;"Compteur",N(M17)=0,IFERROR(N(INDEX(eq_start,MATCH(B17,eq_code,0))),0)=0),"Date de départ manquante",IF(AND(E17&lt;&gt;"Calendrier",K17="",N(N17)=0),"Compteur de départ manquant",IF(AND(E17&lt;&gt;"Calendrier",N(Q17)=0),"Relevé compteur manquant (Équipements)",IF(AND(I17&lt;&gt;"",ISNA(MATCH(I17,tech_name,0))),"Technicien inconnu",IF(AND(L17&lt;&gt;"",L17&lt;&gt;"Oui",L17&lt;&gt;"Non"),"Actif : Oui ou Non","OK")))))))))))))))))</f>
        <v/>
      </c>
      <c r="W17" s="67">
        <f>IFERROR(N(INDEX(eq_use,MATCH(B17,eq_code,0))),0)</f>
        <v>0.0</v>
      </c>
      <c r="X17" s="67" t="str">
        <f>IF(AND(ISNUMBER(S17),W17&gt;0),p_today+MAX(0,ROUNDUP(S17*7/W17,0)),"")</f>
        <v/>
      </c>
      <c r="Y17" s="67" t="str">
        <f>IF(AND(ISNUMBER(T17),OR(U17="En retard",U17="Bientôt",U17="À jour")),IF(AND(ISNUMBER(O17),ISNUMBER(X17)),MIN(F17,G17*7/W17),IF(ISNUMBER(O17),F17,G17*7/W17)),"")</f>
        <v/>
      </c>
      <c r="Z17" s="67" t="str">
        <f>IF(OR(U17="En retard",U17="Bientôt"),IF(U17="En retard",0,1)*1000000000+IF(AB17="A",0,IF(AB17="B",1,IF(AB17="C",2,3)))*100000000+IF(ISNUMBER(T17),T17,p_today)*1000+ROW()-5,"")</f>
        <v/>
      </c>
      <c r="AA17" s="67" t="str">
        <f>IF(Z17="","",COUNTIF($Z$6:$Z$505,"&lt;"&amp;Z17)+1)</f>
        <v/>
      </c>
      <c r="AB17" s="67" t="str">
        <f>IFERROR(INDEX(eq_crit,MATCH(B17,eq_code,0))&amp;"","")</f>
        <v/>
      </c>
    </row>
    <row r="18">
      <c r="A18" s="65" t="n"/>
      <c r="B18" s="66" t="n"/>
      <c r="C18" s="67" t="str">
        <f>IF(B18="","",IFERROR(INDEX(eq_des,MATCH(B18,eq_code,0))&amp;"","Équipement inconnu"))</f>
        <v/>
      </c>
      <c r="D18" s="66" t="n"/>
      <c r="E18" s="68" t="n"/>
      <c r="F18" s="69" t="n"/>
      <c r="G18" s="70" t="n"/>
      <c r="H18" s="71" t="n"/>
      <c r="I18" s="66" t="n"/>
      <c r="J18" s="72" t="n"/>
      <c r="K18" s="73" t="n"/>
      <c r="L18" s="68" t="n"/>
      <c r="M18" s="74" t="str">
        <f>IF(AND(A18="",B18="",D18=""),"",MAX(N(J18),IF(A18="",0,SUMPRODUCT(MAX((in_plan=A18)*in_prev*in_dnum)))))</f>
        <v/>
      </c>
      <c r="N18" s="75" t="str">
        <f>IF(AND(A18="",B18="",D18=""),"",MAX(N(K18),IF(A18="",0,SUMPRODUCT(MAX((in_plan=A18)*in_prev*in_cnum)))))</f>
        <v/>
      </c>
      <c r="O18" s="76" t="str">
        <f>IF(AND(OR(E18="Calendrier",E18="Au premier des deux"),N(F18)&gt;0,IF(N(M18)&gt;0,M18,IFERROR(N(INDEX(eq_start,MATCH(B18,eq_code,0))),0))&gt;0),IF(N(M18)&gt;0,M18,IFERROR(N(INDEX(eq_start,MATCH(B18,eq_code,0))),0))+F18,"")</f>
        <v/>
      </c>
      <c r="P18" s="75" t="str">
        <f>IF(AND(OR(E18="Compteur",E18="Au premier des deux"),N(G18)&gt;0),N(N18)+G18,"")</f>
        <v/>
      </c>
      <c r="Q18" s="75" t="str">
        <f>IF(B18="","",IFERROR(N(INDEX(eq_cnt,MATCH(B18,eq_code,0))),""))</f>
        <v/>
      </c>
      <c r="R18" s="77" t="str">
        <f>IF(ISNUMBER(O18),O18-p_today,"")</f>
        <v/>
      </c>
      <c r="S18" s="78" t="str">
        <f>IF(AND(ISNUMBER(P18),N(Q18)&gt;0),P18-Q18,"")</f>
        <v/>
      </c>
      <c r="T18" s="76" t="str">
        <f>IF(AND(ISNUMBER(O18),ISNUMBER(X18)),MIN(O18,X18),IF(ISNUMBER(O18),O18,X18))</f>
        <v/>
      </c>
      <c r="U18" s="79" t="str">
        <f>IF(AND(A18="",B18="",D18=""),"",IF(L18="Non","Inactif",IF(AND(NOT(ISNUMBER(R18)),NOT(ISNUMBER(S18))),"À compléter",IF(OR(AND(ISNUMBER(R18),N(R18)&lt;0),AND(ISNUMBER(S18),N(S18)&lt;0)),"En retard",IF(OR(AND(ISNUMBER(R18),N(R18)&lt;=p_soon),AND(ISNUMBER(S18),N(S18)&lt;=p_soon_pct*N(G18))),"Bientôt","À jour")))))</f>
        <v/>
      </c>
      <c r="V18" s="79" t="str">
        <f>IF(AND(A18="",B18="",D18=""),"",IF(A18="","N° de plan manquant",IF(COUNTIF($A$6:$A$505,A18)&gt;1,"N° de plan en double",IF(B18="","Équipement manquant",IF(ISNA(MATCH(B18,eq_code,0)),"Équipement inconnu",IF(D18="","Tâche manquante",IF(E18="","Déclenchement manquant",IF(AND(E18&lt;&gt;"Calendrier",E18&lt;&gt;"Compteur",E18&lt;&gt;"Au premier des deux"),"Déclenchement inconnu",IF(AND(E18&lt;&gt;"Compteur",OR(NOT(ISNUMBER(F18)),N(F18)&lt;=0)),"Périodicité en jours manquante",IF(AND(E18&lt;&gt;"Calendrier",OR(NOT(ISNUMBER(G18)),N(G18)&lt;=0)),"Périodicité compteur manquante",IF(AND(J18&lt;&gt;"",OR(NOT(ISNUMBER(J18)),N(J18)&lt;=0)),"Date de réalisation invalide",IF(AND(K18&lt;&gt;"",OR(NOT(ISNUMBER(K18)),N(K18)&lt;0)),"Compteur de réalisation invalide",IF(AND(E18&lt;&gt;"Compteur",N(M18)=0,IFERROR(N(INDEX(eq_start,MATCH(B18,eq_code,0))),0)=0),"Date de départ manquante",IF(AND(E18&lt;&gt;"Calendrier",K18="",N(N18)=0),"Compteur de départ manquant",IF(AND(E18&lt;&gt;"Calendrier",N(Q18)=0),"Relevé compteur manquant (Équipements)",IF(AND(I18&lt;&gt;"",ISNA(MATCH(I18,tech_name,0))),"Technicien inconnu",IF(AND(L18&lt;&gt;"",L18&lt;&gt;"Oui",L18&lt;&gt;"Non"),"Actif : Oui ou Non","OK")))))))))))))))))</f>
        <v/>
      </c>
      <c r="W18" s="67">
        <f>IFERROR(N(INDEX(eq_use,MATCH(B18,eq_code,0))),0)</f>
        <v>0.0</v>
      </c>
      <c r="X18" s="67" t="str">
        <f>IF(AND(ISNUMBER(S18),W18&gt;0),p_today+MAX(0,ROUNDUP(S18*7/W18,0)),"")</f>
        <v/>
      </c>
      <c r="Y18" s="67" t="str">
        <f>IF(AND(ISNUMBER(T18),OR(U18="En retard",U18="Bientôt",U18="À jour")),IF(AND(ISNUMBER(O18),ISNUMBER(X18)),MIN(F18,G18*7/W18),IF(ISNUMBER(O18),F18,G18*7/W18)),"")</f>
        <v/>
      </c>
      <c r="Z18" s="67" t="str">
        <f>IF(OR(U18="En retard",U18="Bientôt"),IF(U18="En retard",0,1)*1000000000+IF(AB18="A",0,IF(AB18="B",1,IF(AB18="C",2,3)))*100000000+IF(ISNUMBER(T18),T18,p_today)*1000+ROW()-5,"")</f>
        <v/>
      </c>
      <c r="AA18" s="67" t="str">
        <f>IF(Z18="","",COUNTIF($Z$6:$Z$505,"&lt;"&amp;Z18)+1)</f>
        <v/>
      </c>
      <c r="AB18" s="67" t="str">
        <f>IFERROR(INDEX(eq_crit,MATCH(B18,eq_code,0))&amp;"","")</f>
        <v/>
      </c>
    </row>
    <row r="19">
      <c r="A19" s="65" t="n"/>
      <c r="B19" s="66" t="n"/>
      <c r="C19" s="67" t="str">
        <f>IF(B19="","",IFERROR(INDEX(eq_des,MATCH(B19,eq_code,0))&amp;"","Équipement inconnu"))</f>
        <v/>
      </c>
      <c r="D19" s="66" t="n"/>
      <c r="E19" s="68" t="n"/>
      <c r="F19" s="69" t="n"/>
      <c r="G19" s="70" t="n"/>
      <c r="H19" s="71" t="n"/>
      <c r="I19" s="66" t="n"/>
      <c r="J19" s="72" t="n"/>
      <c r="K19" s="73" t="n"/>
      <c r="L19" s="68" t="n"/>
      <c r="M19" s="74" t="str">
        <f>IF(AND(A19="",B19="",D19=""),"",MAX(N(J19),IF(A19="",0,SUMPRODUCT(MAX((in_plan=A19)*in_prev*in_dnum)))))</f>
        <v/>
      </c>
      <c r="N19" s="75" t="str">
        <f>IF(AND(A19="",B19="",D19=""),"",MAX(N(K19),IF(A19="",0,SUMPRODUCT(MAX((in_plan=A19)*in_prev*in_cnum)))))</f>
        <v/>
      </c>
      <c r="O19" s="76" t="str">
        <f>IF(AND(OR(E19="Calendrier",E19="Au premier des deux"),N(F19)&gt;0,IF(N(M19)&gt;0,M19,IFERROR(N(INDEX(eq_start,MATCH(B19,eq_code,0))),0))&gt;0),IF(N(M19)&gt;0,M19,IFERROR(N(INDEX(eq_start,MATCH(B19,eq_code,0))),0))+F19,"")</f>
        <v/>
      </c>
      <c r="P19" s="75" t="str">
        <f>IF(AND(OR(E19="Compteur",E19="Au premier des deux"),N(G19)&gt;0),N(N19)+G19,"")</f>
        <v/>
      </c>
      <c r="Q19" s="75" t="str">
        <f>IF(B19="","",IFERROR(N(INDEX(eq_cnt,MATCH(B19,eq_code,0))),""))</f>
        <v/>
      </c>
      <c r="R19" s="77" t="str">
        <f>IF(ISNUMBER(O19),O19-p_today,"")</f>
        <v/>
      </c>
      <c r="S19" s="78" t="str">
        <f>IF(AND(ISNUMBER(P19),N(Q19)&gt;0),P19-Q19,"")</f>
        <v/>
      </c>
      <c r="T19" s="76" t="str">
        <f>IF(AND(ISNUMBER(O19),ISNUMBER(X19)),MIN(O19,X19),IF(ISNUMBER(O19),O19,X19))</f>
        <v/>
      </c>
      <c r="U19" s="79" t="str">
        <f>IF(AND(A19="",B19="",D19=""),"",IF(L19="Non","Inactif",IF(AND(NOT(ISNUMBER(R19)),NOT(ISNUMBER(S19))),"À compléter",IF(OR(AND(ISNUMBER(R19),N(R19)&lt;0),AND(ISNUMBER(S19),N(S19)&lt;0)),"En retard",IF(OR(AND(ISNUMBER(R19),N(R19)&lt;=p_soon),AND(ISNUMBER(S19),N(S19)&lt;=p_soon_pct*N(G19))),"Bientôt","À jour")))))</f>
        <v/>
      </c>
      <c r="V19" s="79" t="str">
        <f>IF(AND(A19="",B19="",D19=""),"",IF(A19="","N° de plan manquant",IF(COUNTIF($A$6:$A$505,A19)&gt;1,"N° de plan en double",IF(B19="","Équipement manquant",IF(ISNA(MATCH(B19,eq_code,0)),"Équipement inconnu",IF(D19="","Tâche manquante",IF(E19="","Déclenchement manquant",IF(AND(E19&lt;&gt;"Calendrier",E19&lt;&gt;"Compteur",E19&lt;&gt;"Au premier des deux"),"Déclenchement inconnu",IF(AND(E19&lt;&gt;"Compteur",OR(NOT(ISNUMBER(F19)),N(F19)&lt;=0)),"Périodicité en jours manquante",IF(AND(E19&lt;&gt;"Calendrier",OR(NOT(ISNUMBER(G19)),N(G19)&lt;=0)),"Périodicité compteur manquante",IF(AND(J19&lt;&gt;"",OR(NOT(ISNUMBER(J19)),N(J19)&lt;=0)),"Date de réalisation invalide",IF(AND(K19&lt;&gt;"",OR(NOT(ISNUMBER(K19)),N(K19)&lt;0)),"Compteur de réalisation invalide",IF(AND(E19&lt;&gt;"Compteur",N(M19)=0,IFERROR(N(INDEX(eq_start,MATCH(B19,eq_code,0))),0)=0),"Date de départ manquante",IF(AND(E19&lt;&gt;"Calendrier",K19="",N(N19)=0),"Compteur de départ manquant",IF(AND(E19&lt;&gt;"Calendrier",N(Q19)=0),"Relevé compteur manquant (Équipements)",IF(AND(I19&lt;&gt;"",ISNA(MATCH(I19,tech_name,0))),"Technicien inconnu",IF(AND(L19&lt;&gt;"",L19&lt;&gt;"Oui",L19&lt;&gt;"Non"),"Actif : Oui ou Non","OK")))))))))))))))))</f>
        <v/>
      </c>
      <c r="W19" s="67">
        <f>IFERROR(N(INDEX(eq_use,MATCH(B19,eq_code,0))),0)</f>
        <v>0.0</v>
      </c>
      <c r="X19" s="67" t="str">
        <f>IF(AND(ISNUMBER(S19),W19&gt;0),p_today+MAX(0,ROUNDUP(S19*7/W19,0)),"")</f>
        <v/>
      </c>
      <c r="Y19" s="67" t="str">
        <f>IF(AND(ISNUMBER(T19),OR(U19="En retard",U19="Bientôt",U19="À jour")),IF(AND(ISNUMBER(O19),ISNUMBER(X19)),MIN(F19,G19*7/W19),IF(ISNUMBER(O19),F19,G19*7/W19)),"")</f>
        <v/>
      </c>
      <c r="Z19" s="67" t="str">
        <f>IF(OR(U19="En retard",U19="Bientôt"),IF(U19="En retard",0,1)*1000000000+IF(AB19="A",0,IF(AB19="B",1,IF(AB19="C",2,3)))*100000000+IF(ISNUMBER(T19),T19,p_today)*1000+ROW()-5,"")</f>
        <v/>
      </c>
      <c r="AA19" s="67" t="str">
        <f>IF(Z19="","",COUNTIF($Z$6:$Z$505,"&lt;"&amp;Z19)+1)</f>
        <v/>
      </c>
      <c r="AB19" s="67" t="str">
        <f>IFERROR(INDEX(eq_crit,MATCH(B19,eq_code,0))&amp;"","")</f>
        <v/>
      </c>
    </row>
    <row r="20">
      <c r="A20" s="65" t="n"/>
      <c r="B20" s="66" t="n"/>
      <c r="C20" s="67" t="str">
        <f>IF(B20="","",IFERROR(INDEX(eq_des,MATCH(B20,eq_code,0))&amp;"","Équipement inconnu"))</f>
        <v/>
      </c>
      <c r="D20" s="66" t="n"/>
      <c r="E20" s="68" t="n"/>
      <c r="F20" s="69" t="n"/>
      <c r="G20" s="70" t="n"/>
      <c r="H20" s="71" t="n"/>
      <c r="I20" s="66" t="n"/>
      <c r="J20" s="72" t="n"/>
      <c r="K20" s="73" t="n"/>
      <c r="L20" s="68" t="n"/>
      <c r="M20" s="74" t="str">
        <f>IF(AND(A20="",B20="",D20=""),"",MAX(N(J20),IF(A20="",0,SUMPRODUCT(MAX((in_plan=A20)*in_prev*in_dnum)))))</f>
        <v/>
      </c>
      <c r="N20" s="75" t="str">
        <f>IF(AND(A20="",B20="",D20=""),"",MAX(N(K20),IF(A20="",0,SUMPRODUCT(MAX((in_plan=A20)*in_prev*in_cnum)))))</f>
        <v/>
      </c>
      <c r="O20" s="76" t="str">
        <f>IF(AND(OR(E20="Calendrier",E20="Au premier des deux"),N(F20)&gt;0,IF(N(M20)&gt;0,M20,IFERROR(N(INDEX(eq_start,MATCH(B20,eq_code,0))),0))&gt;0),IF(N(M20)&gt;0,M20,IFERROR(N(INDEX(eq_start,MATCH(B20,eq_code,0))),0))+F20,"")</f>
        <v/>
      </c>
      <c r="P20" s="75" t="str">
        <f>IF(AND(OR(E20="Compteur",E20="Au premier des deux"),N(G20)&gt;0),N(N20)+G20,"")</f>
        <v/>
      </c>
      <c r="Q20" s="75" t="str">
        <f>IF(B20="","",IFERROR(N(INDEX(eq_cnt,MATCH(B20,eq_code,0))),""))</f>
        <v/>
      </c>
      <c r="R20" s="77" t="str">
        <f>IF(ISNUMBER(O20),O20-p_today,"")</f>
        <v/>
      </c>
      <c r="S20" s="78" t="str">
        <f>IF(AND(ISNUMBER(P20),N(Q20)&gt;0),P20-Q20,"")</f>
        <v/>
      </c>
      <c r="T20" s="76" t="str">
        <f>IF(AND(ISNUMBER(O20),ISNUMBER(X20)),MIN(O20,X20),IF(ISNUMBER(O20),O20,X20))</f>
        <v/>
      </c>
      <c r="U20" s="79" t="str">
        <f>IF(AND(A20="",B20="",D20=""),"",IF(L20="Non","Inactif",IF(AND(NOT(ISNUMBER(R20)),NOT(ISNUMBER(S20))),"À compléter",IF(OR(AND(ISNUMBER(R20),N(R20)&lt;0),AND(ISNUMBER(S20),N(S20)&lt;0)),"En retard",IF(OR(AND(ISNUMBER(R20),N(R20)&lt;=p_soon),AND(ISNUMBER(S20),N(S20)&lt;=p_soon_pct*N(G20))),"Bientôt","À jour")))))</f>
        <v/>
      </c>
      <c r="V20" s="79" t="str">
        <f>IF(AND(A20="",B20="",D20=""),"",IF(A20="","N° de plan manquant",IF(COUNTIF($A$6:$A$505,A20)&gt;1,"N° de plan en double",IF(B20="","Équipement manquant",IF(ISNA(MATCH(B20,eq_code,0)),"Équipement inconnu",IF(D20="","Tâche manquante",IF(E20="","Déclenchement manquant",IF(AND(E20&lt;&gt;"Calendrier",E20&lt;&gt;"Compteur",E20&lt;&gt;"Au premier des deux"),"Déclenchement inconnu",IF(AND(E20&lt;&gt;"Compteur",OR(NOT(ISNUMBER(F20)),N(F20)&lt;=0)),"Périodicité en jours manquante",IF(AND(E20&lt;&gt;"Calendrier",OR(NOT(ISNUMBER(G20)),N(G20)&lt;=0)),"Périodicité compteur manquante",IF(AND(J20&lt;&gt;"",OR(NOT(ISNUMBER(J20)),N(J20)&lt;=0)),"Date de réalisation invalide",IF(AND(K20&lt;&gt;"",OR(NOT(ISNUMBER(K20)),N(K20)&lt;0)),"Compteur de réalisation invalide",IF(AND(E20&lt;&gt;"Compteur",N(M20)=0,IFERROR(N(INDEX(eq_start,MATCH(B20,eq_code,0))),0)=0),"Date de départ manquante",IF(AND(E20&lt;&gt;"Calendrier",K20="",N(N20)=0),"Compteur de départ manquant",IF(AND(E20&lt;&gt;"Calendrier",N(Q20)=0),"Relevé compteur manquant (Équipements)",IF(AND(I20&lt;&gt;"",ISNA(MATCH(I20,tech_name,0))),"Technicien inconnu",IF(AND(L20&lt;&gt;"",L20&lt;&gt;"Oui",L20&lt;&gt;"Non"),"Actif : Oui ou Non","OK")))))))))))))))))</f>
        <v/>
      </c>
      <c r="W20" s="67">
        <f>IFERROR(N(INDEX(eq_use,MATCH(B20,eq_code,0))),0)</f>
        <v>0.0</v>
      </c>
      <c r="X20" s="67" t="str">
        <f>IF(AND(ISNUMBER(S20),W20&gt;0),p_today+MAX(0,ROUNDUP(S20*7/W20,0)),"")</f>
        <v/>
      </c>
      <c r="Y20" s="67" t="str">
        <f>IF(AND(ISNUMBER(T20),OR(U20="En retard",U20="Bientôt",U20="À jour")),IF(AND(ISNUMBER(O20),ISNUMBER(X20)),MIN(F20,G20*7/W20),IF(ISNUMBER(O20),F20,G20*7/W20)),"")</f>
        <v/>
      </c>
      <c r="Z20" s="67" t="str">
        <f>IF(OR(U20="En retard",U20="Bientôt"),IF(U20="En retard",0,1)*1000000000+IF(AB20="A",0,IF(AB20="B",1,IF(AB20="C",2,3)))*100000000+IF(ISNUMBER(T20),T20,p_today)*1000+ROW()-5,"")</f>
        <v/>
      </c>
      <c r="AA20" s="67" t="str">
        <f>IF(Z20="","",COUNTIF($Z$6:$Z$505,"&lt;"&amp;Z20)+1)</f>
        <v/>
      </c>
      <c r="AB20" s="67" t="str">
        <f>IFERROR(INDEX(eq_crit,MATCH(B20,eq_code,0))&amp;"","")</f>
        <v/>
      </c>
    </row>
    <row r="21">
      <c r="A21" s="65" t="n"/>
      <c r="B21" s="66" t="n"/>
      <c r="C21" s="67" t="str">
        <f>IF(B21="","",IFERROR(INDEX(eq_des,MATCH(B21,eq_code,0))&amp;"","Équipement inconnu"))</f>
        <v/>
      </c>
      <c r="D21" s="66" t="n"/>
      <c r="E21" s="68" t="n"/>
      <c r="F21" s="69" t="n"/>
      <c r="G21" s="70" t="n"/>
      <c r="H21" s="71" t="n"/>
      <c r="I21" s="66" t="n"/>
      <c r="J21" s="72" t="n"/>
      <c r="K21" s="73" t="n"/>
      <c r="L21" s="68" t="n"/>
      <c r="M21" s="74" t="str">
        <f>IF(AND(A21="",B21="",D21=""),"",MAX(N(J21),IF(A21="",0,SUMPRODUCT(MAX((in_plan=A21)*in_prev*in_dnum)))))</f>
        <v/>
      </c>
      <c r="N21" s="75" t="str">
        <f>IF(AND(A21="",B21="",D21=""),"",MAX(N(K21),IF(A21="",0,SUMPRODUCT(MAX((in_plan=A21)*in_prev*in_cnum)))))</f>
        <v/>
      </c>
      <c r="O21" s="76" t="str">
        <f>IF(AND(OR(E21="Calendrier",E21="Au premier des deux"),N(F21)&gt;0,IF(N(M21)&gt;0,M21,IFERROR(N(INDEX(eq_start,MATCH(B21,eq_code,0))),0))&gt;0),IF(N(M21)&gt;0,M21,IFERROR(N(INDEX(eq_start,MATCH(B21,eq_code,0))),0))+F21,"")</f>
        <v/>
      </c>
      <c r="P21" s="75" t="str">
        <f>IF(AND(OR(E21="Compteur",E21="Au premier des deux"),N(G21)&gt;0),N(N21)+G21,"")</f>
        <v/>
      </c>
      <c r="Q21" s="75" t="str">
        <f>IF(B21="","",IFERROR(N(INDEX(eq_cnt,MATCH(B21,eq_code,0))),""))</f>
        <v/>
      </c>
      <c r="R21" s="77" t="str">
        <f>IF(ISNUMBER(O21),O21-p_today,"")</f>
        <v/>
      </c>
      <c r="S21" s="78" t="str">
        <f>IF(AND(ISNUMBER(P21),N(Q21)&gt;0),P21-Q21,"")</f>
        <v/>
      </c>
      <c r="T21" s="76" t="str">
        <f>IF(AND(ISNUMBER(O21),ISNUMBER(X21)),MIN(O21,X21),IF(ISNUMBER(O21),O21,X21))</f>
        <v/>
      </c>
      <c r="U21" s="79" t="str">
        <f>IF(AND(A21="",B21="",D21=""),"",IF(L21="Non","Inactif",IF(AND(NOT(ISNUMBER(R21)),NOT(ISNUMBER(S21))),"À compléter",IF(OR(AND(ISNUMBER(R21),N(R21)&lt;0),AND(ISNUMBER(S21),N(S21)&lt;0)),"En retard",IF(OR(AND(ISNUMBER(R21),N(R21)&lt;=p_soon),AND(ISNUMBER(S21),N(S21)&lt;=p_soon_pct*N(G21))),"Bientôt","À jour")))))</f>
        <v/>
      </c>
      <c r="V21" s="79" t="str">
        <f>IF(AND(A21="",B21="",D21=""),"",IF(A21="","N° de plan manquant",IF(COUNTIF($A$6:$A$505,A21)&gt;1,"N° de plan en double",IF(B21="","Équipement manquant",IF(ISNA(MATCH(B21,eq_code,0)),"Équipement inconnu",IF(D21="","Tâche manquante",IF(E21="","Déclenchement manquant",IF(AND(E21&lt;&gt;"Calendrier",E21&lt;&gt;"Compteur",E21&lt;&gt;"Au premier des deux"),"Déclenchement inconnu",IF(AND(E21&lt;&gt;"Compteur",OR(NOT(ISNUMBER(F21)),N(F21)&lt;=0)),"Périodicité en jours manquante",IF(AND(E21&lt;&gt;"Calendrier",OR(NOT(ISNUMBER(G21)),N(G21)&lt;=0)),"Périodicité compteur manquante",IF(AND(J21&lt;&gt;"",OR(NOT(ISNUMBER(J21)),N(J21)&lt;=0)),"Date de réalisation invalide",IF(AND(K21&lt;&gt;"",OR(NOT(ISNUMBER(K21)),N(K21)&lt;0)),"Compteur de réalisation invalide",IF(AND(E21&lt;&gt;"Compteur",N(M21)=0,IFERROR(N(INDEX(eq_start,MATCH(B21,eq_code,0))),0)=0),"Date de départ manquante",IF(AND(E21&lt;&gt;"Calendrier",K21="",N(N21)=0),"Compteur de départ manquant",IF(AND(E21&lt;&gt;"Calendrier",N(Q21)=0),"Relevé compteur manquant (Équipements)",IF(AND(I21&lt;&gt;"",ISNA(MATCH(I21,tech_name,0))),"Technicien inconnu",IF(AND(L21&lt;&gt;"",L21&lt;&gt;"Oui",L21&lt;&gt;"Non"),"Actif : Oui ou Non","OK")))))))))))))))))</f>
        <v/>
      </c>
      <c r="W21" s="67">
        <f>IFERROR(N(INDEX(eq_use,MATCH(B21,eq_code,0))),0)</f>
        <v>0.0</v>
      </c>
      <c r="X21" s="67" t="str">
        <f>IF(AND(ISNUMBER(S21),W21&gt;0),p_today+MAX(0,ROUNDUP(S21*7/W21,0)),"")</f>
        <v/>
      </c>
      <c r="Y21" s="67" t="str">
        <f>IF(AND(ISNUMBER(T21),OR(U21="En retard",U21="Bientôt",U21="À jour")),IF(AND(ISNUMBER(O21),ISNUMBER(X21)),MIN(F21,G21*7/W21),IF(ISNUMBER(O21),F21,G21*7/W21)),"")</f>
        <v/>
      </c>
      <c r="Z21" s="67" t="str">
        <f>IF(OR(U21="En retard",U21="Bientôt"),IF(U21="En retard",0,1)*1000000000+IF(AB21="A",0,IF(AB21="B",1,IF(AB21="C",2,3)))*100000000+IF(ISNUMBER(T21),T21,p_today)*1000+ROW()-5,"")</f>
        <v/>
      </c>
      <c r="AA21" s="67" t="str">
        <f>IF(Z21="","",COUNTIF($Z$6:$Z$505,"&lt;"&amp;Z21)+1)</f>
        <v/>
      </c>
      <c r="AB21" s="67" t="str">
        <f>IFERROR(INDEX(eq_crit,MATCH(B21,eq_code,0))&amp;"","")</f>
        <v/>
      </c>
    </row>
    <row r="22">
      <c r="A22" s="65" t="n"/>
      <c r="B22" s="66" t="n"/>
      <c r="C22" s="67" t="str">
        <f>IF(B22="","",IFERROR(INDEX(eq_des,MATCH(B22,eq_code,0))&amp;"","Équipement inconnu"))</f>
        <v/>
      </c>
      <c r="D22" s="66" t="n"/>
      <c r="E22" s="68" t="n"/>
      <c r="F22" s="69" t="n"/>
      <c r="G22" s="70" t="n"/>
      <c r="H22" s="71" t="n"/>
      <c r="I22" s="66" t="n"/>
      <c r="J22" s="72" t="n"/>
      <c r="K22" s="73" t="n"/>
      <c r="L22" s="68" t="n"/>
      <c r="M22" s="74" t="str">
        <f>IF(AND(A22="",B22="",D22=""),"",MAX(N(J22),IF(A22="",0,SUMPRODUCT(MAX((in_plan=A22)*in_prev*in_dnum)))))</f>
        <v/>
      </c>
      <c r="N22" s="75" t="str">
        <f>IF(AND(A22="",B22="",D22=""),"",MAX(N(K22),IF(A22="",0,SUMPRODUCT(MAX((in_plan=A22)*in_prev*in_cnum)))))</f>
        <v/>
      </c>
      <c r="O22" s="76" t="str">
        <f>IF(AND(OR(E22="Calendrier",E22="Au premier des deux"),N(F22)&gt;0,IF(N(M22)&gt;0,M22,IFERROR(N(INDEX(eq_start,MATCH(B22,eq_code,0))),0))&gt;0),IF(N(M22)&gt;0,M22,IFERROR(N(INDEX(eq_start,MATCH(B22,eq_code,0))),0))+F22,"")</f>
        <v/>
      </c>
      <c r="P22" s="75" t="str">
        <f>IF(AND(OR(E22="Compteur",E22="Au premier des deux"),N(G22)&gt;0),N(N22)+G22,"")</f>
        <v/>
      </c>
      <c r="Q22" s="75" t="str">
        <f>IF(B22="","",IFERROR(N(INDEX(eq_cnt,MATCH(B22,eq_code,0))),""))</f>
        <v/>
      </c>
      <c r="R22" s="77" t="str">
        <f>IF(ISNUMBER(O22),O22-p_today,"")</f>
        <v/>
      </c>
      <c r="S22" s="78" t="str">
        <f>IF(AND(ISNUMBER(P22),N(Q22)&gt;0),P22-Q22,"")</f>
        <v/>
      </c>
      <c r="T22" s="76" t="str">
        <f>IF(AND(ISNUMBER(O22),ISNUMBER(X22)),MIN(O22,X22),IF(ISNUMBER(O22),O22,X22))</f>
        <v/>
      </c>
      <c r="U22" s="79" t="str">
        <f>IF(AND(A22="",B22="",D22=""),"",IF(L22="Non","Inactif",IF(AND(NOT(ISNUMBER(R22)),NOT(ISNUMBER(S22))),"À compléter",IF(OR(AND(ISNUMBER(R22),N(R22)&lt;0),AND(ISNUMBER(S22),N(S22)&lt;0)),"En retard",IF(OR(AND(ISNUMBER(R22),N(R22)&lt;=p_soon),AND(ISNUMBER(S22),N(S22)&lt;=p_soon_pct*N(G22))),"Bientôt","À jour")))))</f>
        <v/>
      </c>
      <c r="V22" s="79" t="str">
        <f>IF(AND(A22="",B22="",D22=""),"",IF(A22="","N° de plan manquant",IF(COUNTIF($A$6:$A$505,A22)&gt;1,"N° de plan en double",IF(B22="","Équipement manquant",IF(ISNA(MATCH(B22,eq_code,0)),"Équipement inconnu",IF(D22="","Tâche manquante",IF(E22="","Déclenchement manquant",IF(AND(E22&lt;&gt;"Calendrier",E22&lt;&gt;"Compteur",E22&lt;&gt;"Au premier des deux"),"Déclenchement inconnu",IF(AND(E22&lt;&gt;"Compteur",OR(NOT(ISNUMBER(F22)),N(F22)&lt;=0)),"Périodicité en jours manquante",IF(AND(E22&lt;&gt;"Calendrier",OR(NOT(ISNUMBER(G22)),N(G22)&lt;=0)),"Périodicité compteur manquante",IF(AND(J22&lt;&gt;"",OR(NOT(ISNUMBER(J22)),N(J22)&lt;=0)),"Date de réalisation invalide",IF(AND(K22&lt;&gt;"",OR(NOT(ISNUMBER(K22)),N(K22)&lt;0)),"Compteur de réalisation invalide",IF(AND(E22&lt;&gt;"Compteur",N(M22)=0,IFERROR(N(INDEX(eq_start,MATCH(B22,eq_code,0))),0)=0),"Date de départ manquante",IF(AND(E22&lt;&gt;"Calendrier",K22="",N(N22)=0),"Compteur de départ manquant",IF(AND(E22&lt;&gt;"Calendrier",N(Q22)=0),"Relevé compteur manquant (Équipements)",IF(AND(I22&lt;&gt;"",ISNA(MATCH(I22,tech_name,0))),"Technicien inconnu",IF(AND(L22&lt;&gt;"",L22&lt;&gt;"Oui",L22&lt;&gt;"Non"),"Actif : Oui ou Non","OK")))))))))))))))))</f>
        <v/>
      </c>
      <c r="W22" s="67">
        <f>IFERROR(N(INDEX(eq_use,MATCH(B22,eq_code,0))),0)</f>
        <v>0.0</v>
      </c>
      <c r="X22" s="67" t="str">
        <f>IF(AND(ISNUMBER(S22),W22&gt;0),p_today+MAX(0,ROUNDUP(S22*7/W22,0)),"")</f>
        <v/>
      </c>
      <c r="Y22" s="67" t="str">
        <f>IF(AND(ISNUMBER(T22),OR(U22="En retard",U22="Bientôt",U22="À jour")),IF(AND(ISNUMBER(O22),ISNUMBER(X22)),MIN(F22,G22*7/W22),IF(ISNUMBER(O22),F22,G22*7/W22)),"")</f>
        <v/>
      </c>
      <c r="Z22" s="67" t="str">
        <f>IF(OR(U22="En retard",U22="Bientôt"),IF(U22="En retard",0,1)*1000000000+IF(AB22="A",0,IF(AB22="B",1,IF(AB22="C",2,3)))*100000000+IF(ISNUMBER(T22),T22,p_today)*1000+ROW()-5,"")</f>
        <v/>
      </c>
      <c r="AA22" s="67" t="str">
        <f>IF(Z22="","",COUNTIF($Z$6:$Z$505,"&lt;"&amp;Z22)+1)</f>
        <v/>
      </c>
      <c r="AB22" s="67" t="str">
        <f>IFERROR(INDEX(eq_crit,MATCH(B22,eq_code,0))&amp;"","")</f>
        <v/>
      </c>
    </row>
    <row r="23">
      <c r="A23" s="65" t="n"/>
      <c r="B23" s="66" t="n"/>
      <c r="C23" s="67" t="str">
        <f>IF(B23="","",IFERROR(INDEX(eq_des,MATCH(B23,eq_code,0))&amp;"","Équipement inconnu"))</f>
        <v/>
      </c>
      <c r="D23" s="66" t="n"/>
      <c r="E23" s="68" t="n"/>
      <c r="F23" s="69" t="n"/>
      <c r="G23" s="70" t="n"/>
      <c r="H23" s="71" t="n"/>
      <c r="I23" s="66" t="n"/>
      <c r="J23" s="72" t="n"/>
      <c r="K23" s="73" t="n"/>
      <c r="L23" s="68" t="n"/>
      <c r="M23" s="74" t="str">
        <f>IF(AND(A23="",B23="",D23=""),"",MAX(N(J23),IF(A23="",0,SUMPRODUCT(MAX((in_plan=A23)*in_prev*in_dnum)))))</f>
        <v/>
      </c>
      <c r="N23" s="75" t="str">
        <f>IF(AND(A23="",B23="",D23=""),"",MAX(N(K23),IF(A23="",0,SUMPRODUCT(MAX((in_plan=A23)*in_prev*in_cnum)))))</f>
        <v/>
      </c>
      <c r="O23" s="76" t="str">
        <f>IF(AND(OR(E23="Calendrier",E23="Au premier des deux"),N(F23)&gt;0,IF(N(M23)&gt;0,M23,IFERROR(N(INDEX(eq_start,MATCH(B23,eq_code,0))),0))&gt;0),IF(N(M23)&gt;0,M23,IFERROR(N(INDEX(eq_start,MATCH(B23,eq_code,0))),0))+F23,"")</f>
        <v/>
      </c>
      <c r="P23" s="75" t="str">
        <f>IF(AND(OR(E23="Compteur",E23="Au premier des deux"),N(G23)&gt;0),N(N23)+G23,"")</f>
        <v/>
      </c>
      <c r="Q23" s="75" t="str">
        <f>IF(B23="","",IFERROR(N(INDEX(eq_cnt,MATCH(B23,eq_code,0))),""))</f>
        <v/>
      </c>
      <c r="R23" s="77" t="str">
        <f>IF(ISNUMBER(O23),O23-p_today,"")</f>
        <v/>
      </c>
      <c r="S23" s="78" t="str">
        <f>IF(AND(ISNUMBER(P23),N(Q23)&gt;0),P23-Q23,"")</f>
        <v/>
      </c>
      <c r="T23" s="76" t="str">
        <f>IF(AND(ISNUMBER(O23),ISNUMBER(X23)),MIN(O23,X23),IF(ISNUMBER(O23),O23,X23))</f>
        <v/>
      </c>
      <c r="U23" s="79" t="str">
        <f>IF(AND(A23="",B23="",D23=""),"",IF(L23="Non","Inactif",IF(AND(NOT(ISNUMBER(R23)),NOT(ISNUMBER(S23))),"À compléter",IF(OR(AND(ISNUMBER(R23),N(R23)&lt;0),AND(ISNUMBER(S23),N(S23)&lt;0)),"En retard",IF(OR(AND(ISNUMBER(R23),N(R23)&lt;=p_soon),AND(ISNUMBER(S23),N(S23)&lt;=p_soon_pct*N(G23))),"Bientôt","À jour")))))</f>
        <v/>
      </c>
      <c r="V23" s="79" t="str">
        <f>IF(AND(A23="",B23="",D23=""),"",IF(A23="","N° de plan manquant",IF(COUNTIF($A$6:$A$505,A23)&gt;1,"N° de plan en double",IF(B23="","Équipement manquant",IF(ISNA(MATCH(B23,eq_code,0)),"Équipement inconnu",IF(D23="","Tâche manquante",IF(E23="","Déclenchement manquant",IF(AND(E23&lt;&gt;"Calendrier",E23&lt;&gt;"Compteur",E23&lt;&gt;"Au premier des deux"),"Déclenchement inconnu",IF(AND(E23&lt;&gt;"Compteur",OR(NOT(ISNUMBER(F23)),N(F23)&lt;=0)),"Périodicité en jours manquante",IF(AND(E23&lt;&gt;"Calendrier",OR(NOT(ISNUMBER(G23)),N(G23)&lt;=0)),"Périodicité compteur manquante",IF(AND(J23&lt;&gt;"",OR(NOT(ISNUMBER(J23)),N(J23)&lt;=0)),"Date de réalisation invalide",IF(AND(K23&lt;&gt;"",OR(NOT(ISNUMBER(K23)),N(K23)&lt;0)),"Compteur de réalisation invalide",IF(AND(E23&lt;&gt;"Compteur",N(M23)=0,IFERROR(N(INDEX(eq_start,MATCH(B23,eq_code,0))),0)=0),"Date de départ manquante",IF(AND(E23&lt;&gt;"Calendrier",K23="",N(N23)=0),"Compteur de départ manquant",IF(AND(E23&lt;&gt;"Calendrier",N(Q23)=0),"Relevé compteur manquant (Équipements)",IF(AND(I23&lt;&gt;"",ISNA(MATCH(I23,tech_name,0))),"Technicien inconnu",IF(AND(L23&lt;&gt;"",L23&lt;&gt;"Oui",L23&lt;&gt;"Non"),"Actif : Oui ou Non","OK")))))))))))))))))</f>
        <v/>
      </c>
      <c r="W23" s="67">
        <f>IFERROR(N(INDEX(eq_use,MATCH(B23,eq_code,0))),0)</f>
        <v>0.0</v>
      </c>
      <c r="X23" s="67" t="str">
        <f>IF(AND(ISNUMBER(S23),W23&gt;0),p_today+MAX(0,ROUNDUP(S23*7/W23,0)),"")</f>
        <v/>
      </c>
      <c r="Y23" s="67" t="str">
        <f>IF(AND(ISNUMBER(T23),OR(U23="En retard",U23="Bientôt",U23="À jour")),IF(AND(ISNUMBER(O23),ISNUMBER(X23)),MIN(F23,G23*7/W23),IF(ISNUMBER(O23),F23,G23*7/W23)),"")</f>
        <v/>
      </c>
      <c r="Z23" s="67" t="str">
        <f>IF(OR(U23="En retard",U23="Bientôt"),IF(U23="En retard",0,1)*1000000000+IF(AB23="A",0,IF(AB23="B",1,IF(AB23="C",2,3)))*100000000+IF(ISNUMBER(T23),T23,p_today)*1000+ROW()-5,"")</f>
        <v/>
      </c>
      <c r="AA23" s="67" t="str">
        <f>IF(Z23="","",COUNTIF($Z$6:$Z$505,"&lt;"&amp;Z23)+1)</f>
        <v/>
      </c>
      <c r="AB23" s="67" t="str">
        <f>IFERROR(INDEX(eq_crit,MATCH(B23,eq_code,0))&amp;"","")</f>
        <v/>
      </c>
    </row>
    <row r="24">
      <c r="A24" s="65" t="n"/>
      <c r="B24" s="66" t="n"/>
      <c r="C24" s="67" t="str">
        <f>IF(B24="","",IFERROR(INDEX(eq_des,MATCH(B24,eq_code,0))&amp;"","Équipement inconnu"))</f>
        <v/>
      </c>
      <c r="D24" s="66" t="n"/>
      <c r="E24" s="68" t="n"/>
      <c r="F24" s="69" t="n"/>
      <c r="G24" s="70" t="n"/>
      <c r="H24" s="71" t="n"/>
      <c r="I24" s="66" t="n"/>
      <c r="J24" s="72" t="n"/>
      <c r="K24" s="73" t="n"/>
      <c r="L24" s="68" t="n"/>
      <c r="M24" s="74" t="str">
        <f>IF(AND(A24="",B24="",D24=""),"",MAX(N(J24),IF(A24="",0,SUMPRODUCT(MAX((in_plan=A24)*in_prev*in_dnum)))))</f>
        <v/>
      </c>
      <c r="N24" s="75" t="str">
        <f>IF(AND(A24="",B24="",D24=""),"",MAX(N(K24),IF(A24="",0,SUMPRODUCT(MAX((in_plan=A24)*in_prev*in_cnum)))))</f>
        <v/>
      </c>
      <c r="O24" s="76" t="str">
        <f>IF(AND(OR(E24="Calendrier",E24="Au premier des deux"),N(F24)&gt;0,IF(N(M24)&gt;0,M24,IFERROR(N(INDEX(eq_start,MATCH(B24,eq_code,0))),0))&gt;0),IF(N(M24)&gt;0,M24,IFERROR(N(INDEX(eq_start,MATCH(B24,eq_code,0))),0))+F24,"")</f>
        <v/>
      </c>
      <c r="P24" s="75" t="str">
        <f>IF(AND(OR(E24="Compteur",E24="Au premier des deux"),N(G24)&gt;0),N(N24)+G24,"")</f>
        <v/>
      </c>
      <c r="Q24" s="75" t="str">
        <f>IF(B24="","",IFERROR(N(INDEX(eq_cnt,MATCH(B24,eq_code,0))),""))</f>
        <v/>
      </c>
      <c r="R24" s="77" t="str">
        <f>IF(ISNUMBER(O24),O24-p_today,"")</f>
        <v/>
      </c>
      <c r="S24" s="78" t="str">
        <f>IF(AND(ISNUMBER(P24),N(Q24)&gt;0),P24-Q24,"")</f>
        <v/>
      </c>
      <c r="T24" s="76" t="str">
        <f>IF(AND(ISNUMBER(O24),ISNUMBER(X24)),MIN(O24,X24),IF(ISNUMBER(O24),O24,X24))</f>
        <v/>
      </c>
      <c r="U24" s="79" t="str">
        <f>IF(AND(A24="",B24="",D24=""),"",IF(L24="Non","Inactif",IF(AND(NOT(ISNUMBER(R24)),NOT(ISNUMBER(S24))),"À compléter",IF(OR(AND(ISNUMBER(R24),N(R24)&lt;0),AND(ISNUMBER(S24),N(S24)&lt;0)),"En retard",IF(OR(AND(ISNUMBER(R24),N(R24)&lt;=p_soon),AND(ISNUMBER(S24),N(S24)&lt;=p_soon_pct*N(G24))),"Bientôt","À jour")))))</f>
        <v/>
      </c>
      <c r="V24" s="79" t="str">
        <f>IF(AND(A24="",B24="",D24=""),"",IF(A24="","N° de plan manquant",IF(COUNTIF($A$6:$A$505,A24)&gt;1,"N° de plan en double",IF(B24="","Équipement manquant",IF(ISNA(MATCH(B24,eq_code,0)),"Équipement inconnu",IF(D24="","Tâche manquante",IF(E24="","Déclenchement manquant",IF(AND(E24&lt;&gt;"Calendrier",E24&lt;&gt;"Compteur",E24&lt;&gt;"Au premier des deux"),"Déclenchement inconnu",IF(AND(E24&lt;&gt;"Compteur",OR(NOT(ISNUMBER(F24)),N(F24)&lt;=0)),"Périodicité en jours manquante",IF(AND(E24&lt;&gt;"Calendrier",OR(NOT(ISNUMBER(G24)),N(G24)&lt;=0)),"Périodicité compteur manquante",IF(AND(J24&lt;&gt;"",OR(NOT(ISNUMBER(J24)),N(J24)&lt;=0)),"Date de réalisation invalide",IF(AND(K24&lt;&gt;"",OR(NOT(ISNUMBER(K24)),N(K24)&lt;0)),"Compteur de réalisation invalide",IF(AND(E24&lt;&gt;"Compteur",N(M24)=0,IFERROR(N(INDEX(eq_start,MATCH(B24,eq_code,0))),0)=0),"Date de départ manquante",IF(AND(E24&lt;&gt;"Calendrier",K24="",N(N24)=0),"Compteur de départ manquant",IF(AND(E24&lt;&gt;"Calendrier",N(Q24)=0),"Relevé compteur manquant (Équipements)",IF(AND(I24&lt;&gt;"",ISNA(MATCH(I24,tech_name,0))),"Technicien inconnu",IF(AND(L24&lt;&gt;"",L24&lt;&gt;"Oui",L24&lt;&gt;"Non"),"Actif : Oui ou Non","OK")))))))))))))))))</f>
        <v/>
      </c>
      <c r="W24" s="67">
        <f>IFERROR(N(INDEX(eq_use,MATCH(B24,eq_code,0))),0)</f>
        <v>0.0</v>
      </c>
      <c r="X24" s="67" t="str">
        <f>IF(AND(ISNUMBER(S24),W24&gt;0),p_today+MAX(0,ROUNDUP(S24*7/W24,0)),"")</f>
        <v/>
      </c>
      <c r="Y24" s="67" t="str">
        <f>IF(AND(ISNUMBER(T24),OR(U24="En retard",U24="Bientôt",U24="À jour")),IF(AND(ISNUMBER(O24),ISNUMBER(X24)),MIN(F24,G24*7/W24),IF(ISNUMBER(O24),F24,G24*7/W24)),"")</f>
        <v/>
      </c>
      <c r="Z24" s="67" t="str">
        <f>IF(OR(U24="En retard",U24="Bientôt"),IF(U24="En retard",0,1)*1000000000+IF(AB24="A",0,IF(AB24="B",1,IF(AB24="C",2,3)))*100000000+IF(ISNUMBER(T24),T24,p_today)*1000+ROW()-5,"")</f>
        <v/>
      </c>
      <c r="AA24" s="67" t="str">
        <f>IF(Z24="","",COUNTIF($Z$6:$Z$505,"&lt;"&amp;Z24)+1)</f>
        <v/>
      </c>
      <c r="AB24" s="67" t="str">
        <f>IFERROR(INDEX(eq_crit,MATCH(B24,eq_code,0))&amp;"","")</f>
        <v/>
      </c>
    </row>
    <row r="25">
      <c r="A25" s="65" t="n"/>
      <c r="B25" s="66" t="n"/>
      <c r="C25" s="67" t="str">
        <f>IF(B25="","",IFERROR(INDEX(eq_des,MATCH(B25,eq_code,0))&amp;"","Équipement inconnu"))</f>
        <v/>
      </c>
      <c r="D25" s="66" t="n"/>
      <c r="E25" s="68" t="n"/>
      <c r="F25" s="69" t="n"/>
      <c r="G25" s="70" t="n"/>
      <c r="H25" s="71" t="n"/>
      <c r="I25" s="66" t="n"/>
      <c r="J25" s="72" t="n"/>
      <c r="K25" s="73" t="n"/>
      <c r="L25" s="68" t="n"/>
      <c r="M25" s="74" t="str">
        <f>IF(AND(A25="",B25="",D25=""),"",MAX(N(J25),IF(A25="",0,SUMPRODUCT(MAX((in_plan=A25)*in_prev*in_dnum)))))</f>
        <v/>
      </c>
      <c r="N25" s="75" t="str">
        <f>IF(AND(A25="",B25="",D25=""),"",MAX(N(K25),IF(A25="",0,SUMPRODUCT(MAX((in_plan=A25)*in_prev*in_cnum)))))</f>
        <v/>
      </c>
      <c r="O25" s="76" t="str">
        <f>IF(AND(OR(E25="Calendrier",E25="Au premier des deux"),N(F25)&gt;0,IF(N(M25)&gt;0,M25,IFERROR(N(INDEX(eq_start,MATCH(B25,eq_code,0))),0))&gt;0),IF(N(M25)&gt;0,M25,IFERROR(N(INDEX(eq_start,MATCH(B25,eq_code,0))),0))+F25,"")</f>
        <v/>
      </c>
      <c r="P25" s="75" t="str">
        <f>IF(AND(OR(E25="Compteur",E25="Au premier des deux"),N(G25)&gt;0),N(N25)+G25,"")</f>
        <v/>
      </c>
      <c r="Q25" s="75" t="str">
        <f>IF(B25="","",IFERROR(N(INDEX(eq_cnt,MATCH(B25,eq_code,0))),""))</f>
        <v/>
      </c>
      <c r="R25" s="77" t="str">
        <f>IF(ISNUMBER(O25),O25-p_today,"")</f>
        <v/>
      </c>
      <c r="S25" s="78" t="str">
        <f>IF(AND(ISNUMBER(P25),N(Q25)&gt;0),P25-Q25,"")</f>
        <v/>
      </c>
      <c r="T25" s="76" t="str">
        <f>IF(AND(ISNUMBER(O25),ISNUMBER(X25)),MIN(O25,X25),IF(ISNUMBER(O25),O25,X25))</f>
        <v/>
      </c>
      <c r="U25" s="79" t="str">
        <f>IF(AND(A25="",B25="",D25=""),"",IF(L25="Non","Inactif",IF(AND(NOT(ISNUMBER(R25)),NOT(ISNUMBER(S25))),"À compléter",IF(OR(AND(ISNUMBER(R25),N(R25)&lt;0),AND(ISNUMBER(S25),N(S25)&lt;0)),"En retard",IF(OR(AND(ISNUMBER(R25),N(R25)&lt;=p_soon),AND(ISNUMBER(S25),N(S25)&lt;=p_soon_pct*N(G25))),"Bientôt","À jour")))))</f>
        <v/>
      </c>
      <c r="V25" s="79" t="str">
        <f>IF(AND(A25="",B25="",D25=""),"",IF(A25="","N° de plan manquant",IF(COUNTIF($A$6:$A$505,A25)&gt;1,"N° de plan en double",IF(B25="","Équipement manquant",IF(ISNA(MATCH(B25,eq_code,0)),"Équipement inconnu",IF(D25="","Tâche manquante",IF(E25="","Déclenchement manquant",IF(AND(E25&lt;&gt;"Calendrier",E25&lt;&gt;"Compteur",E25&lt;&gt;"Au premier des deux"),"Déclenchement inconnu",IF(AND(E25&lt;&gt;"Compteur",OR(NOT(ISNUMBER(F25)),N(F25)&lt;=0)),"Périodicité en jours manquante",IF(AND(E25&lt;&gt;"Calendrier",OR(NOT(ISNUMBER(G25)),N(G25)&lt;=0)),"Périodicité compteur manquante",IF(AND(J25&lt;&gt;"",OR(NOT(ISNUMBER(J25)),N(J25)&lt;=0)),"Date de réalisation invalide",IF(AND(K25&lt;&gt;"",OR(NOT(ISNUMBER(K25)),N(K25)&lt;0)),"Compteur de réalisation invalide",IF(AND(E25&lt;&gt;"Compteur",N(M25)=0,IFERROR(N(INDEX(eq_start,MATCH(B25,eq_code,0))),0)=0),"Date de départ manquante",IF(AND(E25&lt;&gt;"Calendrier",K25="",N(N25)=0),"Compteur de départ manquant",IF(AND(E25&lt;&gt;"Calendrier",N(Q25)=0),"Relevé compteur manquant (Équipements)",IF(AND(I25&lt;&gt;"",ISNA(MATCH(I25,tech_name,0))),"Technicien inconnu",IF(AND(L25&lt;&gt;"",L25&lt;&gt;"Oui",L25&lt;&gt;"Non"),"Actif : Oui ou Non","OK")))))))))))))))))</f>
        <v/>
      </c>
      <c r="W25" s="67">
        <f>IFERROR(N(INDEX(eq_use,MATCH(B25,eq_code,0))),0)</f>
        <v>0.0</v>
      </c>
      <c r="X25" s="67" t="str">
        <f>IF(AND(ISNUMBER(S25),W25&gt;0),p_today+MAX(0,ROUNDUP(S25*7/W25,0)),"")</f>
        <v/>
      </c>
      <c r="Y25" s="67" t="str">
        <f>IF(AND(ISNUMBER(T25),OR(U25="En retard",U25="Bientôt",U25="À jour")),IF(AND(ISNUMBER(O25),ISNUMBER(X25)),MIN(F25,G25*7/W25),IF(ISNUMBER(O25),F25,G25*7/W25)),"")</f>
        <v/>
      </c>
      <c r="Z25" s="67" t="str">
        <f>IF(OR(U25="En retard",U25="Bientôt"),IF(U25="En retard",0,1)*1000000000+IF(AB25="A",0,IF(AB25="B",1,IF(AB25="C",2,3)))*100000000+IF(ISNUMBER(T25),T25,p_today)*1000+ROW()-5,"")</f>
        <v/>
      </c>
      <c r="AA25" s="67" t="str">
        <f>IF(Z25="","",COUNTIF($Z$6:$Z$505,"&lt;"&amp;Z25)+1)</f>
        <v/>
      </c>
      <c r="AB25" s="67" t="str">
        <f>IFERROR(INDEX(eq_crit,MATCH(B25,eq_code,0))&amp;"","")</f>
        <v/>
      </c>
    </row>
    <row r="26">
      <c r="A26" s="65" t="n"/>
      <c r="B26" s="66" t="n"/>
      <c r="C26" s="67" t="str">
        <f>IF(B26="","",IFERROR(INDEX(eq_des,MATCH(B26,eq_code,0))&amp;"","Équipement inconnu"))</f>
        <v/>
      </c>
      <c r="D26" s="66" t="n"/>
      <c r="E26" s="68" t="n"/>
      <c r="F26" s="69" t="n"/>
      <c r="G26" s="70" t="n"/>
      <c r="H26" s="71" t="n"/>
      <c r="I26" s="66" t="n"/>
      <c r="J26" s="72" t="n"/>
      <c r="K26" s="73" t="n"/>
      <c r="L26" s="68" t="n"/>
      <c r="M26" s="74" t="str">
        <f>IF(AND(A26="",B26="",D26=""),"",MAX(N(J26),IF(A26="",0,SUMPRODUCT(MAX((in_plan=A26)*in_prev*in_dnum)))))</f>
        <v/>
      </c>
      <c r="N26" s="75" t="str">
        <f>IF(AND(A26="",B26="",D26=""),"",MAX(N(K26),IF(A26="",0,SUMPRODUCT(MAX((in_plan=A26)*in_prev*in_cnum)))))</f>
        <v/>
      </c>
      <c r="O26" s="76" t="str">
        <f>IF(AND(OR(E26="Calendrier",E26="Au premier des deux"),N(F26)&gt;0,IF(N(M26)&gt;0,M26,IFERROR(N(INDEX(eq_start,MATCH(B26,eq_code,0))),0))&gt;0),IF(N(M26)&gt;0,M26,IFERROR(N(INDEX(eq_start,MATCH(B26,eq_code,0))),0))+F26,"")</f>
        <v/>
      </c>
      <c r="P26" s="75" t="str">
        <f>IF(AND(OR(E26="Compteur",E26="Au premier des deux"),N(G26)&gt;0),N(N26)+G26,"")</f>
        <v/>
      </c>
      <c r="Q26" s="75" t="str">
        <f>IF(B26="","",IFERROR(N(INDEX(eq_cnt,MATCH(B26,eq_code,0))),""))</f>
        <v/>
      </c>
      <c r="R26" s="77" t="str">
        <f>IF(ISNUMBER(O26),O26-p_today,"")</f>
        <v/>
      </c>
      <c r="S26" s="78" t="str">
        <f>IF(AND(ISNUMBER(P26),N(Q26)&gt;0),P26-Q26,"")</f>
        <v/>
      </c>
      <c r="T26" s="76" t="str">
        <f>IF(AND(ISNUMBER(O26),ISNUMBER(X26)),MIN(O26,X26),IF(ISNUMBER(O26),O26,X26))</f>
        <v/>
      </c>
      <c r="U26" s="79" t="str">
        <f>IF(AND(A26="",B26="",D26=""),"",IF(L26="Non","Inactif",IF(AND(NOT(ISNUMBER(R26)),NOT(ISNUMBER(S26))),"À compléter",IF(OR(AND(ISNUMBER(R26),N(R26)&lt;0),AND(ISNUMBER(S26),N(S26)&lt;0)),"En retard",IF(OR(AND(ISNUMBER(R26),N(R26)&lt;=p_soon),AND(ISNUMBER(S26),N(S26)&lt;=p_soon_pct*N(G26))),"Bientôt","À jour")))))</f>
        <v/>
      </c>
      <c r="V26" s="79" t="str">
        <f>IF(AND(A26="",B26="",D26=""),"",IF(A26="","N° de plan manquant",IF(COUNTIF($A$6:$A$505,A26)&gt;1,"N° de plan en double",IF(B26="","Équipement manquant",IF(ISNA(MATCH(B26,eq_code,0)),"Équipement inconnu",IF(D26="","Tâche manquante",IF(E26="","Déclenchement manquant",IF(AND(E26&lt;&gt;"Calendrier",E26&lt;&gt;"Compteur",E26&lt;&gt;"Au premier des deux"),"Déclenchement inconnu",IF(AND(E26&lt;&gt;"Compteur",OR(NOT(ISNUMBER(F26)),N(F26)&lt;=0)),"Périodicité en jours manquante",IF(AND(E26&lt;&gt;"Calendrier",OR(NOT(ISNUMBER(G26)),N(G26)&lt;=0)),"Périodicité compteur manquante",IF(AND(J26&lt;&gt;"",OR(NOT(ISNUMBER(J26)),N(J26)&lt;=0)),"Date de réalisation invalide",IF(AND(K26&lt;&gt;"",OR(NOT(ISNUMBER(K26)),N(K26)&lt;0)),"Compteur de réalisation invalide",IF(AND(E26&lt;&gt;"Compteur",N(M26)=0,IFERROR(N(INDEX(eq_start,MATCH(B26,eq_code,0))),0)=0),"Date de départ manquante",IF(AND(E26&lt;&gt;"Calendrier",K26="",N(N26)=0),"Compteur de départ manquant",IF(AND(E26&lt;&gt;"Calendrier",N(Q26)=0),"Relevé compteur manquant (Équipements)",IF(AND(I26&lt;&gt;"",ISNA(MATCH(I26,tech_name,0))),"Technicien inconnu",IF(AND(L26&lt;&gt;"",L26&lt;&gt;"Oui",L26&lt;&gt;"Non"),"Actif : Oui ou Non","OK")))))))))))))))))</f>
        <v/>
      </c>
      <c r="W26" s="67">
        <f>IFERROR(N(INDEX(eq_use,MATCH(B26,eq_code,0))),0)</f>
        <v>0.0</v>
      </c>
      <c r="X26" s="67" t="str">
        <f>IF(AND(ISNUMBER(S26),W26&gt;0),p_today+MAX(0,ROUNDUP(S26*7/W26,0)),"")</f>
        <v/>
      </c>
      <c r="Y26" s="67" t="str">
        <f>IF(AND(ISNUMBER(T26),OR(U26="En retard",U26="Bientôt",U26="À jour")),IF(AND(ISNUMBER(O26),ISNUMBER(X26)),MIN(F26,G26*7/W26),IF(ISNUMBER(O26),F26,G26*7/W26)),"")</f>
        <v/>
      </c>
      <c r="Z26" s="67" t="str">
        <f>IF(OR(U26="En retard",U26="Bientôt"),IF(U26="En retard",0,1)*1000000000+IF(AB26="A",0,IF(AB26="B",1,IF(AB26="C",2,3)))*100000000+IF(ISNUMBER(T26),T26,p_today)*1000+ROW()-5,"")</f>
        <v/>
      </c>
      <c r="AA26" s="67" t="str">
        <f>IF(Z26="","",COUNTIF($Z$6:$Z$505,"&lt;"&amp;Z26)+1)</f>
        <v/>
      </c>
      <c r="AB26" s="67" t="str">
        <f>IFERROR(INDEX(eq_crit,MATCH(B26,eq_code,0))&amp;"","")</f>
        <v/>
      </c>
    </row>
    <row r="27">
      <c r="A27" s="65" t="n"/>
      <c r="B27" s="66" t="n"/>
      <c r="C27" s="67" t="str">
        <f>IF(B27="","",IFERROR(INDEX(eq_des,MATCH(B27,eq_code,0))&amp;"","Équipement inconnu"))</f>
        <v/>
      </c>
      <c r="D27" s="66" t="n"/>
      <c r="E27" s="68" t="n"/>
      <c r="F27" s="69" t="n"/>
      <c r="G27" s="70" t="n"/>
      <c r="H27" s="71" t="n"/>
      <c r="I27" s="66" t="n"/>
      <c r="J27" s="72" t="n"/>
      <c r="K27" s="73" t="n"/>
      <c r="L27" s="68" t="n"/>
      <c r="M27" s="74" t="str">
        <f>IF(AND(A27="",B27="",D27=""),"",MAX(N(J27),IF(A27="",0,SUMPRODUCT(MAX((in_plan=A27)*in_prev*in_dnum)))))</f>
        <v/>
      </c>
      <c r="N27" s="75" t="str">
        <f>IF(AND(A27="",B27="",D27=""),"",MAX(N(K27),IF(A27="",0,SUMPRODUCT(MAX((in_plan=A27)*in_prev*in_cnum)))))</f>
        <v/>
      </c>
      <c r="O27" s="76" t="str">
        <f>IF(AND(OR(E27="Calendrier",E27="Au premier des deux"),N(F27)&gt;0,IF(N(M27)&gt;0,M27,IFERROR(N(INDEX(eq_start,MATCH(B27,eq_code,0))),0))&gt;0),IF(N(M27)&gt;0,M27,IFERROR(N(INDEX(eq_start,MATCH(B27,eq_code,0))),0))+F27,"")</f>
        <v/>
      </c>
      <c r="P27" s="75" t="str">
        <f>IF(AND(OR(E27="Compteur",E27="Au premier des deux"),N(G27)&gt;0),N(N27)+G27,"")</f>
        <v/>
      </c>
      <c r="Q27" s="75" t="str">
        <f>IF(B27="","",IFERROR(N(INDEX(eq_cnt,MATCH(B27,eq_code,0))),""))</f>
        <v/>
      </c>
      <c r="R27" s="77" t="str">
        <f>IF(ISNUMBER(O27),O27-p_today,"")</f>
        <v/>
      </c>
      <c r="S27" s="78" t="str">
        <f>IF(AND(ISNUMBER(P27),N(Q27)&gt;0),P27-Q27,"")</f>
        <v/>
      </c>
      <c r="T27" s="76" t="str">
        <f>IF(AND(ISNUMBER(O27),ISNUMBER(X27)),MIN(O27,X27),IF(ISNUMBER(O27),O27,X27))</f>
        <v/>
      </c>
      <c r="U27" s="79" t="str">
        <f>IF(AND(A27="",B27="",D27=""),"",IF(L27="Non","Inactif",IF(AND(NOT(ISNUMBER(R27)),NOT(ISNUMBER(S27))),"À compléter",IF(OR(AND(ISNUMBER(R27),N(R27)&lt;0),AND(ISNUMBER(S27),N(S27)&lt;0)),"En retard",IF(OR(AND(ISNUMBER(R27),N(R27)&lt;=p_soon),AND(ISNUMBER(S27),N(S27)&lt;=p_soon_pct*N(G27))),"Bientôt","À jour")))))</f>
        <v/>
      </c>
      <c r="V27" s="79" t="str">
        <f>IF(AND(A27="",B27="",D27=""),"",IF(A27="","N° de plan manquant",IF(COUNTIF($A$6:$A$505,A27)&gt;1,"N° de plan en double",IF(B27="","Équipement manquant",IF(ISNA(MATCH(B27,eq_code,0)),"Équipement inconnu",IF(D27="","Tâche manquante",IF(E27="","Déclenchement manquant",IF(AND(E27&lt;&gt;"Calendrier",E27&lt;&gt;"Compteur",E27&lt;&gt;"Au premier des deux"),"Déclenchement inconnu",IF(AND(E27&lt;&gt;"Compteur",OR(NOT(ISNUMBER(F27)),N(F27)&lt;=0)),"Périodicité en jours manquante",IF(AND(E27&lt;&gt;"Calendrier",OR(NOT(ISNUMBER(G27)),N(G27)&lt;=0)),"Périodicité compteur manquante",IF(AND(J27&lt;&gt;"",OR(NOT(ISNUMBER(J27)),N(J27)&lt;=0)),"Date de réalisation invalide",IF(AND(K27&lt;&gt;"",OR(NOT(ISNUMBER(K27)),N(K27)&lt;0)),"Compteur de réalisation invalide",IF(AND(E27&lt;&gt;"Compteur",N(M27)=0,IFERROR(N(INDEX(eq_start,MATCH(B27,eq_code,0))),0)=0),"Date de départ manquante",IF(AND(E27&lt;&gt;"Calendrier",K27="",N(N27)=0),"Compteur de départ manquant",IF(AND(E27&lt;&gt;"Calendrier",N(Q27)=0),"Relevé compteur manquant (Équipements)",IF(AND(I27&lt;&gt;"",ISNA(MATCH(I27,tech_name,0))),"Technicien inconnu",IF(AND(L27&lt;&gt;"",L27&lt;&gt;"Oui",L27&lt;&gt;"Non"),"Actif : Oui ou Non","OK")))))))))))))))))</f>
        <v/>
      </c>
      <c r="W27" s="67">
        <f>IFERROR(N(INDEX(eq_use,MATCH(B27,eq_code,0))),0)</f>
        <v>0.0</v>
      </c>
      <c r="X27" s="67" t="str">
        <f>IF(AND(ISNUMBER(S27),W27&gt;0),p_today+MAX(0,ROUNDUP(S27*7/W27,0)),"")</f>
        <v/>
      </c>
      <c r="Y27" s="67" t="str">
        <f>IF(AND(ISNUMBER(T27),OR(U27="En retard",U27="Bientôt",U27="À jour")),IF(AND(ISNUMBER(O27),ISNUMBER(X27)),MIN(F27,G27*7/W27),IF(ISNUMBER(O27),F27,G27*7/W27)),"")</f>
        <v/>
      </c>
      <c r="Z27" s="67" t="str">
        <f>IF(OR(U27="En retard",U27="Bientôt"),IF(U27="En retard",0,1)*1000000000+IF(AB27="A",0,IF(AB27="B",1,IF(AB27="C",2,3)))*100000000+IF(ISNUMBER(T27),T27,p_today)*1000+ROW()-5,"")</f>
        <v/>
      </c>
      <c r="AA27" s="67" t="str">
        <f>IF(Z27="","",COUNTIF($Z$6:$Z$505,"&lt;"&amp;Z27)+1)</f>
        <v/>
      </c>
      <c r="AB27" s="67" t="str">
        <f>IFERROR(INDEX(eq_crit,MATCH(B27,eq_code,0))&amp;"","")</f>
        <v/>
      </c>
    </row>
    <row r="28">
      <c r="A28" s="65" t="n"/>
      <c r="B28" s="66" t="n"/>
      <c r="C28" s="67" t="str">
        <f>IF(B28="","",IFERROR(INDEX(eq_des,MATCH(B28,eq_code,0))&amp;"","Équipement inconnu"))</f>
        <v/>
      </c>
      <c r="D28" s="66" t="n"/>
      <c r="E28" s="68" t="n"/>
      <c r="F28" s="69" t="n"/>
      <c r="G28" s="70" t="n"/>
      <c r="H28" s="71" t="n"/>
      <c r="I28" s="66" t="n"/>
      <c r="J28" s="72" t="n"/>
      <c r="K28" s="73" t="n"/>
      <c r="L28" s="68" t="n"/>
      <c r="M28" s="74" t="str">
        <f>IF(AND(A28="",B28="",D28=""),"",MAX(N(J28),IF(A28="",0,SUMPRODUCT(MAX((in_plan=A28)*in_prev*in_dnum)))))</f>
        <v/>
      </c>
      <c r="N28" s="75" t="str">
        <f>IF(AND(A28="",B28="",D28=""),"",MAX(N(K28),IF(A28="",0,SUMPRODUCT(MAX((in_plan=A28)*in_prev*in_cnum)))))</f>
        <v/>
      </c>
      <c r="O28" s="76" t="str">
        <f>IF(AND(OR(E28="Calendrier",E28="Au premier des deux"),N(F28)&gt;0,IF(N(M28)&gt;0,M28,IFERROR(N(INDEX(eq_start,MATCH(B28,eq_code,0))),0))&gt;0),IF(N(M28)&gt;0,M28,IFERROR(N(INDEX(eq_start,MATCH(B28,eq_code,0))),0))+F28,"")</f>
        <v/>
      </c>
      <c r="P28" s="75" t="str">
        <f>IF(AND(OR(E28="Compteur",E28="Au premier des deux"),N(G28)&gt;0),N(N28)+G28,"")</f>
        <v/>
      </c>
      <c r="Q28" s="75" t="str">
        <f>IF(B28="","",IFERROR(N(INDEX(eq_cnt,MATCH(B28,eq_code,0))),""))</f>
        <v/>
      </c>
      <c r="R28" s="77" t="str">
        <f>IF(ISNUMBER(O28),O28-p_today,"")</f>
        <v/>
      </c>
      <c r="S28" s="78" t="str">
        <f>IF(AND(ISNUMBER(P28),N(Q28)&gt;0),P28-Q28,"")</f>
        <v/>
      </c>
      <c r="T28" s="76" t="str">
        <f>IF(AND(ISNUMBER(O28),ISNUMBER(X28)),MIN(O28,X28),IF(ISNUMBER(O28),O28,X28))</f>
        <v/>
      </c>
      <c r="U28" s="79" t="str">
        <f>IF(AND(A28="",B28="",D28=""),"",IF(L28="Non","Inactif",IF(AND(NOT(ISNUMBER(R28)),NOT(ISNUMBER(S28))),"À compléter",IF(OR(AND(ISNUMBER(R28),N(R28)&lt;0),AND(ISNUMBER(S28),N(S28)&lt;0)),"En retard",IF(OR(AND(ISNUMBER(R28),N(R28)&lt;=p_soon),AND(ISNUMBER(S28),N(S28)&lt;=p_soon_pct*N(G28))),"Bientôt","À jour")))))</f>
        <v/>
      </c>
      <c r="V28" s="79" t="str">
        <f>IF(AND(A28="",B28="",D28=""),"",IF(A28="","N° de plan manquant",IF(COUNTIF($A$6:$A$505,A28)&gt;1,"N° de plan en double",IF(B28="","Équipement manquant",IF(ISNA(MATCH(B28,eq_code,0)),"Équipement inconnu",IF(D28="","Tâche manquante",IF(E28="","Déclenchement manquant",IF(AND(E28&lt;&gt;"Calendrier",E28&lt;&gt;"Compteur",E28&lt;&gt;"Au premier des deux"),"Déclenchement inconnu",IF(AND(E28&lt;&gt;"Compteur",OR(NOT(ISNUMBER(F28)),N(F28)&lt;=0)),"Périodicité en jours manquante",IF(AND(E28&lt;&gt;"Calendrier",OR(NOT(ISNUMBER(G28)),N(G28)&lt;=0)),"Périodicité compteur manquante",IF(AND(J28&lt;&gt;"",OR(NOT(ISNUMBER(J28)),N(J28)&lt;=0)),"Date de réalisation invalide",IF(AND(K28&lt;&gt;"",OR(NOT(ISNUMBER(K28)),N(K28)&lt;0)),"Compteur de réalisation invalide",IF(AND(E28&lt;&gt;"Compteur",N(M28)=0,IFERROR(N(INDEX(eq_start,MATCH(B28,eq_code,0))),0)=0),"Date de départ manquante",IF(AND(E28&lt;&gt;"Calendrier",K28="",N(N28)=0),"Compteur de départ manquant",IF(AND(E28&lt;&gt;"Calendrier",N(Q28)=0),"Relevé compteur manquant (Équipements)",IF(AND(I28&lt;&gt;"",ISNA(MATCH(I28,tech_name,0))),"Technicien inconnu",IF(AND(L28&lt;&gt;"",L28&lt;&gt;"Oui",L28&lt;&gt;"Non"),"Actif : Oui ou Non","OK")))))))))))))))))</f>
        <v/>
      </c>
      <c r="W28" s="67">
        <f>IFERROR(N(INDEX(eq_use,MATCH(B28,eq_code,0))),0)</f>
        <v>0.0</v>
      </c>
      <c r="X28" s="67" t="str">
        <f>IF(AND(ISNUMBER(S28),W28&gt;0),p_today+MAX(0,ROUNDUP(S28*7/W28,0)),"")</f>
        <v/>
      </c>
      <c r="Y28" s="67" t="str">
        <f>IF(AND(ISNUMBER(T28),OR(U28="En retard",U28="Bientôt",U28="À jour")),IF(AND(ISNUMBER(O28),ISNUMBER(X28)),MIN(F28,G28*7/W28),IF(ISNUMBER(O28),F28,G28*7/W28)),"")</f>
        <v/>
      </c>
      <c r="Z28" s="67" t="str">
        <f>IF(OR(U28="En retard",U28="Bientôt"),IF(U28="En retard",0,1)*1000000000+IF(AB28="A",0,IF(AB28="B",1,IF(AB28="C",2,3)))*100000000+IF(ISNUMBER(T28),T28,p_today)*1000+ROW()-5,"")</f>
        <v/>
      </c>
      <c r="AA28" s="67" t="str">
        <f>IF(Z28="","",COUNTIF($Z$6:$Z$505,"&lt;"&amp;Z28)+1)</f>
        <v/>
      </c>
      <c r="AB28" s="67" t="str">
        <f>IFERROR(INDEX(eq_crit,MATCH(B28,eq_code,0))&amp;"","")</f>
        <v/>
      </c>
    </row>
    <row r="29">
      <c r="A29" s="65" t="n"/>
      <c r="B29" s="66" t="n"/>
      <c r="C29" s="67" t="str">
        <f>IF(B29="","",IFERROR(INDEX(eq_des,MATCH(B29,eq_code,0))&amp;"","Équipement inconnu"))</f>
        <v/>
      </c>
      <c r="D29" s="66" t="n"/>
      <c r="E29" s="68" t="n"/>
      <c r="F29" s="69" t="n"/>
      <c r="G29" s="70" t="n"/>
      <c r="H29" s="71" t="n"/>
      <c r="I29" s="66" t="n"/>
      <c r="J29" s="72" t="n"/>
      <c r="K29" s="73" t="n"/>
      <c r="L29" s="68" t="n"/>
      <c r="M29" s="74" t="str">
        <f>IF(AND(A29="",B29="",D29=""),"",MAX(N(J29),IF(A29="",0,SUMPRODUCT(MAX((in_plan=A29)*in_prev*in_dnum)))))</f>
        <v/>
      </c>
      <c r="N29" s="75" t="str">
        <f>IF(AND(A29="",B29="",D29=""),"",MAX(N(K29),IF(A29="",0,SUMPRODUCT(MAX((in_plan=A29)*in_prev*in_cnum)))))</f>
        <v/>
      </c>
      <c r="O29" s="76" t="str">
        <f>IF(AND(OR(E29="Calendrier",E29="Au premier des deux"),N(F29)&gt;0,IF(N(M29)&gt;0,M29,IFERROR(N(INDEX(eq_start,MATCH(B29,eq_code,0))),0))&gt;0),IF(N(M29)&gt;0,M29,IFERROR(N(INDEX(eq_start,MATCH(B29,eq_code,0))),0))+F29,"")</f>
        <v/>
      </c>
      <c r="P29" s="75" t="str">
        <f>IF(AND(OR(E29="Compteur",E29="Au premier des deux"),N(G29)&gt;0),N(N29)+G29,"")</f>
        <v/>
      </c>
      <c r="Q29" s="75" t="str">
        <f>IF(B29="","",IFERROR(N(INDEX(eq_cnt,MATCH(B29,eq_code,0))),""))</f>
        <v/>
      </c>
      <c r="R29" s="77" t="str">
        <f>IF(ISNUMBER(O29),O29-p_today,"")</f>
        <v/>
      </c>
      <c r="S29" s="78" t="str">
        <f>IF(AND(ISNUMBER(P29),N(Q29)&gt;0),P29-Q29,"")</f>
        <v/>
      </c>
      <c r="T29" s="76" t="str">
        <f>IF(AND(ISNUMBER(O29),ISNUMBER(X29)),MIN(O29,X29),IF(ISNUMBER(O29),O29,X29))</f>
        <v/>
      </c>
      <c r="U29" s="79" t="str">
        <f>IF(AND(A29="",B29="",D29=""),"",IF(L29="Non","Inactif",IF(AND(NOT(ISNUMBER(R29)),NOT(ISNUMBER(S29))),"À compléter",IF(OR(AND(ISNUMBER(R29),N(R29)&lt;0),AND(ISNUMBER(S29),N(S29)&lt;0)),"En retard",IF(OR(AND(ISNUMBER(R29),N(R29)&lt;=p_soon),AND(ISNUMBER(S29),N(S29)&lt;=p_soon_pct*N(G29))),"Bientôt","À jour")))))</f>
        <v/>
      </c>
      <c r="V29" s="79" t="str">
        <f>IF(AND(A29="",B29="",D29=""),"",IF(A29="","N° de plan manquant",IF(COUNTIF($A$6:$A$505,A29)&gt;1,"N° de plan en double",IF(B29="","Équipement manquant",IF(ISNA(MATCH(B29,eq_code,0)),"Équipement inconnu",IF(D29="","Tâche manquante",IF(E29="","Déclenchement manquant",IF(AND(E29&lt;&gt;"Calendrier",E29&lt;&gt;"Compteur",E29&lt;&gt;"Au premier des deux"),"Déclenchement inconnu",IF(AND(E29&lt;&gt;"Compteur",OR(NOT(ISNUMBER(F29)),N(F29)&lt;=0)),"Périodicité en jours manquante",IF(AND(E29&lt;&gt;"Calendrier",OR(NOT(ISNUMBER(G29)),N(G29)&lt;=0)),"Périodicité compteur manquante",IF(AND(J29&lt;&gt;"",OR(NOT(ISNUMBER(J29)),N(J29)&lt;=0)),"Date de réalisation invalide",IF(AND(K29&lt;&gt;"",OR(NOT(ISNUMBER(K29)),N(K29)&lt;0)),"Compteur de réalisation invalide",IF(AND(E29&lt;&gt;"Compteur",N(M29)=0,IFERROR(N(INDEX(eq_start,MATCH(B29,eq_code,0))),0)=0),"Date de départ manquante",IF(AND(E29&lt;&gt;"Calendrier",K29="",N(N29)=0),"Compteur de départ manquant",IF(AND(E29&lt;&gt;"Calendrier",N(Q29)=0),"Relevé compteur manquant (Équipements)",IF(AND(I29&lt;&gt;"",ISNA(MATCH(I29,tech_name,0))),"Technicien inconnu",IF(AND(L29&lt;&gt;"",L29&lt;&gt;"Oui",L29&lt;&gt;"Non"),"Actif : Oui ou Non","OK")))))))))))))))))</f>
        <v/>
      </c>
      <c r="W29" s="67">
        <f>IFERROR(N(INDEX(eq_use,MATCH(B29,eq_code,0))),0)</f>
        <v>0.0</v>
      </c>
      <c r="X29" s="67" t="str">
        <f>IF(AND(ISNUMBER(S29),W29&gt;0),p_today+MAX(0,ROUNDUP(S29*7/W29,0)),"")</f>
        <v/>
      </c>
      <c r="Y29" s="67" t="str">
        <f>IF(AND(ISNUMBER(T29),OR(U29="En retard",U29="Bientôt",U29="À jour")),IF(AND(ISNUMBER(O29),ISNUMBER(X29)),MIN(F29,G29*7/W29),IF(ISNUMBER(O29),F29,G29*7/W29)),"")</f>
        <v/>
      </c>
      <c r="Z29" s="67" t="str">
        <f>IF(OR(U29="En retard",U29="Bientôt"),IF(U29="En retard",0,1)*1000000000+IF(AB29="A",0,IF(AB29="B",1,IF(AB29="C",2,3)))*100000000+IF(ISNUMBER(T29),T29,p_today)*1000+ROW()-5,"")</f>
        <v/>
      </c>
      <c r="AA29" s="67" t="str">
        <f>IF(Z29="","",COUNTIF($Z$6:$Z$505,"&lt;"&amp;Z29)+1)</f>
        <v/>
      </c>
      <c r="AB29" s="67" t="str">
        <f>IFERROR(INDEX(eq_crit,MATCH(B29,eq_code,0))&amp;"","")</f>
        <v/>
      </c>
    </row>
    <row r="30">
      <c r="A30" s="65" t="n"/>
      <c r="B30" s="66" t="n"/>
      <c r="C30" s="67" t="str">
        <f>IF(B30="","",IFERROR(INDEX(eq_des,MATCH(B30,eq_code,0))&amp;"","Équipement inconnu"))</f>
        <v/>
      </c>
      <c r="D30" s="66" t="n"/>
      <c r="E30" s="68" t="n"/>
      <c r="F30" s="69" t="n"/>
      <c r="G30" s="70" t="n"/>
      <c r="H30" s="71" t="n"/>
      <c r="I30" s="66" t="n"/>
      <c r="J30" s="72" t="n"/>
      <c r="K30" s="73" t="n"/>
      <c r="L30" s="68" t="n"/>
      <c r="M30" s="74" t="str">
        <f>IF(AND(A30="",B30="",D30=""),"",MAX(N(J30),IF(A30="",0,SUMPRODUCT(MAX((in_plan=A30)*in_prev*in_dnum)))))</f>
        <v/>
      </c>
      <c r="N30" s="75" t="str">
        <f>IF(AND(A30="",B30="",D30=""),"",MAX(N(K30),IF(A30="",0,SUMPRODUCT(MAX((in_plan=A30)*in_prev*in_cnum)))))</f>
        <v/>
      </c>
      <c r="O30" s="76" t="str">
        <f>IF(AND(OR(E30="Calendrier",E30="Au premier des deux"),N(F30)&gt;0,IF(N(M30)&gt;0,M30,IFERROR(N(INDEX(eq_start,MATCH(B30,eq_code,0))),0))&gt;0),IF(N(M30)&gt;0,M30,IFERROR(N(INDEX(eq_start,MATCH(B30,eq_code,0))),0))+F30,"")</f>
        <v/>
      </c>
      <c r="P30" s="75" t="str">
        <f>IF(AND(OR(E30="Compteur",E30="Au premier des deux"),N(G30)&gt;0),N(N30)+G30,"")</f>
        <v/>
      </c>
      <c r="Q30" s="75" t="str">
        <f>IF(B30="","",IFERROR(N(INDEX(eq_cnt,MATCH(B30,eq_code,0))),""))</f>
        <v/>
      </c>
      <c r="R30" s="77" t="str">
        <f>IF(ISNUMBER(O30),O30-p_today,"")</f>
        <v/>
      </c>
      <c r="S30" s="78" t="str">
        <f>IF(AND(ISNUMBER(P30),N(Q30)&gt;0),P30-Q30,"")</f>
        <v/>
      </c>
      <c r="T30" s="76" t="str">
        <f>IF(AND(ISNUMBER(O30),ISNUMBER(X30)),MIN(O30,X30),IF(ISNUMBER(O30),O30,X30))</f>
        <v/>
      </c>
      <c r="U30" s="79" t="str">
        <f>IF(AND(A30="",B30="",D30=""),"",IF(L30="Non","Inactif",IF(AND(NOT(ISNUMBER(R30)),NOT(ISNUMBER(S30))),"À compléter",IF(OR(AND(ISNUMBER(R30),N(R30)&lt;0),AND(ISNUMBER(S30),N(S30)&lt;0)),"En retard",IF(OR(AND(ISNUMBER(R30),N(R30)&lt;=p_soon),AND(ISNUMBER(S30),N(S30)&lt;=p_soon_pct*N(G30))),"Bientôt","À jour")))))</f>
        <v/>
      </c>
      <c r="V30" s="79" t="str">
        <f>IF(AND(A30="",B30="",D30=""),"",IF(A30="","N° de plan manquant",IF(COUNTIF($A$6:$A$505,A30)&gt;1,"N° de plan en double",IF(B30="","Équipement manquant",IF(ISNA(MATCH(B30,eq_code,0)),"Équipement inconnu",IF(D30="","Tâche manquante",IF(E30="","Déclenchement manquant",IF(AND(E30&lt;&gt;"Calendrier",E30&lt;&gt;"Compteur",E30&lt;&gt;"Au premier des deux"),"Déclenchement inconnu",IF(AND(E30&lt;&gt;"Compteur",OR(NOT(ISNUMBER(F30)),N(F30)&lt;=0)),"Périodicité en jours manquante",IF(AND(E30&lt;&gt;"Calendrier",OR(NOT(ISNUMBER(G30)),N(G30)&lt;=0)),"Périodicité compteur manquante",IF(AND(J30&lt;&gt;"",OR(NOT(ISNUMBER(J30)),N(J30)&lt;=0)),"Date de réalisation invalide",IF(AND(K30&lt;&gt;"",OR(NOT(ISNUMBER(K30)),N(K30)&lt;0)),"Compteur de réalisation invalide",IF(AND(E30&lt;&gt;"Compteur",N(M30)=0,IFERROR(N(INDEX(eq_start,MATCH(B30,eq_code,0))),0)=0),"Date de départ manquante",IF(AND(E30&lt;&gt;"Calendrier",K30="",N(N30)=0),"Compteur de départ manquant",IF(AND(E30&lt;&gt;"Calendrier",N(Q30)=0),"Relevé compteur manquant (Équipements)",IF(AND(I30&lt;&gt;"",ISNA(MATCH(I30,tech_name,0))),"Technicien inconnu",IF(AND(L30&lt;&gt;"",L30&lt;&gt;"Oui",L30&lt;&gt;"Non"),"Actif : Oui ou Non","OK")))))))))))))))))</f>
        <v/>
      </c>
      <c r="W30" s="67">
        <f>IFERROR(N(INDEX(eq_use,MATCH(B30,eq_code,0))),0)</f>
        <v>0.0</v>
      </c>
      <c r="X30" s="67" t="str">
        <f>IF(AND(ISNUMBER(S30),W30&gt;0),p_today+MAX(0,ROUNDUP(S30*7/W30,0)),"")</f>
        <v/>
      </c>
      <c r="Y30" s="67" t="str">
        <f>IF(AND(ISNUMBER(T30),OR(U30="En retard",U30="Bientôt",U30="À jour")),IF(AND(ISNUMBER(O30),ISNUMBER(X30)),MIN(F30,G30*7/W30),IF(ISNUMBER(O30),F30,G30*7/W30)),"")</f>
        <v/>
      </c>
      <c r="Z30" s="67" t="str">
        <f>IF(OR(U30="En retard",U30="Bientôt"),IF(U30="En retard",0,1)*1000000000+IF(AB30="A",0,IF(AB30="B",1,IF(AB30="C",2,3)))*100000000+IF(ISNUMBER(T30),T30,p_today)*1000+ROW()-5,"")</f>
        <v/>
      </c>
      <c r="AA30" s="67" t="str">
        <f>IF(Z30="","",COUNTIF($Z$6:$Z$505,"&lt;"&amp;Z30)+1)</f>
        <v/>
      </c>
      <c r="AB30" s="67" t="str">
        <f>IFERROR(INDEX(eq_crit,MATCH(B30,eq_code,0))&amp;"","")</f>
        <v/>
      </c>
    </row>
    <row r="31">
      <c r="A31" s="65" t="n"/>
      <c r="B31" s="66" t="n"/>
      <c r="C31" s="67" t="str">
        <f>IF(B31="","",IFERROR(INDEX(eq_des,MATCH(B31,eq_code,0))&amp;"","Équipement inconnu"))</f>
        <v/>
      </c>
      <c r="D31" s="66" t="n"/>
      <c r="E31" s="68" t="n"/>
      <c r="F31" s="69" t="n"/>
      <c r="G31" s="70" t="n"/>
      <c r="H31" s="71" t="n"/>
      <c r="I31" s="66" t="n"/>
      <c r="J31" s="72" t="n"/>
      <c r="K31" s="73" t="n"/>
      <c r="L31" s="68" t="n"/>
      <c r="M31" s="74" t="str">
        <f>IF(AND(A31="",B31="",D31=""),"",MAX(N(J31),IF(A31="",0,SUMPRODUCT(MAX((in_plan=A31)*in_prev*in_dnum)))))</f>
        <v/>
      </c>
      <c r="N31" s="75" t="str">
        <f>IF(AND(A31="",B31="",D31=""),"",MAX(N(K31),IF(A31="",0,SUMPRODUCT(MAX((in_plan=A31)*in_prev*in_cnum)))))</f>
        <v/>
      </c>
      <c r="O31" s="76" t="str">
        <f>IF(AND(OR(E31="Calendrier",E31="Au premier des deux"),N(F31)&gt;0,IF(N(M31)&gt;0,M31,IFERROR(N(INDEX(eq_start,MATCH(B31,eq_code,0))),0))&gt;0),IF(N(M31)&gt;0,M31,IFERROR(N(INDEX(eq_start,MATCH(B31,eq_code,0))),0))+F31,"")</f>
        <v/>
      </c>
      <c r="P31" s="75" t="str">
        <f>IF(AND(OR(E31="Compteur",E31="Au premier des deux"),N(G31)&gt;0),N(N31)+G31,"")</f>
        <v/>
      </c>
      <c r="Q31" s="75" t="str">
        <f>IF(B31="","",IFERROR(N(INDEX(eq_cnt,MATCH(B31,eq_code,0))),""))</f>
        <v/>
      </c>
      <c r="R31" s="77" t="str">
        <f>IF(ISNUMBER(O31),O31-p_today,"")</f>
        <v/>
      </c>
      <c r="S31" s="78" t="str">
        <f>IF(AND(ISNUMBER(P31),N(Q31)&gt;0),P31-Q31,"")</f>
        <v/>
      </c>
      <c r="T31" s="76" t="str">
        <f>IF(AND(ISNUMBER(O31),ISNUMBER(X31)),MIN(O31,X31),IF(ISNUMBER(O31),O31,X31))</f>
        <v/>
      </c>
      <c r="U31" s="79" t="str">
        <f>IF(AND(A31="",B31="",D31=""),"",IF(L31="Non","Inactif",IF(AND(NOT(ISNUMBER(R31)),NOT(ISNUMBER(S31))),"À compléter",IF(OR(AND(ISNUMBER(R31),N(R31)&lt;0),AND(ISNUMBER(S31),N(S31)&lt;0)),"En retard",IF(OR(AND(ISNUMBER(R31),N(R31)&lt;=p_soon),AND(ISNUMBER(S31),N(S31)&lt;=p_soon_pct*N(G31))),"Bientôt","À jour")))))</f>
        <v/>
      </c>
      <c r="V31" s="79" t="str">
        <f>IF(AND(A31="",B31="",D31=""),"",IF(A31="","N° de plan manquant",IF(COUNTIF($A$6:$A$505,A31)&gt;1,"N° de plan en double",IF(B31="","Équipement manquant",IF(ISNA(MATCH(B31,eq_code,0)),"Équipement inconnu",IF(D31="","Tâche manquante",IF(E31="","Déclenchement manquant",IF(AND(E31&lt;&gt;"Calendrier",E31&lt;&gt;"Compteur",E31&lt;&gt;"Au premier des deux"),"Déclenchement inconnu",IF(AND(E31&lt;&gt;"Compteur",OR(NOT(ISNUMBER(F31)),N(F31)&lt;=0)),"Périodicité en jours manquante",IF(AND(E31&lt;&gt;"Calendrier",OR(NOT(ISNUMBER(G31)),N(G31)&lt;=0)),"Périodicité compteur manquante",IF(AND(J31&lt;&gt;"",OR(NOT(ISNUMBER(J31)),N(J31)&lt;=0)),"Date de réalisation invalide",IF(AND(K31&lt;&gt;"",OR(NOT(ISNUMBER(K31)),N(K31)&lt;0)),"Compteur de réalisation invalide",IF(AND(E31&lt;&gt;"Compteur",N(M31)=0,IFERROR(N(INDEX(eq_start,MATCH(B31,eq_code,0))),0)=0),"Date de départ manquante",IF(AND(E31&lt;&gt;"Calendrier",K31="",N(N31)=0),"Compteur de départ manquant",IF(AND(E31&lt;&gt;"Calendrier",N(Q31)=0),"Relevé compteur manquant (Équipements)",IF(AND(I31&lt;&gt;"",ISNA(MATCH(I31,tech_name,0))),"Technicien inconnu",IF(AND(L31&lt;&gt;"",L31&lt;&gt;"Oui",L31&lt;&gt;"Non"),"Actif : Oui ou Non","OK")))))))))))))))))</f>
        <v/>
      </c>
      <c r="W31" s="67">
        <f>IFERROR(N(INDEX(eq_use,MATCH(B31,eq_code,0))),0)</f>
        <v>0.0</v>
      </c>
      <c r="X31" s="67" t="str">
        <f>IF(AND(ISNUMBER(S31),W31&gt;0),p_today+MAX(0,ROUNDUP(S31*7/W31,0)),"")</f>
        <v/>
      </c>
      <c r="Y31" s="67" t="str">
        <f>IF(AND(ISNUMBER(T31),OR(U31="En retard",U31="Bientôt",U31="À jour")),IF(AND(ISNUMBER(O31),ISNUMBER(X31)),MIN(F31,G31*7/W31),IF(ISNUMBER(O31),F31,G31*7/W31)),"")</f>
        <v/>
      </c>
      <c r="Z31" s="67" t="str">
        <f>IF(OR(U31="En retard",U31="Bientôt"),IF(U31="En retard",0,1)*1000000000+IF(AB31="A",0,IF(AB31="B",1,IF(AB31="C",2,3)))*100000000+IF(ISNUMBER(T31),T31,p_today)*1000+ROW()-5,"")</f>
        <v/>
      </c>
      <c r="AA31" s="67" t="str">
        <f>IF(Z31="","",COUNTIF($Z$6:$Z$505,"&lt;"&amp;Z31)+1)</f>
        <v/>
      </c>
      <c r="AB31" s="67" t="str">
        <f>IFERROR(INDEX(eq_crit,MATCH(B31,eq_code,0))&amp;"","")</f>
        <v/>
      </c>
    </row>
    <row r="32">
      <c r="A32" s="65" t="n"/>
      <c r="B32" s="66" t="n"/>
      <c r="C32" s="67" t="str">
        <f>IF(B32="","",IFERROR(INDEX(eq_des,MATCH(B32,eq_code,0))&amp;"","Équipement inconnu"))</f>
        <v/>
      </c>
      <c r="D32" s="66" t="n"/>
      <c r="E32" s="68" t="n"/>
      <c r="F32" s="69" t="n"/>
      <c r="G32" s="70" t="n"/>
      <c r="H32" s="71" t="n"/>
      <c r="I32" s="66" t="n"/>
      <c r="J32" s="72" t="n"/>
      <c r="K32" s="73" t="n"/>
      <c r="L32" s="68" t="n"/>
      <c r="M32" s="74" t="str">
        <f>IF(AND(A32="",B32="",D32=""),"",MAX(N(J32),IF(A32="",0,SUMPRODUCT(MAX((in_plan=A32)*in_prev*in_dnum)))))</f>
        <v/>
      </c>
      <c r="N32" s="75" t="str">
        <f>IF(AND(A32="",B32="",D32=""),"",MAX(N(K32),IF(A32="",0,SUMPRODUCT(MAX((in_plan=A32)*in_prev*in_cnum)))))</f>
        <v/>
      </c>
      <c r="O32" s="76" t="str">
        <f>IF(AND(OR(E32="Calendrier",E32="Au premier des deux"),N(F32)&gt;0,IF(N(M32)&gt;0,M32,IFERROR(N(INDEX(eq_start,MATCH(B32,eq_code,0))),0))&gt;0),IF(N(M32)&gt;0,M32,IFERROR(N(INDEX(eq_start,MATCH(B32,eq_code,0))),0))+F32,"")</f>
        <v/>
      </c>
      <c r="P32" s="75" t="str">
        <f>IF(AND(OR(E32="Compteur",E32="Au premier des deux"),N(G32)&gt;0),N(N32)+G32,"")</f>
        <v/>
      </c>
      <c r="Q32" s="75" t="str">
        <f>IF(B32="","",IFERROR(N(INDEX(eq_cnt,MATCH(B32,eq_code,0))),""))</f>
        <v/>
      </c>
      <c r="R32" s="77" t="str">
        <f>IF(ISNUMBER(O32),O32-p_today,"")</f>
        <v/>
      </c>
      <c r="S32" s="78" t="str">
        <f>IF(AND(ISNUMBER(P32),N(Q32)&gt;0),P32-Q32,"")</f>
        <v/>
      </c>
      <c r="T32" s="76" t="str">
        <f>IF(AND(ISNUMBER(O32),ISNUMBER(X32)),MIN(O32,X32),IF(ISNUMBER(O32),O32,X32))</f>
        <v/>
      </c>
      <c r="U32" s="79" t="str">
        <f>IF(AND(A32="",B32="",D32=""),"",IF(L32="Non","Inactif",IF(AND(NOT(ISNUMBER(R32)),NOT(ISNUMBER(S32))),"À compléter",IF(OR(AND(ISNUMBER(R32),N(R32)&lt;0),AND(ISNUMBER(S32),N(S32)&lt;0)),"En retard",IF(OR(AND(ISNUMBER(R32),N(R32)&lt;=p_soon),AND(ISNUMBER(S32),N(S32)&lt;=p_soon_pct*N(G32))),"Bientôt","À jour")))))</f>
        <v/>
      </c>
      <c r="V32" s="79" t="str">
        <f>IF(AND(A32="",B32="",D32=""),"",IF(A32="","N° de plan manquant",IF(COUNTIF($A$6:$A$505,A32)&gt;1,"N° de plan en double",IF(B32="","Équipement manquant",IF(ISNA(MATCH(B32,eq_code,0)),"Équipement inconnu",IF(D32="","Tâche manquante",IF(E32="","Déclenchement manquant",IF(AND(E32&lt;&gt;"Calendrier",E32&lt;&gt;"Compteur",E32&lt;&gt;"Au premier des deux"),"Déclenchement inconnu",IF(AND(E32&lt;&gt;"Compteur",OR(NOT(ISNUMBER(F32)),N(F32)&lt;=0)),"Périodicité en jours manquante",IF(AND(E32&lt;&gt;"Calendrier",OR(NOT(ISNUMBER(G32)),N(G32)&lt;=0)),"Périodicité compteur manquante",IF(AND(J32&lt;&gt;"",OR(NOT(ISNUMBER(J32)),N(J32)&lt;=0)),"Date de réalisation invalide",IF(AND(K32&lt;&gt;"",OR(NOT(ISNUMBER(K32)),N(K32)&lt;0)),"Compteur de réalisation invalide",IF(AND(E32&lt;&gt;"Compteur",N(M32)=0,IFERROR(N(INDEX(eq_start,MATCH(B32,eq_code,0))),0)=0),"Date de départ manquante",IF(AND(E32&lt;&gt;"Calendrier",K32="",N(N32)=0),"Compteur de départ manquant",IF(AND(E32&lt;&gt;"Calendrier",N(Q32)=0),"Relevé compteur manquant (Équipements)",IF(AND(I32&lt;&gt;"",ISNA(MATCH(I32,tech_name,0))),"Technicien inconnu",IF(AND(L32&lt;&gt;"",L32&lt;&gt;"Oui",L32&lt;&gt;"Non"),"Actif : Oui ou Non","OK")))))))))))))))))</f>
        <v/>
      </c>
      <c r="W32" s="67">
        <f>IFERROR(N(INDEX(eq_use,MATCH(B32,eq_code,0))),0)</f>
        <v>0.0</v>
      </c>
      <c r="X32" s="67" t="str">
        <f>IF(AND(ISNUMBER(S32),W32&gt;0),p_today+MAX(0,ROUNDUP(S32*7/W32,0)),"")</f>
        <v/>
      </c>
      <c r="Y32" s="67" t="str">
        <f>IF(AND(ISNUMBER(T32),OR(U32="En retard",U32="Bientôt",U32="À jour")),IF(AND(ISNUMBER(O32),ISNUMBER(X32)),MIN(F32,G32*7/W32),IF(ISNUMBER(O32),F32,G32*7/W32)),"")</f>
        <v/>
      </c>
      <c r="Z32" s="67" t="str">
        <f>IF(OR(U32="En retard",U32="Bientôt"),IF(U32="En retard",0,1)*1000000000+IF(AB32="A",0,IF(AB32="B",1,IF(AB32="C",2,3)))*100000000+IF(ISNUMBER(T32),T32,p_today)*1000+ROW()-5,"")</f>
        <v/>
      </c>
      <c r="AA32" s="67" t="str">
        <f>IF(Z32="","",COUNTIF($Z$6:$Z$505,"&lt;"&amp;Z32)+1)</f>
        <v/>
      </c>
      <c r="AB32" s="67" t="str">
        <f>IFERROR(INDEX(eq_crit,MATCH(B32,eq_code,0))&amp;"","")</f>
        <v/>
      </c>
    </row>
    <row r="33">
      <c r="A33" s="65" t="n"/>
      <c r="B33" s="66" t="n"/>
      <c r="C33" s="67" t="str">
        <f>IF(B33="","",IFERROR(INDEX(eq_des,MATCH(B33,eq_code,0))&amp;"","Équipement inconnu"))</f>
        <v/>
      </c>
      <c r="D33" s="66" t="n"/>
      <c r="E33" s="68" t="n"/>
      <c r="F33" s="69" t="n"/>
      <c r="G33" s="70" t="n"/>
      <c r="H33" s="71" t="n"/>
      <c r="I33" s="66" t="n"/>
      <c r="J33" s="72" t="n"/>
      <c r="K33" s="73" t="n"/>
      <c r="L33" s="68" t="n"/>
      <c r="M33" s="74" t="str">
        <f>IF(AND(A33="",B33="",D33=""),"",MAX(N(J33),IF(A33="",0,SUMPRODUCT(MAX((in_plan=A33)*in_prev*in_dnum)))))</f>
        <v/>
      </c>
      <c r="N33" s="75" t="str">
        <f>IF(AND(A33="",B33="",D33=""),"",MAX(N(K33),IF(A33="",0,SUMPRODUCT(MAX((in_plan=A33)*in_prev*in_cnum)))))</f>
        <v/>
      </c>
      <c r="O33" s="76" t="str">
        <f>IF(AND(OR(E33="Calendrier",E33="Au premier des deux"),N(F33)&gt;0,IF(N(M33)&gt;0,M33,IFERROR(N(INDEX(eq_start,MATCH(B33,eq_code,0))),0))&gt;0),IF(N(M33)&gt;0,M33,IFERROR(N(INDEX(eq_start,MATCH(B33,eq_code,0))),0))+F33,"")</f>
        <v/>
      </c>
      <c r="P33" s="75" t="str">
        <f>IF(AND(OR(E33="Compteur",E33="Au premier des deux"),N(G33)&gt;0),N(N33)+G33,"")</f>
        <v/>
      </c>
      <c r="Q33" s="75" t="str">
        <f>IF(B33="","",IFERROR(N(INDEX(eq_cnt,MATCH(B33,eq_code,0))),""))</f>
        <v/>
      </c>
      <c r="R33" s="77" t="str">
        <f>IF(ISNUMBER(O33),O33-p_today,"")</f>
        <v/>
      </c>
      <c r="S33" s="78" t="str">
        <f>IF(AND(ISNUMBER(P33),N(Q33)&gt;0),P33-Q33,"")</f>
        <v/>
      </c>
      <c r="T33" s="76" t="str">
        <f>IF(AND(ISNUMBER(O33),ISNUMBER(X33)),MIN(O33,X33),IF(ISNUMBER(O33),O33,X33))</f>
        <v/>
      </c>
      <c r="U33" s="79" t="str">
        <f>IF(AND(A33="",B33="",D33=""),"",IF(L33="Non","Inactif",IF(AND(NOT(ISNUMBER(R33)),NOT(ISNUMBER(S33))),"À compléter",IF(OR(AND(ISNUMBER(R33),N(R33)&lt;0),AND(ISNUMBER(S33),N(S33)&lt;0)),"En retard",IF(OR(AND(ISNUMBER(R33),N(R33)&lt;=p_soon),AND(ISNUMBER(S33),N(S33)&lt;=p_soon_pct*N(G33))),"Bientôt","À jour")))))</f>
        <v/>
      </c>
      <c r="V33" s="79" t="str">
        <f>IF(AND(A33="",B33="",D33=""),"",IF(A33="","N° de plan manquant",IF(COUNTIF($A$6:$A$505,A33)&gt;1,"N° de plan en double",IF(B33="","Équipement manquant",IF(ISNA(MATCH(B33,eq_code,0)),"Équipement inconnu",IF(D33="","Tâche manquante",IF(E33="","Déclenchement manquant",IF(AND(E33&lt;&gt;"Calendrier",E33&lt;&gt;"Compteur",E33&lt;&gt;"Au premier des deux"),"Déclenchement inconnu",IF(AND(E33&lt;&gt;"Compteur",OR(NOT(ISNUMBER(F33)),N(F33)&lt;=0)),"Périodicité en jours manquante",IF(AND(E33&lt;&gt;"Calendrier",OR(NOT(ISNUMBER(G33)),N(G33)&lt;=0)),"Périodicité compteur manquante",IF(AND(J33&lt;&gt;"",OR(NOT(ISNUMBER(J33)),N(J33)&lt;=0)),"Date de réalisation invalide",IF(AND(K33&lt;&gt;"",OR(NOT(ISNUMBER(K33)),N(K33)&lt;0)),"Compteur de réalisation invalide",IF(AND(E33&lt;&gt;"Compteur",N(M33)=0,IFERROR(N(INDEX(eq_start,MATCH(B33,eq_code,0))),0)=0),"Date de départ manquante",IF(AND(E33&lt;&gt;"Calendrier",K33="",N(N33)=0),"Compteur de départ manquant",IF(AND(E33&lt;&gt;"Calendrier",N(Q33)=0),"Relevé compteur manquant (Équipements)",IF(AND(I33&lt;&gt;"",ISNA(MATCH(I33,tech_name,0))),"Technicien inconnu",IF(AND(L33&lt;&gt;"",L33&lt;&gt;"Oui",L33&lt;&gt;"Non"),"Actif : Oui ou Non","OK")))))))))))))))))</f>
        <v/>
      </c>
      <c r="W33" s="67">
        <f>IFERROR(N(INDEX(eq_use,MATCH(B33,eq_code,0))),0)</f>
        <v>0.0</v>
      </c>
      <c r="X33" s="67" t="str">
        <f>IF(AND(ISNUMBER(S33),W33&gt;0),p_today+MAX(0,ROUNDUP(S33*7/W33,0)),"")</f>
        <v/>
      </c>
      <c r="Y33" s="67" t="str">
        <f>IF(AND(ISNUMBER(T33),OR(U33="En retard",U33="Bientôt",U33="À jour")),IF(AND(ISNUMBER(O33),ISNUMBER(X33)),MIN(F33,G33*7/W33),IF(ISNUMBER(O33),F33,G33*7/W33)),"")</f>
        <v/>
      </c>
      <c r="Z33" s="67" t="str">
        <f>IF(OR(U33="En retard",U33="Bientôt"),IF(U33="En retard",0,1)*1000000000+IF(AB33="A",0,IF(AB33="B",1,IF(AB33="C",2,3)))*100000000+IF(ISNUMBER(T33),T33,p_today)*1000+ROW()-5,"")</f>
        <v/>
      </c>
      <c r="AA33" s="67" t="str">
        <f>IF(Z33="","",COUNTIF($Z$6:$Z$505,"&lt;"&amp;Z33)+1)</f>
        <v/>
      </c>
      <c r="AB33" s="67" t="str">
        <f>IFERROR(INDEX(eq_crit,MATCH(B33,eq_code,0))&amp;"","")</f>
        <v/>
      </c>
    </row>
    <row r="34">
      <c r="A34" s="65" t="n"/>
      <c r="B34" s="66" t="n"/>
      <c r="C34" s="67" t="str">
        <f>IF(B34="","",IFERROR(INDEX(eq_des,MATCH(B34,eq_code,0))&amp;"","Équipement inconnu"))</f>
        <v/>
      </c>
      <c r="D34" s="66" t="n"/>
      <c r="E34" s="68" t="n"/>
      <c r="F34" s="69" t="n"/>
      <c r="G34" s="70" t="n"/>
      <c r="H34" s="71" t="n"/>
      <c r="I34" s="66" t="n"/>
      <c r="J34" s="72" t="n"/>
      <c r="K34" s="73" t="n"/>
      <c r="L34" s="68" t="n"/>
      <c r="M34" s="74" t="str">
        <f>IF(AND(A34="",B34="",D34=""),"",MAX(N(J34),IF(A34="",0,SUMPRODUCT(MAX((in_plan=A34)*in_prev*in_dnum)))))</f>
        <v/>
      </c>
      <c r="N34" s="75" t="str">
        <f>IF(AND(A34="",B34="",D34=""),"",MAX(N(K34),IF(A34="",0,SUMPRODUCT(MAX((in_plan=A34)*in_prev*in_cnum)))))</f>
        <v/>
      </c>
      <c r="O34" s="76" t="str">
        <f>IF(AND(OR(E34="Calendrier",E34="Au premier des deux"),N(F34)&gt;0,IF(N(M34)&gt;0,M34,IFERROR(N(INDEX(eq_start,MATCH(B34,eq_code,0))),0))&gt;0),IF(N(M34)&gt;0,M34,IFERROR(N(INDEX(eq_start,MATCH(B34,eq_code,0))),0))+F34,"")</f>
        <v/>
      </c>
      <c r="P34" s="75" t="str">
        <f>IF(AND(OR(E34="Compteur",E34="Au premier des deux"),N(G34)&gt;0),N(N34)+G34,"")</f>
        <v/>
      </c>
      <c r="Q34" s="75" t="str">
        <f>IF(B34="","",IFERROR(N(INDEX(eq_cnt,MATCH(B34,eq_code,0))),""))</f>
        <v/>
      </c>
      <c r="R34" s="77" t="str">
        <f>IF(ISNUMBER(O34),O34-p_today,"")</f>
        <v/>
      </c>
      <c r="S34" s="78" t="str">
        <f>IF(AND(ISNUMBER(P34),N(Q34)&gt;0),P34-Q34,"")</f>
        <v/>
      </c>
      <c r="T34" s="76" t="str">
        <f>IF(AND(ISNUMBER(O34),ISNUMBER(X34)),MIN(O34,X34),IF(ISNUMBER(O34),O34,X34))</f>
        <v/>
      </c>
      <c r="U34" s="79" t="str">
        <f>IF(AND(A34="",B34="",D34=""),"",IF(L34="Non","Inactif",IF(AND(NOT(ISNUMBER(R34)),NOT(ISNUMBER(S34))),"À compléter",IF(OR(AND(ISNUMBER(R34),N(R34)&lt;0),AND(ISNUMBER(S34),N(S34)&lt;0)),"En retard",IF(OR(AND(ISNUMBER(R34),N(R34)&lt;=p_soon),AND(ISNUMBER(S34),N(S34)&lt;=p_soon_pct*N(G34))),"Bientôt","À jour")))))</f>
        <v/>
      </c>
      <c r="V34" s="79" t="str">
        <f>IF(AND(A34="",B34="",D34=""),"",IF(A34="","N° de plan manquant",IF(COUNTIF($A$6:$A$505,A34)&gt;1,"N° de plan en double",IF(B34="","Équipement manquant",IF(ISNA(MATCH(B34,eq_code,0)),"Équipement inconnu",IF(D34="","Tâche manquante",IF(E34="","Déclenchement manquant",IF(AND(E34&lt;&gt;"Calendrier",E34&lt;&gt;"Compteur",E34&lt;&gt;"Au premier des deux"),"Déclenchement inconnu",IF(AND(E34&lt;&gt;"Compteur",OR(NOT(ISNUMBER(F34)),N(F34)&lt;=0)),"Périodicité en jours manquante",IF(AND(E34&lt;&gt;"Calendrier",OR(NOT(ISNUMBER(G34)),N(G34)&lt;=0)),"Périodicité compteur manquante",IF(AND(J34&lt;&gt;"",OR(NOT(ISNUMBER(J34)),N(J34)&lt;=0)),"Date de réalisation invalide",IF(AND(K34&lt;&gt;"",OR(NOT(ISNUMBER(K34)),N(K34)&lt;0)),"Compteur de réalisation invalide",IF(AND(E34&lt;&gt;"Compteur",N(M34)=0,IFERROR(N(INDEX(eq_start,MATCH(B34,eq_code,0))),0)=0),"Date de départ manquante",IF(AND(E34&lt;&gt;"Calendrier",K34="",N(N34)=0),"Compteur de départ manquant",IF(AND(E34&lt;&gt;"Calendrier",N(Q34)=0),"Relevé compteur manquant (Équipements)",IF(AND(I34&lt;&gt;"",ISNA(MATCH(I34,tech_name,0))),"Technicien inconnu",IF(AND(L34&lt;&gt;"",L34&lt;&gt;"Oui",L34&lt;&gt;"Non"),"Actif : Oui ou Non","OK")))))))))))))))))</f>
        <v/>
      </c>
      <c r="W34" s="67">
        <f>IFERROR(N(INDEX(eq_use,MATCH(B34,eq_code,0))),0)</f>
        <v>0.0</v>
      </c>
      <c r="X34" s="67" t="str">
        <f>IF(AND(ISNUMBER(S34),W34&gt;0),p_today+MAX(0,ROUNDUP(S34*7/W34,0)),"")</f>
        <v/>
      </c>
      <c r="Y34" s="67" t="str">
        <f>IF(AND(ISNUMBER(T34),OR(U34="En retard",U34="Bientôt",U34="À jour")),IF(AND(ISNUMBER(O34),ISNUMBER(X34)),MIN(F34,G34*7/W34),IF(ISNUMBER(O34),F34,G34*7/W34)),"")</f>
        <v/>
      </c>
      <c r="Z34" s="67" t="str">
        <f>IF(OR(U34="En retard",U34="Bientôt"),IF(U34="En retard",0,1)*1000000000+IF(AB34="A",0,IF(AB34="B",1,IF(AB34="C",2,3)))*100000000+IF(ISNUMBER(T34),T34,p_today)*1000+ROW()-5,"")</f>
        <v/>
      </c>
      <c r="AA34" s="67" t="str">
        <f>IF(Z34="","",COUNTIF($Z$6:$Z$505,"&lt;"&amp;Z34)+1)</f>
        <v/>
      </c>
      <c r="AB34" s="67" t="str">
        <f>IFERROR(INDEX(eq_crit,MATCH(B34,eq_code,0))&amp;"","")</f>
        <v/>
      </c>
    </row>
    <row r="35">
      <c r="A35" s="65" t="n"/>
      <c r="B35" s="66" t="n"/>
      <c r="C35" s="67" t="str">
        <f>IF(B35="","",IFERROR(INDEX(eq_des,MATCH(B35,eq_code,0))&amp;"","Équipement inconnu"))</f>
        <v/>
      </c>
      <c r="D35" s="66" t="n"/>
      <c r="E35" s="68" t="n"/>
      <c r="F35" s="69" t="n"/>
      <c r="G35" s="70" t="n"/>
      <c r="H35" s="71" t="n"/>
      <c r="I35" s="66" t="n"/>
      <c r="J35" s="72" t="n"/>
      <c r="K35" s="73" t="n"/>
      <c r="L35" s="68" t="n"/>
      <c r="M35" s="74" t="str">
        <f>IF(AND(A35="",B35="",D35=""),"",MAX(N(J35),IF(A35="",0,SUMPRODUCT(MAX((in_plan=A35)*in_prev*in_dnum)))))</f>
        <v/>
      </c>
      <c r="N35" s="75" t="str">
        <f>IF(AND(A35="",B35="",D35=""),"",MAX(N(K35),IF(A35="",0,SUMPRODUCT(MAX((in_plan=A35)*in_prev*in_cnum)))))</f>
        <v/>
      </c>
      <c r="O35" s="76" t="str">
        <f>IF(AND(OR(E35="Calendrier",E35="Au premier des deux"),N(F35)&gt;0,IF(N(M35)&gt;0,M35,IFERROR(N(INDEX(eq_start,MATCH(B35,eq_code,0))),0))&gt;0),IF(N(M35)&gt;0,M35,IFERROR(N(INDEX(eq_start,MATCH(B35,eq_code,0))),0))+F35,"")</f>
        <v/>
      </c>
      <c r="P35" s="75" t="str">
        <f>IF(AND(OR(E35="Compteur",E35="Au premier des deux"),N(G35)&gt;0),N(N35)+G35,"")</f>
        <v/>
      </c>
      <c r="Q35" s="75" t="str">
        <f>IF(B35="","",IFERROR(N(INDEX(eq_cnt,MATCH(B35,eq_code,0))),""))</f>
        <v/>
      </c>
      <c r="R35" s="77" t="str">
        <f>IF(ISNUMBER(O35),O35-p_today,"")</f>
        <v/>
      </c>
      <c r="S35" s="78" t="str">
        <f>IF(AND(ISNUMBER(P35),N(Q35)&gt;0),P35-Q35,"")</f>
        <v/>
      </c>
      <c r="T35" s="76" t="str">
        <f>IF(AND(ISNUMBER(O35),ISNUMBER(X35)),MIN(O35,X35),IF(ISNUMBER(O35),O35,X35))</f>
        <v/>
      </c>
      <c r="U35" s="79" t="str">
        <f>IF(AND(A35="",B35="",D35=""),"",IF(L35="Non","Inactif",IF(AND(NOT(ISNUMBER(R35)),NOT(ISNUMBER(S35))),"À compléter",IF(OR(AND(ISNUMBER(R35),N(R35)&lt;0),AND(ISNUMBER(S35),N(S35)&lt;0)),"En retard",IF(OR(AND(ISNUMBER(R35),N(R35)&lt;=p_soon),AND(ISNUMBER(S35),N(S35)&lt;=p_soon_pct*N(G35))),"Bientôt","À jour")))))</f>
        <v/>
      </c>
      <c r="V35" s="79" t="str">
        <f>IF(AND(A35="",B35="",D35=""),"",IF(A35="","N° de plan manquant",IF(COUNTIF($A$6:$A$505,A35)&gt;1,"N° de plan en double",IF(B35="","Équipement manquant",IF(ISNA(MATCH(B35,eq_code,0)),"Équipement inconnu",IF(D35="","Tâche manquante",IF(E35="","Déclenchement manquant",IF(AND(E35&lt;&gt;"Calendrier",E35&lt;&gt;"Compteur",E35&lt;&gt;"Au premier des deux"),"Déclenchement inconnu",IF(AND(E35&lt;&gt;"Compteur",OR(NOT(ISNUMBER(F35)),N(F35)&lt;=0)),"Périodicité en jours manquante",IF(AND(E35&lt;&gt;"Calendrier",OR(NOT(ISNUMBER(G35)),N(G35)&lt;=0)),"Périodicité compteur manquante",IF(AND(J35&lt;&gt;"",OR(NOT(ISNUMBER(J35)),N(J35)&lt;=0)),"Date de réalisation invalide",IF(AND(K35&lt;&gt;"",OR(NOT(ISNUMBER(K35)),N(K35)&lt;0)),"Compteur de réalisation invalide",IF(AND(E35&lt;&gt;"Compteur",N(M35)=0,IFERROR(N(INDEX(eq_start,MATCH(B35,eq_code,0))),0)=0),"Date de départ manquante",IF(AND(E35&lt;&gt;"Calendrier",K35="",N(N35)=0),"Compteur de départ manquant",IF(AND(E35&lt;&gt;"Calendrier",N(Q35)=0),"Relevé compteur manquant (Équipements)",IF(AND(I35&lt;&gt;"",ISNA(MATCH(I35,tech_name,0))),"Technicien inconnu",IF(AND(L35&lt;&gt;"",L35&lt;&gt;"Oui",L35&lt;&gt;"Non"),"Actif : Oui ou Non","OK")))))))))))))))))</f>
        <v/>
      </c>
      <c r="W35" s="67">
        <f>IFERROR(N(INDEX(eq_use,MATCH(B35,eq_code,0))),0)</f>
        <v>0.0</v>
      </c>
      <c r="X35" s="67" t="str">
        <f>IF(AND(ISNUMBER(S35),W35&gt;0),p_today+MAX(0,ROUNDUP(S35*7/W35,0)),"")</f>
        <v/>
      </c>
      <c r="Y35" s="67" t="str">
        <f>IF(AND(ISNUMBER(T35),OR(U35="En retard",U35="Bientôt",U35="À jour")),IF(AND(ISNUMBER(O35),ISNUMBER(X35)),MIN(F35,G35*7/W35),IF(ISNUMBER(O35),F35,G35*7/W35)),"")</f>
        <v/>
      </c>
      <c r="Z35" s="67" t="str">
        <f>IF(OR(U35="En retard",U35="Bientôt"),IF(U35="En retard",0,1)*1000000000+IF(AB35="A",0,IF(AB35="B",1,IF(AB35="C",2,3)))*100000000+IF(ISNUMBER(T35),T35,p_today)*1000+ROW()-5,"")</f>
        <v/>
      </c>
      <c r="AA35" s="67" t="str">
        <f>IF(Z35="","",COUNTIF($Z$6:$Z$505,"&lt;"&amp;Z35)+1)</f>
        <v/>
      </c>
      <c r="AB35" s="67" t="str">
        <f>IFERROR(INDEX(eq_crit,MATCH(B35,eq_code,0))&amp;"","")</f>
        <v/>
      </c>
    </row>
    <row r="36">
      <c r="A36" s="65" t="n"/>
      <c r="B36" s="66" t="n"/>
      <c r="C36" s="67" t="str">
        <f>IF(B36="","",IFERROR(INDEX(eq_des,MATCH(B36,eq_code,0))&amp;"","Équipement inconnu"))</f>
        <v/>
      </c>
      <c r="D36" s="66" t="n"/>
      <c r="E36" s="68" t="n"/>
      <c r="F36" s="69" t="n"/>
      <c r="G36" s="70" t="n"/>
      <c r="H36" s="71" t="n"/>
      <c r="I36" s="66" t="n"/>
      <c r="J36" s="72" t="n"/>
      <c r="K36" s="73" t="n"/>
      <c r="L36" s="68" t="n"/>
      <c r="M36" s="74" t="str">
        <f>IF(AND(A36="",B36="",D36=""),"",MAX(N(J36),IF(A36="",0,SUMPRODUCT(MAX((in_plan=A36)*in_prev*in_dnum)))))</f>
        <v/>
      </c>
      <c r="N36" s="75" t="str">
        <f>IF(AND(A36="",B36="",D36=""),"",MAX(N(K36),IF(A36="",0,SUMPRODUCT(MAX((in_plan=A36)*in_prev*in_cnum)))))</f>
        <v/>
      </c>
      <c r="O36" s="76" t="str">
        <f>IF(AND(OR(E36="Calendrier",E36="Au premier des deux"),N(F36)&gt;0,IF(N(M36)&gt;0,M36,IFERROR(N(INDEX(eq_start,MATCH(B36,eq_code,0))),0))&gt;0),IF(N(M36)&gt;0,M36,IFERROR(N(INDEX(eq_start,MATCH(B36,eq_code,0))),0))+F36,"")</f>
        <v/>
      </c>
      <c r="P36" s="75" t="str">
        <f>IF(AND(OR(E36="Compteur",E36="Au premier des deux"),N(G36)&gt;0),N(N36)+G36,"")</f>
        <v/>
      </c>
      <c r="Q36" s="75" t="str">
        <f>IF(B36="","",IFERROR(N(INDEX(eq_cnt,MATCH(B36,eq_code,0))),""))</f>
        <v/>
      </c>
      <c r="R36" s="77" t="str">
        <f>IF(ISNUMBER(O36),O36-p_today,"")</f>
        <v/>
      </c>
      <c r="S36" s="78" t="str">
        <f>IF(AND(ISNUMBER(P36),N(Q36)&gt;0),P36-Q36,"")</f>
        <v/>
      </c>
      <c r="T36" s="76" t="str">
        <f>IF(AND(ISNUMBER(O36),ISNUMBER(X36)),MIN(O36,X36),IF(ISNUMBER(O36),O36,X36))</f>
        <v/>
      </c>
      <c r="U36" s="79" t="str">
        <f>IF(AND(A36="",B36="",D36=""),"",IF(L36="Non","Inactif",IF(AND(NOT(ISNUMBER(R36)),NOT(ISNUMBER(S36))),"À compléter",IF(OR(AND(ISNUMBER(R36),N(R36)&lt;0),AND(ISNUMBER(S36),N(S36)&lt;0)),"En retard",IF(OR(AND(ISNUMBER(R36),N(R36)&lt;=p_soon),AND(ISNUMBER(S36),N(S36)&lt;=p_soon_pct*N(G36))),"Bientôt","À jour")))))</f>
        <v/>
      </c>
      <c r="V36" s="79" t="str">
        <f>IF(AND(A36="",B36="",D36=""),"",IF(A36="","N° de plan manquant",IF(COUNTIF($A$6:$A$505,A36)&gt;1,"N° de plan en double",IF(B36="","Équipement manquant",IF(ISNA(MATCH(B36,eq_code,0)),"Équipement inconnu",IF(D36="","Tâche manquante",IF(E36="","Déclenchement manquant",IF(AND(E36&lt;&gt;"Calendrier",E36&lt;&gt;"Compteur",E36&lt;&gt;"Au premier des deux"),"Déclenchement inconnu",IF(AND(E36&lt;&gt;"Compteur",OR(NOT(ISNUMBER(F36)),N(F36)&lt;=0)),"Périodicité en jours manquante",IF(AND(E36&lt;&gt;"Calendrier",OR(NOT(ISNUMBER(G36)),N(G36)&lt;=0)),"Périodicité compteur manquante",IF(AND(J36&lt;&gt;"",OR(NOT(ISNUMBER(J36)),N(J36)&lt;=0)),"Date de réalisation invalide",IF(AND(K36&lt;&gt;"",OR(NOT(ISNUMBER(K36)),N(K36)&lt;0)),"Compteur de réalisation invalide",IF(AND(E36&lt;&gt;"Compteur",N(M36)=0,IFERROR(N(INDEX(eq_start,MATCH(B36,eq_code,0))),0)=0),"Date de départ manquante",IF(AND(E36&lt;&gt;"Calendrier",K36="",N(N36)=0),"Compteur de départ manquant",IF(AND(E36&lt;&gt;"Calendrier",N(Q36)=0),"Relevé compteur manquant (Équipements)",IF(AND(I36&lt;&gt;"",ISNA(MATCH(I36,tech_name,0))),"Technicien inconnu",IF(AND(L36&lt;&gt;"",L36&lt;&gt;"Oui",L36&lt;&gt;"Non"),"Actif : Oui ou Non","OK")))))))))))))))))</f>
        <v/>
      </c>
      <c r="W36" s="67">
        <f>IFERROR(N(INDEX(eq_use,MATCH(B36,eq_code,0))),0)</f>
        <v>0.0</v>
      </c>
      <c r="X36" s="67" t="str">
        <f>IF(AND(ISNUMBER(S36),W36&gt;0),p_today+MAX(0,ROUNDUP(S36*7/W36,0)),"")</f>
        <v/>
      </c>
      <c r="Y36" s="67" t="str">
        <f>IF(AND(ISNUMBER(T36),OR(U36="En retard",U36="Bientôt",U36="À jour")),IF(AND(ISNUMBER(O36),ISNUMBER(X36)),MIN(F36,G36*7/W36),IF(ISNUMBER(O36),F36,G36*7/W36)),"")</f>
        <v/>
      </c>
      <c r="Z36" s="67" t="str">
        <f>IF(OR(U36="En retard",U36="Bientôt"),IF(U36="En retard",0,1)*1000000000+IF(AB36="A",0,IF(AB36="B",1,IF(AB36="C",2,3)))*100000000+IF(ISNUMBER(T36),T36,p_today)*1000+ROW()-5,"")</f>
        <v/>
      </c>
      <c r="AA36" s="67" t="str">
        <f>IF(Z36="","",COUNTIF($Z$6:$Z$505,"&lt;"&amp;Z36)+1)</f>
        <v/>
      </c>
      <c r="AB36" s="67" t="str">
        <f>IFERROR(INDEX(eq_crit,MATCH(B36,eq_code,0))&amp;"","")</f>
        <v/>
      </c>
    </row>
    <row r="37">
      <c r="A37" s="65" t="n"/>
      <c r="B37" s="66" t="n"/>
      <c r="C37" s="67" t="str">
        <f>IF(B37="","",IFERROR(INDEX(eq_des,MATCH(B37,eq_code,0))&amp;"","Équipement inconnu"))</f>
        <v/>
      </c>
      <c r="D37" s="66" t="n"/>
      <c r="E37" s="68" t="n"/>
      <c r="F37" s="69" t="n"/>
      <c r="G37" s="70" t="n"/>
      <c r="H37" s="71" t="n"/>
      <c r="I37" s="66" t="n"/>
      <c r="J37" s="72" t="n"/>
      <c r="K37" s="73" t="n"/>
      <c r="L37" s="68" t="n"/>
      <c r="M37" s="74" t="str">
        <f>IF(AND(A37="",B37="",D37=""),"",MAX(N(J37),IF(A37="",0,SUMPRODUCT(MAX((in_plan=A37)*in_prev*in_dnum)))))</f>
        <v/>
      </c>
      <c r="N37" s="75" t="str">
        <f>IF(AND(A37="",B37="",D37=""),"",MAX(N(K37),IF(A37="",0,SUMPRODUCT(MAX((in_plan=A37)*in_prev*in_cnum)))))</f>
        <v/>
      </c>
      <c r="O37" s="76" t="str">
        <f>IF(AND(OR(E37="Calendrier",E37="Au premier des deux"),N(F37)&gt;0,IF(N(M37)&gt;0,M37,IFERROR(N(INDEX(eq_start,MATCH(B37,eq_code,0))),0))&gt;0),IF(N(M37)&gt;0,M37,IFERROR(N(INDEX(eq_start,MATCH(B37,eq_code,0))),0))+F37,"")</f>
        <v/>
      </c>
      <c r="P37" s="75" t="str">
        <f>IF(AND(OR(E37="Compteur",E37="Au premier des deux"),N(G37)&gt;0),N(N37)+G37,"")</f>
        <v/>
      </c>
      <c r="Q37" s="75" t="str">
        <f>IF(B37="","",IFERROR(N(INDEX(eq_cnt,MATCH(B37,eq_code,0))),""))</f>
        <v/>
      </c>
      <c r="R37" s="77" t="str">
        <f>IF(ISNUMBER(O37),O37-p_today,"")</f>
        <v/>
      </c>
      <c r="S37" s="78" t="str">
        <f>IF(AND(ISNUMBER(P37),N(Q37)&gt;0),P37-Q37,"")</f>
        <v/>
      </c>
      <c r="T37" s="76" t="str">
        <f>IF(AND(ISNUMBER(O37),ISNUMBER(X37)),MIN(O37,X37),IF(ISNUMBER(O37),O37,X37))</f>
        <v/>
      </c>
      <c r="U37" s="79" t="str">
        <f>IF(AND(A37="",B37="",D37=""),"",IF(L37="Non","Inactif",IF(AND(NOT(ISNUMBER(R37)),NOT(ISNUMBER(S37))),"À compléter",IF(OR(AND(ISNUMBER(R37),N(R37)&lt;0),AND(ISNUMBER(S37),N(S37)&lt;0)),"En retard",IF(OR(AND(ISNUMBER(R37),N(R37)&lt;=p_soon),AND(ISNUMBER(S37),N(S37)&lt;=p_soon_pct*N(G37))),"Bientôt","À jour")))))</f>
        <v/>
      </c>
      <c r="V37" s="79" t="str">
        <f>IF(AND(A37="",B37="",D37=""),"",IF(A37="","N° de plan manquant",IF(COUNTIF($A$6:$A$505,A37)&gt;1,"N° de plan en double",IF(B37="","Équipement manquant",IF(ISNA(MATCH(B37,eq_code,0)),"Équipement inconnu",IF(D37="","Tâche manquante",IF(E37="","Déclenchement manquant",IF(AND(E37&lt;&gt;"Calendrier",E37&lt;&gt;"Compteur",E37&lt;&gt;"Au premier des deux"),"Déclenchement inconnu",IF(AND(E37&lt;&gt;"Compteur",OR(NOT(ISNUMBER(F37)),N(F37)&lt;=0)),"Périodicité en jours manquante",IF(AND(E37&lt;&gt;"Calendrier",OR(NOT(ISNUMBER(G37)),N(G37)&lt;=0)),"Périodicité compteur manquante",IF(AND(J37&lt;&gt;"",OR(NOT(ISNUMBER(J37)),N(J37)&lt;=0)),"Date de réalisation invalide",IF(AND(K37&lt;&gt;"",OR(NOT(ISNUMBER(K37)),N(K37)&lt;0)),"Compteur de réalisation invalide",IF(AND(E37&lt;&gt;"Compteur",N(M37)=0,IFERROR(N(INDEX(eq_start,MATCH(B37,eq_code,0))),0)=0),"Date de départ manquante",IF(AND(E37&lt;&gt;"Calendrier",K37="",N(N37)=0),"Compteur de départ manquant",IF(AND(E37&lt;&gt;"Calendrier",N(Q37)=0),"Relevé compteur manquant (Équipements)",IF(AND(I37&lt;&gt;"",ISNA(MATCH(I37,tech_name,0))),"Technicien inconnu",IF(AND(L37&lt;&gt;"",L37&lt;&gt;"Oui",L37&lt;&gt;"Non"),"Actif : Oui ou Non","OK")))))))))))))))))</f>
        <v/>
      </c>
      <c r="W37" s="67">
        <f>IFERROR(N(INDEX(eq_use,MATCH(B37,eq_code,0))),0)</f>
        <v>0.0</v>
      </c>
      <c r="X37" s="67" t="str">
        <f>IF(AND(ISNUMBER(S37),W37&gt;0),p_today+MAX(0,ROUNDUP(S37*7/W37,0)),"")</f>
        <v/>
      </c>
      <c r="Y37" s="67" t="str">
        <f>IF(AND(ISNUMBER(T37),OR(U37="En retard",U37="Bientôt",U37="À jour")),IF(AND(ISNUMBER(O37),ISNUMBER(X37)),MIN(F37,G37*7/W37),IF(ISNUMBER(O37),F37,G37*7/W37)),"")</f>
        <v/>
      </c>
      <c r="Z37" s="67" t="str">
        <f>IF(OR(U37="En retard",U37="Bientôt"),IF(U37="En retard",0,1)*1000000000+IF(AB37="A",0,IF(AB37="B",1,IF(AB37="C",2,3)))*100000000+IF(ISNUMBER(T37),T37,p_today)*1000+ROW()-5,"")</f>
        <v/>
      </c>
      <c r="AA37" s="67" t="str">
        <f>IF(Z37="","",COUNTIF($Z$6:$Z$505,"&lt;"&amp;Z37)+1)</f>
        <v/>
      </c>
      <c r="AB37" s="67" t="str">
        <f>IFERROR(INDEX(eq_crit,MATCH(B37,eq_code,0))&amp;"","")</f>
        <v/>
      </c>
    </row>
    <row r="38">
      <c r="A38" s="65" t="n"/>
      <c r="B38" s="66" t="n"/>
      <c r="C38" s="67" t="str">
        <f>IF(B38="","",IFERROR(INDEX(eq_des,MATCH(B38,eq_code,0))&amp;"","Équipement inconnu"))</f>
        <v/>
      </c>
      <c r="D38" s="66" t="n"/>
      <c r="E38" s="68" t="n"/>
      <c r="F38" s="69" t="n"/>
      <c r="G38" s="70" t="n"/>
      <c r="H38" s="71" t="n"/>
      <c r="I38" s="66" t="n"/>
      <c r="J38" s="72" t="n"/>
      <c r="K38" s="73" t="n"/>
      <c r="L38" s="68" t="n"/>
      <c r="M38" s="74" t="str">
        <f>IF(AND(A38="",B38="",D38=""),"",MAX(N(J38),IF(A38="",0,SUMPRODUCT(MAX((in_plan=A38)*in_prev*in_dnum)))))</f>
        <v/>
      </c>
      <c r="N38" s="75" t="str">
        <f>IF(AND(A38="",B38="",D38=""),"",MAX(N(K38),IF(A38="",0,SUMPRODUCT(MAX((in_plan=A38)*in_prev*in_cnum)))))</f>
        <v/>
      </c>
      <c r="O38" s="76" t="str">
        <f>IF(AND(OR(E38="Calendrier",E38="Au premier des deux"),N(F38)&gt;0,IF(N(M38)&gt;0,M38,IFERROR(N(INDEX(eq_start,MATCH(B38,eq_code,0))),0))&gt;0),IF(N(M38)&gt;0,M38,IFERROR(N(INDEX(eq_start,MATCH(B38,eq_code,0))),0))+F38,"")</f>
        <v/>
      </c>
      <c r="P38" s="75" t="str">
        <f>IF(AND(OR(E38="Compteur",E38="Au premier des deux"),N(G38)&gt;0),N(N38)+G38,"")</f>
        <v/>
      </c>
      <c r="Q38" s="75" t="str">
        <f>IF(B38="","",IFERROR(N(INDEX(eq_cnt,MATCH(B38,eq_code,0))),""))</f>
        <v/>
      </c>
      <c r="R38" s="77" t="str">
        <f>IF(ISNUMBER(O38),O38-p_today,"")</f>
        <v/>
      </c>
      <c r="S38" s="78" t="str">
        <f>IF(AND(ISNUMBER(P38),N(Q38)&gt;0),P38-Q38,"")</f>
        <v/>
      </c>
      <c r="T38" s="76" t="str">
        <f>IF(AND(ISNUMBER(O38),ISNUMBER(X38)),MIN(O38,X38),IF(ISNUMBER(O38),O38,X38))</f>
        <v/>
      </c>
      <c r="U38" s="79" t="str">
        <f>IF(AND(A38="",B38="",D38=""),"",IF(L38="Non","Inactif",IF(AND(NOT(ISNUMBER(R38)),NOT(ISNUMBER(S38))),"À compléter",IF(OR(AND(ISNUMBER(R38),N(R38)&lt;0),AND(ISNUMBER(S38),N(S38)&lt;0)),"En retard",IF(OR(AND(ISNUMBER(R38),N(R38)&lt;=p_soon),AND(ISNUMBER(S38),N(S38)&lt;=p_soon_pct*N(G38))),"Bientôt","À jour")))))</f>
        <v/>
      </c>
      <c r="V38" s="79" t="str">
        <f>IF(AND(A38="",B38="",D38=""),"",IF(A38="","N° de plan manquant",IF(COUNTIF($A$6:$A$505,A38)&gt;1,"N° de plan en double",IF(B38="","Équipement manquant",IF(ISNA(MATCH(B38,eq_code,0)),"Équipement inconnu",IF(D38="","Tâche manquante",IF(E38="","Déclenchement manquant",IF(AND(E38&lt;&gt;"Calendrier",E38&lt;&gt;"Compteur",E38&lt;&gt;"Au premier des deux"),"Déclenchement inconnu",IF(AND(E38&lt;&gt;"Compteur",OR(NOT(ISNUMBER(F38)),N(F38)&lt;=0)),"Périodicité en jours manquante",IF(AND(E38&lt;&gt;"Calendrier",OR(NOT(ISNUMBER(G38)),N(G38)&lt;=0)),"Périodicité compteur manquante",IF(AND(J38&lt;&gt;"",OR(NOT(ISNUMBER(J38)),N(J38)&lt;=0)),"Date de réalisation invalide",IF(AND(K38&lt;&gt;"",OR(NOT(ISNUMBER(K38)),N(K38)&lt;0)),"Compteur de réalisation invalide",IF(AND(E38&lt;&gt;"Compteur",N(M38)=0,IFERROR(N(INDEX(eq_start,MATCH(B38,eq_code,0))),0)=0),"Date de départ manquante",IF(AND(E38&lt;&gt;"Calendrier",K38="",N(N38)=0),"Compteur de départ manquant",IF(AND(E38&lt;&gt;"Calendrier",N(Q38)=0),"Relevé compteur manquant (Équipements)",IF(AND(I38&lt;&gt;"",ISNA(MATCH(I38,tech_name,0))),"Technicien inconnu",IF(AND(L38&lt;&gt;"",L38&lt;&gt;"Oui",L38&lt;&gt;"Non"),"Actif : Oui ou Non","OK")))))))))))))))))</f>
        <v/>
      </c>
      <c r="W38" s="67">
        <f>IFERROR(N(INDEX(eq_use,MATCH(B38,eq_code,0))),0)</f>
        <v>0.0</v>
      </c>
      <c r="X38" s="67" t="str">
        <f>IF(AND(ISNUMBER(S38),W38&gt;0),p_today+MAX(0,ROUNDUP(S38*7/W38,0)),"")</f>
        <v/>
      </c>
      <c r="Y38" s="67" t="str">
        <f>IF(AND(ISNUMBER(T38),OR(U38="En retard",U38="Bientôt",U38="À jour")),IF(AND(ISNUMBER(O38),ISNUMBER(X38)),MIN(F38,G38*7/W38),IF(ISNUMBER(O38),F38,G38*7/W38)),"")</f>
        <v/>
      </c>
      <c r="Z38" s="67" t="str">
        <f>IF(OR(U38="En retard",U38="Bientôt"),IF(U38="En retard",0,1)*1000000000+IF(AB38="A",0,IF(AB38="B",1,IF(AB38="C",2,3)))*100000000+IF(ISNUMBER(T38),T38,p_today)*1000+ROW()-5,"")</f>
        <v/>
      </c>
      <c r="AA38" s="67" t="str">
        <f>IF(Z38="","",COUNTIF($Z$6:$Z$505,"&lt;"&amp;Z38)+1)</f>
        <v/>
      </c>
      <c r="AB38" s="67" t="str">
        <f>IFERROR(INDEX(eq_crit,MATCH(B38,eq_code,0))&amp;"","")</f>
        <v/>
      </c>
    </row>
    <row r="39">
      <c r="A39" s="65" t="n"/>
      <c r="B39" s="66" t="n"/>
      <c r="C39" s="67" t="str">
        <f>IF(B39="","",IFERROR(INDEX(eq_des,MATCH(B39,eq_code,0))&amp;"","Équipement inconnu"))</f>
        <v/>
      </c>
      <c r="D39" s="66" t="n"/>
      <c r="E39" s="68" t="n"/>
      <c r="F39" s="69" t="n"/>
      <c r="G39" s="70" t="n"/>
      <c r="H39" s="71" t="n"/>
      <c r="I39" s="66" t="n"/>
      <c r="J39" s="72" t="n"/>
      <c r="K39" s="73" t="n"/>
      <c r="L39" s="68" t="n"/>
      <c r="M39" s="74" t="str">
        <f>IF(AND(A39="",B39="",D39=""),"",MAX(N(J39),IF(A39="",0,SUMPRODUCT(MAX((in_plan=A39)*in_prev*in_dnum)))))</f>
        <v/>
      </c>
      <c r="N39" s="75" t="str">
        <f>IF(AND(A39="",B39="",D39=""),"",MAX(N(K39),IF(A39="",0,SUMPRODUCT(MAX((in_plan=A39)*in_prev*in_cnum)))))</f>
        <v/>
      </c>
      <c r="O39" s="76" t="str">
        <f>IF(AND(OR(E39="Calendrier",E39="Au premier des deux"),N(F39)&gt;0,IF(N(M39)&gt;0,M39,IFERROR(N(INDEX(eq_start,MATCH(B39,eq_code,0))),0))&gt;0),IF(N(M39)&gt;0,M39,IFERROR(N(INDEX(eq_start,MATCH(B39,eq_code,0))),0))+F39,"")</f>
        <v/>
      </c>
      <c r="P39" s="75" t="str">
        <f>IF(AND(OR(E39="Compteur",E39="Au premier des deux"),N(G39)&gt;0),N(N39)+G39,"")</f>
        <v/>
      </c>
      <c r="Q39" s="75" t="str">
        <f>IF(B39="","",IFERROR(N(INDEX(eq_cnt,MATCH(B39,eq_code,0))),""))</f>
        <v/>
      </c>
      <c r="R39" s="77" t="str">
        <f>IF(ISNUMBER(O39),O39-p_today,"")</f>
        <v/>
      </c>
      <c r="S39" s="78" t="str">
        <f>IF(AND(ISNUMBER(P39),N(Q39)&gt;0),P39-Q39,"")</f>
        <v/>
      </c>
      <c r="T39" s="76" t="str">
        <f>IF(AND(ISNUMBER(O39),ISNUMBER(X39)),MIN(O39,X39),IF(ISNUMBER(O39),O39,X39))</f>
        <v/>
      </c>
      <c r="U39" s="79" t="str">
        <f>IF(AND(A39="",B39="",D39=""),"",IF(L39="Non","Inactif",IF(AND(NOT(ISNUMBER(R39)),NOT(ISNUMBER(S39))),"À compléter",IF(OR(AND(ISNUMBER(R39),N(R39)&lt;0),AND(ISNUMBER(S39),N(S39)&lt;0)),"En retard",IF(OR(AND(ISNUMBER(R39),N(R39)&lt;=p_soon),AND(ISNUMBER(S39),N(S39)&lt;=p_soon_pct*N(G39))),"Bientôt","À jour")))))</f>
        <v/>
      </c>
      <c r="V39" s="79" t="str">
        <f>IF(AND(A39="",B39="",D39=""),"",IF(A39="","N° de plan manquant",IF(COUNTIF($A$6:$A$505,A39)&gt;1,"N° de plan en double",IF(B39="","Équipement manquant",IF(ISNA(MATCH(B39,eq_code,0)),"Équipement inconnu",IF(D39="","Tâche manquante",IF(E39="","Déclenchement manquant",IF(AND(E39&lt;&gt;"Calendrier",E39&lt;&gt;"Compteur",E39&lt;&gt;"Au premier des deux"),"Déclenchement inconnu",IF(AND(E39&lt;&gt;"Compteur",OR(NOT(ISNUMBER(F39)),N(F39)&lt;=0)),"Périodicité en jours manquante",IF(AND(E39&lt;&gt;"Calendrier",OR(NOT(ISNUMBER(G39)),N(G39)&lt;=0)),"Périodicité compteur manquante",IF(AND(J39&lt;&gt;"",OR(NOT(ISNUMBER(J39)),N(J39)&lt;=0)),"Date de réalisation invalide",IF(AND(K39&lt;&gt;"",OR(NOT(ISNUMBER(K39)),N(K39)&lt;0)),"Compteur de réalisation invalide",IF(AND(E39&lt;&gt;"Compteur",N(M39)=0,IFERROR(N(INDEX(eq_start,MATCH(B39,eq_code,0))),0)=0),"Date de départ manquante",IF(AND(E39&lt;&gt;"Calendrier",K39="",N(N39)=0),"Compteur de départ manquant",IF(AND(E39&lt;&gt;"Calendrier",N(Q39)=0),"Relevé compteur manquant (Équipements)",IF(AND(I39&lt;&gt;"",ISNA(MATCH(I39,tech_name,0))),"Technicien inconnu",IF(AND(L39&lt;&gt;"",L39&lt;&gt;"Oui",L39&lt;&gt;"Non"),"Actif : Oui ou Non","OK")))))))))))))))))</f>
        <v/>
      </c>
      <c r="W39" s="67">
        <f>IFERROR(N(INDEX(eq_use,MATCH(B39,eq_code,0))),0)</f>
        <v>0.0</v>
      </c>
      <c r="X39" s="67" t="str">
        <f>IF(AND(ISNUMBER(S39),W39&gt;0),p_today+MAX(0,ROUNDUP(S39*7/W39,0)),"")</f>
        <v/>
      </c>
      <c r="Y39" s="67" t="str">
        <f>IF(AND(ISNUMBER(T39),OR(U39="En retard",U39="Bientôt",U39="À jour")),IF(AND(ISNUMBER(O39),ISNUMBER(X39)),MIN(F39,G39*7/W39),IF(ISNUMBER(O39),F39,G39*7/W39)),"")</f>
        <v/>
      </c>
      <c r="Z39" s="67" t="str">
        <f>IF(OR(U39="En retard",U39="Bientôt"),IF(U39="En retard",0,1)*1000000000+IF(AB39="A",0,IF(AB39="B",1,IF(AB39="C",2,3)))*100000000+IF(ISNUMBER(T39),T39,p_today)*1000+ROW()-5,"")</f>
        <v/>
      </c>
      <c r="AA39" s="67" t="str">
        <f>IF(Z39="","",COUNTIF($Z$6:$Z$505,"&lt;"&amp;Z39)+1)</f>
        <v/>
      </c>
      <c r="AB39" s="67" t="str">
        <f>IFERROR(INDEX(eq_crit,MATCH(B39,eq_code,0))&amp;"","")</f>
        <v/>
      </c>
    </row>
    <row r="40">
      <c r="A40" s="65" t="n"/>
      <c r="B40" s="66" t="n"/>
      <c r="C40" s="67" t="str">
        <f>IF(B40="","",IFERROR(INDEX(eq_des,MATCH(B40,eq_code,0))&amp;"","Équipement inconnu"))</f>
        <v/>
      </c>
      <c r="D40" s="66" t="n"/>
      <c r="E40" s="68" t="n"/>
      <c r="F40" s="69" t="n"/>
      <c r="G40" s="70" t="n"/>
      <c r="H40" s="71" t="n"/>
      <c r="I40" s="66" t="n"/>
      <c r="J40" s="72" t="n"/>
      <c r="K40" s="73" t="n"/>
      <c r="L40" s="68" t="n"/>
      <c r="M40" s="74" t="str">
        <f>IF(AND(A40="",B40="",D40=""),"",MAX(N(J40),IF(A40="",0,SUMPRODUCT(MAX((in_plan=A40)*in_prev*in_dnum)))))</f>
        <v/>
      </c>
      <c r="N40" s="75" t="str">
        <f>IF(AND(A40="",B40="",D40=""),"",MAX(N(K40),IF(A40="",0,SUMPRODUCT(MAX((in_plan=A40)*in_prev*in_cnum)))))</f>
        <v/>
      </c>
      <c r="O40" s="76" t="str">
        <f>IF(AND(OR(E40="Calendrier",E40="Au premier des deux"),N(F40)&gt;0,IF(N(M40)&gt;0,M40,IFERROR(N(INDEX(eq_start,MATCH(B40,eq_code,0))),0))&gt;0),IF(N(M40)&gt;0,M40,IFERROR(N(INDEX(eq_start,MATCH(B40,eq_code,0))),0))+F40,"")</f>
        <v/>
      </c>
      <c r="P40" s="75" t="str">
        <f>IF(AND(OR(E40="Compteur",E40="Au premier des deux"),N(G40)&gt;0),N(N40)+G40,"")</f>
        <v/>
      </c>
      <c r="Q40" s="75" t="str">
        <f>IF(B40="","",IFERROR(N(INDEX(eq_cnt,MATCH(B40,eq_code,0))),""))</f>
        <v/>
      </c>
      <c r="R40" s="77" t="str">
        <f>IF(ISNUMBER(O40),O40-p_today,"")</f>
        <v/>
      </c>
      <c r="S40" s="78" t="str">
        <f>IF(AND(ISNUMBER(P40),N(Q40)&gt;0),P40-Q40,"")</f>
        <v/>
      </c>
      <c r="T40" s="76" t="str">
        <f>IF(AND(ISNUMBER(O40),ISNUMBER(X40)),MIN(O40,X40),IF(ISNUMBER(O40),O40,X40))</f>
        <v/>
      </c>
      <c r="U40" s="79" t="str">
        <f>IF(AND(A40="",B40="",D40=""),"",IF(L40="Non","Inactif",IF(AND(NOT(ISNUMBER(R40)),NOT(ISNUMBER(S40))),"À compléter",IF(OR(AND(ISNUMBER(R40),N(R40)&lt;0),AND(ISNUMBER(S40),N(S40)&lt;0)),"En retard",IF(OR(AND(ISNUMBER(R40),N(R40)&lt;=p_soon),AND(ISNUMBER(S40),N(S40)&lt;=p_soon_pct*N(G40))),"Bientôt","À jour")))))</f>
        <v/>
      </c>
      <c r="V40" s="79" t="str">
        <f>IF(AND(A40="",B40="",D40=""),"",IF(A40="","N° de plan manquant",IF(COUNTIF($A$6:$A$505,A40)&gt;1,"N° de plan en double",IF(B40="","Équipement manquant",IF(ISNA(MATCH(B40,eq_code,0)),"Équipement inconnu",IF(D40="","Tâche manquante",IF(E40="","Déclenchement manquant",IF(AND(E40&lt;&gt;"Calendrier",E40&lt;&gt;"Compteur",E40&lt;&gt;"Au premier des deux"),"Déclenchement inconnu",IF(AND(E40&lt;&gt;"Compteur",OR(NOT(ISNUMBER(F40)),N(F40)&lt;=0)),"Périodicité en jours manquante",IF(AND(E40&lt;&gt;"Calendrier",OR(NOT(ISNUMBER(G40)),N(G40)&lt;=0)),"Périodicité compteur manquante",IF(AND(J40&lt;&gt;"",OR(NOT(ISNUMBER(J40)),N(J40)&lt;=0)),"Date de réalisation invalide",IF(AND(K40&lt;&gt;"",OR(NOT(ISNUMBER(K40)),N(K40)&lt;0)),"Compteur de réalisation invalide",IF(AND(E40&lt;&gt;"Compteur",N(M40)=0,IFERROR(N(INDEX(eq_start,MATCH(B40,eq_code,0))),0)=0),"Date de départ manquante",IF(AND(E40&lt;&gt;"Calendrier",K40="",N(N40)=0),"Compteur de départ manquant",IF(AND(E40&lt;&gt;"Calendrier",N(Q40)=0),"Relevé compteur manquant (Équipements)",IF(AND(I40&lt;&gt;"",ISNA(MATCH(I40,tech_name,0))),"Technicien inconnu",IF(AND(L40&lt;&gt;"",L40&lt;&gt;"Oui",L40&lt;&gt;"Non"),"Actif : Oui ou Non","OK")))))))))))))))))</f>
        <v/>
      </c>
      <c r="W40" s="67">
        <f>IFERROR(N(INDEX(eq_use,MATCH(B40,eq_code,0))),0)</f>
        <v>0.0</v>
      </c>
      <c r="X40" s="67" t="str">
        <f>IF(AND(ISNUMBER(S40),W40&gt;0),p_today+MAX(0,ROUNDUP(S40*7/W40,0)),"")</f>
        <v/>
      </c>
      <c r="Y40" s="67" t="str">
        <f>IF(AND(ISNUMBER(T40),OR(U40="En retard",U40="Bientôt",U40="À jour")),IF(AND(ISNUMBER(O40),ISNUMBER(X40)),MIN(F40,G40*7/W40),IF(ISNUMBER(O40),F40,G40*7/W40)),"")</f>
        <v/>
      </c>
      <c r="Z40" s="67" t="str">
        <f>IF(OR(U40="En retard",U40="Bientôt"),IF(U40="En retard",0,1)*1000000000+IF(AB40="A",0,IF(AB40="B",1,IF(AB40="C",2,3)))*100000000+IF(ISNUMBER(T40),T40,p_today)*1000+ROW()-5,"")</f>
        <v/>
      </c>
      <c r="AA40" s="67" t="str">
        <f>IF(Z40="","",COUNTIF($Z$6:$Z$505,"&lt;"&amp;Z40)+1)</f>
        <v/>
      </c>
      <c r="AB40" s="67" t="str">
        <f>IFERROR(INDEX(eq_crit,MATCH(B40,eq_code,0))&amp;"","")</f>
        <v/>
      </c>
    </row>
    <row r="41">
      <c r="A41" s="65" t="n"/>
      <c r="B41" s="66" t="n"/>
      <c r="C41" s="67" t="str">
        <f>IF(B41="","",IFERROR(INDEX(eq_des,MATCH(B41,eq_code,0))&amp;"","Équipement inconnu"))</f>
        <v/>
      </c>
      <c r="D41" s="66" t="n"/>
      <c r="E41" s="68" t="n"/>
      <c r="F41" s="69" t="n"/>
      <c r="G41" s="70" t="n"/>
      <c r="H41" s="71" t="n"/>
      <c r="I41" s="66" t="n"/>
      <c r="J41" s="72" t="n"/>
      <c r="K41" s="73" t="n"/>
      <c r="L41" s="68" t="n"/>
      <c r="M41" s="74" t="str">
        <f>IF(AND(A41="",B41="",D41=""),"",MAX(N(J41),IF(A41="",0,SUMPRODUCT(MAX((in_plan=A41)*in_prev*in_dnum)))))</f>
        <v/>
      </c>
      <c r="N41" s="75" t="str">
        <f>IF(AND(A41="",B41="",D41=""),"",MAX(N(K41),IF(A41="",0,SUMPRODUCT(MAX((in_plan=A41)*in_prev*in_cnum)))))</f>
        <v/>
      </c>
      <c r="O41" s="76" t="str">
        <f>IF(AND(OR(E41="Calendrier",E41="Au premier des deux"),N(F41)&gt;0,IF(N(M41)&gt;0,M41,IFERROR(N(INDEX(eq_start,MATCH(B41,eq_code,0))),0))&gt;0),IF(N(M41)&gt;0,M41,IFERROR(N(INDEX(eq_start,MATCH(B41,eq_code,0))),0))+F41,"")</f>
        <v/>
      </c>
      <c r="P41" s="75" t="str">
        <f>IF(AND(OR(E41="Compteur",E41="Au premier des deux"),N(G41)&gt;0),N(N41)+G41,"")</f>
        <v/>
      </c>
      <c r="Q41" s="75" t="str">
        <f>IF(B41="","",IFERROR(N(INDEX(eq_cnt,MATCH(B41,eq_code,0))),""))</f>
        <v/>
      </c>
      <c r="R41" s="77" t="str">
        <f>IF(ISNUMBER(O41),O41-p_today,"")</f>
        <v/>
      </c>
      <c r="S41" s="78" t="str">
        <f>IF(AND(ISNUMBER(P41),N(Q41)&gt;0),P41-Q41,"")</f>
        <v/>
      </c>
      <c r="T41" s="76" t="str">
        <f>IF(AND(ISNUMBER(O41),ISNUMBER(X41)),MIN(O41,X41),IF(ISNUMBER(O41),O41,X41))</f>
        <v/>
      </c>
      <c r="U41" s="79" t="str">
        <f>IF(AND(A41="",B41="",D41=""),"",IF(L41="Non","Inactif",IF(AND(NOT(ISNUMBER(R41)),NOT(ISNUMBER(S41))),"À compléter",IF(OR(AND(ISNUMBER(R41),N(R41)&lt;0),AND(ISNUMBER(S41),N(S41)&lt;0)),"En retard",IF(OR(AND(ISNUMBER(R41),N(R41)&lt;=p_soon),AND(ISNUMBER(S41),N(S41)&lt;=p_soon_pct*N(G41))),"Bientôt","À jour")))))</f>
        <v/>
      </c>
      <c r="V41" s="79" t="str">
        <f>IF(AND(A41="",B41="",D41=""),"",IF(A41="","N° de plan manquant",IF(COUNTIF($A$6:$A$505,A41)&gt;1,"N° de plan en double",IF(B41="","Équipement manquant",IF(ISNA(MATCH(B41,eq_code,0)),"Équipement inconnu",IF(D41="","Tâche manquante",IF(E41="","Déclenchement manquant",IF(AND(E41&lt;&gt;"Calendrier",E41&lt;&gt;"Compteur",E41&lt;&gt;"Au premier des deux"),"Déclenchement inconnu",IF(AND(E41&lt;&gt;"Compteur",OR(NOT(ISNUMBER(F41)),N(F41)&lt;=0)),"Périodicité en jours manquante",IF(AND(E41&lt;&gt;"Calendrier",OR(NOT(ISNUMBER(G41)),N(G41)&lt;=0)),"Périodicité compteur manquante",IF(AND(J41&lt;&gt;"",OR(NOT(ISNUMBER(J41)),N(J41)&lt;=0)),"Date de réalisation invalide",IF(AND(K41&lt;&gt;"",OR(NOT(ISNUMBER(K41)),N(K41)&lt;0)),"Compteur de réalisation invalide",IF(AND(E41&lt;&gt;"Compteur",N(M41)=0,IFERROR(N(INDEX(eq_start,MATCH(B41,eq_code,0))),0)=0),"Date de départ manquante",IF(AND(E41&lt;&gt;"Calendrier",K41="",N(N41)=0),"Compteur de départ manquant",IF(AND(E41&lt;&gt;"Calendrier",N(Q41)=0),"Relevé compteur manquant (Équipements)",IF(AND(I41&lt;&gt;"",ISNA(MATCH(I41,tech_name,0))),"Technicien inconnu",IF(AND(L41&lt;&gt;"",L41&lt;&gt;"Oui",L41&lt;&gt;"Non"),"Actif : Oui ou Non","OK")))))))))))))))))</f>
        <v/>
      </c>
      <c r="W41" s="67">
        <f>IFERROR(N(INDEX(eq_use,MATCH(B41,eq_code,0))),0)</f>
        <v>0.0</v>
      </c>
      <c r="X41" s="67" t="str">
        <f>IF(AND(ISNUMBER(S41),W41&gt;0),p_today+MAX(0,ROUNDUP(S41*7/W41,0)),"")</f>
        <v/>
      </c>
      <c r="Y41" s="67" t="str">
        <f>IF(AND(ISNUMBER(T41),OR(U41="En retard",U41="Bientôt",U41="À jour")),IF(AND(ISNUMBER(O41),ISNUMBER(X41)),MIN(F41,G41*7/W41),IF(ISNUMBER(O41),F41,G41*7/W41)),"")</f>
        <v/>
      </c>
      <c r="Z41" s="67" t="str">
        <f>IF(OR(U41="En retard",U41="Bientôt"),IF(U41="En retard",0,1)*1000000000+IF(AB41="A",0,IF(AB41="B",1,IF(AB41="C",2,3)))*100000000+IF(ISNUMBER(T41),T41,p_today)*1000+ROW()-5,"")</f>
        <v/>
      </c>
      <c r="AA41" s="67" t="str">
        <f>IF(Z41="","",COUNTIF($Z$6:$Z$505,"&lt;"&amp;Z41)+1)</f>
        <v/>
      </c>
      <c r="AB41" s="67" t="str">
        <f>IFERROR(INDEX(eq_crit,MATCH(B41,eq_code,0))&amp;"","")</f>
        <v/>
      </c>
    </row>
    <row r="42">
      <c r="A42" s="65" t="n"/>
      <c r="B42" s="66" t="n"/>
      <c r="C42" s="67" t="str">
        <f>IF(B42="","",IFERROR(INDEX(eq_des,MATCH(B42,eq_code,0))&amp;"","Équipement inconnu"))</f>
        <v/>
      </c>
      <c r="D42" s="66" t="n"/>
      <c r="E42" s="68" t="n"/>
      <c r="F42" s="69" t="n"/>
      <c r="G42" s="70" t="n"/>
      <c r="H42" s="71" t="n"/>
      <c r="I42" s="66" t="n"/>
      <c r="J42" s="72" t="n"/>
      <c r="K42" s="73" t="n"/>
      <c r="L42" s="68" t="n"/>
      <c r="M42" s="74" t="str">
        <f>IF(AND(A42="",B42="",D42=""),"",MAX(N(J42),IF(A42="",0,SUMPRODUCT(MAX((in_plan=A42)*in_prev*in_dnum)))))</f>
        <v/>
      </c>
      <c r="N42" s="75" t="str">
        <f>IF(AND(A42="",B42="",D42=""),"",MAX(N(K42),IF(A42="",0,SUMPRODUCT(MAX((in_plan=A42)*in_prev*in_cnum)))))</f>
        <v/>
      </c>
      <c r="O42" s="76" t="str">
        <f>IF(AND(OR(E42="Calendrier",E42="Au premier des deux"),N(F42)&gt;0,IF(N(M42)&gt;0,M42,IFERROR(N(INDEX(eq_start,MATCH(B42,eq_code,0))),0))&gt;0),IF(N(M42)&gt;0,M42,IFERROR(N(INDEX(eq_start,MATCH(B42,eq_code,0))),0))+F42,"")</f>
        <v/>
      </c>
      <c r="P42" s="75" t="str">
        <f>IF(AND(OR(E42="Compteur",E42="Au premier des deux"),N(G42)&gt;0),N(N42)+G42,"")</f>
        <v/>
      </c>
      <c r="Q42" s="75" t="str">
        <f>IF(B42="","",IFERROR(N(INDEX(eq_cnt,MATCH(B42,eq_code,0))),""))</f>
        <v/>
      </c>
      <c r="R42" s="77" t="str">
        <f>IF(ISNUMBER(O42),O42-p_today,"")</f>
        <v/>
      </c>
      <c r="S42" s="78" t="str">
        <f>IF(AND(ISNUMBER(P42),N(Q42)&gt;0),P42-Q42,"")</f>
        <v/>
      </c>
      <c r="T42" s="76" t="str">
        <f>IF(AND(ISNUMBER(O42),ISNUMBER(X42)),MIN(O42,X42),IF(ISNUMBER(O42),O42,X42))</f>
        <v/>
      </c>
      <c r="U42" s="79" t="str">
        <f>IF(AND(A42="",B42="",D42=""),"",IF(L42="Non","Inactif",IF(AND(NOT(ISNUMBER(R42)),NOT(ISNUMBER(S42))),"À compléter",IF(OR(AND(ISNUMBER(R42),N(R42)&lt;0),AND(ISNUMBER(S42),N(S42)&lt;0)),"En retard",IF(OR(AND(ISNUMBER(R42),N(R42)&lt;=p_soon),AND(ISNUMBER(S42),N(S42)&lt;=p_soon_pct*N(G42))),"Bientôt","À jour")))))</f>
        <v/>
      </c>
      <c r="V42" s="79" t="str">
        <f>IF(AND(A42="",B42="",D42=""),"",IF(A42="","N° de plan manquant",IF(COUNTIF($A$6:$A$505,A42)&gt;1,"N° de plan en double",IF(B42="","Équipement manquant",IF(ISNA(MATCH(B42,eq_code,0)),"Équipement inconnu",IF(D42="","Tâche manquante",IF(E42="","Déclenchement manquant",IF(AND(E42&lt;&gt;"Calendrier",E42&lt;&gt;"Compteur",E42&lt;&gt;"Au premier des deux"),"Déclenchement inconnu",IF(AND(E42&lt;&gt;"Compteur",OR(NOT(ISNUMBER(F42)),N(F42)&lt;=0)),"Périodicité en jours manquante",IF(AND(E42&lt;&gt;"Calendrier",OR(NOT(ISNUMBER(G42)),N(G42)&lt;=0)),"Périodicité compteur manquante",IF(AND(J42&lt;&gt;"",OR(NOT(ISNUMBER(J42)),N(J42)&lt;=0)),"Date de réalisation invalide",IF(AND(K42&lt;&gt;"",OR(NOT(ISNUMBER(K42)),N(K42)&lt;0)),"Compteur de réalisation invalide",IF(AND(E42&lt;&gt;"Compteur",N(M42)=0,IFERROR(N(INDEX(eq_start,MATCH(B42,eq_code,0))),0)=0),"Date de départ manquante",IF(AND(E42&lt;&gt;"Calendrier",K42="",N(N42)=0),"Compteur de départ manquant",IF(AND(E42&lt;&gt;"Calendrier",N(Q42)=0),"Relevé compteur manquant (Équipements)",IF(AND(I42&lt;&gt;"",ISNA(MATCH(I42,tech_name,0))),"Technicien inconnu",IF(AND(L42&lt;&gt;"",L42&lt;&gt;"Oui",L42&lt;&gt;"Non"),"Actif : Oui ou Non","OK")))))))))))))))))</f>
        <v/>
      </c>
      <c r="W42" s="67">
        <f>IFERROR(N(INDEX(eq_use,MATCH(B42,eq_code,0))),0)</f>
        <v>0.0</v>
      </c>
      <c r="X42" s="67" t="str">
        <f>IF(AND(ISNUMBER(S42),W42&gt;0),p_today+MAX(0,ROUNDUP(S42*7/W42,0)),"")</f>
        <v/>
      </c>
      <c r="Y42" s="67" t="str">
        <f>IF(AND(ISNUMBER(T42),OR(U42="En retard",U42="Bientôt",U42="À jour")),IF(AND(ISNUMBER(O42),ISNUMBER(X42)),MIN(F42,G42*7/W42),IF(ISNUMBER(O42),F42,G42*7/W42)),"")</f>
        <v/>
      </c>
      <c r="Z42" s="67" t="str">
        <f>IF(OR(U42="En retard",U42="Bientôt"),IF(U42="En retard",0,1)*1000000000+IF(AB42="A",0,IF(AB42="B",1,IF(AB42="C",2,3)))*100000000+IF(ISNUMBER(T42),T42,p_today)*1000+ROW()-5,"")</f>
        <v/>
      </c>
      <c r="AA42" s="67" t="str">
        <f>IF(Z42="","",COUNTIF($Z$6:$Z$505,"&lt;"&amp;Z42)+1)</f>
        <v/>
      </c>
      <c r="AB42" s="67" t="str">
        <f>IFERROR(INDEX(eq_crit,MATCH(B42,eq_code,0))&amp;"","")</f>
        <v/>
      </c>
    </row>
    <row r="43">
      <c r="A43" s="65" t="n"/>
      <c r="B43" s="66" t="n"/>
      <c r="C43" s="67" t="str">
        <f>IF(B43="","",IFERROR(INDEX(eq_des,MATCH(B43,eq_code,0))&amp;"","Équipement inconnu"))</f>
        <v/>
      </c>
      <c r="D43" s="66" t="n"/>
      <c r="E43" s="68" t="n"/>
      <c r="F43" s="69" t="n"/>
      <c r="G43" s="70" t="n"/>
      <c r="H43" s="71" t="n"/>
      <c r="I43" s="66" t="n"/>
      <c r="J43" s="72" t="n"/>
      <c r="K43" s="73" t="n"/>
      <c r="L43" s="68" t="n"/>
      <c r="M43" s="74" t="str">
        <f>IF(AND(A43="",B43="",D43=""),"",MAX(N(J43),IF(A43="",0,SUMPRODUCT(MAX((in_plan=A43)*in_prev*in_dnum)))))</f>
        <v/>
      </c>
      <c r="N43" s="75" t="str">
        <f>IF(AND(A43="",B43="",D43=""),"",MAX(N(K43),IF(A43="",0,SUMPRODUCT(MAX((in_plan=A43)*in_prev*in_cnum)))))</f>
        <v/>
      </c>
      <c r="O43" s="76" t="str">
        <f>IF(AND(OR(E43="Calendrier",E43="Au premier des deux"),N(F43)&gt;0,IF(N(M43)&gt;0,M43,IFERROR(N(INDEX(eq_start,MATCH(B43,eq_code,0))),0))&gt;0),IF(N(M43)&gt;0,M43,IFERROR(N(INDEX(eq_start,MATCH(B43,eq_code,0))),0))+F43,"")</f>
        <v/>
      </c>
      <c r="P43" s="75" t="str">
        <f>IF(AND(OR(E43="Compteur",E43="Au premier des deux"),N(G43)&gt;0),N(N43)+G43,"")</f>
        <v/>
      </c>
      <c r="Q43" s="75" t="str">
        <f>IF(B43="","",IFERROR(N(INDEX(eq_cnt,MATCH(B43,eq_code,0))),""))</f>
        <v/>
      </c>
      <c r="R43" s="77" t="str">
        <f>IF(ISNUMBER(O43),O43-p_today,"")</f>
        <v/>
      </c>
      <c r="S43" s="78" t="str">
        <f>IF(AND(ISNUMBER(P43),N(Q43)&gt;0),P43-Q43,"")</f>
        <v/>
      </c>
      <c r="T43" s="76" t="str">
        <f>IF(AND(ISNUMBER(O43),ISNUMBER(X43)),MIN(O43,X43),IF(ISNUMBER(O43),O43,X43))</f>
        <v/>
      </c>
      <c r="U43" s="79" t="str">
        <f>IF(AND(A43="",B43="",D43=""),"",IF(L43="Non","Inactif",IF(AND(NOT(ISNUMBER(R43)),NOT(ISNUMBER(S43))),"À compléter",IF(OR(AND(ISNUMBER(R43),N(R43)&lt;0),AND(ISNUMBER(S43),N(S43)&lt;0)),"En retard",IF(OR(AND(ISNUMBER(R43),N(R43)&lt;=p_soon),AND(ISNUMBER(S43),N(S43)&lt;=p_soon_pct*N(G43))),"Bientôt","À jour")))))</f>
        <v/>
      </c>
      <c r="V43" s="79" t="str">
        <f>IF(AND(A43="",B43="",D43=""),"",IF(A43="","N° de plan manquant",IF(COUNTIF($A$6:$A$505,A43)&gt;1,"N° de plan en double",IF(B43="","Équipement manquant",IF(ISNA(MATCH(B43,eq_code,0)),"Équipement inconnu",IF(D43="","Tâche manquante",IF(E43="","Déclenchement manquant",IF(AND(E43&lt;&gt;"Calendrier",E43&lt;&gt;"Compteur",E43&lt;&gt;"Au premier des deux"),"Déclenchement inconnu",IF(AND(E43&lt;&gt;"Compteur",OR(NOT(ISNUMBER(F43)),N(F43)&lt;=0)),"Périodicité en jours manquante",IF(AND(E43&lt;&gt;"Calendrier",OR(NOT(ISNUMBER(G43)),N(G43)&lt;=0)),"Périodicité compteur manquante",IF(AND(J43&lt;&gt;"",OR(NOT(ISNUMBER(J43)),N(J43)&lt;=0)),"Date de réalisation invalide",IF(AND(K43&lt;&gt;"",OR(NOT(ISNUMBER(K43)),N(K43)&lt;0)),"Compteur de réalisation invalide",IF(AND(E43&lt;&gt;"Compteur",N(M43)=0,IFERROR(N(INDEX(eq_start,MATCH(B43,eq_code,0))),0)=0),"Date de départ manquante",IF(AND(E43&lt;&gt;"Calendrier",K43="",N(N43)=0),"Compteur de départ manquant",IF(AND(E43&lt;&gt;"Calendrier",N(Q43)=0),"Relevé compteur manquant (Équipements)",IF(AND(I43&lt;&gt;"",ISNA(MATCH(I43,tech_name,0))),"Technicien inconnu",IF(AND(L43&lt;&gt;"",L43&lt;&gt;"Oui",L43&lt;&gt;"Non"),"Actif : Oui ou Non","OK")))))))))))))))))</f>
        <v/>
      </c>
      <c r="W43" s="67">
        <f>IFERROR(N(INDEX(eq_use,MATCH(B43,eq_code,0))),0)</f>
        <v>0.0</v>
      </c>
      <c r="X43" s="67" t="str">
        <f>IF(AND(ISNUMBER(S43),W43&gt;0),p_today+MAX(0,ROUNDUP(S43*7/W43,0)),"")</f>
        <v/>
      </c>
      <c r="Y43" s="67" t="str">
        <f>IF(AND(ISNUMBER(T43),OR(U43="En retard",U43="Bientôt",U43="À jour")),IF(AND(ISNUMBER(O43),ISNUMBER(X43)),MIN(F43,G43*7/W43),IF(ISNUMBER(O43),F43,G43*7/W43)),"")</f>
        <v/>
      </c>
      <c r="Z43" s="67" t="str">
        <f>IF(OR(U43="En retard",U43="Bientôt"),IF(U43="En retard",0,1)*1000000000+IF(AB43="A",0,IF(AB43="B",1,IF(AB43="C",2,3)))*100000000+IF(ISNUMBER(T43),T43,p_today)*1000+ROW()-5,"")</f>
        <v/>
      </c>
      <c r="AA43" s="67" t="str">
        <f>IF(Z43="","",COUNTIF($Z$6:$Z$505,"&lt;"&amp;Z43)+1)</f>
        <v/>
      </c>
      <c r="AB43" s="67" t="str">
        <f>IFERROR(INDEX(eq_crit,MATCH(B43,eq_code,0))&amp;"","")</f>
        <v/>
      </c>
    </row>
    <row r="44">
      <c r="A44" s="65" t="n"/>
      <c r="B44" s="66" t="n"/>
      <c r="C44" s="67" t="str">
        <f>IF(B44="","",IFERROR(INDEX(eq_des,MATCH(B44,eq_code,0))&amp;"","Équipement inconnu"))</f>
        <v/>
      </c>
      <c r="D44" s="66" t="n"/>
      <c r="E44" s="68" t="n"/>
      <c r="F44" s="69" t="n"/>
      <c r="G44" s="70" t="n"/>
      <c r="H44" s="71" t="n"/>
      <c r="I44" s="66" t="n"/>
      <c r="J44" s="72" t="n"/>
      <c r="K44" s="73" t="n"/>
      <c r="L44" s="68" t="n"/>
      <c r="M44" s="74" t="str">
        <f>IF(AND(A44="",B44="",D44=""),"",MAX(N(J44),IF(A44="",0,SUMPRODUCT(MAX((in_plan=A44)*in_prev*in_dnum)))))</f>
        <v/>
      </c>
      <c r="N44" s="75" t="str">
        <f>IF(AND(A44="",B44="",D44=""),"",MAX(N(K44),IF(A44="",0,SUMPRODUCT(MAX((in_plan=A44)*in_prev*in_cnum)))))</f>
        <v/>
      </c>
      <c r="O44" s="76" t="str">
        <f>IF(AND(OR(E44="Calendrier",E44="Au premier des deux"),N(F44)&gt;0,IF(N(M44)&gt;0,M44,IFERROR(N(INDEX(eq_start,MATCH(B44,eq_code,0))),0))&gt;0),IF(N(M44)&gt;0,M44,IFERROR(N(INDEX(eq_start,MATCH(B44,eq_code,0))),0))+F44,"")</f>
        <v/>
      </c>
      <c r="P44" s="75" t="str">
        <f>IF(AND(OR(E44="Compteur",E44="Au premier des deux"),N(G44)&gt;0),N(N44)+G44,"")</f>
        <v/>
      </c>
      <c r="Q44" s="75" t="str">
        <f>IF(B44="","",IFERROR(N(INDEX(eq_cnt,MATCH(B44,eq_code,0))),""))</f>
        <v/>
      </c>
      <c r="R44" s="77" t="str">
        <f>IF(ISNUMBER(O44),O44-p_today,"")</f>
        <v/>
      </c>
      <c r="S44" s="78" t="str">
        <f>IF(AND(ISNUMBER(P44),N(Q44)&gt;0),P44-Q44,"")</f>
        <v/>
      </c>
      <c r="T44" s="76" t="str">
        <f>IF(AND(ISNUMBER(O44),ISNUMBER(X44)),MIN(O44,X44),IF(ISNUMBER(O44),O44,X44))</f>
        <v/>
      </c>
      <c r="U44" s="79" t="str">
        <f>IF(AND(A44="",B44="",D44=""),"",IF(L44="Non","Inactif",IF(AND(NOT(ISNUMBER(R44)),NOT(ISNUMBER(S44))),"À compléter",IF(OR(AND(ISNUMBER(R44),N(R44)&lt;0),AND(ISNUMBER(S44),N(S44)&lt;0)),"En retard",IF(OR(AND(ISNUMBER(R44),N(R44)&lt;=p_soon),AND(ISNUMBER(S44),N(S44)&lt;=p_soon_pct*N(G44))),"Bientôt","À jour")))))</f>
        <v/>
      </c>
      <c r="V44" s="79" t="str">
        <f>IF(AND(A44="",B44="",D44=""),"",IF(A44="","N° de plan manquant",IF(COUNTIF($A$6:$A$505,A44)&gt;1,"N° de plan en double",IF(B44="","Équipement manquant",IF(ISNA(MATCH(B44,eq_code,0)),"Équipement inconnu",IF(D44="","Tâche manquante",IF(E44="","Déclenchement manquant",IF(AND(E44&lt;&gt;"Calendrier",E44&lt;&gt;"Compteur",E44&lt;&gt;"Au premier des deux"),"Déclenchement inconnu",IF(AND(E44&lt;&gt;"Compteur",OR(NOT(ISNUMBER(F44)),N(F44)&lt;=0)),"Périodicité en jours manquante",IF(AND(E44&lt;&gt;"Calendrier",OR(NOT(ISNUMBER(G44)),N(G44)&lt;=0)),"Périodicité compteur manquante",IF(AND(J44&lt;&gt;"",OR(NOT(ISNUMBER(J44)),N(J44)&lt;=0)),"Date de réalisation invalide",IF(AND(K44&lt;&gt;"",OR(NOT(ISNUMBER(K44)),N(K44)&lt;0)),"Compteur de réalisation invalide",IF(AND(E44&lt;&gt;"Compteur",N(M44)=0,IFERROR(N(INDEX(eq_start,MATCH(B44,eq_code,0))),0)=0),"Date de départ manquante",IF(AND(E44&lt;&gt;"Calendrier",K44="",N(N44)=0),"Compteur de départ manquant",IF(AND(E44&lt;&gt;"Calendrier",N(Q44)=0),"Relevé compteur manquant (Équipements)",IF(AND(I44&lt;&gt;"",ISNA(MATCH(I44,tech_name,0))),"Technicien inconnu",IF(AND(L44&lt;&gt;"",L44&lt;&gt;"Oui",L44&lt;&gt;"Non"),"Actif : Oui ou Non","OK")))))))))))))))))</f>
        <v/>
      </c>
      <c r="W44" s="67">
        <f>IFERROR(N(INDEX(eq_use,MATCH(B44,eq_code,0))),0)</f>
        <v>0.0</v>
      </c>
      <c r="X44" s="67" t="str">
        <f>IF(AND(ISNUMBER(S44),W44&gt;0),p_today+MAX(0,ROUNDUP(S44*7/W44,0)),"")</f>
        <v/>
      </c>
      <c r="Y44" s="67" t="str">
        <f>IF(AND(ISNUMBER(T44),OR(U44="En retard",U44="Bientôt",U44="À jour")),IF(AND(ISNUMBER(O44),ISNUMBER(X44)),MIN(F44,G44*7/W44),IF(ISNUMBER(O44),F44,G44*7/W44)),"")</f>
        <v/>
      </c>
      <c r="Z44" s="67" t="str">
        <f>IF(OR(U44="En retard",U44="Bientôt"),IF(U44="En retard",0,1)*1000000000+IF(AB44="A",0,IF(AB44="B",1,IF(AB44="C",2,3)))*100000000+IF(ISNUMBER(T44),T44,p_today)*1000+ROW()-5,"")</f>
        <v/>
      </c>
      <c r="AA44" s="67" t="str">
        <f>IF(Z44="","",COUNTIF($Z$6:$Z$505,"&lt;"&amp;Z44)+1)</f>
        <v/>
      </c>
      <c r="AB44" s="67" t="str">
        <f>IFERROR(INDEX(eq_crit,MATCH(B44,eq_code,0))&amp;"","")</f>
        <v/>
      </c>
    </row>
    <row r="45">
      <c r="A45" s="65" t="n"/>
      <c r="B45" s="66" t="n"/>
      <c r="C45" s="67" t="str">
        <f>IF(B45="","",IFERROR(INDEX(eq_des,MATCH(B45,eq_code,0))&amp;"","Équipement inconnu"))</f>
        <v/>
      </c>
      <c r="D45" s="66" t="n"/>
      <c r="E45" s="68" t="n"/>
      <c r="F45" s="69" t="n"/>
      <c r="G45" s="70" t="n"/>
      <c r="H45" s="71" t="n"/>
      <c r="I45" s="66" t="n"/>
      <c r="J45" s="72" t="n"/>
      <c r="K45" s="73" t="n"/>
      <c r="L45" s="68" t="n"/>
      <c r="M45" s="74" t="str">
        <f>IF(AND(A45="",B45="",D45=""),"",MAX(N(J45),IF(A45="",0,SUMPRODUCT(MAX((in_plan=A45)*in_prev*in_dnum)))))</f>
        <v/>
      </c>
      <c r="N45" s="75" t="str">
        <f>IF(AND(A45="",B45="",D45=""),"",MAX(N(K45),IF(A45="",0,SUMPRODUCT(MAX((in_plan=A45)*in_prev*in_cnum)))))</f>
        <v/>
      </c>
      <c r="O45" s="76" t="str">
        <f>IF(AND(OR(E45="Calendrier",E45="Au premier des deux"),N(F45)&gt;0,IF(N(M45)&gt;0,M45,IFERROR(N(INDEX(eq_start,MATCH(B45,eq_code,0))),0))&gt;0),IF(N(M45)&gt;0,M45,IFERROR(N(INDEX(eq_start,MATCH(B45,eq_code,0))),0))+F45,"")</f>
        <v/>
      </c>
      <c r="P45" s="75" t="str">
        <f>IF(AND(OR(E45="Compteur",E45="Au premier des deux"),N(G45)&gt;0),N(N45)+G45,"")</f>
        <v/>
      </c>
      <c r="Q45" s="75" t="str">
        <f>IF(B45="","",IFERROR(N(INDEX(eq_cnt,MATCH(B45,eq_code,0))),""))</f>
        <v/>
      </c>
      <c r="R45" s="77" t="str">
        <f>IF(ISNUMBER(O45),O45-p_today,"")</f>
        <v/>
      </c>
      <c r="S45" s="78" t="str">
        <f>IF(AND(ISNUMBER(P45),N(Q45)&gt;0),P45-Q45,"")</f>
        <v/>
      </c>
      <c r="T45" s="76" t="str">
        <f>IF(AND(ISNUMBER(O45),ISNUMBER(X45)),MIN(O45,X45),IF(ISNUMBER(O45),O45,X45))</f>
        <v/>
      </c>
      <c r="U45" s="79" t="str">
        <f>IF(AND(A45="",B45="",D45=""),"",IF(L45="Non","Inactif",IF(AND(NOT(ISNUMBER(R45)),NOT(ISNUMBER(S45))),"À compléter",IF(OR(AND(ISNUMBER(R45),N(R45)&lt;0),AND(ISNUMBER(S45),N(S45)&lt;0)),"En retard",IF(OR(AND(ISNUMBER(R45),N(R45)&lt;=p_soon),AND(ISNUMBER(S45),N(S45)&lt;=p_soon_pct*N(G45))),"Bientôt","À jour")))))</f>
        <v/>
      </c>
      <c r="V45" s="79" t="str">
        <f>IF(AND(A45="",B45="",D45=""),"",IF(A45="","N° de plan manquant",IF(COUNTIF($A$6:$A$505,A45)&gt;1,"N° de plan en double",IF(B45="","Équipement manquant",IF(ISNA(MATCH(B45,eq_code,0)),"Équipement inconnu",IF(D45="","Tâche manquante",IF(E45="","Déclenchement manquant",IF(AND(E45&lt;&gt;"Calendrier",E45&lt;&gt;"Compteur",E45&lt;&gt;"Au premier des deux"),"Déclenchement inconnu",IF(AND(E45&lt;&gt;"Compteur",OR(NOT(ISNUMBER(F45)),N(F45)&lt;=0)),"Périodicité en jours manquante",IF(AND(E45&lt;&gt;"Calendrier",OR(NOT(ISNUMBER(G45)),N(G45)&lt;=0)),"Périodicité compteur manquante",IF(AND(J45&lt;&gt;"",OR(NOT(ISNUMBER(J45)),N(J45)&lt;=0)),"Date de réalisation invalide",IF(AND(K45&lt;&gt;"",OR(NOT(ISNUMBER(K45)),N(K45)&lt;0)),"Compteur de réalisation invalide",IF(AND(E45&lt;&gt;"Compteur",N(M45)=0,IFERROR(N(INDEX(eq_start,MATCH(B45,eq_code,0))),0)=0),"Date de départ manquante",IF(AND(E45&lt;&gt;"Calendrier",K45="",N(N45)=0),"Compteur de départ manquant",IF(AND(E45&lt;&gt;"Calendrier",N(Q45)=0),"Relevé compteur manquant (Équipements)",IF(AND(I45&lt;&gt;"",ISNA(MATCH(I45,tech_name,0))),"Technicien inconnu",IF(AND(L45&lt;&gt;"",L45&lt;&gt;"Oui",L45&lt;&gt;"Non"),"Actif : Oui ou Non","OK")))))))))))))))))</f>
        <v/>
      </c>
      <c r="W45" s="67">
        <f>IFERROR(N(INDEX(eq_use,MATCH(B45,eq_code,0))),0)</f>
        <v>0.0</v>
      </c>
      <c r="X45" s="67" t="str">
        <f>IF(AND(ISNUMBER(S45),W45&gt;0),p_today+MAX(0,ROUNDUP(S45*7/W45,0)),"")</f>
        <v/>
      </c>
      <c r="Y45" s="67" t="str">
        <f>IF(AND(ISNUMBER(T45),OR(U45="En retard",U45="Bientôt",U45="À jour")),IF(AND(ISNUMBER(O45),ISNUMBER(X45)),MIN(F45,G45*7/W45),IF(ISNUMBER(O45),F45,G45*7/W45)),"")</f>
        <v/>
      </c>
      <c r="Z45" s="67" t="str">
        <f>IF(OR(U45="En retard",U45="Bientôt"),IF(U45="En retard",0,1)*1000000000+IF(AB45="A",0,IF(AB45="B",1,IF(AB45="C",2,3)))*100000000+IF(ISNUMBER(T45),T45,p_today)*1000+ROW()-5,"")</f>
        <v/>
      </c>
      <c r="AA45" s="67" t="str">
        <f>IF(Z45="","",COUNTIF($Z$6:$Z$505,"&lt;"&amp;Z45)+1)</f>
        <v/>
      </c>
      <c r="AB45" s="67" t="str">
        <f>IFERROR(INDEX(eq_crit,MATCH(B45,eq_code,0))&amp;"","")</f>
        <v/>
      </c>
    </row>
    <row r="46">
      <c r="A46" s="65" t="n"/>
      <c r="B46" s="66" t="n"/>
      <c r="C46" s="67" t="str">
        <f>IF(B46="","",IFERROR(INDEX(eq_des,MATCH(B46,eq_code,0))&amp;"","Équipement inconnu"))</f>
        <v/>
      </c>
      <c r="D46" s="66" t="n"/>
      <c r="E46" s="68" t="n"/>
      <c r="F46" s="69" t="n"/>
      <c r="G46" s="70" t="n"/>
      <c r="H46" s="71" t="n"/>
      <c r="I46" s="66" t="n"/>
      <c r="J46" s="72" t="n"/>
      <c r="K46" s="73" t="n"/>
      <c r="L46" s="68" t="n"/>
      <c r="M46" s="74" t="str">
        <f>IF(AND(A46="",B46="",D46=""),"",MAX(N(J46),IF(A46="",0,SUMPRODUCT(MAX((in_plan=A46)*in_prev*in_dnum)))))</f>
        <v/>
      </c>
      <c r="N46" s="75" t="str">
        <f>IF(AND(A46="",B46="",D46=""),"",MAX(N(K46),IF(A46="",0,SUMPRODUCT(MAX((in_plan=A46)*in_prev*in_cnum)))))</f>
        <v/>
      </c>
      <c r="O46" s="76" t="str">
        <f>IF(AND(OR(E46="Calendrier",E46="Au premier des deux"),N(F46)&gt;0,IF(N(M46)&gt;0,M46,IFERROR(N(INDEX(eq_start,MATCH(B46,eq_code,0))),0))&gt;0),IF(N(M46)&gt;0,M46,IFERROR(N(INDEX(eq_start,MATCH(B46,eq_code,0))),0))+F46,"")</f>
        <v/>
      </c>
      <c r="P46" s="75" t="str">
        <f>IF(AND(OR(E46="Compteur",E46="Au premier des deux"),N(G46)&gt;0),N(N46)+G46,"")</f>
        <v/>
      </c>
      <c r="Q46" s="75" t="str">
        <f>IF(B46="","",IFERROR(N(INDEX(eq_cnt,MATCH(B46,eq_code,0))),""))</f>
        <v/>
      </c>
      <c r="R46" s="77" t="str">
        <f>IF(ISNUMBER(O46),O46-p_today,"")</f>
        <v/>
      </c>
      <c r="S46" s="78" t="str">
        <f>IF(AND(ISNUMBER(P46),N(Q46)&gt;0),P46-Q46,"")</f>
        <v/>
      </c>
      <c r="T46" s="76" t="str">
        <f>IF(AND(ISNUMBER(O46),ISNUMBER(X46)),MIN(O46,X46),IF(ISNUMBER(O46),O46,X46))</f>
        <v/>
      </c>
      <c r="U46" s="79" t="str">
        <f>IF(AND(A46="",B46="",D46=""),"",IF(L46="Non","Inactif",IF(AND(NOT(ISNUMBER(R46)),NOT(ISNUMBER(S46))),"À compléter",IF(OR(AND(ISNUMBER(R46),N(R46)&lt;0),AND(ISNUMBER(S46),N(S46)&lt;0)),"En retard",IF(OR(AND(ISNUMBER(R46),N(R46)&lt;=p_soon),AND(ISNUMBER(S46),N(S46)&lt;=p_soon_pct*N(G46))),"Bientôt","À jour")))))</f>
        <v/>
      </c>
      <c r="V46" s="79" t="str">
        <f>IF(AND(A46="",B46="",D46=""),"",IF(A46="","N° de plan manquant",IF(COUNTIF($A$6:$A$505,A46)&gt;1,"N° de plan en double",IF(B46="","Équipement manquant",IF(ISNA(MATCH(B46,eq_code,0)),"Équipement inconnu",IF(D46="","Tâche manquante",IF(E46="","Déclenchement manquant",IF(AND(E46&lt;&gt;"Calendrier",E46&lt;&gt;"Compteur",E46&lt;&gt;"Au premier des deux"),"Déclenchement inconnu",IF(AND(E46&lt;&gt;"Compteur",OR(NOT(ISNUMBER(F46)),N(F46)&lt;=0)),"Périodicité en jours manquante",IF(AND(E46&lt;&gt;"Calendrier",OR(NOT(ISNUMBER(G46)),N(G46)&lt;=0)),"Périodicité compteur manquante",IF(AND(J46&lt;&gt;"",OR(NOT(ISNUMBER(J46)),N(J46)&lt;=0)),"Date de réalisation invalide",IF(AND(K46&lt;&gt;"",OR(NOT(ISNUMBER(K46)),N(K46)&lt;0)),"Compteur de réalisation invalide",IF(AND(E46&lt;&gt;"Compteur",N(M46)=0,IFERROR(N(INDEX(eq_start,MATCH(B46,eq_code,0))),0)=0),"Date de départ manquante",IF(AND(E46&lt;&gt;"Calendrier",K46="",N(N46)=0),"Compteur de départ manquant",IF(AND(E46&lt;&gt;"Calendrier",N(Q46)=0),"Relevé compteur manquant (Équipements)",IF(AND(I46&lt;&gt;"",ISNA(MATCH(I46,tech_name,0))),"Technicien inconnu",IF(AND(L46&lt;&gt;"",L46&lt;&gt;"Oui",L46&lt;&gt;"Non"),"Actif : Oui ou Non","OK")))))))))))))))))</f>
        <v/>
      </c>
      <c r="W46" s="67">
        <f>IFERROR(N(INDEX(eq_use,MATCH(B46,eq_code,0))),0)</f>
        <v>0.0</v>
      </c>
      <c r="X46" s="67" t="str">
        <f>IF(AND(ISNUMBER(S46),W46&gt;0),p_today+MAX(0,ROUNDUP(S46*7/W46,0)),"")</f>
        <v/>
      </c>
      <c r="Y46" s="67" t="str">
        <f>IF(AND(ISNUMBER(T46),OR(U46="En retard",U46="Bientôt",U46="À jour")),IF(AND(ISNUMBER(O46),ISNUMBER(X46)),MIN(F46,G46*7/W46),IF(ISNUMBER(O46),F46,G46*7/W46)),"")</f>
        <v/>
      </c>
      <c r="Z46" s="67" t="str">
        <f>IF(OR(U46="En retard",U46="Bientôt"),IF(U46="En retard",0,1)*1000000000+IF(AB46="A",0,IF(AB46="B",1,IF(AB46="C",2,3)))*100000000+IF(ISNUMBER(T46),T46,p_today)*1000+ROW()-5,"")</f>
        <v/>
      </c>
      <c r="AA46" s="67" t="str">
        <f>IF(Z46="","",COUNTIF($Z$6:$Z$505,"&lt;"&amp;Z46)+1)</f>
        <v/>
      </c>
      <c r="AB46" s="67" t="str">
        <f>IFERROR(INDEX(eq_crit,MATCH(B46,eq_code,0))&amp;"","")</f>
        <v/>
      </c>
    </row>
    <row r="47">
      <c r="A47" s="65" t="n"/>
      <c r="B47" s="66" t="n"/>
      <c r="C47" s="67" t="str">
        <f>IF(B47="","",IFERROR(INDEX(eq_des,MATCH(B47,eq_code,0))&amp;"","Équipement inconnu"))</f>
        <v/>
      </c>
      <c r="D47" s="66" t="n"/>
      <c r="E47" s="68" t="n"/>
      <c r="F47" s="69" t="n"/>
      <c r="G47" s="70" t="n"/>
      <c r="H47" s="71" t="n"/>
      <c r="I47" s="66" t="n"/>
      <c r="J47" s="72" t="n"/>
      <c r="K47" s="73" t="n"/>
      <c r="L47" s="68" t="n"/>
      <c r="M47" s="74" t="str">
        <f>IF(AND(A47="",B47="",D47=""),"",MAX(N(J47),IF(A47="",0,SUMPRODUCT(MAX((in_plan=A47)*in_prev*in_dnum)))))</f>
        <v/>
      </c>
      <c r="N47" s="75" t="str">
        <f>IF(AND(A47="",B47="",D47=""),"",MAX(N(K47),IF(A47="",0,SUMPRODUCT(MAX((in_plan=A47)*in_prev*in_cnum)))))</f>
        <v/>
      </c>
      <c r="O47" s="76" t="str">
        <f>IF(AND(OR(E47="Calendrier",E47="Au premier des deux"),N(F47)&gt;0,IF(N(M47)&gt;0,M47,IFERROR(N(INDEX(eq_start,MATCH(B47,eq_code,0))),0))&gt;0),IF(N(M47)&gt;0,M47,IFERROR(N(INDEX(eq_start,MATCH(B47,eq_code,0))),0))+F47,"")</f>
        <v/>
      </c>
      <c r="P47" s="75" t="str">
        <f>IF(AND(OR(E47="Compteur",E47="Au premier des deux"),N(G47)&gt;0),N(N47)+G47,"")</f>
        <v/>
      </c>
      <c r="Q47" s="75" t="str">
        <f>IF(B47="","",IFERROR(N(INDEX(eq_cnt,MATCH(B47,eq_code,0))),""))</f>
        <v/>
      </c>
      <c r="R47" s="77" t="str">
        <f>IF(ISNUMBER(O47),O47-p_today,"")</f>
        <v/>
      </c>
      <c r="S47" s="78" t="str">
        <f>IF(AND(ISNUMBER(P47),N(Q47)&gt;0),P47-Q47,"")</f>
        <v/>
      </c>
      <c r="T47" s="76" t="str">
        <f>IF(AND(ISNUMBER(O47),ISNUMBER(X47)),MIN(O47,X47),IF(ISNUMBER(O47),O47,X47))</f>
        <v/>
      </c>
      <c r="U47" s="79" t="str">
        <f>IF(AND(A47="",B47="",D47=""),"",IF(L47="Non","Inactif",IF(AND(NOT(ISNUMBER(R47)),NOT(ISNUMBER(S47))),"À compléter",IF(OR(AND(ISNUMBER(R47),N(R47)&lt;0),AND(ISNUMBER(S47),N(S47)&lt;0)),"En retard",IF(OR(AND(ISNUMBER(R47),N(R47)&lt;=p_soon),AND(ISNUMBER(S47),N(S47)&lt;=p_soon_pct*N(G47))),"Bientôt","À jour")))))</f>
        <v/>
      </c>
      <c r="V47" s="79" t="str">
        <f>IF(AND(A47="",B47="",D47=""),"",IF(A47="","N° de plan manquant",IF(COUNTIF($A$6:$A$505,A47)&gt;1,"N° de plan en double",IF(B47="","Équipement manquant",IF(ISNA(MATCH(B47,eq_code,0)),"Équipement inconnu",IF(D47="","Tâche manquante",IF(E47="","Déclenchement manquant",IF(AND(E47&lt;&gt;"Calendrier",E47&lt;&gt;"Compteur",E47&lt;&gt;"Au premier des deux"),"Déclenchement inconnu",IF(AND(E47&lt;&gt;"Compteur",OR(NOT(ISNUMBER(F47)),N(F47)&lt;=0)),"Périodicité en jours manquante",IF(AND(E47&lt;&gt;"Calendrier",OR(NOT(ISNUMBER(G47)),N(G47)&lt;=0)),"Périodicité compteur manquante",IF(AND(J47&lt;&gt;"",OR(NOT(ISNUMBER(J47)),N(J47)&lt;=0)),"Date de réalisation invalide",IF(AND(K47&lt;&gt;"",OR(NOT(ISNUMBER(K47)),N(K47)&lt;0)),"Compteur de réalisation invalide",IF(AND(E47&lt;&gt;"Compteur",N(M47)=0,IFERROR(N(INDEX(eq_start,MATCH(B47,eq_code,0))),0)=0),"Date de départ manquante",IF(AND(E47&lt;&gt;"Calendrier",K47="",N(N47)=0),"Compteur de départ manquant",IF(AND(E47&lt;&gt;"Calendrier",N(Q47)=0),"Relevé compteur manquant (Équipements)",IF(AND(I47&lt;&gt;"",ISNA(MATCH(I47,tech_name,0))),"Technicien inconnu",IF(AND(L47&lt;&gt;"",L47&lt;&gt;"Oui",L47&lt;&gt;"Non"),"Actif : Oui ou Non","OK")))))))))))))))))</f>
        <v/>
      </c>
      <c r="W47" s="67">
        <f>IFERROR(N(INDEX(eq_use,MATCH(B47,eq_code,0))),0)</f>
        <v>0.0</v>
      </c>
      <c r="X47" s="67" t="str">
        <f>IF(AND(ISNUMBER(S47),W47&gt;0),p_today+MAX(0,ROUNDUP(S47*7/W47,0)),"")</f>
        <v/>
      </c>
      <c r="Y47" s="67" t="str">
        <f>IF(AND(ISNUMBER(T47),OR(U47="En retard",U47="Bientôt",U47="À jour")),IF(AND(ISNUMBER(O47),ISNUMBER(X47)),MIN(F47,G47*7/W47),IF(ISNUMBER(O47),F47,G47*7/W47)),"")</f>
        <v/>
      </c>
      <c r="Z47" s="67" t="str">
        <f>IF(OR(U47="En retard",U47="Bientôt"),IF(U47="En retard",0,1)*1000000000+IF(AB47="A",0,IF(AB47="B",1,IF(AB47="C",2,3)))*100000000+IF(ISNUMBER(T47),T47,p_today)*1000+ROW()-5,"")</f>
        <v/>
      </c>
      <c r="AA47" s="67" t="str">
        <f>IF(Z47="","",COUNTIF($Z$6:$Z$505,"&lt;"&amp;Z47)+1)</f>
        <v/>
      </c>
      <c r="AB47" s="67" t="str">
        <f>IFERROR(INDEX(eq_crit,MATCH(B47,eq_code,0))&amp;"","")</f>
        <v/>
      </c>
    </row>
    <row r="48">
      <c r="A48" s="65" t="n"/>
      <c r="B48" s="66" t="n"/>
      <c r="C48" s="67" t="str">
        <f>IF(B48="","",IFERROR(INDEX(eq_des,MATCH(B48,eq_code,0))&amp;"","Équipement inconnu"))</f>
        <v/>
      </c>
      <c r="D48" s="66" t="n"/>
      <c r="E48" s="68" t="n"/>
      <c r="F48" s="69" t="n"/>
      <c r="G48" s="70" t="n"/>
      <c r="H48" s="71" t="n"/>
      <c r="I48" s="66" t="n"/>
      <c r="J48" s="72" t="n"/>
      <c r="K48" s="73" t="n"/>
      <c r="L48" s="68" t="n"/>
      <c r="M48" s="74" t="str">
        <f>IF(AND(A48="",B48="",D48=""),"",MAX(N(J48),IF(A48="",0,SUMPRODUCT(MAX((in_plan=A48)*in_prev*in_dnum)))))</f>
        <v/>
      </c>
      <c r="N48" s="75" t="str">
        <f>IF(AND(A48="",B48="",D48=""),"",MAX(N(K48),IF(A48="",0,SUMPRODUCT(MAX((in_plan=A48)*in_prev*in_cnum)))))</f>
        <v/>
      </c>
      <c r="O48" s="76" t="str">
        <f>IF(AND(OR(E48="Calendrier",E48="Au premier des deux"),N(F48)&gt;0,IF(N(M48)&gt;0,M48,IFERROR(N(INDEX(eq_start,MATCH(B48,eq_code,0))),0))&gt;0),IF(N(M48)&gt;0,M48,IFERROR(N(INDEX(eq_start,MATCH(B48,eq_code,0))),0))+F48,"")</f>
        <v/>
      </c>
      <c r="P48" s="75" t="str">
        <f>IF(AND(OR(E48="Compteur",E48="Au premier des deux"),N(G48)&gt;0),N(N48)+G48,"")</f>
        <v/>
      </c>
      <c r="Q48" s="75" t="str">
        <f>IF(B48="","",IFERROR(N(INDEX(eq_cnt,MATCH(B48,eq_code,0))),""))</f>
        <v/>
      </c>
      <c r="R48" s="77" t="str">
        <f>IF(ISNUMBER(O48),O48-p_today,"")</f>
        <v/>
      </c>
      <c r="S48" s="78" t="str">
        <f>IF(AND(ISNUMBER(P48),N(Q48)&gt;0),P48-Q48,"")</f>
        <v/>
      </c>
      <c r="T48" s="76" t="str">
        <f>IF(AND(ISNUMBER(O48),ISNUMBER(X48)),MIN(O48,X48),IF(ISNUMBER(O48),O48,X48))</f>
        <v/>
      </c>
      <c r="U48" s="79" t="str">
        <f>IF(AND(A48="",B48="",D48=""),"",IF(L48="Non","Inactif",IF(AND(NOT(ISNUMBER(R48)),NOT(ISNUMBER(S48))),"À compléter",IF(OR(AND(ISNUMBER(R48),N(R48)&lt;0),AND(ISNUMBER(S48),N(S48)&lt;0)),"En retard",IF(OR(AND(ISNUMBER(R48),N(R48)&lt;=p_soon),AND(ISNUMBER(S48),N(S48)&lt;=p_soon_pct*N(G48))),"Bientôt","À jour")))))</f>
        <v/>
      </c>
      <c r="V48" s="79" t="str">
        <f>IF(AND(A48="",B48="",D48=""),"",IF(A48="","N° de plan manquant",IF(COUNTIF($A$6:$A$505,A48)&gt;1,"N° de plan en double",IF(B48="","Équipement manquant",IF(ISNA(MATCH(B48,eq_code,0)),"Équipement inconnu",IF(D48="","Tâche manquante",IF(E48="","Déclenchement manquant",IF(AND(E48&lt;&gt;"Calendrier",E48&lt;&gt;"Compteur",E48&lt;&gt;"Au premier des deux"),"Déclenchement inconnu",IF(AND(E48&lt;&gt;"Compteur",OR(NOT(ISNUMBER(F48)),N(F48)&lt;=0)),"Périodicité en jours manquante",IF(AND(E48&lt;&gt;"Calendrier",OR(NOT(ISNUMBER(G48)),N(G48)&lt;=0)),"Périodicité compteur manquante",IF(AND(J48&lt;&gt;"",OR(NOT(ISNUMBER(J48)),N(J48)&lt;=0)),"Date de réalisation invalide",IF(AND(K48&lt;&gt;"",OR(NOT(ISNUMBER(K48)),N(K48)&lt;0)),"Compteur de réalisation invalide",IF(AND(E48&lt;&gt;"Compteur",N(M48)=0,IFERROR(N(INDEX(eq_start,MATCH(B48,eq_code,0))),0)=0),"Date de départ manquante",IF(AND(E48&lt;&gt;"Calendrier",K48="",N(N48)=0),"Compteur de départ manquant",IF(AND(E48&lt;&gt;"Calendrier",N(Q48)=0),"Relevé compteur manquant (Équipements)",IF(AND(I48&lt;&gt;"",ISNA(MATCH(I48,tech_name,0))),"Technicien inconnu",IF(AND(L48&lt;&gt;"",L48&lt;&gt;"Oui",L48&lt;&gt;"Non"),"Actif : Oui ou Non","OK")))))))))))))))))</f>
        <v/>
      </c>
      <c r="W48" s="67">
        <f>IFERROR(N(INDEX(eq_use,MATCH(B48,eq_code,0))),0)</f>
        <v>0.0</v>
      </c>
      <c r="X48" s="67" t="str">
        <f>IF(AND(ISNUMBER(S48),W48&gt;0),p_today+MAX(0,ROUNDUP(S48*7/W48,0)),"")</f>
        <v/>
      </c>
      <c r="Y48" s="67" t="str">
        <f>IF(AND(ISNUMBER(T48),OR(U48="En retard",U48="Bientôt",U48="À jour")),IF(AND(ISNUMBER(O48),ISNUMBER(X48)),MIN(F48,G48*7/W48),IF(ISNUMBER(O48),F48,G48*7/W48)),"")</f>
        <v/>
      </c>
      <c r="Z48" s="67" t="str">
        <f>IF(OR(U48="En retard",U48="Bientôt"),IF(U48="En retard",0,1)*1000000000+IF(AB48="A",0,IF(AB48="B",1,IF(AB48="C",2,3)))*100000000+IF(ISNUMBER(T48),T48,p_today)*1000+ROW()-5,"")</f>
        <v/>
      </c>
      <c r="AA48" s="67" t="str">
        <f>IF(Z48="","",COUNTIF($Z$6:$Z$505,"&lt;"&amp;Z48)+1)</f>
        <v/>
      </c>
      <c r="AB48" s="67" t="str">
        <f>IFERROR(INDEX(eq_crit,MATCH(B48,eq_code,0))&amp;"","")</f>
        <v/>
      </c>
    </row>
    <row r="49">
      <c r="A49" s="65" t="n"/>
      <c r="B49" s="66" t="n"/>
      <c r="C49" s="67" t="str">
        <f>IF(B49="","",IFERROR(INDEX(eq_des,MATCH(B49,eq_code,0))&amp;"","Équipement inconnu"))</f>
        <v/>
      </c>
      <c r="D49" s="66" t="n"/>
      <c r="E49" s="68" t="n"/>
      <c r="F49" s="69" t="n"/>
      <c r="G49" s="70" t="n"/>
      <c r="H49" s="71" t="n"/>
      <c r="I49" s="66" t="n"/>
      <c r="J49" s="72" t="n"/>
      <c r="K49" s="73" t="n"/>
      <c r="L49" s="68" t="n"/>
      <c r="M49" s="74" t="str">
        <f>IF(AND(A49="",B49="",D49=""),"",MAX(N(J49),IF(A49="",0,SUMPRODUCT(MAX((in_plan=A49)*in_prev*in_dnum)))))</f>
        <v/>
      </c>
      <c r="N49" s="75" t="str">
        <f>IF(AND(A49="",B49="",D49=""),"",MAX(N(K49),IF(A49="",0,SUMPRODUCT(MAX((in_plan=A49)*in_prev*in_cnum)))))</f>
        <v/>
      </c>
      <c r="O49" s="76" t="str">
        <f>IF(AND(OR(E49="Calendrier",E49="Au premier des deux"),N(F49)&gt;0,IF(N(M49)&gt;0,M49,IFERROR(N(INDEX(eq_start,MATCH(B49,eq_code,0))),0))&gt;0),IF(N(M49)&gt;0,M49,IFERROR(N(INDEX(eq_start,MATCH(B49,eq_code,0))),0))+F49,"")</f>
        <v/>
      </c>
      <c r="P49" s="75" t="str">
        <f>IF(AND(OR(E49="Compteur",E49="Au premier des deux"),N(G49)&gt;0),N(N49)+G49,"")</f>
        <v/>
      </c>
      <c r="Q49" s="75" t="str">
        <f>IF(B49="","",IFERROR(N(INDEX(eq_cnt,MATCH(B49,eq_code,0))),""))</f>
        <v/>
      </c>
      <c r="R49" s="77" t="str">
        <f>IF(ISNUMBER(O49),O49-p_today,"")</f>
        <v/>
      </c>
      <c r="S49" s="78" t="str">
        <f>IF(AND(ISNUMBER(P49),N(Q49)&gt;0),P49-Q49,"")</f>
        <v/>
      </c>
      <c r="T49" s="76" t="str">
        <f>IF(AND(ISNUMBER(O49),ISNUMBER(X49)),MIN(O49,X49),IF(ISNUMBER(O49),O49,X49))</f>
        <v/>
      </c>
      <c r="U49" s="79" t="str">
        <f>IF(AND(A49="",B49="",D49=""),"",IF(L49="Non","Inactif",IF(AND(NOT(ISNUMBER(R49)),NOT(ISNUMBER(S49))),"À compléter",IF(OR(AND(ISNUMBER(R49),N(R49)&lt;0),AND(ISNUMBER(S49),N(S49)&lt;0)),"En retard",IF(OR(AND(ISNUMBER(R49),N(R49)&lt;=p_soon),AND(ISNUMBER(S49),N(S49)&lt;=p_soon_pct*N(G49))),"Bientôt","À jour")))))</f>
        <v/>
      </c>
      <c r="V49" s="79" t="str">
        <f>IF(AND(A49="",B49="",D49=""),"",IF(A49="","N° de plan manquant",IF(COUNTIF($A$6:$A$505,A49)&gt;1,"N° de plan en double",IF(B49="","Équipement manquant",IF(ISNA(MATCH(B49,eq_code,0)),"Équipement inconnu",IF(D49="","Tâche manquante",IF(E49="","Déclenchement manquant",IF(AND(E49&lt;&gt;"Calendrier",E49&lt;&gt;"Compteur",E49&lt;&gt;"Au premier des deux"),"Déclenchement inconnu",IF(AND(E49&lt;&gt;"Compteur",OR(NOT(ISNUMBER(F49)),N(F49)&lt;=0)),"Périodicité en jours manquante",IF(AND(E49&lt;&gt;"Calendrier",OR(NOT(ISNUMBER(G49)),N(G49)&lt;=0)),"Périodicité compteur manquante",IF(AND(J49&lt;&gt;"",OR(NOT(ISNUMBER(J49)),N(J49)&lt;=0)),"Date de réalisation invalide",IF(AND(K49&lt;&gt;"",OR(NOT(ISNUMBER(K49)),N(K49)&lt;0)),"Compteur de réalisation invalide",IF(AND(E49&lt;&gt;"Compteur",N(M49)=0,IFERROR(N(INDEX(eq_start,MATCH(B49,eq_code,0))),0)=0),"Date de départ manquante",IF(AND(E49&lt;&gt;"Calendrier",K49="",N(N49)=0),"Compteur de départ manquant",IF(AND(E49&lt;&gt;"Calendrier",N(Q49)=0),"Relevé compteur manquant (Équipements)",IF(AND(I49&lt;&gt;"",ISNA(MATCH(I49,tech_name,0))),"Technicien inconnu",IF(AND(L49&lt;&gt;"",L49&lt;&gt;"Oui",L49&lt;&gt;"Non"),"Actif : Oui ou Non","OK")))))))))))))))))</f>
        <v/>
      </c>
      <c r="W49" s="67">
        <f>IFERROR(N(INDEX(eq_use,MATCH(B49,eq_code,0))),0)</f>
        <v>0.0</v>
      </c>
      <c r="X49" s="67" t="str">
        <f>IF(AND(ISNUMBER(S49),W49&gt;0),p_today+MAX(0,ROUNDUP(S49*7/W49,0)),"")</f>
        <v/>
      </c>
      <c r="Y49" s="67" t="str">
        <f>IF(AND(ISNUMBER(T49),OR(U49="En retard",U49="Bientôt",U49="À jour")),IF(AND(ISNUMBER(O49),ISNUMBER(X49)),MIN(F49,G49*7/W49),IF(ISNUMBER(O49),F49,G49*7/W49)),"")</f>
        <v/>
      </c>
      <c r="Z49" s="67" t="str">
        <f>IF(OR(U49="En retard",U49="Bientôt"),IF(U49="En retard",0,1)*1000000000+IF(AB49="A",0,IF(AB49="B",1,IF(AB49="C",2,3)))*100000000+IF(ISNUMBER(T49),T49,p_today)*1000+ROW()-5,"")</f>
        <v/>
      </c>
      <c r="AA49" s="67" t="str">
        <f>IF(Z49="","",COUNTIF($Z$6:$Z$505,"&lt;"&amp;Z49)+1)</f>
        <v/>
      </c>
      <c r="AB49" s="67" t="str">
        <f>IFERROR(INDEX(eq_crit,MATCH(B49,eq_code,0))&amp;"","")</f>
        <v/>
      </c>
    </row>
    <row r="50">
      <c r="A50" s="65" t="n"/>
      <c r="B50" s="66" t="n"/>
      <c r="C50" s="67" t="str">
        <f>IF(B50="","",IFERROR(INDEX(eq_des,MATCH(B50,eq_code,0))&amp;"","Équipement inconnu"))</f>
        <v/>
      </c>
      <c r="D50" s="66" t="n"/>
      <c r="E50" s="68" t="n"/>
      <c r="F50" s="69" t="n"/>
      <c r="G50" s="70" t="n"/>
      <c r="H50" s="71" t="n"/>
      <c r="I50" s="66" t="n"/>
      <c r="J50" s="72" t="n"/>
      <c r="K50" s="73" t="n"/>
      <c r="L50" s="68" t="n"/>
      <c r="M50" s="74" t="str">
        <f>IF(AND(A50="",B50="",D50=""),"",MAX(N(J50),IF(A50="",0,SUMPRODUCT(MAX((in_plan=A50)*in_prev*in_dnum)))))</f>
        <v/>
      </c>
      <c r="N50" s="75" t="str">
        <f>IF(AND(A50="",B50="",D50=""),"",MAX(N(K50),IF(A50="",0,SUMPRODUCT(MAX((in_plan=A50)*in_prev*in_cnum)))))</f>
        <v/>
      </c>
      <c r="O50" s="76" t="str">
        <f>IF(AND(OR(E50="Calendrier",E50="Au premier des deux"),N(F50)&gt;0,IF(N(M50)&gt;0,M50,IFERROR(N(INDEX(eq_start,MATCH(B50,eq_code,0))),0))&gt;0),IF(N(M50)&gt;0,M50,IFERROR(N(INDEX(eq_start,MATCH(B50,eq_code,0))),0))+F50,"")</f>
        <v/>
      </c>
      <c r="P50" s="75" t="str">
        <f>IF(AND(OR(E50="Compteur",E50="Au premier des deux"),N(G50)&gt;0),N(N50)+G50,"")</f>
        <v/>
      </c>
      <c r="Q50" s="75" t="str">
        <f>IF(B50="","",IFERROR(N(INDEX(eq_cnt,MATCH(B50,eq_code,0))),""))</f>
        <v/>
      </c>
      <c r="R50" s="77" t="str">
        <f>IF(ISNUMBER(O50),O50-p_today,"")</f>
        <v/>
      </c>
      <c r="S50" s="78" t="str">
        <f>IF(AND(ISNUMBER(P50),N(Q50)&gt;0),P50-Q50,"")</f>
        <v/>
      </c>
      <c r="T50" s="76" t="str">
        <f>IF(AND(ISNUMBER(O50),ISNUMBER(X50)),MIN(O50,X50),IF(ISNUMBER(O50),O50,X50))</f>
        <v/>
      </c>
      <c r="U50" s="79" t="str">
        <f>IF(AND(A50="",B50="",D50=""),"",IF(L50="Non","Inactif",IF(AND(NOT(ISNUMBER(R50)),NOT(ISNUMBER(S50))),"À compléter",IF(OR(AND(ISNUMBER(R50),N(R50)&lt;0),AND(ISNUMBER(S50),N(S50)&lt;0)),"En retard",IF(OR(AND(ISNUMBER(R50),N(R50)&lt;=p_soon),AND(ISNUMBER(S50),N(S50)&lt;=p_soon_pct*N(G50))),"Bientôt","À jour")))))</f>
        <v/>
      </c>
      <c r="V50" s="79" t="str">
        <f>IF(AND(A50="",B50="",D50=""),"",IF(A50="","N° de plan manquant",IF(COUNTIF($A$6:$A$505,A50)&gt;1,"N° de plan en double",IF(B50="","Équipement manquant",IF(ISNA(MATCH(B50,eq_code,0)),"Équipement inconnu",IF(D50="","Tâche manquante",IF(E50="","Déclenchement manquant",IF(AND(E50&lt;&gt;"Calendrier",E50&lt;&gt;"Compteur",E50&lt;&gt;"Au premier des deux"),"Déclenchement inconnu",IF(AND(E50&lt;&gt;"Compteur",OR(NOT(ISNUMBER(F50)),N(F50)&lt;=0)),"Périodicité en jours manquante",IF(AND(E50&lt;&gt;"Calendrier",OR(NOT(ISNUMBER(G50)),N(G50)&lt;=0)),"Périodicité compteur manquante",IF(AND(J50&lt;&gt;"",OR(NOT(ISNUMBER(J50)),N(J50)&lt;=0)),"Date de réalisation invalide",IF(AND(K50&lt;&gt;"",OR(NOT(ISNUMBER(K50)),N(K50)&lt;0)),"Compteur de réalisation invalide",IF(AND(E50&lt;&gt;"Compteur",N(M50)=0,IFERROR(N(INDEX(eq_start,MATCH(B50,eq_code,0))),0)=0),"Date de départ manquante",IF(AND(E50&lt;&gt;"Calendrier",K50="",N(N50)=0),"Compteur de départ manquant",IF(AND(E50&lt;&gt;"Calendrier",N(Q50)=0),"Relevé compteur manquant (Équipements)",IF(AND(I50&lt;&gt;"",ISNA(MATCH(I50,tech_name,0))),"Technicien inconnu",IF(AND(L50&lt;&gt;"",L50&lt;&gt;"Oui",L50&lt;&gt;"Non"),"Actif : Oui ou Non","OK")))))))))))))))))</f>
        <v/>
      </c>
      <c r="W50" s="67">
        <f>IFERROR(N(INDEX(eq_use,MATCH(B50,eq_code,0))),0)</f>
        <v>0.0</v>
      </c>
      <c r="X50" s="67" t="str">
        <f>IF(AND(ISNUMBER(S50),W50&gt;0),p_today+MAX(0,ROUNDUP(S50*7/W50,0)),"")</f>
        <v/>
      </c>
      <c r="Y50" s="67" t="str">
        <f>IF(AND(ISNUMBER(T50),OR(U50="En retard",U50="Bientôt",U50="À jour")),IF(AND(ISNUMBER(O50),ISNUMBER(X50)),MIN(F50,G50*7/W50),IF(ISNUMBER(O50),F50,G50*7/W50)),"")</f>
        <v/>
      </c>
      <c r="Z50" s="67" t="str">
        <f>IF(OR(U50="En retard",U50="Bientôt"),IF(U50="En retard",0,1)*1000000000+IF(AB50="A",0,IF(AB50="B",1,IF(AB50="C",2,3)))*100000000+IF(ISNUMBER(T50),T50,p_today)*1000+ROW()-5,"")</f>
        <v/>
      </c>
      <c r="AA50" s="67" t="str">
        <f>IF(Z50="","",COUNTIF($Z$6:$Z$505,"&lt;"&amp;Z50)+1)</f>
        <v/>
      </c>
      <c r="AB50" s="67" t="str">
        <f>IFERROR(INDEX(eq_crit,MATCH(B50,eq_code,0))&amp;"","")</f>
        <v/>
      </c>
    </row>
    <row r="51">
      <c r="A51" s="65" t="n"/>
      <c r="B51" s="66" t="n"/>
      <c r="C51" s="67" t="str">
        <f>IF(B51="","",IFERROR(INDEX(eq_des,MATCH(B51,eq_code,0))&amp;"","Équipement inconnu"))</f>
        <v/>
      </c>
      <c r="D51" s="66" t="n"/>
      <c r="E51" s="68" t="n"/>
      <c r="F51" s="69" t="n"/>
      <c r="G51" s="70" t="n"/>
      <c r="H51" s="71" t="n"/>
      <c r="I51" s="66" t="n"/>
      <c r="J51" s="72" t="n"/>
      <c r="K51" s="73" t="n"/>
      <c r="L51" s="68" t="n"/>
      <c r="M51" s="74" t="str">
        <f>IF(AND(A51="",B51="",D51=""),"",MAX(N(J51),IF(A51="",0,SUMPRODUCT(MAX((in_plan=A51)*in_prev*in_dnum)))))</f>
        <v/>
      </c>
      <c r="N51" s="75" t="str">
        <f>IF(AND(A51="",B51="",D51=""),"",MAX(N(K51),IF(A51="",0,SUMPRODUCT(MAX((in_plan=A51)*in_prev*in_cnum)))))</f>
        <v/>
      </c>
      <c r="O51" s="76" t="str">
        <f>IF(AND(OR(E51="Calendrier",E51="Au premier des deux"),N(F51)&gt;0,IF(N(M51)&gt;0,M51,IFERROR(N(INDEX(eq_start,MATCH(B51,eq_code,0))),0))&gt;0),IF(N(M51)&gt;0,M51,IFERROR(N(INDEX(eq_start,MATCH(B51,eq_code,0))),0))+F51,"")</f>
        <v/>
      </c>
      <c r="P51" s="75" t="str">
        <f>IF(AND(OR(E51="Compteur",E51="Au premier des deux"),N(G51)&gt;0),N(N51)+G51,"")</f>
        <v/>
      </c>
      <c r="Q51" s="75" t="str">
        <f>IF(B51="","",IFERROR(N(INDEX(eq_cnt,MATCH(B51,eq_code,0))),""))</f>
        <v/>
      </c>
      <c r="R51" s="77" t="str">
        <f>IF(ISNUMBER(O51),O51-p_today,"")</f>
        <v/>
      </c>
      <c r="S51" s="78" t="str">
        <f>IF(AND(ISNUMBER(P51),N(Q51)&gt;0),P51-Q51,"")</f>
        <v/>
      </c>
      <c r="T51" s="76" t="str">
        <f>IF(AND(ISNUMBER(O51),ISNUMBER(X51)),MIN(O51,X51),IF(ISNUMBER(O51),O51,X51))</f>
        <v/>
      </c>
      <c r="U51" s="79" t="str">
        <f>IF(AND(A51="",B51="",D51=""),"",IF(L51="Non","Inactif",IF(AND(NOT(ISNUMBER(R51)),NOT(ISNUMBER(S51))),"À compléter",IF(OR(AND(ISNUMBER(R51),N(R51)&lt;0),AND(ISNUMBER(S51),N(S51)&lt;0)),"En retard",IF(OR(AND(ISNUMBER(R51),N(R51)&lt;=p_soon),AND(ISNUMBER(S51),N(S51)&lt;=p_soon_pct*N(G51))),"Bientôt","À jour")))))</f>
        <v/>
      </c>
      <c r="V51" s="79" t="str">
        <f>IF(AND(A51="",B51="",D51=""),"",IF(A51="","N° de plan manquant",IF(COUNTIF($A$6:$A$505,A51)&gt;1,"N° de plan en double",IF(B51="","Équipement manquant",IF(ISNA(MATCH(B51,eq_code,0)),"Équipement inconnu",IF(D51="","Tâche manquante",IF(E51="","Déclenchement manquant",IF(AND(E51&lt;&gt;"Calendrier",E51&lt;&gt;"Compteur",E51&lt;&gt;"Au premier des deux"),"Déclenchement inconnu",IF(AND(E51&lt;&gt;"Compteur",OR(NOT(ISNUMBER(F51)),N(F51)&lt;=0)),"Périodicité en jours manquante",IF(AND(E51&lt;&gt;"Calendrier",OR(NOT(ISNUMBER(G51)),N(G51)&lt;=0)),"Périodicité compteur manquante",IF(AND(J51&lt;&gt;"",OR(NOT(ISNUMBER(J51)),N(J51)&lt;=0)),"Date de réalisation invalide",IF(AND(K51&lt;&gt;"",OR(NOT(ISNUMBER(K51)),N(K51)&lt;0)),"Compteur de réalisation invalide",IF(AND(E51&lt;&gt;"Compteur",N(M51)=0,IFERROR(N(INDEX(eq_start,MATCH(B51,eq_code,0))),0)=0),"Date de départ manquante",IF(AND(E51&lt;&gt;"Calendrier",K51="",N(N51)=0),"Compteur de départ manquant",IF(AND(E51&lt;&gt;"Calendrier",N(Q51)=0),"Relevé compteur manquant (Équipements)",IF(AND(I51&lt;&gt;"",ISNA(MATCH(I51,tech_name,0))),"Technicien inconnu",IF(AND(L51&lt;&gt;"",L51&lt;&gt;"Oui",L51&lt;&gt;"Non"),"Actif : Oui ou Non","OK")))))))))))))))))</f>
        <v/>
      </c>
      <c r="W51" s="67">
        <f>IFERROR(N(INDEX(eq_use,MATCH(B51,eq_code,0))),0)</f>
        <v>0.0</v>
      </c>
      <c r="X51" s="67" t="str">
        <f>IF(AND(ISNUMBER(S51),W51&gt;0),p_today+MAX(0,ROUNDUP(S51*7/W51,0)),"")</f>
        <v/>
      </c>
      <c r="Y51" s="67" t="str">
        <f>IF(AND(ISNUMBER(T51),OR(U51="En retard",U51="Bientôt",U51="À jour")),IF(AND(ISNUMBER(O51),ISNUMBER(X51)),MIN(F51,G51*7/W51),IF(ISNUMBER(O51),F51,G51*7/W51)),"")</f>
        <v/>
      </c>
      <c r="Z51" s="67" t="str">
        <f>IF(OR(U51="En retard",U51="Bientôt"),IF(U51="En retard",0,1)*1000000000+IF(AB51="A",0,IF(AB51="B",1,IF(AB51="C",2,3)))*100000000+IF(ISNUMBER(T51),T51,p_today)*1000+ROW()-5,"")</f>
        <v/>
      </c>
      <c r="AA51" s="67" t="str">
        <f>IF(Z51="","",COUNTIF($Z$6:$Z$505,"&lt;"&amp;Z51)+1)</f>
        <v/>
      </c>
      <c r="AB51" s="67" t="str">
        <f>IFERROR(INDEX(eq_crit,MATCH(B51,eq_code,0))&amp;"","")</f>
        <v/>
      </c>
    </row>
    <row r="52">
      <c r="A52" s="65" t="n"/>
      <c r="B52" s="66" t="n"/>
      <c r="C52" s="67" t="str">
        <f>IF(B52="","",IFERROR(INDEX(eq_des,MATCH(B52,eq_code,0))&amp;"","Équipement inconnu"))</f>
        <v/>
      </c>
      <c r="D52" s="66" t="n"/>
      <c r="E52" s="68" t="n"/>
      <c r="F52" s="69" t="n"/>
      <c r="G52" s="70" t="n"/>
      <c r="H52" s="71" t="n"/>
      <c r="I52" s="66" t="n"/>
      <c r="J52" s="72" t="n"/>
      <c r="K52" s="73" t="n"/>
      <c r="L52" s="68" t="n"/>
      <c r="M52" s="74" t="str">
        <f>IF(AND(A52="",B52="",D52=""),"",MAX(N(J52),IF(A52="",0,SUMPRODUCT(MAX((in_plan=A52)*in_prev*in_dnum)))))</f>
        <v/>
      </c>
      <c r="N52" s="75" t="str">
        <f>IF(AND(A52="",B52="",D52=""),"",MAX(N(K52),IF(A52="",0,SUMPRODUCT(MAX((in_plan=A52)*in_prev*in_cnum)))))</f>
        <v/>
      </c>
      <c r="O52" s="76" t="str">
        <f>IF(AND(OR(E52="Calendrier",E52="Au premier des deux"),N(F52)&gt;0,IF(N(M52)&gt;0,M52,IFERROR(N(INDEX(eq_start,MATCH(B52,eq_code,0))),0))&gt;0),IF(N(M52)&gt;0,M52,IFERROR(N(INDEX(eq_start,MATCH(B52,eq_code,0))),0))+F52,"")</f>
        <v/>
      </c>
      <c r="P52" s="75" t="str">
        <f>IF(AND(OR(E52="Compteur",E52="Au premier des deux"),N(G52)&gt;0),N(N52)+G52,"")</f>
        <v/>
      </c>
      <c r="Q52" s="75" t="str">
        <f>IF(B52="","",IFERROR(N(INDEX(eq_cnt,MATCH(B52,eq_code,0))),""))</f>
        <v/>
      </c>
      <c r="R52" s="77" t="str">
        <f>IF(ISNUMBER(O52),O52-p_today,"")</f>
        <v/>
      </c>
      <c r="S52" s="78" t="str">
        <f>IF(AND(ISNUMBER(P52),N(Q52)&gt;0),P52-Q52,"")</f>
        <v/>
      </c>
      <c r="T52" s="76" t="str">
        <f>IF(AND(ISNUMBER(O52),ISNUMBER(X52)),MIN(O52,X52),IF(ISNUMBER(O52),O52,X52))</f>
        <v/>
      </c>
      <c r="U52" s="79" t="str">
        <f>IF(AND(A52="",B52="",D52=""),"",IF(L52="Non","Inactif",IF(AND(NOT(ISNUMBER(R52)),NOT(ISNUMBER(S52))),"À compléter",IF(OR(AND(ISNUMBER(R52),N(R52)&lt;0),AND(ISNUMBER(S52),N(S52)&lt;0)),"En retard",IF(OR(AND(ISNUMBER(R52),N(R52)&lt;=p_soon),AND(ISNUMBER(S52),N(S52)&lt;=p_soon_pct*N(G52))),"Bientôt","À jour")))))</f>
        <v/>
      </c>
      <c r="V52" s="79" t="str">
        <f>IF(AND(A52="",B52="",D52=""),"",IF(A52="","N° de plan manquant",IF(COUNTIF($A$6:$A$505,A52)&gt;1,"N° de plan en double",IF(B52="","Équipement manquant",IF(ISNA(MATCH(B52,eq_code,0)),"Équipement inconnu",IF(D52="","Tâche manquante",IF(E52="","Déclenchement manquant",IF(AND(E52&lt;&gt;"Calendrier",E52&lt;&gt;"Compteur",E52&lt;&gt;"Au premier des deux"),"Déclenchement inconnu",IF(AND(E52&lt;&gt;"Compteur",OR(NOT(ISNUMBER(F52)),N(F52)&lt;=0)),"Périodicité en jours manquante",IF(AND(E52&lt;&gt;"Calendrier",OR(NOT(ISNUMBER(G52)),N(G52)&lt;=0)),"Périodicité compteur manquante",IF(AND(J52&lt;&gt;"",OR(NOT(ISNUMBER(J52)),N(J52)&lt;=0)),"Date de réalisation invalide",IF(AND(K52&lt;&gt;"",OR(NOT(ISNUMBER(K52)),N(K52)&lt;0)),"Compteur de réalisation invalide",IF(AND(E52&lt;&gt;"Compteur",N(M52)=0,IFERROR(N(INDEX(eq_start,MATCH(B52,eq_code,0))),0)=0),"Date de départ manquante",IF(AND(E52&lt;&gt;"Calendrier",K52="",N(N52)=0),"Compteur de départ manquant",IF(AND(E52&lt;&gt;"Calendrier",N(Q52)=0),"Relevé compteur manquant (Équipements)",IF(AND(I52&lt;&gt;"",ISNA(MATCH(I52,tech_name,0))),"Technicien inconnu",IF(AND(L52&lt;&gt;"",L52&lt;&gt;"Oui",L52&lt;&gt;"Non"),"Actif : Oui ou Non","OK")))))))))))))))))</f>
        <v/>
      </c>
      <c r="W52" s="67">
        <f>IFERROR(N(INDEX(eq_use,MATCH(B52,eq_code,0))),0)</f>
        <v>0.0</v>
      </c>
      <c r="X52" s="67" t="str">
        <f>IF(AND(ISNUMBER(S52),W52&gt;0),p_today+MAX(0,ROUNDUP(S52*7/W52,0)),"")</f>
        <v/>
      </c>
      <c r="Y52" s="67" t="str">
        <f>IF(AND(ISNUMBER(T52),OR(U52="En retard",U52="Bientôt",U52="À jour")),IF(AND(ISNUMBER(O52),ISNUMBER(X52)),MIN(F52,G52*7/W52),IF(ISNUMBER(O52),F52,G52*7/W52)),"")</f>
        <v/>
      </c>
      <c r="Z52" s="67" t="str">
        <f>IF(OR(U52="En retard",U52="Bientôt"),IF(U52="En retard",0,1)*1000000000+IF(AB52="A",0,IF(AB52="B",1,IF(AB52="C",2,3)))*100000000+IF(ISNUMBER(T52),T52,p_today)*1000+ROW()-5,"")</f>
        <v/>
      </c>
      <c r="AA52" s="67" t="str">
        <f>IF(Z52="","",COUNTIF($Z$6:$Z$505,"&lt;"&amp;Z52)+1)</f>
        <v/>
      </c>
      <c r="AB52" s="67" t="str">
        <f>IFERROR(INDEX(eq_crit,MATCH(B52,eq_code,0))&amp;"","")</f>
        <v/>
      </c>
    </row>
    <row r="53">
      <c r="A53" s="65" t="n"/>
      <c r="B53" s="66" t="n"/>
      <c r="C53" s="67" t="str">
        <f>IF(B53="","",IFERROR(INDEX(eq_des,MATCH(B53,eq_code,0))&amp;"","Équipement inconnu"))</f>
        <v/>
      </c>
      <c r="D53" s="66" t="n"/>
      <c r="E53" s="68" t="n"/>
      <c r="F53" s="69" t="n"/>
      <c r="G53" s="70" t="n"/>
      <c r="H53" s="71" t="n"/>
      <c r="I53" s="66" t="n"/>
      <c r="J53" s="72" t="n"/>
      <c r="K53" s="73" t="n"/>
      <c r="L53" s="68" t="n"/>
      <c r="M53" s="74" t="str">
        <f>IF(AND(A53="",B53="",D53=""),"",MAX(N(J53),IF(A53="",0,SUMPRODUCT(MAX((in_plan=A53)*in_prev*in_dnum)))))</f>
        <v/>
      </c>
      <c r="N53" s="75" t="str">
        <f>IF(AND(A53="",B53="",D53=""),"",MAX(N(K53),IF(A53="",0,SUMPRODUCT(MAX((in_plan=A53)*in_prev*in_cnum)))))</f>
        <v/>
      </c>
      <c r="O53" s="76" t="str">
        <f>IF(AND(OR(E53="Calendrier",E53="Au premier des deux"),N(F53)&gt;0,IF(N(M53)&gt;0,M53,IFERROR(N(INDEX(eq_start,MATCH(B53,eq_code,0))),0))&gt;0),IF(N(M53)&gt;0,M53,IFERROR(N(INDEX(eq_start,MATCH(B53,eq_code,0))),0))+F53,"")</f>
        <v/>
      </c>
      <c r="P53" s="75" t="str">
        <f>IF(AND(OR(E53="Compteur",E53="Au premier des deux"),N(G53)&gt;0),N(N53)+G53,"")</f>
        <v/>
      </c>
      <c r="Q53" s="75" t="str">
        <f>IF(B53="","",IFERROR(N(INDEX(eq_cnt,MATCH(B53,eq_code,0))),""))</f>
        <v/>
      </c>
      <c r="R53" s="77" t="str">
        <f>IF(ISNUMBER(O53),O53-p_today,"")</f>
        <v/>
      </c>
      <c r="S53" s="78" t="str">
        <f>IF(AND(ISNUMBER(P53),N(Q53)&gt;0),P53-Q53,"")</f>
        <v/>
      </c>
      <c r="T53" s="76" t="str">
        <f>IF(AND(ISNUMBER(O53),ISNUMBER(X53)),MIN(O53,X53),IF(ISNUMBER(O53),O53,X53))</f>
        <v/>
      </c>
      <c r="U53" s="79" t="str">
        <f>IF(AND(A53="",B53="",D53=""),"",IF(L53="Non","Inactif",IF(AND(NOT(ISNUMBER(R53)),NOT(ISNUMBER(S53))),"À compléter",IF(OR(AND(ISNUMBER(R53),N(R53)&lt;0),AND(ISNUMBER(S53),N(S53)&lt;0)),"En retard",IF(OR(AND(ISNUMBER(R53),N(R53)&lt;=p_soon),AND(ISNUMBER(S53),N(S53)&lt;=p_soon_pct*N(G53))),"Bientôt","À jour")))))</f>
        <v/>
      </c>
      <c r="V53" s="79" t="str">
        <f>IF(AND(A53="",B53="",D53=""),"",IF(A53="","N° de plan manquant",IF(COUNTIF($A$6:$A$505,A53)&gt;1,"N° de plan en double",IF(B53="","Équipement manquant",IF(ISNA(MATCH(B53,eq_code,0)),"Équipement inconnu",IF(D53="","Tâche manquante",IF(E53="","Déclenchement manquant",IF(AND(E53&lt;&gt;"Calendrier",E53&lt;&gt;"Compteur",E53&lt;&gt;"Au premier des deux"),"Déclenchement inconnu",IF(AND(E53&lt;&gt;"Compteur",OR(NOT(ISNUMBER(F53)),N(F53)&lt;=0)),"Périodicité en jours manquante",IF(AND(E53&lt;&gt;"Calendrier",OR(NOT(ISNUMBER(G53)),N(G53)&lt;=0)),"Périodicité compteur manquante",IF(AND(J53&lt;&gt;"",OR(NOT(ISNUMBER(J53)),N(J53)&lt;=0)),"Date de réalisation invalide",IF(AND(K53&lt;&gt;"",OR(NOT(ISNUMBER(K53)),N(K53)&lt;0)),"Compteur de réalisation invalide",IF(AND(E53&lt;&gt;"Compteur",N(M53)=0,IFERROR(N(INDEX(eq_start,MATCH(B53,eq_code,0))),0)=0),"Date de départ manquante",IF(AND(E53&lt;&gt;"Calendrier",K53="",N(N53)=0),"Compteur de départ manquant",IF(AND(E53&lt;&gt;"Calendrier",N(Q53)=0),"Relevé compteur manquant (Équipements)",IF(AND(I53&lt;&gt;"",ISNA(MATCH(I53,tech_name,0))),"Technicien inconnu",IF(AND(L53&lt;&gt;"",L53&lt;&gt;"Oui",L53&lt;&gt;"Non"),"Actif : Oui ou Non","OK")))))))))))))))))</f>
        <v/>
      </c>
      <c r="W53" s="67">
        <f>IFERROR(N(INDEX(eq_use,MATCH(B53,eq_code,0))),0)</f>
        <v>0.0</v>
      </c>
      <c r="X53" s="67" t="str">
        <f>IF(AND(ISNUMBER(S53),W53&gt;0),p_today+MAX(0,ROUNDUP(S53*7/W53,0)),"")</f>
        <v/>
      </c>
      <c r="Y53" s="67" t="str">
        <f>IF(AND(ISNUMBER(T53),OR(U53="En retard",U53="Bientôt",U53="À jour")),IF(AND(ISNUMBER(O53),ISNUMBER(X53)),MIN(F53,G53*7/W53),IF(ISNUMBER(O53),F53,G53*7/W53)),"")</f>
        <v/>
      </c>
      <c r="Z53" s="67" t="str">
        <f>IF(OR(U53="En retard",U53="Bientôt"),IF(U53="En retard",0,1)*1000000000+IF(AB53="A",0,IF(AB53="B",1,IF(AB53="C",2,3)))*100000000+IF(ISNUMBER(T53),T53,p_today)*1000+ROW()-5,"")</f>
        <v/>
      </c>
      <c r="AA53" s="67" t="str">
        <f>IF(Z53="","",COUNTIF($Z$6:$Z$505,"&lt;"&amp;Z53)+1)</f>
        <v/>
      </c>
      <c r="AB53" s="67" t="str">
        <f>IFERROR(INDEX(eq_crit,MATCH(B53,eq_code,0))&amp;"","")</f>
        <v/>
      </c>
    </row>
    <row r="54">
      <c r="A54" s="65" t="n"/>
      <c r="B54" s="66" t="n"/>
      <c r="C54" s="67" t="str">
        <f>IF(B54="","",IFERROR(INDEX(eq_des,MATCH(B54,eq_code,0))&amp;"","Équipement inconnu"))</f>
        <v/>
      </c>
      <c r="D54" s="66" t="n"/>
      <c r="E54" s="68" t="n"/>
      <c r="F54" s="69" t="n"/>
      <c r="G54" s="70" t="n"/>
      <c r="H54" s="71" t="n"/>
      <c r="I54" s="66" t="n"/>
      <c r="J54" s="72" t="n"/>
      <c r="K54" s="73" t="n"/>
      <c r="L54" s="68" t="n"/>
      <c r="M54" s="74" t="str">
        <f>IF(AND(A54="",B54="",D54=""),"",MAX(N(J54),IF(A54="",0,SUMPRODUCT(MAX((in_plan=A54)*in_prev*in_dnum)))))</f>
        <v/>
      </c>
      <c r="N54" s="75" t="str">
        <f>IF(AND(A54="",B54="",D54=""),"",MAX(N(K54),IF(A54="",0,SUMPRODUCT(MAX((in_plan=A54)*in_prev*in_cnum)))))</f>
        <v/>
      </c>
      <c r="O54" s="76" t="str">
        <f>IF(AND(OR(E54="Calendrier",E54="Au premier des deux"),N(F54)&gt;0,IF(N(M54)&gt;0,M54,IFERROR(N(INDEX(eq_start,MATCH(B54,eq_code,0))),0))&gt;0),IF(N(M54)&gt;0,M54,IFERROR(N(INDEX(eq_start,MATCH(B54,eq_code,0))),0))+F54,"")</f>
        <v/>
      </c>
      <c r="P54" s="75" t="str">
        <f>IF(AND(OR(E54="Compteur",E54="Au premier des deux"),N(G54)&gt;0),N(N54)+G54,"")</f>
        <v/>
      </c>
      <c r="Q54" s="75" t="str">
        <f>IF(B54="","",IFERROR(N(INDEX(eq_cnt,MATCH(B54,eq_code,0))),""))</f>
        <v/>
      </c>
      <c r="R54" s="77" t="str">
        <f>IF(ISNUMBER(O54),O54-p_today,"")</f>
        <v/>
      </c>
      <c r="S54" s="78" t="str">
        <f>IF(AND(ISNUMBER(P54),N(Q54)&gt;0),P54-Q54,"")</f>
        <v/>
      </c>
      <c r="T54" s="76" t="str">
        <f>IF(AND(ISNUMBER(O54),ISNUMBER(X54)),MIN(O54,X54),IF(ISNUMBER(O54),O54,X54))</f>
        <v/>
      </c>
      <c r="U54" s="79" t="str">
        <f>IF(AND(A54="",B54="",D54=""),"",IF(L54="Non","Inactif",IF(AND(NOT(ISNUMBER(R54)),NOT(ISNUMBER(S54))),"À compléter",IF(OR(AND(ISNUMBER(R54),N(R54)&lt;0),AND(ISNUMBER(S54),N(S54)&lt;0)),"En retard",IF(OR(AND(ISNUMBER(R54),N(R54)&lt;=p_soon),AND(ISNUMBER(S54),N(S54)&lt;=p_soon_pct*N(G54))),"Bientôt","À jour")))))</f>
        <v/>
      </c>
      <c r="V54" s="79" t="str">
        <f>IF(AND(A54="",B54="",D54=""),"",IF(A54="","N° de plan manquant",IF(COUNTIF($A$6:$A$505,A54)&gt;1,"N° de plan en double",IF(B54="","Équipement manquant",IF(ISNA(MATCH(B54,eq_code,0)),"Équipement inconnu",IF(D54="","Tâche manquante",IF(E54="","Déclenchement manquant",IF(AND(E54&lt;&gt;"Calendrier",E54&lt;&gt;"Compteur",E54&lt;&gt;"Au premier des deux"),"Déclenchement inconnu",IF(AND(E54&lt;&gt;"Compteur",OR(NOT(ISNUMBER(F54)),N(F54)&lt;=0)),"Périodicité en jours manquante",IF(AND(E54&lt;&gt;"Calendrier",OR(NOT(ISNUMBER(G54)),N(G54)&lt;=0)),"Périodicité compteur manquante",IF(AND(J54&lt;&gt;"",OR(NOT(ISNUMBER(J54)),N(J54)&lt;=0)),"Date de réalisation invalide",IF(AND(K54&lt;&gt;"",OR(NOT(ISNUMBER(K54)),N(K54)&lt;0)),"Compteur de réalisation invalide",IF(AND(E54&lt;&gt;"Compteur",N(M54)=0,IFERROR(N(INDEX(eq_start,MATCH(B54,eq_code,0))),0)=0),"Date de départ manquante",IF(AND(E54&lt;&gt;"Calendrier",K54="",N(N54)=0),"Compteur de départ manquant",IF(AND(E54&lt;&gt;"Calendrier",N(Q54)=0),"Relevé compteur manquant (Équipements)",IF(AND(I54&lt;&gt;"",ISNA(MATCH(I54,tech_name,0))),"Technicien inconnu",IF(AND(L54&lt;&gt;"",L54&lt;&gt;"Oui",L54&lt;&gt;"Non"),"Actif : Oui ou Non","OK")))))))))))))))))</f>
        <v/>
      </c>
      <c r="W54" s="67">
        <f>IFERROR(N(INDEX(eq_use,MATCH(B54,eq_code,0))),0)</f>
        <v>0.0</v>
      </c>
      <c r="X54" s="67" t="str">
        <f>IF(AND(ISNUMBER(S54),W54&gt;0),p_today+MAX(0,ROUNDUP(S54*7/W54,0)),"")</f>
        <v/>
      </c>
      <c r="Y54" s="67" t="str">
        <f>IF(AND(ISNUMBER(T54),OR(U54="En retard",U54="Bientôt",U54="À jour")),IF(AND(ISNUMBER(O54),ISNUMBER(X54)),MIN(F54,G54*7/W54),IF(ISNUMBER(O54),F54,G54*7/W54)),"")</f>
        <v/>
      </c>
      <c r="Z54" s="67" t="str">
        <f>IF(OR(U54="En retard",U54="Bientôt"),IF(U54="En retard",0,1)*1000000000+IF(AB54="A",0,IF(AB54="B",1,IF(AB54="C",2,3)))*100000000+IF(ISNUMBER(T54),T54,p_today)*1000+ROW()-5,"")</f>
        <v/>
      </c>
      <c r="AA54" s="67" t="str">
        <f>IF(Z54="","",COUNTIF($Z$6:$Z$505,"&lt;"&amp;Z54)+1)</f>
        <v/>
      </c>
      <c r="AB54" s="67" t="str">
        <f>IFERROR(INDEX(eq_crit,MATCH(B54,eq_code,0))&amp;"","")</f>
        <v/>
      </c>
    </row>
    <row r="55">
      <c r="A55" s="65" t="n"/>
      <c r="B55" s="66" t="n"/>
      <c r="C55" s="67" t="str">
        <f>IF(B55="","",IFERROR(INDEX(eq_des,MATCH(B55,eq_code,0))&amp;"","Équipement inconnu"))</f>
        <v/>
      </c>
      <c r="D55" s="66" t="n"/>
      <c r="E55" s="68" t="n"/>
      <c r="F55" s="69" t="n"/>
      <c r="G55" s="70" t="n"/>
      <c r="H55" s="71" t="n"/>
      <c r="I55" s="66" t="n"/>
      <c r="J55" s="72" t="n"/>
      <c r="K55" s="73" t="n"/>
      <c r="L55" s="68" t="n"/>
      <c r="M55" s="74" t="str">
        <f>IF(AND(A55="",B55="",D55=""),"",MAX(N(J55),IF(A55="",0,SUMPRODUCT(MAX((in_plan=A55)*in_prev*in_dnum)))))</f>
        <v/>
      </c>
      <c r="N55" s="75" t="str">
        <f>IF(AND(A55="",B55="",D55=""),"",MAX(N(K55),IF(A55="",0,SUMPRODUCT(MAX((in_plan=A55)*in_prev*in_cnum)))))</f>
        <v/>
      </c>
      <c r="O55" s="76" t="str">
        <f>IF(AND(OR(E55="Calendrier",E55="Au premier des deux"),N(F55)&gt;0,IF(N(M55)&gt;0,M55,IFERROR(N(INDEX(eq_start,MATCH(B55,eq_code,0))),0))&gt;0),IF(N(M55)&gt;0,M55,IFERROR(N(INDEX(eq_start,MATCH(B55,eq_code,0))),0))+F55,"")</f>
        <v/>
      </c>
      <c r="P55" s="75" t="str">
        <f>IF(AND(OR(E55="Compteur",E55="Au premier des deux"),N(G55)&gt;0),N(N55)+G55,"")</f>
        <v/>
      </c>
      <c r="Q55" s="75" t="str">
        <f>IF(B55="","",IFERROR(N(INDEX(eq_cnt,MATCH(B55,eq_code,0))),""))</f>
        <v/>
      </c>
      <c r="R55" s="77" t="str">
        <f>IF(ISNUMBER(O55),O55-p_today,"")</f>
        <v/>
      </c>
      <c r="S55" s="78" t="str">
        <f>IF(AND(ISNUMBER(P55),N(Q55)&gt;0),P55-Q55,"")</f>
        <v/>
      </c>
      <c r="T55" s="76" t="str">
        <f>IF(AND(ISNUMBER(O55),ISNUMBER(X55)),MIN(O55,X55),IF(ISNUMBER(O55),O55,X55))</f>
        <v/>
      </c>
      <c r="U55" s="79" t="str">
        <f>IF(AND(A55="",B55="",D55=""),"",IF(L55="Non","Inactif",IF(AND(NOT(ISNUMBER(R55)),NOT(ISNUMBER(S55))),"À compléter",IF(OR(AND(ISNUMBER(R55),N(R55)&lt;0),AND(ISNUMBER(S55),N(S55)&lt;0)),"En retard",IF(OR(AND(ISNUMBER(R55),N(R55)&lt;=p_soon),AND(ISNUMBER(S55),N(S55)&lt;=p_soon_pct*N(G55))),"Bientôt","À jour")))))</f>
        <v/>
      </c>
      <c r="V55" s="79" t="str">
        <f>IF(AND(A55="",B55="",D55=""),"",IF(A55="","N° de plan manquant",IF(COUNTIF($A$6:$A$505,A55)&gt;1,"N° de plan en double",IF(B55="","Équipement manquant",IF(ISNA(MATCH(B55,eq_code,0)),"Équipement inconnu",IF(D55="","Tâche manquante",IF(E55="","Déclenchement manquant",IF(AND(E55&lt;&gt;"Calendrier",E55&lt;&gt;"Compteur",E55&lt;&gt;"Au premier des deux"),"Déclenchement inconnu",IF(AND(E55&lt;&gt;"Compteur",OR(NOT(ISNUMBER(F55)),N(F55)&lt;=0)),"Périodicité en jours manquante",IF(AND(E55&lt;&gt;"Calendrier",OR(NOT(ISNUMBER(G55)),N(G55)&lt;=0)),"Périodicité compteur manquante",IF(AND(J55&lt;&gt;"",OR(NOT(ISNUMBER(J55)),N(J55)&lt;=0)),"Date de réalisation invalide",IF(AND(K55&lt;&gt;"",OR(NOT(ISNUMBER(K55)),N(K55)&lt;0)),"Compteur de réalisation invalide",IF(AND(E55&lt;&gt;"Compteur",N(M55)=0,IFERROR(N(INDEX(eq_start,MATCH(B55,eq_code,0))),0)=0),"Date de départ manquante",IF(AND(E55&lt;&gt;"Calendrier",K55="",N(N55)=0),"Compteur de départ manquant",IF(AND(E55&lt;&gt;"Calendrier",N(Q55)=0),"Relevé compteur manquant (Équipements)",IF(AND(I55&lt;&gt;"",ISNA(MATCH(I55,tech_name,0))),"Technicien inconnu",IF(AND(L55&lt;&gt;"",L55&lt;&gt;"Oui",L55&lt;&gt;"Non"),"Actif : Oui ou Non","OK")))))))))))))))))</f>
        <v/>
      </c>
      <c r="W55" s="67">
        <f>IFERROR(N(INDEX(eq_use,MATCH(B55,eq_code,0))),0)</f>
        <v>0.0</v>
      </c>
      <c r="X55" s="67" t="str">
        <f>IF(AND(ISNUMBER(S55),W55&gt;0),p_today+MAX(0,ROUNDUP(S55*7/W55,0)),"")</f>
        <v/>
      </c>
      <c r="Y55" s="67" t="str">
        <f>IF(AND(ISNUMBER(T55),OR(U55="En retard",U55="Bientôt",U55="À jour")),IF(AND(ISNUMBER(O55),ISNUMBER(X55)),MIN(F55,G55*7/W55),IF(ISNUMBER(O55),F55,G55*7/W55)),"")</f>
        <v/>
      </c>
      <c r="Z55" s="67" t="str">
        <f>IF(OR(U55="En retard",U55="Bientôt"),IF(U55="En retard",0,1)*1000000000+IF(AB55="A",0,IF(AB55="B",1,IF(AB55="C",2,3)))*100000000+IF(ISNUMBER(T55),T55,p_today)*1000+ROW()-5,"")</f>
        <v/>
      </c>
      <c r="AA55" s="67" t="str">
        <f>IF(Z55="","",COUNTIF($Z$6:$Z$505,"&lt;"&amp;Z55)+1)</f>
        <v/>
      </c>
      <c r="AB55" s="67" t="str">
        <f>IFERROR(INDEX(eq_crit,MATCH(B55,eq_code,0))&amp;"","")</f>
        <v/>
      </c>
    </row>
    <row r="56">
      <c r="A56" s="65" t="n"/>
      <c r="B56" s="66" t="n"/>
      <c r="C56" s="67" t="str">
        <f>IF(B56="","",IFERROR(INDEX(eq_des,MATCH(B56,eq_code,0))&amp;"","Équipement inconnu"))</f>
        <v/>
      </c>
      <c r="D56" s="66" t="n"/>
      <c r="E56" s="68" t="n"/>
      <c r="F56" s="69" t="n"/>
      <c r="G56" s="70" t="n"/>
      <c r="H56" s="71" t="n"/>
      <c r="I56" s="66" t="n"/>
      <c r="J56" s="72" t="n"/>
      <c r="K56" s="73" t="n"/>
      <c r="L56" s="68" t="n"/>
      <c r="M56" s="74" t="str">
        <f>IF(AND(A56="",B56="",D56=""),"",MAX(N(J56),IF(A56="",0,SUMPRODUCT(MAX((in_plan=A56)*in_prev*in_dnum)))))</f>
        <v/>
      </c>
      <c r="N56" s="75" t="str">
        <f>IF(AND(A56="",B56="",D56=""),"",MAX(N(K56),IF(A56="",0,SUMPRODUCT(MAX((in_plan=A56)*in_prev*in_cnum)))))</f>
        <v/>
      </c>
      <c r="O56" s="76" t="str">
        <f>IF(AND(OR(E56="Calendrier",E56="Au premier des deux"),N(F56)&gt;0,IF(N(M56)&gt;0,M56,IFERROR(N(INDEX(eq_start,MATCH(B56,eq_code,0))),0))&gt;0),IF(N(M56)&gt;0,M56,IFERROR(N(INDEX(eq_start,MATCH(B56,eq_code,0))),0))+F56,"")</f>
        <v/>
      </c>
      <c r="P56" s="75" t="str">
        <f>IF(AND(OR(E56="Compteur",E56="Au premier des deux"),N(G56)&gt;0),N(N56)+G56,"")</f>
        <v/>
      </c>
      <c r="Q56" s="75" t="str">
        <f>IF(B56="","",IFERROR(N(INDEX(eq_cnt,MATCH(B56,eq_code,0))),""))</f>
        <v/>
      </c>
      <c r="R56" s="77" t="str">
        <f>IF(ISNUMBER(O56),O56-p_today,"")</f>
        <v/>
      </c>
      <c r="S56" s="78" t="str">
        <f>IF(AND(ISNUMBER(P56),N(Q56)&gt;0),P56-Q56,"")</f>
        <v/>
      </c>
      <c r="T56" s="76" t="str">
        <f>IF(AND(ISNUMBER(O56),ISNUMBER(X56)),MIN(O56,X56),IF(ISNUMBER(O56),O56,X56))</f>
        <v/>
      </c>
      <c r="U56" s="79" t="str">
        <f>IF(AND(A56="",B56="",D56=""),"",IF(L56="Non","Inactif",IF(AND(NOT(ISNUMBER(R56)),NOT(ISNUMBER(S56))),"À compléter",IF(OR(AND(ISNUMBER(R56),N(R56)&lt;0),AND(ISNUMBER(S56),N(S56)&lt;0)),"En retard",IF(OR(AND(ISNUMBER(R56),N(R56)&lt;=p_soon),AND(ISNUMBER(S56),N(S56)&lt;=p_soon_pct*N(G56))),"Bientôt","À jour")))))</f>
        <v/>
      </c>
      <c r="V56" s="79" t="str">
        <f>IF(AND(A56="",B56="",D56=""),"",IF(A56="","N° de plan manquant",IF(COUNTIF($A$6:$A$505,A56)&gt;1,"N° de plan en double",IF(B56="","Équipement manquant",IF(ISNA(MATCH(B56,eq_code,0)),"Équipement inconnu",IF(D56="","Tâche manquante",IF(E56="","Déclenchement manquant",IF(AND(E56&lt;&gt;"Calendrier",E56&lt;&gt;"Compteur",E56&lt;&gt;"Au premier des deux"),"Déclenchement inconnu",IF(AND(E56&lt;&gt;"Compteur",OR(NOT(ISNUMBER(F56)),N(F56)&lt;=0)),"Périodicité en jours manquante",IF(AND(E56&lt;&gt;"Calendrier",OR(NOT(ISNUMBER(G56)),N(G56)&lt;=0)),"Périodicité compteur manquante",IF(AND(J56&lt;&gt;"",OR(NOT(ISNUMBER(J56)),N(J56)&lt;=0)),"Date de réalisation invalide",IF(AND(K56&lt;&gt;"",OR(NOT(ISNUMBER(K56)),N(K56)&lt;0)),"Compteur de réalisation invalide",IF(AND(E56&lt;&gt;"Compteur",N(M56)=0,IFERROR(N(INDEX(eq_start,MATCH(B56,eq_code,0))),0)=0),"Date de départ manquante",IF(AND(E56&lt;&gt;"Calendrier",K56="",N(N56)=0),"Compteur de départ manquant",IF(AND(E56&lt;&gt;"Calendrier",N(Q56)=0),"Relevé compteur manquant (Équipements)",IF(AND(I56&lt;&gt;"",ISNA(MATCH(I56,tech_name,0))),"Technicien inconnu",IF(AND(L56&lt;&gt;"",L56&lt;&gt;"Oui",L56&lt;&gt;"Non"),"Actif : Oui ou Non","OK")))))))))))))))))</f>
        <v/>
      </c>
      <c r="W56" s="67">
        <f>IFERROR(N(INDEX(eq_use,MATCH(B56,eq_code,0))),0)</f>
        <v>0.0</v>
      </c>
      <c r="X56" s="67" t="str">
        <f>IF(AND(ISNUMBER(S56),W56&gt;0),p_today+MAX(0,ROUNDUP(S56*7/W56,0)),"")</f>
        <v/>
      </c>
      <c r="Y56" s="67" t="str">
        <f>IF(AND(ISNUMBER(T56),OR(U56="En retard",U56="Bientôt",U56="À jour")),IF(AND(ISNUMBER(O56),ISNUMBER(X56)),MIN(F56,G56*7/W56),IF(ISNUMBER(O56),F56,G56*7/W56)),"")</f>
        <v/>
      </c>
      <c r="Z56" s="67" t="str">
        <f>IF(OR(U56="En retard",U56="Bientôt"),IF(U56="En retard",0,1)*1000000000+IF(AB56="A",0,IF(AB56="B",1,IF(AB56="C",2,3)))*100000000+IF(ISNUMBER(T56),T56,p_today)*1000+ROW()-5,"")</f>
        <v/>
      </c>
      <c r="AA56" s="67" t="str">
        <f>IF(Z56="","",COUNTIF($Z$6:$Z$505,"&lt;"&amp;Z56)+1)</f>
        <v/>
      </c>
      <c r="AB56" s="67" t="str">
        <f>IFERROR(INDEX(eq_crit,MATCH(B56,eq_code,0))&amp;"","")</f>
        <v/>
      </c>
    </row>
    <row r="57">
      <c r="A57" s="65" t="n"/>
      <c r="B57" s="66" t="n"/>
      <c r="C57" s="67" t="str">
        <f>IF(B57="","",IFERROR(INDEX(eq_des,MATCH(B57,eq_code,0))&amp;"","Équipement inconnu"))</f>
        <v/>
      </c>
      <c r="D57" s="66" t="n"/>
      <c r="E57" s="68" t="n"/>
      <c r="F57" s="69" t="n"/>
      <c r="G57" s="70" t="n"/>
      <c r="H57" s="71" t="n"/>
      <c r="I57" s="66" t="n"/>
      <c r="J57" s="72" t="n"/>
      <c r="K57" s="73" t="n"/>
      <c r="L57" s="68" t="n"/>
      <c r="M57" s="74" t="str">
        <f>IF(AND(A57="",B57="",D57=""),"",MAX(N(J57),IF(A57="",0,SUMPRODUCT(MAX((in_plan=A57)*in_prev*in_dnum)))))</f>
        <v/>
      </c>
      <c r="N57" s="75" t="str">
        <f>IF(AND(A57="",B57="",D57=""),"",MAX(N(K57),IF(A57="",0,SUMPRODUCT(MAX((in_plan=A57)*in_prev*in_cnum)))))</f>
        <v/>
      </c>
      <c r="O57" s="76" t="str">
        <f>IF(AND(OR(E57="Calendrier",E57="Au premier des deux"),N(F57)&gt;0,IF(N(M57)&gt;0,M57,IFERROR(N(INDEX(eq_start,MATCH(B57,eq_code,0))),0))&gt;0),IF(N(M57)&gt;0,M57,IFERROR(N(INDEX(eq_start,MATCH(B57,eq_code,0))),0))+F57,"")</f>
        <v/>
      </c>
      <c r="P57" s="75" t="str">
        <f>IF(AND(OR(E57="Compteur",E57="Au premier des deux"),N(G57)&gt;0),N(N57)+G57,"")</f>
        <v/>
      </c>
      <c r="Q57" s="75" t="str">
        <f>IF(B57="","",IFERROR(N(INDEX(eq_cnt,MATCH(B57,eq_code,0))),""))</f>
        <v/>
      </c>
      <c r="R57" s="77" t="str">
        <f>IF(ISNUMBER(O57),O57-p_today,"")</f>
        <v/>
      </c>
      <c r="S57" s="78" t="str">
        <f>IF(AND(ISNUMBER(P57),N(Q57)&gt;0),P57-Q57,"")</f>
        <v/>
      </c>
      <c r="T57" s="76" t="str">
        <f>IF(AND(ISNUMBER(O57),ISNUMBER(X57)),MIN(O57,X57),IF(ISNUMBER(O57),O57,X57))</f>
        <v/>
      </c>
      <c r="U57" s="79" t="str">
        <f>IF(AND(A57="",B57="",D57=""),"",IF(L57="Non","Inactif",IF(AND(NOT(ISNUMBER(R57)),NOT(ISNUMBER(S57))),"À compléter",IF(OR(AND(ISNUMBER(R57),N(R57)&lt;0),AND(ISNUMBER(S57),N(S57)&lt;0)),"En retard",IF(OR(AND(ISNUMBER(R57),N(R57)&lt;=p_soon),AND(ISNUMBER(S57),N(S57)&lt;=p_soon_pct*N(G57))),"Bientôt","À jour")))))</f>
        <v/>
      </c>
      <c r="V57" s="79" t="str">
        <f>IF(AND(A57="",B57="",D57=""),"",IF(A57="","N° de plan manquant",IF(COUNTIF($A$6:$A$505,A57)&gt;1,"N° de plan en double",IF(B57="","Équipement manquant",IF(ISNA(MATCH(B57,eq_code,0)),"Équipement inconnu",IF(D57="","Tâche manquante",IF(E57="","Déclenchement manquant",IF(AND(E57&lt;&gt;"Calendrier",E57&lt;&gt;"Compteur",E57&lt;&gt;"Au premier des deux"),"Déclenchement inconnu",IF(AND(E57&lt;&gt;"Compteur",OR(NOT(ISNUMBER(F57)),N(F57)&lt;=0)),"Périodicité en jours manquante",IF(AND(E57&lt;&gt;"Calendrier",OR(NOT(ISNUMBER(G57)),N(G57)&lt;=0)),"Périodicité compteur manquante",IF(AND(J57&lt;&gt;"",OR(NOT(ISNUMBER(J57)),N(J57)&lt;=0)),"Date de réalisation invalide",IF(AND(K57&lt;&gt;"",OR(NOT(ISNUMBER(K57)),N(K57)&lt;0)),"Compteur de réalisation invalide",IF(AND(E57&lt;&gt;"Compteur",N(M57)=0,IFERROR(N(INDEX(eq_start,MATCH(B57,eq_code,0))),0)=0),"Date de départ manquante",IF(AND(E57&lt;&gt;"Calendrier",K57="",N(N57)=0),"Compteur de départ manquant",IF(AND(E57&lt;&gt;"Calendrier",N(Q57)=0),"Relevé compteur manquant (Équipements)",IF(AND(I57&lt;&gt;"",ISNA(MATCH(I57,tech_name,0))),"Technicien inconnu",IF(AND(L57&lt;&gt;"",L57&lt;&gt;"Oui",L57&lt;&gt;"Non"),"Actif : Oui ou Non","OK")))))))))))))))))</f>
        <v/>
      </c>
      <c r="W57" s="67">
        <f>IFERROR(N(INDEX(eq_use,MATCH(B57,eq_code,0))),0)</f>
        <v>0.0</v>
      </c>
      <c r="X57" s="67" t="str">
        <f>IF(AND(ISNUMBER(S57),W57&gt;0),p_today+MAX(0,ROUNDUP(S57*7/W57,0)),"")</f>
        <v/>
      </c>
      <c r="Y57" s="67" t="str">
        <f>IF(AND(ISNUMBER(T57),OR(U57="En retard",U57="Bientôt",U57="À jour")),IF(AND(ISNUMBER(O57),ISNUMBER(X57)),MIN(F57,G57*7/W57),IF(ISNUMBER(O57),F57,G57*7/W57)),"")</f>
        <v/>
      </c>
      <c r="Z57" s="67" t="str">
        <f>IF(OR(U57="En retard",U57="Bientôt"),IF(U57="En retard",0,1)*1000000000+IF(AB57="A",0,IF(AB57="B",1,IF(AB57="C",2,3)))*100000000+IF(ISNUMBER(T57),T57,p_today)*1000+ROW()-5,"")</f>
        <v/>
      </c>
      <c r="AA57" s="67" t="str">
        <f>IF(Z57="","",COUNTIF($Z$6:$Z$505,"&lt;"&amp;Z57)+1)</f>
        <v/>
      </c>
      <c r="AB57" s="67" t="str">
        <f>IFERROR(INDEX(eq_crit,MATCH(B57,eq_code,0))&amp;"","")</f>
        <v/>
      </c>
    </row>
    <row r="58">
      <c r="A58" s="65" t="n"/>
      <c r="B58" s="66" t="n"/>
      <c r="C58" s="67" t="str">
        <f>IF(B58="","",IFERROR(INDEX(eq_des,MATCH(B58,eq_code,0))&amp;"","Équipement inconnu"))</f>
        <v/>
      </c>
      <c r="D58" s="66" t="n"/>
      <c r="E58" s="68" t="n"/>
      <c r="F58" s="69" t="n"/>
      <c r="G58" s="70" t="n"/>
      <c r="H58" s="71" t="n"/>
      <c r="I58" s="66" t="n"/>
      <c r="J58" s="72" t="n"/>
      <c r="K58" s="73" t="n"/>
      <c r="L58" s="68" t="n"/>
      <c r="M58" s="74" t="str">
        <f>IF(AND(A58="",B58="",D58=""),"",MAX(N(J58),IF(A58="",0,SUMPRODUCT(MAX((in_plan=A58)*in_prev*in_dnum)))))</f>
        <v/>
      </c>
      <c r="N58" s="75" t="str">
        <f>IF(AND(A58="",B58="",D58=""),"",MAX(N(K58),IF(A58="",0,SUMPRODUCT(MAX((in_plan=A58)*in_prev*in_cnum)))))</f>
        <v/>
      </c>
      <c r="O58" s="76" t="str">
        <f>IF(AND(OR(E58="Calendrier",E58="Au premier des deux"),N(F58)&gt;0,IF(N(M58)&gt;0,M58,IFERROR(N(INDEX(eq_start,MATCH(B58,eq_code,0))),0))&gt;0),IF(N(M58)&gt;0,M58,IFERROR(N(INDEX(eq_start,MATCH(B58,eq_code,0))),0))+F58,"")</f>
        <v/>
      </c>
      <c r="P58" s="75" t="str">
        <f>IF(AND(OR(E58="Compteur",E58="Au premier des deux"),N(G58)&gt;0),N(N58)+G58,"")</f>
        <v/>
      </c>
      <c r="Q58" s="75" t="str">
        <f>IF(B58="","",IFERROR(N(INDEX(eq_cnt,MATCH(B58,eq_code,0))),""))</f>
        <v/>
      </c>
      <c r="R58" s="77" t="str">
        <f>IF(ISNUMBER(O58),O58-p_today,"")</f>
        <v/>
      </c>
      <c r="S58" s="78" t="str">
        <f>IF(AND(ISNUMBER(P58),N(Q58)&gt;0),P58-Q58,"")</f>
        <v/>
      </c>
      <c r="T58" s="76" t="str">
        <f>IF(AND(ISNUMBER(O58),ISNUMBER(X58)),MIN(O58,X58),IF(ISNUMBER(O58),O58,X58))</f>
        <v/>
      </c>
      <c r="U58" s="79" t="str">
        <f>IF(AND(A58="",B58="",D58=""),"",IF(L58="Non","Inactif",IF(AND(NOT(ISNUMBER(R58)),NOT(ISNUMBER(S58))),"À compléter",IF(OR(AND(ISNUMBER(R58),N(R58)&lt;0),AND(ISNUMBER(S58),N(S58)&lt;0)),"En retard",IF(OR(AND(ISNUMBER(R58),N(R58)&lt;=p_soon),AND(ISNUMBER(S58),N(S58)&lt;=p_soon_pct*N(G58))),"Bientôt","À jour")))))</f>
        <v/>
      </c>
      <c r="V58" s="79" t="str">
        <f>IF(AND(A58="",B58="",D58=""),"",IF(A58="","N° de plan manquant",IF(COUNTIF($A$6:$A$505,A58)&gt;1,"N° de plan en double",IF(B58="","Équipement manquant",IF(ISNA(MATCH(B58,eq_code,0)),"Équipement inconnu",IF(D58="","Tâche manquante",IF(E58="","Déclenchement manquant",IF(AND(E58&lt;&gt;"Calendrier",E58&lt;&gt;"Compteur",E58&lt;&gt;"Au premier des deux"),"Déclenchement inconnu",IF(AND(E58&lt;&gt;"Compteur",OR(NOT(ISNUMBER(F58)),N(F58)&lt;=0)),"Périodicité en jours manquante",IF(AND(E58&lt;&gt;"Calendrier",OR(NOT(ISNUMBER(G58)),N(G58)&lt;=0)),"Périodicité compteur manquante",IF(AND(J58&lt;&gt;"",OR(NOT(ISNUMBER(J58)),N(J58)&lt;=0)),"Date de réalisation invalide",IF(AND(K58&lt;&gt;"",OR(NOT(ISNUMBER(K58)),N(K58)&lt;0)),"Compteur de réalisation invalide",IF(AND(E58&lt;&gt;"Compteur",N(M58)=0,IFERROR(N(INDEX(eq_start,MATCH(B58,eq_code,0))),0)=0),"Date de départ manquante",IF(AND(E58&lt;&gt;"Calendrier",K58="",N(N58)=0),"Compteur de départ manquant",IF(AND(E58&lt;&gt;"Calendrier",N(Q58)=0),"Relevé compteur manquant (Équipements)",IF(AND(I58&lt;&gt;"",ISNA(MATCH(I58,tech_name,0))),"Technicien inconnu",IF(AND(L58&lt;&gt;"",L58&lt;&gt;"Oui",L58&lt;&gt;"Non"),"Actif : Oui ou Non","OK")))))))))))))))))</f>
        <v/>
      </c>
      <c r="W58" s="67">
        <f>IFERROR(N(INDEX(eq_use,MATCH(B58,eq_code,0))),0)</f>
        <v>0.0</v>
      </c>
      <c r="X58" s="67" t="str">
        <f>IF(AND(ISNUMBER(S58),W58&gt;0),p_today+MAX(0,ROUNDUP(S58*7/W58,0)),"")</f>
        <v/>
      </c>
      <c r="Y58" s="67" t="str">
        <f>IF(AND(ISNUMBER(T58),OR(U58="En retard",U58="Bientôt",U58="À jour")),IF(AND(ISNUMBER(O58),ISNUMBER(X58)),MIN(F58,G58*7/W58),IF(ISNUMBER(O58),F58,G58*7/W58)),"")</f>
        <v/>
      </c>
      <c r="Z58" s="67" t="str">
        <f>IF(OR(U58="En retard",U58="Bientôt"),IF(U58="En retard",0,1)*1000000000+IF(AB58="A",0,IF(AB58="B",1,IF(AB58="C",2,3)))*100000000+IF(ISNUMBER(T58),T58,p_today)*1000+ROW()-5,"")</f>
        <v/>
      </c>
      <c r="AA58" s="67" t="str">
        <f>IF(Z58="","",COUNTIF($Z$6:$Z$505,"&lt;"&amp;Z58)+1)</f>
        <v/>
      </c>
      <c r="AB58" s="67" t="str">
        <f>IFERROR(INDEX(eq_crit,MATCH(B58,eq_code,0))&amp;"","")</f>
        <v/>
      </c>
    </row>
    <row r="59">
      <c r="A59" s="65" t="n"/>
      <c r="B59" s="66" t="n"/>
      <c r="C59" s="67" t="str">
        <f>IF(B59="","",IFERROR(INDEX(eq_des,MATCH(B59,eq_code,0))&amp;"","Équipement inconnu"))</f>
        <v/>
      </c>
      <c r="D59" s="66" t="n"/>
      <c r="E59" s="68" t="n"/>
      <c r="F59" s="69" t="n"/>
      <c r="G59" s="70" t="n"/>
      <c r="H59" s="71" t="n"/>
      <c r="I59" s="66" t="n"/>
      <c r="J59" s="72" t="n"/>
      <c r="K59" s="73" t="n"/>
      <c r="L59" s="68" t="n"/>
      <c r="M59" s="74" t="str">
        <f>IF(AND(A59="",B59="",D59=""),"",MAX(N(J59),IF(A59="",0,SUMPRODUCT(MAX((in_plan=A59)*in_prev*in_dnum)))))</f>
        <v/>
      </c>
      <c r="N59" s="75" t="str">
        <f>IF(AND(A59="",B59="",D59=""),"",MAX(N(K59),IF(A59="",0,SUMPRODUCT(MAX((in_plan=A59)*in_prev*in_cnum)))))</f>
        <v/>
      </c>
      <c r="O59" s="76" t="str">
        <f>IF(AND(OR(E59="Calendrier",E59="Au premier des deux"),N(F59)&gt;0,IF(N(M59)&gt;0,M59,IFERROR(N(INDEX(eq_start,MATCH(B59,eq_code,0))),0))&gt;0),IF(N(M59)&gt;0,M59,IFERROR(N(INDEX(eq_start,MATCH(B59,eq_code,0))),0))+F59,"")</f>
        <v/>
      </c>
      <c r="P59" s="75" t="str">
        <f>IF(AND(OR(E59="Compteur",E59="Au premier des deux"),N(G59)&gt;0),N(N59)+G59,"")</f>
        <v/>
      </c>
      <c r="Q59" s="75" t="str">
        <f>IF(B59="","",IFERROR(N(INDEX(eq_cnt,MATCH(B59,eq_code,0))),""))</f>
        <v/>
      </c>
      <c r="R59" s="77" t="str">
        <f>IF(ISNUMBER(O59),O59-p_today,"")</f>
        <v/>
      </c>
      <c r="S59" s="78" t="str">
        <f>IF(AND(ISNUMBER(P59),N(Q59)&gt;0),P59-Q59,"")</f>
        <v/>
      </c>
      <c r="T59" s="76" t="str">
        <f>IF(AND(ISNUMBER(O59),ISNUMBER(X59)),MIN(O59,X59),IF(ISNUMBER(O59),O59,X59))</f>
        <v/>
      </c>
      <c r="U59" s="79" t="str">
        <f>IF(AND(A59="",B59="",D59=""),"",IF(L59="Non","Inactif",IF(AND(NOT(ISNUMBER(R59)),NOT(ISNUMBER(S59))),"À compléter",IF(OR(AND(ISNUMBER(R59),N(R59)&lt;0),AND(ISNUMBER(S59),N(S59)&lt;0)),"En retard",IF(OR(AND(ISNUMBER(R59),N(R59)&lt;=p_soon),AND(ISNUMBER(S59),N(S59)&lt;=p_soon_pct*N(G59))),"Bientôt","À jour")))))</f>
        <v/>
      </c>
      <c r="V59" s="79" t="str">
        <f>IF(AND(A59="",B59="",D59=""),"",IF(A59="","N° de plan manquant",IF(COUNTIF($A$6:$A$505,A59)&gt;1,"N° de plan en double",IF(B59="","Équipement manquant",IF(ISNA(MATCH(B59,eq_code,0)),"Équipement inconnu",IF(D59="","Tâche manquante",IF(E59="","Déclenchement manquant",IF(AND(E59&lt;&gt;"Calendrier",E59&lt;&gt;"Compteur",E59&lt;&gt;"Au premier des deux"),"Déclenchement inconnu",IF(AND(E59&lt;&gt;"Compteur",OR(NOT(ISNUMBER(F59)),N(F59)&lt;=0)),"Périodicité en jours manquante",IF(AND(E59&lt;&gt;"Calendrier",OR(NOT(ISNUMBER(G59)),N(G59)&lt;=0)),"Périodicité compteur manquante",IF(AND(J59&lt;&gt;"",OR(NOT(ISNUMBER(J59)),N(J59)&lt;=0)),"Date de réalisation invalide",IF(AND(K59&lt;&gt;"",OR(NOT(ISNUMBER(K59)),N(K59)&lt;0)),"Compteur de réalisation invalide",IF(AND(E59&lt;&gt;"Compteur",N(M59)=0,IFERROR(N(INDEX(eq_start,MATCH(B59,eq_code,0))),0)=0),"Date de départ manquante",IF(AND(E59&lt;&gt;"Calendrier",K59="",N(N59)=0),"Compteur de départ manquant",IF(AND(E59&lt;&gt;"Calendrier",N(Q59)=0),"Relevé compteur manquant (Équipements)",IF(AND(I59&lt;&gt;"",ISNA(MATCH(I59,tech_name,0))),"Technicien inconnu",IF(AND(L59&lt;&gt;"",L59&lt;&gt;"Oui",L59&lt;&gt;"Non"),"Actif : Oui ou Non","OK")))))))))))))))))</f>
        <v/>
      </c>
      <c r="W59" s="67">
        <f>IFERROR(N(INDEX(eq_use,MATCH(B59,eq_code,0))),0)</f>
        <v>0.0</v>
      </c>
      <c r="X59" s="67" t="str">
        <f>IF(AND(ISNUMBER(S59),W59&gt;0),p_today+MAX(0,ROUNDUP(S59*7/W59,0)),"")</f>
        <v/>
      </c>
      <c r="Y59" s="67" t="str">
        <f>IF(AND(ISNUMBER(T59),OR(U59="En retard",U59="Bientôt",U59="À jour")),IF(AND(ISNUMBER(O59),ISNUMBER(X59)),MIN(F59,G59*7/W59),IF(ISNUMBER(O59),F59,G59*7/W59)),"")</f>
        <v/>
      </c>
      <c r="Z59" s="67" t="str">
        <f>IF(OR(U59="En retard",U59="Bientôt"),IF(U59="En retard",0,1)*1000000000+IF(AB59="A",0,IF(AB59="B",1,IF(AB59="C",2,3)))*100000000+IF(ISNUMBER(T59),T59,p_today)*1000+ROW()-5,"")</f>
        <v/>
      </c>
      <c r="AA59" s="67" t="str">
        <f>IF(Z59="","",COUNTIF($Z$6:$Z$505,"&lt;"&amp;Z59)+1)</f>
        <v/>
      </c>
      <c r="AB59" s="67" t="str">
        <f>IFERROR(INDEX(eq_crit,MATCH(B59,eq_code,0))&amp;"","")</f>
        <v/>
      </c>
    </row>
    <row r="60">
      <c r="A60" s="65" t="n"/>
      <c r="B60" s="66" t="n"/>
      <c r="C60" s="67" t="str">
        <f>IF(B60="","",IFERROR(INDEX(eq_des,MATCH(B60,eq_code,0))&amp;"","Équipement inconnu"))</f>
        <v/>
      </c>
      <c r="D60" s="66" t="n"/>
      <c r="E60" s="68" t="n"/>
      <c r="F60" s="69" t="n"/>
      <c r="G60" s="70" t="n"/>
      <c r="H60" s="71" t="n"/>
      <c r="I60" s="66" t="n"/>
      <c r="J60" s="72" t="n"/>
      <c r="K60" s="73" t="n"/>
      <c r="L60" s="68" t="n"/>
      <c r="M60" s="74" t="str">
        <f>IF(AND(A60="",B60="",D60=""),"",MAX(N(J60),IF(A60="",0,SUMPRODUCT(MAX((in_plan=A60)*in_prev*in_dnum)))))</f>
        <v/>
      </c>
      <c r="N60" s="75" t="str">
        <f>IF(AND(A60="",B60="",D60=""),"",MAX(N(K60),IF(A60="",0,SUMPRODUCT(MAX((in_plan=A60)*in_prev*in_cnum)))))</f>
        <v/>
      </c>
      <c r="O60" s="76" t="str">
        <f>IF(AND(OR(E60="Calendrier",E60="Au premier des deux"),N(F60)&gt;0,IF(N(M60)&gt;0,M60,IFERROR(N(INDEX(eq_start,MATCH(B60,eq_code,0))),0))&gt;0),IF(N(M60)&gt;0,M60,IFERROR(N(INDEX(eq_start,MATCH(B60,eq_code,0))),0))+F60,"")</f>
        <v/>
      </c>
      <c r="P60" s="75" t="str">
        <f>IF(AND(OR(E60="Compteur",E60="Au premier des deux"),N(G60)&gt;0),N(N60)+G60,"")</f>
        <v/>
      </c>
      <c r="Q60" s="75" t="str">
        <f>IF(B60="","",IFERROR(N(INDEX(eq_cnt,MATCH(B60,eq_code,0))),""))</f>
        <v/>
      </c>
      <c r="R60" s="77" t="str">
        <f>IF(ISNUMBER(O60),O60-p_today,"")</f>
        <v/>
      </c>
      <c r="S60" s="78" t="str">
        <f>IF(AND(ISNUMBER(P60),N(Q60)&gt;0),P60-Q60,"")</f>
        <v/>
      </c>
      <c r="T60" s="76" t="str">
        <f>IF(AND(ISNUMBER(O60),ISNUMBER(X60)),MIN(O60,X60),IF(ISNUMBER(O60),O60,X60))</f>
        <v/>
      </c>
      <c r="U60" s="79" t="str">
        <f>IF(AND(A60="",B60="",D60=""),"",IF(L60="Non","Inactif",IF(AND(NOT(ISNUMBER(R60)),NOT(ISNUMBER(S60))),"À compléter",IF(OR(AND(ISNUMBER(R60),N(R60)&lt;0),AND(ISNUMBER(S60),N(S60)&lt;0)),"En retard",IF(OR(AND(ISNUMBER(R60),N(R60)&lt;=p_soon),AND(ISNUMBER(S60),N(S60)&lt;=p_soon_pct*N(G60))),"Bientôt","À jour")))))</f>
        <v/>
      </c>
      <c r="V60" s="79" t="str">
        <f>IF(AND(A60="",B60="",D60=""),"",IF(A60="","N° de plan manquant",IF(COUNTIF($A$6:$A$505,A60)&gt;1,"N° de plan en double",IF(B60="","Équipement manquant",IF(ISNA(MATCH(B60,eq_code,0)),"Équipement inconnu",IF(D60="","Tâche manquante",IF(E60="","Déclenchement manquant",IF(AND(E60&lt;&gt;"Calendrier",E60&lt;&gt;"Compteur",E60&lt;&gt;"Au premier des deux"),"Déclenchement inconnu",IF(AND(E60&lt;&gt;"Compteur",OR(NOT(ISNUMBER(F60)),N(F60)&lt;=0)),"Périodicité en jours manquante",IF(AND(E60&lt;&gt;"Calendrier",OR(NOT(ISNUMBER(G60)),N(G60)&lt;=0)),"Périodicité compteur manquante",IF(AND(J60&lt;&gt;"",OR(NOT(ISNUMBER(J60)),N(J60)&lt;=0)),"Date de réalisation invalide",IF(AND(K60&lt;&gt;"",OR(NOT(ISNUMBER(K60)),N(K60)&lt;0)),"Compteur de réalisation invalide",IF(AND(E60&lt;&gt;"Compteur",N(M60)=0,IFERROR(N(INDEX(eq_start,MATCH(B60,eq_code,0))),0)=0),"Date de départ manquante",IF(AND(E60&lt;&gt;"Calendrier",K60="",N(N60)=0),"Compteur de départ manquant",IF(AND(E60&lt;&gt;"Calendrier",N(Q60)=0),"Relevé compteur manquant (Équipements)",IF(AND(I60&lt;&gt;"",ISNA(MATCH(I60,tech_name,0))),"Technicien inconnu",IF(AND(L60&lt;&gt;"",L60&lt;&gt;"Oui",L60&lt;&gt;"Non"),"Actif : Oui ou Non","OK")))))))))))))))))</f>
        <v/>
      </c>
      <c r="W60" s="67">
        <f>IFERROR(N(INDEX(eq_use,MATCH(B60,eq_code,0))),0)</f>
        <v>0.0</v>
      </c>
      <c r="X60" s="67" t="str">
        <f>IF(AND(ISNUMBER(S60),W60&gt;0),p_today+MAX(0,ROUNDUP(S60*7/W60,0)),"")</f>
        <v/>
      </c>
      <c r="Y60" s="67" t="str">
        <f>IF(AND(ISNUMBER(T60),OR(U60="En retard",U60="Bientôt",U60="À jour")),IF(AND(ISNUMBER(O60),ISNUMBER(X60)),MIN(F60,G60*7/W60),IF(ISNUMBER(O60),F60,G60*7/W60)),"")</f>
        <v/>
      </c>
      <c r="Z60" s="67" t="str">
        <f>IF(OR(U60="En retard",U60="Bientôt"),IF(U60="En retard",0,1)*1000000000+IF(AB60="A",0,IF(AB60="B",1,IF(AB60="C",2,3)))*100000000+IF(ISNUMBER(T60),T60,p_today)*1000+ROW()-5,"")</f>
        <v/>
      </c>
      <c r="AA60" s="67" t="str">
        <f>IF(Z60="","",COUNTIF($Z$6:$Z$505,"&lt;"&amp;Z60)+1)</f>
        <v/>
      </c>
      <c r="AB60" s="67" t="str">
        <f>IFERROR(INDEX(eq_crit,MATCH(B60,eq_code,0))&amp;"","")</f>
        <v/>
      </c>
    </row>
    <row r="61">
      <c r="A61" s="65" t="n"/>
      <c r="B61" s="66" t="n"/>
      <c r="C61" s="67" t="str">
        <f>IF(B61="","",IFERROR(INDEX(eq_des,MATCH(B61,eq_code,0))&amp;"","Équipement inconnu"))</f>
        <v/>
      </c>
      <c r="D61" s="66" t="n"/>
      <c r="E61" s="68" t="n"/>
      <c r="F61" s="69" t="n"/>
      <c r="G61" s="70" t="n"/>
      <c r="H61" s="71" t="n"/>
      <c r="I61" s="66" t="n"/>
      <c r="J61" s="72" t="n"/>
      <c r="K61" s="73" t="n"/>
      <c r="L61" s="68" t="n"/>
      <c r="M61" s="74" t="str">
        <f>IF(AND(A61="",B61="",D61=""),"",MAX(N(J61),IF(A61="",0,SUMPRODUCT(MAX((in_plan=A61)*in_prev*in_dnum)))))</f>
        <v/>
      </c>
      <c r="N61" s="75" t="str">
        <f>IF(AND(A61="",B61="",D61=""),"",MAX(N(K61),IF(A61="",0,SUMPRODUCT(MAX((in_plan=A61)*in_prev*in_cnum)))))</f>
        <v/>
      </c>
      <c r="O61" s="76" t="str">
        <f>IF(AND(OR(E61="Calendrier",E61="Au premier des deux"),N(F61)&gt;0,IF(N(M61)&gt;0,M61,IFERROR(N(INDEX(eq_start,MATCH(B61,eq_code,0))),0))&gt;0),IF(N(M61)&gt;0,M61,IFERROR(N(INDEX(eq_start,MATCH(B61,eq_code,0))),0))+F61,"")</f>
        <v/>
      </c>
      <c r="P61" s="75" t="str">
        <f>IF(AND(OR(E61="Compteur",E61="Au premier des deux"),N(G61)&gt;0),N(N61)+G61,"")</f>
        <v/>
      </c>
      <c r="Q61" s="75" t="str">
        <f>IF(B61="","",IFERROR(N(INDEX(eq_cnt,MATCH(B61,eq_code,0))),""))</f>
        <v/>
      </c>
      <c r="R61" s="77" t="str">
        <f>IF(ISNUMBER(O61),O61-p_today,"")</f>
        <v/>
      </c>
      <c r="S61" s="78" t="str">
        <f>IF(AND(ISNUMBER(P61),N(Q61)&gt;0),P61-Q61,"")</f>
        <v/>
      </c>
      <c r="T61" s="76" t="str">
        <f>IF(AND(ISNUMBER(O61),ISNUMBER(X61)),MIN(O61,X61),IF(ISNUMBER(O61),O61,X61))</f>
        <v/>
      </c>
      <c r="U61" s="79" t="str">
        <f>IF(AND(A61="",B61="",D61=""),"",IF(L61="Non","Inactif",IF(AND(NOT(ISNUMBER(R61)),NOT(ISNUMBER(S61))),"À compléter",IF(OR(AND(ISNUMBER(R61),N(R61)&lt;0),AND(ISNUMBER(S61),N(S61)&lt;0)),"En retard",IF(OR(AND(ISNUMBER(R61),N(R61)&lt;=p_soon),AND(ISNUMBER(S61),N(S61)&lt;=p_soon_pct*N(G61))),"Bientôt","À jour")))))</f>
        <v/>
      </c>
      <c r="V61" s="79" t="str">
        <f>IF(AND(A61="",B61="",D61=""),"",IF(A61="","N° de plan manquant",IF(COUNTIF($A$6:$A$505,A61)&gt;1,"N° de plan en double",IF(B61="","Équipement manquant",IF(ISNA(MATCH(B61,eq_code,0)),"Équipement inconnu",IF(D61="","Tâche manquante",IF(E61="","Déclenchement manquant",IF(AND(E61&lt;&gt;"Calendrier",E61&lt;&gt;"Compteur",E61&lt;&gt;"Au premier des deux"),"Déclenchement inconnu",IF(AND(E61&lt;&gt;"Compteur",OR(NOT(ISNUMBER(F61)),N(F61)&lt;=0)),"Périodicité en jours manquante",IF(AND(E61&lt;&gt;"Calendrier",OR(NOT(ISNUMBER(G61)),N(G61)&lt;=0)),"Périodicité compteur manquante",IF(AND(J61&lt;&gt;"",OR(NOT(ISNUMBER(J61)),N(J61)&lt;=0)),"Date de réalisation invalide",IF(AND(K61&lt;&gt;"",OR(NOT(ISNUMBER(K61)),N(K61)&lt;0)),"Compteur de réalisation invalide",IF(AND(E61&lt;&gt;"Compteur",N(M61)=0,IFERROR(N(INDEX(eq_start,MATCH(B61,eq_code,0))),0)=0),"Date de départ manquante",IF(AND(E61&lt;&gt;"Calendrier",K61="",N(N61)=0),"Compteur de départ manquant",IF(AND(E61&lt;&gt;"Calendrier",N(Q61)=0),"Relevé compteur manquant (Équipements)",IF(AND(I61&lt;&gt;"",ISNA(MATCH(I61,tech_name,0))),"Technicien inconnu",IF(AND(L61&lt;&gt;"",L61&lt;&gt;"Oui",L61&lt;&gt;"Non"),"Actif : Oui ou Non","OK")))))))))))))))))</f>
        <v/>
      </c>
      <c r="W61" s="67">
        <f>IFERROR(N(INDEX(eq_use,MATCH(B61,eq_code,0))),0)</f>
        <v>0.0</v>
      </c>
      <c r="X61" s="67" t="str">
        <f>IF(AND(ISNUMBER(S61),W61&gt;0),p_today+MAX(0,ROUNDUP(S61*7/W61,0)),"")</f>
        <v/>
      </c>
      <c r="Y61" s="67" t="str">
        <f>IF(AND(ISNUMBER(T61),OR(U61="En retard",U61="Bientôt",U61="À jour")),IF(AND(ISNUMBER(O61),ISNUMBER(X61)),MIN(F61,G61*7/W61),IF(ISNUMBER(O61),F61,G61*7/W61)),"")</f>
        <v/>
      </c>
      <c r="Z61" s="67" t="str">
        <f>IF(OR(U61="En retard",U61="Bientôt"),IF(U61="En retard",0,1)*1000000000+IF(AB61="A",0,IF(AB61="B",1,IF(AB61="C",2,3)))*100000000+IF(ISNUMBER(T61),T61,p_today)*1000+ROW()-5,"")</f>
        <v/>
      </c>
      <c r="AA61" s="67" t="str">
        <f>IF(Z61="","",COUNTIF($Z$6:$Z$505,"&lt;"&amp;Z61)+1)</f>
        <v/>
      </c>
      <c r="AB61" s="67" t="str">
        <f>IFERROR(INDEX(eq_crit,MATCH(B61,eq_code,0))&amp;"","")</f>
        <v/>
      </c>
    </row>
    <row r="62">
      <c r="A62" s="65" t="n"/>
      <c r="B62" s="66" t="n"/>
      <c r="C62" s="67" t="str">
        <f>IF(B62="","",IFERROR(INDEX(eq_des,MATCH(B62,eq_code,0))&amp;"","Équipement inconnu"))</f>
        <v/>
      </c>
      <c r="D62" s="66" t="n"/>
      <c r="E62" s="68" t="n"/>
      <c r="F62" s="69" t="n"/>
      <c r="G62" s="70" t="n"/>
      <c r="H62" s="71" t="n"/>
      <c r="I62" s="66" t="n"/>
      <c r="J62" s="72" t="n"/>
      <c r="K62" s="73" t="n"/>
      <c r="L62" s="68" t="n"/>
      <c r="M62" s="74" t="str">
        <f>IF(AND(A62="",B62="",D62=""),"",MAX(N(J62),IF(A62="",0,SUMPRODUCT(MAX((in_plan=A62)*in_prev*in_dnum)))))</f>
        <v/>
      </c>
      <c r="N62" s="75" t="str">
        <f>IF(AND(A62="",B62="",D62=""),"",MAX(N(K62),IF(A62="",0,SUMPRODUCT(MAX((in_plan=A62)*in_prev*in_cnum)))))</f>
        <v/>
      </c>
      <c r="O62" s="76" t="str">
        <f>IF(AND(OR(E62="Calendrier",E62="Au premier des deux"),N(F62)&gt;0,IF(N(M62)&gt;0,M62,IFERROR(N(INDEX(eq_start,MATCH(B62,eq_code,0))),0))&gt;0),IF(N(M62)&gt;0,M62,IFERROR(N(INDEX(eq_start,MATCH(B62,eq_code,0))),0))+F62,"")</f>
        <v/>
      </c>
      <c r="P62" s="75" t="str">
        <f>IF(AND(OR(E62="Compteur",E62="Au premier des deux"),N(G62)&gt;0),N(N62)+G62,"")</f>
        <v/>
      </c>
      <c r="Q62" s="75" t="str">
        <f>IF(B62="","",IFERROR(N(INDEX(eq_cnt,MATCH(B62,eq_code,0))),""))</f>
        <v/>
      </c>
      <c r="R62" s="77" t="str">
        <f>IF(ISNUMBER(O62),O62-p_today,"")</f>
        <v/>
      </c>
      <c r="S62" s="78" t="str">
        <f>IF(AND(ISNUMBER(P62),N(Q62)&gt;0),P62-Q62,"")</f>
        <v/>
      </c>
      <c r="T62" s="76" t="str">
        <f>IF(AND(ISNUMBER(O62),ISNUMBER(X62)),MIN(O62,X62),IF(ISNUMBER(O62),O62,X62))</f>
        <v/>
      </c>
      <c r="U62" s="79" t="str">
        <f>IF(AND(A62="",B62="",D62=""),"",IF(L62="Non","Inactif",IF(AND(NOT(ISNUMBER(R62)),NOT(ISNUMBER(S62))),"À compléter",IF(OR(AND(ISNUMBER(R62),N(R62)&lt;0),AND(ISNUMBER(S62),N(S62)&lt;0)),"En retard",IF(OR(AND(ISNUMBER(R62),N(R62)&lt;=p_soon),AND(ISNUMBER(S62),N(S62)&lt;=p_soon_pct*N(G62))),"Bientôt","À jour")))))</f>
        <v/>
      </c>
      <c r="V62" s="79" t="str">
        <f>IF(AND(A62="",B62="",D62=""),"",IF(A62="","N° de plan manquant",IF(COUNTIF($A$6:$A$505,A62)&gt;1,"N° de plan en double",IF(B62="","Équipement manquant",IF(ISNA(MATCH(B62,eq_code,0)),"Équipement inconnu",IF(D62="","Tâche manquante",IF(E62="","Déclenchement manquant",IF(AND(E62&lt;&gt;"Calendrier",E62&lt;&gt;"Compteur",E62&lt;&gt;"Au premier des deux"),"Déclenchement inconnu",IF(AND(E62&lt;&gt;"Compteur",OR(NOT(ISNUMBER(F62)),N(F62)&lt;=0)),"Périodicité en jours manquante",IF(AND(E62&lt;&gt;"Calendrier",OR(NOT(ISNUMBER(G62)),N(G62)&lt;=0)),"Périodicité compteur manquante",IF(AND(J62&lt;&gt;"",OR(NOT(ISNUMBER(J62)),N(J62)&lt;=0)),"Date de réalisation invalide",IF(AND(K62&lt;&gt;"",OR(NOT(ISNUMBER(K62)),N(K62)&lt;0)),"Compteur de réalisation invalide",IF(AND(E62&lt;&gt;"Compteur",N(M62)=0,IFERROR(N(INDEX(eq_start,MATCH(B62,eq_code,0))),0)=0),"Date de départ manquante",IF(AND(E62&lt;&gt;"Calendrier",K62="",N(N62)=0),"Compteur de départ manquant",IF(AND(E62&lt;&gt;"Calendrier",N(Q62)=0),"Relevé compteur manquant (Équipements)",IF(AND(I62&lt;&gt;"",ISNA(MATCH(I62,tech_name,0))),"Technicien inconnu",IF(AND(L62&lt;&gt;"",L62&lt;&gt;"Oui",L62&lt;&gt;"Non"),"Actif : Oui ou Non","OK")))))))))))))))))</f>
        <v/>
      </c>
      <c r="W62" s="67">
        <f>IFERROR(N(INDEX(eq_use,MATCH(B62,eq_code,0))),0)</f>
        <v>0.0</v>
      </c>
      <c r="X62" s="67" t="str">
        <f>IF(AND(ISNUMBER(S62),W62&gt;0),p_today+MAX(0,ROUNDUP(S62*7/W62,0)),"")</f>
        <v/>
      </c>
      <c r="Y62" s="67" t="str">
        <f>IF(AND(ISNUMBER(T62),OR(U62="En retard",U62="Bientôt",U62="À jour")),IF(AND(ISNUMBER(O62),ISNUMBER(X62)),MIN(F62,G62*7/W62),IF(ISNUMBER(O62),F62,G62*7/W62)),"")</f>
        <v/>
      </c>
      <c r="Z62" s="67" t="str">
        <f>IF(OR(U62="En retard",U62="Bientôt"),IF(U62="En retard",0,1)*1000000000+IF(AB62="A",0,IF(AB62="B",1,IF(AB62="C",2,3)))*100000000+IF(ISNUMBER(T62),T62,p_today)*1000+ROW()-5,"")</f>
        <v/>
      </c>
      <c r="AA62" s="67" t="str">
        <f>IF(Z62="","",COUNTIF($Z$6:$Z$505,"&lt;"&amp;Z62)+1)</f>
        <v/>
      </c>
      <c r="AB62" s="67" t="str">
        <f>IFERROR(INDEX(eq_crit,MATCH(B62,eq_code,0))&amp;"","")</f>
        <v/>
      </c>
    </row>
    <row r="63">
      <c r="A63" s="65" t="n"/>
      <c r="B63" s="66" t="n"/>
      <c r="C63" s="67" t="str">
        <f>IF(B63="","",IFERROR(INDEX(eq_des,MATCH(B63,eq_code,0))&amp;"","Équipement inconnu"))</f>
        <v/>
      </c>
      <c r="D63" s="66" t="n"/>
      <c r="E63" s="68" t="n"/>
      <c r="F63" s="69" t="n"/>
      <c r="G63" s="70" t="n"/>
      <c r="H63" s="71" t="n"/>
      <c r="I63" s="66" t="n"/>
      <c r="J63" s="72" t="n"/>
      <c r="K63" s="73" t="n"/>
      <c r="L63" s="68" t="n"/>
      <c r="M63" s="74" t="str">
        <f>IF(AND(A63="",B63="",D63=""),"",MAX(N(J63),IF(A63="",0,SUMPRODUCT(MAX((in_plan=A63)*in_prev*in_dnum)))))</f>
        <v/>
      </c>
      <c r="N63" s="75" t="str">
        <f>IF(AND(A63="",B63="",D63=""),"",MAX(N(K63),IF(A63="",0,SUMPRODUCT(MAX((in_plan=A63)*in_prev*in_cnum)))))</f>
        <v/>
      </c>
      <c r="O63" s="76" t="str">
        <f>IF(AND(OR(E63="Calendrier",E63="Au premier des deux"),N(F63)&gt;0,IF(N(M63)&gt;0,M63,IFERROR(N(INDEX(eq_start,MATCH(B63,eq_code,0))),0))&gt;0),IF(N(M63)&gt;0,M63,IFERROR(N(INDEX(eq_start,MATCH(B63,eq_code,0))),0))+F63,"")</f>
        <v/>
      </c>
      <c r="P63" s="75" t="str">
        <f>IF(AND(OR(E63="Compteur",E63="Au premier des deux"),N(G63)&gt;0),N(N63)+G63,"")</f>
        <v/>
      </c>
      <c r="Q63" s="75" t="str">
        <f>IF(B63="","",IFERROR(N(INDEX(eq_cnt,MATCH(B63,eq_code,0))),""))</f>
        <v/>
      </c>
      <c r="R63" s="77" t="str">
        <f>IF(ISNUMBER(O63),O63-p_today,"")</f>
        <v/>
      </c>
      <c r="S63" s="78" t="str">
        <f>IF(AND(ISNUMBER(P63),N(Q63)&gt;0),P63-Q63,"")</f>
        <v/>
      </c>
      <c r="T63" s="76" t="str">
        <f>IF(AND(ISNUMBER(O63),ISNUMBER(X63)),MIN(O63,X63),IF(ISNUMBER(O63),O63,X63))</f>
        <v/>
      </c>
      <c r="U63" s="79" t="str">
        <f>IF(AND(A63="",B63="",D63=""),"",IF(L63="Non","Inactif",IF(AND(NOT(ISNUMBER(R63)),NOT(ISNUMBER(S63))),"À compléter",IF(OR(AND(ISNUMBER(R63),N(R63)&lt;0),AND(ISNUMBER(S63),N(S63)&lt;0)),"En retard",IF(OR(AND(ISNUMBER(R63),N(R63)&lt;=p_soon),AND(ISNUMBER(S63),N(S63)&lt;=p_soon_pct*N(G63))),"Bientôt","À jour")))))</f>
        <v/>
      </c>
      <c r="V63" s="79" t="str">
        <f>IF(AND(A63="",B63="",D63=""),"",IF(A63="","N° de plan manquant",IF(COUNTIF($A$6:$A$505,A63)&gt;1,"N° de plan en double",IF(B63="","Équipement manquant",IF(ISNA(MATCH(B63,eq_code,0)),"Équipement inconnu",IF(D63="","Tâche manquante",IF(E63="","Déclenchement manquant",IF(AND(E63&lt;&gt;"Calendrier",E63&lt;&gt;"Compteur",E63&lt;&gt;"Au premier des deux"),"Déclenchement inconnu",IF(AND(E63&lt;&gt;"Compteur",OR(NOT(ISNUMBER(F63)),N(F63)&lt;=0)),"Périodicité en jours manquante",IF(AND(E63&lt;&gt;"Calendrier",OR(NOT(ISNUMBER(G63)),N(G63)&lt;=0)),"Périodicité compteur manquante",IF(AND(J63&lt;&gt;"",OR(NOT(ISNUMBER(J63)),N(J63)&lt;=0)),"Date de réalisation invalide",IF(AND(K63&lt;&gt;"",OR(NOT(ISNUMBER(K63)),N(K63)&lt;0)),"Compteur de réalisation invalide",IF(AND(E63&lt;&gt;"Compteur",N(M63)=0,IFERROR(N(INDEX(eq_start,MATCH(B63,eq_code,0))),0)=0),"Date de départ manquante",IF(AND(E63&lt;&gt;"Calendrier",K63="",N(N63)=0),"Compteur de départ manquant",IF(AND(E63&lt;&gt;"Calendrier",N(Q63)=0),"Relevé compteur manquant (Équipements)",IF(AND(I63&lt;&gt;"",ISNA(MATCH(I63,tech_name,0))),"Technicien inconnu",IF(AND(L63&lt;&gt;"",L63&lt;&gt;"Oui",L63&lt;&gt;"Non"),"Actif : Oui ou Non","OK")))))))))))))))))</f>
        <v/>
      </c>
      <c r="W63" s="67">
        <f>IFERROR(N(INDEX(eq_use,MATCH(B63,eq_code,0))),0)</f>
        <v>0.0</v>
      </c>
      <c r="X63" s="67" t="str">
        <f>IF(AND(ISNUMBER(S63),W63&gt;0),p_today+MAX(0,ROUNDUP(S63*7/W63,0)),"")</f>
        <v/>
      </c>
      <c r="Y63" s="67" t="str">
        <f>IF(AND(ISNUMBER(T63),OR(U63="En retard",U63="Bientôt",U63="À jour")),IF(AND(ISNUMBER(O63),ISNUMBER(X63)),MIN(F63,G63*7/W63),IF(ISNUMBER(O63),F63,G63*7/W63)),"")</f>
        <v/>
      </c>
      <c r="Z63" s="67" t="str">
        <f>IF(OR(U63="En retard",U63="Bientôt"),IF(U63="En retard",0,1)*1000000000+IF(AB63="A",0,IF(AB63="B",1,IF(AB63="C",2,3)))*100000000+IF(ISNUMBER(T63),T63,p_today)*1000+ROW()-5,"")</f>
        <v/>
      </c>
      <c r="AA63" s="67" t="str">
        <f>IF(Z63="","",COUNTIF($Z$6:$Z$505,"&lt;"&amp;Z63)+1)</f>
        <v/>
      </c>
      <c r="AB63" s="67" t="str">
        <f>IFERROR(INDEX(eq_crit,MATCH(B63,eq_code,0))&amp;"","")</f>
        <v/>
      </c>
    </row>
    <row r="64">
      <c r="A64" s="65" t="n"/>
      <c r="B64" s="66" t="n"/>
      <c r="C64" s="67" t="str">
        <f>IF(B64="","",IFERROR(INDEX(eq_des,MATCH(B64,eq_code,0))&amp;"","Équipement inconnu"))</f>
        <v/>
      </c>
      <c r="D64" s="66" t="n"/>
      <c r="E64" s="68" t="n"/>
      <c r="F64" s="69" t="n"/>
      <c r="G64" s="70" t="n"/>
      <c r="H64" s="71" t="n"/>
      <c r="I64" s="66" t="n"/>
      <c r="J64" s="72" t="n"/>
      <c r="K64" s="73" t="n"/>
      <c r="L64" s="68" t="n"/>
      <c r="M64" s="74" t="str">
        <f>IF(AND(A64="",B64="",D64=""),"",MAX(N(J64),IF(A64="",0,SUMPRODUCT(MAX((in_plan=A64)*in_prev*in_dnum)))))</f>
        <v/>
      </c>
      <c r="N64" s="75" t="str">
        <f>IF(AND(A64="",B64="",D64=""),"",MAX(N(K64),IF(A64="",0,SUMPRODUCT(MAX((in_plan=A64)*in_prev*in_cnum)))))</f>
        <v/>
      </c>
      <c r="O64" s="76" t="str">
        <f>IF(AND(OR(E64="Calendrier",E64="Au premier des deux"),N(F64)&gt;0,IF(N(M64)&gt;0,M64,IFERROR(N(INDEX(eq_start,MATCH(B64,eq_code,0))),0))&gt;0),IF(N(M64)&gt;0,M64,IFERROR(N(INDEX(eq_start,MATCH(B64,eq_code,0))),0))+F64,"")</f>
        <v/>
      </c>
      <c r="P64" s="75" t="str">
        <f>IF(AND(OR(E64="Compteur",E64="Au premier des deux"),N(G64)&gt;0),N(N64)+G64,"")</f>
        <v/>
      </c>
      <c r="Q64" s="75" t="str">
        <f>IF(B64="","",IFERROR(N(INDEX(eq_cnt,MATCH(B64,eq_code,0))),""))</f>
        <v/>
      </c>
      <c r="R64" s="77" t="str">
        <f>IF(ISNUMBER(O64),O64-p_today,"")</f>
        <v/>
      </c>
      <c r="S64" s="78" t="str">
        <f>IF(AND(ISNUMBER(P64),N(Q64)&gt;0),P64-Q64,"")</f>
        <v/>
      </c>
      <c r="T64" s="76" t="str">
        <f>IF(AND(ISNUMBER(O64),ISNUMBER(X64)),MIN(O64,X64),IF(ISNUMBER(O64),O64,X64))</f>
        <v/>
      </c>
      <c r="U64" s="79" t="str">
        <f>IF(AND(A64="",B64="",D64=""),"",IF(L64="Non","Inactif",IF(AND(NOT(ISNUMBER(R64)),NOT(ISNUMBER(S64))),"À compléter",IF(OR(AND(ISNUMBER(R64),N(R64)&lt;0),AND(ISNUMBER(S64),N(S64)&lt;0)),"En retard",IF(OR(AND(ISNUMBER(R64),N(R64)&lt;=p_soon),AND(ISNUMBER(S64),N(S64)&lt;=p_soon_pct*N(G64))),"Bientôt","À jour")))))</f>
        <v/>
      </c>
      <c r="V64" s="79" t="str">
        <f>IF(AND(A64="",B64="",D64=""),"",IF(A64="","N° de plan manquant",IF(COUNTIF($A$6:$A$505,A64)&gt;1,"N° de plan en double",IF(B64="","Équipement manquant",IF(ISNA(MATCH(B64,eq_code,0)),"Équipement inconnu",IF(D64="","Tâche manquante",IF(E64="","Déclenchement manquant",IF(AND(E64&lt;&gt;"Calendrier",E64&lt;&gt;"Compteur",E64&lt;&gt;"Au premier des deux"),"Déclenchement inconnu",IF(AND(E64&lt;&gt;"Compteur",OR(NOT(ISNUMBER(F64)),N(F64)&lt;=0)),"Périodicité en jours manquante",IF(AND(E64&lt;&gt;"Calendrier",OR(NOT(ISNUMBER(G64)),N(G64)&lt;=0)),"Périodicité compteur manquante",IF(AND(J64&lt;&gt;"",OR(NOT(ISNUMBER(J64)),N(J64)&lt;=0)),"Date de réalisation invalide",IF(AND(K64&lt;&gt;"",OR(NOT(ISNUMBER(K64)),N(K64)&lt;0)),"Compteur de réalisation invalide",IF(AND(E64&lt;&gt;"Compteur",N(M64)=0,IFERROR(N(INDEX(eq_start,MATCH(B64,eq_code,0))),0)=0),"Date de départ manquante",IF(AND(E64&lt;&gt;"Calendrier",K64="",N(N64)=0),"Compteur de départ manquant",IF(AND(E64&lt;&gt;"Calendrier",N(Q64)=0),"Relevé compteur manquant (Équipements)",IF(AND(I64&lt;&gt;"",ISNA(MATCH(I64,tech_name,0))),"Technicien inconnu",IF(AND(L64&lt;&gt;"",L64&lt;&gt;"Oui",L64&lt;&gt;"Non"),"Actif : Oui ou Non","OK")))))))))))))))))</f>
        <v/>
      </c>
      <c r="W64" s="67">
        <f>IFERROR(N(INDEX(eq_use,MATCH(B64,eq_code,0))),0)</f>
        <v>0.0</v>
      </c>
      <c r="X64" s="67" t="str">
        <f>IF(AND(ISNUMBER(S64),W64&gt;0),p_today+MAX(0,ROUNDUP(S64*7/W64,0)),"")</f>
        <v/>
      </c>
      <c r="Y64" s="67" t="str">
        <f>IF(AND(ISNUMBER(T64),OR(U64="En retard",U64="Bientôt",U64="À jour")),IF(AND(ISNUMBER(O64),ISNUMBER(X64)),MIN(F64,G64*7/W64),IF(ISNUMBER(O64),F64,G64*7/W64)),"")</f>
        <v/>
      </c>
      <c r="Z64" s="67" t="str">
        <f>IF(OR(U64="En retard",U64="Bientôt"),IF(U64="En retard",0,1)*1000000000+IF(AB64="A",0,IF(AB64="B",1,IF(AB64="C",2,3)))*100000000+IF(ISNUMBER(T64),T64,p_today)*1000+ROW()-5,"")</f>
        <v/>
      </c>
      <c r="AA64" s="67" t="str">
        <f>IF(Z64="","",COUNTIF($Z$6:$Z$505,"&lt;"&amp;Z64)+1)</f>
        <v/>
      </c>
      <c r="AB64" s="67" t="str">
        <f>IFERROR(INDEX(eq_crit,MATCH(B64,eq_code,0))&amp;"","")</f>
        <v/>
      </c>
    </row>
    <row r="65">
      <c r="A65" s="65" t="n"/>
      <c r="B65" s="66" t="n"/>
      <c r="C65" s="67" t="str">
        <f>IF(B65="","",IFERROR(INDEX(eq_des,MATCH(B65,eq_code,0))&amp;"","Équipement inconnu"))</f>
        <v/>
      </c>
      <c r="D65" s="66" t="n"/>
      <c r="E65" s="68" t="n"/>
      <c r="F65" s="69" t="n"/>
      <c r="G65" s="70" t="n"/>
      <c r="H65" s="71" t="n"/>
      <c r="I65" s="66" t="n"/>
      <c r="J65" s="72" t="n"/>
      <c r="K65" s="73" t="n"/>
      <c r="L65" s="68" t="n"/>
      <c r="M65" s="74" t="str">
        <f>IF(AND(A65="",B65="",D65=""),"",MAX(N(J65),IF(A65="",0,SUMPRODUCT(MAX((in_plan=A65)*in_prev*in_dnum)))))</f>
        <v/>
      </c>
      <c r="N65" s="75" t="str">
        <f>IF(AND(A65="",B65="",D65=""),"",MAX(N(K65),IF(A65="",0,SUMPRODUCT(MAX((in_plan=A65)*in_prev*in_cnum)))))</f>
        <v/>
      </c>
      <c r="O65" s="76" t="str">
        <f>IF(AND(OR(E65="Calendrier",E65="Au premier des deux"),N(F65)&gt;0,IF(N(M65)&gt;0,M65,IFERROR(N(INDEX(eq_start,MATCH(B65,eq_code,0))),0))&gt;0),IF(N(M65)&gt;0,M65,IFERROR(N(INDEX(eq_start,MATCH(B65,eq_code,0))),0))+F65,"")</f>
        <v/>
      </c>
      <c r="P65" s="75" t="str">
        <f>IF(AND(OR(E65="Compteur",E65="Au premier des deux"),N(G65)&gt;0),N(N65)+G65,"")</f>
        <v/>
      </c>
      <c r="Q65" s="75" t="str">
        <f>IF(B65="","",IFERROR(N(INDEX(eq_cnt,MATCH(B65,eq_code,0))),""))</f>
        <v/>
      </c>
      <c r="R65" s="77" t="str">
        <f>IF(ISNUMBER(O65),O65-p_today,"")</f>
        <v/>
      </c>
      <c r="S65" s="78" t="str">
        <f>IF(AND(ISNUMBER(P65),N(Q65)&gt;0),P65-Q65,"")</f>
        <v/>
      </c>
      <c r="T65" s="76" t="str">
        <f>IF(AND(ISNUMBER(O65),ISNUMBER(X65)),MIN(O65,X65),IF(ISNUMBER(O65),O65,X65))</f>
        <v/>
      </c>
      <c r="U65" s="79" t="str">
        <f>IF(AND(A65="",B65="",D65=""),"",IF(L65="Non","Inactif",IF(AND(NOT(ISNUMBER(R65)),NOT(ISNUMBER(S65))),"À compléter",IF(OR(AND(ISNUMBER(R65),N(R65)&lt;0),AND(ISNUMBER(S65),N(S65)&lt;0)),"En retard",IF(OR(AND(ISNUMBER(R65),N(R65)&lt;=p_soon),AND(ISNUMBER(S65),N(S65)&lt;=p_soon_pct*N(G65))),"Bientôt","À jour")))))</f>
        <v/>
      </c>
      <c r="V65" s="79" t="str">
        <f>IF(AND(A65="",B65="",D65=""),"",IF(A65="","N° de plan manquant",IF(COUNTIF($A$6:$A$505,A65)&gt;1,"N° de plan en double",IF(B65="","Équipement manquant",IF(ISNA(MATCH(B65,eq_code,0)),"Équipement inconnu",IF(D65="","Tâche manquante",IF(E65="","Déclenchement manquant",IF(AND(E65&lt;&gt;"Calendrier",E65&lt;&gt;"Compteur",E65&lt;&gt;"Au premier des deux"),"Déclenchement inconnu",IF(AND(E65&lt;&gt;"Compteur",OR(NOT(ISNUMBER(F65)),N(F65)&lt;=0)),"Périodicité en jours manquante",IF(AND(E65&lt;&gt;"Calendrier",OR(NOT(ISNUMBER(G65)),N(G65)&lt;=0)),"Périodicité compteur manquante",IF(AND(J65&lt;&gt;"",OR(NOT(ISNUMBER(J65)),N(J65)&lt;=0)),"Date de réalisation invalide",IF(AND(K65&lt;&gt;"",OR(NOT(ISNUMBER(K65)),N(K65)&lt;0)),"Compteur de réalisation invalide",IF(AND(E65&lt;&gt;"Compteur",N(M65)=0,IFERROR(N(INDEX(eq_start,MATCH(B65,eq_code,0))),0)=0),"Date de départ manquante",IF(AND(E65&lt;&gt;"Calendrier",K65="",N(N65)=0),"Compteur de départ manquant",IF(AND(E65&lt;&gt;"Calendrier",N(Q65)=0),"Relevé compteur manquant (Équipements)",IF(AND(I65&lt;&gt;"",ISNA(MATCH(I65,tech_name,0))),"Technicien inconnu",IF(AND(L65&lt;&gt;"",L65&lt;&gt;"Oui",L65&lt;&gt;"Non"),"Actif : Oui ou Non","OK")))))))))))))))))</f>
        <v/>
      </c>
      <c r="W65" s="67">
        <f>IFERROR(N(INDEX(eq_use,MATCH(B65,eq_code,0))),0)</f>
        <v>0.0</v>
      </c>
      <c r="X65" s="67" t="str">
        <f>IF(AND(ISNUMBER(S65),W65&gt;0),p_today+MAX(0,ROUNDUP(S65*7/W65,0)),"")</f>
        <v/>
      </c>
      <c r="Y65" s="67" t="str">
        <f>IF(AND(ISNUMBER(T65),OR(U65="En retard",U65="Bientôt",U65="À jour")),IF(AND(ISNUMBER(O65),ISNUMBER(X65)),MIN(F65,G65*7/W65),IF(ISNUMBER(O65),F65,G65*7/W65)),"")</f>
        <v/>
      </c>
      <c r="Z65" s="67" t="str">
        <f>IF(OR(U65="En retard",U65="Bientôt"),IF(U65="En retard",0,1)*1000000000+IF(AB65="A",0,IF(AB65="B",1,IF(AB65="C",2,3)))*100000000+IF(ISNUMBER(T65),T65,p_today)*1000+ROW()-5,"")</f>
        <v/>
      </c>
      <c r="AA65" s="67" t="str">
        <f>IF(Z65="","",COUNTIF($Z$6:$Z$505,"&lt;"&amp;Z65)+1)</f>
        <v/>
      </c>
      <c r="AB65" s="67" t="str">
        <f>IFERROR(INDEX(eq_crit,MATCH(B65,eq_code,0))&amp;"","")</f>
        <v/>
      </c>
    </row>
    <row r="66">
      <c r="A66" s="65" t="n"/>
      <c r="B66" s="66" t="n"/>
      <c r="C66" s="67" t="str">
        <f>IF(B66="","",IFERROR(INDEX(eq_des,MATCH(B66,eq_code,0))&amp;"","Équipement inconnu"))</f>
        <v/>
      </c>
      <c r="D66" s="66" t="n"/>
      <c r="E66" s="68" t="n"/>
      <c r="F66" s="69" t="n"/>
      <c r="G66" s="70" t="n"/>
      <c r="H66" s="71" t="n"/>
      <c r="I66" s="66" t="n"/>
      <c r="J66" s="72" t="n"/>
      <c r="K66" s="73" t="n"/>
      <c r="L66" s="68" t="n"/>
      <c r="M66" s="74" t="str">
        <f>IF(AND(A66="",B66="",D66=""),"",MAX(N(J66),IF(A66="",0,SUMPRODUCT(MAX((in_plan=A66)*in_prev*in_dnum)))))</f>
        <v/>
      </c>
      <c r="N66" s="75" t="str">
        <f>IF(AND(A66="",B66="",D66=""),"",MAX(N(K66),IF(A66="",0,SUMPRODUCT(MAX((in_plan=A66)*in_prev*in_cnum)))))</f>
        <v/>
      </c>
      <c r="O66" s="76" t="str">
        <f>IF(AND(OR(E66="Calendrier",E66="Au premier des deux"),N(F66)&gt;0,IF(N(M66)&gt;0,M66,IFERROR(N(INDEX(eq_start,MATCH(B66,eq_code,0))),0))&gt;0),IF(N(M66)&gt;0,M66,IFERROR(N(INDEX(eq_start,MATCH(B66,eq_code,0))),0))+F66,"")</f>
        <v/>
      </c>
      <c r="P66" s="75" t="str">
        <f>IF(AND(OR(E66="Compteur",E66="Au premier des deux"),N(G66)&gt;0),N(N66)+G66,"")</f>
        <v/>
      </c>
      <c r="Q66" s="75" t="str">
        <f>IF(B66="","",IFERROR(N(INDEX(eq_cnt,MATCH(B66,eq_code,0))),""))</f>
        <v/>
      </c>
      <c r="R66" s="77" t="str">
        <f>IF(ISNUMBER(O66),O66-p_today,"")</f>
        <v/>
      </c>
      <c r="S66" s="78" t="str">
        <f>IF(AND(ISNUMBER(P66),N(Q66)&gt;0),P66-Q66,"")</f>
        <v/>
      </c>
      <c r="T66" s="76" t="str">
        <f>IF(AND(ISNUMBER(O66),ISNUMBER(X66)),MIN(O66,X66),IF(ISNUMBER(O66),O66,X66))</f>
        <v/>
      </c>
      <c r="U66" s="79" t="str">
        <f>IF(AND(A66="",B66="",D66=""),"",IF(L66="Non","Inactif",IF(AND(NOT(ISNUMBER(R66)),NOT(ISNUMBER(S66))),"À compléter",IF(OR(AND(ISNUMBER(R66),N(R66)&lt;0),AND(ISNUMBER(S66),N(S66)&lt;0)),"En retard",IF(OR(AND(ISNUMBER(R66),N(R66)&lt;=p_soon),AND(ISNUMBER(S66),N(S66)&lt;=p_soon_pct*N(G66))),"Bientôt","À jour")))))</f>
        <v/>
      </c>
      <c r="V66" s="79" t="str">
        <f>IF(AND(A66="",B66="",D66=""),"",IF(A66="","N° de plan manquant",IF(COUNTIF($A$6:$A$505,A66)&gt;1,"N° de plan en double",IF(B66="","Équipement manquant",IF(ISNA(MATCH(B66,eq_code,0)),"Équipement inconnu",IF(D66="","Tâche manquante",IF(E66="","Déclenchement manquant",IF(AND(E66&lt;&gt;"Calendrier",E66&lt;&gt;"Compteur",E66&lt;&gt;"Au premier des deux"),"Déclenchement inconnu",IF(AND(E66&lt;&gt;"Compteur",OR(NOT(ISNUMBER(F66)),N(F66)&lt;=0)),"Périodicité en jours manquante",IF(AND(E66&lt;&gt;"Calendrier",OR(NOT(ISNUMBER(G66)),N(G66)&lt;=0)),"Périodicité compteur manquante",IF(AND(J66&lt;&gt;"",OR(NOT(ISNUMBER(J66)),N(J66)&lt;=0)),"Date de réalisation invalide",IF(AND(K66&lt;&gt;"",OR(NOT(ISNUMBER(K66)),N(K66)&lt;0)),"Compteur de réalisation invalide",IF(AND(E66&lt;&gt;"Compteur",N(M66)=0,IFERROR(N(INDEX(eq_start,MATCH(B66,eq_code,0))),0)=0),"Date de départ manquante",IF(AND(E66&lt;&gt;"Calendrier",K66="",N(N66)=0),"Compteur de départ manquant",IF(AND(E66&lt;&gt;"Calendrier",N(Q66)=0),"Relevé compteur manquant (Équipements)",IF(AND(I66&lt;&gt;"",ISNA(MATCH(I66,tech_name,0))),"Technicien inconnu",IF(AND(L66&lt;&gt;"",L66&lt;&gt;"Oui",L66&lt;&gt;"Non"),"Actif : Oui ou Non","OK")))))))))))))))))</f>
        <v/>
      </c>
      <c r="W66" s="67">
        <f>IFERROR(N(INDEX(eq_use,MATCH(B66,eq_code,0))),0)</f>
        <v>0.0</v>
      </c>
      <c r="X66" s="67" t="str">
        <f>IF(AND(ISNUMBER(S66),W66&gt;0),p_today+MAX(0,ROUNDUP(S66*7/W66,0)),"")</f>
        <v/>
      </c>
      <c r="Y66" s="67" t="str">
        <f>IF(AND(ISNUMBER(T66),OR(U66="En retard",U66="Bientôt",U66="À jour")),IF(AND(ISNUMBER(O66),ISNUMBER(X66)),MIN(F66,G66*7/W66),IF(ISNUMBER(O66),F66,G66*7/W66)),"")</f>
        <v/>
      </c>
      <c r="Z66" s="67" t="str">
        <f>IF(OR(U66="En retard",U66="Bientôt"),IF(U66="En retard",0,1)*1000000000+IF(AB66="A",0,IF(AB66="B",1,IF(AB66="C",2,3)))*100000000+IF(ISNUMBER(T66),T66,p_today)*1000+ROW()-5,"")</f>
        <v/>
      </c>
      <c r="AA66" s="67" t="str">
        <f>IF(Z66="","",COUNTIF($Z$6:$Z$505,"&lt;"&amp;Z66)+1)</f>
        <v/>
      </c>
      <c r="AB66" s="67" t="str">
        <f>IFERROR(INDEX(eq_crit,MATCH(B66,eq_code,0))&amp;"","")</f>
        <v/>
      </c>
    </row>
    <row r="67">
      <c r="A67" s="65" t="n"/>
      <c r="B67" s="66" t="n"/>
      <c r="C67" s="67" t="str">
        <f>IF(B67="","",IFERROR(INDEX(eq_des,MATCH(B67,eq_code,0))&amp;"","Équipement inconnu"))</f>
        <v/>
      </c>
      <c r="D67" s="66" t="n"/>
      <c r="E67" s="68" t="n"/>
      <c r="F67" s="69" t="n"/>
      <c r="G67" s="70" t="n"/>
      <c r="H67" s="71" t="n"/>
      <c r="I67" s="66" t="n"/>
      <c r="J67" s="72" t="n"/>
      <c r="K67" s="73" t="n"/>
      <c r="L67" s="68" t="n"/>
      <c r="M67" s="74" t="str">
        <f>IF(AND(A67="",B67="",D67=""),"",MAX(N(J67),IF(A67="",0,SUMPRODUCT(MAX((in_plan=A67)*in_prev*in_dnum)))))</f>
        <v/>
      </c>
      <c r="N67" s="75" t="str">
        <f>IF(AND(A67="",B67="",D67=""),"",MAX(N(K67),IF(A67="",0,SUMPRODUCT(MAX((in_plan=A67)*in_prev*in_cnum)))))</f>
        <v/>
      </c>
      <c r="O67" s="76" t="str">
        <f>IF(AND(OR(E67="Calendrier",E67="Au premier des deux"),N(F67)&gt;0,IF(N(M67)&gt;0,M67,IFERROR(N(INDEX(eq_start,MATCH(B67,eq_code,0))),0))&gt;0),IF(N(M67)&gt;0,M67,IFERROR(N(INDEX(eq_start,MATCH(B67,eq_code,0))),0))+F67,"")</f>
        <v/>
      </c>
      <c r="P67" s="75" t="str">
        <f>IF(AND(OR(E67="Compteur",E67="Au premier des deux"),N(G67)&gt;0),N(N67)+G67,"")</f>
        <v/>
      </c>
      <c r="Q67" s="75" t="str">
        <f>IF(B67="","",IFERROR(N(INDEX(eq_cnt,MATCH(B67,eq_code,0))),""))</f>
        <v/>
      </c>
      <c r="R67" s="77" t="str">
        <f>IF(ISNUMBER(O67),O67-p_today,"")</f>
        <v/>
      </c>
      <c r="S67" s="78" t="str">
        <f>IF(AND(ISNUMBER(P67),N(Q67)&gt;0),P67-Q67,"")</f>
        <v/>
      </c>
      <c r="T67" s="76" t="str">
        <f>IF(AND(ISNUMBER(O67),ISNUMBER(X67)),MIN(O67,X67),IF(ISNUMBER(O67),O67,X67))</f>
        <v/>
      </c>
      <c r="U67" s="79" t="str">
        <f>IF(AND(A67="",B67="",D67=""),"",IF(L67="Non","Inactif",IF(AND(NOT(ISNUMBER(R67)),NOT(ISNUMBER(S67))),"À compléter",IF(OR(AND(ISNUMBER(R67),N(R67)&lt;0),AND(ISNUMBER(S67),N(S67)&lt;0)),"En retard",IF(OR(AND(ISNUMBER(R67),N(R67)&lt;=p_soon),AND(ISNUMBER(S67),N(S67)&lt;=p_soon_pct*N(G67))),"Bientôt","À jour")))))</f>
        <v/>
      </c>
      <c r="V67" s="79" t="str">
        <f>IF(AND(A67="",B67="",D67=""),"",IF(A67="","N° de plan manquant",IF(COUNTIF($A$6:$A$505,A67)&gt;1,"N° de plan en double",IF(B67="","Équipement manquant",IF(ISNA(MATCH(B67,eq_code,0)),"Équipement inconnu",IF(D67="","Tâche manquante",IF(E67="","Déclenchement manquant",IF(AND(E67&lt;&gt;"Calendrier",E67&lt;&gt;"Compteur",E67&lt;&gt;"Au premier des deux"),"Déclenchement inconnu",IF(AND(E67&lt;&gt;"Compteur",OR(NOT(ISNUMBER(F67)),N(F67)&lt;=0)),"Périodicité en jours manquante",IF(AND(E67&lt;&gt;"Calendrier",OR(NOT(ISNUMBER(G67)),N(G67)&lt;=0)),"Périodicité compteur manquante",IF(AND(J67&lt;&gt;"",OR(NOT(ISNUMBER(J67)),N(J67)&lt;=0)),"Date de réalisation invalide",IF(AND(K67&lt;&gt;"",OR(NOT(ISNUMBER(K67)),N(K67)&lt;0)),"Compteur de réalisation invalide",IF(AND(E67&lt;&gt;"Compteur",N(M67)=0,IFERROR(N(INDEX(eq_start,MATCH(B67,eq_code,0))),0)=0),"Date de départ manquante",IF(AND(E67&lt;&gt;"Calendrier",K67="",N(N67)=0),"Compteur de départ manquant",IF(AND(E67&lt;&gt;"Calendrier",N(Q67)=0),"Relevé compteur manquant (Équipements)",IF(AND(I67&lt;&gt;"",ISNA(MATCH(I67,tech_name,0))),"Technicien inconnu",IF(AND(L67&lt;&gt;"",L67&lt;&gt;"Oui",L67&lt;&gt;"Non"),"Actif : Oui ou Non","OK")))))))))))))))))</f>
        <v/>
      </c>
      <c r="W67" s="67">
        <f>IFERROR(N(INDEX(eq_use,MATCH(B67,eq_code,0))),0)</f>
        <v>0.0</v>
      </c>
      <c r="X67" s="67" t="str">
        <f>IF(AND(ISNUMBER(S67),W67&gt;0),p_today+MAX(0,ROUNDUP(S67*7/W67,0)),"")</f>
        <v/>
      </c>
      <c r="Y67" s="67" t="str">
        <f>IF(AND(ISNUMBER(T67),OR(U67="En retard",U67="Bientôt",U67="À jour")),IF(AND(ISNUMBER(O67),ISNUMBER(X67)),MIN(F67,G67*7/W67),IF(ISNUMBER(O67),F67,G67*7/W67)),"")</f>
        <v/>
      </c>
      <c r="Z67" s="67" t="str">
        <f>IF(OR(U67="En retard",U67="Bientôt"),IF(U67="En retard",0,1)*1000000000+IF(AB67="A",0,IF(AB67="B",1,IF(AB67="C",2,3)))*100000000+IF(ISNUMBER(T67),T67,p_today)*1000+ROW()-5,"")</f>
        <v/>
      </c>
      <c r="AA67" s="67" t="str">
        <f>IF(Z67="","",COUNTIF($Z$6:$Z$505,"&lt;"&amp;Z67)+1)</f>
        <v/>
      </c>
      <c r="AB67" s="67" t="str">
        <f>IFERROR(INDEX(eq_crit,MATCH(B67,eq_code,0))&amp;"","")</f>
        <v/>
      </c>
    </row>
    <row r="68">
      <c r="A68" s="65" t="n"/>
      <c r="B68" s="66" t="n"/>
      <c r="C68" s="67" t="str">
        <f>IF(B68="","",IFERROR(INDEX(eq_des,MATCH(B68,eq_code,0))&amp;"","Équipement inconnu"))</f>
        <v/>
      </c>
      <c r="D68" s="66" t="n"/>
      <c r="E68" s="68" t="n"/>
      <c r="F68" s="69" t="n"/>
      <c r="G68" s="70" t="n"/>
      <c r="H68" s="71" t="n"/>
      <c r="I68" s="66" t="n"/>
      <c r="J68" s="72" t="n"/>
      <c r="K68" s="73" t="n"/>
      <c r="L68" s="68" t="n"/>
      <c r="M68" s="74" t="str">
        <f>IF(AND(A68="",B68="",D68=""),"",MAX(N(J68),IF(A68="",0,SUMPRODUCT(MAX((in_plan=A68)*in_prev*in_dnum)))))</f>
        <v/>
      </c>
      <c r="N68" s="75" t="str">
        <f>IF(AND(A68="",B68="",D68=""),"",MAX(N(K68),IF(A68="",0,SUMPRODUCT(MAX((in_plan=A68)*in_prev*in_cnum)))))</f>
        <v/>
      </c>
      <c r="O68" s="76" t="str">
        <f>IF(AND(OR(E68="Calendrier",E68="Au premier des deux"),N(F68)&gt;0,IF(N(M68)&gt;0,M68,IFERROR(N(INDEX(eq_start,MATCH(B68,eq_code,0))),0))&gt;0),IF(N(M68)&gt;0,M68,IFERROR(N(INDEX(eq_start,MATCH(B68,eq_code,0))),0))+F68,"")</f>
        <v/>
      </c>
      <c r="P68" s="75" t="str">
        <f>IF(AND(OR(E68="Compteur",E68="Au premier des deux"),N(G68)&gt;0),N(N68)+G68,"")</f>
        <v/>
      </c>
      <c r="Q68" s="75" t="str">
        <f>IF(B68="","",IFERROR(N(INDEX(eq_cnt,MATCH(B68,eq_code,0))),""))</f>
        <v/>
      </c>
      <c r="R68" s="77" t="str">
        <f>IF(ISNUMBER(O68),O68-p_today,"")</f>
        <v/>
      </c>
      <c r="S68" s="78" t="str">
        <f>IF(AND(ISNUMBER(P68),N(Q68)&gt;0),P68-Q68,"")</f>
        <v/>
      </c>
      <c r="T68" s="76" t="str">
        <f>IF(AND(ISNUMBER(O68),ISNUMBER(X68)),MIN(O68,X68),IF(ISNUMBER(O68),O68,X68))</f>
        <v/>
      </c>
      <c r="U68" s="79" t="str">
        <f>IF(AND(A68="",B68="",D68=""),"",IF(L68="Non","Inactif",IF(AND(NOT(ISNUMBER(R68)),NOT(ISNUMBER(S68))),"À compléter",IF(OR(AND(ISNUMBER(R68),N(R68)&lt;0),AND(ISNUMBER(S68),N(S68)&lt;0)),"En retard",IF(OR(AND(ISNUMBER(R68),N(R68)&lt;=p_soon),AND(ISNUMBER(S68),N(S68)&lt;=p_soon_pct*N(G68))),"Bientôt","À jour")))))</f>
        <v/>
      </c>
      <c r="V68" s="79" t="str">
        <f>IF(AND(A68="",B68="",D68=""),"",IF(A68="","N° de plan manquant",IF(COUNTIF($A$6:$A$505,A68)&gt;1,"N° de plan en double",IF(B68="","Équipement manquant",IF(ISNA(MATCH(B68,eq_code,0)),"Équipement inconnu",IF(D68="","Tâche manquante",IF(E68="","Déclenchement manquant",IF(AND(E68&lt;&gt;"Calendrier",E68&lt;&gt;"Compteur",E68&lt;&gt;"Au premier des deux"),"Déclenchement inconnu",IF(AND(E68&lt;&gt;"Compteur",OR(NOT(ISNUMBER(F68)),N(F68)&lt;=0)),"Périodicité en jours manquante",IF(AND(E68&lt;&gt;"Calendrier",OR(NOT(ISNUMBER(G68)),N(G68)&lt;=0)),"Périodicité compteur manquante",IF(AND(J68&lt;&gt;"",OR(NOT(ISNUMBER(J68)),N(J68)&lt;=0)),"Date de réalisation invalide",IF(AND(K68&lt;&gt;"",OR(NOT(ISNUMBER(K68)),N(K68)&lt;0)),"Compteur de réalisation invalide",IF(AND(E68&lt;&gt;"Compteur",N(M68)=0,IFERROR(N(INDEX(eq_start,MATCH(B68,eq_code,0))),0)=0),"Date de départ manquante",IF(AND(E68&lt;&gt;"Calendrier",K68="",N(N68)=0),"Compteur de départ manquant",IF(AND(E68&lt;&gt;"Calendrier",N(Q68)=0),"Relevé compteur manquant (Équipements)",IF(AND(I68&lt;&gt;"",ISNA(MATCH(I68,tech_name,0))),"Technicien inconnu",IF(AND(L68&lt;&gt;"",L68&lt;&gt;"Oui",L68&lt;&gt;"Non"),"Actif : Oui ou Non","OK")))))))))))))))))</f>
        <v/>
      </c>
      <c r="W68" s="67">
        <f>IFERROR(N(INDEX(eq_use,MATCH(B68,eq_code,0))),0)</f>
        <v>0.0</v>
      </c>
      <c r="X68" s="67" t="str">
        <f>IF(AND(ISNUMBER(S68),W68&gt;0),p_today+MAX(0,ROUNDUP(S68*7/W68,0)),"")</f>
        <v/>
      </c>
      <c r="Y68" s="67" t="str">
        <f>IF(AND(ISNUMBER(T68),OR(U68="En retard",U68="Bientôt",U68="À jour")),IF(AND(ISNUMBER(O68),ISNUMBER(X68)),MIN(F68,G68*7/W68),IF(ISNUMBER(O68),F68,G68*7/W68)),"")</f>
        <v/>
      </c>
      <c r="Z68" s="67" t="str">
        <f>IF(OR(U68="En retard",U68="Bientôt"),IF(U68="En retard",0,1)*1000000000+IF(AB68="A",0,IF(AB68="B",1,IF(AB68="C",2,3)))*100000000+IF(ISNUMBER(T68),T68,p_today)*1000+ROW()-5,"")</f>
        <v/>
      </c>
      <c r="AA68" s="67" t="str">
        <f>IF(Z68="","",COUNTIF($Z$6:$Z$505,"&lt;"&amp;Z68)+1)</f>
        <v/>
      </c>
      <c r="AB68" s="67" t="str">
        <f>IFERROR(INDEX(eq_crit,MATCH(B68,eq_code,0))&amp;"","")</f>
        <v/>
      </c>
    </row>
    <row r="69">
      <c r="A69" s="65" t="n"/>
      <c r="B69" s="66" t="n"/>
      <c r="C69" s="67" t="str">
        <f>IF(B69="","",IFERROR(INDEX(eq_des,MATCH(B69,eq_code,0))&amp;"","Équipement inconnu"))</f>
        <v/>
      </c>
      <c r="D69" s="66" t="n"/>
      <c r="E69" s="68" t="n"/>
      <c r="F69" s="69" t="n"/>
      <c r="G69" s="70" t="n"/>
      <c r="H69" s="71" t="n"/>
      <c r="I69" s="66" t="n"/>
      <c r="J69" s="72" t="n"/>
      <c r="K69" s="73" t="n"/>
      <c r="L69" s="68" t="n"/>
      <c r="M69" s="74" t="str">
        <f>IF(AND(A69="",B69="",D69=""),"",MAX(N(J69),IF(A69="",0,SUMPRODUCT(MAX((in_plan=A69)*in_prev*in_dnum)))))</f>
        <v/>
      </c>
      <c r="N69" s="75" t="str">
        <f>IF(AND(A69="",B69="",D69=""),"",MAX(N(K69),IF(A69="",0,SUMPRODUCT(MAX((in_plan=A69)*in_prev*in_cnum)))))</f>
        <v/>
      </c>
      <c r="O69" s="76" t="str">
        <f>IF(AND(OR(E69="Calendrier",E69="Au premier des deux"),N(F69)&gt;0,IF(N(M69)&gt;0,M69,IFERROR(N(INDEX(eq_start,MATCH(B69,eq_code,0))),0))&gt;0),IF(N(M69)&gt;0,M69,IFERROR(N(INDEX(eq_start,MATCH(B69,eq_code,0))),0))+F69,"")</f>
        <v/>
      </c>
      <c r="P69" s="75" t="str">
        <f>IF(AND(OR(E69="Compteur",E69="Au premier des deux"),N(G69)&gt;0),N(N69)+G69,"")</f>
        <v/>
      </c>
      <c r="Q69" s="75" t="str">
        <f>IF(B69="","",IFERROR(N(INDEX(eq_cnt,MATCH(B69,eq_code,0))),""))</f>
        <v/>
      </c>
      <c r="R69" s="77" t="str">
        <f>IF(ISNUMBER(O69),O69-p_today,"")</f>
        <v/>
      </c>
      <c r="S69" s="78" t="str">
        <f>IF(AND(ISNUMBER(P69),N(Q69)&gt;0),P69-Q69,"")</f>
        <v/>
      </c>
      <c r="T69" s="76" t="str">
        <f>IF(AND(ISNUMBER(O69),ISNUMBER(X69)),MIN(O69,X69),IF(ISNUMBER(O69),O69,X69))</f>
        <v/>
      </c>
      <c r="U69" s="79" t="str">
        <f>IF(AND(A69="",B69="",D69=""),"",IF(L69="Non","Inactif",IF(AND(NOT(ISNUMBER(R69)),NOT(ISNUMBER(S69))),"À compléter",IF(OR(AND(ISNUMBER(R69),N(R69)&lt;0),AND(ISNUMBER(S69),N(S69)&lt;0)),"En retard",IF(OR(AND(ISNUMBER(R69),N(R69)&lt;=p_soon),AND(ISNUMBER(S69),N(S69)&lt;=p_soon_pct*N(G69))),"Bientôt","À jour")))))</f>
        <v/>
      </c>
      <c r="V69" s="79" t="str">
        <f>IF(AND(A69="",B69="",D69=""),"",IF(A69="","N° de plan manquant",IF(COUNTIF($A$6:$A$505,A69)&gt;1,"N° de plan en double",IF(B69="","Équipement manquant",IF(ISNA(MATCH(B69,eq_code,0)),"Équipement inconnu",IF(D69="","Tâche manquante",IF(E69="","Déclenchement manquant",IF(AND(E69&lt;&gt;"Calendrier",E69&lt;&gt;"Compteur",E69&lt;&gt;"Au premier des deux"),"Déclenchement inconnu",IF(AND(E69&lt;&gt;"Compteur",OR(NOT(ISNUMBER(F69)),N(F69)&lt;=0)),"Périodicité en jours manquante",IF(AND(E69&lt;&gt;"Calendrier",OR(NOT(ISNUMBER(G69)),N(G69)&lt;=0)),"Périodicité compteur manquante",IF(AND(J69&lt;&gt;"",OR(NOT(ISNUMBER(J69)),N(J69)&lt;=0)),"Date de réalisation invalide",IF(AND(K69&lt;&gt;"",OR(NOT(ISNUMBER(K69)),N(K69)&lt;0)),"Compteur de réalisation invalide",IF(AND(E69&lt;&gt;"Compteur",N(M69)=0,IFERROR(N(INDEX(eq_start,MATCH(B69,eq_code,0))),0)=0),"Date de départ manquante",IF(AND(E69&lt;&gt;"Calendrier",K69="",N(N69)=0),"Compteur de départ manquant",IF(AND(E69&lt;&gt;"Calendrier",N(Q69)=0),"Relevé compteur manquant (Équipements)",IF(AND(I69&lt;&gt;"",ISNA(MATCH(I69,tech_name,0))),"Technicien inconnu",IF(AND(L69&lt;&gt;"",L69&lt;&gt;"Oui",L69&lt;&gt;"Non"),"Actif : Oui ou Non","OK")))))))))))))))))</f>
        <v/>
      </c>
      <c r="W69" s="67">
        <f>IFERROR(N(INDEX(eq_use,MATCH(B69,eq_code,0))),0)</f>
        <v>0.0</v>
      </c>
      <c r="X69" s="67" t="str">
        <f>IF(AND(ISNUMBER(S69),W69&gt;0),p_today+MAX(0,ROUNDUP(S69*7/W69,0)),"")</f>
        <v/>
      </c>
      <c r="Y69" s="67" t="str">
        <f>IF(AND(ISNUMBER(T69),OR(U69="En retard",U69="Bientôt",U69="À jour")),IF(AND(ISNUMBER(O69),ISNUMBER(X69)),MIN(F69,G69*7/W69),IF(ISNUMBER(O69),F69,G69*7/W69)),"")</f>
        <v/>
      </c>
      <c r="Z69" s="67" t="str">
        <f>IF(OR(U69="En retard",U69="Bientôt"),IF(U69="En retard",0,1)*1000000000+IF(AB69="A",0,IF(AB69="B",1,IF(AB69="C",2,3)))*100000000+IF(ISNUMBER(T69),T69,p_today)*1000+ROW()-5,"")</f>
        <v/>
      </c>
      <c r="AA69" s="67" t="str">
        <f>IF(Z69="","",COUNTIF($Z$6:$Z$505,"&lt;"&amp;Z69)+1)</f>
        <v/>
      </c>
      <c r="AB69" s="67" t="str">
        <f>IFERROR(INDEX(eq_crit,MATCH(B69,eq_code,0))&amp;"","")</f>
        <v/>
      </c>
    </row>
    <row r="70">
      <c r="A70" s="65" t="n"/>
      <c r="B70" s="66" t="n"/>
      <c r="C70" s="67" t="str">
        <f>IF(B70="","",IFERROR(INDEX(eq_des,MATCH(B70,eq_code,0))&amp;"","Équipement inconnu"))</f>
        <v/>
      </c>
      <c r="D70" s="66" t="n"/>
      <c r="E70" s="68" t="n"/>
      <c r="F70" s="69" t="n"/>
      <c r="G70" s="70" t="n"/>
      <c r="H70" s="71" t="n"/>
      <c r="I70" s="66" t="n"/>
      <c r="J70" s="72" t="n"/>
      <c r="K70" s="73" t="n"/>
      <c r="L70" s="68" t="n"/>
      <c r="M70" s="74" t="str">
        <f>IF(AND(A70="",B70="",D70=""),"",MAX(N(J70),IF(A70="",0,SUMPRODUCT(MAX((in_plan=A70)*in_prev*in_dnum)))))</f>
        <v/>
      </c>
      <c r="N70" s="75" t="str">
        <f>IF(AND(A70="",B70="",D70=""),"",MAX(N(K70),IF(A70="",0,SUMPRODUCT(MAX((in_plan=A70)*in_prev*in_cnum)))))</f>
        <v/>
      </c>
      <c r="O70" s="76" t="str">
        <f>IF(AND(OR(E70="Calendrier",E70="Au premier des deux"),N(F70)&gt;0,IF(N(M70)&gt;0,M70,IFERROR(N(INDEX(eq_start,MATCH(B70,eq_code,0))),0))&gt;0),IF(N(M70)&gt;0,M70,IFERROR(N(INDEX(eq_start,MATCH(B70,eq_code,0))),0))+F70,"")</f>
        <v/>
      </c>
      <c r="P70" s="75" t="str">
        <f>IF(AND(OR(E70="Compteur",E70="Au premier des deux"),N(G70)&gt;0),N(N70)+G70,"")</f>
        <v/>
      </c>
      <c r="Q70" s="75" t="str">
        <f>IF(B70="","",IFERROR(N(INDEX(eq_cnt,MATCH(B70,eq_code,0))),""))</f>
        <v/>
      </c>
      <c r="R70" s="77" t="str">
        <f>IF(ISNUMBER(O70),O70-p_today,"")</f>
        <v/>
      </c>
      <c r="S70" s="78" t="str">
        <f>IF(AND(ISNUMBER(P70),N(Q70)&gt;0),P70-Q70,"")</f>
        <v/>
      </c>
      <c r="T70" s="76" t="str">
        <f>IF(AND(ISNUMBER(O70),ISNUMBER(X70)),MIN(O70,X70),IF(ISNUMBER(O70),O70,X70))</f>
        <v/>
      </c>
      <c r="U70" s="79" t="str">
        <f>IF(AND(A70="",B70="",D70=""),"",IF(L70="Non","Inactif",IF(AND(NOT(ISNUMBER(R70)),NOT(ISNUMBER(S70))),"À compléter",IF(OR(AND(ISNUMBER(R70),N(R70)&lt;0),AND(ISNUMBER(S70),N(S70)&lt;0)),"En retard",IF(OR(AND(ISNUMBER(R70),N(R70)&lt;=p_soon),AND(ISNUMBER(S70),N(S70)&lt;=p_soon_pct*N(G70))),"Bientôt","À jour")))))</f>
        <v/>
      </c>
      <c r="V70" s="79" t="str">
        <f>IF(AND(A70="",B70="",D70=""),"",IF(A70="","N° de plan manquant",IF(COUNTIF($A$6:$A$505,A70)&gt;1,"N° de plan en double",IF(B70="","Équipement manquant",IF(ISNA(MATCH(B70,eq_code,0)),"Équipement inconnu",IF(D70="","Tâche manquante",IF(E70="","Déclenchement manquant",IF(AND(E70&lt;&gt;"Calendrier",E70&lt;&gt;"Compteur",E70&lt;&gt;"Au premier des deux"),"Déclenchement inconnu",IF(AND(E70&lt;&gt;"Compteur",OR(NOT(ISNUMBER(F70)),N(F70)&lt;=0)),"Périodicité en jours manquante",IF(AND(E70&lt;&gt;"Calendrier",OR(NOT(ISNUMBER(G70)),N(G70)&lt;=0)),"Périodicité compteur manquante",IF(AND(J70&lt;&gt;"",OR(NOT(ISNUMBER(J70)),N(J70)&lt;=0)),"Date de réalisation invalide",IF(AND(K70&lt;&gt;"",OR(NOT(ISNUMBER(K70)),N(K70)&lt;0)),"Compteur de réalisation invalide",IF(AND(E70&lt;&gt;"Compteur",N(M70)=0,IFERROR(N(INDEX(eq_start,MATCH(B70,eq_code,0))),0)=0),"Date de départ manquante",IF(AND(E70&lt;&gt;"Calendrier",K70="",N(N70)=0),"Compteur de départ manquant",IF(AND(E70&lt;&gt;"Calendrier",N(Q70)=0),"Relevé compteur manquant (Équipements)",IF(AND(I70&lt;&gt;"",ISNA(MATCH(I70,tech_name,0))),"Technicien inconnu",IF(AND(L70&lt;&gt;"",L70&lt;&gt;"Oui",L70&lt;&gt;"Non"),"Actif : Oui ou Non","OK")))))))))))))))))</f>
        <v/>
      </c>
      <c r="W70" s="67">
        <f>IFERROR(N(INDEX(eq_use,MATCH(B70,eq_code,0))),0)</f>
        <v>0.0</v>
      </c>
      <c r="X70" s="67" t="str">
        <f>IF(AND(ISNUMBER(S70),W70&gt;0),p_today+MAX(0,ROUNDUP(S70*7/W70,0)),"")</f>
        <v/>
      </c>
      <c r="Y70" s="67" t="str">
        <f>IF(AND(ISNUMBER(T70),OR(U70="En retard",U70="Bientôt",U70="À jour")),IF(AND(ISNUMBER(O70),ISNUMBER(X70)),MIN(F70,G70*7/W70),IF(ISNUMBER(O70),F70,G70*7/W70)),"")</f>
        <v/>
      </c>
      <c r="Z70" s="67" t="str">
        <f>IF(OR(U70="En retard",U70="Bientôt"),IF(U70="En retard",0,1)*1000000000+IF(AB70="A",0,IF(AB70="B",1,IF(AB70="C",2,3)))*100000000+IF(ISNUMBER(T70),T70,p_today)*1000+ROW()-5,"")</f>
        <v/>
      </c>
      <c r="AA70" s="67" t="str">
        <f>IF(Z70="","",COUNTIF($Z$6:$Z$505,"&lt;"&amp;Z70)+1)</f>
        <v/>
      </c>
      <c r="AB70" s="67" t="str">
        <f>IFERROR(INDEX(eq_crit,MATCH(B70,eq_code,0))&amp;"","")</f>
        <v/>
      </c>
    </row>
    <row r="71">
      <c r="A71" s="65" t="n"/>
      <c r="B71" s="66" t="n"/>
      <c r="C71" s="67" t="str">
        <f>IF(B71="","",IFERROR(INDEX(eq_des,MATCH(B71,eq_code,0))&amp;"","Équipement inconnu"))</f>
        <v/>
      </c>
      <c r="D71" s="66" t="n"/>
      <c r="E71" s="68" t="n"/>
      <c r="F71" s="69" t="n"/>
      <c r="G71" s="70" t="n"/>
      <c r="H71" s="71" t="n"/>
      <c r="I71" s="66" t="n"/>
      <c r="J71" s="72" t="n"/>
      <c r="K71" s="73" t="n"/>
      <c r="L71" s="68" t="n"/>
      <c r="M71" s="74" t="str">
        <f>IF(AND(A71="",B71="",D71=""),"",MAX(N(J71),IF(A71="",0,SUMPRODUCT(MAX((in_plan=A71)*in_prev*in_dnum)))))</f>
        <v/>
      </c>
      <c r="N71" s="75" t="str">
        <f>IF(AND(A71="",B71="",D71=""),"",MAX(N(K71),IF(A71="",0,SUMPRODUCT(MAX((in_plan=A71)*in_prev*in_cnum)))))</f>
        <v/>
      </c>
      <c r="O71" s="76" t="str">
        <f>IF(AND(OR(E71="Calendrier",E71="Au premier des deux"),N(F71)&gt;0,IF(N(M71)&gt;0,M71,IFERROR(N(INDEX(eq_start,MATCH(B71,eq_code,0))),0))&gt;0),IF(N(M71)&gt;0,M71,IFERROR(N(INDEX(eq_start,MATCH(B71,eq_code,0))),0))+F71,"")</f>
        <v/>
      </c>
      <c r="P71" s="75" t="str">
        <f>IF(AND(OR(E71="Compteur",E71="Au premier des deux"),N(G71)&gt;0),N(N71)+G71,"")</f>
        <v/>
      </c>
      <c r="Q71" s="75" t="str">
        <f>IF(B71="","",IFERROR(N(INDEX(eq_cnt,MATCH(B71,eq_code,0))),""))</f>
        <v/>
      </c>
      <c r="R71" s="77" t="str">
        <f>IF(ISNUMBER(O71),O71-p_today,"")</f>
        <v/>
      </c>
      <c r="S71" s="78" t="str">
        <f>IF(AND(ISNUMBER(P71),N(Q71)&gt;0),P71-Q71,"")</f>
        <v/>
      </c>
      <c r="T71" s="76" t="str">
        <f>IF(AND(ISNUMBER(O71),ISNUMBER(X71)),MIN(O71,X71),IF(ISNUMBER(O71),O71,X71))</f>
        <v/>
      </c>
      <c r="U71" s="79" t="str">
        <f>IF(AND(A71="",B71="",D71=""),"",IF(L71="Non","Inactif",IF(AND(NOT(ISNUMBER(R71)),NOT(ISNUMBER(S71))),"À compléter",IF(OR(AND(ISNUMBER(R71),N(R71)&lt;0),AND(ISNUMBER(S71),N(S71)&lt;0)),"En retard",IF(OR(AND(ISNUMBER(R71),N(R71)&lt;=p_soon),AND(ISNUMBER(S71),N(S71)&lt;=p_soon_pct*N(G71))),"Bientôt","À jour")))))</f>
        <v/>
      </c>
      <c r="V71" s="79" t="str">
        <f>IF(AND(A71="",B71="",D71=""),"",IF(A71="","N° de plan manquant",IF(COUNTIF($A$6:$A$505,A71)&gt;1,"N° de plan en double",IF(B71="","Équipement manquant",IF(ISNA(MATCH(B71,eq_code,0)),"Équipement inconnu",IF(D71="","Tâche manquante",IF(E71="","Déclenchement manquant",IF(AND(E71&lt;&gt;"Calendrier",E71&lt;&gt;"Compteur",E71&lt;&gt;"Au premier des deux"),"Déclenchement inconnu",IF(AND(E71&lt;&gt;"Compteur",OR(NOT(ISNUMBER(F71)),N(F71)&lt;=0)),"Périodicité en jours manquante",IF(AND(E71&lt;&gt;"Calendrier",OR(NOT(ISNUMBER(G71)),N(G71)&lt;=0)),"Périodicité compteur manquante",IF(AND(J71&lt;&gt;"",OR(NOT(ISNUMBER(J71)),N(J71)&lt;=0)),"Date de réalisation invalide",IF(AND(K71&lt;&gt;"",OR(NOT(ISNUMBER(K71)),N(K71)&lt;0)),"Compteur de réalisation invalide",IF(AND(E71&lt;&gt;"Compteur",N(M71)=0,IFERROR(N(INDEX(eq_start,MATCH(B71,eq_code,0))),0)=0),"Date de départ manquante",IF(AND(E71&lt;&gt;"Calendrier",K71="",N(N71)=0),"Compteur de départ manquant",IF(AND(E71&lt;&gt;"Calendrier",N(Q71)=0),"Relevé compteur manquant (Équipements)",IF(AND(I71&lt;&gt;"",ISNA(MATCH(I71,tech_name,0))),"Technicien inconnu",IF(AND(L71&lt;&gt;"",L71&lt;&gt;"Oui",L71&lt;&gt;"Non"),"Actif : Oui ou Non","OK")))))))))))))))))</f>
        <v/>
      </c>
      <c r="W71" s="67">
        <f>IFERROR(N(INDEX(eq_use,MATCH(B71,eq_code,0))),0)</f>
        <v>0.0</v>
      </c>
      <c r="X71" s="67" t="str">
        <f>IF(AND(ISNUMBER(S71),W71&gt;0),p_today+MAX(0,ROUNDUP(S71*7/W71,0)),"")</f>
        <v/>
      </c>
      <c r="Y71" s="67" t="str">
        <f>IF(AND(ISNUMBER(T71),OR(U71="En retard",U71="Bientôt",U71="À jour")),IF(AND(ISNUMBER(O71),ISNUMBER(X71)),MIN(F71,G71*7/W71),IF(ISNUMBER(O71),F71,G71*7/W71)),"")</f>
        <v/>
      </c>
      <c r="Z71" s="67" t="str">
        <f>IF(OR(U71="En retard",U71="Bientôt"),IF(U71="En retard",0,1)*1000000000+IF(AB71="A",0,IF(AB71="B",1,IF(AB71="C",2,3)))*100000000+IF(ISNUMBER(T71),T71,p_today)*1000+ROW()-5,"")</f>
        <v/>
      </c>
      <c r="AA71" s="67" t="str">
        <f>IF(Z71="","",COUNTIF($Z$6:$Z$505,"&lt;"&amp;Z71)+1)</f>
        <v/>
      </c>
      <c r="AB71" s="67" t="str">
        <f>IFERROR(INDEX(eq_crit,MATCH(B71,eq_code,0))&amp;"","")</f>
        <v/>
      </c>
    </row>
    <row r="72">
      <c r="A72" s="65" t="n"/>
      <c r="B72" s="66" t="n"/>
      <c r="C72" s="67" t="str">
        <f>IF(B72="","",IFERROR(INDEX(eq_des,MATCH(B72,eq_code,0))&amp;"","Équipement inconnu"))</f>
        <v/>
      </c>
      <c r="D72" s="66" t="n"/>
      <c r="E72" s="68" t="n"/>
      <c r="F72" s="69" t="n"/>
      <c r="G72" s="70" t="n"/>
      <c r="H72" s="71" t="n"/>
      <c r="I72" s="66" t="n"/>
      <c r="J72" s="72" t="n"/>
      <c r="K72" s="73" t="n"/>
      <c r="L72" s="68" t="n"/>
      <c r="M72" s="74" t="str">
        <f>IF(AND(A72="",B72="",D72=""),"",MAX(N(J72),IF(A72="",0,SUMPRODUCT(MAX((in_plan=A72)*in_prev*in_dnum)))))</f>
        <v/>
      </c>
      <c r="N72" s="75" t="str">
        <f>IF(AND(A72="",B72="",D72=""),"",MAX(N(K72),IF(A72="",0,SUMPRODUCT(MAX((in_plan=A72)*in_prev*in_cnum)))))</f>
        <v/>
      </c>
      <c r="O72" s="76" t="str">
        <f>IF(AND(OR(E72="Calendrier",E72="Au premier des deux"),N(F72)&gt;0,IF(N(M72)&gt;0,M72,IFERROR(N(INDEX(eq_start,MATCH(B72,eq_code,0))),0))&gt;0),IF(N(M72)&gt;0,M72,IFERROR(N(INDEX(eq_start,MATCH(B72,eq_code,0))),0))+F72,"")</f>
        <v/>
      </c>
      <c r="P72" s="75" t="str">
        <f>IF(AND(OR(E72="Compteur",E72="Au premier des deux"),N(G72)&gt;0),N(N72)+G72,"")</f>
        <v/>
      </c>
      <c r="Q72" s="75" t="str">
        <f>IF(B72="","",IFERROR(N(INDEX(eq_cnt,MATCH(B72,eq_code,0))),""))</f>
        <v/>
      </c>
      <c r="R72" s="77" t="str">
        <f>IF(ISNUMBER(O72),O72-p_today,"")</f>
        <v/>
      </c>
      <c r="S72" s="78" t="str">
        <f>IF(AND(ISNUMBER(P72),N(Q72)&gt;0),P72-Q72,"")</f>
        <v/>
      </c>
      <c r="T72" s="76" t="str">
        <f>IF(AND(ISNUMBER(O72),ISNUMBER(X72)),MIN(O72,X72),IF(ISNUMBER(O72),O72,X72))</f>
        <v/>
      </c>
      <c r="U72" s="79" t="str">
        <f>IF(AND(A72="",B72="",D72=""),"",IF(L72="Non","Inactif",IF(AND(NOT(ISNUMBER(R72)),NOT(ISNUMBER(S72))),"À compléter",IF(OR(AND(ISNUMBER(R72),N(R72)&lt;0),AND(ISNUMBER(S72),N(S72)&lt;0)),"En retard",IF(OR(AND(ISNUMBER(R72),N(R72)&lt;=p_soon),AND(ISNUMBER(S72),N(S72)&lt;=p_soon_pct*N(G72))),"Bientôt","À jour")))))</f>
        <v/>
      </c>
      <c r="V72" s="79" t="str">
        <f>IF(AND(A72="",B72="",D72=""),"",IF(A72="","N° de plan manquant",IF(COUNTIF($A$6:$A$505,A72)&gt;1,"N° de plan en double",IF(B72="","Équipement manquant",IF(ISNA(MATCH(B72,eq_code,0)),"Équipement inconnu",IF(D72="","Tâche manquante",IF(E72="","Déclenchement manquant",IF(AND(E72&lt;&gt;"Calendrier",E72&lt;&gt;"Compteur",E72&lt;&gt;"Au premier des deux"),"Déclenchement inconnu",IF(AND(E72&lt;&gt;"Compteur",OR(NOT(ISNUMBER(F72)),N(F72)&lt;=0)),"Périodicité en jours manquante",IF(AND(E72&lt;&gt;"Calendrier",OR(NOT(ISNUMBER(G72)),N(G72)&lt;=0)),"Périodicité compteur manquante",IF(AND(J72&lt;&gt;"",OR(NOT(ISNUMBER(J72)),N(J72)&lt;=0)),"Date de réalisation invalide",IF(AND(K72&lt;&gt;"",OR(NOT(ISNUMBER(K72)),N(K72)&lt;0)),"Compteur de réalisation invalide",IF(AND(E72&lt;&gt;"Compteur",N(M72)=0,IFERROR(N(INDEX(eq_start,MATCH(B72,eq_code,0))),0)=0),"Date de départ manquante",IF(AND(E72&lt;&gt;"Calendrier",K72="",N(N72)=0),"Compteur de départ manquant",IF(AND(E72&lt;&gt;"Calendrier",N(Q72)=0),"Relevé compteur manquant (Équipements)",IF(AND(I72&lt;&gt;"",ISNA(MATCH(I72,tech_name,0))),"Technicien inconnu",IF(AND(L72&lt;&gt;"",L72&lt;&gt;"Oui",L72&lt;&gt;"Non"),"Actif : Oui ou Non","OK")))))))))))))))))</f>
        <v/>
      </c>
      <c r="W72" s="67">
        <f>IFERROR(N(INDEX(eq_use,MATCH(B72,eq_code,0))),0)</f>
        <v>0.0</v>
      </c>
      <c r="X72" s="67" t="str">
        <f>IF(AND(ISNUMBER(S72),W72&gt;0),p_today+MAX(0,ROUNDUP(S72*7/W72,0)),"")</f>
        <v/>
      </c>
      <c r="Y72" s="67" t="str">
        <f>IF(AND(ISNUMBER(T72),OR(U72="En retard",U72="Bientôt",U72="À jour")),IF(AND(ISNUMBER(O72),ISNUMBER(X72)),MIN(F72,G72*7/W72),IF(ISNUMBER(O72),F72,G72*7/W72)),"")</f>
        <v/>
      </c>
      <c r="Z72" s="67" t="str">
        <f>IF(OR(U72="En retard",U72="Bientôt"),IF(U72="En retard",0,1)*1000000000+IF(AB72="A",0,IF(AB72="B",1,IF(AB72="C",2,3)))*100000000+IF(ISNUMBER(T72),T72,p_today)*1000+ROW()-5,"")</f>
        <v/>
      </c>
      <c r="AA72" s="67" t="str">
        <f>IF(Z72="","",COUNTIF($Z$6:$Z$505,"&lt;"&amp;Z72)+1)</f>
        <v/>
      </c>
      <c r="AB72" s="67" t="str">
        <f>IFERROR(INDEX(eq_crit,MATCH(B72,eq_code,0))&amp;"","")</f>
        <v/>
      </c>
    </row>
    <row r="73">
      <c r="A73" s="65" t="n"/>
      <c r="B73" s="66" t="n"/>
      <c r="C73" s="67" t="str">
        <f>IF(B73="","",IFERROR(INDEX(eq_des,MATCH(B73,eq_code,0))&amp;"","Équipement inconnu"))</f>
        <v/>
      </c>
      <c r="D73" s="66" t="n"/>
      <c r="E73" s="68" t="n"/>
      <c r="F73" s="69" t="n"/>
      <c r="G73" s="70" t="n"/>
      <c r="H73" s="71" t="n"/>
      <c r="I73" s="66" t="n"/>
      <c r="J73" s="72" t="n"/>
      <c r="K73" s="73" t="n"/>
      <c r="L73" s="68" t="n"/>
      <c r="M73" s="74" t="str">
        <f>IF(AND(A73="",B73="",D73=""),"",MAX(N(J73),IF(A73="",0,SUMPRODUCT(MAX((in_plan=A73)*in_prev*in_dnum)))))</f>
        <v/>
      </c>
      <c r="N73" s="75" t="str">
        <f>IF(AND(A73="",B73="",D73=""),"",MAX(N(K73),IF(A73="",0,SUMPRODUCT(MAX((in_plan=A73)*in_prev*in_cnum)))))</f>
        <v/>
      </c>
      <c r="O73" s="76" t="str">
        <f>IF(AND(OR(E73="Calendrier",E73="Au premier des deux"),N(F73)&gt;0,IF(N(M73)&gt;0,M73,IFERROR(N(INDEX(eq_start,MATCH(B73,eq_code,0))),0))&gt;0),IF(N(M73)&gt;0,M73,IFERROR(N(INDEX(eq_start,MATCH(B73,eq_code,0))),0))+F73,"")</f>
        <v/>
      </c>
      <c r="P73" s="75" t="str">
        <f>IF(AND(OR(E73="Compteur",E73="Au premier des deux"),N(G73)&gt;0),N(N73)+G73,"")</f>
        <v/>
      </c>
      <c r="Q73" s="75" t="str">
        <f>IF(B73="","",IFERROR(N(INDEX(eq_cnt,MATCH(B73,eq_code,0))),""))</f>
        <v/>
      </c>
      <c r="R73" s="77" t="str">
        <f>IF(ISNUMBER(O73),O73-p_today,"")</f>
        <v/>
      </c>
      <c r="S73" s="78" t="str">
        <f>IF(AND(ISNUMBER(P73),N(Q73)&gt;0),P73-Q73,"")</f>
        <v/>
      </c>
      <c r="T73" s="76" t="str">
        <f>IF(AND(ISNUMBER(O73),ISNUMBER(X73)),MIN(O73,X73),IF(ISNUMBER(O73),O73,X73))</f>
        <v/>
      </c>
      <c r="U73" s="79" t="str">
        <f>IF(AND(A73="",B73="",D73=""),"",IF(L73="Non","Inactif",IF(AND(NOT(ISNUMBER(R73)),NOT(ISNUMBER(S73))),"À compléter",IF(OR(AND(ISNUMBER(R73),N(R73)&lt;0),AND(ISNUMBER(S73),N(S73)&lt;0)),"En retard",IF(OR(AND(ISNUMBER(R73),N(R73)&lt;=p_soon),AND(ISNUMBER(S73),N(S73)&lt;=p_soon_pct*N(G73))),"Bientôt","À jour")))))</f>
        <v/>
      </c>
      <c r="V73" s="79" t="str">
        <f>IF(AND(A73="",B73="",D73=""),"",IF(A73="","N° de plan manquant",IF(COUNTIF($A$6:$A$505,A73)&gt;1,"N° de plan en double",IF(B73="","Équipement manquant",IF(ISNA(MATCH(B73,eq_code,0)),"Équipement inconnu",IF(D73="","Tâche manquante",IF(E73="","Déclenchement manquant",IF(AND(E73&lt;&gt;"Calendrier",E73&lt;&gt;"Compteur",E73&lt;&gt;"Au premier des deux"),"Déclenchement inconnu",IF(AND(E73&lt;&gt;"Compteur",OR(NOT(ISNUMBER(F73)),N(F73)&lt;=0)),"Périodicité en jours manquante",IF(AND(E73&lt;&gt;"Calendrier",OR(NOT(ISNUMBER(G73)),N(G73)&lt;=0)),"Périodicité compteur manquante",IF(AND(J73&lt;&gt;"",OR(NOT(ISNUMBER(J73)),N(J73)&lt;=0)),"Date de réalisation invalide",IF(AND(K73&lt;&gt;"",OR(NOT(ISNUMBER(K73)),N(K73)&lt;0)),"Compteur de réalisation invalide",IF(AND(E73&lt;&gt;"Compteur",N(M73)=0,IFERROR(N(INDEX(eq_start,MATCH(B73,eq_code,0))),0)=0),"Date de départ manquante",IF(AND(E73&lt;&gt;"Calendrier",K73="",N(N73)=0),"Compteur de départ manquant",IF(AND(E73&lt;&gt;"Calendrier",N(Q73)=0),"Relevé compteur manquant (Équipements)",IF(AND(I73&lt;&gt;"",ISNA(MATCH(I73,tech_name,0))),"Technicien inconnu",IF(AND(L73&lt;&gt;"",L73&lt;&gt;"Oui",L73&lt;&gt;"Non"),"Actif : Oui ou Non","OK")))))))))))))))))</f>
        <v/>
      </c>
      <c r="W73" s="67">
        <f>IFERROR(N(INDEX(eq_use,MATCH(B73,eq_code,0))),0)</f>
        <v>0.0</v>
      </c>
      <c r="X73" s="67" t="str">
        <f>IF(AND(ISNUMBER(S73),W73&gt;0),p_today+MAX(0,ROUNDUP(S73*7/W73,0)),"")</f>
        <v/>
      </c>
      <c r="Y73" s="67" t="str">
        <f>IF(AND(ISNUMBER(T73),OR(U73="En retard",U73="Bientôt",U73="À jour")),IF(AND(ISNUMBER(O73),ISNUMBER(X73)),MIN(F73,G73*7/W73),IF(ISNUMBER(O73),F73,G73*7/W73)),"")</f>
        <v/>
      </c>
      <c r="Z73" s="67" t="str">
        <f>IF(OR(U73="En retard",U73="Bientôt"),IF(U73="En retard",0,1)*1000000000+IF(AB73="A",0,IF(AB73="B",1,IF(AB73="C",2,3)))*100000000+IF(ISNUMBER(T73),T73,p_today)*1000+ROW()-5,"")</f>
        <v/>
      </c>
      <c r="AA73" s="67" t="str">
        <f>IF(Z73="","",COUNTIF($Z$6:$Z$505,"&lt;"&amp;Z73)+1)</f>
        <v/>
      </c>
      <c r="AB73" s="67" t="str">
        <f>IFERROR(INDEX(eq_crit,MATCH(B73,eq_code,0))&amp;"","")</f>
        <v/>
      </c>
    </row>
    <row r="74">
      <c r="A74" s="65" t="n"/>
      <c r="B74" s="66" t="n"/>
      <c r="C74" s="67" t="str">
        <f>IF(B74="","",IFERROR(INDEX(eq_des,MATCH(B74,eq_code,0))&amp;"","Équipement inconnu"))</f>
        <v/>
      </c>
      <c r="D74" s="66" t="n"/>
      <c r="E74" s="68" t="n"/>
      <c r="F74" s="69" t="n"/>
      <c r="G74" s="70" t="n"/>
      <c r="H74" s="71" t="n"/>
      <c r="I74" s="66" t="n"/>
      <c r="J74" s="72" t="n"/>
      <c r="K74" s="73" t="n"/>
      <c r="L74" s="68" t="n"/>
      <c r="M74" s="74" t="str">
        <f>IF(AND(A74="",B74="",D74=""),"",MAX(N(J74),IF(A74="",0,SUMPRODUCT(MAX((in_plan=A74)*in_prev*in_dnum)))))</f>
        <v/>
      </c>
      <c r="N74" s="75" t="str">
        <f>IF(AND(A74="",B74="",D74=""),"",MAX(N(K74),IF(A74="",0,SUMPRODUCT(MAX((in_plan=A74)*in_prev*in_cnum)))))</f>
        <v/>
      </c>
      <c r="O74" s="76" t="str">
        <f>IF(AND(OR(E74="Calendrier",E74="Au premier des deux"),N(F74)&gt;0,IF(N(M74)&gt;0,M74,IFERROR(N(INDEX(eq_start,MATCH(B74,eq_code,0))),0))&gt;0),IF(N(M74)&gt;0,M74,IFERROR(N(INDEX(eq_start,MATCH(B74,eq_code,0))),0))+F74,"")</f>
        <v/>
      </c>
      <c r="P74" s="75" t="str">
        <f>IF(AND(OR(E74="Compteur",E74="Au premier des deux"),N(G74)&gt;0),N(N74)+G74,"")</f>
        <v/>
      </c>
      <c r="Q74" s="75" t="str">
        <f>IF(B74="","",IFERROR(N(INDEX(eq_cnt,MATCH(B74,eq_code,0))),""))</f>
        <v/>
      </c>
      <c r="R74" s="77" t="str">
        <f>IF(ISNUMBER(O74),O74-p_today,"")</f>
        <v/>
      </c>
      <c r="S74" s="78" t="str">
        <f>IF(AND(ISNUMBER(P74),N(Q74)&gt;0),P74-Q74,"")</f>
        <v/>
      </c>
      <c r="T74" s="76" t="str">
        <f>IF(AND(ISNUMBER(O74),ISNUMBER(X74)),MIN(O74,X74),IF(ISNUMBER(O74),O74,X74))</f>
        <v/>
      </c>
      <c r="U74" s="79" t="str">
        <f>IF(AND(A74="",B74="",D74=""),"",IF(L74="Non","Inactif",IF(AND(NOT(ISNUMBER(R74)),NOT(ISNUMBER(S74))),"À compléter",IF(OR(AND(ISNUMBER(R74),N(R74)&lt;0),AND(ISNUMBER(S74),N(S74)&lt;0)),"En retard",IF(OR(AND(ISNUMBER(R74),N(R74)&lt;=p_soon),AND(ISNUMBER(S74),N(S74)&lt;=p_soon_pct*N(G74))),"Bientôt","À jour")))))</f>
        <v/>
      </c>
      <c r="V74" s="79" t="str">
        <f>IF(AND(A74="",B74="",D74=""),"",IF(A74="","N° de plan manquant",IF(COUNTIF($A$6:$A$505,A74)&gt;1,"N° de plan en double",IF(B74="","Équipement manquant",IF(ISNA(MATCH(B74,eq_code,0)),"Équipement inconnu",IF(D74="","Tâche manquante",IF(E74="","Déclenchement manquant",IF(AND(E74&lt;&gt;"Calendrier",E74&lt;&gt;"Compteur",E74&lt;&gt;"Au premier des deux"),"Déclenchement inconnu",IF(AND(E74&lt;&gt;"Compteur",OR(NOT(ISNUMBER(F74)),N(F74)&lt;=0)),"Périodicité en jours manquante",IF(AND(E74&lt;&gt;"Calendrier",OR(NOT(ISNUMBER(G74)),N(G74)&lt;=0)),"Périodicité compteur manquante",IF(AND(J74&lt;&gt;"",OR(NOT(ISNUMBER(J74)),N(J74)&lt;=0)),"Date de réalisation invalide",IF(AND(K74&lt;&gt;"",OR(NOT(ISNUMBER(K74)),N(K74)&lt;0)),"Compteur de réalisation invalide",IF(AND(E74&lt;&gt;"Compteur",N(M74)=0,IFERROR(N(INDEX(eq_start,MATCH(B74,eq_code,0))),0)=0),"Date de départ manquante",IF(AND(E74&lt;&gt;"Calendrier",K74="",N(N74)=0),"Compteur de départ manquant",IF(AND(E74&lt;&gt;"Calendrier",N(Q74)=0),"Relevé compteur manquant (Équipements)",IF(AND(I74&lt;&gt;"",ISNA(MATCH(I74,tech_name,0))),"Technicien inconnu",IF(AND(L74&lt;&gt;"",L74&lt;&gt;"Oui",L74&lt;&gt;"Non"),"Actif : Oui ou Non","OK")))))))))))))))))</f>
        <v/>
      </c>
      <c r="W74" s="67">
        <f>IFERROR(N(INDEX(eq_use,MATCH(B74,eq_code,0))),0)</f>
        <v>0.0</v>
      </c>
      <c r="X74" s="67" t="str">
        <f>IF(AND(ISNUMBER(S74),W74&gt;0),p_today+MAX(0,ROUNDUP(S74*7/W74,0)),"")</f>
        <v/>
      </c>
      <c r="Y74" s="67" t="str">
        <f>IF(AND(ISNUMBER(T74),OR(U74="En retard",U74="Bientôt",U74="À jour")),IF(AND(ISNUMBER(O74),ISNUMBER(X74)),MIN(F74,G74*7/W74),IF(ISNUMBER(O74),F74,G74*7/W74)),"")</f>
        <v/>
      </c>
      <c r="Z74" s="67" t="str">
        <f>IF(OR(U74="En retard",U74="Bientôt"),IF(U74="En retard",0,1)*1000000000+IF(AB74="A",0,IF(AB74="B",1,IF(AB74="C",2,3)))*100000000+IF(ISNUMBER(T74),T74,p_today)*1000+ROW()-5,"")</f>
        <v/>
      </c>
      <c r="AA74" s="67" t="str">
        <f>IF(Z74="","",COUNTIF($Z$6:$Z$505,"&lt;"&amp;Z74)+1)</f>
        <v/>
      </c>
      <c r="AB74" s="67" t="str">
        <f>IFERROR(INDEX(eq_crit,MATCH(B74,eq_code,0))&amp;"","")</f>
        <v/>
      </c>
    </row>
    <row r="75">
      <c r="A75" s="65" t="n"/>
      <c r="B75" s="66" t="n"/>
      <c r="C75" s="67" t="str">
        <f>IF(B75="","",IFERROR(INDEX(eq_des,MATCH(B75,eq_code,0))&amp;"","Équipement inconnu"))</f>
        <v/>
      </c>
      <c r="D75" s="66" t="n"/>
      <c r="E75" s="68" t="n"/>
      <c r="F75" s="69" t="n"/>
      <c r="G75" s="70" t="n"/>
      <c r="H75" s="71" t="n"/>
      <c r="I75" s="66" t="n"/>
      <c r="J75" s="72" t="n"/>
      <c r="K75" s="73" t="n"/>
      <c r="L75" s="68" t="n"/>
      <c r="M75" s="74" t="str">
        <f>IF(AND(A75="",B75="",D75=""),"",MAX(N(J75),IF(A75="",0,SUMPRODUCT(MAX((in_plan=A75)*in_prev*in_dnum)))))</f>
        <v/>
      </c>
      <c r="N75" s="75" t="str">
        <f>IF(AND(A75="",B75="",D75=""),"",MAX(N(K75),IF(A75="",0,SUMPRODUCT(MAX((in_plan=A75)*in_prev*in_cnum)))))</f>
        <v/>
      </c>
      <c r="O75" s="76" t="str">
        <f>IF(AND(OR(E75="Calendrier",E75="Au premier des deux"),N(F75)&gt;0,IF(N(M75)&gt;0,M75,IFERROR(N(INDEX(eq_start,MATCH(B75,eq_code,0))),0))&gt;0),IF(N(M75)&gt;0,M75,IFERROR(N(INDEX(eq_start,MATCH(B75,eq_code,0))),0))+F75,"")</f>
        <v/>
      </c>
      <c r="P75" s="75" t="str">
        <f>IF(AND(OR(E75="Compteur",E75="Au premier des deux"),N(G75)&gt;0),N(N75)+G75,"")</f>
        <v/>
      </c>
      <c r="Q75" s="75" t="str">
        <f>IF(B75="","",IFERROR(N(INDEX(eq_cnt,MATCH(B75,eq_code,0))),""))</f>
        <v/>
      </c>
      <c r="R75" s="77" t="str">
        <f>IF(ISNUMBER(O75),O75-p_today,"")</f>
        <v/>
      </c>
      <c r="S75" s="78" t="str">
        <f>IF(AND(ISNUMBER(P75),N(Q75)&gt;0),P75-Q75,"")</f>
        <v/>
      </c>
      <c r="T75" s="76" t="str">
        <f>IF(AND(ISNUMBER(O75),ISNUMBER(X75)),MIN(O75,X75),IF(ISNUMBER(O75),O75,X75))</f>
        <v/>
      </c>
      <c r="U75" s="79" t="str">
        <f>IF(AND(A75="",B75="",D75=""),"",IF(L75="Non","Inactif",IF(AND(NOT(ISNUMBER(R75)),NOT(ISNUMBER(S75))),"À compléter",IF(OR(AND(ISNUMBER(R75),N(R75)&lt;0),AND(ISNUMBER(S75),N(S75)&lt;0)),"En retard",IF(OR(AND(ISNUMBER(R75),N(R75)&lt;=p_soon),AND(ISNUMBER(S75),N(S75)&lt;=p_soon_pct*N(G75))),"Bientôt","À jour")))))</f>
        <v/>
      </c>
      <c r="V75" s="79" t="str">
        <f>IF(AND(A75="",B75="",D75=""),"",IF(A75="","N° de plan manquant",IF(COUNTIF($A$6:$A$505,A75)&gt;1,"N° de plan en double",IF(B75="","Équipement manquant",IF(ISNA(MATCH(B75,eq_code,0)),"Équipement inconnu",IF(D75="","Tâche manquante",IF(E75="","Déclenchement manquant",IF(AND(E75&lt;&gt;"Calendrier",E75&lt;&gt;"Compteur",E75&lt;&gt;"Au premier des deux"),"Déclenchement inconnu",IF(AND(E75&lt;&gt;"Compteur",OR(NOT(ISNUMBER(F75)),N(F75)&lt;=0)),"Périodicité en jours manquante",IF(AND(E75&lt;&gt;"Calendrier",OR(NOT(ISNUMBER(G75)),N(G75)&lt;=0)),"Périodicité compteur manquante",IF(AND(J75&lt;&gt;"",OR(NOT(ISNUMBER(J75)),N(J75)&lt;=0)),"Date de réalisation invalide",IF(AND(K75&lt;&gt;"",OR(NOT(ISNUMBER(K75)),N(K75)&lt;0)),"Compteur de réalisation invalide",IF(AND(E75&lt;&gt;"Compteur",N(M75)=0,IFERROR(N(INDEX(eq_start,MATCH(B75,eq_code,0))),0)=0),"Date de départ manquante",IF(AND(E75&lt;&gt;"Calendrier",K75="",N(N75)=0),"Compteur de départ manquant",IF(AND(E75&lt;&gt;"Calendrier",N(Q75)=0),"Relevé compteur manquant (Équipements)",IF(AND(I75&lt;&gt;"",ISNA(MATCH(I75,tech_name,0))),"Technicien inconnu",IF(AND(L75&lt;&gt;"",L75&lt;&gt;"Oui",L75&lt;&gt;"Non"),"Actif : Oui ou Non","OK")))))))))))))))))</f>
        <v/>
      </c>
      <c r="W75" s="67">
        <f>IFERROR(N(INDEX(eq_use,MATCH(B75,eq_code,0))),0)</f>
        <v>0.0</v>
      </c>
      <c r="X75" s="67" t="str">
        <f>IF(AND(ISNUMBER(S75),W75&gt;0),p_today+MAX(0,ROUNDUP(S75*7/W75,0)),"")</f>
        <v/>
      </c>
      <c r="Y75" s="67" t="str">
        <f>IF(AND(ISNUMBER(T75),OR(U75="En retard",U75="Bientôt",U75="À jour")),IF(AND(ISNUMBER(O75),ISNUMBER(X75)),MIN(F75,G75*7/W75),IF(ISNUMBER(O75),F75,G75*7/W75)),"")</f>
        <v/>
      </c>
      <c r="Z75" s="67" t="str">
        <f>IF(OR(U75="En retard",U75="Bientôt"),IF(U75="En retard",0,1)*1000000000+IF(AB75="A",0,IF(AB75="B",1,IF(AB75="C",2,3)))*100000000+IF(ISNUMBER(T75),T75,p_today)*1000+ROW()-5,"")</f>
        <v/>
      </c>
      <c r="AA75" s="67" t="str">
        <f>IF(Z75="","",COUNTIF($Z$6:$Z$505,"&lt;"&amp;Z75)+1)</f>
        <v/>
      </c>
      <c r="AB75" s="67" t="str">
        <f>IFERROR(INDEX(eq_crit,MATCH(B75,eq_code,0))&amp;"","")</f>
        <v/>
      </c>
    </row>
    <row r="76">
      <c r="A76" s="65" t="n"/>
      <c r="B76" s="66" t="n"/>
      <c r="C76" s="67" t="str">
        <f>IF(B76="","",IFERROR(INDEX(eq_des,MATCH(B76,eq_code,0))&amp;"","Équipement inconnu"))</f>
        <v/>
      </c>
      <c r="D76" s="66" t="n"/>
      <c r="E76" s="68" t="n"/>
      <c r="F76" s="69" t="n"/>
      <c r="G76" s="70" t="n"/>
      <c r="H76" s="71" t="n"/>
      <c r="I76" s="66" t="n"/>
      <c r="J76" s="72" t="n"/>
      <c r="K76" s="73" t="n"/>
      <c r="L76" s="68" t="n"/>
      <c r="M76" s="74" t="str">
        <f>IF(AND(A76="",B76="",D76=""),"",MAX(N(J76),IF(A76="",0,SUMPRODUCT(MAX((in_plan=A76)*in_prev*in_dnum)))))</f>
        <v/>
      </c>
      <c r="N76" s="75" t="str">
        <f>IF(AND(A76="",B76="",D76=""),"",MAX(N(K76),IF(A76="",0,SUMPRODUCT(MAX((in_plan=A76)*in_prev*in_cnum)))))</f>
        <v/>
      </c>
      <c r="O76" s="76" t="str">
        <f>IF(AND(OR(E76="Calendrier",E76="Au premier des deux"),N(F76)&gt;0,IF(N(M76)&gt;0,M76,IFERROR(N(INDEX(eq_start,MATCH(B76,eq_code,0))),0))&gt;0),IF(N(M76)&gt;0,M76,IFERROR(N(INDEX(eq_start,MATCH(B76,eq_code,0))),0))+F76,"")</f>
        <v/>
      </c>
      <c r="P76" s="75" t="str">
        <f>IF(AND(OR(E76="Compteur",E76="Au premier des deux"),N(G76)&gt;0),N(N76)+G76,"")</f>
        <v/>
      </c>
      <c r="Q76" s="75" t="str">
        <f>IF(B76="","",IFERROR(N(INDEX(eq_cnt,MATCH(B76,eq_code,0))),""))</f>
        <v/>
      </c>
      <c r="R76" s="77" t="str">
        <f>IF(ISNUMBER(O76),O76-p_today,"")</f>
        <v/>
      </c>
      <c r="S76" s="78" t="str">
        <f>IF(AND(ISNUMBER(P76),N(Q76)&gt;0),P76-Q76,"")</f>
        <v/>
      </c>
      <c r="T76" s="76" t="str">
        <f>IF(AND(ISNUMBER(O76),ISNUMBER(X76)),MIN(O76,X76),IF(ISNUMBER(O76),O76,X76))</f>
        <v/>
      </c>
      <c r="U76" s="79" t="str">
        <f>IF(AND(A76="",B76="",D76=""),"",IF(L76="Non","Inactif",IF(AND(NOT(ISNUMBER(R76)),NOT(ISNUMBER(S76))),"À compléter",IF(OR(AND(ISNUMBER(R76),N(R76)&lt;0),AND(ISNUMBER(S76),N(S76)&lt;0)),"En retard",IF(OR(AND(ISNUMBER(R76),N(R76)&lt;=p_soon),AND(ISNUMBER(S76),N(S76)&lt;=p_soon_pct*N(G76))),"Bientôt","À jour")))))</f>
        <v/>
      </c>
      <c r="V76" s="79" t="str">
        <f>IF(AND(A76="",B76="",D76=""),"",IF(A76="","N° de plan manquant",IF(COUNTIF($A$6:$A$505,A76)&gt;1,"N° de plan en double",IF(B76="","Équipement manquant",IF(ISNA(MATCH(B76,eq_code,0)),"Équipement inconnu",IF(D76="","Tâche manquante",IF(E76="","Déclenchement manquant",IF(AND(E76&lt;&gt;"Calendrier",E76&lt;&gt;"Compteur",E76&lt;&gt;"Au premier des deux"),"Déclenchement inconnu",IF(AND(E76&lt;&gt;"Compteur",OR(NOT(ISNUMBER(F76)),N(F76)&lt;=0)),"Périodicité en jours manquante",IF(AND(E76&lt;&gt;"Calendrier",OR(NOT(ISNUMBER(G76)),N(G76)&lt;=0)),"Périodicité compteur manquante",IF(AND(J76&lt;&gt;"",OR(NOT(ISNUMBER(J76)),N(J76)&lt;=0)),"Date de réalisation invalide",IF(AND(K76&lt;&gt;"",OR(NOT(ISNUMBER(K76)),N(K76)&lt;0)),"Compteur de réalisation invalide",IF(AND(E76&lt;&gt;"Compteur",N(M76)=0,IFERROR(N(INDEX(eq_start,MATCH(B76,eq_code,0))),0)=0),"Date de départ manquante",IF(AND(E76&lt;&gt;"Calendrier",K76="",N(N76)=0),"Compteur de départ manquant",IF(AND(E76&lt;&gt;"Calendrier",N(Q76)=0),"Relevé compteur manquant (Équipements)",IF(AND(I76&lt;&gt;"",ISNA(MATCH(I76,tech_name,0))),"Technicien inconnu",IF(AND(L76&lt;&gt;"",L76&lt;&gt;"Oui",L76&lt;&gt;"Non"),"Actif : Oui ou Non","OK")))))))))))))))))</f>
        <v/>
      </c>
      <c r="W76" s="67">
        <f>IFERROR(N(INDEX(eq_use,MATCH(B76,eq_code,0))),0)</f>
        <v>0.0</v>
      </c>
      <c r="X76" s="67" t="str">
        <f>IF(AND(ISNUMBER(S76),W76&gt;0),p_today+MAX(0,ROUNDUP(S76*7/W76,0)),"")</f>
        <v/>
      </c>
      <c r="Y76" s="67" t="str">
        <f>IF(AND(ISNUMBER(T76),OR(U76="En retard",U76="Bientôt",U76="À jour")),IF(AND(ISNUMBER(O76),ISNUMBER(X76)),MIN(F76,G76*7/W76),IF(ISNUMBER(O76),F76,G76*7/W76)),"")</f>
        <v/>
      </c>
      <c r="Z76" s="67" t="str">
        <f>IF(OR(U76="En retard",U76="Bientôt"),IF(U76="En retard",0,1)*1000000000+IF(AB76="A",0,IF(AB76="B",1,IF(AB76="C",2,3)))*100000000+IF(ISNUMBER(T76),T76,p_today)*1000+ROW()-5,"")</f>
        <v/>
      </c>
      <c r="AA76" s="67" t="str">
        <f>IF(Z76="","",COUNTIF($Z$6:$Z$505,"&lt;"&amp;Z76)+1)</f>
        <v/>
      </c>
      <c r="AB76" s="67" t="str">
        <f>IFERROR(INDEX(eq_crit,MATCH(B76,eq_code,0))&amp;"","")</f>
        <v/>
      </c>
    </row>
    <row r="77">
      <c r="A77" s="65" t="n"/>
      <c r="B77" s="66" t="n"/>
      <c r="C77" s="67" t="str">
        <f>IF(B77="","",IFERROR(INDEX(eq_des,MATCH(B77,eq_code,0))&amp;"","Équipement inconnu"))</f>
        <v/>
      </c>
      <c r="D77" s="66" t="n"/>
      <c r="E77" s="68" t="n"/>
      <c r="F77" s="69" t="n"/>
      <c r="G77" s="70" t="n"/>
      <c r="H77" s="71" t="n"/>
      <c r="I77" s="66" t="n"/>
      <c r="J77" s="72" t="n"/>
      <c r="K77" s="73" t="n"/>
      <c r="L77" s="68" t="n"/>
      <c r="M77" s="74" t="str">
        <f>IF(AND(A77="",B77="",D77=""),"",MAX(N(J77),IF(A77="",0,SUMPRODUCT(MAX((in_plan=A77)*in_prev*in_dnum)))))</f>
        <v/>
      </c>
      <c r="N77" s="75" t="str">
        <f>IF(AND(A77="",B77="",D77=""),"",MAX(N(K77),IF(A77="",0,SUMPRODUCT(MAX((in_plan=A77)*in_prev*in_cnum)))))</f>
        <v/>
      </c>
      <c r="O77" s="76" t="str">
        <f>IF(AND(OR(E77="Calendrier",E77="Au premier des deux"),N(F77)&gt;0,IF(N(M77)&gt;0,M77,IFERROR(N(INDEX(eq_start,MATCH(B77,eq_code,0))),0))&gt;0),IF(N(M77)&gt;0,M77,IFERROR(N(INDEX(eq_start,MATCH(B77,eq_code,0))),0))+F77,"")</f>
        <v/>
      </c>
      <c r="P77" s="75" t="str">
        <f>IF(AND(OR(E77="Compteur",E77="Au premier des deux"),N(G77)&gt;0),N(N77)+G77,"")</f>
        <v/>
      </c>
      <c r="Q77" s="75" t="str">
        <f>IF(B77="","",IFERROR(N(INDEX(eq_cnt,MATCH(B77,eq_code,0))),""))</f>
        <v/>
      </c>
      <c r="R77" s="77" t="str">
        <f>IF(ISNUMBER(O77),O77-p_today,"")</f>
        <v/>
      </c>
      <c r="S77" s="78" t="str">
        <f>IF(AND(ISNUMBER(P77),N(Q77)&gt;0),P77-Q77,"")</f>
        <v/>
      </c>
      <c r="T77" s="76" t="str">
        <f>IF(AND(ISNUMBER(O77),ISNUMBER(X77)),MIN(O77,X77),IF(ISNUMBER(O77),O77,X77))</f>
        <v/>
      </c>
      <c r="U77" s="79" t="str">
        <f>IF(AND(A77="",B77="",D77=""),"",IF(L77="Non","Inactif",IF(AND(NOT(ISNUMBER(R77)),NOT(ISNUMBER(S77))),"À compléter",IF(OR(AND(ISNUMBER(R77),N(R77)&lt;0),AND(ISNUMBER(S77),N(S77)&lt;0)),"En retard",IF(OR(AND(ISNUMBER(R77),N(R77)&lt;=p_soon),AND(ISNUMBER(S77),N(S77)&lt;=p_soon_pct*N(G77))),"Bientôt","À jour")))))</f>
        <v/>
      </c>
      <c r="V77" s="79" t="str">
        <f>IF(AND(A77="",B77="",D77=""),"",IF(A77="","N° de plan manquant",IF(COUNTIF($A$6:$A$505,A77)&gt;1,"N° de plan en double",IF(B77="","Équipement manquant",IF(ISNA(MATCH(B77,eq_code,0)),"Équipement inconnu",IF(D77="","Tâche manquante",IF(E77="","Déclenchement manquant",IF(AND(E77&lt;&gt;"Calendrier",E77&lt;&gt;"Compteur",E77&lt;&gt;"Au premier des deux"),"Déclenchement inconnu",IF(AND(E77&lt;&gt;"Compteur",OR(NOT(ISNUMBER(F77)),N(F77)&lt;=0)),"Périodicité en jours manquante",IF(AND(E77&lt;&gt;"Calendrier",OR(NOT(ISNUMBER(G77)),N(G77)&lt;=0)),"Périodicité compteur manquante",IF(AND(J77&lt;&gt;"",OR(NOT(ISNUMBER(J77)),N(J77)&lt;=0)),"Date de réalisation invalide",IF(AND(K77&lt;&gt;"",OR(NOT(ISNUMBER(K77)),N(K77)&lt;0)),"Compteur de réalisation invalide",IF(AND(E77&lt;&gt;"Compteur",N(M77)=0,IFERROR(N(INDEX(eq_start,MATCH(B77,eq_code,0))),0)=0),"Date de départ manquante",IF(AND(E77&lt;&gt;"Calendrier",K77="",N(N77)=0),"Compteur de départ manquant",IF(AND(E77&lt;&gt;"Calendrier",N(Q77)=0),"Relevé compteur manquant (Équipements)",IF(AND(I77&lt;&gt;"",ISNA(MATCH(I77,tech_name,0))),"Technicien inconnu",IF(AND(L77&lt;&gt;"",L77&lt;&gt;"Oui",L77&lt;&gt;"Non"),"Actif : Oui ou Non","OK")))))))))))))))))</f>
        <v/>
      </c>
      <c r="W77" s="67">
        <f>IFERROR(N(INDEX(eq_use,MATCH(B77,eq_code,0))),0)</f>
        <v>0.0</v>
      </c>
      <c r="X77" s="67" t="str">
        <f>IF(AND(ISNUMBER(S77),W77&gt;0),p_today+MAX(0,ROUNDUP(S77*7/W77,0)),"")</f>
        <v/>
      </c>
      <c r="Y77" s="67" t="str">
        <f>IF(AND(ISNUMBER(T77),OR(U77="En retard",U77="Bientôt",U77="À jour")),IF(AND(ISNUMBER(O77),ISNUMBER(X77)),MIN(F77,G77*7/W77),IF(ISNUMBER(O77),F77,G77*7/W77)),"")</f>
        <v/>
      </c>
      <c r="Z77" s="67" t="str">
        <f>IF(OR(U77="En retard",U77="Bientôt"),IF(U77="En retard",0,1)*1000000000+IF(AB77="A",0,IF(AB77="B",1,IF(AB77="C",2,3)))*100000000+IF(ISNUMBER(T77),T77,p_today)*1000+ROW()-5,"")</f>
        <v/>
      </c>
      <c r="AA77" s="67" t="str">
        <f>IF(Z77="","",COUNTIF($Z$6:$Z$505,"&lt;"&amp;Z77)+1)</f>
        <v/>
      </c>
      <c r="AB77" s="67" t="str">
        <f>IFERROR(INDEX(eq_crit,MATCH(B77,eq_code,0))&amp;"","")</f>
        <v/>
      </c>
    </row>
    <row r="78">
      <c r="A78" s="65" t="n"/>
      <c r="B78" s="66" t="n"/>
      <c r="C78" s="67" t="str">
        <f>IF(B78="","",IFERROR(INDEX(eq_des,MATCH(B78,eq_code,0))&amp;"","Équipement inconnu"))</f>
        <v/>
      </c>
      <c r="D78" s="66" t="n"/>
      <c r="E78" s="68" t="n"/>
      <c r="F78" s="69" t="n"/>
      <c r="G78" s="70" t="n"/>
      <c r="H78" s="71" t="n"/>
      <c r="I78" s="66" t="n"/>
      <c r="J78" s="72" t="n"/>
      <c r="K78" s="73" t="n"/>
      <c r="L78" s="68" t="n"/>
      <c r="M78" s="74" t="str">
        <f>IF(AND(A78="",B78="",D78=""),"",MAX(N(J78),IF(A78="",0,SUMPRODUCT(MAX((in_plan=A78)*in_prev*in_dnum)))))</f>
        <v/>
      </c>
      <c r="N78" s="75" t="str">
        <f>IF(AND(A78="",B78="",D78=""),"",MAX(N(K78),IF(A78="",0,SUMPRODUCT(MAX((in_plan=A78)*in_prev*in_cnum)))))</f>
        <v/>
      </c>
      <c r="O78" s="76" t="str">
        <f>IF(AND(OR(E78="Calendrier",E78="Au premier des deux"),N(F78)&gt;0,IF(N(M78)&gt;0,M78,IFERROR(N(INDEX(eq_start,MATCH(B78,eq_code,0))),0))&gt;0),IF(N(M78)&gt;0,M78,IFERROR(N(INDEX(eq_start,MATCH(B78,eq_code,0))),0))+F78,"")</f>
        <v/>
      </c>
      <c r="P78" s="75" t="str">
        <f>IF(AND(OR(E78="Compteur",E78="Au premier des deux"),N(G78)&gt;0),N(N78)+G78,"")</f>
        <v/>
      </c>
      <c r="Q78" s="75" t="str">
        <f>IF(B78="","",IFERROR(N(INDEX(eq_cnt,MATCH(B78,eq_code,0))),""))</f>
        <v/>
      </c>
      <c r="R78" s="77" t="str">
        <f>IF(ISNUMBER(O78),O78-p_today,"")</f>
        <v/>
      </c>
      <c r="S78" s="78" t="str">
        <f>IF(AND(ISNUMBER(P78),N(Q78)&gt;0),P78-Q78,"")</f>
        <v/>
      </c>
      <c r="T78" s="76" t="str">
        <f>IF(AND(ISNUMBER(O78),ISNUMBER(X78)),MIN(O78,X78),IF(ISNUMBER(O78),O78,X78))</f>
        <v/>
      </c>
      <c r="U78" s="79" t="str">
        <f>IF(AND(A78="",B78="",D78=""),"",IF(L78="Non","Inactif",IF(AND(NOT(ISNUMBER(R78)),NOT(ISNUMBER(S78))),"À compléter",IF(OR(AND(ISNUMBER(R78),N(R78)&lt;0),AND(ISNUMBER(S78),N(S78)&lt;0)),"En retard",IF(OR(AND(ISNUMBER(R78),N(R78)&lt;=p_soon),AND(ISNUMBER(S78),N(S78)&lt;=p_soon_pct*N(G78))),"Bientôt","À jour")))))</f>
        <v/>
      </c>
      <c r="V78" s="79" t="str">
        <f>IF(AND(A78="",B78="",D78=""),"",IF(A78="","N° de plan manquant",IF(COUNTIF($A$6:$A$505,A78)&gt;1,"N° de plan en double",IF(B78="","Équipement manquant",IF(ISNA(MATCH(B78,eq_code,0)),"Équipement inconnu",IF(D78="","Tâche manquante",IF(E78="","Déclenchement manquant",IF(AND(E78&lt;&gt;"Calendrier",E78&lt;&gt;"Compteur",E78&lt;&gt;"Au premier des deux"),"Déclenchement inconnu",IF(AND(E78&lt;&gt;"Compteur",OR(NOT(ISNUMBER(F78)),N(F78)&lt;=0)),"Périodicité en jours manquante",IF(AND(E78&lt;&gt;"Calendrier",OR(NOT(ISNUMBER(G78)),N(G78)&lt;=0)),"Périodicité compteur manquante",IF(AND(J78&lt;&gt;"",OR(NOT(ISNUMBER(J78)),N(J78)&lt;=0)),"Date de réalisation invalide",IF(AND(K78&lt;&gt;"",OR(NOT(ISNUMBER(K78)),N(K78)&lt;0)),"Compteur de réalisation invalide",IF(AND(E78&lt;&gt;"Compteur",N(M78)=0,IFERROR(N(INDEX(eq_start,MATCH(B78,eq_code,0))),0)=0),"Date de départ manquante",IF(AND(E78&lt;&gt;"Calendrier",K78="",N(N78)=0),"Compteur de départ manquant",IF(AND(E78&lt;&gt;"Calendrier",N(Q78)=0),"Relevé compteur manquant (Équipements)",IF(AND(I78&lt;&gt;"",ISNA(MATCH(I78,tech_name,0))),"Technicien inconnu",IF(AND(L78&lt;&gt;"",L78&lt;&gt;"Oui",L78&lt;&gt;"Non"),"Actif : Oui ou Non","OK")))))))))))))))))</f>
        <v/>
      </c>
      <c r="W78" s="67">
        <f>IFERROR(N(INDEX(eq_use,MATCH(B78,eq_code,0))),0)</f>
        <v>0.0</v>
      </c>
      <c r="X78" s="67" t="str">
        <f>IF(AND(ISNUMBER(S78),W78&gt;0),p_today+MAX(0,ROUNDUP(S78*7/W78,0)),"")</f>
        <v/>
      </c>
      <c r="Y78" s="67" t="str">
        <f>IF(AND(ISNUMBER(T78),OR(U78="En retard",U78="Bientôt",U78="À jour")),IF(AND(ISNUMBER(O78),ISNUMBER(X78)),MIN(F78,G78*7/W78),IF(ISNUMBER(O78),F78,G78*7/W78)),"")</f>
        <v/>
      </c>
      <c r="Z78" s="67" t="str">
        <f>IF(OR(U78="En retard",U78="Bientôt"),IF(U78="En retard",0,1)*1000000000+IF(AB78="A",0,IF(AB78="B",1,IF(AB78="C",2,3)))*100000000+IF(ISNUMBER(T78),T78,p_today)*1000+ROW()-5,"")</f>
        <v/>
      </c>
      <c r="AA78" s="67" t="str">
        <f>IF(Z78="","",COUNTIF($Z$6:$Z$505,"&lt;"&amp;Z78)+1)</f>
        <v/>
      </c>
      <c r="AB78" s="67" t="str">
        <f>IFERROR(INDEX(eq_crit,MATCH(B78,eq_code,0))&amp;"","")</f>
        <v/>
      </c>
    </row>
    <row r="79">
      <c r="A79" s="65" t="n"/>
      <c r="B79" s="66" t="n"/>
      <c r="C79" s="67" t="str">
        <f>IF(B79="","",IFERROR(INDEX(eq_des,MATCH(B79,eq_code,0))&amp;"","Équipement inconnu"))</f>
        <v/>
      </c>
      <c r="D79" s="66" t="n"/>
      <c r="E79" s="68" t="n"/>
      <c r="F79" s="69" t="n"/>
      <c r="G79" s="70" t="n"/>
      <c r="H79" s="71" t="n"/>
      <c r="I79" s="66" t="n"/>
      <c r="J79" s="72" t="n"/>
      <c r="K79" s="73" t="n"/>
      <c r="L79" s="68" t="n"/>
      <c r="M79" s="74" t="str">
        <f>IF(AND(A79="",B79="",D79=""),"",MAX(N(J79),IF(A79="",0,SUMPRODUCT(MAX((in_plan=A79)*in_prev*in_dnum)))))</f>
        <v/>
      </c>
      <c r="N79" s="75" t="str">
        <f>IF(AND(A79="",B79="",D79=""),"",MAX(N(K79),IF(A79="",0,SUMPRODUCT(MAX((in_plan=A79)*in_prev*in_cnum)))))</f>
        <v/>
      </c>
      <c r="O79" s="76" t="str">
        <f>IF(AND(OR(E79="Calendrier",E79="Au premier des deux"),N(F79)&gt;0,IF(N(M79)&gt;0,M79,IFERROR(N(INDEX(eq_start,MATCH(B79,eq_code,0))),0))&gt;0),IF(N(M79)&gt;0,M79,IFERROR(N(INDEX(eq_start,MATCH(B79,eq_code,0))),0))+F79,"")</f>
        <v/>
      </c>
      <c r="P79" s="75" t="str">
        <f>IF(AND(OR(E79="Compteur",E79="Au premier des deux"),N(G79)&gt;0),N(N79)+G79,"")</f>
        <v/>
      </c>
      <c r="Q79" s="75" t="str">
        <f>IF(B79="","",IFERROR(N(INDEX(eq_cnt,MATCH(B79,eq_code,0))),""))</f>
        <v/>
      </c>
      <c r="R79" s="77" t="str">
        <f>IF(ISNUMBER(O79),O79-p_today,"")</f>
        <v/>
      </c>
      <c r="S79" s="78" t="str">
        <f>IF(AND(ISNUMBER(P79),N(Q79)&gt;0),P79-Q79,"")</f>
        <v/>
      </c>
      <c r="T79" s="76" t="str">
        <f>IF(AND(ISNUMBER(O79),ISNUMBER(X79)),MIN(O79,X79),IF(ISNUMBER(O79),O79,X79))</f>
        <v/>
      </c>
      <c r="U79" s="79" t="str">
        <f>IF(AND(A79="",B79="",D79=""),"",IF(L79="Non","Inactif",IF(AND(NOT(ISNUMBER(R79)),NOT(ISNUMBER(S79))),"À compléter",IF(OR(AND(ISNUMBER(R79),N(R79)&lt;0),AND(ISNUMBER(S79),N(S79)&lt;0)),"En retard",IF(OR(AND(ISNUMBER(R79),N(R79)&lt;=p_soon),AND(ISNUMBER(S79),N(S79)&lt;=p_soon_pct*N(G79))),"Bientôt","À jour")))))</f>
        <v/>
      </c>
      <c r="V79" s="79" t="str">
        <f>IF(AND(A79="",B79="",D79=""),"",IF(A79="","N° de plan manquant",IF(COUNTIF($A$6:$A$505,A79)&gt;1,"N° de plan en double",IF(B79="","Équipement manquant",IF(ISNA(MATCH(B79,eq_code,0)),"Équipement inconnu",IF(D79="","Tâche manquante",IF(E79="","Déclenchement manquant",IF(AND(E79&lt;&gt;"Calendrier",E79&lt;&gt;"Compteur",E79&lt;&gt;"Au premier des deux"),"Déclenchement inconnu",IF(AND(E79&lt;&gt;"Compteur",OR(NOT(ISNUMBER(F79)),N(F79)&lt;=0)),"Périodicité en jours manquante",IF(AND(E79&lt;&gt;"Calendrier",OR(NOT(ISNUMBER(G79)),N(G79)&lt;=0)),"Périodicité compteur manquante",IF(AND(J79&lt;&gt;"",OR(NOT(ISNUMBER(J79)),N(J79)&lt;=0)),"Date de réalisation invalide",IF(AND(K79&lt;&gt;"",OR(NOT(ISNUMBER(K79)),N(K79)&lt;0)),"Compteur de réalisation invalide",IF(AND(E79&lt;&gt;"Compteur",N(M79)=0,IFERROR(N(INDEX(eq_start,MATCH(B79,eq_code,0))),0)=0),"Date de départ manquante",IF(AND(E79&lt;&gt;"Calendrier",K79="",N(N79)=0),"Compteur de départ manquant",IF(AND(E79&lt;&gt;"Calendrier",N(Q79)=0),"Relevé compteur manquant (Équipements)",IF(AND(I79&lt;&gt;"",ISNA(MATCH(I79,tech_name,0))),"Technicien inconnu",IF(AND(L79&lt;&gt;"",L79&lt;&gt;"Oui",L79&lt;&gt;"Non"),"Actif : Oui ou Non","OK")))))))))))))))))</f>
        <v/>
      </c>
      <c r="W79" s="67">
        <f>IFERROR(N(INDEX(eq_use,MATCH(B79,eq_code,0))),0)</f>
        <v>0.0</v>
      </c>
      <c r="X79" s="67" t="str">
        <f>IF(AND(ISNUMBER(S79),W79&gt;0),p_today+MAX(0,ROUNDUP(S79*7/W79,0)),"")</f>
        <v/>
      </c>
      <c r="Y79" s="67" t="str">
        <f>IF(AND(ISNUMBER(T79),OR(U79="En retard",U79="Bientôt",U79="À jour")),IF(AND(ISNUMBER(O79),ISNUMBER(X79)),MIN(F79,G79*7/W79),IF(ISNUMBER(O79),F79,G79*7/W79)),"")</f>
        <v/>
      </c>
      <c r="Z79" s="67" t="str">
        <f>IF(OR(U79="En retard",U79="Bientôt"),IF(U79="En retard",0,1)*1000000000+IF(AB79="A",0,IF(AB79="B",1,IF(AB79="C",2,3)))*100000000+IF(ISNUMBER(T79),T79,p_today)*1000+ROW()-5,"")</f>
        <v/>
      </c>
      <c r="AA79" s="67" t="str">
        <f>IF(Z79="","",COUNTIF($Z$6:$Z$505,"&lt;"&amp;Z79)+1)</f>
        <v/>
      </c>
      <c r="AB79" s="67" t="str">
        <f>IFERROR(INDEX(eq_crit,MATCH(B79,eq_code,0))&amp;"","")</f>
        <v/>
      </c>
    </row>
    <row r="80">
      <c r="A80" s="65" t="n"/>
      <c r="B80" s="66" t="n"/>
      <c r="C80" s="67" t="str">
        <f>IF(B80="","",IFERROR(INDEX(eq_des,MATCH(B80,eq_code,0))&amp;"","Équipement inconnu"))</f>
        <v/>
      </c>
      <c r="D80" s="66" t="n"/>
      <c r="E80" s="68" t="n"/>
      <c r="F80" s="69" t="n"/>
      <c r="G80" s="70" t="n"/>
      <c r="H80" s="71" t="n"/>
      <c r="I80" s="66" t="n"/>
      <c r="J80" s="72" t="n"/>
      <c r="K80" s="73" t="n"/>
      <c r="L80" s="68" t="n"/>
      <c r="M80" s="74" t="str">
        <f>IF(AND(A80="",B80="",D80=""),"",MAX(N(J80),IF(A80="",0,SUMPRODUCT(MAX((in_plan=A80)*in_prev*in_dnum)))))</f>
        <v/>
      </c>
      <c r="N80" s="75" t="str">
        <f>IF(AND(A80="",B80="",D80=""),"",MAX(N(K80),IF(A80="",0,SUMPRODUCT(MAX((in_plan=A80)*in_prev*in_cnum)))))</f>
        <v/>
      </c>
      <c r="O80" s="76" t="str">
        <f>IF(AND(OR(E80="Calendrier",E80="Au premier des deux"),N(F80)&gt;0,IF(N(M80)&gt;0,M80,IFERROR(N(INDEX(eq_start,MATCH(B80,eq_code,0))),0))&gt;0),IF(N(M80)&gt;0,M80,IFERROR(N(INDEX(eq_start,MATCH(B80,eq_code,0))),0))+F80,"")</f>
        <v/>
      </c>
      <c r="P80" s="75" t="str">
        <f>IF(AND(OR(E80="Compteur",E80="Au premier des deux"),N(G80)&gt;0),N(N80)+G80,"")</f>
        <v/>
      </c>
      <c r="Q80" s="75" t="str">
        <f>IF(B80="","",IFERROR(N(INDEX(eq_cnt,MATCH(B80,eq_code,0))),""))</f>
        <v/>
      </c>
      <c r="R80" s="77" t="str">
        <f>IF(ISNUMBER(O80),O80-p_today,"")</f>
        <v/>
      </c>
      <c r="S80" s="78" t="str">
        <f>IF(AND(ISNUMBER(P80),N(Q80)&gt;0),P80-Q80,"")</f>
        <v/>
      </c>
      <c r="T80" s="76" t="str">
        <f>IF(AND(ISNUMBER(O80),ISNUMBER(X80)),MIN(O80,X80),IF(ISNUMBER(O80),O80,X80))</f>
        <v/>
      </c>
      <c r="U80" s="79" t="str">
        <f>IF(AND(A80="",B80="",D80=""),"",IF(L80="Non","Inactif",IF(AND(NOT(ISNUMBER(R80)),NOT(ISNUMBER(S80))),"À compléter",IF(OR(AND(ISNUMBER(R80),N(R80)&lt;0),AND(ISNUMBER(S80),N(S80)&lt;0)),"En retard",IF(OR(AND(ISNUMBER(R80),N(R80)&lt;=p_soon),AND(ISNUMBER(S80),N(S80)&lt;=p_soon_pct*N(G80))),"Bientôt","À jour")))))</f>
        <v/>
      </c>
      <c r="V80" s="79" t="str">
        <f>IF(AND(A80="",B80="",D80=""),"",IF(A80="","N° de plan manquant",IF(COUNTIF($A$6:$A$505,A80)&gt;1,"N° de plan en double",IF(B80="","Équipement manquant",IF(ISNA(MATCH(B80,eq_code,0)),"Équipement inconnu",IF(D80="","Tâche manquante",IF(E80="","Déclenchement manquant",IF(AND(E80&lt;&gt;"Calendrier",E80&lt;&gt;"Compteur",E80&lt;&gt;"Au premier des deux"),"Déclenchement inconnu",IF(AND(E80&lt;&gt;"Compteur",OR(NOT(ISNUMBER(F80)),N(F80)&lt;=0)),"Périodicité en jours manquante",IF(AND(E80&lt;&gt;"Calendrier",OR(NOT(ISNUMBER(G80)),N(G80)&lt;=0)),"Périodicité compteur manquante",IF(AND(J80&lt;&gt;"",OR(NOT(ISNUMBER(J80)),N(J80)&lt;=0)),"Date de réalisation invalide",IF(AND(K80&lt;&gt;"",OR(NOT(ISNUMBER(K80)),N(K80)&lt;0)),"Compteur de réalisation invalide",IF(AND(E80&lt;&gt;"Compteur",N(M80)=0,IFERROR(N(INDEX(eq_start,MATCH(B80,eq_code,0))),0)=0),"Date de départ manquante",IF(AND(E80&lt;&gt;"Calendrier",K80="",N(N80)=0),"Compteur de départ manquant",IF(AND(E80&lt;&gt;"Calendrier",N(Q80)=0),"Relevé compteur manquant (Équipements)",IF(AND(I80&lt;&gt;"",ISNA(MATCH(I80,tech_name,0))),"Technicien inconnu",IF(AND(L80&lt;&gt;"",L80&lt;&gt;"Oui",L80&lt;&gt;"Non"),"Actif : Oui ou Non","OK")))))))))))))))))</f>
        <v/>
      </c>
      <c r="W80" s="67">
        <f>IFERROR(N(INDEX(eq_use,MATCH(B80,eq_code,0))),0)</f>
        <v>0.0</v>
      </c>
      <c r="X80" s="67" t="str">
        <f>IF(AND(ISNUMBER(S80),W80&gt;0),p_today+MAX(0,ROUNDUP(S80*7/W80,0)),"")</f>
        <v/>
      </c>
      <c r="Y80" s="67" t="str">
        <f>IF(AND(ISNUMBER(T80),OR(U80="En retard",U80="Bientôt",U80="À jour")),IF(AND(ISNUMBER(O80),ISNUMBER(X80)),MIN(F80,G80*7/W80),IF(ISNUMBER(O80),F80,G80*7/W80)),"")</f>
        <v/>
      </c>
      <c r="Z80" s="67" t="str">
        <f>IF(OR(U80="En retard",U80="Bientôt"),IF(U80="En retard",0,1)*1000000000+IF(AB80="A",0,IF(AB80="B",1,IF(AB80="C",2,3)))*100000000+IF(ISNUMBER(T80),T80,p_today)*1000+ROW()-5,"")</f>
        <v/>
      </c>
      <c r="AA80" s="67" t="str">
        <f>IF(Z80="","",COUNTIF($Z$6:$Z$505,"&lt;"&amp;Z80)+1)</f>
        <v/>
      </c>
      <c r="AB80" s="67" t="str">
        <f>IFERROR(INDEX(eq_crit,MATCH(B80,eq_code,0))&amp;"","")</f>
        <v/>
      </c>
    </row>
    <row r="81">
      <c r="A81" s="65" t="n"/>
      <c r="B81" s="66" t="n"/>
      <c r="C81" s="67" t="str">
        <f>IF(B81="","",IFERROR(INDEX(eq_des,MATCH(B81,eq_code,0))&amp;"","Équipement inconnu"))</f>
        <v/>
      </c>
      <c r="D81" s="66" t="n"/>
      <c r="E81" s="68" t="n"/>
      <c r="F81" s="69" t="n"/>
      <c r="G81" s="70" t="n"/>
      <c r="H81" s="71" t="n"/>
      <c r="I81" s="66" t="n"/>
      <c r="J81" s="72" t="n"/>
      <c r="K81" s="73" t="n"/>
      <c r="L81" s="68" t="n"/>
      <c r="M81" s="74" t="str">
        <f>IF(AND(A81="",B81="",D81=""),"",MAX(N(J81),IF(A81="",0,SUMPRODUCT(MAX((in_plan=A81)*in_prev*in_dnum)))))</f>
        <v/>
      </c>
      <c r="N81" s="75" t="str">
        <f>IF(AND(A81="",B81="",D81=""),"",MAX(N(K81),IF(A81="",0,SUMPRODUCT(MAX((in_plan=A81)*in_prev*in_cnum)))))</f>
        <v/>
      </c>
      <c r="O81" s="76" t="str">
        <f>IF(AND(OR(E81="Calendrier",E81="Au premier des deux"),N(F81)&gt;0,IF(N(M81)&gt;0,M81,IFERROR(N(INDEX(eq_start,MATCH(B81,eq_code,0))),0))&gt;0),IF(N(M81)&gt;0,M81,IFERROR(N(INDEX(eq_start,MATCH(B81,eq_code,0))),0))+F81,"")</f>
        <v/>
      </c>
      <c r="P81" s="75" t="str">
        <f>IF(AND(OR(E81="Compteur",E81="Au premier des deux"),N(G81)&gt;0),N(N81)+G81,"")</f>
        <v/>
      </c>
      <c r="Q81" s="75" t="str">
        <f>IF(B81="","",IFERROR(N(INDEX(eq_cnt,MATCH(B81,eq_code,0))),""))</f>
        <v/>
      </c>
      <c r="R81" s="77" t="str">
        <f>IF(ISNUMBER(O81),O81-p_today,"")</f>
        <v/>
      </c>
      <c r="S81" s="78" t="str">
        <f>IF(AND(ISNUMBER(P81),N(Q81)&gt;0),P81-Q81,"")</f>
        <v/>
      </c>
      <c r="T81" s="76" t="str">
        <f>IF(AND(ISNUMBER(O81),ISNUMBER(X81)),MIN(O81,X81),IF(ISNUMBER(O81),O81,X81))</f>
        <v/>
      </c>
      <c r="U81" s="79" t="str">
        <f>IF(AND(A81="",B81="",D81=""),"",IF(L81="Non","Inactif",IF(AND(NOT(ISNUMBER(R81)),NOT(ISNUMBER(S81))),"À compléter",IF(OR(AND(ISNUMBER(R81),N(R81)&lt;0),AND(ISNUMBER(S81),N(S81)&lt;0)),"En retard",IF(OR(AND(ISNUMBER(R81),N(R81)&lt;=p_soon),AND(ISNUMBER(S81),N(S81)&lt;=p_soon_pct*N(G81))),"Bientôt","À jour")))))</f>
        <v/>
      </c>
      <c r="V81" s="79" t="str">
        <f>IF(AND(A81="",B81="",D81=""),"",IF(A81="","N° de plan manquant",IF(COUNTIF($A$6:$A$505,A81)&gt;1,"N° de plan en double",IF(B81="","Équipement manquant",IF(ISNA(MATCH(B81,eq_code,0)),"Équipement inconnu",IF(D81="","Tâche manquante",IF(E81="","Déclenchement manquant",IF(AND(E81&lt;&gt;"Calendrier",E81&lt;&gt;"Compteur",E81&lt;&gt;"Au premier des deux"),"Déclenchement inconnu",IF(AND(E81&lt;&gt;"Compteur",OR(NOT(ISNUMBER(F81)),N(F81)&lt;=0)),"Périodicité en jours manquante",IF(AND(E81&lt;&gt;"Calendrier",OR(NOT(ISNUMBER(G81)),N(G81)&lt;=0)),"Périodicité compteur manquante",IF(AND(J81&lt;&gt;"",OR(NOT(ISNUMBER(J81)),N(J81)&lt;=0)),"Date de réalisation invalide",IF(AND(K81&lt;&gt;"",OR(NOT(ISNUMBER(K81)),N(K81)&lt;0)),"Compteur de réalisation invalide",IF(AND(E81&lt;&gt;"Compteur",N(M81)=0,IFERROR(N(INDEX(eq_start,MATCH(B81,eq_code,0))),0)=0),"Date de départ manquante",IF(AND(E81&lt;&gt;"Calendrier",K81="",N(N81)=0),"Compteur de départ manquant",IF(AND(E81&lt;&gt;"Calendrier",N(Q81)=0),"Relevé compteur manquant (Équipements)",IF(AND(I81&lt;&gt;"",ISNA(MATCH(I81,tech_name,0))),"Technicien inconnu",IF(AND(L81&lt;&gt;"",L81&lt;&gt;"Oui",L81&lt;&gt;"Non"),"Actif : Oui ou Non","OK")))))))))))))))))</f>
        <v/>
      </c>
      <c r="W81" s="67">
        <f>IFERROR(N(INDEX(eq_use,MATCH(B81,eq_code,0))),0)</f>
        <v>0.0</v>
      </c>
      <c r="X81" s="67" t="str">
        <f>IF(AND(ISNUMBER(S81),W81&gt;0),p_today+MAX(0,ROUNDUP(S81*7/W81,0)),"")</f>
        <v/>
      </c>
      <c r="Y81" s="67" t="str">
        <f>IF(AND(ISNUMBER(T81),OR(U81="En retard",U81="Bientôt",U81="À jour")),IF(AND(ISNUMBER(O81),ISNUMBER(X81)),MIN(F81,G81*7/W81),IF(ISNUMBER(O81),F81,G81*7/W81)),"")</f>
        <v/>
      </c>
      <c r="Z81" s="67" t="str">
        <f>IF(OR(U81="En retard",U81="Bientôt"),IF(U81="En retard",0,1)*1000000000+IF(AB81="A",0,IF(AB81="B",1,IF(AB81="C",2,3)))*100000000+IF(ISNUMBER(T81),T81,p_today)*1000+ROW()-5,"")</f>
        <v/>
      </c>
      <c r="AA81" s="67" t="str">
        <f>IF(Z81="","",COUNTIF($Z$6:$Z$505,"&lt;"&amp;Z81)+1)</f>
        <v/>
      </c>
      <c r="AB81" s="67" t="str">
        <f>IFERROR(INDEX(eq_crit,MATCH(B81,eq_code,0))&amp;"","")</f>
        <v/>
      </c>
    </row>
    <row r="82">
      <c r="A82" s="65" t="n"/>
      <c r="B82" s="66" t="n"/>
      <c r="C82" s="67" t="str">
        <f>IF(B82="","",IFERROR(INDEX(eq_des,MATCH(B82,eq_code,0))&amp;"","Équipement inconnu"))</f>
        <v/>
      </c>
      <c r="D82" s="66" t="n"/>
      <c r="E82" s="68" t="n"/>
      <c r="F82" s="69" t="n"/>
      <c r="G82" s="70" t="n"/>
      <c r="H82" s="71" t="n"/>
      <c r="I82" s="66" t="n"/>
      <c r="J82" s="72" t="n"/>
      <c r="K82" s="73" t="n"/>
      <c r="L82" s="68" t="n"/>
      <c r="M82" s="74" t="str">
        <f>IF(AND(A82="",B82="",D82=""),"",MAX(N(J82),IF(A82="",0,SUMPRODUCT(MAX((in_plan=A82)*in_prev*in_dnum)))))</f>
        <v/>
      </c>
      <c r="N82" s="75" t="str">
        <f>IF(AND(A82="",B82="",D82=""),"",MAX(N(K82),IF(A82="",0,SUMPRODUCT(MAX((in_plan=A82)*in_prev*in_cnum)))))</f>
        <v/>
      </c>
      <c r="O82" s="76" t="str">
        <f>IF(AND(OR(E82="Calendrier",E82="Au premier des deux"),N(F82)&gt;0,IF(N(M82)&gt;0,M82,IFERROR(N(INDEX(eq_start,MATCH(B82,eq_code,0))),0))&gt;0),IF(N(M82)&gt;0,M82,IFERROR(N(INDEX(eq_start,MATCH(B82,eq_code,0))),0))+F82,"")</f>
        <v/>
      </c>
      <c r="P82" s="75" t="str">
        <f>IF(AND(OR(E82="Compteur",E82="Au premier des deux"),N(G82)&gt;0),N(N82)+G82,"")</f>
        <v/>
      </c>
      <c r="Q82" s="75" t="str">
        <f>IF(B82="","",IFERROR(N(INDEX(eq_cnt,MATCH(B82,eq_code,0))),""))</f>
        <v/>
      </c>
      <c r="R82" s="77" t="str">
        <f>IF(ISNUMBER(O82),O82-p_today,"")</f>
        <v/>
      </c>
      <c r="S82" s="78" t="str">
        <f>IF(AND(ISNUMBER(P82),N(Q82)&gt;0),P82-Q82,"")</f>
        <v/>
      </c>
      <c r="T82" s="76" t="str">
        <f>IF(AND(ISNUMBER(O82),ISNUMBER(X82)),MIN(O82,X82),IF(ISNUMBER(O82),O82,X82))</f>
        <v/>
      </c>
      <c r="U82" s="79" t="str">
        <f>IF(AND(A82="",B82="",D82=""),"",IF(L82="Non","Inactif",IF(AND(NOT(ISNUMBER(R82)),NOT(ISNUMBER(S82))),"À compléter",IF(OR(AND(ISNUMBER(R82),N(R82)&lt;0),AND(ISNUMBER(S82),N(S82)&lt;0)),"En retard",IF(OR(AND(ISNUMBER(R82),N(R82)&lt;=p_soon),AND(ISNUMBER(S82),N(S82)&lt;=p_soon_pct*N(G82))),"Bientôt","À jour")))))</f>
        <v/>
      </c>
      <c r="V82" s="79" t="str">
        <f>IF(AND(A82="",B82="",D82=""),"",IF(A82="","N° de plan manquant",IF(COUNTIF($A$6:$A$505,A82)&gt;1,"N° de plan en double",IF(B82="","Équipement manquant",IF(ISNA(MATCH(B82,eq_code,0)),"Équipement inconnu",IF(D82="","Tâche manquante",IF(E82="","Déclenchement manquant",IF(AND(E82&lt;&gt;"Calendrier",E82&lt;&gt;"Compteur",E82&lt;&gt;"Au premier des deux"),"Déclenchement inconnu",IF(AND(E82&lt;&gt;"Compteur",OR(NOT(ISNUMBER(F82)),N(F82)&lt;=0)),"Périodicité en jours manquante",IF(AND(E82&lt;&gt;"Calendrier",OR(NOT(ISNUMBER(G82)),N(G82)&lt;=0)),"Périodicité compteur manquante",IF(AND(J82&lt;&gt;"",OR(NOT(ISNUMBER(J82)),N(J82)&lt;=0)),"Date de réalisation invalide",IF(AND(K82&lt;&gt;"",OR(NOT(ISNUMBER(K82)),N(K82)&lt;0)),"Compteur de réalisation invalide",IF(AND(E82&lt;&gt;"Compteur",N(M82)=0,IFERROR(N(INDEX(eq_start,MATCH(B82,eq_code,0))),0)=0),"Date de départ manquante",IF(AND(E82&lt;&gt;"Calendrier",K82="",N(N82)=0),"Compteur de départ manquant",IF(AND(E82&lt;&gt;"Calendrier",N(Q82)=0),"Relevé compteur manquant (Équipements)",IF(AND(I82&lt;&gt;"",ISNA(MATCH(I82,tech_name,0))),"Technicien inconnu",IF(AND(L82&lt;&gt;"",L82&lt;&gt;"Oui",L82&lt;&gt;"Non"),"Actif : Oui ou Non","OK")))))))))))))))))</f>
        <v/>
      </c>
      <c r="W82" s="67">
        <f>IFERROR(N(INDEX(eq_use,MATCH(B82,eq_code,0))),0)</f>
        <v>0.0</v>
      </c>
      <c r="X82" s="67" t="str">
        <f>IF(AND(ISNUMBER(S82),W82&gt;0),p_today+MAX(0,ROUNDUP(S82*7/W82,0)),"")</f>
        <v/>
      </c>
      <c r="Y82" s="67" t="str">
        <f>IF(AND(ISNUMBER(T82),OR(U82="En retard",U82="Bientôt",U82="À jour")),IF(AND(ISNUMBER(O82),ISNUMBER(X82)),MIN(F82,G82*7/W82),IF(ISNUMBER(O82),F82,G82*7/W82)),"")</f>
        <v/>
      </c>
      <c r="Z82" s="67" t="str">
        <f>IF(OR(U82="En retard",U82="Bientôt"),IF(U82="En retard",0,1)*1000000000+IF(AB82="A",0,IF(AB82="B",1,IF(AB82="C",2,3)))*100000000+IF(ISNUMBER(T82),T82,p_today)*1000+ROW()-5,"")</f>
        <v/>
      </c>
      <c r="AA82" s="67" t="str">
        <f>IF(Z82="","",COUNTIF($Z$6:$Z$505,"&lt;"&amp;Z82)+1)</f>
        <v/>
      </c>
      <c r="AB82" s="67" t="str">
        <f>IFERROR(INDEX(eq_crit,MATCH(B82,eq_code,0))&amp;"","")</f>
        <v/>
      </c>
    </row>
    <row r="83">
      <c r="A83" s="65" t="n"/>
      <c r="B83" s="66" t="n"/>
      <c r="C83" s="67" t="str">
        <f>IF(B83="","",IFERROR(INDEX(eq_des,MATCH(B83,eq_code,0))&amp;"","Équipement inconnu"))</f>
        <v/>
      </c>
      <c r="D83" s="66" t="n"/>
      <c r="E83" s="68" t="n"/>
      <c r="F83" s="69" t="n"/>
      <c r="G83" s="70" t="n"/>
      <c r="H83" s="71" t="n"/>
      <c r="I83" s="66" t="n"/>
      <c r="J83" s="72" t="n"/>
      <c r="K83" s="73" t="n"/>
      <c r="L83" s="68" t="n"/>
      <c r="M83" s="74" t="str">
        <f>IF(AND(A83="",B83="",D83=""),"",MAX(N(J83),IF(A83="",0,SUMPRODUCT(MAX((in_plan=A83)*in_prev*in_dnum)))))</f>
        <v/>
      </c>
      <c r="N83" s="75" t="str">
        <f>IF(AND(A83="",B83="",D83=""),"",MAX(N(K83),IF(A83="",0,SUMPRODUCT(MAX((in_plan=A83)*in_prev*in_cnum)))))</f>
        <v/>
      </c>
      <c r="O83" s="76" t="str">
        <f>IF(AND(OR(E83="Calendrier",E83="Au premier des deux"),N(F83)&gt;0,IF(N(M83)&gt;0,M83,IFERROR(N(INDEX(eq_start,MATCH(B83,eq_code,0))),0))&gt;0),IF(N(M83)&gt;0,M83,IFERROR(N(INDEX(eq_start,MATCH(B83,eq_code,0))),0))+F83,"")</f>
        <v/>
      </c>
      <c r="P83" s="75" t="str">
        <f>IF(AND(OR(E83="Compteur",E83="Au premier des deux"),N(G83)&gt;0),N(N83)+G83,"")</f>
        <v/>
      </c>
      <c r="Q83" s="75" t="str">
        <f>IF(B83="","",IFERROR(N(INDEX(eq_cnt,MATCH(B83,eq_code,0))),""))</f>
        <v/>
      </c>
      <c r="R83" s="77" t="str">
        <f>IF(ISNUMBER(O83),O83-p_today,"")</f>
        <v/>
      </c>
      <c r="S83" s="78" t="str">
        <f>IF(AND(ISNUMBER(P83),N(Q83)&gt;0),P83-Q83,"")</f>
        <v/>
      </c>
      <c r="T83" s="76" t="str">
        <f>IF(AND(ISNUMBER(O83),ISNUMBER(X83)),MIN(O83,X83),IF(ISNUMBER(O83),O83,X83))</f>
        <v/>
      </c>
      <c r="U83" s="79" t="str">
        <f>IF(AND(A83="",B83="",D83=""),"",IF(L83="Non","Inactif",IF(AND(NOT(ISNUMBER(R83)),NOT(ISNUMBER(S83))),"À compléter",IF(OR(AND(ISNUMBER(R83),N(R83)&lt;0),AND(ISNUMBER(S83),N(S83)&lt;0)),"En retard",IF(OR(AND(ISNUMBER(R83),N(R83)&lt;=p_soon),AND(ISNUMBER(S83),N(S83)&lt;=p_soon_pct*N(G83))),"Bientôt","À jour")))))</f>
        <v/>
      </c>
      <c r="V83" s="79" t="str">
        <f>IF(AND(A83="",B83="",D83=""),"",IF(A83="","N° de plan manquant",IF(COUNTIF($A$6:$A$505,A83)&gt;1,"N° de plan en double",IF(B83="","Équipement manquant",IF(ISNA(MATCH(B83,eq_code,0)),"Équipement inconnu",IF(D83="","Tâche manquante",IF(E83="","Déclenchement manquant",IF(AND(E83&lt;&gt;"Calendrier",E83&lt;&gt;"Compteur",E83&lt;&gt;"Au premier des deux"),"Déclenchement inconnu",IF(AND(E83&lt;&gt;"Compteur",OR(NOT(ISNUMBER(F83)),N(F83)&lt;=0)),"Périodicité en jours manquante",IF(AND(E83&lt;&gt;"Calendrier",OR(NOT(ISNUMBER(G83)),N(G83)&lt;=0)),"Périodicité compteur manquante",IF(AND(J83&lt;&gt;"",OR(NOT(ISNUMBER(J83)),N(J83)&lt;=0)),"Date de réalisation invalide",IF(AND(K83&lt;&gt;"",OR(NOT(ISNUMBER(K83)),N(K83)&lt;0)),"Compteur de réalisation invalide",IF(AND(E83&lt;&gt;"Compteur",N(M83)=0,IFERROR(N(INDEX(eq_start,MATCH(B83,eq_code,0))),0)=0),"Date de départ manquante",IF(AND(E83&lt;&gt;"Calendrier",K83="",N(N83)=0),"Compteur de départ manquant",IF(AND(E83&lt;&gt;"Calendrier",N(Q83)=0),"Relevé compteur manquant (Équipements)",IF(AND(I83&lt;&gt;"",ISNA(MATCH(I83,tech_name,0))),"Technicien inconnu",IF(AND(L83&lt;&gt;"",L83&lt;&gt;"Oui",L83&lt;&gt;"Non"),"Actif : Oui ou Non","OK")))))))))))))))))</f>
        <v/>
      </c>
      <c r="W83" s="67">
        <f>IFERROR(N(INDEX(eq_use,MATCH(B83,eq_code,0))),0)</f>
        <v>0.0</v>
      </c>
      <c r="X83" s="67" t="str">
        <f>IF(AND(ISNUMBER(S83),W83&gt;0),p_today+MAX(0,ROUNDUP(S83*7/W83,0)),"")</f>
        <v/>
      </c>
      <c r="Y83" s="67" t="str">
        <f>IF(AND(ISNUMBER(T83),OR(U83="En retard",U83="Bientôt",U83="À jour")),IF(AND(ISNUMBER(O83),ISNUMBER(X83)),MIN(F83,G83*7/W83),IF(ISNUMBER(O83),F83,G83*7/W83)),"")</f>
        <v/>
      </c>
      <c r="Z83" s="67" t="str">
        <f>IF(OR(U83="En retard",U83="Bientôt"),IF(U83="En retard",0,1)*1000000000+IF(AB83="A",0,IF(AB83="B",1,IF(AB83="C",2,3)))*100000000+IF(ISNUMBER(T83),T83,p_today)*1000+ROW()-5,"")</f>
        <v/>
      </c>
      <c r="AA83" s="67" t="str">
        <f>IF(Z83="","",COUNTIF($Z$6:$Z$505,"&lt;"&amp;Z83)+1)</f>
        <v/>
      </c>
      <c r="AB83" s="67" t="str">
        <f>IFERROR(INDEX(eq_crit,MATCH(B83,eq_code,0))&amp;"","")</f>
        <v/>
      </c>
    </row>
    <row r="84">
      <c r="A84" s="65" t="n"/>
      <c r="B84" s="66" t="n"/>
      <c r="C84" s="67" t="str">
        <f>IF(B84="","",IFERROR(INDEX(eq_des,MATCH(B84,eq_code,0))&amp;"","Équipement inconnu"))</f>
        <v/>
      </c>
      <c r="D84" s="66" t="n"/>
      <c r="E84" s="68" t="n"/>
      <c r="F84" s="69" t="n"/>
      <c r="G84" s="70" t="n"/>
      <c r="H84" s="71" t="n"/>
      <c r="I84" s="66" t="n"/>
      <c r="J84" s="72" t="n"/>
      <c r="K84" s="73" t="n"/>
      <c r="L84" s="68" t="n"/>
      <c r="M84" s="74" t="str">
        <f>IF(AND(A84="",B84="",D84=""),"",MAX(N(J84),IF(A84="",0,SUMPRODUCT(MAX((in_plan=A84)*in_prev*in_dnum)))))</f>
        <v/>
      </c>
      <c r="N84" s="75" t="str">
        <f>IF(AND(A84="",B84="",D84=""),"",MAX(N(K84),IF(A84="",0,SUMPRODUCT(MAX((in_plan=A84)*in_prev*in_cnum)))))</f>
        <v/>
      </c>
      <c r="O84" s="76" t="str">
        <f>IF(AND(OR(E84="Calendrier",E84="Au premier des deux"),N(F84)&gt;0,IF(N(M84)&gt;0,M84,IFERROR(N(INDEX(eq_start,MATCH(B84,eq_code,0))),0))&gt;0),IF(N(M84)&gt;0,M84,IFERROR(N(INDEX(eq_start,MATCH(B84,eq_code,0))),0))+F84,"")</f>
        <v/>
      </c>
      <c r="P84" s="75" t="str">
        <f>IF(AND(OR(E84="Compteur",E84="Au premier des deux"),N(G84)&gt;0),N(N84)+G84,"")</f>
        <v/>
      </c>
      <c r="Q84" s="75" t="str">
        <f>IF(B84="","",IFERROR(N(INDEX(eq_cnt,MATCH(B84,eq_code,0))),""))</f>
        <v/>
      </c>
      <c r="R84" s="77" t="str">
        <f>IF(ISNUMBER(O84),O84-p_today,"")</f>
        <v/>
      </c>
      <c r="S84" s="78" t="str">
        <f>IF(AND(ISNUMBER(P84),N(Q84)&gt;0),P84-Q84,"")</f>
        <v/>
      </c>
      <c r="T84" s="76" t="str">
        <f>IF(AND(ISNUMBER(O84),ISNUMBER(X84)),MIN(O84,X84),IF(ISNUMBER(O84),O84,X84))</f>
        <v/>
      </c>
      <c r="U84" s="79" t="str">
        <f>IF(AND(A84="",B84="",D84=""),"",IF(L84="Non","Inactif",IF(AND(NOT(ISNUMBER(R84)),NOT(ISNUMBER(S84))),"À compléter",IF(OR(AND(ISNUMBER(R84),N(R84)&lt;0),AND(ISNUMBER(S84),N(S84)&lt;0)),"En retard",IF(OR(AND(ISNUMBER(R84),N(R84)&lt;=p_soon),AND(ISNUMBER(S84),N(S84)&lt;=p_soon_pct*N(G84))),"Bientôt","À jour")))))</f>
        <v/>
      </c>
      <c r="V84" s="79" t="str">
        <f>IF(AND(A84="",B84="",D84=""),"",IF(A84="","N° de plan manquant",IF(COUNTIF($A$6:$A$505,A84)&gt;1,"N° de plan en double",IF(B84="","Équipement manquant",IF(ISNA(MATCH(B84,eq_code,0)),"Équipement inconnu",IF(D84="","Tâche manquante",IF(E84="","Déclenchement manquant",IF(AND(E84&lt;&gt;"Calendrier",E84&lt;&gt;"Compteur",E84&lt;&gt;"Au premier des deux"),"Déclenchement inconnu",IF(AND(E84&lt;&gt;"Compteur",OR(NOT(ISNUMBER(F84)),N(F84)&lt;=0)),"Périodicité en jours manquante",IF(AND(E84&lt;&gt;"Calendrier",OR(NOT(ISNUMBER(G84)),N(G84)&lt;=0)),"Périodicité compteur manquante",IF(AND(J84&lt;&gt;"",OR(NOT(ISNUMBER(J84)),N(J84)&lt;=0)),"Date de réalisation invalide",IF(AND(K84&lt;&gt;"",OR(NOT(ISNUMBER(K84)),N(K84)&lt;0)),"Compteur de réalisation invalide",IF(AND(E84&lt;&gt;"Compteur",N(M84)=0,IFERROR(N(INDEX(eq_start,MATCH(B84,eq_code,0))),0)=0),"Date de départ manquante",IF(AND(E84&lt;&gt;"Calendrier",K84="",N(N84)=0),"Compteur de départ manquant",IF(AND(E84&lt;&gt;"Calendrier",N(Q84)=0),"Relevé compteur manquant (Équipements)",IF(AND(I84&lt;&gt;"",ISNA(MATCH(I84,tech_name,0))),"Technicien inconnu",IF(AND(L84&lt;&gt;"",L84&lt;&gt;"Oui",L84&lt;&gt;"Non"),"Actif : Oui ou Non","OK")))))))))))))))))</f>
        <v/>
      </c>
      <c r="W84" s="67">
        <f>IFERROR(N(INDEX(eq_use,MATCH(B84,eq_code,0))),0)</f>
        <v>0.0</v>
      </c>
      <c r="X84" s="67" t="str">
        <f>IF(AND(ISNUMBER(S84),W84&gt;0),p_today+MAX(0,ROUNDUP(S84*7/W84,0)),"")</f>
        <v/>
      </c>
      <c r="Y84" s="67" t="str">
        <f>IF(AND(ISNUMBER(T84),OR(U84="En retard",U84="Bientôt",U84="À jour")),IF(AND(ISNUMBER(O84),ISNUMBER(X84)),MIN(F84,G84*7/W84),IF(ISNUMBER(O84),F84,G84*7/W84)),"")</f>
        <v/>
      </c>
      <c r="Z84" s="67" t="str">
        <f>IF(OR(U84="En retard",U84="Bientôt"),IF(U84="En retard",0,1)*1000000000+IF(AB84="A",0,IF(AB84="B",1,IF(AB84="C",2,3)))*100000000+IF(ISNUMBER(T84),T84,p_today)*1000+ROW()-5,"")</f>
        <v/>
      </c>
      <c r="AA84" s="67" t="str">
        <f>IF(Z84="","",COUNTIF($Z$6:$Z$505,"&lt;"&amp;Z84)+1)</f>
        <v/>
      </c>
      <c r="AB84" s="67" t="str">
        <f>IFERROR(INDEX(eq_crit,MATCH(B84,eq_code,0))&amp;"","")</f>
        <v/>
      </c>
    </row>
    <row r="85">
      <c r="A85" s="65" t="n"/>
      <c r="B85" s="66" t="n"/>
      <c r="C85" s="67" t="str">
        <f>IF(B85="","",IFERROR(INDEX(eq_des,MATCH(B85,eq_code,0))&amp;"","Équipement inconnu"))</f>
        <v/>
      </c>
      <c r="D85" s="66" t="n"/>
      <c r="E85" s="68" t="n"/>
      <c r="F85" s="69" t="n"/>
      <c r="G85" s="70" t="n"/>
      <c r="H85" s="71" t="n"/>
      <c r="I85" s="66" t="n"/>
      <c r="J85" s="72" t="n"/>
      <c r="K85" s="73" t="n"/>
      <c r="L85" s="68" t="n"/>
      <c r="M85" s="74" t="str">
        <f>IF(AND(A85="",B85="",D85=""),"",MAX(N(J85),IF(A85="",0,SUMPRODUCT(MAX((in_plan=A85)*in_prev*in_dnum)))))</f>
        <v/>
      </c>
      <c r="N85" s="75" t="str">
        <f>IF(AND(A85="",B85="",D85=""),"",MAX(N(K85),IF(A85="",0,SUMPRODUCT(MAX((in_plan=A85)*in_prev*in_cnum)))))</f>
        <v/>
      </c>
      <c r="O85" s="76" t="str">
        <f>IF(AND(OR(E85="Calendrier",E85="Au premier des deux"),N(F85)&gt;0,IF(N(M85)&gt;0,M85,IFERROR(N(INDEX(eq_start,MATCH(B85,eq_code,0))),0))&gt;0),IF(N(M85)&gt;0,M85,IFERROR(N(INDEX(eq_start,MATCH(B85,eq_code,0))),0))+F85,"")</f>
        <v/>
      </c>
      <c r="P85" s="75" t="str">
        <f>IF(AND(OR(E85="Compteur",E85="Au premier des deux"),N(G85)&gt;0),N(N85)+G85,"")</f>
        <v/>
      </c>
      <c r="Q85" s="75" t="str">
        <f>IF(B85="","",IFERROR(N(INDEX(eq_cnt,MATCH(B85,eq_code,0))),""))</f>
        <v/>
      </c>
      <c r="R85" s="77" t="str">
        <f>IF(ISNUMBER(O85),O85-p_today,"")</f>
        <v/>
      </c>
      <c r="S85" s="78" t="str">
        <f>IF(AND(ISNUMBER(P85),N(Q85)&gt;0),P85-Q85,"")</f>
        <v/>
      </c>
      <c r="T85" s="76" t="str">
        <f>IF(AND(ISNUMBER(O85),ISNUMBER(X85)),MIN(O85,X85),IF(ISNUMBER(O85),O85,X85))</f>
        <v/>
      </c>
      <c r="U85" s="79" t="str">
        <f>IF(AND(A85="",B85="",D85=""),"",IF(L85="Non","Inactif",IF(AND(NOT(ISNUMBER(R85)),NOT(ISNUMBER(S85))),"À compléter",IF(OR(AND(ISNUMBER(R85),N(R85)&lt;0),AND(ISNUMBER(S85),N(S85)&lt;0)),"En retard",IF(OR(AND(ISNUMBER(R85),N(R85)&lt;=p_soon),AND(ISNUMBER(S85),N(S85)&lt;=p_soon_pct*N(G85))),"Bientôt","À jour")))))</f>
        <v/>
      </c>
      <c r="V85" s="79" t="str">
        <f>IF(AND(A85="",B85="",D85=""),"",IF(A85="","N° de plan manquant",IF(COUNTIF($A$6:$A$505,A85)&gt;1,"N° de plan en double",IF(B85="","Équipement manquant",IF(ISNA(MATCH(B85,eq_code,0)),"Équipement inconnu",IF(D85="","Tâche manquante",IF(E85="","Déclenchement manquant",IF(AND(E85&lt;&gt;"Calendrier",E85&lt;&gt;"Compteur",E85&lt;&gt;"Au premier des deux"),"Déclenchement inconnu",IF(AND(E85&lt;&gt;"Compteur",OR(NOT(ISNUMBER(F85)),N(F85)&lt;=0)),"Périodicité en jours manquante",IF(AND(E85&lt;&gt;"Calendrier",OR(NOT(ISNUMBER(G85)),N(G85)&lt;=0)),"Périodicité compteur manquante",IF(AND(J85&lt;&gt;"",OR(NOT(ISNUMBER(J85)),N(J85)&lt;=0)),"Date de réalisation invalide",IF(AND(K85&lt;&gt;"",OR(NOT(ISNUMBER(K85)),N(K85)&lt;0)),"Compteur de réalisation invalide",IF(AND(E85&lt;&gt;"Compteur",N(M85)=0,IFERROR(N(INDEX(eq_start,MATCH(B85,eq_code,0))),0)=0),"Date de départ manquante",IF(AND(E85&lt;&gt;"Calendrier",K85="",N(N85)=0),"Compteur de départ manquant",IF(AND(E85&lt;&gt;"Calendrier",N(Q85)=0),"Relevé compteur manquant (Équipements)",IF(AND(I85&lt;&gt;"",ISNA(MATCH(I85,tech_name,0))),"Technicien inconnu",IF(AND(L85&lt;&gt;"",L85&lt;&gt;"Oui",L85&lt;&gt;"Non"),"Actif : Oui ou Non","OK")))))))))))))))))</f>
        <v/>
      </c>
      <c r="W85" s="67">
        <f>IFERROR(N(INDEX(eq_use,MATCH(B85,eq_code,0))),0)</f>
        <v>0.0</v>
      </c>
      <c r="X85" s="67" t="str">
        <f>IF(AND(ISNUMBER(S85),W85&gt;0),p_today+MAX(0,ROUNDUP(S85*7/W85,0)),"")</f>
        <v/>
      </c>
      <c r="Y85" s="67" t="str">
        <f>IF(AND(ISNUMBER(T85),OR(U85="En retard",U85="Bientôt",U85="À jour")),IF(AND(ISNUMBER(O85),ISNUMBER(X85)),MIN(F85,G85*7/W85),IF(ISNUMBER(O85),F85,G85*7/W85)),"")</f>
        <v/>
      </c>
      <c r="Z85" s="67" t="str">
        <f>IF(OR(U85="En retard",U85="Bientôt"),IF(U85="En retard",0,1)*1000000000+IF(AB85="A",0,IF(AB85="B",1,IF(AB85="C",2,3)))*100000000+IF(ISNUMBER(T85),T85,p_today)*1000+ROW()-5,"")</f>
        <v/>
      </c>
      <c r="AA85" s="67" t="str">
        <f>IF(Z85="","",COUNTIF($Z$6:$Z$505,"&lt;"&amp;Z85)+1)</f>
        <v/>
      </c>
      <c r="AB85" s="67" t="str">
        <f>IFERROR(INDEX(eq_crit,MATCH(B85,eq_code,0))&amp;"","")</f>
        <v/>
      </c>
    </row>
    <row r="86">
      <c r="A86" s="65" t="n"/>
      <c r="B86" s="66" t="n"/>
      <c r="C86" s="67" t="str">
        <f>IF(B86="","",IFERROR(INDEX(eq_des,MATCH(B86,eq_code,0))&amp;"","Équipement inconnu"))</f>
        <v/>
      </c>
      <c r="D86" s="66" t="n"/>
      <c r="E86" s="68" t="n"/>
      <c r="F86" s="69" t="n"/>
      <c r="G86" s="70" t="n"/>
      <c r="H86" s="71" t="n"/>
      <c r="I86" s="66" t="n"/>
      <c r="J86" s="72" t="n"/>
      <c r="K86" s="73" t="n"/>
      <c r="L86" s="68" t="n"/>
      <c r="M86" s="74" t="str">
        <f>IF(AND(A86="",B86="",D86=""),"",MAX(N(J86),IF(A86="",0,SUMPRODUCT(MAX((in_plan=A86)*in_prev*in_dnum)))))</f>
        <v/>
      </c>
      <c r="N86" s="75" t="str">
        <f>IF(AND(A86="",B86="",D86=""),"",MAX(N(K86),IF(A86="",0,SUMPRODUCT(MAX((in_plan=A86)*in_prev*in_cnum)))))</f>
        <v/>
      </c>
      <c r="O86" s="76" t="str">
        <f>IF(AND(OR(E86="Calendrier",E86="Au premier des deux"),N(F86)&gt;0,IF(N(M86)&gt;0,M86,IFERROR(N(INDEX(eq_start,MATCH(B86,eq_code,0))),0))&gt;0),IF(N(M86)&gt;0,M86,IFERROR(N(INDEX(eq_start,MATCH(B86,eq_code,0))),0))+F86,"")</f>
        <v/>
      </c>
      <c r="P86" s="75" t="str">
        <f>IF(AND(OR(E86="Compteur",E86="Au premier des deux"),N(G86)&gt;0),N(N86)+G86,"")</f>
        <v/>
      </c>
      <c r="Q86" s="75" t="str">
        <f>IF(B86="","",IFERROR(N(INDEX(eq_cnt,MATCH(B86,eq_code,0))),""))</f>
        <v/>
      </c>
      <c r="R86" s="77" t="str">
        <f>IF(ISNUMBER(O86),O86-p_today,"")</f>
        <v/>
      </c>
      <c r="S86" s="78" t="str">
        <f>IF(AND(ISNUMBER(P86),N(Q86)&gt;0),P86-Q86,"")</f>
        <v/>
      </c>
      <c r="T86" s="76" t="str">
        <f>IF(AND(ISNUMBER(O86),ISNUMBER(X86)),MIN(O86,X86),IF(ISNUMBER(O86),O86,X86))</f>
        <v/>
      </c>
      <c r="U86" s="79" t="str">
        <f>IF(AND(A86="",B86="",D86=""),"",IF(L86="Non","Inactif",IF(AND(NOT(ISNUMBER(R86)),NOT(ISNUMBER(S86))),"À compléter",IF(OR(AND(ISNUMBER(R86),N(R86)&lt;0),AND(ISNUMBER(S86),N(S86)&lt;0)),"En retard",IF(OR(AND(ISNUMBER(R86),N(R86)&lt;=p_soon),AND(ISNUMBER(S86),N(S86)&lt;=p_soon_pct*N(G86))),"Bientôt","À jour")))))</f>
        <v/>
      </c>
      <c r="V86" s="79" t="str">
        <f>IF(AND(A86="",B86="",D86=""),"",IF(A86="","N° de plan manquant",IF(COUNTIF($A$6:$A$505,A86)&gt;1,"N° de plan en double",IF(B86="","Équipement manquant",IF(ISNA(MATCH(B86,eq_code,0)),"Équipement inconnu",IF(D86="","Tâche manquante",IF(E86="","Déclenchement manquant",IF(AND(E86&lt;&gt;"Calendrier",E86&lt;&gt;"Compteur",E86&lt;&gt;"Au premier des deux"),"Déclenchement inconnu",IF(AND(E86&lt;&gt;"Compteur",OR(NOT(ISNUMBER(F86)),N(F86)&lt;=0)),"Périodicité en jours manquante",IF(AND(E86&lt;&gt;"Calendrier",OR(NOT(ISNUMBER(G86)),N(G86)&lt;=0)),"Périodicité compteur manquante",IF(AND(J86&lt;&gt;"",OR(NOT(ISNUMBER(J86)),N(J86)&lt;=0)),"Date de réalisation invalide",IF(AND(K86&lt;&gt;"",OR(NOT(ISNUMBER(K86)),N(K86)&lt;0)),"Compteur de réalisation invalide",IF(AND(E86&lt;&gt;"Compteur",N(M86)=0,IFERROR(N(INDEX(eq_start,MATCH(B86,eq_code,0))),0)=0),"Date de départ manquante",IF(AND(E86&lt;&gt;"Calendrier",K86="",N(N86)=0),"Compteur de départ manquant",IF(AND(E86&lt;&gt;"Calendrier",N(Q86)=0),"Relevé compteur manquant (Équipements)",IF(AND(I86&lt;&gt;"",ISNA(MATCH(I86,tech_name,0))),"Technicien inconnu",IF(AND(L86&lt;&gt;"",L86&lt;&gt;"Oui",L86&lt;&gt;"Non"),"Actif : Oui ou Non","OK")))))))))))))))))</f>
        <v/>
      </c>
      <c r="W86" s="67">
        <f>IFERROR(N(INDEX(eq_use,MATCH(B86,eq_code,0))),0)</f>
        <v>0.0</v>
      </c>
      <c r="X86" s="67" t="str">
        <f>IF(AND(ISNUMBER(S86),W86&gt;0),p_today+MAX(0,ROUNDUP(S86*7/W86,0)),"")</f>
        <v/>
      </c>
      <c r="Y86" s="67" t="str">
        <f>IF(AND(ISNUMBER(T86),OR(U86="En retard",U86="Bientôt",U86="À jour")),IF(AND(ISNUMBER(O86),ISNUMBER(X86)),MIN(F86,G86*7/W86),IF(ISNUMBER(O86),F86,G86*7/W86)),"")</f>
        <v/>
      </c>
      <c r="Z86" s="67" t="str">
        <f>IF(OR(U86="En retard",U86="Bientôt"),IF(U86="En retard",0,1)*1000000000+IF(AB86="A",0,IF(AB86="B",1,IF(AB86="C",2,3)))*100000000+IF(ISNUMBER(T86),T86,p_today)*1000+ROW()-5,"")</f>
        <v/>
      </c>
      <c r="AA86" s="67" t="str">
        <f>IF(Z86="","",COUNTIF($Z$6:$Z$505,"&lt;"&amp;Z86)+1)</f>
        <v/>
      </c>
      <c r="AB86" s="67" t="str">
        <f>IFERROR(INDEX(eq_crit,MATCH(B86,eq_code,0))&amp;"","")</f>
        <v/>
      </c>
    </row>
    <row r="87">
      <c r="A87" s="65" t="n"/>
      <c r="B87" s="66" t="n"/>
      <c r="C87" s="67" t="str">
        <f>IF(B87="","",IFERROR(INDEX(eq_des,MATCH(B87,eq_code,0))&amp;"","Équipement inconnu"))</f>
        <v/>
      </c>
      <c r="D87" s="66" t="n"/>
      <c r="E87" s="68" t="n"/>
      <c r="F87" s="69" t="n"/>
      <c r="G87" s="70" t="n"/>
      <c r="H87" s="71" t="n"/>
      <c r="I87" s="66" t="n"/>
      <c r="J87" s="72" t="n"/>
      <c r="K87" s="73" t="n"/>
      <c r="L87" s="68" t="n"/>
      <c r="M87" s="74" t="str">
        <f>IF(AND(A87="",B87="",D87=""),"",MAX(N(J87),IF(A87="",0,SUMPRODUCT(MAX((in_plan=A87)*in_prev*in_dnum)))))</f>
        <v/>
      </c>
      <c r="N87" s="75" t="str">
        <f>IF(AND(A87="",B87="",D87=""),"",MAX(N(K87),IF(A87="",0,SUMPRODUCT(MAX((in_plan=A87)*in_prev*in_cnum)))))</f>
        <v/>
      </c>
      <c r="O87" s="76" t="str">
        <f>IF(AND(OR(E87="Calendrier",E87="Au premier des deux"),N(F87)&gt;0,IF(N(M87)&gt;0,M87,IFERROR(N(INDEX(eq_start,MATCH(B87,eq_code,0))),0))&gt;0),IF(N(M87)&gt;0,M87,IFERROR(N(INDEX(eq_start,MATCH(B87,eq_code,0))),0))+F87,"")</f>
        <v/>
      </c>
      <c r="P87" s="75" t="str">
        <f>IF(AND(OR(E87="Compteur",E87="Au premier des deux"),N(G87)&gt;0),N(N87)+G87,"")</f>
        <v/>
      </c>
      <c r="Q87" s="75" t="str">
        <f>IF(B87="","",IFERROR(N(INDEX(eq_cnt,MATCH(B87,eq_code,0))),""))</f>
        <v/>
      </c>
      <c r="R87" s="77" t="str">
        <f>IF(ISNUMBER(O87),O87-p_today,"")</f>
        <v/>
      </c>
      <c r="S87" s="78" t="str">
        <f>IF(AND(ISNUMBER(P87),N(Q87)&gt;0),P87-Q87,"")</f>
        <v/>
      </c>
      <c r="T87" s="76" t="str">
        <f>IF(AND(ISNUMBER(O87),ISNUMBER(X87)),MIN(O87,X87),IF(ISNUMBER(O87),O87,X87))</f>
        <v/>
      </c>
      <c r="U87" s="79" t="str">
        <f>IF(AND(A87="",B87="",D87=""),"",IF(L87="Non","Inactif",IF(AND(NOT(ISNUMBER(R87)),NOT(ISNUMBER(S87))),"À compléter",IF(OR(AND(ISNUMBER(R87),N(R87)&lt;0),AND(ISNUMBER(S87),N(S87)&lt;0)),"En retard",IF(OR(AND(ISNUMBER(R87),N(R87)&lt;=p_soon),AND(ISNUMBER(S87),N(S87)&lt;=p_soon_pct*N(G87))),"Bientôt","À jour")))))</f>
        <v/>
      </c>
      <c r="V87" s="79" t="str">
        <f>IF(AND(A87="",B87="",D87=""),"",IF(A87="","N° de plan manquant",IF(COUNTIF($A$6:$A$505,A87)&gt;1,"N° de plan en double",IF(B87="","Équipement manquant",IF(ISNA(MATCH(B87,eq_code,0)),"Équipement inconnu",IF(D87="","Tâche manquante",IF(E87="","Déclenchement manquant",IF(AND(E87&lt;&gt;"Calendrier",E87&lt;&gt;"Compteur",E87&lt;&gt;"Au premier des deux"),"Déclenchement inconnu",IF(AND(E87&lt;&gt;"Compteur",OR(NOT(ISNUMBER(F87)),N(F87)&lt;=0)),"Périodicité en jours manquante",IF(AND(E87&lt;&gt;"Calendrier",OR(NOT(ISNUMBER(G87)),N(G87)&lt;=0)),"Périodicité compteur manquante",IF(AND(J87&lt;&gt;"",OR(NOT(ISNUMBER(J87)),N(J87)&lt;=0)),"Date de réalisation invalide",IF(AND(K87&lt;&gt;"",OR(NOT(ISNUMBER(K87)),N(K87)&lt;0)),"Compteur de réalisation invalide",IF(AND(E87&lt;&gt;"Compteur",N(M87)=0,IFERROR(N(INDEX(eq_start,MATCH(B87,eq_code,0))),0)=0),"Date de départ manquante",IF(AND(E87&lt;&gt;"Calendrier",K87="",N(N87)=0),"Compteur de départ manquant",IF(AND(E87&lt;&gt;"Calendrier",N(Q87)=0),"Relevé compteur manquant (Équipements)",IF(AND(I87&lt;&gt;"",ISNA(MATCH(I87,tech_name,0))),"Technicien inconnu",IF(AND(L87&lt;&gt;"",L87&lt;&gt;"Oui",L87&lt;&gt;"Non"),"Actif : Oui ou Non","OK")))))))))))))))))</f>
        <v/>
      </c>
      <c r="W87" s="67">
        <f>IFERROR(N(INDEX(eq_use,MATCH(B87,eq_code,0))),0)</f>
        <v>0.0</v>
      </c>
      <c r="X87" s="67" t="str">
        <f>IF(AND(ISNUMBER(S87),W87&gt;0),p_today+MAX(0,ROUNDUP(S87*7/W87,0)),"")</f>
        <v/>
      </c>
      <c r="Y87" s="67" t="str">
        <f>IF(AND(ISNUMBER(T87),OR(U87="En retard",U87="Bientôt",U87="À jour")),IF(AND(ISNUMBER(O87),ISNUMBER(X87)),MIN(F87,G87*7/W87),IF(ISNUMBER(O87),F87,G87*7/W87)),"")</f>
        <v/>
      </c>
      <c r="Z87" s="67" t="str">
        <f>IF(OR(U87="En retard",U87="Bientôt"),IF(U87="En retard",0,1)*1000000000+IF(AB87="A",0,IF(AB87="B",1,IF(AB87="C",2,3)))*100000000+IF(ISNUMBER(T87),T87,p_today)*1000+ROW()-5,"")</f>
        <v/>
      </c>
      <c r="AA87" s="67" t="str">
        <f>IF(Z87="","",COUNTIF($Z$6:$Z$505,"&lt;"&amp;Z87)+1)</f>
        <v/>
      </c>
      <c r="AB87" s="67" t="str">
        <f>IFERROR(INDEX(eq_crit,MATCH(B87,eq_code,0))&amp;"","")</f>
        <v/>
      </c>
    </row>
    <row r="88">
      <c r="A88" s="65" t="n"/>
      <c r="B88" s="66" t="n"/>
      <c r="C88" s="67" t="str">
        <f>IF(B88="","",IFERROR(INDEX(eq_des,MATCH(B88,eq_code,0))&amp;"","Équipement inconnu"))</f>
        <v/>
      </c>
      <c r="D88" s="66" t="n"/>
      <c r="E88" s="68" t="n"/>
      <c r="F88" s="69" t="n"/>
      <c r="G88" s="70" t="n"/>
      <c r="H88" s="71" t="n"/>
      <c r="I88" s="66" t="n"/>
      <c r="J88" s="72" t="n"/>
      <c r="K88" s="73" t="n"/>
      <c r="L88" s="68" t="n"/>
      <c r="M88" s="74" t="str">
        <f>IF(AND(A88="",B88="",D88=""),"",MAX(N(J88),IF(A88="",0,SUMPRODUCT(MAX((in_plan=A88)*in_prev*in_dnum)))))</f>
        <v/>
      </c>
      <c r="N88" s="75" t="str">
        <f>IF(AND(A88="",B88="",D88=""),"",MAX(N(K88),IF(A88="",0,SUMPRODUCT(MAX((in_plan=A88)*in_prev*in_cnum)))))</f>
        <v/>
      </c>
      <c r="O88" s="76" t="str">
        <f>IF(AND(OR(E88="Calendrier",E88="Au premier des deux"),N(F88)&gt;0,IF(N(M88)&gt;0,M88,IFERROR(N(INDEX(eq_start,MATCH(B88,eq_code,0))),0))&gt;0),IF(N(M88)&gt;0,M88,IFERROR(N(INDEX(eq_start,MATCH(B88,eq_code,0))),0))+F88,"")</f>
        <v/>
      </c>
      <c r="P88" s="75" t="str">
        <f>IF(AND(OR(E88="Compteur",E88="Au premier des deux"),N(G88)&gt;0),N(N88)+G88,"")</f>
        <v/>
      </c>
      <c r="Q88" s="75" t="str">
        <f>IF(B88="","",IFERROR(N(INDEX(eq_cnt,MATCH(B88,eq_code,0))),""))</f>
        <v/>
      </c>
      <c r="R88" s="77" t="str">
        <f>IF(ISNUMBER(O88),O88-p_today,"")</f>
        <v/>
      </c>
      <c r="S88" s="78" t="str">
        <f>IF(AND(ISNUMBER(P88),N(Q88)&gt;0),P88-Q88,"")</f>
        <v/>
      </c>
      <c r="T88" s="76" t="str">
        <f>IF(AND(ISNUMBER(O88),ISNUMBER(X88)),MIN(O88,X88),IF(ISNUMBER(O88),O88,X88))</f>
        <v/>
      </c>
      <c r="U88" s="79" t="str">
        <f>IF(AND(A88="",B88="",D88=""),"",IF(L88="Non","Inactif",IF(AND(NOT(ISNUMBER(R88)),NOT(ISNUMBER(S88))),"À compléter",IF(OR(AND(ISNUMBER(R88),N(R88)&lt;0),AND(ISNUMBER(S88),N(S88)&lt;0)),"En retard",IF(OR(AND(ISNUMBER(R88),N(R88)&lt;=p_soon),AND(ISNUMBER(S88),N(S88)&lt;=p_soon_pct*N(G88))),"Bientôt","À jour")))))</f>
        <v/>
      </c>
      <c r="V88" s="79" t="str">
        <f>IF(AND(A88="",B88="",D88=""),"",IF(A88="","N° de plan manquant",IF(COUNTIF($A$6:$A$505,A88)&gt;1,"N° de plan en double",IF(B88="","Équipement manquant",IF(ISNA(MATCH(B88,eq_code,0)),"Équipement inconnu",IF(D88="","Tâche manquante",IF(E88="","Déclenchement manquant",IF(AND(E88&lt;&gt;"Calendrier",E88&lt;&gt;"Compteur",E88&lt;&gt;"Au premier des deux"),"Déclenchement inconnu",IF(AND(E88&lt;&gt;"Compteur",OR(NOT(ISNUMBER(F88)),N(F88)&lt;=0)),"Périodicité en jours manquante",IF(AND(E88&lt;&gt;"Calendrier",OR(NOT(ISNUMBER(G88)),N(G88)&lt;=0)),"Périodicité compteur manquante",IF(AND(J88&lt;&gt;"",OR(NOT(ISNUMBER(J88)),N(J88)&lt;=0)),"Date de réalisation invalide",IF(AND(K88&lt;&gt;"",OR(NOT(ISNUMBER(K88)),N(K88)&lt;0)),"Compteur de réalisation invalide",IF(AND(E88&lt;&gt;"Compteur",N(M88)=0,IFERROR(N(INDEX(eq_start,MATCH(B88,eq_code,0))),0)=0),"Date de départ manquante",IF(AND(E88&lt;&gt;"Calendrier",K88="",N(N88)=0),"Compteur de départ manquant",IF(AND(E88&lt;&gt;"Calendrier",N(Q88)=0),"Relevé compteur manquant (Équipements)",IF(AND(I88&lt;&gt;"",ISNA(MATCH(I88,tech_name,0))),"Technicien inconnu",IF(AND(L88&lt;&gt;"",L88&lt;&gt;"Oui",L88&lt;&gt;"Non"),"Actif : Oui ou Non","OK")))))))))))))))))</f>
        <v/>
      </c>
      <c r="W88" s="67">
        <f>IFERROR(N(INDEX(eq_use,MATCH(B88,eq_code,0))),0)</f>
        <v>0.0</v>
      </c>
      <c r="X88" s="67" t="str">
        <f>IF(AND(ISNUMBER(S88),W88&gt;0),p_today+MAX(0,ROUNDUP(S88*7/W88,0)),"")</f>
        <v/>
      </c>
      <c r="Y88" s="67" t="str">
        <f>IF(AND(ISNUMBER(T88),OR(U88="En retard",U88="Bientôt",U88="À jour")),IF(AND(ISNUMBER(O88),ISNUMBER(X88)),MIN(F88,G88*7/W88),IF(ISNUMBER(O88),F88,G88*7/W88)),"")</f>
        <v/>
      </c>
      <c r="Z88" s="67" t="str">
        <f>IF(OR(U88="En retard",U88="Bientôt"),IF(U88="En retard",0,1)*1000000000+IF(AB88="A",0,IF(AB88="B",1,IF(AB88="C",2,3)))*100000000+IF(ISNUMBER(T88),T88,p_today)*1000+ROW()-5,"")</f>
        <v/>
      </c>
      <c r="AA88" s="67" t="str">
        <f>IF(Z88="","",COUNTIF($Z$6:$Z$505,"&lt;"&amp;Z88)+1)</f>
        <v/>
      </c>
      <c r="AB88" s="67" t="str">
        <f>IFERROR(INDEX(eq_crit,MATCH(B88,eq_code,0))&amp;"","")</f>
        <v/>
      </c>
    </row>
    <row r="89">
      <c r="A89" s="65" t="n"/>
      <c r="B89" s="66" t="n"/>
      <c r="C89" s="67" t="str">
        <f>IF(B89="","",IFERROR(INDEX(eq_des,MATCH(B89,eq_code,0))&amp;"","Équipement inconnu"))</f>
        <v/>
      </c>
      <c r="D89" s="66" t="n"/>
      <c r="E89" s="68" t="n"/>
      <c r="F89" s="69" t="n"/>
      <c r="G89" s="70" t="n"/>
      <c r="H89" s="71" t="n"/>
      <c r="I89" s="66" t="n"/>
      <c r="J89" s="72" t="n"/>
      <c r="K89" s="73" t="n"/>
      <c r="L89" s="68" t="n"/>
      <c r="M89" s="74" t="str">
        <f>IF(AND(A89="",B89="",D89=""),"",MAX(N(J89),IF(A89="",0,SUMPRODUCT(MAX((in_plan=A89)*in_prev*in_dnum)))))</f>
        <v/>
      </c>
      <c r="N89" s="75" t="str">
        <f>IF(AND(A89="",B89="",D89=""),"",MAX(N(K89),IF(A89="",0,SUMPRODUCT(MAX((in_plan=A89)*in_prev*in_cnum)))))</f>
        <v/>
      </c>
      <c r="O89" s="76" t="str">
        <f>IF(AND(OR(E89="Calendrier",E89="Au premier des deux"),N(F89)&gt;0,IF(N(M89)&gt;0,M89,IFERROR(N(INDEX(eq_start,MATCH(B89,eq_code,0))),0))&gt;0),IF(N(M89)&gt;0,M89,IFERROR(N(INDEX(eq_start,MATCH(B89,eq_code,0))),0))+F89,"")</f>
        <v/>
      </c>
      <c r="P89" s="75" t="str">
        <f>IF(AND(OR(E89="Compteur",E89="Au premier des deux"),N(G89)&gt;0),N(N89)+G89,"")</f>
        <v/>
      </c>
      <c r="Q89" s="75" t="str">
        <f>IF(B89="","",IFERROR(N(INDEX(eq_cnt,MATCH(B89,eq_code,0))),""))</f>
        <v/>
      </c>
      <c r="R89" s="77" t="str">
        <f>IF(ISNUMBER(O89),O89-p_today,"")</f>
        <v/>
      </c>
      <c r="S89" s="78" t="str">
        <f>IF(AND(ISNUMBER(P89),N(Q89)&gt;0),P89-Q89,"")</f>
        <v/>
      </c>
      <c r="T89" s="76" t="str">
        <f>IF(AND(ISNUMBER(O89),ISNUMBER(X89)),MIN(O89,X89),IF(ISNUMBER(O89),O89,X89))</f>
        <v/>
      </c>
      <c r="U89" s="79" t="str">
        <f>IF(AND(A89="",B89="",D89=""),"",IF(L89="Non","Inactif",IF(AND(NOT(ISNUMBER(R89)),NOT(ISNUMBER(S89))),"À compléter",IF(OR(AND(ISNUMBER(R89),N(R89)&lt;0),AND(ISNUMBER(S89),N(S89)&lt;0)),"En retard",IF(OR(AND(ISNUMBER(R89),N(R89)&lt;=p_soon),AND(ISNUMBER(S89),N(S89)&lt;=p_soon_pct*N(G89))),"Bientôt","À jour")))))</f>
        <v/>
      </c>
      <c r="V89" s="79" t="str">
        <f>IF(AND(A89="",B89="",D89=""),"",IF(A89="","N° de plan manquant",IF(COUNTIF($A$6:$A$505,A89)&gt;1,"N° de plan en double",IF(B89="","Équipement manquant",IF(ISNA(MATCH(B89,eq_code,0)),"Équipement inconnu",IF(D89="","Tâche manquante",IF(E89="","Déclenchement manquant",IF(AND(E89&lt;&gt;"Calendrier",E89&lt;&gt;"Compteur",E89&lt;&gt;"Au premier des deux"),"Déclenchement inconnu",IF(AND(E89&lt;&gt;"Compteur",OR(NOT(ISNUMBER(F89)),N(F89)&lt;=0)),"Périodicité en jours manquante",IF(AND(E89&lt;&gt;"Calendrier",OR(NOT(ISNUMBER(G89)),N(G89)&lt;=0)),"Périodicité compteur manquante",IF(AND(J89&lt;&gt;"",OR(NOT(ISNUMBER(J89)),N(J89)&lt;=0)),"Date de réalisation invalide",IF(AND(K89&lt;&gt;"",OR(NOT(ISNUMBER(K89)),N(K89)&lt;0)),"Compteur de réalisation invalide",IF(AND(E89&lt;&gt;"Compteur",N(M89)=0,IFERROR(N(INDEX(eq_start,MATCH(B89,eq_code,0))),0)=0),"Date de départ manquante",IF(AND(E89&lt;&gt;"Calendrier",K89="",N(N89)=0),"Compteur de départ manquant",IF(AND(E89&lt;&gt;"Calendrier",N(Q89)=0),"Relevé compteur manquant (Équipements)",IF(AND(I89&lt;&gt;"",ISNA(MATCH(I89,tech_name,0))),"Technicien inconnu",IF(AND(L89&lt;&gt;"",L89&lt;&gt;"Oui",L89&lt;&gt;"Non"),"Actif : Oui ou Non","OK")))))))))))))))))</f>
        <v/>
      </c>
      <c r="W89" s="67">
        <f>IFERROR(N(INDEX(eq_use,MATCH(B89,eq_code,0))),0)</f>
        <v>0.0</v>
      </c>
      <c r="X89" s="67" t="str">
        <f>IF(AND(ISNUMBER(S89),W89&gt;0),p_today+MAX(0,ROUNDUP(S89*7/W89,0)),"")</f>
        <v/>
      </c>
      <c r="Y89" s="67" t="str">
        <f>IF(AND(ISNUMBER(T89),OR(U89="En retard",U89="Bientôt",U89="À jour")),IF(AND(ISNUMBER(O89),ISNUMBER(X89)),MIN(F89,G89*7/W89),IF(ISNUMBER(O89),F89,G89*7/W89)),"")</f>
        <v/>
      </c>
      <c r="Z89" s="67" t="str">
        <f>IF(OR(U89="En retard",U89="Bientôt"),IF(U89="En retard",0,1)*1000000000+IF(AB89="A",0,IF(AB89="B",1,IF(AB89="C",2,3)))*100000000+IF(ISNUMBER(T89),T89,p_today)*1000+ROW()-5,"")</f>
        <v/>
      </c>
      <c r="AA89" s="67" t="str">
        <f>IF(Z89="","",COUNTIF($Z$6:$Z$505,"&lt;"&amp;Z89)+1)</f>
        <v/>
      </c>
      <c r="AB89" s="67" t="str">
        <f>IFERROR(INDEX(eq_crit,MATCH(B89,eq_code,0))&amp;"","")</f>
        <v/>
      </c>
    </row>
    <row r="90">
      <c r="A90" s="65" t="n"/>
      <c r="B90" s="66" t="n"/>
      <c r="C90" s="67" t="str">
        <f>IF(B90="","",IFERROR(INDEX(eq_des,MATCH(B90,eq_code,0))&amp;"","Équipement inconnu"))</f>
        <v/>
      </c>
      <c r="D90" s="66" t="n"/>
      <c r="E90" s="68" t="n"/>
      <c r="F90" s="69" t="n"/>
      <c r="G90" s="70" t="n"/>
      <c r="H90" s="71" t="n"/>
      <c r="I90" s="66" t="n"/>
      <c r="J90" s="72" t="n"/>
      <c r="K90" s="73" t="n"/>
      <c r="L90" s="68" t="n"/>
      <c r="M90" s="74" t="str">
        <f>IF(AND(A90="",B90="",D90=""),"",MAX(N(J90),IF(A90="",0,SUMPRODUCT(MAX((in_plan=A90)*in_prev*in_dnum)))))</f>
        <v/>
      </c>
      <c r="N90" s="75" t="str">
        <f>IF(AND(A90="",B90="",D90=""),"",MAX(N(K90),IF(A90="",0,SUMPRODUCT(MAX((in_plan=A90)*in_prev*in_cnum)))))</f>
        <v/>
      </c>
      <c r="O90" s="76" t="str">
        <f>IF(AND(OR(E90="Calendrier",E90="Au premier des deux"),N(F90)&gt;0,IF(N(M90)&gt;0,M90,IFERROR(N(INDEX(eq_start,MATCH(B90,eq_code,0))),0))&gt;0),IF(N(M90)&gt;0,M90,IFERROR(N(INDEX(eq_start,MATCH(B90,eq_code,0))),0))+F90,"")</f>
        <v/>
      </c>
      <c r="P90" s="75" t="str">
        <f>IF(AND(OR(E90="Compteur",E90="Au premier des deux"),N(G90)&gt;0),N(N90)+G90,"")</f>
        <v/>
      </c>
      <c r="Q90" s="75" t="str">
        <f>IF(B90="","",IFERROR(N(INDEX(eq_cnt,MATCH(B90,eq_code,0))),""))</f>
        <v/>
      </c>
      <c r="R90" s="77" t="str">
        <f>IF(ISNUMBER(O90),O90-p_today,"")</f>
        <v/>
      </c>
      <c r="S90" s="78" t="str">
        <f>IF(AND(ISNUMBER(P90),N(Q90)&gt;0),P90-Q90,"")</f>
        <v/>
      </c>
      <c r="T90" s="76" t="str">
        <f>IF(AND(ISNUMBER(O90),ISNUMBER(X90)),MIN(O90,X90),IF(ISNUMBER(O90),O90,X90))</f>
        <v/>
      </c>
      <c r="U90" s="79" t="str">
        <f>IF(AND(A90="",B90="",D90=""),"",IF(L90="Non","Inactif",IF(AND(NOT(ISNUMBER(R90)),NOT(ISNUMBER(S90))),"À compléter",IF(OR(AND(ISNUMBER(R90),N(R90)&lt;0),AND(ISNUMBER(S90),N(S90)&lt;0)),"En retard",IF(OR(AND(ISNUMBER(R90),N(R90)&lt;=p_soon),AND(ISNUMBER(S90),N(S90)&lt;=p_soon_pct*N(G90))),"Bientôt","À jour")))))</f>
        <v/>
      </c>
      <c r="V90" s="79" t="str">
        <f>IF(AND(A90="",B90="",D90=""),"",IF(A90="","N° de plan manquant",IF(COUNTIF($A$6:$A$505,A90)&gt;1,"N° de plan en double",IF(B90="","Équipement manquant",IF(ISNA(MATCH(B90,eq_code,0)),"Équipement inconnu",IF(D90="","Tâche manquante",IF(E90="","Déclenchement manquant",IF(AND(E90&lt;&gt;"Calendrier",E90&lt;&gt;"Compteur",E90&lt;&gt;"Au premier des deux"),"Déclenchement inconnu",IF(AND(E90&lt;&gt;"Compteur",OR(NOT(ISNUMBER(F90)),N(F90)&lt;=0)),"Périodicité en jours manquante",IF(AND(E90&lt;&gt;"Calendrier",OR(NOT(ISNUMBER(G90)),N(G90)&lt;=0)),"Périodicité compteur manquante",IF(AND(J90&lt;&gt;"",OR(NOT(ISNUMBER(J90)),N(J90)&lt;=0)),"Date de réalisation invalide",IF(AND(K90&lt;&gt;"",OR(NOT(ISNUMBER(K90)),N(K90)&lt;0)),"Compteur de réalisation invalide",IF(AND(E90&lt;&gt;"Compteur",N(M90)=0,IFERROR(N(INDEX(eq_start,MATCH(B90,eq_code,0))),0)=0),"Date de départ manquante",IF(AND(E90&lt;&gt;"Calendrier",K90="",N(N90)=0),"Compteur de départ manquant",IF(AND(E90&lt;&gt;"Calendrier",N(Q90)=0),"Relevé compteur manquant (Équipements)",IF(AND(I90&lt;&gt;"",ISNA(MATCH(I90,tech_name,0))),"Technicien inconnu",IF(AND(L90&lt;&gt;"",L90&lt;&gt;"Oui",L90&lt;&gt;"Non"),"Actif : Oui ou Non","OK")))))))))))))))))</f>
        <v/>
      </c>
      <c r="W90" s="67">
        <f>IFERROR(N(INDEX(eq_use,MATCH(B90,eq_code,0))),0)</f>
        <v>0.0</v>
      </c>
      <c r="X90" s="67" t="str">
        <f>IF(AND(ISNUMBER(S90),W90&gt;0),p_today+MAX(0,ROUNDUP(S90*7/W90,0)),"")</f>
        <v/>
      </c>
      <c r="Y90" s="67" t="str">
        <f>IF(AND(ISNUMBER(T90),OR(U90="En retard",U90="Bientôt",U90="À jour")),IF(AND(ISNUMBER(O90),ISNUMBER(X90)),MIN(F90,G90*7/W90),IF(ISNUMBER(O90),F90,G90*7/W90)),"")</f>
        <v/>
      </c>
      <c r="Z90" s="67" t="str">
        <f>IF(OR(U90="En retard",U90="Bientôt"),IF(U90="En retard",0,1)*1000000000+IF(AB90="A",0,IF(AB90="B",1,IF(AB90="C",2,3)))*100000000+IF(ISNUMBER(T90),T90,p_today)*1000+ROW()-5,"")</f>
        <v/>
      </c>
      <c r="AA90" s="67" t="str">
        <f>IF(Z90="","",COUNTIF($Z$6:$Z$505,"&lt;"&amp;Z90)+1)</f>
        <v/>
      </c>
      <c r="AB90" s="67" t="str">
        <f>IFERROR(INDEX(eq_crit,MATCH(B90,eq_code,0))&amp;"","")</f>
        <v/>
      </c>
    </row>
    <row r="91">
      <c r="A91" s="65" t="n"/>
      <c r="B91" s="66" t="n"/>
      <c r="C91" s="67" t="str">
        <f>IF(B91="","",IFERROR(INDEX(eq_des,MATCH(B91,eq_code,0))&amp;"","Équipement inconnu"))</f>
        <v/>
      </c>
      <c r="D91" s="66" t="n"/>
      <c r="E91" s="68" t="n"/>
      <c r="F91" s="69" t="n"/>
      <c r="G91" s="70" t="n"/>
      <c r="H91" s="71" t="n"/>
      <c r="I91" s="66" t="n"/>
      <c r="J91" s="72" t="n"/>
      <c r="K91" s="73" t="n"/>
      <c r="L91" s="68" t="n"/>
      <c r="M91" s="74" t="str">
        <f>IF(AND(A91="",B91="",D91=""),"",MAX(N(J91),IF(A91="",0,SUMPRODUCT(MAX((in_plan=A91)*in_prev*in_dnum)))))</f>
        <v/>
      </c>
      <c r="N91" s="75" t="str">
        <f>IF(AND(A91="",B91="",D91=""),"",MAX(N(K91),IF(A91="",0,SUMPRODUCT(MAX((in_plan=A91)*in_prev*in_cnum)))))</f>
        <v/>
      </c>
      <c r="O91" s="76" t="str">
        <f>IF(AND(OR(E91="Calendrier",E91="Au premier des deux"),N(F91)&gt;0,IF(N(M91)&gt;0,M91,IFERROR(N(INDEX(eq_start,MATCH(B91,eq_code,0))),0))&gt;0),IF(N(M91)&gt;0,M91,IFERROR(N(INDEX(eq_start,MATCH(B91,eq_code,0))),0))+F91,"")</f>
        <v/>
      </c>
      <c r="P91" s="75" t="str">
        <f>IF(AND(OR(E91="Compteur",E91="Au premier des deux"),N(G91)&gt;0),N(N91)+G91,"")</f>
        <v/>
      </c>
      <c r="Q91" s="75" t="str">
        <f>IF(B91="","",IFERROR(N(INDEX(eq_cnt,MATCH(B91,eq_code,0))),""))</f>
        <v/>
      </c>
      <c r="R91" s="77" t="str">
        <f>IF(ISNUMBER(O91),O91-p_today,"")</f>
        <v/>
      </c>
      <c r="S91" s="78" t="str">
        <f>IF(AND(ISNUMBER(P91),N(Q91)&gt;0),P91-Q91,"")</f>
        <v/>
      </c>
      <c r="T91" s="76" t="str">
        <f>IF(AND(ISNUMBER(O91),ISNUMBER(X91)),MIN(O91,X91),IF(ISNUMBER(O91),O91,X91))</f>
        <v/>
      </c>
      <c r="U91" s="79" t="str">
        <f>IF(AND(A91="",B91="",D91=""),"",IF(L91="Non","Inactif",IF(AND(NOT(ISNUMBER(R91)),NOT(ISNUMBER(S91))),"À compléter",IF(OR(AND(ISNUMBER(R91),N(R91)&lt;0),AND(ISNUMBER(S91),N(S91)&lt;0)),"En retard",IF(OR(AND(ISNUMBER(R91),N(R91)&lt;=p_soon),AND(ISNUMBER(S91),N(S91)&lt;=p_soon_pct*N(G91))),"Bientôt","À jour")))))</f>
        <v/>
      </c>
      <c r="V91" s="79" t="str">
        <f>IF(AND(A91="",B91="",D91=""),"",IF(A91="","N° de plan manquant",IF(COUNTIF($A$6:$A$505,A91)&gt;1,"N° de plan en double",IF(B91="","Équipement manquant",IF(ISNA(MATCH(B91,eq_code,0)),"Équipement inconnu",IF(D91="","Tâche manquante",IF(E91="","Déclenchement manquant",IF(AND(E91&lt;&gt;"Calendrier",E91&lt;&gt;"Compteur",E91&lt;&gt;"Au premier des deux"),"Déclenchement inconnu",IF(AND(E91&lt;&gt;"Compteur",OR(NOT(ISNUMBER(F91)),N(F91)&lt;=0)),"Périodicité en jours manquante",IF(AND(E91&lt;&gt;"Calendrier",OR(NOT(ISNUMBER(G91)),N(G91)&lt;=0)),"Périodicité compteur manquante",IF(AND(J91&lt;&gt;"",OR(NOT(ISNUMBER(J91)),N(J91)&lt;=0)),"Date de réalisation invalide",IF(AND(K91&lt;&gt;"",OR(NOT(ISNUMBER(K91)),N(K91)&lt;0)),"Compteur de réalisation invalide",IF(AND(E91&lt;&gt;"Compteur",N(M91)=0,IFERROR(N(INDEX(eq_start,MATCH(B91,eq_code,0))),0)=0),"Date de départ manquante",IF(AND(E91&lt;&gt;"Calendrier",K91="",N(N91)=0),"Compteur de départ manquant",IF(AND(E91&lt;&gt;"Calendrier",N(Q91)=0),"Relevé compteur manquant (Équipements)",IF(AND(I91&lt;&gt;"",ISNA(MATCH(I91,tech_name,0))),"Technicien inconnu",IF(AND(L91&lt;&gt;"",L91&lt;&gt;"Oui",L91&lt;&gt;"Non"),"Actif : Oui ou Non","OK")))))))))))))))))</f>
        <v/>
      </c>
      <c r="W91" s="67">
        <f>IFERROR(N(INDEX(eq_use,MATCH(B91,eq_code,0))),0)</f>
        <v>0.0</v>
      </c>
      <c r="X91" s="67" t="str">
        <f>IF(AND(ISNUMBER(S91),W91&gt;0),p_today+MAX(0,ROUNDUP(S91*7/W91,0)),"")</f>
        <v/>
      </c>
      <c r="Y91" s="67" t="str">
        <f>IF(AND(ISNUMBER(T91),OR(U91="En retard",U91="Bientôt",U91="À jour")),IF(AND(ISNUMBER(O91),ISNUMBER(X91)),MIN(F91,G91*7/W91),IF(ISNUMBER(O91),F91,G91*7/W91)),"")</f>
        <v/>
      </c>
      <c r="Z91" s="67" t="str">
        <f>IF(OR(U91="En retard",U91="Bientôt"),IF(U91="En retard",0,1)*1000000000+IF(AB91="A",0,IF(AB91="B",1,IF(AB91="C",2,3)))*100000000+IF(ISNUMBER(T91),T91,p_today)*1000+ROW()-5,"")</f>
        <v/>
      </c>
      <c r="AA91" s="67" t="str">
        <f>IF(Z91="","",COUNTIF($Z$6:$Z$505,"&lt;"&amp;Z91)+1)</f>
        <v/>
      </c>
      <c r="AB91" s="67" t="str">
        <f>IFERROR(INDEX(eq_crit,MATCH(B91,eq_code,0))&amp;"","")</f>
        <v/>
      </c>
    </row>
    <row r="92">
      <c r="A92" s="65" t="n"/>
      <c r="B92" s="66" t="n"/>
      <c r="C92" s="67" t="str">
        <f>IF(B92="","",IFERROR(INDEX(eq_des,MATCH(B92,eq_code,0))&amp;"","Équipement inconnu"))</f>
        <v/>
      </c>
      <c r="D92" s="66" t="n"/>
      <c r="E92" s="68" t="n"/>
      <c r="F92" s="69" t="n"/>
      <c r="G92" s="70" t="n"/>
      <c r="H92" s="71" t="n"/>
      <c r="I92" s="66" t="n"/>
      <c r="J92" s="72" t="n"/>
      <c r="K92" s="73" t="n"/>
      <c r="L92" s="68" t="n"/>
      <c r="M92" s="74" t="str">
        <f>IF(AND(A92="",B92="",D92=""),"",MAX(N(J92),IF(A92="",0,SUMPRODUCT(MAX((in_plan=A92)*in_prev*in_dnum)))))</f>
        <v/>
      </c>
      <c r="N92" s="75" t="str">
        <f>IF(AND(A92="",B92="",D92=""),"",MAX(N(K92),IF(A92="",0,SUMPRODUCT(MAX((in_plan=A92)*in_prev*in_cnum)))))</f>
        <v/>
      </c>
      <c r="O92" s="76" t="str">
        <f>IF(AND(OR(E92="Calendrier",E92="Au premier des deux"),N(F92)&gt;0,IF(N(M92)&gt;0,M92,IFERROR(N(INDEX(eq_start,MATCH(B92,eq_code,0))),0))&gt;0),IF(N(M92)&gt;0,M92,IFERROR(N(INDEX(eq_start,MATCH(B92,eq_code,0))),0))+F92,"")</f>
        <v/>
      </c>
      <c r="P92" s="75" t="str">
        <f>IF(AND(OR(E92="Compteur",E92="Au premier des deux"),N(G92)&gt;0),N(N92)+G92,"")</f>
        <v/>
      </c>
      <c r="Q92" s="75" t="str">
        <f>IF(B92="","",IFERROR(N(INDEX(eq_cnt,MATCH(B92,eq_code,0))),""))</f>
        <v/>
      </c>
      <c r="R92" s="77" t="str">
        <f>IF(ISNUMBER(O92),O92-p_today,"")</f>
        <v/>
      </c>
      <c r="S92" s="78" t="str">
        <f>IF(AND(ISNUMBER(P92),N(Q92)&gt;0),P92-Q92,"")</f>
        <v/>
      </c>
      <c r="T92" s="76" t="str">
        <f>IF(AND(ISNUMBER(O92),ISNUMBER(X92)),MIN(O92,X92),IF(ISNUMBER(O92),O92,X92))</f>
        <v/>
      </c>
      <c r="U92" s="79" t="str">
        <f>IF(AND(A92="",B92="",D92=""),"",IF(L92="Non","Inactif",IF(AND(NOT(ISNUMBER(R92)),NOT(ISNUMBER(S92))),"À compléter",IF(OR(AND(ISNUMBER(R92),N(R92)&lt;0),AND(ISNUMBER(S92),N(S92)&lt;0)),"En retard",IF(OR(AND(ISNUMBER(R92),N(R92)&lt;=p_soon),AND(ISNUMBER(S92),N(S92)&lt;=p_soon_pct*N(G92))),"Bientôt","À jour")))))</f>
        <v/>
      </c>
      <c r="V92" s="79" t="str">
        <f>IF(AND(A92="",B92="",D92=""),"",IF(A92="","N° de plan manquant",IF(COUNTIF($A$6:$A$505,A92)&gt;1,"N° de plan en double",IF(B92="","Équipement manquant",IF(ISNA(MATCH(B92,eq_code,0)),"Équipement inconnu",IF(D92="","Tâche manquante",IF(E92="","Déclenchement manquant",IF(AND(E92&lt;&gt;"Calendrier",E92&lt;&gt;"Compteur",E92&lt;&gt;"Au premier des deux"),"Déclenchement inconnu",IF(AND(E92&lt;&gt;"Compteur",OR(NOT(ISNUMBER(F92)),N(F92)&lt;=0)),"Périodicité en jours manquante",IF(AND(E92&lt;&gt;"Calendrier",OR(NOT(ISNUMBER(G92)),N(G92)&lt;=0)),"Périodicité compteur manquante",IF(AND(J92&lt;&gt;"",OR(NOT(ISNUMBER(J92)),N(J92)&lt;=0)),"Date de réalisation invalide",IF(AND(K92&lt;&gt;"",OR(NOT(ISNUMBER(K92)),N(K92)&lt;0)),"Compteur de réalisation invalide",IF(AND(E92&lt;&gt;"Compteur",N(M92)=0,IFERROR(N(INDEX(eq_start,MATCH(B92,eq_code,0))),0)=0),"Date de départ manquante",IF(AND(E92&lt;&gt;"Calendrier",K92="",N(N92)=0),"Compteur de départ manquant",IF(AND(E92&lt;&gt;"Calendrier",N(Q92)=0),"Relevé compteur manquant (Équipements)",IF(AND(I92&lt;&gt;"",ISNA(MATCH(I92,tech_name,0))),"Technicien inconnu",IF(AND(L92&lt;&gt;"",L92&lt;&gt;"Oui",L92&lt;&gt;"Non"),"Actif : Oui ou Non","OK")))))))))))))))))</f>
        <v/>
      </c>
      <c r="W92" s="67">
        <f>IFERROR(N(INDEX(eq_use,MATCH(B92,eq_code,0))),0)</f>
        <v>0.0</v>
      </c>
      <c r="X92" s="67" t="str">
        <f>IF(AND(ISNUMBER(S92),W92&gt;0),p_today+MAX(0,ROUNDUP(S92*7/W92,0)),"")</f>
        <v/>
      </c>
      <c r="Y92" s="67" t="str">
        <f>IF(AND(ISNUMBER(T92),OR(U92="En retard",U92="Bientôt",U92="À jour")),IF(AND(ISNUMBER(O92),ISNUMBER(X92)),MIN(F92,G92*7/W92),IF(ISNUMBER(O92),F92,G92*7/W92)),"")</f>
        <v/>
      </c>
      <c r="Z92" s="67" t="str">
        <f>IF(OR(U92="En retard",U92="Bientôt"),IF(U92="En retard",0,1)*1000000000+IF(AB92="A",0,IF(AB92="B",1,IF(AB92="C",2,3)))*100000000+IF(ISNUMBER(T92),T92,p_today)*1000+ROW()-5,"")</f>
        <v/>
      </c>
      <c r="AA92" s="67" t="str">
        <f>IF(Z92="","",COUNTIF($Z$6:$Z$505,"&lt;"&amp;Z92)+1)</f>
        <v/>
      </c>
      <c r="AB92" s="67" t="str">
        <f>IFERROR(INDEX(eq_crit,MATCH(B92,eq_code,0))&amp;"","")</f>
        <v/>
      </c>
    </row>
    <row r="93">
      <c r="A93" s="65" t="n"/>
      <c r="B93" s="66" t="n"/>
      <c r="C93" s="67" t="str">
        <f>IF(B93="","",IFERROR(INDEX(eq_des,MATCH(B93,eq_code,0))&amp;"","Équipement inconnu"))</f>
        <v/>
      </c>
      <c r="D93" s="66" t="n"/>
      <c r="E93" s="68" t="n"/>
      <c r="F93" s="69" t="n"/>
      <c r="G93" s="70" t="n"/>
      <c r="H93" s="71" t="n"/>
      <c r="I93" s="66" t="n"/>
      <c r="J93" s="72" t="n"/>
      <c r="K93" s="73" t="n"/>
      <c r="L93" s="68" t="n"/>
      <c r="M93" s="74" t="str">
        <f>IF(AND(A93="",B93="",D93=""),"",MAX(N(J93),IF(A93="",0,SUMPRODUCT(MAX((in_plan=A93)*in_prev*in_dnum)))))</f>
        <v/>
      </c>
      <c r="N93" s="75" t="str">
        <f>IF(AND(A93="",B93="",D93=""),"",MAX(N(K93),IF(A93="",0,SUMPRODUCT(MAX((in_plan=A93)*in_prev*in_cnum)))))</f>
        <v/>
      </c>
      <c r="O93" s="76" t="str">
        <f>IF(AND(OR(E93="Calendrier",E93="Au premier des deux"),N(F93)&gt;0,IF(N(M93)&gt;0,M93,IFERROR(N(INDEX(eq_start,MATCH(B93,eq_code,0))),0))&gt;0),IF(N(M93)&gt;0,M93,IFERROR(N(INDEX(eq_start,MATCH(B93,eq_code,0))),0))+F93,"")</f>
        <v/>
      </c>
      <c r="P93" s="75" t="str">
        <f>IF(AND(OR(E93="Compteur",E93="Au premier des deux"),N(G93)&gt;0),N(N93)+G93,"")</f>
        <v/>
      </c>
      <c r="Q93" s="75" t="str">
        <f>IF(B93="","",IFERROR(N(INDEX(eq_cnt,MATCH(B93,eq_code,0))),""))</f>
        <v/>
      </c>
      <c r="R93" s="77" t="str">
        <f>IF(ISNUMBER(O93),O93-p_today,"")</f>
        <v/>
      </c>
      <c r="S93" s="78" t="str">
        <f>IF(AND(ISNUMBER(P93),N(Q93)&gt;0),P93-Q93,"")</f>
        <v/>
      </c>
      <c r="T93" s="76" t="str">
        <f>IF(AND(ISNUMBER(O93),ISNUMBER(X93)),MIN(O93,X93),IF(ISNUMBER(O93),O93,X93))</f>
        <v/>
      </c>
      <c r="U93" s="79" t="str">
        <f>IF(AND(A93="",B93="",D93=""),"",IF(L93="Non","Inactif",IF(AND(NOT(ISNUMBER(R93)),NOT(ISNUMBER(S93))),"À compléter",IF(OR(AND(ISNUMBER(R93),N(R93)&lt;0),AND(ISNUMBER(S93),N(S93)&lt;0)),"En retard",IF(OR(AND(ISNUMBER(R93),N(R93)&lt;=p_soon),AND(ISNUMBER(S93),N(S93)&lt;=p_soon_pct*N(G93))),"Bientôt","À jour")))))</f>
        <v/>
      </c>
      <c r="V93" s="79" t="str">
        <f>IF(AND(A93="",B93="",D93=""),"",IF(A93="","N° de plan manquant",IF(COUNTIF($A$6:$A$505,A93)&gt;1,"N° de plan en double",IF(B93="","Équipement manquant",IF(ISNA(MATCH(B93,eq_code,0)),"Équipement inconnu",IF(D93="","Tâche manquante",IF(E93="","Déclenchement manquant",IF(AND(E93&lt;&gt;"Calendrier",E93&lt;&gt;"Compteur",E93&lt;&gt;"Au premier des deux"),"Déclenchement inconnu",IF(AND(E93&lt;&gt;"Compteur",OR(NOT(ISNUMBER(F93)),N(F93)&lt;=0)),"Périodicité en jours manquante",IF(AND(E93&lt;&gt;"Calendrier",OR(NOT(ISNUMBER(G93)),N(G93)&lt;=0)),"Périodicité compteur manquante",IF(AND(J93&lt;&gt;"",OR(NOT(ISNUMBER(J93)),N(J93)&lt;=0)),"Date de réalisation invalide",IF(AND(K93&lt;&gt;"",OR(NOT(ISNUMBER(K93)),N(K93)&lt;0)),"Compteur de réalisation invalide",IF(AND(E93&lt;&gt;"Compteur",N(M93)=0,IFERROR(N(INDEX(eq_start,MATCH(B93,eq_code,0))),0)=0),"Date de départ manquante",IF(AND(E93&lt;&gt;"Calendrier",K93="",N(N93)=0),"Compteur de départ manquant",IF(AND(E93&lt;&gt;"Calendrier",N(Q93)=0),"Relevé compteur manquant (Équipements)",IF(AND(I93&lt;&gt;"",ISNA(MATCH(I93,tech_name,0))),"Technicien inconnu",IF(AND(L93&lt;&gt;"",L93&lt;&gt;"Oui",L93&lt;&gt;"Non"),"Actif : Oui ou Non","OK")))))))))))))))))</f>
        <v/>
      </c>
      <c r="W93" s="67">
        <f>IFERROR(N(INDEX(eq_use,MATCH(B93,eq_code,0))),0)</f>
        <v>0.0</v>
      </c>
      <c r="X93" s="67" t="str">
        <f>IF(AND(ISNUMBER(S93),W93&gt;0),p_today+MAX(0,ROUNDUP(S93*7/W93,0)),"")</f>
        <v/>
      </c>
      <c r="Y93" s="67" t="str">
        <f>IF(AND(ISNUMBER(T93),OR(U93="En retard",U93="Bientôt",U93="À jour")),IF(AND(ISNUMBER(O93),ISNUMBER(X93)),MIN(F93,G93*7/W93),IF(ISNUMBER(O93),F93,G93*7/W93)),"")</f>
        <v/>
      </c>
      <c r="Z93" s="67" t="str">
        <f>IF(OR(U93="En retard",U93="Bientôt"),IF(U93="En retard",0,1)*1000000000+IF(AB93="A",0,IF(AB93="B",1,IF(AB93="C",2,3)))*100000000+IF(ISNUMBER(T93),T93,p_today)*1000+ROW()-5,"")</f>
        <v/>
      </c>
      <c r="AA93" s="67" t="str">
        <f>IF(Z93="","",COUNTIF($Z$6:$Z$505,"&lt;"&amp;Z93)+1)</f>
        <v/>
      </c>
      <c r="AB93" s="67" t="str">
        <f>IFERROR(INDEX(eq_crit,MATCH(B93,eq_code,0))&amp;"","")</f>
        <v/>
      </c>
    </row>
    <row r="94">
      <c r="A94" s="65" t="n"/>
      <c r="B94" s="66" t="n"/>
      <c r="C94" s="67" t="str">
        <f>IF(B94="","",IFERROR(INDEX(eq_des,MATCH(B94,eq_code,0))&amp;"","Équipement inconnu"))</f>
        <v/>
      </c>
      <c r="D94" s="66" t="n"/>
      <c r="E94" s="68" t="n"/>
      <c r="F94" s="69" t="n"/>
      <c r="G94" s="70" t="n"/>
      <c r="H94" s="71" t="n"/>
      <c r="I94" s="66" t="n"/>
      <c r="J94" s="72" t="n"/>
      <c r="K94" s="73" t="n"/>
      <c r="L94" s="68" t="n"/>
      <c r="M94" s="74" t="str">
        <f>IF(AND(A94="",B94="",D94=""),"",MAX(N(J94),IF(A94="",0,SUMPRODUCT(MAX((in_plan=A94)*in_prev*in_dnum)))))</f>
        <v/>
      </c>
      <c r="N94" s="75" t="str">
        <f>IF(AND(A94="",B94="",D94=""),"",MAX(N(K94),IF(A94="",0,SUMPRODUCT(MAX((in_plan=A94)*in_prev*in_cnum)))))</f>
        <v/>
      </c>
      <c r="O94" s="76" t="str">
        <f>IF(AND(OR(E94="Calendrier",E94="Au premier des deux"),N(F94)&gt;0,IF(N(M94)&gt;0,M94,IFERROR(N(INDEX(eq_start,MATCH(B94,eq_code,0))),0))&gt;0),IF(N(M94)&gt;0,M94,IFERROR(N(INDEX(eq_start,MATCH(B94,eq_code,0))),0))+F94,"")</f>
        <v/>
      </c>
      <c r="P94" s="75" t="str">
        <f>IF(AND(OR(E94="Compteur",E94="Au premier des deux"),N(G94)&gt;0),N(N94)+G94,"")</f>
        <v/>
      </c>
      <c r="Q94" s="75" t="str">
        <f>IF(B94="","",IFERROR(N(INDEX(eq_cnt,MATCH(B94,eq_code,0))),""))</f>
        <v/>
      </c>
      <c r="R94" s="77" t="str">
        <f>IF(ISNUMBER(O94),O94-p_today,"")</f>
        <v/>
      </c>
      <c r="S94" s="78" t="str">
        <f>IF(AND(ISNUMBER(P94),N(Q94)&gt;0),P94-Q94,"")</f>
        <v/>
      </c>
      <c r="T94" s="76" t="str">
        <f>IF(AND(ISNUMBER(O94),ISNUMBER(X94)),MIN(O94,X94),IF(ISNUMBER(O94),O94,X94))</f>
        <v/>
      </c>
      <c r="U94" s="79" t="str">
        <f>IF(AND(A94="",B94="",D94=""),"",IF(L94="Non","Inactif",IF(AND(NOT(ISNUMBER(R94)),NOT(ISNUMBER(S94))),"À compléter",IF(OR(AND(ISNUMBER(R94),N(R94)&lt;0),AND(ISNUMBER(S94),N(S94)&lt;0)),"En retard",IF(OR(AND(ISNUMBER(R94),N(R94)&lt;=p_soon),AND(ISNUMBER(S94),N(S94)&lt;=p_soon_pct*N(G94))),"Bientôt","À jour")))))</f>
        <v/>
      </c>
      <c r="V94" s="79" t="str">
        <f>IF(AND(A94="",B94="",D94=""),"",IF(A94="","N° de plan manquant",IF(COUNTIF($A$6:$A$505,A94)&gt;1,"N° de plan en double",IF(B94="","Équipement manquant",IF(ISNA(MATCH(B94,eq_code,0)),"Équipement inconnu",IF(D94="","Tâche manquante",IF(E94="","Déclenchement manquant",IF(AND(E94&lt;&gt;"Calendrier",E94&lt;&gt;"Compteur",E94&lt;&gt;"Au premier des deux"),"Déclenchement inconnu",IF(AND(E94&lt;&gt;"Compteur",OR(NOT(ISNUMBER(F94)),N(F94)&lt;=0)),"Périodicité en jours manquante",IF(AND(E94&lt;&gt;"Calendrier",OR(NOT(ISNUMBER(G94)),N(G94)&lt;=0)),"Périodicité compteur manquante",IF(AND(J94&lt;&gt;"",OR(NOT(ISNUMBER(J94)),N(J94)&lt;=0)),"Date de réalisation invalide",IF(AND(K94&lt;&gt;"",OR(NOT(ISNUMBER(K94)),N(K94)&lt;0)),"Compteur de réalisation invalide",IF(AND(E94&lt;&gt;"Compteur",N(M94)=0,IFERROR(N(INDEX(eq_start,MATCH(B94,eq_code,0))),0)=0),"Date de départ manquante",IF(AND(E94&lt;&gt;"Calendrier",K94="",N(N94)=0),"Compteur de départ manquant",IF(AND(E94&lt;&gt;"Calendrier",N(Q94)=0),"Relevé compteur manquant (Équipements)",IF(AND(I94&lt;&gt;"",ISNA(MATCH(I94,tech_name,0))),"Technicien inconnu",IF(AND(L94&lt;&gt;"",L94&lt;&gt;"Oui",L94&lt;&gt;"Non"),"Actif : Oui ou Non","OK")))))))))))))))))</f>
        <v/>
      </c>
      <c r="W94" s="67">
        <f>IFERROR(N(INDEX(eq_use,MATCH(B94,eq_code,0))),0)</f>
        <v>0.0</v>
      </c>
      <c r="X94" s="67" t="str">
        <f>IF(AND(ISNUMBER(S94),W94&gt;0),p_today+MAX(0,ROUNDUP(S94*7/W94,0)),"")</f>
        <v/>
      </c>
      <c r="Y94" s="67" t="str">
        <f>IF(AND(ISNUMBER(T94),OR(U94="En retard",U94="Bientôt",U94="À jour")),IF(AND(ISNUMBER(O94),ISNUMBER(X94)),MIN(F94,G94*7/W94),IF(ISNUMBER(O94),F94,G94*7/W94)),"")</f>
        <v/>
      </c>
      <c r="Z94" s="67" t="str">
        <f>IF(OR(U94="En retard",U94="Bientôt"),IF(U94="En retard",0,1)*1000000000+IF(AB94="A",0,IF(AB94="B",1,IF(AB94="C",2,3)))*100000000+IF(ISNUMBER(T94),T94,p_today)*1000+ROW()-5,"")</f>
        <v/>
      </c>
      <c r="AA94" s="67" t="str">
        <f>IF(Z94="","",COUNTIF($Z$6:$Z$505,"&lt;"&amp;Z94)+1)</f>
        <v/>
      </c>
      <c r="AB94" s="67" t="str">
        <f>IFERROR(INDEX(eq_crit,MATCH(B94,eq_code,0))&amp;"","")</f>
        <v/>
      </c>
    </row>
    <row r="95">
      <c r="A95" s="65" t="n"/>
      <c r="B95" s="66" t="n"/>
      <c r="C95" s="67" t="str">
        <f>IF(B95="","",IFERROR(INDEX(eq_des,MATCH(B95,eq_code,0))&amp;"","Équipement inconnu"))</f>
        <v/>
      </c>
      <c r="D95" s="66" t="n"/>
      <c r="E95" s="68" t="n"/>
      <c r="F95" s="69" t="n"/>
      <c r="G95" s="70" t="n"/>
      <c r="H95" s="71" t="n"/>
      <c r="I95" s="66" t="n"/>
      <c r="J95" s="72" t="n"/>
      <c r="K95" s="73" t="n"/>
      <c r="L95" s="68" t="n"/>
      <c r="M95" s="74" t="str">
        <f>IF(AND(A95="",B95="",D95=""),"",MAX(N(J95),IF(A95="",0,SUMPRODUCT(MAX((in_plan=A95)*in_prev*in_dnum)))))</f>
        <v/>
      </c>
      <c r="N95" s="75" t="str">
        <f>IF(AND(A95="",B95="",D95=""),"",MAX(N(K95),IF(A95="",0,SUMPRODUCT(MAX((in_plan=A95)*in_prev*in_cnum)))))</f>
        <v/>
      </c>
      <c r="O95" s="76" t="str">
        <f>IF(AND(OR(E95="Calendrier",E95="Au premier des deux"),N(F95)&gt;0,IF(N(M95)&gt;0,M95,IFERROR(N(INDEX(eq_start,MATCH(B95,eq_code,0))),0))&gt;0),IF(N(M95)&gt;0,M95,IFERROR(N(INDEX(eq_start,MATCH(B95,eq_code,0))),0))+F95,"")</f>
        <v/>
      </c>
      <c r="P95" s="75" t="str">
        <f>IF(AND(OR(E95="Compteur",E95="Au premier des deux"),N(G95)&gt;0),N(N95)+G95,"")</f>
        <v/>
      </c>
      <c r="Q95" s="75" t="str">
        <f>IF(B95="","",IFERROR(N(INDEX(eq_cnt,MATCH(B95,eq_code,0))),""))</f>
        <v/>
      </c>
      <c r="R95" s="77" t="str">
        <f>IF(ISNUMBER(O95),O95-p_today,"")</f>
        <v/>
      </c>
      <c r="S95" s="78" t="str">
        <f>IF(AND(ISNUMBER(P95),N(Q95)&gt;0),P95-Q95,"")</f>
        <v/>
      </c>
      <c r="T95" s="76" t="str">
        <f>IF(AND(ISNUMBER(O95),ISNUMBER(X95)),MIN(O95,X95),IF(ISNUMBER(O95),O95,X95))</f>
        <v/>
      </c>
      <c r="U95" s="79" t="str">
        <f>IF(AND(A95="",B95="",D95=""),"",IF(L95="Non","Inactif",IF(AND(NOT(ISNUMBER(R95)),NOT(ISNUMBER(S95))),"À compléter",IF(OR(AND(ISNUMBER(R95),N(R95)&lt;0),AND(ISNUMBER(S95),N(S95)&lt;0)),"En retard",IF(OR(AND(ISNUMBER(R95),N(R95)&lt;=p_soon),AND(ISNUMBER(S95),N(S95)&lt;=p_soon_pct*N(G95))),"Bientôt","À jour")))))</f>
        <v/>
      </c>
      <c r="V95" s="79" t="str">
        <f>IF(AND(A95="",B95="",D95=""),"",IF(A95="","N° de plan manquant",IF(COUNTIF($A$6:$A$505,A95)&gt;1,"N° de plan en double",IF(B95="","Équipement manquant",IF(ISNA(MATCH(B95,eq_code,0)),"Équipement inconnu",IF(D95="","Tâche manquante",IF(E95="","Déclenchement manquant",IF(AND(E95&lt;&gt;"Calendrier",E95&lt;&gt;"Compteur",E95&lt;&gt;"Au premier des deux"),"Déclenchement inconnu",IF(AND(E95&lt;&gt;"Compteur",OR(NOT(ISNUMBER(F95)),N(F95)&lt;=0)),"Périodicité en jours manquante",IF(AND(E95&lt;&gt;"Calendrier",OR(NOT(ISNUMBER(G95)),N(G95)&lt;=0)),"Périodicité compteur manquante",IF(AND(J95&lt;&gt;"",OR(NOT(ISNUMBER(J95)),N(J95)&lt;=0)),"Date de réalisation invalide",IF(AND(K95&lt;&gt;"",OR(NOT(ISNUMBER(K95)),N(K95)&lt;0)),"Compteur de réalisation invalide",IF(AND(E95&lt;&gt;"Compteur",N(M95)=0,IFERROR(N(INDEX(eq_start,MATCH(B95,eq_code,0))),0)=0),"Date de départ manquante",IF(AND(E95&lt;&gt;"Calendrier",K95="",N(N95)=0),"Compteur de départ manquant",IF(AND(E95&lt;&gt;"Calendrier",N(Q95)=0),"Relevé compteur manquant (Équipements)",IF(AND(I95&lt;&gt;"",ISNA(MATCH(I95,tech_name,0))),"Technicien inconnu",IF(AND(L95&lt;&gt;"",L95&lt;&gt;"Oui",L95&lt;&gt;"Non"),"Actif : Oui ou Non","OK")))))))))))))))))</f>
        <v/>
      </c>
      <c r="W95" s="67">
        <f>IFERROR(N(INDEX(eq_use,MATCH(B95,eq_code,0))),0)</f>
        <v>0.0</v>
      </c>
      <c r="X95" s="67" t="str">
        <f>IF(AND(ISNUMBER(S95),W95&gt;0),p_today+MAX(0,ROUNDUP(S95*7/W95,0)),"")</f>
        <v/>
      </c>
      <c r="Y95" s="67" t="str">
        <f>IF(AND(ISNUMBER(T95),OR(U95="En retard",U95="Bientôt",U95="À jour")),IF(AND(ISNUMBER(O95),ISNUMBER(X95)),MIN(F95,G95*7/W95),IF(ISNUMBER(O95),F95,G95*7/W95)),"")</f>
        <v/>
      </c>
      <c r="Z95" s="67" t="str">
        <f>IF(OR(U95="En retard",U95="Bientôt"),IF(U95="En retard",0,1)*1000000000+IF(AB95="A",0,IF(AB95="B",1,IF(AB95="C",2,3)))*100000000+IF(ISNUMBER(T95),T95,p_today)*1000+ROW()-5,"")</f>
        <v/>
      </c>
      <c r="AA95" s="67" t="str">
        <f>IF(Z95="","",COUNTIF($Z$6:$Z$505,"&lt;"&amp;Z95)+1)</f>
        <v/>
      </c>
      <c r="AB95" s="67" t="str">
        <f>IFERROR(INDEX(eq_crit,MATCH(B95,eq_code,0))&amp;"","")</f>
        <v/>
      </c>
    </row>
    <row r="96">
      <c r="A96" s="65" t="n"/>
      <c r="B96" s="66" t="n"/>
      <c r="C96" s="67" t="str">
        <f>IF(B96="","",IFERROR(INDEX(eq_des,MATCH(B96,eq_code,0))&amp;"","Équipement inconnu"))</f>
        <v/>
      </c>
      <c r="D96" s="66" t="n"/>
      <c r="E96" s="68" t="n"/>
      <c r="F96" s="69" t="n"/>
      <c r="G96" s="70" t="n"/>
      <c r="H96" s="71" t="n"/>
      <c r="I96" s="66" t="n"/>
      <c r="J96" s="72" t="n"/>
      <c r="K96" s="73" t="n"/>
      <c r="L96" s="68" t="n"/>
      <c r="M96" s="74" t="str">
        <f>IF(AND(A96="",B96="",D96=""),"",MAX(N(J96),IF(A96="",0,SUMPRODUCT(MAX((in_plan=A96)*in_prev*in_dnum)))))</f>
        <v/>
      </c>
      <c r="N96" s="75" t="str">
        <f>IF(AND(A96="",B96="",D96=""),"",MAX(N(K96),IF(A96="",0,SUMPRODUCT(MAX((in_plan=A96)*in_prev*in_cnum)))))</f>
        <v/>
      </c>
      <c r="O96" s="76" t="str">
        <f>IF(AND(OR(E96="Calendrier",E96="Au premier des deux"),N(F96)&gt;0,IF(N(M96)&gt;0,M96,IFERROR(N(INDEX(eq_start,MATCH(B96,eq_code,0))),0))&gt;0),IF(N(M96)&gt;0,M96,IFERROR(N(INDEX(eq_start,MATCH(B96,eq_code,0))),0))+F96,"")</f>
        <v/>
      </c>
      <c r="P96" s="75" t="str">
        <f>IF(AND(OR(E96="Compteur",E96="Au premier des deux"),N(G96)&gt;0),N(N96)+G96,"")</f>
        <v/>
      </c>
      <c r="Q96" s="75" t="str">
        <f>IF(B96="","",IFERROR(N(INDEX(eq_cnt,MATCH(B96,eq_code,0))),""))</f>
        <v/>
      </c>
      <c r="R96" s="77" t="str">
        <f>IF(ISNUMBER(O96),O96-p_today,"")</f>
        <v/>
      </c>
      <c r="S96" s="78" t="str">
        <f>IF(AND(ISNUMBER(P96),N(Q96)&gt;0),P96-Q96,"")</f>
        <v/>
      </c>
      <c r="T96" s="76" t="str">
        <f>IF(AND(ISNUMBER(O96),ISNUMBER(X96)),MIN(O96,X96),IF(ISNUMBER(O96),O96,X96))</f>
        <v/>
      </c>
      <c r="U96" s="79" t="str">
        <f>IF(AND(A96="",B96="",D96=""),"",IF(L96="Non","Inactif",IF(AND(NOT(ISNUMBER(R96)),NOT(ISNUMBER(S96))),"À compléter",IF(OR(AND(ISNUMBER(R96),N(R96)&lt;0),AND(ISNUMBER(S96),N(S96)&lt;0)),"En retard",IF(OR(AND(ISNUMBER(R96),N(R96)&lt;=p_soon),AND(ISNUMBER(S96),N(S96)&lt;=p_soon_pct*N(G96))),"Bientôt","À jour")))))</f>
        <v/>
      </c>
      <c r="V96" s="79" t="str">
        <f>IF(AND(A96="",B96="",D96=""),"",IF(A96="","N° de plan manquant",IF(COUNTIF($A$6:$A$505,A96)&gt;1,"N° de plan en double",IF(B96="","Équipement manquant",IF(ISNA(MATCH(B96,eq_code,0)),"Équipement inconnu",IF(D96="","Tâche manquante",IF(E96="","Déclenchement manquant",IF(AND(E96&lt;&gt;"Calendrier",E96&lt;&gt;"Compteur",E96&lt;&gt;"Au premier des deux"),"Déclenchement inconnu",IF(AND(E96&lt;&gt;"Compteur",OR(NOT(ISNUMBER(F96)),N(F96)&lt;=0)),"Périodicité en jours manquante",IF(AND(E96&lt;&gt;"Calendrier",OR(NOT(ISNUMBER(G96)),N(G96)&lt;=0)),"Périodicité compteur manquante",IF(AND(J96&lt;&gt;"",OR(NOT(ISNUMBER(J96)),N(J96)&lt;=0)),"Date de réalisation invalide",IF(AND(K96&lt;&gt;"",OR(NOT(ISNUMBER(K96)),N(K96)&lt;0)),"Compteur de réalisation invalide",IF(AND(E96&lt;&gt;"Compteur",N(M96)=0,IFERROR(N(INDEX(eq_start,MATCH(B96,eq_code,0))),0)=0),"Date de départ manquante",IF(AND(E96&lt;&gt;"Calendrier",K96="",N(N96)=0),"Compteur de départ manquant",IF(AND(E96&lt;&gt;"Calendrier",N(Q96)=0),"Relevé compteur manquant (Équipements)",IF(AND(I96&lt;&gt;"",ISNA(MATCH(I96,tech_name,0))),"Technicien inconnu",IF(AND(L96&lt;&gt;"",L96&lt;&gt;"Oui",L96&lt;&gt;"Non"),"Actif : Oui ou Non","OK")))))))))))))))))</f>
        <v/>
      </c>
      <c r="W96" s="67">
        <f>IFERROR(N(INDEX(eq_use,MATCH(B96,eq_code,0))),0)</f>
        <v>0.0</v>
      </c>
      <c r="X96" s="67" t="str">
        <f>IF(AND(ISNUMBER(S96),W96&gt;0),p_today+MAX(0,ROUNDUP(S96*7/W96,0)),"")</f>
        <v/>
      </c>
      <c r="Y96" s="67" t="str">
        <f>IF(AND(ISNUMBER(T96),OR(U96="En retard",U96="Bientôt",U96="À jour")),IF(AND(ISNUMBER(O96),ISNUMBER(X96)),MIN(F96,G96*7/W96),IF(ISNUMBER(O96),F96,G96*7/W96)),"")</f>
        <v/>
      </c>
      <c r="Z96" s="67" t="str">
        <f>IF(OR(U96="En retard",U96="Bientôt"),IF(U96="En retard",0,1)*1000000000+IF(AB96="A",0,IF(AB96="B",1,IF(AB96="C",2,3)))*100000000+IF(ISNUMBER(T96),T96,p_today)*1000+ROW()-5,"")</f>
        <v/>
      </c>
      <c r="AA96" s="67" t="str">
        <f>IF(Z96="","",COUNTIF($Z$6:$Z$505,"&lt;"&amp;Z96)+1)</f>
        <v/>
      </c>
      <c r="AB96" s="67" t="str">
        <f>IFERROR(INDEX(eq_crit,MATCH(B96,eq_code,0))&amp;"","")</f>
        <v/>
      </c>
    </row>
    <row r="97">
      <c r="A97" s="65" t="n"/>
      <c r="B97" s="66" t="n"/>
      <c r="C97" s="67" t="str">
        <f>IF(B97="","",IFERROR(INDEX(eq_des,MATCH(B97,eq_code,0))&amp;"","Équipement inconnu"))</f>
        <v/>
      </c>
      <c r="D97" s="66" t="n"/>
      <c r="E97" s="68" t="n"/>
      <c r="F97" s="69" t="n"/>
      <c r="G97" s="70" t="n"/>
      <c r="H97" s="71" t="n"/>
      <c r="I97" s="66" t="n"/>
      <c r="J97" s="72" t="n"/>
      <c r="K97" s="73" t="n"/>
      <c r="L97" s="68" t="n"/>
      <c r="M97" s="74" t="str">
        <f>IF(AND(A97="",B97="",D97=""),"",MAX(N(J97),IF(A97="",0,SUMPRODUCT(MAX((in_plan=A97)*in_prev*in_dnum)))))</f>
        <v/>
      </c>
      <c r="N97" s="75" t="str">
        <f>IF(AND(A97="",B97="",D97=""),"",MAX(N(K97),IF(A97="",0,SUMPRODUCT(MAX((in_plan=A97)*in_prev*in_cnum)))))</f>
        <v/>
      </c>
      <c r="O97" s="76" t="str">
        <f>IF(AND(OR(E97="Calendrier",E97="Au premier des deux"),N(F97)&gt;0,IF(N(M97)&gt;0,M97,IFERROR(N(INDEX(eq_start,MATCH(B97,eq_code,0))),0))&gt;0),IF(N(M97)&gt;0,M97,IFERROR(N(INDEX(eq_start,MATCH(B97,eq_code,0))),0))+F97,"")</f>
        <v/>
      </c>
      <c r="P97" s="75" t="str">
        <f>IF(AND(OR(E97="Compteur",E97="Au premier des deux"),N(G97)&gt;0),N(N97)+G97,"")</f>
        <v/>
      </c>
      <c r="Q97" s="75" t="str">
        <f>IF(B97="","",IFERROR(N(INDEX(eq_cnt,MATCH(B97,eq_code,0))),""))</f>
        <v/>
      </c>
      <c r="R97" s="77" t="str">
        <f>IF(ISNUMBER(O97),O97-p_today,"")</f>
        <v/>
      </c>
      <c r="S97" s="78" t="str">
        <f>IF(AND(ISNUMBER(P97),N(Q97)&gt;0),P97-Q97,"")</f>
        <v/>
      </c>
      <c r="T97" s="76" t="str">
        <f>IF(AND(ISNUMBER(O97),ISNUMBER(X97)),MIN(O97,X97),IF(ISNUMBER(O97),O97,X97))</f>
        <v/>
      </c>
      <c r="U97" s="79" t="str">
        <f>IF(AND(A97="",B97="",D97=""),"",IF(L97="Non","Inactif",IF(AND(NOT(ISNUMBER(R97)),NOT(ISNUMBER(S97))),"À compléter",IF(OR(AND(ISNUMBER(R97),N(R97)&lt;0),AND(ISNUMBER(S97),N(S97)&lt;0)),"En retard",IF(OR(AND(ISNUMBER(R97),N(R97)&lt;=p_soon),AND(ISNUMBER(S97),N(S97)&lt;=p_soon_pct*N(G97))),"Bientôt","À jour")))))</f>
        <v/>
      </c>
      <c r="V97" s="79" t="str">
        <f>IF(AND(A97="",B97="",D97=""),"",IF(A97="","N° de plan manquant",IF(COUNTIF($A$6:$A$505,A97)&gt;1,"N° de plan en double",IF(B97="","Équipement manquant",IF(ISNA(MATCH(B97,eq_code,0)),"Équipement inconnu",IF(D97="","Tâche manquante",IF(E97="","Déclenchement manquant",IF(AND(E97&lt;&gt;"Calendrier",E97&lt;&gt;"Compteur",E97&lt;&gt;"Au premier des deux"),"Déclenchement inconnu",IF(AND(E97&lt;&gt;"Compteur",OR(NOT(ISNUMBER(F97)),N(F97)&lt;=0)),"Périodicité en jours manquante",IF(AND(E97&lt;&gt;"Calendrier",OR(NOT(ISNUMBER(G97)),N(G97)&lt;=0)),"Périodicité compteur manquante",IF(AND(J97&lt;&gt;"",OR(NOT(ISNUMBER(J97)),N(J97)&lt;=0)),"Date de réalisation invalide",IF(AND(K97&lt;&gt;"",OR(NOT(ISNUMBER(K97)),N(K97)&lt;0)),"Compteur de réalisation invalide",IF(AND(E97&lt;&gt;"Compteur",N(M97)=0,IFERROR(N(INDEX(eq_start,MATCH(B97,eq_code,0))),0)=0),"Date de départ manquante",IF(AND(E97&lt;&gt;"Calendrier",K97="",N(N97)=0),"Compteur de départ manquant",IF(AND(E97&lt;&gt;"Calendrier",N(Q97)=0),"Relevé compteur manquant (Équipements)",IF(AND(I97&lt;&gt;"",ISNA(MATCH(I97,tech_name,0))),"Technicien inconnu",IF(AND(L97&lt;&gt;"",L97&lt;&gt;"Oui",L97&lt;&gt;"Non"),"Actif : Oui ou Non","OK")))))))))))))))))</f>
        <v/>
      </c>
      <c r="W97" s="67">
        <f>IFERROR(N(INDEX(eq_use,MATCH(B97,eq_code,0))),0)</f>
        <v>0.0</v>
      </c>
      <c r="X97" s="67" t="str">
        <f>IF(AND(ISNUMBER(S97),W97&gt;0),p_today+MAX(0,ROUNDUP(S97*7/W97,0)),"")</f>
        <v/>
      </c>
      <c r="Y97" s="67" t="str">
        <f>IF(AND(ISNUMBER(T97),OR(U97="En retard",U97="Bientôt",U97="À jour")),IF(AND(ISNUMBER(O97),ISNUMBER(X97)),MIN(F97,G97*7/W97),IF(ISNUMBER(O97),F97,G97*7/W97)),"")</f>
        <v/>
      </c>
      <c r="Z97" s="67" t="str">
        <f>IF(OR(U97="En retard",U97="Bientôt"),IF(U97="En retard",0,1)*1000000000+IF(AB97="A",0,IF(AB97="B",1,IF(AB97="C",2,3)))*100000000+IF(ISNUMBER(T97),T97,p_today)*1000+ROW()-5,"")</f>
        <v/>
      </c>
      <c r="AA97" s="67" t="str">
        <f>IF(Z97="","",COUNTIF($Z$6:$Z$505,"&lt;"&amp;Z97)+1)</f>
        <v/>
      </c>
      <c r="AB97" s="67" t="str">
        <f>IFERROR(INDEX(eq_crit,MATCH(B97,eq_code,0))&amp;"","")</f>
        <v/>
      </c>
    </row>
    <row r="98">
      <c r="A98" s="65" t="n"/>
      <c r="B98" s="66" t="n"/>
      <c r="C98" s="67" t="str">
        <f>IF(B98="","",IFERROR(INDEX(eq_des,MATCH(B98,eq_code,0))&amp;"","Équipement inconnu"))</f>
        <v/>
      </c>
      <c r="D98" s="66" t="n"/>
      <c r="E98" s="68" t="n"/>
      <c r="F98" s="69" t="n"/>
      <c r="G98" s="70" t="n"/>
      <c r="H98" s="71" t="n"/>
      <c r="I98" s="66" t="n"/>
      <c r="J98" s="72" t="n"/>
      <c r="K98" s="73" t="n"/>
      <c r="L98" s="68" t="n"/>
      <c r="M98" s="74" t="str">
        <f>IF(AND(A98="",B98="",D98=""),"",MAX(N(J98),IF(A98="",0,SUMPRODUCT(MAX((in_plan=A98)*in_prev*in_dnum)))))</f>
        <v/>
      </c>
      <c r="N98" s="75" t="str">
        <f>IF(AND(A98="",B98="",D98=""),"",MAX(N(K98),IF(A98="",0,SUMPRODUCT(MAX((in_plan=A98)*in_prev*in_cnum)))))</f>
        <v/>
      </c>
      <c r="O98" s="76" t="str">
        <f>IF(AND(OR(E98="Calendrier",E98="Au premier des deux"),N(F98)&gt;0,IF(N(M98)&gt;0,M98,IFERROR(N(INDEX(eq_start,MATCH(B98,eq_code,0))),0))&gt;0),IF(N(M98)&gt;0,M98,IFERROR(N(INDEX(eq_start,MATCH(B98,eq_code,0))),0))+F98,"")</f>
        <v/>
      </c>
      <c r="P98" s="75" t="str">
        <f>IF(AND(OR(E98="Compteur",E98="Au premier des deux"),N(G98)&gt;0),N(N98)+G98,"")</f>
        <v/>
      </c>
      <c r="Q98" s="75" t="str">
        <f>IF(B98="","",IFERROR(N(INDEX(eq_cnt,MATCH(B98,eq_code,0))),""))</f>
        <v/>
      </c>
      <c r="R98" s="77" t="str">
        <f>IF(ISNUMBER(O98),O98-p_today,"")</f>
        <v/>
      </c>
      <c r="S98" s="78" t="str">
        <f>IF(AND(ISNUMBER(P98),N(Q98)&gt;0),P98-Q98,"")</f>
        <v/>
      </c>
      <c r="T98" s="76" t="str">
        <f>IF(AND(ISNUMBER(O98),ISNUMBER(X98)),MIN(O98,X98),IF(ISNUMBER(O98),O98,X98))</f>
        <v/>
      </c>
      <c r="U98" s="79" t="str">
        <f>IF(AND(A98="",B98="",D98=""),"",IF(L98="Non","Inactif",IF(AND(NOT(ISNUMBER(R98)),NOT(ISNUMBER(S98))),"À compléter",IF(OR(AND(ISNUMBER(R98),N(R98)&lt;0),AND(ISNUMBER(S98),N(S98)&lt;0)),"En retard",IF(OR(AND(ISNUMBER(R98),N(R98)&lt;=p_soon),AND(ISNUMBER(S98),N(S98)&lt;=p_soon_pct*N(G98))),"Bientôt","À jour")))))</f>
        <v/>
      </c>
      <c r="V98" s="79" t="str">
        <f>IF(AND(A98="",B98="",D98=""),"",IF(A98="","N° de plan manquant",IF(COUNTIF($A$6:$A$505,A98)&gt;1,"N° de plan en double",IF(B98="","Équipement manquant",IF(ISNA(MATCH(B98,eq_code,0)),"Équipement inconnu",IF(D98="","Tâche manquante",IF(E98="","Déclenchement manquant",IF(AND(E98&lt;&gt;"Calendrier",E98&lt;&gt;"Compteur",E98&lt;&gt;"Au premier des deux"),"Déclenchement inconnu",IF(AND(E98&lt;&gt;"Compteur",OR(NOT(ISNUMBER(F98)),N(F98)&lt;=0)),"Périodicité en jours manquante",IF(AND(E98&lt;&gt;"Calendrier",OR(NOT(ISNUMBER(G98)),N(G98)&lt;=0)),"Périodicité compteur manquante",IF(AND(J98&lt;&gt;"",OR(NOT(ISNUMBER(J98)),N(J98)&lt;=0)),"Date de réalisation invalide",IF(AND(K98&lt;&gt;"",OR(NOT(ISNUMBER(K98)),N(K98)&lt;0)),"Compteur de réalisation invalide",IF(AND(E98&lt;&gt;"Compteur",N(M98)=0,IFERROR(N(INDEX(eq_start,MATCH(B98,eq_code,0))),0)=0),"Date de départ manquante",IF(AND(E98&lt;&gt;"Calendrier",K98="",N(N98)=0),"Compteur de départ manquant",IF(AND(E98&lt;&gt;"Calendrier",N(Q98)=0),"Relevé compteur manquant (Équipements)",IF(AND(I98&lt;&gt;"",ISNA(MATCH(I98,tech_name,0))),"Technicien inconnu",IF(AND(L98&lt;&gt;"",L98&lt;&gt;"Oui",L98&lt;&gt;"Non"),"Actif : Oui ou Non","OK")))))))))))))))))</f>
        <v/>
      </c>
      <c r="W98" s="67">
        <f>IFERROR(N(INDEX(eq_use,MATCH(B98,eq_code,0))),0)</f>
        <v>0.0</v>
      </c>
      <c r="X98" s="67" t="str">
        <f>IF(AND(ISNUMBER(S98),W98&gt;0),p_today+MAX(0,ROUNDUP(S98*7/W98,0)),"")</f>
        <v/>
      </c>
      <c r="Y98" s="67" t="str">
        <f>IF(AND(ISNUMBER(T98),OR(U98="En retard",U98="Bientôt",U98="À jour")),IF(AND(ISNUMBER(O98),ISNUMBER(X98)),MIN(F98,G98*7/W98),IF(ISNUMBER(O98),F98,G98*7/W98)),"")</f>
        <v/>
      </c>
      <c r="Z98" s="67" t="str">
        <f>IF(OR(U98="En retard",U98="Bientôt"),IF(U98="En retard",0,1)*1000000000+IF(AB98="A",0,IF(AB98="B",1,IF(AB98="C",2,3)))*100000000+IF(ISNUMBER(T98),T98,p_today)*1000+ROW()-5,"")</f>
        <v/>
      </c>
      <c r="AA98" s="67" t="str">
        <f>IF(Z98="","",COUNTIF($Z$6:$Z$505,"&lt;"&amp;Z98)+1)</f>
        <v/>
      </c>
      <c r="AB98" s="67" t="str">
        <f>IFERROR(INDEX(eq_crit,MATCH(B98,eq_code,0))&amp;"","")</f>
        <v/>
      </c>
    </row>
    <row r="99">
      <c r="A99" s="65" t="n"/>
      <c r="B99" s="66" t="n"/>
      <c r="C99" s="67" t="str">
        <f>IF(B99="","",IFERROR(INDEX(eq_des,MATCH(B99,eq_code,0))&amp;"","Équipement inconnu"))</f>
        <v/>
      </c>
      <c r="D99" s="66" t="n"/>
      <c r="E99" s="68" t="n"/>
      <c r="F99" s="69" t="n"/>
      <c r="G99" s="70" t="n"/>
      <c r="H99" s="71" t="n"/>
      <c r="I99" s="66" t="n"/>
      <c r="J99" s="72" t="n"/>
      <c r="K99" s="73" t="n"/>
      <c r="L99" s="68" t="n"/>
      <c r="M99" s="74" t="str">
        <f>IF(AND(A99="",B99="",D99=""),"",MAX(N(J99),IF(A99="",0,SUMPRODUCT(MAX((in_plan=A99)*in_prev*in_dnum)))))</f>
        <v/>
      </c>
      <c r="N99" s="75" t="str">
        <f>IF(AND(A99="",B99="",D99=""),"",MAX(N(K99),IF(A99="",0,SUMPRODUCT(MAX((in_plan=A99)*in_prev*in_cnum)))))</f>
        <v/>
      </c>
      <c r="O99" s="76" t="str">
        <f>IF(AND(OR(E99="Calendrier",E99="Au premier des deux"),N(F99)&gt;0,IF(N(M99)&gt;0,M99,IFERROR(N(INDEX(eq_start,MATCH(B99,eq_code,0))),0))&gt;0),IF(N(M99)&gt;0,M99,IFERROR(N(INDEX(eq_start,MATCH(B99,eq_code,0))),0))+F99,"")</f>
        <v/>
      </c>
      <c r="P99" s="75" t="str">
        <f>IF(AND(OR(E99="Compteur",E99="Au premier des deux"),N(G99)&gt;0),N(N99)+G99,"")</f>
        <v/>
      </c>
      <c r="Q99" s="75" t="str">
        <f>IF(B99="","",IFERROR(N(INDEX(eq_cnt,MATCH(B99,eq_code,0))),""))</f>
        <v/>
      </c>
      <c r="R99" s="77" t="str">
        <f>IF(ISNUMBER(O99),O99-p_today,"")</f>
        <v/>
      </c>
      <c r="S99" s="78" t="str">
        <f>IF(AND(ISNUMBER(P99),N(Q99)&gt;0),P99-Q99,"")</f>
        <v/>
      </c>
      <c r="T99" s="76" t="str">
        <f>IF(AND(ISNUMBER(O99),ISNUMBER(X99)),MIN(O99,X99),IF(ISNUMBER(O99),O99,X99))</f>
        <v/>
      </c>
      <c r="U99" s="79" t="str">
        <f>IF(AND(A99="",B99="",D99=""),"",IF(L99="Non","Inactif",IF(AND(NOT(ISNUMBER(R99)),NOT(ISNUMBER(S99))),"À compléter",IF(OR(AND(ISNUMBER(R99),N(R99)&lt;0),AND(ISNUMBER(S99),N(S99)&lt;0)),"En retard",IF(OR(AND(ISNUMBER(R99),N(R99)&lt;=p_soon),AND(ISNUMBER(S99),N(S99)&lt;=p_soon_pct*N(G99))),"Bientôt","À jour")))))</f>
        <v/>
      </c>
      <c r="V99" s="79" t="str">
        <f>IF(AND(A99="",B99="",D99=""),"",IF(A99="","N° de plan manquant",IF(COUNTIF($A$6:$A$505,A99)&gt;1,"N° de plan en double",IF(B99="","Équipement manquant",IF(ISNA(MATCH(B99,eq_code,0)),"Équipement inconnu",IF(D99="","Tâche manquante",IF(E99="","Déclenchement manquant",IF(AND(E99&lt;&gt;"Calendrier",E99&lt;&gt;"Compteur",E99&lt;&gt;"Au premier des deux"),"Déclenchement inconnu",IF(AND(E99&lt;&gt;"Compteur",OR(NOT(ISNUMBER(F99)),N(F99)&lt;=0)),"Périodicité en jours manquante",IF(AND(E99&lt;&gt;"Calendrier",OR(NOT(ISNUMBER(G99)),N(G99)&lt;=0)),"Périodicité compteur manquante",IF(AND(J99&lt;&gt;"",OR(NOT(ISNUMBER(J99)),N(J99)&lt;=0)),"Date de réalisation invalide",IF(AND(K99&lt;&gt;"",OR(NOT(ISNUMBER(K99)),N(K99)&lt;0)),"Compteur de réalisation invalide",IF(AND(E99&lt;&gt;"Compteur",N(M99)=0,IFERROR(N(INDEX(eq_start,MATCH(B99,eq_code,0))),0)=0),"Date de départ manquante",IF(AND(E99&lt;&gt;"Calendrier",K99="",N(N99)=0),"Compteur de départ manquant",IF(AND(E99&lt;&gt;"Calendrier",N(Q99)=0),"Relevé compteur manquant (Équipements)",IF(AND(I99&lt;&gt;"",ISNA(MATCH(I99,tech_name,0))),"Technicien inconnu",IF(AND(L99&lt;&gt;"",L99&lt;&gt;"Oui",L99&lt;&gt;"Non"),"Actif : Oui ou Non","OK")))))))))))))))))</f>
        <v/>
      </c>
      <c r="W99" s="67">
        <f>IFERROR(N(INDEX(eq_use,MATCH(B99,eq_code,0))),0)</f>
        <v>0.0</v>
      </c>
      <c r="X99" s="67" t="str">
        <f>IF(AND(ISNUMBER(S99),W99&gt;0),p_today+MAX(0,ROUNDUP(S99*7/W99,0)),"")</f>
        <v/>
      </c>
      <c r="Y99" s="67" t="str">
        <f>IF(AND(ISNUMBER(T99),OR(U99="En retard",U99="Bientôt",U99="À jour")),IF(AND(ISNUMBER(O99),ISNUMBER(X99)),MIN(F99,G99*7/W99),IF(ISNUMBER(O99),F99,G99*7/W99)),"")</f>
        <v/>
      </c>
      <c r="Z99" s="67" t="str">
        <f>IF(OR(U99="En retard",U99="Bientôt"),IF(U99="En retard",0,1)*1000000000+IF(AB99="A",0,IF(AB99="B",1,IF(AB99="C",2,3)))*100000000+IF(ISNUMBER(T99),T99,p_today)*1000+ROW()-5,"")</f>
        <v/>
      </c>
      <c r="AA99" s="67" t="str">
        <f>IF(Z99="","",COUNTIF($Z$6:$Z$505,"&lt;"&amp;Z99)+1)</f>
        <v/>
      </c>
      <c r="AB99" s="67" t="str">
        <f>IFERROR(INDEX(eq_crit,MATCH(B99,eq_code,0))&amp;"","")</f>
        <v/>
      </c>
    </row>
    <row r="100">
      <c r="A100" s="65" t="n"/>
      <c r="B100" s="66" t="n"/>
      <c r="C100" s="67" t="str">
        <f>IF(B100="","",IFERROR(INDEX(eq_des,MATCH(B100,eq_code,0))&amp;"","Équipement inconnu"))</f>
        <v/>
      </c>
      <c r="D100" s="66" t="n"/>
      <c r="E100" s="68" t="n"/>
      <c r="F100" s="69" t="n"/>
      <c r="G100" s="70" t="n"/>
      <c r="H100" s="71" t="n"/>
      <c r="I100" s="66" t="n"/>
      <c r="J100" s="72" t="n"/>
      <c r="K100" s="73" t="n"/>
      <c r="L100" s="68" t="n"/>
      <c r="M100" s="74" t="str">
        <f>IF(AND(A100="",B100="",D100=""),"",MAX(N(J100),IF(A100="",0,SUMPRODUCT(MAX((in_plan=A100)*in_prev*in_dnum)))))</f>
        <v/>
      </c>
      <c r="N100" s="75" t="str">
        <f>IF(AND(A100="",B100="",D100=""),"",MAX(N(K100),IF(A100="",0,SUMPRODUCT(MAX((in_plan=A100)*in_prev*in_cnum)))))</f>
        <v/>
      </c>
      <c r="O100" s="76" t="str">
        <f>IF(AND(OR(E100="Calendrier",E100="Au premier des deux"),N(F100)&gt;0,IF(N(M100)&gt;0,M100,IFERROR(N(INDEX(eq_start,MATCH(B100,eq_code,0))),0))&gt;0),IF(N(M100)&gt;0,M100,IFERROR(N(INDEX(eq_start,MATCH(B100,eq_code,0))),0))+F100,"")</f>
        <v/>
      </c>
      <c r="P100" s="75" t="str">
        <f>IF(AND(OR(E100="Compteur",E100="Au premier des deux"),N(G100)&gt;0),N(N100)+G100,"")</f>
        <v/>
      </c>
      <c r="Q100" s="75" t="str">
        <f>IF(B100="","",IFERROR(N(INDEX(eq_cnt,MATCH(B100,eq_code,0))),""))</f>
        <v/>
      </c>
      <c r="R100" s="77" t="str">
        <f>IF(ISNUMBER(O100),O100-p_today,"")</f>
        <v/>
      </c>
      <c r="S100" s="78" t="str">
        <f>IF(AND(ISNUMBER(P100),N(Q100)&gt;0),P100-Q100,"")</f>
        <v/>
      </c>
      <c r="T100" s="76" t="str">
        <f>IF(AND(ISNUMBER(O100),ISNUMBER(X100)),MIN(O100,X100),IF(ISNUMBER(O100),O100,X100))</f>
        <v/>
      </c>
      <c r="U100" s="79" t="str">
        <f>IF(AND(A100="",B100="",D100=""),"",IF(L100="Non","Inactif",IF(AND(NOT(ISNUMBER(R100)),NOT(ISNUMBER(S100))),"À compléter",IF(OR(AND(ISNUMBER(R100),N(R100)&lt;0),AND(ISNUMBER(S100),N(S100)&lt;0)),"En retard",IF(OR(AND(ISNUMBER(R100),N(R100)&lt;=p_soon),AND(ISNUMBER(S100),N(S100)&lt;=p_soon_pct*N(G100))),"Bientôt","À jour")))))</f>
        <v/>
      </c>
      <c r="V100" s="79" t="str">
        <f>IF(AND(A100="",B100="",D100=""),"",IF(A100="","N° de plan manquant",IF(COUNTIF($A$6:$A$505,A100)&gt;1,"N° de plan en double",IF(B100="","Équipement manquant",IF(ISNA(MATCH(B100,eq_code,0)),"Équipement inconnu",IF(D100="","Tâche manquante",IF(E100="","Déclenchement manquant",IF(AND(E100&lt;&gt;"Calendrier",E100&lt;&gt;"Compteur",E100&lt;&gt;"Au premier des deux"),"Déclenchement inconnu",IF(AND(E100&lt;&gt;"Compteur",OR(NOT(ISNUMBER(F100)),N(F100)&lt;=0)),"Périodicité en jours manquante",IF(AND(E100&lt;&gt;"Calendrier",OR(NOT(ISNUMBER(G100)),N(G100)&lt;=0)),"Périodicité compteur manquante",IF(AND(J100&lt;&gt;"",OR(NOT(ISNUMBER(J100)),N(J100)&lt;=0)),"Date de réalisation invalide",IF(AND(K100&lt;&gt;"",OR(NOT(ISNUMBER(K100)),N(K100)&lt;0)),"Compteur de réalisation invalide",IF(AND(E100&lt;&gt;"Compteur",N(M100)=0,IFERROR(N(INDEX(eq_start,MATCH(B100,eq_code,0))),0)=0),"Date de départ manquante",IF(AND(E100&lt;&gt;"Calendrier",K100="",N(N100)=0),"Compteur de départ manquant",IF(AND(E100&lt;&gt;"Calendrier",N(Q100)=0),"Relevé compteur manquant (Équipements)",IF(AND(I100&lt;&gt;"",ISNA(MATCH(I100,tech_name,0))),"Technicien inconnu",IF(AND(L100&lt;&gt;"",L100&lt;&gt;"Oui",L100&lt;&gt;"Non"),"Actif : Oui ou Non","OK")))))))))))))))))</f>
        <v/>
      </c>
      <c r="W100" s="67">
        <f>IFERROR(N(INDEX(eq_use,MATCH(B100,eq_code,0))),0)</f>
        <v>0.0</v>
      </c>
      <c r="X100" s="67" t="str">
        <f>IF(AND(ISNUMBER(S100),W100&gt;0),p_today+MAX(0,ROUNDUP(S100*7/W100,0)),"")</f>
        <v/>
      </c>
      <c r="Y100" s="67" t="str">
        <f>IF(AND(ISNUMBER(T100),OR(U100="En retard",U100="Bientôt",U100="À jour")),IF(AND(ISNUMBER(O100),ISNUMBER(X100)),MIN(F100,G100*7/W100),IF(ISNUMBER(O100),F100,G100*7/W100)),"")</f>
        <v/>
      </c>
      <c r="Z100" s="67" t="str">
        <f>IF(OR(U100="En retard",U100="Bientôt"),IF(U100="En retard",0,1)*1000000000+IF(AB100="A",0,IF(AB100="B",1,IF(AB100="C",2,3)))*100000000+IF(ISNUMBER(T100),T100,p_today)*1000+ROW()-5,"")</f>
        <v/>
      </c>
      <c r="AA100" s="67" t="str">
        <f>IF(Z100="","",COUNTIF($Z$6:$Z$505,"&lt;"&amp;Z100)+1)</f>
        <v/>
      </c>
      <c r="AB100" s="67" t="str">
        <f>IFERROR(INDEX(eq_crit,MATCH(B100,eq_code,0))&amp;"","")</f>
        <v/>
      </c>
    </row>
    <row r="101">
      <c r="A101" s="65" t="n"/>
      <c r="B101" s="66" t="n"/>
      <c r="C101" s="67" t="str">
        <f>IF(B101="","",IFERROR(INDEX(eq_des,MATCH(B101,eq_code,0))&amp;"","Équipement inconnu"))</f>
        <v/>
      </c>
      <c r="D101" s="66" t="n"/>
      <c r="E101" s="68" t="n"/>
      <c r="F101" s="69" t="n"/>
      <c r="G101" s="70" t="n"/>
      <c r="H101" s="71" t="n"/>
      <c r="I101" s="66" t="n"/>
      <c r="J101" s="72" t="n"/>
      <c r="K101" s="73" t="n"/>
      <c r="L101" s="68" t="n"/>
      <c r="M101" s="74" t="str">
        <f>IF(AND(A101="",B101="",D101=""),"",MAX(N(J101),IF(A101="",0,SUMPRODUCT(MAX((in_plan=A101)*in_prev*in_dnum)))))</f>
        <v/>
      </c>
      <c r="N101" s="75" t="str">
        <f>IF(AND(A101="",B101="",D101=""),"",MAX(N(K101),IF(A101="",0,SUMPRODUCT(MAX((in_plan=A101)*in_prev*in_cnum)))))</f>
        <v/>
      </c>
      <c r="O101" s="76" t="str">
        <f>IF(AND(OR(E101="Calendrier",E101="Au premier des deux"),N(F101)&gt;0,IF(N(M101)&gt;0,M101,IFERROR(N(INDEX(eq_start,MATCH(B101,eq_code,0))),0))&gt;0),IF(N(M101)&gt;0,M101,IFERROR(N(INDEX(eq_start,MATCH(B101,eq_code,0))),0))+F101,"")</f>
        <v/>
      </c>
      <c r="P101" s="75" t="str">
        <f>IF(AND(OR(E101="Compteur",E101="Au premier des deux"),N(G101)&gt;0),N(N101)+G101,"")</f>
        <v/>
      </c>
      <c r="Q101" s="75" t="str">
        <f>IF(B101="","",IFERROR(N(INDEX(eq_cnt,MATCH(B101,eq_code,0))),""))</f>
        <v/>
      </c>
      <c r="R101" s="77" t="str">
        <f>IF(ISNUMBER(O101),O101-p_today,"")</f>
        <v/>
      </c>
      <c r="S101" s="78" t="str">
        <f>IF(AND(ISNUMBER(P101),N(Q101)&gt;0),P101-Q101,"")</f>
        <v/>
      </c>
      <c r="T101" s="76" t="str">
        <f>IF(AND(ISNUMBER(O101),ISNUMBER(X101)),MIN(O101,X101),IF(ISNUMBER(O101),O101,X101))</f>
        <v/>
      </c>
      <c r="U101" s="79" t="str">
        <f>IF(AND(A101="",B101="",D101=""),"",IF(L101="Non","Inactif",IF(AND(NOT(ISNUMBER(R101)),NOT(ISNUMBER(S101))),"À compléter",IF(OR(AND(ISNUMBER(R101),N(R101)&lt;0),AND(ISNUMBER(S101),N(S101)&lt;0)),"En retard",IF(OR(AND(ISNUMBER(R101),N(R101)&lt;=p_soon),AND(ISNUMBER(S101),N(S101)&lt;=p_soon_pct*N(G101))),"Bientôt","À jour")))))</f>
        <v/>
      </c>
      <c r="V101" s="79" t="str">
        <f>IF(AND(A101="",B101="",D101=""),"",IF(A101="","N° de plan manquant",IF(COUNTIF($A$6:$A$505,A101)&gt;1,"N° de plan en double",IF(B101="","Équipement manquant",IF(ISNA(MATCH(B101,eq_code,0)),"Équipement inconnu",IF(D101="","Tâche manquante",IF(E101="","Déclenchement manquant",IF(AND(E101&lt;&gt;"Calendrier",E101&lt;&gt;"Compteur",E101&lt;&gt;"Au premier des deux"),"Déclenchement inconnu",IF(AND(E101&lt;&gt;"Compteur",OR(NOT(ISNUMBER(F101)),N(F101)&lt;=0)),"Périodicité en jours manquante",IF(AND(E101&lt;&gt;"Calendrier",OR(NOT(ISNUMBER(G101)),N(G101)&lt;=0)),"Périodicité compteur manquante",IF(AND(J101&lt;&gt;"",OR(NOT(ISNUMBER(J101)),N(J101)&lt;=0)),"Date de réalisation invalide",IF(AND(K101&lt;&gt;"",OR(NOT(ISNUMBER(K101)),N(K101)&lt;0)),"Compteur de réalisation invalide",IF(AND(E101&lt;&gt;"Compteur",N(M101)=0,IFERROR(N(INDEX(eq_start,MATCH(B101,eq_code,0))),0)=0),"Date de départ manquante",IF(AND(E101&lt;&gt;"Calendrier",K101="",N(N101)=0),"Compteur de départ manquant",IF(AND(E101&lt;&gt;"Calendrier",N(Q101)=0),"Relevé compteur manquant (Équipements)",IF(AND(I101&lt;&gt;"",ISNA(MATCH(I101,tech_name,0))),"Technicien inconnu",IF(AND(L101&lt;&gt;"",L101&lt;&gt;"Oui",L101&lt;&gt;"Non"),"Actif : Oui ou Non","OK")))))))))))))))))</f>
        <v/>
      </c>
      <c r="W101" s="67">
        <f>IFERROR(N(INDEX(eq_use,MATCH(B101,eq_code,0))),0)</f>
        <v>0.0</v>
      </c>
      <c r="X101" s="67" t="str">
        <f>IF(AND(ISNUMBER(S101),W101&gt;0),p_today+MAX(0,ROUNDUP(S101*7/W101,0)),"")</f>
        <v/>
      </c>
      <c r="Y101" s="67" t="str">
        <f>IF(AND(ISNUMBER(T101),OR(U101="En retard",U101="Bientôt",U101="À jour")),IF(AND(ISNUMBER(O101),ISNUMBER(X101)),MIN(F101,G101*7/W101),IF(ISNUMBER(O101),F101,G101*7/W101)),"")</f>
        <v/>
      </c>
      <c r="Z101" s="67" t="str">
        <f>IF(OR(U101="En retard",U101="Bientôt"),IF(U101="En retard",0,1)*1000000000+IF(AB101="A",0,IF(AB101="B",1,IF(AB101="C",2,3)))*100000000+IF(ISNUMBER(T101),T101,p_today)*1000+ROW()-5,"")</f>
        <v/>
      </c>
      <c r="AA101" s="67" t="str">
        <f>IF(Z101="","",COUNTIF($Z$6:$Z$505,"&lt;"&amp;Z101)+1)</f>
        <v/>
      </c>
      <c r="AB101" s="67" t="str">
        <f>IFERROR(INDEX(eq_crit,MATCH(B101,eq_code,0))&amp;"","")</f>
        <v/>
      </c>
    </row>
    <row r="102">
      <c r="A102" s="65" t="n"/>
      <c r="B102" s="66" t="n"/>
      <c r="C102" s="67" t="str">
        <f>IF(B102="","",IFERROR(INDEX(eq_des,MATCH(B102,eq_code,0))&amp;"","Équipement inconnu"))</f>
        <v/>
      </c>
      <c r="D102" s="66" t="n"/>
      <c r="E102" s="68" t="n"/>
      <c r="F102" s="69" t="n"/>
      <c r="G102" s="70" t="n"/>
      <c r="H102" s="71" t="n"/>
      <c r="I102" s="66" t="n"/>
      <c r="J102" s="72" t="n"/>
      <c r="K102" s="73" t="n"/>
      <c r="L102" s="68" t="n"/>
      <c r="M102" s="74" t="str">
        <f>IF(AND(A102="",B102="",D102=""),"",MAX(N(J102),IF(A102="",0,SUMPRODUCT(MAX((in_plan=A102)*in_prev*in_dnum)))))</f>
        <v/>
      </c>
      <c r="N102" s="75" t="str">
        <f>IF(AND(A102="",B102="",D102=""),"",MAX(N(K102),IF(A102="",0,SUMPRODUCT(MAX((in_plan=A102)*in_prev*in_cnum)))))</f>
        <v/>
      </c>
      <c r="O102" s="76" t="str">
        <f>IF(AND(OR(E102="Calendrier",E102="Au premier des deux"),N(F102)&gt;0,IF(N(M102)&gt;0,M102,IFERROR(N(INDEX(eq_start,MATCH(B102,eq_code,0))),0))&gt;0),IF(N(M102)&gt;0,M102,IFERROR(N(INDEX(eq_start,MATCH(B102,eq_code,0))),0))+F102,"")</f>
        <v/>
      </c>
      <c r="P102" s="75" t="str">
        <f>IF(AND(OR(E102="Compteur",E102="Au premier des deux"),N(G102)&gt;0),N(N102)+G102,"")</f>
        <v/>
      </c>
      <c r="Q102" s="75" t="str">
        <f>IF(B102="","",IFERROR(N(INDEX(eq_cnt,MATCH(B102,eq_code,0))),""))</f>
        <v/>
      </c>
      <c r="R102" s="77" t="str">
        <f>IF(ISNUMBER(O102),O102-p_today,"")</f>
        <v/>
      </c>
      <c r="S102" s="78" t="str">
        <f>IF(AND(ISNUMBER(P102),N(Q102)&gt;0),P102-Q102,"")</f>
        <v/>
      </c>
      <c r="T102" s="76" t="str">
        <f>IF(AND(ISNUMBER(O102),ISNUMBER(X102)),MIN(O102,X102),IF(ISNUMBER(O102),O102,X102))</f>
        <v/>
      </c>
      <c r="U102" s="79" t="str">
        <f>IF(AND(A102="",B102="",D102=""),"",IF(L102="Non","Inactif",IF(AND(NOT(ISNUMBER(R102)),NOT(ISNUMBER(S102))),"À compléter",IF(OR(AND(ISNUMBER(R102),N(R102)&lt;0),AND(ISNUMBER(S102),N(S102)&lt;0)),"En retard",IF(OR(AND(ISNUMBER(R102),N(R102)&lt;=p_soon),AND(ISNUMBER(S102),N(S102)&lt;=p_soon_pct*N(G102))),"Bientôt","À jour")))))</f>
        <v/>
      </c>
      <c r="V102" s="79" t="str">
        <f>IF(AND(A102="",B102="",D102=""),"",IF(A102="","N° de plan manquant",IF(COUNTIF($A$6:$A$505,A102)&gt;1,"N° de plan en double",IF(B102="","Équipement manquant",IF(ISNA(MATCH(B102,eq_code,0)),"Équipement inconnu",IF(D102="","Tâche manquante",IF(E102="","Déclenchement manquant",IF(AND(E102&lt;&gt;"Calendrier",E102&lt;&gt;"Compteur",E102&lt;&gt;"Au premier des deux"),"Déclenchement inconnu",IF(AND(E102&lt;&gt;"Compteur",OR(NOT(ISNUMBER(F102)),N(F102)&lt;=0)),"Périodicité en jours manquante",IF(AND(E102&lt;&gt;"Calendrier",OR(NOT(ISNUMBER(G102)),N(G102)&lt;=0)),"Périodicité compteur manquante",IF(AND(J102&lt;&gt;"",OR(NOT(ISNUMBER(J102)),N(J102)&lt;=0)),"Date de réalisation invalide",IF(AND(K102&lt;&gt;"",OR(NOT(ISNUMBER(K102)),N(K102)&lt;0)),"Compteur de réalisation invalide",IF(AND(E102&lt;&gt;"Compteur",N(M102)=0,IFERROR(N(INDEX(eq_start,MATCH(B102,eq_code,0))),0)=0),"Date de départ manquante",IF(AND(E102&lt;&gt;"Calendrier",K102="",N(N102)=0),"Compteur de départ manquant",IF(AND(E102&lt;&gt;"Calendrier",N(Q102)=0),"Relevé compteur manquant (Équipements)",IF(AND(I102&lt;&gt;"",ISNA(MATCH(I102,tech_name,0))),"Technicien inconnu",IF(AND(L102&lt;&gt;"",L102&lt;&gt;"Oui",L102&lt;&gt;"Non"),"Actif : Oui ou Non","OK")))))))))))))))))</f>
        <v/>
      </c>
      <c r="W102" s="67">
        <f>IFERROR(N(INDEX(eq_use,MATCH(B102,eq_code,0))),0)</f>
        <v>0.0</v>
      </c>
      <c r="X102" s="67" t="str">
        <f>IF(AND(ISNUMBER(S102),W102&gt;0),p_today+MAX(0,ROUNDUP(S102*7/W102,0)),"")</f>
        <v/>
      </c>
      <c r="Y102" s="67" t="str">
        <f>IF(AND(ISNUMBER(T102),OR(U102="En retard",U102="Bientôt",U102="À jour")),IF(AND(ISNUMBER(O102),ISNUMBER(X102)),MIN(F102,G102*7/W102),IF(ISNUMBER(O102),F102,G102*7/W102)),"")</f>
        <v/>
      </c>
      <c r="Z102" s="67" t="str">
        <f>IF(OR(U102="En retard",U102="Bientôt"),IF(U102="En retard",0,1)*1000000000+IF(AB102="A",0,IF(AB102="B",1,IF(AB102="C",2,3)))*100000000+IF(ISNUMBER(T102),T102,p_today)*1000+ROW()-5,"")</f>
        <v/>
      </c>
      <c r="AA102" s="67" t="str">
        <f>IF(Z102="","",COUNTIF($Z$6:$Z$505,"&lt;"&amp;Z102)+1)</f>
        <v/>
      </c>
      <c r="AB102" s="67" t="str">
        <f>IFERROR(INDEX(eq_crit,MATCH(B102,eq_code,0))&amp;"","")</f>
        <v/>
      </c>
    </row>
    <row r="103">
      <c r="A103" s="65" t="n"/>
      <c r="B103" s="66" t="n"/>
      <c r="C103" s="67" t="str">
        <f>IF(B103="","",IFERROR(INDEX(eq_des,MATCH(B103,eq_code,0))&amp;"","Équipement inconnu"))</f>
        <v/>
      </c>
      <c r="D103" s="66" t="n"/>
      <c r="E103" s="68" t="n"/>
      <c r="F103" s="69" t="n"/>
      <c r="G103" s="70" t="n"/>
      <c r="H103" s="71" t="n"/>
      <c r="I103" s="66" t="n"/>
      <c r="J103" s="72" t="n"/>
      <c r="K103" s="73" t="n"/>
      <c r="L103" s="68" t="n"/>
      <c r="M103" s="74" t="str">
        <f>IF(AND(A103="",B103="",D103=""),"",MAX(N(J103),IF(A103="",0,SUMPRODUCT(MAX((in_plan=A103)*in_prev*in_dnum)))))</f>
        <v/>
      </c>
      <c r="N103" s="75" t="str">
        <f>IF(AND(A103="",B103="",D103=""),"",MAX(N(K103),IF(A103="",0,SUMPRODUCT(MAX((in_plan=A103)*in_prev*in_cnum)))))</f>
        <v/>
      </c>
      <c r="O103" s="76" t="str">
        <f>IF(AND(OR(E103="Calendrier",E103="Au premier des deux"),N(F103)&gt;0,IF(N(M103)&gt;0,M103,IFERROR(N(INDEX(eq_start,MATCH(B103,eq_code,0))),0))&gt;0),IF(N(M103)&gt;0,M103,IFERROR(N(INDEX(eq_start,MATCH(B103,eq_code,0))),0))+F103,"")</f>
        <v/>
      </c>
      <c r="P103" s="75" t="str">
        <f>IF(AND(OR(E103="Compteur",E103="Au premier des deux"),N(G103)&gt;0),N(N103)+G103,"")</f>
        <v/>
      </c>
      <c r="Q103" s="75" t="str">
        <f>IF(B103="","",IFERROR(N(INDEX(eq_cnt,MATCH(B103,eq_code,0))),""))</f>
        <v/>
      </c>
      <c r="R103" s="77" t="str">
        <f>IF(ISNUMBER(O103),O103-p_today,"")</f>
        <v/>
      </c>
      <c r="S103" s="78" t="str">
        <f>IF(AND(ISNUMBER(P103),N(Q103)&gt;0),P103-Q103,"")</f>
        <v/>
      </c>
      <c r="T103" s="76" t="str">
        <f>IF(AND(ISNUMBER(O103),ISNUMBER(X103)),MIN(O103,X103),IF(ISNUMBER(O103),O103,X103))</f>
        <v/>
      </c>
      <c r="U103" s="79" t="str">
        <f>IF(AND(A103="",B103="",D103=""),"",IF(L103="Non","Inactif",IF(AND(NOT(ISNUMBER(R103)),NOT(ISNUMBER(S103))),"À compléter",IF(OR(AND(ISNUMBER(R103),N(R103)&lt;0),AND(ISNUMBER(S103),N(S103)&lt;0)),"En retard",IF(OR(AND(ISNUMBER(R103),N(R103)&lt;=p_soon),AND(ISNUMBER(S103),N(S103)&lt;=p_soon_pct*N(G103))),"Bientôt","À jour")))))</f>
        <v/>
      </c>
      <c r="V103" s="79" t="str">
        <f>IF(AND(A103="",B103="",D103=""),"",IF(A103="","N° de plan manquant",IF(COUNTIF($A$6:$A$505,A103)&gt;1,"N° de plan en double",IF(B103="","Équipement manquant",IF(ISNA(MATCH(B103,eq_code,0)),"Équipement inconnu",IF(D103="","Tâche manquante",IF(E103="","Déclenchement manquant",IF(AND(E103&lt;&gt;"Calendrier",E103&lt;&gt;"Compteur",E103&lt;&gt;"Au premier des deux"),"Déclenchement inconnu",IF(AND(E103&lt;&gt;"Compteur",OR(NOT(ISNUMBER(F103)),N(F103)&lt;=0)),"Périodicité en jours manquante",IF(AND(E103&lt;&gt;"Calendrier",OR(NOT(ISNUMBER(G103)),N(G103)&lt;=0)),"Périodicité compteur manquante",IF(AND(J103&lt;&gt;"",OR(NOT(ISNUMBER(J103)),N(J103)&lt;=0)),"Date de réalisation invalide",IF(AND(K103&lt;&gt;"",OR(NOT(ISNUMBER(K103)),N(K103)&lt;0)),"Compteur de réalisation invalide",IF(AND(E103&lt;&gt;"Compteur",N(M103)=0,IFERROR(N(INDEX(eq_start,MATCH(B103,eq_code,0))),0)=0),"Date de départ manquante",IF(AND(E103&lt;&gt;"Calendrier",K103="",N(N103)=0),"Compteur de départ manquant",IF(AND(E103&lt;&gt;"Calendrier",N(Q103)=0),"Relevé compteur manquant (Équipements)",IF(AND(I103&lt;&gt;"",ISNA(MATCH(I103,tech_name,0))),"Technicien inconnu",IF(AND(L103&lt;&gt;"",L103&lt;&gt;"Oui",L103&lt;&gt;"Non"),"Actif : Oui ou Non","OK")))))))))))))))))</f>
        <v/>
      </c>
      <c r="W103" s="67">
        <f>IFERROR(N(INDEX(eq_use,MATCH(B103,eq_code,0))),0)</f>
        <v>0.0</v>
      </c>
      <c r="X103" s="67" t="str">
        <f>IF(AND(ISNUMBER(S103),W103&gt;0),p_today+MAX(0,ROUNDUP(S103*7/W103,0)),"")</f>
        <v/>
      </c>
      <c r="Y103" s="67" t="str">
        <f>IF(AND(ISNUMBER(T103),OR(U103="En retard",U103="Bientôt",U103="À jour")),IF(AND(ISNUMBER(O103),ISNUMBER(X103)),MIN(F103,G103*7/W103),IF(ISNUMBER(O103),F103,G103*7/W103)),"")</f>
        <v/>
      </c>
      <c r="Z103" s="67" t="str">
        <f>IF(OR(U103="En retard",U103="Bientôt"),IF(U103="En retard",0,1)*1000000000+IF(AB103="A",0,IF(AB103="B",1,IF(AB103="C",2,3)))*100000000+IF(ISNUMBER(T103),T103,p_today)*1000+ROW()-5,"")</f>
        <v/>
      </c>
      <c r="AA103" s="67" t="str">
        <f>IF(Z103="","",COUNTIF($Z$6:$Z$505,"&lt;"&amp;Z103)+1)</f>
        <v/>
      </c>
      <c r="AB103" s="67" t="str">
        <f>IFERROR(INDEX(eq_crit,MATCH(B103,eq_code,0))&amp;"","")</f>
        <v/>
      </c>
    </row>
    <row r="104">
      <c r="A104" s="65" t="n"/>
      <c r="B104" s="66" t="n"/>
      <c r="C104" s="67" t="str">
        <f>IF(B104="","",IFERROR(INDEX(eq_des,MATCH(B104,eq_code,0))&amp;"","Équipement inconnu"))</f>
        <v/>
      </c>
      <c r="D104" s="66" t="n"/>
      <c r="E104" s="68" t="n"/>
      <c r="F104" s="69" t="n"/>
      <c r="G104" s="70" t="n"/>
      <c r="H104" s="71" t="n"/>
      <c r="I104" s="66" t="n"/>
      <c r="J104" s="72" t="n"/>
      <c r="K104" s="73" t="n"/>
      <c r="L104" s="68" t="n"/>
      <c r="M104" s="74" t="str">
        <f>IF(AND(A104="",B104="",D104=""),"",MAX(N(J104),IF(A104="",0,SUMPRODUCT(MAX((in_plan=A104)*in_prev*in_dnum)))))</f>
        <v/>
      </c>
      <c r="N104" s="75" t="str">
        <f>IF(AND(A104="",B104="",D104=""),"",MAX(N(K104),IF(A104="",0,SUMPRODUCT(MAX((in_plan=A104)*in_prev*in_cnum)))))</f>
        <v/>
      </c>
      <c r="O104" s="76" t="str">
        <f>IF(AND(OR(E104="Calendrier",E104="Au premier des deux"),N(F104)&gt;0,IF(N(M104)&gt;0,M104,IFERROR(N(INDEX(eq_start,MATCH(B104,eq_code,0))),0))&gt;0),IF(N(M104)&gt;0,M104,IFERROR(N(INDEX(eq_start,MATCH(B104,eq_code,0))),0))+F104,"")</f>
        <v/>
      </c>
      <c r="P104" s="75" t="str">
        <f>IF(AND(OR(E104="Compteur",E104="Au premier des deux"),N(G104)&gt;0),N(N104)+G104,"")</f>
        <v/>
      </c>
      <c r="Q104" s="75" t="str">
        <f>IF(B104="","",IFERROR(N(INDEX(eq_cnt,MATCH(B104,eq_code,0))),""))</f>
        <v/>
      </c>
      <c r="R104" s="77" t="str">
        <f>IF(ISNUMBER(O104),O104-p_today,"")</f>
        <v/>
      </c>
      <c r="S104" s="78" t="str">
        <f>IF(AND(ISNUMBER(P104),N(Q104)&gt;0),P104-Q104,"")</f>
        <v/>
      </c>
      <c r="T104" s="76" t="str">
        <f>IF(AND(ISNUMBER(O104),ISNUMBER(X104)),MIN(O104,X104),IF(ISNUMBER(O104),O104,X104))</f>
        <v/>
      </c>
      <c r="U104" s="79" t="str">
        <f>IF(AND(A104="",B104="",D104=""),"",IF(L104="Non","Inactif",IF(AND(NOT(ISNUMBER(R104)),NOT(ISNUMBER(S104))),"À compléter",IF(OR(AND(ISNUMBER(R104),N(R104)&lt;0),AND(ISNUMBER(S104),N(S104)&lt;0)),"En retard",IF(OR(AND(ISNUMBER(R104),N(R104)&lt;=p_soon),AND(ISNUMBER(S104),N(S104)&lt;=p_soon_pct*N(G104))),"Bientôt","À jour")))))</f>
        <v/>
      </c>
      <c r="V104" s="79" t="str">
        <f>IF(AND(A104="",B104="",D104=""),"",IF(A104="","N° de plan manquant",IF(COUNTIF($A$6:$A$505,A104)&gt;1,"N° de plan en double",IF(B104="","Équipement manquant",IF(ISNA(MATCH(B104,eq_code,0)),"Équipement inconnu",IF(D104="","Tâche manquante",IF(E104="","Déclenchement manquant",IF(AND(E104&lt;&gt;"Calendrier",E104&lt;&gt;"Compteur",E104&lt;&gt;"Au premier des deux"),"Déclenchement inconnu",IF(AND(E104&lt;&gt;"Compteur",OR(NOT(ISNUMBER(F104)),N(F104)&lt;=0)),"Périodicité en jours manquante",IF(AND(E104&lt;&gt;"Calendrier",OR(NOT(ISNUMBER(G104)),N(G104)&lt;=0)),"Périodicité compteur manquante",IF(AND(J104&lt;&gt;"",OR(NOT(ISNUMBER(J104)),N(J104)&lt;=0)),"Date de réalisation invalide",IF(AND(K104&lt;&gt;"",OR(NOT(ISNUMBER(K104)),N(K104)&lt;0)),"Compteur de réalisation invalide",IF(AND(E104&lt;&gt;"Compteur",N(M104)=0,IFERROR(N(INDEX(eq_start,MATCH(B104,eq_code,0))),0)=0),"Date de départ manquante",IF(AND(E104&lt;&gt;"Calendrier",K104="",N(N104)=0),"Compteur de départ manquant",IF(AND(E104&lt;&gt;"Calendrier",N(Q104)=0),"Relevé compteur manquant (Équipements)",IF(AND(I104&lt;&gt;"",ISNA(MATCH(I104,tech_name,0))),"Technicien inconnu",IF(AND(L104&lt;&gt;"",L104&lt;&gt;"Oui",L104&lt;&gt;"Non"),"Actif : Oui ou Non","OK")))))))))))))))))</f>
        <v/>
      </c>
      <c r="W104" s="67">
        <f>IFERROR(N(INDEX(eq_use,MATCH(B104,eq_code,0))),0)</f>
        <v>0.0</v>
      </c>
      <c r="X104" s="67" t="str">
        <f>IF(AND(ISNUMBER(S104),W104&gt;0),p_today+MAX(0,ROUNDUP(S104*7/W104,0)),"")</f>
        <v/>
      </c>
      <c r="Y104" s="67" t="str">
        <f>IF(AND(ISNUMBER(T104),OR(U104="En retard",U104="Bientôt",U104="À jour")),IF(AND(ISNUMBER(O104),ISNUMBER(X104)),MIN(F104,G104*7/W104),IF(ISNUMBER(O104),F104,G104*7/W104)),"")</f>
        <v/>
      </c>
      <c r="Z104" s="67" t="str">
        <f>IF(OR(U104="En retard",U104="Bientôt"),IF(U104="En retard",0,1)*1000000000+IF(AB104="A",0,IF(AB104="B",1,IF(AB104="C",2,3)))*100000000+IF(ISNUMBER(T104),T104,p_today)*1000+ROW()-5,"")</f>
        <v/>
      </c>
      <c r="AA104" s="67" t="str">
        <f>IF(Z104="","",COUNTIF($Z$6:$Z$505,"&lt;"&amp;Z104)+1)</f>
        <v/>
      </c>
      <c r="AB104" s="67" t="str">
        <f>IFERROR(INDEX(eq_crit,MATCH(B104,eq_code,0))&amp;"","")</f>
        <v/>
      </c>
    </row>
    <row r="105">
      <c r="A105" s="65" t="n"/>
      <c r="B105" s="66" t="n"/>
      <c r="C105" s="67" t="str">
        <f>IF(B105="","",IFERROR(INDEX(eq_des,MATCH(B105,eq_code,0))&amp;"","Équipement inconnu"))</f>
        <v/>
      </c>
      <c r="D105" s="66" t="n"/>
      <c r="E105" s="68" t="n"/>
      <c r="F105" s="69" t="n"/>
      <c r="G105" s="70" t="n"/>
      <c r="H105" s="71" t="n"/>
      <c r="I105" s="66" t="n"/>
      <c r="J105" s="72" t="n"/>
      <c r="K105" s="73" t="n"/>
      <c r="L105" s="68" t="n"/>
      <c r="M105" s="74" t="str">
        <f>IF(AND(A105="",B105="",D105=""),"",MAX(N(J105),IF(A105="",0,SUMPRODUCT(MAX((in_plan=A105)*in_prev*in_dnum)))))</f>
        <v/>
      </c>
      <c r="N105" s="75" t="str">
        <f>IF(AND(A105="",B105="",D105=""),"",MAX(N(K105),IF(A105="",0,SUMPRODUCT(MAX((in_plan=A105)*in_prev*in_cnum)))))</f>
        <v/>
      </c>
      <c r="O105" s="76" t="str">
        <f>IF(AND(OR(E105="Calendrier",E105="Au premier des deux"),N(F105)&gt;0,IF(N(M105)&gt;0,M105,IFERROR(N(INDEX(eq_start,MATCH(B105,eq_code,0))),0))&gt;0),IF(N(M105)&gt;0,M105,IFERROR(N(INDEX(eq_start,MATCH(B105,eq_code,0))),0))+F105,"")</f>
        <v/>
      </c>
      <c r="P105" s="75" t="str">
        <f>IF(AND(OR(E105="Compteur",E105="Au premier des deux"),N(G105)&gt;0),N(N105)+G105,"")</f>
        <v/>
      </c>
      <c r="Q105" s="75" t="str">
        <f>IF(B105="","",IFERROR(N(INDEX(eq_cnt,MATCH(B105,eq_code,0))),""))</f>
        <v/>
      </c>
      <c r="R105" s="77" t="str">
        <f>IF(ISNUMBER(O105),O105-p_today,"")</f>
        <v/>
      </c>
      <c r="S105" s="78" t="str">
        <f>IF(AND(ISNUMBER(P105),N(Q105)&gt;0),P105-Q105,"")</f>
        <v/>
      </c>
      <c r="T105" s="76" t="str">
        <f>IF(AND(ISNUMBER(O105),ISNUMBER(X105)),MIN(O105,X105),IF(ISNUMBER(O105),O105,X105))</f>
        <v/>
      </c>
      <c r="U105" s="79" t="str">
        <f>IF(AND(A105="",B105="",D105=""),"",IF(L105="Non","Inactif",IF(AND(NOT(ISNUMBER(R105)),NOT(ISNUMBER(S105))),"À compléter",IF(OR(AND(ISNUMBER(R105),N(R105)&lt;0),AND(ISNUMBER(S105),N(S105)&lt;0)),"En retard",IF(OR(AND(ISNUMBER(R105),N(R105)&lt;=p_soon),AND(ISNUMBER(S105),N(S105)&lt;=p_soon_pct*N(G105))),"Bientôt","À jour")))))</f>
        <v/>
      </c>
      <c r="V105" s="79" t="str">
        <f>IF(AND(A105="",B105="",D105=""),"",IF(A105="","N° de plan manquant",IF(COUNTIF($A$6:$A$505,A105)&gt;1,"N° de plan en double",IF(B105="","Équipement manquant",IF(ISNA(MATCH(B105,eq_code,0)),"Équipement inconnu",IF(D105="","Tâche manquante",IF(E105="","Déclenchement manquant",IF(AND(E105&lt;&gt;"Calendrier",E105&lt;&gt;"Compteur",E105&lt;&gt;"Au premier des deux"),"Déclenchement inconnu",IF(AND(E105&lt;&gt;"Compteur",OR(NOT(ISNUMBER(F105)),N(F105)&lt;=0)),"Périodicité en jours manquante",IF(AND(E105&lt;&gt;"Calendrier",OR(NOT(ISNUMBER(G105)),N(G105)&lt;=0)),"Périodicité compteur manquante",IF(AND(J105&lt;&gt;"",OR(NOT(ISNUMBER(J105)),N(J105)&lt;=0)),"Date de réalisation invalide",IF(AND(K105&lt;&gt;"",OR(NOT(ISNUMBER(K105)),N(K105)&lt;0)),"Compteur de réalisation invalide",IF(AND(E105&lt;&gt;"Compteur",N(M105)=0,IFERROR(N(INDEX(eq_start,MATCH(B105,eq_code,0))),0)=0),"Date de départ manquante",IF(AND(E105&lt;&gt;"Calendrier",K105="",N(N105)=0),"Compteur de départ manquant",IF(AND(E105&lt;&gt;"Calendrier",N(Q105)=0),"Relevé compteur manquant (Équipements)",IF(AND(I105&lt;&gt;"",ISNA(MATCH(I105,tech_name,0))),"Technicien inconnu",IF(AND(L105&lt;&gt;"",L105&lt;&gt;"Oui",L105&lt;&gt;"Non"),"Actif : Oui ou Non","OK")))))))))))))))))</f>
        <v/>
      </c>
      <c r="W105" s="67">
        <f>IFERROR(N(INDEX(eq_use,MATCH(B105,eq_code,0))),0)</f>
        <v>0.0</v>
      </c>
      <c r="X105" s="67" t="str">
        <f>IF(AND(ISNUMBER(S105),W105&gt;0),p_today+MAX(0,ROUNDUP(S105*7/W105,0)),"")</f>
        <v/>
      </c>
      <c r="Y105" s="67" t="str">
        <f>IF(AND(ISNUMBER(T105),OR(U105="En retard",U105="Bientôt",U105="À jour")),IF(AND(ISNUMBER(O105),ISNUMBER(X105)),MIN(F105,G105*7/W105),IF(ISNUMBER(O105),F105,G105*7/W105)),"")</f>
        <v/>
      </c>
      <c r="Z105" s="67" t="str">
        <f>IF(OR(U105="En retard",U105="Bientôt"),IF(U105="En retard",0,1)*1000000000+IF(AB105="A",0,IF(AB105="B",1,IF(AB105="C",2,3)))*100000000+IF(ISNUMBER(T105),T105,p_today)*1000+ROW()-5,"")</f>
        <v/>
      </c>
      <c r="AA105" s="67" t="str">
        <f>IF(Z105="","",COUNTIF($Z$6:$Z$505,"&lt;"&amp;Z105)+1)</f>
        <v/>
      </c>
      <c r="AB105" s="67" t="str">
        <f>IFERROR(INDEX(eq_crit,MATCH(B105,eq_code,0))&amp;"","")</f>
        <v/>
      </c>
    </row>
    <row r="106">
      <c r="A106" s="65" t="n"/>
      <c r="B106" s="66" t="n"/>
      <c r="C106" s="67" t="str">
        <f>IF(B106="","",IFERROR(INDEX(eq_des,MATCH(B106,eq_code,0))&amp;"","Équipement inconnu"))</f>
        <v/>
      </c>
      <c r="D106" s="66" t="n"/>
      <c r="E106" s="68" t="n"/>
      <c r="F106" s="69" t="n"/>
      <c r="G106" s="70" t="n"/>
      <c r="H106" s="71" t="n"/>
      <c r="I106" s="66" t="n"/>
      <c r="J106" s="72" t="n"/>
      <c r="K106" s="73" t="n"/>
      <c r="L106" s="68" t="n"/>
      <c r="M106" s="74" t="str">
        <f>IF(AND(A106="",B106="",D106=""),"",MAX(N(J106),IF(A106="",0,SUMPRODUCT(MAX((in_plan=A106)*in_prev*in_dnum)))))</f>
        <v/>
      </c>
      <c r="N106" s="75" t="str">
        <f>IF(AND(A106="",B106="",D106=""),"",MAX(N(K106),IF(A106="",0,SUMPRODUCT(MAX((in_plan=A106)*in_prev*in_cnum)))))</f>
        <v/>
      </c>
      <c r="O106" s="76" t="str">
        <f>IF(AND(OR(E106="Calendrier",E106="Au premier des deux"),N(F106)&gt;0,IF(N(M106)&gt;0,M106,IFERROR(N(INDEX(eq_start,MATCH(B106,eq_code,0))),0))&gt;0),IF(N(M106)&gt;0,M106,IFERROR(N(INDEX(eq_start,MATCH(B106,eq_code,0))),0))+F106,"")</f>
        <v/>
      </c>
      <c r="P106" s="75" t="str">
        <f>IF(AND(OR(E106="Compteur",E106="Au premier des deux"),N(G106)&gt;0),N(N106)+G106,"")</f>
        <v/>
      </c>
      <c r="Q106" s="75" t="str">
        <f>IF(B106="","",IFERROR(N(INDEX(eq_cnt,MATCH(B106,eq_code,0))),""))</f>
        <v/>
      </c>
      <c r="R106" s="77" t="str">
        <f>IF(ISNUMBER(O106),O106-p_today,"")</f>
        <v/>
      </c>
      <c r="S106" s="78" t="str">
        <f>IF(AND(ISNUMBER(P106),N(Q106)&gt;0),P106-Q106,"")</f>
        <v/>
      </c>
      <c r="T106" s="76" t="str">
        <f>IF(AND(ISNUMBER(O106),ISNUMBER(X106)),MIN(O106,X106),IF(ISNUMBER(O106),O106,X106))</f>
        <v/>
      </c>
      <c r="U106" s="79" t="str">
        <f>IF(AND(A106="",B106="",D106=""),"",IF(L106="Non","Inactif",IF(AND(NOT(ISNUMBER(R106)),NOT(ISNUMBER(S106))),"À compléter",IF(OR(AND(ISNUMBER(R106),N(R106)&lt;0),AND(ISNUMBER(S106),N(S106)&lt;0)),"En retard",IF(OR(AND(ISNUMBER(R106),N(R106)&lt;=p_soon),AND(ISNUMBER(S106),N(S106)&lt;=p_soon_pct*N(G106))),"Bientôt","À jour")))))</f>
        <v/>
      </c>
      <c r="V106" s="79" t="str">
        <f>IF(AND(A106="",B106="",D106=""),"",IF(A106="","N° de plan manquant",IF(COUNTIF($A$6:$A$505,A106)&gt;1,"N° de plan en double",IF(B106="","Équipement manquant",IF(ISNA(MATCH(B106,eq_code,0)),"Équipement inconnu",IF(D106="","Tâche manquante",IF(E106="","Déclenchement manquant",IF(AND(E106&lt;&gt;"Calendrier",E106&lt;&gt;"Compteur",E106&lt;&gt;"Au premier des deux"),"Déclenchement inconnu",IF(AND(E106&lt;&gt;"Compteur",OR(NOT(ISNUMBER(F106)),N(F106)&lt;=0)),"Périodicité en jours manquante",IF(AND(E106&lt;&gt;"Calendrier",OR(NOT(ISNUMBER(G106)),N(G106)&lt;=0)),"Périodicité compteur manquante",IF(AND(J106&lt;&gt;"",OR(NOT(ISNUMBER(J106)),N(J106)&lt;=0)),"Date de réalisation invalide",IF(AND(K106&lt;&gt;"",OR(NOT(ISNUMBER(K106)),N(K106)&lt;0)),"Compteur de réalisation invalide",IF(AND(E106&lt;&gt;"Compteur",N(M106)=0,IFERROR(N(INDEX(eq_start,MATCH(B106,eq_code,0))),0)=0),"Date de départ manquante",IF(AND(E106&lt;&gt;"Calendrier",K106="",N(N106)=0),"Compteur de départ manquant",IF(AND(E106&lt;&gt;"Calendrier",N(Q106)=0),"Relevé compteur manquant (Équipements)",IF(AND(I106&lt;&gt;"",ISNA(MATCH(I106,tech_name,0))),"Technicien inconnu",IF(AND(L106&lt;&gt;"",L106&lt;&gt;"Oui",L106&lt;&gt;"Non"),"Actif : Oui ou Non","OK")))))))))))))))))</f>
        <v/>
      </c>
      <c r="W106" s="67">
        <f>IFERROR(N(INDEX(eq_use,MATCH(B106,eq_code,0))),0)</f>
        <v>0.0</v>
      </c>
      <c r="X106" s="67" t="str">
        <f>IF(AND(ISNUMBER(S106),W106&gt;0),p_today+MAX(0,ROUNDUP(S106*7/W106,0)),"")</f>
        <v/>
      </c>
      <c r="Y106" s="67" t="str">
        <f>IF(AND(ISNUMBER(T106),OR(U106="En retard",U106="Bientôt",U106="À jour")),IF(AND(ISNUMBER(O106),ISNUMBER(X106)),MIN(F106,G106*7/W106),IF(ISNUMBER(O106),F106,G106*7/W106)),"")</f>
        <v/>
      </c>
      <c r="Z106" s="67" t="str">
        <f>IF(OR(U106="En retard",U106="Bientôt"),IF(U106="En retard",0,1)*1000000000+IF(AB106="A",0,IF(AB106="B",1,IF(AB106="C",2,3)))*100000000+IF(ISNUMBER(T106),T106,p_today)*1000+ROW()-5,"")</f>
        <v/>
      </c>
      <c r="AA106" s="67" t="str">
        <f>IF(Z106="","",COUNTIF($Z$6:$Z$505,"&lt;"&amp;Z106)+1)</f>
        <v/>
      </c>
      <c r="AB106" s="67" t="str">
        <f>IFERROR(INDEX(eq_crit,MATCH(B106,eq_code,0))&amp;"","")</f>
        <v/>
      </c>
    </row>
    <row r="107">
      <c r="A107" s="65" t="n"/>
      <c r="B107" s="66" t="n"/>
      <c r="C107" s="67" t="str">
        <f>IF(B107="","",IFERROR(INDEX(eq_des,MATCH(B107,eq_code,0))&amp;"","Équipement inconnu"))</f>
        <v/>
      </c>
      <c r="D107" s="66" t="n"/>
      <c r="E107" s="68" t="n"/>
      <c r="F107" s="69" t="n"/>
      <c r="G107" s="70" t="n"/>
      <c r="H107" s="71" t="n"/>
      <c r="I107" s="66" t="n"/>
      <c r="J107" s="72" t="n"/>
      <c r="K107" s="73" t="n"/>
      <c r="L107" s="68" t="n"/>
      <c r="M107" s="74" t="str">
        <f>IF(AND(A107="",B107="",D107=""),"",MAX(N(J107),IF(A107="",0,SUMPRODUCT(MAX((in_plan=A107)*in_prev*in_dnum)))))</f>
        <v/>
      </c>
      <c r="N107" s="75" t="str">
        <f>IF(AND(A107="",B107="",D107=""),"",MAX(N(K107),IF(A107="",0,SUMPRODUCT(MAX((in_plan=A107)*in_prev*in_cnum)))))</f>
        <v/>
      </c>
      <c r="O107" s="76" t="str">
        <f>IF(AND(OR(E107="Calendrier",E107="Au premier des deux"),N(F107)&gt;0,IF(N(M107)&gt;0,M107,IFERROR(N(INDEX(eq_start,MATCH(B107,eq_code,0))),0))&gt;0),IF(N(M107)&gt;0,M107,IFERROR(N(INDEX(eq_start,MATCH(B107,eq_code,0))),0))+F107,"")</f>
        <v/>
      </c>
      <c r="P107" s="75" t="str">
        <f>IF(AND(OR(E107="Compteur",E107="Au premier des deux"),N(G107)&gt;0),N(N107)+G107,"")</f>
        <v/>
      </c>
      <c r="Q107" s="75" t="str">
        <f>IF(B107="","",IFERROR(N(INDEX(eq_cnt,MATCH(B107,eq_code,0))),""))</f>
        <v/>
      </c>
      <c r="R107" s="77" t="str">
        <f>IF(ISNUMBER(O107),O107-p_today,"")</f>
        <v/>
      </c>
      <c r="S107" s="78" t="str">
        <f>IF(AND(ISNUMBER(P107),N(Q107)&gt;0),P107-Q107,"")</f>
        <v/>
      </c>
      <c r="T107" s="76" t="str">
        <f>IF(AND(ISNUMBER(O107),ISNUMBER(X107)),MIN(O107,X107),IF(ISNUMBER(O107),O107,X107))</f>
        <v/>
      </c>
      <c r="U107" s="79" t="str">
        <f>IF(AND(A107="",B107="",D107=""),"",IF(L107="Non","Inactif",IF(AND(NOT(ISNUMBER(R107)),NOT(ISNUMBER(S107))),"À compléter",IF(OR(AND(ISNUMBER(R107),N(R107)&lt;0),AND(ISNUMBER(S107),N(S107)&lt;0)),"En retard",IF(OR(AND(ISNUMBER(R107),N(R107)&lt;=p_soon),AND(ISNUMBER(S107),N(S107)&lt;=p_soon_pct*N(G107))),"Bientôt","À jour")))))</f>
        <v/>
      </c>
      <c r="V107" s="79" t="str">
        <f>IF(AND(A107="",B107="",D107=""),"",IF(A107="","N° de plan manquant",IF(COUNTIF($A$6:$A$505,A107)&gt;1,"N° de plan en double",IF(B107="","Équipement manquant",IF(ISNA(MATCH(B107,eq_code,0)),"Équipement inconnu",IF(D107="","Tâche manquante",IF(E107="","Déclenchement manquant",IF(AND(E107&lt;&gt;"Calendrier",E107&lt;&gt;"Compteur",E107&lt;&gt;"Au premier des deux"),"Déclenchement inconnu",IF(AND(E107&lt;&gt;"Compteur",OR(NOT(ISNUMBER(F107)),N(F107)&lt;=0)),"Périodicité en jours manquante",IF(AND(E107&lt;&gt;"Calendrier",OR(NOT(ISNUMBER(G107)),N(G107)&lt;=0)),"Périodicité compteur manquante",IF(AND(J107&lt;&gt;"",OR(NOT(ISNUMBER(J107)),N(J107)&lt;=0)),"Date de réalisation invalide",IF(AND(K107&lt;&gt;"",OR(NOT(ISNUMBER(K107)),N(K107)&lt;0)),"Compteur de réalisation invalide",IF(AND(E107&lt;&gt;"Compteur",N(M107)=0,IFERROR(N(INDEX(eq_start,MATCH(B107,eq_code,0))),0)=0),"Date de départ manquante",IF(AND(E107&lt;&gt;"Calendrier",K107="",N(N107)=0),"Compteur de départ manquant",IF(AND(E107&lt;&gt;"Calendrier",N(Q107)=0),"Relevé compteur manquant (Équipements)",IF(AND(I107&lt;&gt;"",ISNA(MATCH(I107,tech_name,0))),"Technicien inconnu",IF(AND(L107&lt;&gt;"",L107&lt;&gt;"Oui",L107&lt;&gt;"Non"),"Actif : Oui ou Non","OK")))))))))))))))))</f>
        <v/>
      </c>
      <c r="W107" s="67">
        <f>IFERROR(N(INDEX(eq_use,MATCH(B107,eq_code,0))),0)</f>
        <v>0.0</v>
      </c>
      <c r="X107" s="67" t="str">
        <f>IF(AND(ISNUMBER(S107),W107&gt;0),p_today+MAX(0,ROUNDUP(S107*7/W107,0)),"")</f>
        <v/>
      </c>
      <c r="Y107" s="67" t="str">
        <f>IF(AND(ISNUMBER(T107),OR(U107="En retard",U107="Bientôt",U107="À jour")),IF(AND(ISNUMBER(O107),ISNUMBER(X107)),MIN(F107,G107*7/W107),IF(ISNUMBER(O107),F107,G107*7/W107)),"")</f>
        <v/>
      </c>
      <c r="Z107" s="67" t="str">
        <f>IF(OR(U107="En retard",U107="Bientôt"),IF(U107="En retard",0,1)*1000000000+IF(AB107="A",0,IF(AB107="B",1,IF(AB107="C",2,3)))*100000000+IF(ISNUMBER(T107),T107,p_today)*1000+ROW()-5,"")</f>
        <v/>
      </c>
      <c r="AA107" s="67" t="str">
        <f>IF(Z107="","",COUNTIF($Z$6:$Z$505,"&lt;"&amp;Z107)+1)</f>
        <v/>
      </c>
      <c r="AB107" s="67" t="str">
        <f>IFERROR(INDEX(eq_crit,MATCH(B107,eq_code,0))&amp;"","")</f>
        <v/>
      </c>
    </row>
    <row r="108">
      <c r="A108" s="65" t="n"/>
      <c r="B108" s="66" t="n"/>
      <c r="C108" s="67" t="str">
        <f>IF(B108="","",IFERROR(INDEX(eq_des,MATCH(B108,eq_code,0))&amp;"","Équipement inconnu"))</f>
        <v/>
      </c>
      <c r="D108" s="66" t="n"/>
      <c r="E108" s="68" t="n"/>
      <c r="F108" s="69" t="n"/>
      <c r="G108" s="70" t="n"/>
      <c r="H108" s="71" t="n"/>
      <c r="I108" s="66" t="n"/>
      <c r="J108" s="72" t="n"/>
      <c r="K108" s="73" t="n"/>
      <c r="L108" s="68" t="n"/>
      <c r="M108" s="74" t="str">
        <f>IF(AND(A108="",B108="",D108=""),"",MAX(N(J108),IF(A108="",0,SUMPRODUCT(MAX((in_plan=A108)*in_prev*in_dnum)))))</f>
        <v/>
      </c>
      <c r="N108" s="75" t="str">
        <f>IF(AND(A108="",B108="",D108=""),"",MAX(N(K108),IF(A108="",0,SUMPRODUCT(MAX((in_plan=A108)*in_prev*in_cnum)))))</f>
        <v/>
      </c>
      <c r="O108" s="76" t="str">
        <f>IF(AND(OR(E108="Calendrier",E108="Au premier des deux"),N(F108)&gt;0,IF(N(M108)&gt;0,M108,IFERROR(N(INDEX(eq_start,MATCH(B108,eq_code,0))),0))&gt;0),IF(N(M108)&gt;0,M108,IFERROR(N(INDEX(eq_start,MATCH(B108,eq_code,0))),0))+F108,"")</f>
        <v/>
      </c>
      <c r="P108" s="75" t="str">
        <f>IF(AND(OR(E108="Compteur",E108="Au premier des deux"),N(G108)&gt;0),N(N108)+G108,"")</f>
        <v/>
      </c>
      <c r="Q108" s="75" t="str">
        <f>IF(B108="","",IFERROR(N(INDEX(eq_cnt,MATCH(B108,eq_code,0))),""))</f>
        <v/>
      </c>
      <c r="R108" s="77" t="str">
        <f>IF(ISNUMBER(O108),O108-p_today,"")</f>
        <v/>
      </c>
      <c r="S108" s="78" t="str">
        <f>IF(AND(ISNUMBER(P108),N(Q108)&gt;0),P108-Q108,"")</f>
        <v/>
      </c>
      <c r="T108" s="76" t="str">
        <f>IF(AND(ISNUMBER(O108),ISNUMBER(X108)),MIN(O108,X108),IF(ISNUMBER(O108),O108,X108))</f>
        <v/>
      </c>
      <c r="U108" s="79" t="str">
        <f>IF(AND(A108="",B108="",D108=""),"",IF(L108="Non","Inactif",IF(AND(NOT(ISNUMBER(R108)),NOT(ISNUMBER(S108))),"À compléter",IF(OR(AND(ISNUMBER(R108),N(R108)&lt;0),AND(ISNUMBER(S108),N(S108)&lt;0)),"En retard",IF(OR(AND(ISNUMBER(R108),N(R108)&lt;=p_soon),AND(ISNUMBER(S108),N(S108)&lt;=p_soon_pct*N(G108))),"Bientôt","À jour")))))</f>
        <v/>
      </c>
      <c r="V108" s="79" t="str">
        <f>IF(AND(A108="",B108="",D108=""),"",IF(A108="","N° de plan manquant",IF(COUNTIF($A$6:$A$505,A108)&gt;1,"N° de plan en double",IF(B108="","Équipement manquant",IF(ISNA(MATCH(B108,eq_code,0)),"Équipement inconnu",IF(D108="","Tâche manquante",IF(E108="","Déclenchement manquant",IF(AND(E108&lt;&gt;"Calendrier",E108&lt;&gt;"Compteur",E108&lt;&gt;"Au premier des deux"),"Déclenchement inconnu",IF(AND(E108&lt;&gt;"Compteur",OR(NOT(ISNUMBER(F108)),N(F108)&lt;=0)),"Périodicité en jours manquante",IF(AND(E108&lt;&gt;"Calendrier",OR(NOT(ISNUMBER(G108)),N(G108)&lt;=0)),"Périodicité compteur manquante",IF(AND(J108&lt;&gt;"",OR(NOT(ISNUMBER(J108)),N(J108)&lt;=0)),"Date de réalisation invalide",IF(AND(K108&lt;&gt;"",OR(NOT(ISNUMBER(K108)),N(K108)&lt;0)),"Compteur de réalisation invalide",IF(AND(E108&lt;&gt;"Compteur",N(M108)=0,IFERROR(N(INDEX(eq_start,MATCH(B108,eq_code,0))),0)=0),"Date de départ manquante",IF(AND(E108&lt;&gt;"Calendrier",K108="",N(N108)=0),"Compteur de départ manquant",IF(AND(E108&lt;&gt;"Calendrier",N(Q108)=0),"Relevé compteur manquant (Équipements)",IF(AND(I108&lt;&gt;"",ISNA(MATCH(I108,tech_name,0))),"Technicien inconnu",IF(AND(L108&lt;&gt;"",L108&lt;&gt;"Oui",L108&lt;&gt;"Non"),"Actif : Oui ou Non","OK")))))))))))))))))</f>
        <v/>
      </c>
      <c r="W108" s="67">
        <f>IFERROR(N(INDEX(eq_use,MATCH(B108,eq_code,0))),0)</f>
        <v>0.0</v>
      </c>
      <c r="X108" s="67" t="str">
        <f>IF(AND(ISNUMBER(S108),W108&gt;0),p_today+MAX(0,ROUNDUP(S108*7/W108,0)),"")</f>
        <v/>
      </c>
      <c r="Y108" s="67" t="str">
        <f>IF(AND(ISNUMBER(T108),OR(U108="En retard",U108="Bientôt",U108="À jour")),IF(AND(ISNUMBER(O108),ISNUMBER(X108)),MIN(F108,G108*7/W108),IF(ISNUMBER(O108),F108,G108*7/W108)),"")</f>
        <v/>
      </c>
      <c r="Z108" s="67" t="str">
        <f>IF(OR(U108="En retard",U108="Bientôt"),IF(U108="En retard",0,1)*1000000000+IF(AB108="A",0,IF(AB108="B",1,IF(AB108="C",2,3)))*100000000+IF(ISNUMBER(T108),T108,p_today)*1000+ROW()-5,"")</f>
        <v/>
      </c>
      <c r="AA108" s="67" t="str">
        <f>IF(Z108="","",COUNTIF($Z$6:$Z$505,"&lt;"&amp;Z108)+1)</f>
        <v/>
      </c>
      <c r="AB108" s="67" t="str">
        <f>IFERROR(INDEX(eq_crit,MATCH(B108,eq_code,0))&amp;"","")</f>
        <v/>
      </c>
    </row>
    <row r="109">
      <c r="A109" s="65" t="n"/>
      <c r="B109" s="66" t="n"/>
      <c r="C109" s="67" t="str">
        <f>IF(B109="","",IFERROR(INDEX(eq_des,MATCH(B109,eq_code,0))&amp;"","Équipement inconnu"))</f>
        <v/>
      </c>
      <c r="D109" s="66" t="n"/>
      <c r="E109" s="68" t="n"/>
      <c r="F109" s="69" t="n"/>
      <c r="G109" s="70" t="n"/>
      <c r="H109" s="71" t="n"/>
      <c r="I109" s="66" t="n"/>
      <c r="J109" s="72" t="n"/>
      <c r="K109" s="73" t="n"/>
      <c r="L109" s="68" t="n"/>
      <c r="M109" s="74" t="str">
        <f>IF(AND(A109="",B109="",D109=""),"",MAX(N(J109),IF(A109="",0,SUMPRODUCT(MAX((in_plan=A109)*in_prev*in_dnum)))))</f>
        <v/>
      </c>
      <c r="N109" s="75" t="str">
        <f>IF(AND(A109="",B109="",D109=""),"",MAX(N(K109),IF(A109="",0,SUMPRODUCT(MAX((in_plan=A109)*in_prev*in_cnum)))))</f>
        <v/>
      </c>
      <c r="O109" s="76" t="str">
        <f>IF(AND(OR(E109="Calendrier",E109="Au premier des deux"),N(F109)&gt;0,IF(N(M109)&gt;0,M109,IFERROR(N(INDEX(eq_start,MATCH(B109,eq_code,0))),0))&gt;0),IF(N(M109)&gt;0,M109,IFERROR(N(INDEX(eq_start,MATCH(B109,eq_code,0))),0))+F109,"")</f>
        <v/>
      </c>
      <c r="P109" s="75" t="str">
        <f>IF(AND(OR(E109="Compteur",E109="Au premier des deux"),N(G109)&gt;0),N(N109)+G109,"")</f>
        <v/>
      </c>
      <c r="Q109" s="75" t="str">
        <f>IF(B109="","",IFERROR(N(INDEX(eq_cnt,MATCH(B109,eq_code,0))),""))</f>
        <v/>
      </c>
      <c r="R109" s="77" t="str">
        <f>IF(ISNUMBER(O109),O109-p_today,"")</f>
        <v/>
      </c>
      <c r="S109" s="78" t="str">
        <f>IF(AND(ISNUMBER(P109),N(Q109)&gt;0),P109-Q109,"")</f>
        <v/>
      </c>
      <c r="T109" s="76" t="str">
        <f>IF(AND(ISNUMBER(O109),ISNUMBER(X109)),MIN(O109,X109),IF(ISNUMBER(O109),O109,X109))</f>
        <v/>
      </c>
      <c r="U109" s="79" t="str">
        <f>IF(AND(A109="",B109="",D109=""),"",IF(L109="Non","Inactif",IF(AND(NOT(ISNUMBER(R109)),NOT(ISNUMBER(S109))),"À compléter",IF(OR(AND(ISNUMBER(R109),N(R109)&lt;0),AND(ISNUMBER(S109),N(S109)&lt;0)),"En retard",IF(OR(AND(ISNUMBER(R109),N(R109)&lt;=p_soon),AND(ISNUMBER(S109),N(S109)&lt;=p_soon_pct*N(G109))),"Bientôt","À jour")))))</f>
        <v/>
      </c>
      <c r="V109" s="79" t="str">
        <f>IF(AND(A109="",B109="",D109=""),"",IF(A109="","N° de plan manquant",IF(COUNTIF($A$6:$A$505,A109)&gt;1,"N° de plan en double",IF(B109="","Équipement manquant",IF(ISNA(MATCH(B109,eq_code,0)),"Équipement inconnu",IF(D109="","Tâche manquante",IF(E109="","Déclenchement manquant",IF(AND(E109&lt;&gt;"Calendrier",E109&lt;&gt;"Compteur",E109&lt;&gt;"Au premier des deux"),"Déclenchement inconnu",IF(AND(E109&lt;&gt;"Compteur",OR(NOT(ISNUMBER(F109)),N(F109)&lt;=0)),"Périodicité en jours manquante",IF(AND(E109&lt;&gt;"Calendrier",OR(NOT(ISNUMBER(G109)),N(G109)&lt;=0)),"Périodicité compteur manquante",IF(AND(J109&lt;&gt;"",OR(NOT(ISNUMBER(J109)),N(J109)&lt;=0)),"Date de réalisation invalide",IF(AND(K109&lt;&gt;"",OR(NOT(ISNUMBER(K109)),N(K109)&lt;0)),"Compteur de réalisation invalide",IF(AND(E109&lt;&gt;"Compteur",N(M109)=0,IFERROR(N(INDEX(eq_start,MATCH(B109,eq_code,0))),0)=0),"Date de départ manquante",IF(AND(E109&lt;&gt;"Calendrier",K109="",N(N109)=0),"Compteur de départ manquant",IF(AND(E109&lt;&gt;"Calendrier",N(Q109)=0),"Relevé compteur manquant (Équipements)",IF(AND(I109&lt;&gt;"",ISNA(MATCH(I109,tech_name,0))),"Technicien inconnu",IF(AND(L109&lt;&gt;"",L109&lt;&gt;"Oui",L109&lt;&gt;"Non"),"Actif : Oui ou Non","OK")))))))))))))))))</f>
        <v/>
      </c>
      <c r="W109" s="67">
        <f>IFERROR(N(INDEX(eq_use,MATCH(B109,eq_code,0))),0)</f>
        <v>0.0</v>
      </c>
      <c r="X109" s="67" t="str">
        <f>IF(AND(ISNUMBER(S109),W109&gt;0),p_today+MAX(0,ROUNDUP(S109*7/W109,0)),"")</f>
        <v/>
      </c>
      <c r="Y109" s="67" t="str">
        <f>IF(AND(ISNUMBER(T109),OR(U109="En retard",U109="Bientôt",U109="À jour")),IF(AND(ISNUMBER(O109),ISNUMBER(X109)),MIN(F109,G109*7/W109),IF(ISNUMBER(O109),F109,G109*7/W109)),"")</f>
        <v/>
      </c>
      <c r="Z109" s="67" t="str">
        <f>IF(OR(U109="En retard",U109="Bientôt"),IF(U109="En retard",0,1)*1000000000+IF(AB109="A",0,IF(AB109="B",1,IF(AB109="C",2,3)))*100000000+IF(ISNUMBER(T109),T109,p_today)*1000+ROW()-5,"")</f>
        <v/>
      </c>
      <c r="AA109" s="67" t="str">
        <f>IF(Z109="","",COUNTIF($Z$6:$Z$505,"&lt;"&amp;Z109)+1)</f>
        <v/>
      </c>
      <c r="AB109" s="67" t="str">
        <f>IFERROR(INDEX(eq_crit,MATCH(B109,eq_code,0))&amp;"","")</f>
        <v/>
      </c>
    </row>
    <row r="110">
      <c r="A110" s="65" t="n"/>
      <c r="B110" s="66" t="n"/>
      <c r="C110" s="67" t="str">
        <f>IF(B110="","",IFERROR(INDEX(eq_des,MATCH(B110,eq_code,0))&amp;"","Équipement inconnu"))</f>
        <v/>
      </c>
      <c r="D110" s="66" t="n"/>
      <c r="E110" s="68" t="n"/>
      <c r="F110" s="69" t="n"/>
      <c r="G110" s="70" t="n"/>
      <c r="H110" s="71" t="n"/>
      <c r="I110" s="66" t="n"/>
      <c r="J110" s="72" t="n"/>
      <c r="K110" s="73" t="n"/>
      <c r="L110" s="68" t="n"/>
      <c r="M110" s="74" t="str">
        <f>IF(AND(A110="",B110="",D110=""),"",MAX(N(J110),IF(A110="",0,SUMPRODUCT(MAX((in_plan=A110)*in_prev*in_dnum)))))</f>
        <v/>
      </c>
      <c r="N110" s="75" t="str">
        <f>IF(AND(A110="",B110="",D110=""),"",MAX(N(K110),IF(A110="",0,SUMPRODUCT(MAX((in_plan=A110)*in_prev*in_cnum)))))</f>
        <v/>
      </c>
      <c r="O110" s="76" t="str">
        <f>IF(AND(OR(E110="Calendrier",E110="Au premier des deux"),N(F110)&gt;0,IF(N(M110)&gt;0,M110,IFERROR(N(INDEX(eq_start,MATCH(B110,eq_code,0))),0))&gt;0),IF(N(M110)&gt;0,M110,IFERROR(N(INDEX(eq_start,MATCH(B110,eq_code,0))),0))+F110,"")</f>
        <v/>
      </c>
      <c r="P110" s="75" t="str">
        <f>IF(AND(OR(E110="Compteur",E110="Au premier des deux"),N(G110)&gt;0),N(N110)+G110,"")</f>
        <v/>
      </c>
      <c r="Q110" s="75" t="str">
        <f>IF(B110="","",IFERROR(N(INDEX(eq_cnt,MATCH(B110,eq_code,0))),""))</f>
        <v/>
      </c>
      <c r="R110" s="77" t="str">
        <f>IF(ISNUMBER(O110),O110-p_today,"")</f>
        <v/>
      </c>
      <c r="S110" s="78" t="str">
        <f>IF(AND(ISNUMBER(P110),N(Q110)&gt;0),P110-Q110,"")</f>
        <v/>
      </c>
      <c r="T110" s="76" t="str">
        <f>IF(AND(ISNUMBER(O110),ISNUMBER(X110)),MIN(O110,X110),IF(ISNUMBER(O110),O110,X110))</f>
        <v/>
      </c>
      <c r="U110" s="79" t="str">
        <f>IF(AND(A110="",B110="",D110=""),"",IF(L110="Non","Inactif",IF(AND(NOT(ISNUMBER(R110)),NOT(ISNUMBER(S110))),"À compléter",IF(OR(AND(ISNUMBER(R110),N(R110)&lt;0),AND(ISNUMBER(S110),N(S110)&lt;0)),"En retard",IF(OR(AND(ISNUMBER(R110),N(R110)&lt;=p_soon),AND(ISNUMBER(S110),N(S110)&lt;=p_soon_pct*N(G110))),"Bientôt","À jour")))))</f>
        <v/>
      </c>
      <c r="V110" s="79" t="str">
        <f>IF(AND(A110="",B110="",D110=""),"",IF(A110="","N° de plan manquant",IF(COUNTIF($A$6:$A$505,A110)&gt;1,"N° de plan en double",IF(B110="","Équipement manquant",IF(ISNA(MATCH(B110,eq_code,0)),"Équipement inconnu",IF(D110="","Tâche manquante",IF(E110="","Déclenchement manquant",IF(AND(E110&lt;&gt;"Calendrier",E110&lt;&gt;"Compteur",E110&lt;&gt;"Au premier des deux"),"Déclenchement inconnu",IF(AND(E110&lt;&gt;"Compteur",OR(NOT(ISNUMBER(F110)),N(F110)&lt;=0)),"Périodicité en jours manquante",IF(AND(E110&lt;&gt;"Calendrier",OR(NOT(ISNUMBER(G110)),N(G110)&lt;=0)),"Périodicité compteur manquante",IF(AND(J110&lt;&gt;"",OR(NOT(ISNUMBER(J110)),N(J110)&lt;=0)),"Date de réalisation invalide",IF(AND(K110&lt;&gt;"",OR(NOT(ISNUMBER(K110)),N(K110)&lt;0)),"Compteur de réalisation invalide",IF(AND(E110&lt;&gt;"Compteur",N(M110)=0,IFERROR(N(INDEX(eq_start,MATCH(B110,eq_code,0))),0)=0),"Date de départ manquante",IF(AND(E110&lt;&gt;"Calendrier",K110="",N(N110)=0),"Compteur de départ manquant",IF(AND(E110&lt;&gt;"Calendrier",N(Q110)=0),"Relevé compteur manquant (Équipements)",IF(AND(I110&lt;&gt;"",ISNA(MATCH(I110,tech_name,0))),"Technicien inconnu",IF(AND(L110&lt;&gt;"",L110&lt;&gt;"Oui",L110&lt;&gt;"Non"),"Actif : Oui ou Non","OK")))))))))))))))))</f>
        <v/>
      </c>
      <c r="W110" s="67">
        <f>IFERROR(N(INDEX(eq_use,MATCH(B110,eq_code,0))),0)</f>
        <v>0.0</v>
      </c>
      <c r="X110" s="67" t="str">
        <f>IF(AND(ISNUMBER(S110),W110&gt;0),p_today+MAX(0,ROUNDUP(S110*7/W110,0)),"")</f>
        <v/>
      </c>
      <c r="Y110" s="67" t="str">
        <f>IF(AND(ISNUMBER(T110),OR(U110="En retard",U110="Bientôt",U110="À jour")),IF(AND(ISNUMBER(O110),ISNUMBER(X110)),MIN(F110,G110*7/W110),IF(ISNUMBER(O110),F110,G110*7/W110)),"")</f>
        <v/>
      </c>
      <c r="Z110" s="67" t="str">
        <f>IF(OR(U110="En retard",U110="Bientôt"),IF(U110="En retard",0,1)*1000000000+IF(AB110="A",0,IF(AB110="B",1,IF(AB110="C",2,3)))*100000000+IF(ISNUMBER(T110),T110,p_today)*1000+ROW()-5,"")</f>
        <v/>
      </c>
      <c r="AA110" s="67" t="str">
        <f>IF(Z110="","",COUNTIF($Z$6:$Z$505,"&lt;"&amp;Z110)+1)</f>
        <v/>
      </c>
      <c r="AB110" s="67" t="str">
        <f>IFERROR(INDEX(eq_crit,MATCH(B110,eq_code,0))&amp;"","")</f>
        <v/>
      </c>
    </row>
    <row r="111">
      <c r="A111" s="65" t="n"/>
      <c r="B111" s="66" t="n"/>
      <c r="C111" s="67" t="str">
        <f>IF(B111="","",IFERROR(INDEX(eq_des,MATCH(B111,eq_code,0))&amp;"","Équipement inconnu"))</f>
        <v/>
      </c>
      <c r="D111" s="66" t="n"/>
      <c r="E111" s="68" t="n"/>
      <c r="F111" s="69" t="n"/>
      <c r="G111" s="70" t="n"/>
      <c r="H111" s="71" t="n"/>
      <c r="I111" s="66" t="n"/>
      <c r="J111" s="72" t="n"/>
      <c r="K111" s="73" t="n"/>
      <c r="L111" s="68" t="n"/>
      <c r="M111" s="74" t="str">
        <f>IF(AND(A111="",B111="",D111=""),"",MAX(N(J111),IF(A111="",0,SUMPRODUCT(MAX((in_plan=A111)*in_prev*in_dnum)))))</f>
        <v/>
      </c>
      <c r="N111" s="75" t="str">
        <f>IF(AND(A111="",B111="",D111=""),"",MAX(N(K111),IF(A111="",0,SUMPRODUCT(MAX((in_plan=A111)*in_prev*in_cnum)))))</f>
        <v/>
      </c>
      <c r="O111" s="76" t="str">
        <f>IF(AND(OR(E111="Calendrier",E111="Au premier des deux"),N(F111)&gt;0,IF(N(M111)&gt;0,M111,IFERROR(N(INDEX(eq_start,MATCH(B111,eq_code,0))),0))&gt;0),IF(N(M111)&gt;0,M111,IFERROR(N(INDEX(eq_start,MATCH(B111,eq_code,0))),0))+F111,"")</f>
        <v/>
      </c>
      <c r="P111" s="75" t="str">
        <f>IF(AND(OR(E111="Compteur",E111="Au premier des deux"),N(G111)&gt;0),N(N111)+G111,"")</f>
        <v/>
      </c>
      <c r="Q111" s="75" t="str">
        <f>IF(B111="","",IFERROR(N(INDEX(eq_cnt,MATCH(B111,eq_code,0))),""))</f>
        <v/>
      </c>
      <c r="R111" s="77" t="str">
        <f>IF(ISNUMBER(O111),O111-p_today,"")</f>
        <v/>
      </c>
      <c r="S111" s="78" t="str">
        <f>IF(AND(ISNUMBER(P111),N(Q111)&gt;0),P111-Q111,"")</f>
        <v/>
      </c>
      <c r="T111" s="76" t="str">
        <f>IF(AND(ISNUMBER(O111),ISNUMBER(X111)),MIN(O111,X111),IF(ISNUMBER(O111),O111,X111))</f>
        <v/>
      </c>
      <c r="U111" s="79" t="str">
        <f>IF(AND(A111="",B111="",D111=""),"",IF(L111="Non","Inactif",IF(AND(NOT(ISNUMBER(R111)),NOT(ISNUMBER(S111))),"À compléter",IF(OR(AND(ISNUMBER(R111),N(R111)&lt;0),AND(ISNUMBER(S111),N(S111)&lt;0)),"En retard",IF(OR(AND(ISNUMBER(R111),N(R111)&lt;=p_soon),AND(ISNUMBER(S111),N(S111)&lt;=p_soon_pct*N(G111))),"Bientôt","À jour")))))</f>
        <v/>
      </c>
      <c r="V111" s="79" t="str">
        <f>IF(AND(A111="",B111="",D111=""),"",IF(A111="","N° de plan manquant",IF(COUNTIF($A$6:$A$505,A111)&gt;1,"N° de plan en double",IF(B111="","Équipement manquant",IF(ISNA(MATCH(B111,eq_code,0)),"Équipement inconnu",IF(D111="","Tâche manquante",IF(E111="","Déclenchement manquant",IF(AND(E111&lt;&gt;"Calendrier",E111&lt;&gt;"Compteur",E111&lt;&gt;"Au premier des deux"),"Déclenchement inconnu",IF(AND(E111&lt;&gt;"Compteur",OR(NOT(ISNUMBER(F111)),N(F111)&lt;=0)),"Périodicité en jours manquante",IF(AND(E111&lt;&gt;"Calendrier",OR(NOT(ISNUMBER(G111)),N(G111)&lt;=0)),"Périodicité compteur manquante",IF(AND(J111&lt;&gt;"",OR(NOT(ISNUMBER(J111)),N(J111)&lt;=0)),"Date de réalisation invalide",IF(AND(K111&lt;&gt;"",OR(NOT(ISNUMBER(K111)),N(K111)&lt;0)),"Compteur de réalisation invalide",IF(AND(E111&lt;&gt;"Compteur",N(M111)=0,IFERROR(N(INDEX(eq_start,MATCH(B111,eq_code,0))),0)=0),"Date de départ manquante",IF(AND(E111&lt;&gt;"Calendrier",K111="",N(N111)=0),"Compteur de départ manquant",IF(AND(E111&lt;&gt;"Calendrier",N(Q111)=0),"Relevé compteur manquant (Équipements)",IF(AND(I111&lt;&gt;"",ISNA(MATCH(I111,tech_name,0))),"Technicien inconnu",IF(AND(L111&lt;&gt;"",L111&lt;&gt;"Oui",L111&lt;&gt;"Non"),"Actif : Oui ou Non","OK")))))))))))))))))</f>
        <v/>
      </c>
      <c r="W111" s="67">
        <f>IFERROR(N(INDEX(eq_use,MATCH(B111,eq_code,0))),0)</f>
        <v>0.0</v>
      </c>
      <c r="X111" s="67" t="str">
        <f>IF(AND(ISNUMBER(S111),W111&gt;0),p_today+MAX(0,ROUNDUP(S111*7/W111,0)),"")</f>
        <v/>
      </c>
      <c r="Y111" s="67" t="str">
        <f>IF(AND(ISNUMBER(T111),OR(U111="En retard",U111="Bientôt",U111="À jour")),IF(AND(ISNUMBER(O111),ISNUMBER(X111)),MIN(F111,G111*7/W111),IF(ISNUMBER(O111),F111,G111*7/W111)),"")</f>
        <v/>
      </c>
      <c r="Z111" s="67" t="str">
        <f>IF(OR(U111="En retard",U111="Bientôt"),IF(U111="En retard",0,1)*1000000000+IF(AB111="A",0,IF(AB111="B",1,IF(AB111="C",2,3)))*100000000+IF(ISNUMBER(T111),T111,p_today)*1000+ROW()-5,"")</f>
        <v/>
      </c>
      <c r="AA111" s="67" t="str">
        <f>IF(Z111="","",COUNTIF($Z$6:$Z$505,"&lt;"&amp;Z111)+1)</f>
        <v/>
      </c>
      <c r="AB111" s="67" t="str">
        <f>IFERROR(INDEX(eq_crit,MATCH(B111,eq_code,0))&amp;"","")</f>
        <v/>
      </c>
    </row>
    <row r="112">
      <c r="A112" s="65" t="n"/>
      <c r="B112" s="66" t="n"/>
      <c r="C112" s="67" t="str">
        <f>IF(B112="","",IFERROR(INDEX(eq_des,MATCH(B112,eq_code,0))&amp;"","Équipement inconnu"))</f>
        <v/>
      </c>
      <c r="D112" s="66" t="n"/>
      <c r="E112" s="68" t="n"/>
      <c r="F112" s="69" t="n"/>
      <c r="G112" s="70" t="n"/>
      <c r="H112" s="71" t="n"/>
      <c r="I112" s="66" t="n"/>
      <c r="J112" s="72" t="n"/>
      <c r="K112" s="73" t="n"/>
      <c r="L112" s="68" t="n"/>
      <c r="M112" s="74" t="str">
        <f>IF(AND(A112="",B112="",D112=""),"",MAX(N(J112),IF(A112="",0,SUMPRODUCT(MAX((in_plan=A112)*in_prev*in_dnum)))))</f>
        <v/>
      </c>
      <c r="N112" s="75" t="str">
        <f>IF(AND(A112="",B112="",D112=""),"",MAX(N(K112),IF(A112="",0,SUMPRODUCT(MAX((in_plan=A112)*in_prev*in_cnum)))))</f>
        <v/>
      </c>
      <c r="O112" s="76" t="str">
        <f>IF(AND(OR(E112="Calendrier",E112="Au premier des deux"),N(F112)&gt;0,IF(N(M112)&gt;0,M112,IFERROR(N(INDEX(eq_start,MATCH(B112,eq_code,0))),0))&gt;0),IF(N(M112)&gt;0,M112,IFERROR(N(INDEX(eq_start,MATCH(B112,eq_code,0))),0))+F112,"")</f>
        <v/>
      </c>
      <c r="P112" s="75" t="str">
        <f>IF(AND(OR(E112="Compteur",E112="Au premier des deux"),N(G112)&gt;0),N(N112)+G112,"")</f>
        <v/>
      </c>
      <c r="Q112" s="75" t="str">
        <f>IF(B112="","",IFERROR(N(INDEX(eq_cnt,MATCH(B112,eq_code,0))),""))</f>
        <v/>
      </c>
      <c r="R112" s="77" t="str">
        <f>IF(ISNUMBER(O112),O112-p_today,"")</f>
        <v/>
      </c>
      <c r="S112" s="78" t="str">
        <f>IF(AND(ISNUMBER(P112),N(Q112)&gt;0),P112-Q112,"")</f>
        <v/>
      </c>
      <c r="T112" s="76" t="str">
        <f>IF(AND(ISNUMBER(O112),ISNUMBER(X112)),MIN(O112,X112),IF(ISNUMBER(O112),O112,X112))</f>
        <v/>
      </c>
      <c r="U112" s="79" t="str">
        <f>IF(AND(A112="",B112="",D112=""),"",IF(L112="Non","Inactif",IF(AND(NOT(ISNUMBER(R112)),NOT(ISNUMBER(S112))),"À compléter",IF(OR(AND(ISNUMBER(R112),N(R112)&lt;0),AND(ISNUMBER(S112),N(S112)&lt;0)),"En retard",IF(OR(AND(ISNUMBER(R112),N(R112)&lt;=p_soon),AND(ISNUMBER(S112),N(S112)&lt;=p_soon_pct*N(G112))),"Bientôt","À jour")))))</f>
        <v/>
      </c>
      <c r="V112" s="79" t="str">
        <f>IF(AND(A112="",B112="",D112=""),"",IF(A112="","N° de plan manquant",IF(COUNTIF($A$6:$A$505,A112)&gt;1,"N° de plan en double",IF(B112="","Équipement manquant",IF(ISNA(MATCH(B112,eq_code,0)),"Équipement inconnu",IF(D112="","Tâche manquante",IF(E112="","Déclenchement manquant",IF(AND(E112&lt;&gt;"Calendrier",E112&lt;&gt;"Compteur",E112&lt;&gt;"Au premier des deux"),"Déclenchement inconnu",IF(AND(E112&lt;&gt;"Compteur",OR(NOT(ISNUMBER(F112)),N(F112)&lt;=0)),"Périodicité en jours manquante",IF(AND(E112&lt;&gt;"Calendrier",OR(NOT(ISNUMBER(G112)),N(G112)&lt;=0)),"Périodicité compteur manquante",IF(AND(J112&lt;&gt;"",OR(NOT(ISNUMBER(J112)),N(J112)&lt;=0)),"Date de réalisation invalide",IF(AND(K112&lt;&gt;"",OR(NOT(ISNUMBER(K112)),N(K112)&lt;0)),"Compteur de réalisation invalide",IF(AND(E112&lt;&gt;"Compteur",N(M112)=0,IFERROR(N(INDEX(eq_start,MATCH(B112,eq_code,0))),0)=0),"Date de départ manquante",IF(AND(E112&lt;&gt;"Calendrier",K112="",N(N112)=0),"Compteur de départ manquant",IF(AND(E112&lt;&gt;"Calendrier",N(Q112)=0),"Relevé compteur manquant (Équipements)",IF(AND(I112&lt;&gt;"",ISNA(MATCH(I112,tech_name,0))),"Technicien inconnu",IF(AND(L112&lt;&gt;"",L112&lt;&gt;"Oui",L112&lt;&gt;"Non"),"Actif : Oui ou Non","OK")))))))))))))))))</f>
        <v/>
      </c>
      <c r="W112" s="67">
        <f>IFERROR(N(INDEX(eq_use,MATCH(B112,eq_code,0))),0)</f>
        <v>0.0</v>
      </c>
      <c r="X112" s="67" t="str">
        <f>IF(AND(ISNUMBER(S112),W112&gt;0),p_today+MAX(0,ROUNDUP(S112*7/W112,0)),"")</f>
        <v/>
      </c>
      <c r="Y112" s="67" t="str">
        <f>IF(AND(ISNUMBER(T112),OR(U112="En retard",U112="Bientôt",U112="À jour")),IF(AND(ISNUMBER(O112),ISNUMBER(X112)),MIN(F112,G112*7/W112),IF(ISNUMBER(O112),F112,G112*7/W112)),"")</f>
        <v/>
      </c>
      <c r="Z112" s="67" t="str">
        <f>IF(OR(U112="En retard",U112="Bientôt"),IF(U112="En retard",0,1)*1000000000+IF(AB112="A",0,IF(AB112="B",1,IF(AB112="C",2,3)))*100000000+IF(ISNUMBER(T112),T112,p_today)*1000+ROW()-5,"")</f>
        <v/>
      </c>
      <c r="AA112" s="67" t="str">
        <f>IF(Z112="","",COUNTIF($Z$6:$Z$505,"&lt;"&amp;Z112)+1)</f>
        <v/>
      </c>
      <c r="AB112" s="67" t="str">
        <f>IFERROR(INDEX(eq_crit,MATCH(B112,eq_code,0))&amp;"","")</f>
        <v/>
      </c>
    </row>
    <row r="113">
      <c r="A113" s="65" t="n"/>
      <c r="B113" s="66" t="n"/>
      <c r="C113" s="67" t="str">
        <f>IF(B113="","",IFERROR(INDEX(eq_des,MATCH(B113,eq_code,0))&amp;"","Équipement inconnu"))</f>
        <v/>
      </c>
      <c r="D113" s="66" t="n"/>
      <c r="E113" s="68" t="n"/>
      <c r="F113" s="69" t="n"/>
      <c r="G113" s="70" t="n"/>
      <c r="H113" s="71" t="n"/>
      <c r="I113" s="66" t="n"/>
      <c r="J113" s="72" t="n"/>
      <c r="K113" s="73" t="n"/>
      <c r="L113" s="68" t="n"/>
      <c r="M113" s="74" t="str">
        <f>IF(AND(A113="",B113="",D113=""),"",MAX(N(J113),IF(A113="",0,SUMPRODUCT(MAX((in_plan=A113)*in_prev*in_dnum)))))</f>
        <v/>
      </c>
      <c r="N113" s="75" t="str">
        <f>IF(AND(A113="",B113="",D113=""),"",MAX(N(K113),IF(A113="",0,SUMPRODUCT(MAX((in_plan=A113)*in_prev*in_cnum)))))</f>
        <v/>
      </c>
      <c r="O113" s="76" t="str">
        <f>IF(AND(OR(E113="Calendrier",E113="Au premier des deux"),N(F113)&gt;0,IF(N(M113)&gt;0,M113,IFERROR(N(INDEX(eq_start,MATCH(B113,eq_code,0))),0))&gt;0),IF(N(M113)&gt;0,M113,IFERROR(N(INDEX(eq_start,MATCH(B113,eq_code,0))),0))+F113,"")</f>
        <v/>
      </c>
      <c r="P113" s="75" t="str">
        <f>IF(AND(OR(E113="Compteur",E113="Au premier des deux"),N(G113)&gt;0),N(N113)+G113,"")</f>
        <v/>
      </c>
      <c r="Q113" s="75" t="str">
        <f>IF(B113="","",IFERROR(N(INDEX(eq_cnt,MATCH(B113,eq_code,0))),""))</f>
        <v/>
      </c>
      <c r="R113" s="77" t="str">
        <f>IF(ISNUMBER(O113),O113-p_today,"")</f>
        <v/>
      </c>
      <c r="S113" s="78" t="str">
        <f>IF(AND(ISNUMBER(P113),N(Q113)&gt;0),P113-Q113,"")</f>
        <v/>
      </c>
      <c r="T113" s="76" t="str">
        <f>IF(AND(ISNUMBER(O113),ISNUMBER(X113)),MIN(O113,X113),IF(ISNUMBER(O113),O113,X113))</f>
        <v/>
      </c>
      <c r="U113" s="79" t="str">
        <f>IF(AND(A113="",B113="",D113=""),"",IF(L113="Non","Inactif",IF(AND(NOT(ISNUMBER(R113)),NOT(ISNUMBER(S113))),"À compléter",IF(OR(AND(ISNUMBER(R113),N(R113)&lt;0),AND(ISNUMBER(S113),N(S113)&lt;0)),"En retard",IF(OR(AND(ISNUMBER(R113),N(R113)&lt;=p_soon),AND(ISNUMBER(S113),N(S113)&lt;=p_soon_pct*N(G113))),"Bientôt","À jour")))))</f>
        <v/>
      </c>
      <c r="V113" s="79" t="str">
        <f>IF(AND(A113="",B113="",D113=""),"",IF(A113="","N° de plan manquant",IF(COUNTIF($A$6:$A$505,A113)&gt;1,"N° de plan en double",IF(B113="","Équipement manquant",IF(ISNA(MATCH(B113,eq_code,0)),"Équipement inconnu",IF(D113="","Tâche manquante",IF(E113="","Déclenchement manquant",IF(AND(E113&lt;&gt;"Calendrier",E113&lt;&gt;"Compteur",E113&lt;&gt;"Au premier des deux"),"Déclenchement inconnu",IF(AND(E113&lt;&gt;"Compteur",OR(NOT(ISNUMBER(F113)),N(F113)&lt;=0)),"Périodicité en jours manquante",IF(AND(E113&lt;&gt;"Calendrier",OR(NOT(ISNUMBER(G113)),N(G113)&lt;=0)),"Périodicité compteur manquante",IF(AND(J113&lt;&gt;"",OR(NOT(ISNUMBER(J113)),N(J113)&lt;=0)),"Date de réalisation invalide",IF(AND(K113&lt;&gt;"",OR(NOT(ISNUMBER(K113)),N(K113)&lt;0)),"Compteur de réalisation invalide",IF(AND(E113&lt;&gt;"Compteur",N(M113)=0,IFERROR(N(INDEX(eq_start,MATCH(B113,eq_code,0))),0)=0),"Date de départ manquante",IF(AND(E113&lt;&gt;"Calendrier",K113="",N(N113)=0),"Compteur de départ manquant",IF(AND(E113&lt;&gt;"Calendrier",N(Q113)=0),"Relevé compteur manquant (Équipements)",IF(AND(I113&lt;&gt;"",ISNA(MATCH(I113,tech_name,0))),"Technicien inconnu",IF(AND(L113&lt;&gt;"",L113&lt;&gt;"Oui",L113&lt;&gt;"Non"),"Actif : Oui ou Non","OK")))))))))))))))))</f>
        <v/>
      </c>
      <c r="W113" s="67">
        <f>IFERROR(N(INDEX(eq_use,MATCH(B113,eq_code,0))),0)</f>
        <v>0.0</v>
      </c>
      <c r="X113" s="67" t="str">
        <f>IF(AND(ISNUMBER(S113),W113&gt;0),p_today+MAX(0,ROUNDUP(S113*7/W113,0)),"")</f>
        <v/>
      </c>
      <c r="Y113" s="67" t="str">
        <f>IF(AND(ISNUMBER(T113),OR(U113="En retard",U113="Bientôt",U113="À jour")),IF(AND(ISNUMBER(O113),ISNUMBER(X113)),MIN(F113,G113*7/W113),IF(ISNUMBER(O113),F113,G113*7/W113)),"")</f>
        <v/>
      </c>
      <c r="Z113" s="67" t="str">
        <f>IF(OR(U113="En retard",U113="Bientôt"),IF(U113="En retard",0,1)*1000000000+IF(AB113="A",0,IF(AB113="B",1,IF(AB113="C",2,3)))*100000000+IF(ISNUMBER(T113),T113,p_today)*1000+ROW()-5,"")</f>
        <v/>
      </c>
      <c r="AA113" s="67" t="str">
        <f>IF(Z113="","",COUNTIF($Z$6:$Z$505,"&lt;"&amp;Z113)+1)</f>
        <v/>
      </c>
      <c r="AB113" s="67" t="str">
        <f>IFERROR(INDEX(eq_crit,MATCH(B113,eq_code,0))&amp;"","")</f>
        <v/>
      </c>
    </row>
    <row r="114">
      <c r="A114" s="65" t="n"/>
      <c r="B114" s="66" t="n"/>
      <c r="C114" s="67" t="str">
        <f>IF(B114="","",IFERROR(INDEX(eq_des,MATCH(B114,eq_code,0))&amp;"","Équipement inconnu"))</f>
        <v/>
      </c>
      <c r="D114" s="66" t="n"/>
      <c r="E114" s="68" t="n"/>
      <c r="F114" s="69" t="n"/>
      <c r="G114" s="70" t="n"/>
      <c r="H114" s="71" t="n"/>
      <c r="I114" s="66" t="n"/>
      <c r="J114" s="72" t="n"/>
      <c r="K114" s="73" t="n"/>
      <c r="L114" s="68" t="n"/>
      <c r="M114" s="74" t="str">
        <f>IF(AND(A114="",B114="",D114=""),"",MAX(N(J114),IF(A114="",0,SUMPRODUCT(MAX((in_plan=A114)*in_prev*in_dnum)))))</f>
        <v/>
      </c>
      <c r="N114" s="75" t="str">
        <f>IF(AND(A114="",B114="",D114=""),"",MAX(N(K114),IF(A114="",0,SUMPRODUCT(MAX((in_plan=A114)*in_prev*in_cnum)))))</f>
        <v/>
      </c>
      <c r="O114" s="76" t="str">
        <f>IF(AND(OR(E114="Calendrier",E114="Au premier des deux"),N(F114)&gt;0,IF(N(M114)&gt;0,M114,IFERROR(N(INDEX(eq_start,MATCH(B114,eq_code,0))),0))&gt;0),IF(N(M114)&gt;0,M114,IFERROR(N(INDEX(eq_start,MATCH(B114,eq_code,0))),0))+F114,"")</f>
        <v/>
      </c>
      <c r="P114" s="75" t="str">
        <f>IF(AND(OR(E114="Compteur",E114="Au premier des deux"),N(G114)&gt;0),N(N114)+G114,"")</f>
        <v/>
      </c>
      <c r="Q114" s="75" t="str">
        <f>IF(B114="","",IFERROR(N(INDEX(eq_cnt,MATCH(B114,eq_code,0))),""))</f>
        <v/>
      </c>
      <c r="R114" s="77" t="str">
        <f>IF(ISNUMBER(O114),O114-p_today,"")</f>
        <v/>
      </c>
      <c r="S114" s="78" t="str">
        <f>IF(AND(ISNUMBER(P114),N(Q114)&gt;0),P114-Q114,"")</f>
        <v/>
      </c>
      <c r="T114" s="76" t="str">
        <f>IF(AND(ISNUMBER(O114),ISNUMBER(X114)),MIN(O114,X114),IF(ISNUMBER(O114),O114,X114))</f>
        <v/>
      </c>
      <c r="U114" s="79" t="str">
        <f>IF(AND(A114="",B114="",D114=""),"",IF(L114="Non","Inactif",IF(AND(NOT(ISNUMBER(R114)),NOT(ISNUMBER(S114))),"À compléter",IF(OR(AND(ISNUMBER(R114),N(R114)&lt;0),AND(ISNUMBER(S114),N(S114)&lt;0)),"En retard",IF(OR(AND(ISNUMBER(R114),N(R114)&lt;=p_soon),AND(ISNUMBER(S114),N(S114)&lt;=p_soon_pct*N(G114))),"Bientôt","À jour")))))</f>
        <v/>
      </c>
      <c r="V114" s="79" t="str">
        <f>IF(AND(A114="",B114="",D114=""),"",IF(A114="","N° de plan manquant",IF(COUNTIF($A$6:$A$505,A114)&gt;1,"N° de plan en double",IF(B114="","Équipement manquant",IF(ISNA(MATCH(B114,eq_code,0)),"Équipement inconnu",IF(D114="","Tâche manquante",IF(E114="","Déclenchement manquant",IF(AND(E114&lt;&gt;"Calendrier",E114&lt;&gt;"Compteur",E114&lt;&gt;"Au premier des deux"),"Déclenchement inconnu",IF(AND(E114&lt;&gt;"Compteur",OR(NOT(ISNUMBER(F114)),N(F114)&lt;=0)),"Périodicité en jours manquante",IF(AND(E114&lt;&gt;"Calendrier",OR(NOT(ISNUMBER(G114)),N(G114)&lt;=0)),"Périodicité compteur manquante",IF(AND(J114&lt;&gt;"",OR(NOT(ISNUMBER(J114)),N(J114)&lt;=0)),"Date de réalisation invalide",IF(AND(K114&lt;&gt;"",OR(NOT(ISNUMBER(K114)),N(K114)&lt;0)),"Compteur de réalisation invalide",IF(AND(E114&lt;&gt;"Compteur",N(M114)=0,IFERROR(N(INDEX(eq_start,MATCH(B114,eq_code,0))),0)=0),"Date de départ manquante",IF(AND(E114&lt;&gt;"Calendrier",K114="",N(N114)=0),"Compteur de départ manquant",IF(AND(E114&lt;&gt;"Calendrier",N(Q114)=0),"Relevé compteur manquant (Équipements)",IF(AND(I114&lt;&gt;"",ISNA(MATCH(I114,tech_name,0))),"Technicien inconnu",IF(AND(L114&lt;&gt;"",L114&lt;&gt;"Oui",L114&lt;&gt;"Non"),"Actif : Oui ou Non","OK")))))))))))))))))</f>
        <v/>
      </c>
      <c r="W114" s="67">
        <f>IFERROR(N(INDEX(eq_use,MATCH(B114,eq_code,0))),0)</f>
        <v>0.0</v>
      </c>
      <c r="X114" s="67" t="str">
        <f>IF(AND(ISNUMBER(S114),W114&gt;0),p_today+MAX(0,ROUNDUP(S114*7/W114,0)),"")</f>
        <v/>
      </c>
      <c r="Y114" s="67" t="str">
        <f>IF(AND(ISNUMBER(T114),OR(U114="En retard",U114="Bientôt",U114="À jour")),IF(AND(ISNUMBER(O114),ISNUMBER(X114)),MIN(F114,G114*7/W114),IF(ISNUMBER(O114),F114,G114*7/W114)),"")</f>
        <v/>
      </c>
      <c r="Z114" s="67" t="str">
        <f>IF(OR(U114="En retard",U114="Bientôt"),IF(U114="En retard",0,1)*1000000000+IF(AB114="A",0,IF(AB114="B",1,IF(AB114="C",2,3)))*100000000+IF(ISNUMBER(T114),T114,p_today)*1000+ROW()-5,"")</f>
        <v/>
      </c>
      <c r="AA114" s="67" t="str">
        <f>IF(Z114="","",COUNTIF($Z$6:$Z$505,"&lt;"&amp;Z114)+1)</f>
        <v/>
      </c>
      <c r="AB114" s="67" t="str">
        <f>IFERROR(INDEX(eq_crit,MATCH(B114,eq_code,0))&amp;"","")</f>
        <v/>
      </c>
    </row>
    <row r="115">
      <c r="A115" s="65" t="n"/>
      <c r="B115" s="66" t="n"/>
      <c r="C115" s="67" t="str">
        <f>IF(B115="","",IFERROR(INDEX(eq_des,MATCH(B115,eq_code,0))&amp;"","Équipement inconnu"))</f>
        <v/>
      </c>
      <c r="D115" s="66" t="n"/>
      <c r="E115" s="68" t="n"/>
      <c r="F115" s="69" t="n"/>
      <c r="G115" s="70" t="n"/>
      <c r="H115" s="71" t="n"/>
      <c r="I115" s="66" t="n"/>
      <c r="J115" s="72" t="n"/>
      <c r="K115" s="73" t="n"/>
      <c r="L115" s="68" t="n"/>
      <c r="M115" s="74" t="str">
        <f>IF(AND(A115="",B115="",D115=""),"",MAX(N(J115),IF(A115="",0,SUMPRODUCT(MAX((in_plan=A115)*in_prev*in_dnum)))))</f>
        <v/>
      </c>
      <c r="N115" s="75" t="str">
        <f>IF(AND(A115="",B115="",D115=""),"",MAX(N(K115),IF(A115="",0,SUMPRODUCT(MAX((in_plan=A115)*in_prev*in_cnum)))))</f>
        <v/>
      </c>
      <c r="O115" s="76" t="str">
        <f>IF(AND(OR(E115="Calendrier",E115="Au premier des deux"),N(F115)&gt;0,IF(N(M115)&gt;0,M115,IFERROR(N(INDEX(eq_start,MATCH(B115,eq_code,0))),0))&gt;0),IF(N(M115)&gt;0,M115,IFERROR(N(INDEX(eq_start,MATCH(B115,eq_code,0))),0))+F115,"")</f>
        <v/>
      </c>
      <c r="P115" s="75" t="str">
        <f>IF(AND(OR(E115="Compteur",E115="Au premier des deux"),N(G115)&gt;0),N(N115)+G115,"")</f>
        <v/>
      </c>
      <c r="Q115" s="75" t="str">
        <f>IF(B115="","",IFERROR(N(INDEX(eq_cnt,MATCH(B115,eq_code,0))),""))</f>
        <v/>
      </c>
      <c r="R115" s="77" t="str">
        <f>IF(ISNUMBER(O115),O115-p_today,"")</f>
        <v/>
      </c>
      <c r="S115" s="78" t="str">
        <f>IF(AND(ISNUMBER(P115),N(Q115)&gt;0),P115-Q115,"")</f>
        <v/>
      </c>
      <c r="T115" s="76" t="str">
        <f>IF(AND(ISNUMBER(O115),ISNUMBER(X115)),MIN(O115,X115),IF(ISNUMBER(O115),O115,X115))</f>
        <v/>
      </c>
      <c r="U115" s="79" t="str">
        <f>IF(AND(A115="",B115="",D115=""),"",IF(L115="Non","Inactif",IF(AND(NOT(ISNUMBER(R115)),NOT(ISNUMBER(S115))),"À compléter",IF(OR(AND(ISNUMBER(R115),N(R115)&lt;0),AND(ISNUMBER(S115),N(S115)&lt;0)),"En retard",IF(OR(AND(ISNUMBER(R115),N(R115)&lt;=p_soon),AND(ISNUMBER(S115),N(S115)&lt;=p_soon_pct*N(G115))),"Bientôt","À jour")))))</f>
        <v/>
      </c>
      <c r="V115" s="79" t="str">
        <f>IF(AND(A115="",B115="",D115=""),"",IF(A115="","N° de plan manquant",IF(COUNTIF($A$6:$A$505,A115)&gt;1,"N° de plan en double",IF(B115="","Équipement manquant",IF(ISNA(MATCH(B115,eq_code,0)),"Équipement inconnu",IF(D115="","Tâche manquante",IF(E115="","Déclenchement manquant",IF(AND(E115&lt;&gt;"Calendrier",E115&lt;&gt;"Compteur",E115&lt;&gt;"Au premier des deux"),"Déclenchement inconnu",IF(AND(E115&lt;&gt;"Compteur",OR(NOT(ISNUMBER(F115)),N(F115)&lt;=0)),"Périodicité en jours manquante",IF(AND(E115&lt;&gt;"Calendrier",OR(NOT(ISNUMBER(G115)),N(G115)&lt;=0)),"Périodicité compteur manquante",IF(AND(J115&lt;&gt;"",OR(NOT(ISNUMBER(J115)),N(J115)&lt;=0)),"Date de réalisation invalide",IF(AND(K115&lt;&gt;"",OR(NOT(ISNUMBER(K115)),N(K115)&lt;0)),"Compteur de réalisation invalide",IF(AND(E115&lt;&gt;"Compteur",N(M115)=0,IFERROR(N(INDEX(eq_start,MATCH(B115,eq_code,0))),0)=0),"Date de départ manquante",IF(AND(E115&lt;&gt;"Calendrier",K115="",N(N115)=0),"Compteur de départ manquant",IF(AND(E115&lt;&gt;"Calendrier",N(Q115)=0),"Relevé compteur manquant (Équipements)",IF(AND(I115&lt;&gt;"",ISNA(MATCH(I115,tech_name,0))),"Technicien inconnu",IF(AND(L115&lt;&gt;"",L115&lt;&gt;"Oui",L115&lt;&gt;"Non"),"Actif : Oui ou Non","OK")))))))))))))))))</f>
        <v/>
      </c>
      <c r="W115" s="67">
        <f>IFERROR(N(INDEX(eq_use,MATCH(B115,eq_code,0))),0)</f>
        <v>0.0</v>
      </c>
      <c r="X115" s="67" t="str">
        <f>IF(AND(ISNUMBER(S115),W115&gt;0),p_today+MAX(0,ROUNDUP(S115*7/W115,0)),"")</f>
        <v/>
      </c>
      <c r="Y115" s="67" t="str">
        <f>IF(AND(ISNUMBER(T115),OR(U115="En retard",U115="Bientôt",U115="À jour")),IF(AND(ISNUMBER(O115),ISNUMBER(X115)),MIN(F115,G115*7/W115),IF(ISNUMBER(O115),F115,G115*7/W115)),"")</f>
        <v/>
      </c>
      <c r="Z115" s="67" t="str">
        <f>IF(OR(U115="En retard",U115="Bientôt"),IF(U115="En retard",0,1)*1000000000+IF(AB115="A",0,IF(AB115="B",1,IF(AB115="C",2,3)))*100000000+IF(ISNUMBER(T115),T115,p_today)*1000+ROW()-5,"")</f>
        <v/>
      </c>
      <c r="AA115" s="67" t="str">
        <f>IF(Z115="","",COUNTIF($Z$6:$Z$505,"&lt;"&amp;Z115)+1)</f>
        <v/>
      </c>
      <c r="AB115" s="67" t="str">
        <f>IFERROR(INDEX(eq_crit,MATCH(B115,eq_code,0))&amp;"","")</f>
        <v/>
      </c>
    </row>
    <row r="116">
      <c r="A116" s="65" t="n"/>
      <c r="B116" s="66" t="n"/>
      <c r="C116" s="67" t="str">
        <f>IF(B116="","",IFERROR(INDEX(eq_des,MATCH(B116,eq_code,0))&amp;"","Équipement inconnu"))</f>
        <v/>
      </c>
      <c r="D116" s="66" t="n"/>
      <c r="E116" s="68" t="n"/>
      <c r="F116" s="69" t="n"/>
      <c r="G116" s="70" t="n"/>
      <c r="H116" s="71" t="n"/>
      <c r="I116" s="66" t="n"/>
      <c r="J116" s="72" t="n"/>
      <c r="K116" s="73" t="n"/>
      <c r="L116" s="68" t="n"/>
      <c r="M116" s="74" t="str">
        <f>IF(AND(A116="",B116="",D116=""),"",MAX(N(J116),IF(A116="",0,SUMPRODUCT(MAX((in_plan=A116)*in_prev*in_dnum)))))</f>
        <v/>
      </c>
      <c r="N116" s="75" t="str">
        <f>IF(AND(A116="",B116="",D116=""),"",MAX(N(K116),IF(A116="",0,SUMPRODUCT(MAX((in_plan=A116)*in_prev*in_cnum)))))</f>
        <v/>
      </c>
      <c r="O116" s="76" t="str">
        <f>IF(AND(OR(E116="Calendrier",E116="Au premier des deux"),N(F116)&gt;0,IF(N(M116)&gt;0,M116,IFERROR(N(INDEX(eq_start,MATCH(B116,eq_code,0))),0))&gt;0),IF(N(M116)&gt;0,M116,IFERROR(N(INDEX(eq_start,MATCH(B116,eq_code,0))),0))+F116,"")</f>
        <v/>
      </c>
      <c r="P116" s="75" t="str">
        <f>IF(AND(OR(E116="Compteur",E116="Au premier des deux"),N(G116)&gt;0),N(N116)+G116,"")</f>
        <v/>
      </c>
      <c r="Q116" s="75" t="str">
        <f>IF(B116="","",IFERROR(N(INDEX(eq_cnt,MATCH(B116,eq_code,0))),""))</f>
        <v/>
      </c>
      <c r="R116" s="77" t="str">
        <f>IF(ISNUMBER(O116),O116-p_today,"")</f>
        <v/>
      </c>
      <c r="S116" s="78" t="str">
        <f>IF(AND(ISNUMBER(P116),N(Q116)&gt;0),P116-Q116,"")</f>
        <v/>
      </c>
      <c r="T116" s="76" t="str">
        <f>IF(AND(ISNUMBER(O116),ISNUMBER(X116)),MIN(O116,X116),IF(ISNUMBER(O116),O116,X116))</f>
        <v/>
      </c>
      <c r="U116" s="79" t="str">
        <f>IF(AND(A116="",B116="",D116=""),"",IF(L116="Non","Inactif",IF(AND(NOT(ISNUMBER(R116)),NOT(ISNUMBER(S116))),"À compléter",IF(OR(AND(ISNUMBER(R116),N(R116)&lt;0),AND(ISNUMBER(S116),N(S116)&lt;0)),"En retard",IF(OR(AND(ISNUMBER(R116),N(R116)&lt;=p_soon),AND(ISNUMBER(S116),N(S116)&lt;=p_soon_pct*N(G116))),"Bientôt","À jour")))))</f>
        <v/>
      </c>
      <c r="V116" s="79" t="str">
        <f>IF(AND(A116="",B116="",D116=""),"",IF(A116="","N° de plan manquant",IF(COUNTIF($A$6:$A$505,A116)&gt;1,"N° de plan en double",IF(B116="","Équipement manquant",IF(ISNA(MATCH(B116,eq_code,0)),"Équipement inconnu",IF(D116="","Tâche manquante",IF(E116="","Déclenchement manquant",IF(AND(E116&lt;&gt;"Calendrier",E116&lt;&gt;"Compteur",E116&lt;&gt;"Au premier des deux"),"Déclenchement inconnu",IF(AND(E116&lt;&gt;"Compteur",OR(NOT(ISNUMBER(F116)),N(F116)&lt;=0)),"Périodicité en jours manquante",IF(AND(E116&lt;&gt;"Calendrier",OR(NOT(ISNUMBER(G116)),N(G116)&lt;=0)),"Périodicité compteur manquante",IF(AND(J116&lt;&gt;"",OR(NOT(ISNUMBER(J116)),N(J116)&lt;=0)),"Date de réalisation invalide",IF(AND(K116&lt;&gt;"",OR(NOT(ISNUMBER(K116)),N(K116)&lt;0)),"Compteur de réalisation invalide",IF(AND(E116&lt;&gt;"Compteur",N(M116)=0,IFERROR(N(INDEX(eq_start,MATCH(B116,eq_code,0))),0)=0),"Date de départ manquante",IF(AND(E116&lt;&gt;"Calendrier",K116="",N(N116)=0),"Compteur de départ manquant",IF(AND(E116&lt;&gt;"Calendrier",N(Q116)=0),"Relevé compteur manquant (Équipements)",IF(AND(I116&lt;&gt;"",ISNA(MATCH(I116,tech_name,0))),"Technicien inconnu",IF(AND(L116&lt;&gt;"",L116&lt;&gt;"Oui",L116&lt;&gt;"Non"),"Actif : Oui ou Non","OK")))))))))))))))))</f>
        <v/>
      </c>
      <c r="W116" s="67">
        <f>IFERROR(N(INDEX(eq_use,MATCH(B116,eq_code,0))),0)</f>
        <v>0.0</v>
      </c>
      <c r="X116" s="67" t="str">
        <f>IF(AND(ISNUMBER(S116),W116&gt;0),p_today+MAX(0,ROUNDUP(S116*7/W116,0)),"")</f>
        <v/>
      </c>
      <c r="Y116" s="67" t="str">
        <f>IF(AND(ISNUMBER(T116),OR(U116="En retard",U116="Bientôt",U116="À jour")),IF(AND(ISNUMBER(O116),ISNUMBER(X116)),MIN(F116,G116*7/W116),IF(ISNUMBER(O116),F116,G116*7/W116)),"")</f>
        <v/>
      </c>
      <c r="Z116" s="67" t="str">
        <f>IF(OR(U116="En retard",U116="Bientôt"),IF(U116="En retard",0,1)*1000000000+IF(AB116="A",0,IF(AB116="B",1,IF(AB116="C",2,3)))*100000000+IF(ISNUMBER(T116),T116,p_today)*1000+ROW()-5,"")</f>
        <v/>
      </c>
      <c r="AA116" s="67" t="str">
        <f>IF(Z116="","",COUNTIF($Z$6:$Z$505,"&lt;"&amp;Z116)+1)</f>
        <v/>
      </c>
      <c r="AB116" s="67" t="str">
        <f>IFERROR(INDEX(eq_crit,MATCH(B116,eq_code,0))&amp;"","")</f>
        <v/>
      </c>
    </row>
    <row r="117">
      <c r="A117" s="65" t="n"/>
      <c r="B117" s="66" t="n"/>
      <c r="C117" s="67" t="str">
        <f>IF(B117="","",IFERROR(INDEX(eq_des,MATCH(B117,eq_code,0))&amp;"","Équipement inconnu"))</f>
        <v/>
      </c>
      <c r="D117" s="66" t="n"/>
      <c r="E117" s="68" t="n"/>
      <c r="F117" s="69" t="n"/>
      <c r="G117" s="70" t="n"/>
      <c r="H117" s="71" t="n"/>
      <c r="I117" s="66" t="n"/>
      <c r="J117" s="72" t="n"/>
      <c r="K117" s="73" t="n"/>
      <c r="L117" s="68" t="n"/>
      <c r="M117" s="74" t="str">
        <f>IF(AND(A117="",B117="",D117=""),"",MAX(N(J117),IF(A117="",0,SUMPRODUCT(MAX((in_plan=A117)*in_prev*in_dnum)))))</f>
        <v/>
      </c>
      <c r="N117" s="75" t="str">
        <f>IF(AND(A117="",B117="",D117=""),"",MAX(N(K117),IF(A117="",0,SUMPRODUCT(MAX((in_plan=A117)*in_prev*in_cnum)))))</f>
        <v/>
      </c>
      <c r="O117" s="76" t="str">
        <f>IF(AND(OR(E117="Calendrier",E117="Au premier des deux"),N(F117)&gt;0,IF(N(M117)&gt;0,M117,IFERROR(N(INDEX(eq_start,MATCH(B117,eq_code,0))),0))&gt;0),IF(N(M117)&gt;0,M117,IFERROR(N(INDEX(eq_start,MATCH(B117,eq_code,0))),0))+F117,"")</f>
        <v/>
      </c>
      <c r="P117" s="75" t="str">
        <f>IF(AND(OR(E117="Compteur",E117="Au premier des deux"),N(G117)&gt;0),N(N117)+G117,"")</f>
        <v/>
      </c>
      <c r="Q117" s="75" t="str">
        <f>IF(B117="","",IFERROR(N(INDEX(eq_cnt,MATCH(B117,eq_code,0))),""))</f>
        <v/>
      </c>
      <c r="R117" s="77" t="str">
        <f>IF(ISNUMBER(O117),O117-p_today,"")</f>
        <v/>
      </c>
      <c r="S117" s="78" t="str">
        <f>IF(AND(ISNUMBER(P117),N(Q117)&gt;0),P117-Q117,"")</f>
        <v/>
      </c>
      <c r="T117" s="76" t="str">
        <f>IF(AND(ISNUMBER(O117),ISNUMBER(X117)),MIN(O117,X117),IF(ISNUMBER(O117),O117,X117))</f>
        <v/>
      </c>
      <c r="U117" s="79" t="str">
        <f>IF(AND(A117="",B117="",D117=""),"",IF(L117="Non","Inactif",IF(AND(NOT(ISNUMBER(R117)),NOT(ISNUMBER(S117))),"À compléter",IF(OR(AND(ISNUMBER(R117),N(R117)&lt;0),AND(ISNUMBER(S117),N(S117)&lt;0)),"En retard",IF(OR(AND(ISNUMBER(R117),N(R117)&lt;=p_soon),AND(ISNUMBER(S117),N(S117)&lt;=p_soon_pct*N(G117))),"Bientôt","À jour")))))</f>
        <v/>
      </c>
      <c r="V117" s="79" t="str">
        <f>IF(AND(A117="",B117="",D117=""),"",IF(A117="","N° de plan manquant",IF(COUNTIF($A$6:$A$505,A117)&gt;1,"N° de plan en double",IF(B117="","Équipement manquant",IF(ISNA(MATCH(B117,eq_code,0)),"Équipement inconnu",IF(D117="","Tâche manquante",IF(E117="","Déclenchement manquant",IF(AND(E117&lt;&gt;"Calendrier",E117&lt;&gt;"Compteur",E117&lt;&gt;"Au premier des deux"),"Déclenchement inconnu",IF(AND(E117&lt;&gt;"Compteur",OR(NOT(ISNUMBER(F117)),N(F117)&lt;=0)),"Périodicité en jours manquante",IF(AND(E117&lt;&gt;"Calendrier",OR(NOT(ISNUMBER(G117)),N(G117)&lt;=0)),"Périodicité compteur manquante",IF(AND(J117&lt;&gt;"",OR(NOT(ISNUMBER(J117)),N(J117)&lt;=0)),"Date de réalisation invalide",IF(AND(K117&lt;&gt;"",OR(NOT(ISNUMBER(K117)),N(K117)&lt;0)),"Compteur de réalisation invalide",IF(AND(E117&lt;&gt;"Compteur",N(M117)=0,IFERROR(N(INDEX(eq_start,MATCH(B117,eq_code,0))),0)=0),"Date de départ manquante",IF(AND(E117&lt;&gt;"Calendrier",K117="",N(N117)=0),"Compteur de départ manquant",IF(AND(E117&lt;&gt;"Calendrier",N(Q117)=0),"Relevé compteur manquant (Équipements)",IF(AND(I117&lt;&gt;"",ISNA(MATCH(I117,tech_name,0))),"Technicien inconnu",IF(AND(L117&lt;&gt;"",L117&lt;&gt;"Oui",L117&lt;&gt;"Non"),"Actif : Oui ou Non","OK")))))))))))))))))</f>
        <v/>
      </c>
      <c r="W117" s="67">
        <f>IFERROR(N(INDEX(eq_use,MATCH(B117,eq_code,0))),0)</f>
        <v>0.0</v>
      </c>
      <c r="X117" s="67" t="str">
        <f>IF(AND(ISNUMBER(S117),W117&gt;0),p_today+MAX(0,ROUNDUP(S117*7/W117,0)),"")</f>
        <v/>
      </c>
      <c r="Y117" s="67" t="str">
        <f>IF(AND(ISNUMBER(T117),OR(U117="En retard",U117="Bientôt",U117="À jour")),IF(AND(ISNUMBER(O117),ISNUMBER(X117)),MIN(F117,G117*7/W117),IF(ISNUMBER(O117),F117,G117*7/W117)),"")</f>
        <v/>
      </c>
      <c r="Z117" s="67" t="str">
        <f>IF(OR(U117="En retard",U117="Bientôt"),IF(U117="En retard",0,1)*1000000000+IF(AB117="A",0,IF(AB117="B",1,IF(AB117="C",2,3)))*100000000+IF(ISNUMBER(T117),T117,p_today)*1000+ROW()-5,"")</f>
        <v/>
      </c>
      <c r="AA117" s="67" t="str">
        <f>IF(Z117="","",COUNTIF($Z$6:$Z$505,"&lt;"&amp;Z117)+1)</f>
        <v/>
      </c>
      <c r="AB117" s="67" t="str">
        <f>IFERROR(INDEX(eq_crit,MATCH(B117,eq_code,0))&amp;"","")</f>
        <v/>
      </c>
    </row>
    <row r="118">
      <c r="A118" s="65" t="n"/>
      <c r="B118" s="66" t="n"/>
      <c r="C118" s="67" t="str">
        <f>IF(B118="","",IFERROR(INDEX(eq_des,MATCH(B118,eq_code,0))&amp;"","Équipement inconnu"))</f>
        <v/>
      </c>
      <c r="D118" s="66" t="n"/>
      <c r="E118" s="68" t="n"/>
      <c r="F118" s="69" t="n"/>
      <c r="G118" s="70" t="n"/>
      <c r="H118" s="71" t="n"/>
      <c r="I118" s="66" t="n"/>
      <c r="J118" s="72" t="n"/>
      <c r="K118" s="73" t="n"/>
      <c r="L118" s="68" t="n"/>
      <c r="M118" s="74" t="str">
        <f>IF(AND(A118="",B118="",D118=""),"",MAX(N(J118),IF(A118="",0,SUMPRODUCT(MAX((in_plan=A118)*in_prev*in_dnum)))))</f>
        <v/>
      </c>
      <c r="N118" s="75" t="str">
        <f>IF(AND(A118="",B118="",D118=""),"",MAX(N(K118),IF(A118="",0,SUMPRODUCT(MAX((in_plan=A118)*in_prev*in_cnum)))))</f>
        <v/>
      </c>
      <c r="O118" s="76" t="str">
        <f>IF(AND(OR(E118="Calendrier",E118="Au premier des deux"),N(F118)&gt;0,IF(N(M118)&gt;0,M118,IFERROR(N(INDEX(eq_start,MATCH(B118,eq_code,0))),0))&gt;0),IF(N(M118)&gt;0,M118,IFERROR(N(INDEX(eq_start,MATCH(B118,eq_code,0))),0))+F118,"")</f>
        <v/>
      </c>
      <c r="P118" s="75" t="str">
        <f>IF(AND(OR(E118="Compteur",E118="Au premier des deux"),N(G118)&gt;0),N(N118)+G118,"")</f>
        <v/>
      </c>
      <c r="Q118" s="75" t="str">
        <f>IF(B118="","",IFERROR(N(INDEX(eq_cnt,MATCH(B118,eq_code,0))),""))</f>
        <v/>
      </c>
      <c r="R118" s="77" t="str">
        <f>IF(ISNUMBER(O118),O118-p_today,"")</f>
        <v/>
      </c>
      <c r="S118" s="78" t="str">
        <f>IF(AND(ISNUMBER(P118),N(Q118)&gt;0),P118-Q118,"")</f>
        <v/>
      </c>
      <c r="T118" s="76" t="str">
        <f>IF(AND(ISNUMBER(O118),ISNUMBER(X118)),MIN(O118,X118),IF(ISNUMBER(O118),O118,X118))</f>
        <v/>
      </c>
      <c r="U118" s="79" t="str">
        <f>IF(AND(A118="",B118="",D118=""),"",IF(L118="Non","Inactif",IF(AND(NOT(ISNUMBER(R118)),NOT(ISNUMBER(S118))),"À compléter",IF(OR(AND(ISNUMBER(R118),N(R118)&lt;0),AND(ISNUMBER(S118),N(S118)&lt;0)),"En retard",IF(OR(AND(ISNUMBER(R118),N(R118)&lt;=p_soon),AND(ISNUMBER(S118),N(S118)&lt;=p_soon_pct*N(G118))),"Bientôt","À jour")))))</f>
        <v/>
      </c>
      <c r="V118" s="79" t="str">
        <f>IF(AND(A118="",B118="",D118=""),"",IF(A118="","N° de plan manquant",IF(COUNTIF($A$6:$A$505,A118)&gt;1,"N° de plan en double",IF(B118="","Équipement manquant",IF(ISNA(MATCH(B118,eq_code,0)),"Équipement inconnu",IF(D118="","Tâche manquante",IF(E118="","Déclenchement manquant",IF(AND(E118&lt;&gt;"Calendrier",E118&lt;&gt;"Compteur",E118&lt;&gt;"Au premier des deux"),"Déclenchement inconnu",IF(AND(E118&lt;&gt;"Compteur",OR(NOT(ISNUMBER(F118)),N(F118)&lt;=0)),"Périodicité en jours manquante",IF(AND(E118&lt;&gt;"Calendrier",OR(NOT(ISNUMBER(G118)),N(G118)&lt;=0)),"Périodicité compteur manquante",IF(AND(J118&lt;&gt;"",OR(NOT(ISNUMBER(J118)),N(J118)&lt;=0)),"Date de réalisation invalide",IF(AND(K118&lt;&gt;"",OR(NOT(ISNUMBER(K118)),N(K118)&lt;0)),"Compteur de réalisation invalide",IF(AND(E118&lt;&gt;"Compteur",N(M118)=0,IFERROR(N(INDEX(eq_start,MATCH(B118,eq_code,0))),0)=0),"Date de départ manquante",IF(AND(E118&lt;&gt;"Calendrier",K118="",N(N118)=0),"Compteur de départ manquant",IF(AND(E118&lt;&gt;"Calendrier",N(Q118)=0),"Relevé compteur manquant (Équipements)",IF(AND(I118&lt;&gt;"",ISNA(MATCH(I118,tech_name,0))),"Technicien inconnu",IF(AND(L118&lt;&gt;"",L118&lt;&gt;"Oui",L118&lt;&gt;"Non"),"Actif : Oui ou Non","OK")))))))))))))))))</f>
        <v/>
      </c>
      <c r="W118" s="67">
        <f>IFERROR(N(INDEX(eq_use,MATCH(B118,eq_code,0))),0)</f>
        <v>0.0</v>
      </c>
      <c r="X118" s="67" t="str">
        <f>IF(AND(ISNUMBER(S118),W118&gt;0),p_today+MAX(0,ROUNDUP(S118*7/W118,0)),"")</f>
        <v/>
      </c>
      <c r="Y118" s="67" t="str">
        <f>IF(AND(ISNUMBER(T118),OR(U118="En retard",U118="Bientôt",U118="À jour")),IF(AND(ISNUMBER(O118),ISNUMBER(X118)),MIN(F118,G118*7/W118),IF(ISNUMBER(O118),F118,G118*7/W118)),"")</f>
        <v/>
      </c>
      <c r="Z118" s="67" t="str">
        <f>IF(OR(U118="En retard",U118="Bientôt"),IF(U118="En retard",0,1)*1000000000+IF(AB118="A",0,IF(AB118="B",1,IF(AB118="C",2,3)))*100000000+IF(ISNUMBER(T118),T118,p_today)*1000+ROW()-5,"")</f>
        <v/>
      </c>
      <c r="AA118" s="67" t="str">
        <f>IF(Z118="","",COUNTIF($Z$6:$Z$505,"&lt;"&amp;Z118)+1)</f>
        <v/>
      </c>
      <c r="AB118" s="67" t="str">
        <f>IFERROR(INDEX(eq_crit,MATCH(B118,eq_code,0))&amp;"","")</f>
        <v/>
      </c>
    </row>
    <row r="119">
      <c r="A119" s="65" t="n"/>
      <c r="B119" s="66" t="n"/>
      <c r="C119" s="67" t="str">
        <f>IF(B119="","",IFERROR(INDEX(eq_des,MATCH(B119,eq_code,0))&amp;"","Équipement inconnu"))</f>
        <v/>
      </c>
      <c r="D119" s="66" t="n"/>
      <c r="E119" s="68" t="n"/>
      <c r="F119" s="69" t="n"/>
      <c r="G119" s="70" t="n"/>
      <c r="H119" s="71" t="n"/>
      <c r="I119" s="66" t="n"/>
      <c r="J119" s="72" t="n"/>
      <c r="K119" s="73" t="n"/>
      <c r="L119" s="68" t="n"/>
      <c r="M119" s="74" t="str">
        <f>IF(AND(A119="",B119="",D119=""),"",MAX(N(J119),IF(A119="",0,SUMPRODUCT(MAX((in_plan=A119)*in_prev*in_dnum)))))</f>
        <v/>
      </c>
      <c r="N119" s="75" t="str">
        <f>IF(AND(A119="",B119="",D119=""),"",MAX(N(K119),IF(A119="",0,SUMPRODUCT(MAX((in_plan=A119)*in_prev*in_cnum)))))</f>
        <v/>
      </c>
      <c r="O119" s="76" t="str">
        <f>IF(AND(OR(E119="Calendrier",E119="Au premier des deux"),N(F119)&gt;0,IF(N(M119)&gt;0,M119,IFERROR(N(INDEX(eq_start,MATCH(B119,eq_code,0))),0))&gt;0),IF(N(M119)&gt;0,M119,IFERROR(N(INDEX(eq_start,MATCH(B119,eq_code,0))),0))+F119,"")</f>
        <v/>
      </c>
      <c r="P119" s="75" t="str">
        <f>IF(AND(OR(E119="Compteur",E119="Au premier des deux"),N(G119)&gt;0),N(N119)+G119,"")</f>
        <v/>
      </c>
      <c r="Q119" s="75" t="str">
        <f>IF(B119="","",IFERROR(N(INDEX(eq_cnt,MATCH(B119,eq_code,0))),""))</f>
        <v/>
      </c>
      <c r="R119" s="77" t="str">
        <f>IF(ISNUMBER(O119),O119-p_today,"")</f>
        <v/>
      </c>
      <c r="S119" s="78" t="str">
        <f>IF(AND(ISNUMBER(P119),N(Q119)&gt;0),P119-Q119,"")</f>
        <v/>
      </c>
      <c r="T119" s="76" t="str">
        <f>IF(AND(ISNUMBER(O119),ISNUMBER(X119)),MIN(O119,X119),IF(ISNUMBER(O119),O119,X119))</f>
        <v/>
      </c>
      <c r="U119" s="79" t="str">
        <f>IF(AND(A119="",B119="",D119=""),"",IF(L119="Non","Inactif",IF(AND(NOT(ISNUMBER(R119)),NOT(ISNUMBER(S119))),"À compléter",IF(OR(AND(ISNUMBER(R119),N(R119)&lt;0),AND(ISNUMBER(S119),N(S119)&lt;0)),"En retard",IF(OR(AND(ISNUMBER(R119),N(R119)&lt;=p_soon),AND(ISNUMBER(S119),N(S119)&lt;=p_soon_pct*N(G119))),"Bientôt","À jour")))))</f>
        <v/>
      </c>
      <c r="V119" s="79" t="str">
        <f>IF(AND(A119="",B119="",D119=""),"",IF(A119="","N° de plan manquant",IF(COUNTIF($A$6:$A$505,A119)&gt;1,"N° de plan en double",IF(B119="","Équipement manquant",IF(ISNA(MATCH(B119,eq_code,0)),"Équipement inconnu",IF(D119="","Tâche manquante",IF(E119="","Déclenchement manquant",IF(AND(E119&lt;&gt;"Calendrier",E119&lt;&gt;"Compteur",E119&lt;&gt;"Au premier des deux"),"Déclenchement inconnu",IF(AND(E119&lt;&gt;"Compteur",OR(NOT(ISNUMBER(F119)),N(F119)&lt;=0)),"Périodicité en jours manquante",IF(AND(E119&lt;&gt;"Calendrier",OR(NOT(ISNUMBER(G119)),N(G119)&lt;=0)),"Périodicité compteur manquante",IF(AND(J119&lt;&gt;"",OR(NOT(ISNUMBER(J119)),N(J119)&lt;=0)),"Date de réalisation invalide",IF(AND(K119&lt;&gt;"",OR(NOT(ISNUMBER(K119)),N(K119)&lt;0)),"Compteur de réalisation invalide",IF(AND(E119&lt;&gt;"Compteur",N(M119)=0,IFERROR(N(INDEX(eq_start,MATCH(B119,eq_code,0))),0)=0),"Date de départ manquante",IF(AND(E119&lt;&gt;"Calendrier",K119="",N(N119)=0),"Compteur de départ manquant",IF(AND(E119&lt;&gt;"Calendrier",N(Q119)=0),"Relevé compteur manquant (Équipements)",IF(AND(I119&lt;&gt;"",ISNA(MATCH(I119,tech_name,0))),"Technicien inconnu",IF(AND(L119&lt;&gt;"",L119&lt;&gt;"Oui",L119&lt;&gt;"Non"),"Actif : Oui ou Non","OK")))))))))))))))))</f>
        <v/>
      </c>
      <c r="W119" s="67">
        <f>IFERROR(N(INDEX(eq_use,MATCH(B119,eq_code,0))),0)</f>
        <v>0.0</v>
      </c>
      <c r="X119" s="67" t="str">
        <f>IF(AND(ISNUMBER(S119),W119&gt;0),p_today+MAX(0,ROUNDUP(S119*7/W119,0)),"")</f>
        <v/>
      </c>
      <c r="Y119" s="67" t="str">
        <f>IF(AND(ISNUMBER(T119),OR(U119="En retard",U119="Bientôt",U119="À jour")),IF(AND(ISNUMBER(O119),ISNUMBER(X119)),MIN(F119,G119*7/W119),IF(ISNUMBER(O119),F119,G119*7/W119)),"")</f>
        <v/>
      </c>
      <c r="Z119" s="67" t="str">
        <f>IF(OR(U119="En retard",U119="Bientôt"),IF(U119="En retard",0,1)*1000000000+IF(AB119="A",0,IF(AB119="B",1,IF(AB119="C",2,3)))*100000000+IF(ISNUMBER(T119),T119,p_today)*1000+ROW()-5,"")</f>
        <v/>
      </c>
      <c r="AA119" s="67" t="str">
        <f>IF(Z119="","",COUNTIF($Z$6:$Z$505,"&lt;"&amp;Z119)+1)</f>
        <v/>
      </c>
      <c r="AB119" s="67" t="str">
        <f>IFERROR(INDEX(eq_crit,MATCH(B119,eq_code,0))&amp;"","")</f>
        <v/>
      </c>
    </row>
    <row r="120">
      <c r="A120" s="65" t="n"/>
      <c r="B120" s="66" t="n"/>
      <c r="C120" s="67" t="str">
        <f>IF(B120="","",IFERROR(INDEX(eq_des,MATCH(B120,eq_code,0))&amp;"","Équipement inconnu"))</f>
        <v/>
      </c>
      <c r="D120" s="66" t="n"/>
      <c r="E120" s="68" t="n"/>
      <c r="F120" s="69" t="n"/>
      <c r="G120" s="70" t="n"/>
      <c r="H120" s="71" t="n"/>
      <c r="I120" s="66" t="n"/>
      <c r="J120" s="72" t="n"/>
      <c r="K120" s="73" t="n"/>
      <c r="L120" s="68" t="n"/>
      <c r="M120" s="74" t="str">
        <f>IF(AND(A120="",B120="",D120=""),"",MAX(N(J120),IF(A120="",0,SUMPRODUCT(MAX((in_plan=A120)*in_prev*in_dnum)))))</f>
        <v/>
      </c>
      <c r="N120" s="75" t="str">
        <f>IF(AND(A120="",B120="",D120=""),"",MAX(N(K120),IF(A120="",0,SUMPRODUCT(MAX((in_plan=A120)*in_prev*in_cnum)))))</f>
        <v/>
      </c>
      <c r="O120" s="76" t="str">
        <f>IF(AND(OR(E120="Calendrier",E120="Au premier des deux"),N(F120)&gt;0,IF(N(M120)&gt;0,M120,IFERROR(N(INDEX(eq_start,MATCH(B120,eq_code,0))),0))&gt;0),IF(N(M120)&gt;0,M120,IFERROR(N(INDEX(eq_start,MATCH(B120,eq_code,0))),0))+F120,"")</f>
        <v/>
      </c>
      <c r="P120" s="75" t="str">
        <f>IF(AND(OR(E120="Compteur",E120="Au premier des deux"),N(G120)&gt;0),N(N120)+G120,"")</f>
        <v/>
      </c>
      <c r="Q120" s="75" t="str">
        <f>IF(B120="","",IFERROR(N(INDEX(eq_cnt,MATCH(B120,eq_code,0))),""))</f>
        <v/>
      </c>
      <c r="R120" s="77" t="str">
        <f>IF(ISNUMBER(O120),O120-p_today,"")</f>
        <v/>
      </c>
      <c r="S120" s="78" t="str">
        <f>IF(AND(ISNUMBER(P120),N(Q120)&gt;0),P120-Q120,"")</f>
        <v/>
      </c>
      <c r="T120" s="76" t="str">
        <f>IF(AND(ISNUMBER(O120),ISNUMBER(X120)),MIN(O120,X120),IF(ISNUMBER(O120),O120,X120))</f>
        <v/>
      </c>
      <c r="U120" s="79" t="str">
        <f>IF(AND(A120="",B120="",D120=""),"",IF(L120="Non","Inactif",IF(AND(NOT(ISNUMBER(R120)),NOT(ISNUMBER(S120))),"À compléter",IF(OR(AND(ISNUMBER(R120),N(R120)&lt;0),AND(ISNUMBER(S120),N(S120)&lt;0)),"En retard",IF(OR(AND(ISNUMBER(R120),N(R120)&lt;=p_soon),AND(ISNUMBER(S120),N(S120)&lt;=p_soon_pct*N(G120))),"Bientôt","À jour")))))</f>
        <v/>
      </c>
      <c r="V120" s="79" t="str">
        <f>IF(AND(A120="",B120="",D120=""),"",IF(A120="","N° de plan manquant",IF(COUNTIF($A$6:$A$505,A120)&gt;1,"N° de plan en double",IF(B120="","Équipement manquant",IF(ISNA(MATCH(B120,eq_code,0)),"Équipement inconnu",IF(D120="","Tâche manquante",IF(E120="","Déclenchement manquant",IF(AND(E120&lt;&gt;"Calendrier",E120&lt;&gt;"Compteur",E120&lt;&gt;"Au premier des deux"),"Déclenchement inconnu",IF(AND(E120&lt;&gt;"Compteur",OR(NOT(ISNUMBER(F120)),N(F120)&lt;=0)),"Périodicité en jours manquante",IF(AND(E120&lt;&gt;"Calendrier",OR(NOT(ISNUMBER(G120)),N(G120)&lt;=0)),"Périodicité compteur manquante",IF(AND(J120&lt;&gt;"",OR(NOT(ISNUMBER(J120)),N(J120)&lt;=0)),"Date de réalisation invalide",IF(AND(K120&lt;&gt;"",OR(NOT(ISNUMBER(K120)),N(K120)&lt;0)),"Compteur de réalisation invalide",IF(AND(E120&lt;&gt;"Compteur",N(M120)=0,IFERROR(N(INDEX(eq_start,MATCH(B120,eq_code,0))),0)=0),"Date de départ manquante",IF(AND(E120&lt;&gt;"Calendrier",K120="",N(N120)=0),"Compteur de départ manquant",IF(AND(E120&lt;&gt;"Calendrier",N(Q120)=0),"Relevé compteur manquant (Équipements)",IF(AND(I120&lt;&gt;"",ISNA(MATCH(I120,tech_name,0))),"Technicien inconnu",IF(AND(L120&lt;&gt;"",L120&lt;&gt;"Oui",L120&lt;&gt;"Non"),"Actif : Oui ou Non","OK")))))))))))))))))</f>
        <v/>
      </c>
      <c r="W120" s="67">
        <f>IFERROR(N(INDEX(eq_use,MATCH(B120,eq_code,0))),0)</f>
        <v>0.0</v>
      </c>
      <c r="X120" s="67" t="str">
        <f>IF(AND(ISNUMBER(S120),W120&gt;0),p_today+MAX(0,ROUNDUP(S120*7/W120,0)),"")</f>
        <v/>
      </c>
      <c r="Y120" s="67" t="str">
        <f>IF(AND(ISNUMBER(T120),OR(U120="En retard",U120="Bientôt",U120="À jour")),IF(AND(ISNUMBER(O120),ISNUMBER(X120)),MIN(F120,G120*7/W120),IF(ISNUMBER(O120),F120,G120*7/W120)),"")</f>
        <v/>
      </c>
      <c r="Z120" s="67" t="str">
        <f>IF(OR(U120="En retard",U120="Bientôt"),IF(U120="En retard",0,1)*1000000000+IF(AB120="A",0,IF(AB120="B",1,IF(AB120="C",2,3)))*100000000+IF(ISNUMBER(T120),T120,p_today)*1000+ROW()-5,"")</f>
        <v/>
      </c>
      <c r="AA120" s="67" t="str">
        <f>IF(Z120="","",COUNTIF($Z$6:$Z$505,"&lt;"&amp;Z120)+1)</f>
        <v/>
      </c>
      <c r="AB120" s="67" t="str">
        <f>IFERROR(INDEX(eq_crit,MATCH(B120,eq_code,0))&amp;"","")</f>
        <v/>
      </c>
    </row>
    <row r="121">
      <c r="A121" s="65" t="n"/>
      <c r="B121" s="66" t="n"/>
      <c r="C121" s="67" t="str">
        <f>IF(B121="","",IFERROR(INDEX(eq_des,MATCH(B121,eq_code,0))&amp;"","Équipement inconnu"))</f>
        <v/>
      </c>
      <c r="D121" s="66" t="n"/>
      <c r="E121" s="68" t="n"/>
      <c r="F121" s="69" t="n"/>
      <c r="G121" s="70" t="n"/>
      <c r="H121" s="71" t="n"/>
      <c r="I121" s="66" t="n"/>
      <c r="J121" s="72" t="n"/>
      <c r="K121" s="73" t="n"/>
      <c r="L121" s="68" t="n"/>
      <c r="M121" s="74" t="str">
        <f>IF(AND(A121="",B121="",D121=""),"",MAX(N(J121),IF(A121="",0,SUMPRODUCT(MAX((in_plan=A121)*in_prev*in_dnum)))))</f>
        <v/>
      </c>
      <c r="N121" s="75" t="str">
        <f>IF(AND(A121="",B121="",D121=""),"",MAX(N(K121),IF(A121="",0,SUMPRODUCT(MAX((in_plan=A121)*in_prev*in_cnum)))))</f>
        <v/>
      </c>
      <c r="O121" s="76" t="str">
        <f>IF(AND(OR(E121="Calendrier",E121="Au premier des deux"),N(F121)&gt;0,IF(N(M121)&gt;0,M121,IFERROR(N(INDEX(eq_start,MATCH(B121,eq_code,0))),0))&gt;0),IF(N(M121)&gt;0,M121,IFERROR(N(INDEX(eq_start,MATCH(B121,eq_code,0))),0))+F121,"")</f>
        <v/>
      </c>
      <c r="P121" s="75" t="str">
        <f>IF(AND(OR(E121="Compteur",E121="Au premier des deux"),N(G121)&gt;0),N(N121)+G121,"")</f>
        <v/>
      </c>
      <c r="Q121" s="75" t="str">
        <f>IF(B121="","",IFERROR(N(INDEX(eq_cnt,MATCH(B121,eq_code,0))),""))</f>
        <v/>
      </c>
      <c r="R121" s="77" t="str">
        <f>IF(ISNUMBER(O121),O121-p_today,"")</f>
        <v/>
      </c>
      <c r="S121" s="78" t="str">
        <f>IF(AND(ISNUMBER(P121),N(Q121)&gt;0),P121-Q121,"")</f>
        <v/>
      </c>
      <c r="T121" s="76" t="str">
        <f>IF(AND(ISNUMBER(O121),ISNUMBER(X121)),MIN(O121,X121),IF(ISNUMBER(O121),O121,X121))</f>
        <v/>
      </c>
      <c r="U121" s="79" t="str">
        <f>IF(AND(A121="",B121="",D121=""),"",IF(L121="Non","Inactif",IF(AND(NOT(ISNUMBER(R121)),NOT(ISNUMBER(S121))),"À compléter",IF(OR(AND(ISNUMBER(R121),N(R121)&lt;0),AND(ISNUMBER(S121),N(S121)&lt;0)),"En retard",IF(OR(AND(ISNUMBER(R121),N(R121)&lt;=p_soon),AND(ISNUMBER(S121),N(S121)&lt;=p_soon_pct*N(G121))),"Bientôt","À jour")))))</f>
        <v/>
      </c>
      <c r="V121" s="79" t="str">
        <f>IF(AND(A121="",B121="",D121=""),"",IF(A121="","N° de plan manquant",IF(COUNTIF($A$6:$A$505,A121)&gt;1,"N° de plan en double",IF(B121="","Équipement manquant",IF(ISNA(MATCH(B121,eq_code,0)),"Équipement inconnu",IF(D121="","Tâche manquante",IF(E121="","Déclenchement manquant",IF(AND(E121&lt;&gt;"Calendrier",E121&lt;&gt;"Compteur",E121&lt;&gt;"Au premier des deux"),"Déclenchement inconnu",IF(AND(E121&lt;&gt;"Compteur",OR(NOT(ISNUMBER(F121)),N(F121)&lt;=0)),"Périodicité en jours manquante",IF(AND(E121&lt;&gt;"Calendrier",OR(NOT(ISNUMBER(G121)),N(G121)&lt;=0)),"Périodicité compteur manquante",IF(AND(J121&lt;&gt;"",OR(NOT(ISNUMBER(J121)),N(J121)&lt;=0)),"Date de réalisation invalide",IF(AND(K121&lt;&gt;"",OR(NOT(ISNUMBER(K121)),N(K121)&lt;0)),"Compteur de réalisation invalide",IF(AND(E121&lt;&gt;"Compteur",N(M121)=0,IFERROR(N(INDEX(eq_start,MATCH(B121,eq_code,0))),0)=0),"Date de départ manquante",IF(AND(E121&lt;&gt;"Calendrier",K121="",N(N121)=0),"Compteur de départ manquant",IF(AND(E121&lt;&gt;"Calendrier",N(Q121)=0),"Relevé compteur manquant (Équipements)",IF(AND(I121&lt;&gt;"",ISNA(MATCH(I121,tech_name,0))),"Technicien inconnu",IF(AND(L121&lt;&gt;"",L121&lt;&gt;"Oui",L121&lt;&gt;"Non"),"Actif : Oui ou Non","OK")))))))))))))))))</f>
        <v/>
      </c>
      <c r="W121" s="67">
        <f>IFERROR(N(INDEX(eq_use,MATCH(B121,eq_code,0))),0)</f>
        <v>0.0</v>
      </c>
      <c r="X121" s="67" t="str">
        <f>IF(AND(ISNUMBER(S121),W121&gt;0),p_today+MAX(0,ROUNDUP(S121*7/W121,0)),"")</f>
        <v/>
      </c>
      <c r="Y121" s="67" t="str">
        <f>IF(AND(ISNUMBER(T121),OR(U121="En retard",U121="Bientôt",U121="À jour")),IF(AND(ISNUMBER(O121),ISNUMBER(X121)),MIN(F121,G121*7/W121),IF(ISNUMBER(O121),F121,G121*7/W121)),"")</f>
        <v/>
      </c>
      <c r="Z121" s="67" t="str">
        <f>IF(OR(U121="En retard",U121="Bientôt"),IF(U121="En retard",0,1)*1000000000+IF(AB121="A",0,IF(AB121="B",1,IF(AB121="C",2,3)))*100000000+IF(ISNUMBER(T121),T121,p_today)*1000+ROW()-5,"")</f>
        <v/>
      </c>
      <c r="AA121" s="67" t="str">
        <f>IF(Z121="","",COUNTIF($Z$6:$Z$505,"&lt;"&amp;Z121)+1)</f>
        <v/>
      </c>
      <c r="AB121" s="67" t="str">
        <f>IFERROR(INDEX(eq_crit,MATCH(B121,eq_code,0))&amp;"","")</f>
        <v/>
      </c>
    </row>
    <row r="122">
      <c r="A122" s="65" t="n"/>
      <c r="B122" s="66" t="n"/>
      <c r="C122" s="67" t="str">
        <f>IF(B122="","",IFERROR(INDEX(eq_des,MATCH(B122,eq_code,0))&amp;"","Équipement inconnu"))</f>
        <v/>
      </c>
      <c r="D122" s="66" t="n"/>
      <c r="E122" s="68" t="n"/>
      <c r="F122" s="69" t="n"/>
      <c r="G122" s="70" t="n"/>
      <c r="H122" s="71" t="n"/>
      <c r="I122" s="66" t="n"/>
      <c r="J122" s="72" t="n"/>
      <c r="K122" s="73" t="n"/>
      <c r="L122" s="68" t="n"/>
      <c r="M122" s="74" t="str">
        <f>IF(AND(A122="",B122="",D122=""),"",MAX(N(J122),IF(A122="",0,SUMPRODUCT(MAX((in_plan=A122)*in_prev*in_dnum)))))</f>
        <v/>
      </c>
      <c r="N122" s="75" t="str">
        <f>IF(AND(A122="",B122="",D122=""),"",MAX(N(K122),IF(A122="",0,SUMPRODUCT(MAX((in_plan=A122)*in_prev*in_cnum)))))</f>
        <v/>
      </c>
      <c r="O122" s="76" t="str">
        <f>IF(AND(OR(E122="Calendrier",E122="Au premier des deux"),N(F122)&gt;0,IF(N(M122)&gt;0,M122,IFERROR(N(INDEX(eq_start,MATCH(B122,eq_code,0))),0))&gt;0),IF(N(M122)&gt;0,M122,IFERROR(N(INDEX(eq_start,MATCH(B122,eq_code,0))),0))+F122,"")</f>
        <v/>
      </c>
      <c r="P122" s="75" t="str">
        <f>IF(AND(OR(E122="Compteur",E122="Au premier des deux"),N(G122)&gt;0),N(N122)+G122,"")</f>
        <v/>
      </c>
      <c r="Q122" s="75" t="str">
        <f>IF(B122="","",IFERROR(N(INDEX(eq_cnt,MATCH(B122,eq_code,0))),""))</f>
        <v/>
      </c>
      <c r="R122" s="77" t="str">
        <f>IF(ISNUMBER(O122),O122-p_today,"")</f>
        <v/>
      </c>
      <c r="S122" s="78" t="str">
        <f>IF(AND(ISNUMBER(P122),N(Q122)&gt;0),P122-Q122,"")</f>
        <v/>
      </c>
      <c r="T122" s="76" t="str">
        <f>IF(AND(ISNUMBER(O122),ISNUMBER(X122)),MIN(O122,X122),IF(ISNUMBER(O122),O122,X122))</f>
        <v/>
      </c>
      <c r="U122" s="79" t="str">
        <f>IF(AND(A122="",B122="",D122=""),"",IF(L122="Non","Inactif",IF(AND(NOT(ISNUMBER(R122)),NOT(ISNUMBER(S122))),"À compléter",IF(OR(AND(ISNUMBER(R122),N(R122)&lt;0),AND(ISNUMBER(S122),N(S122)&lt;0)),"En retard",IF(OR(AND(ISNUMBER(R122),N(R122)&lt;=p_soon),AND(ISNUMBER(S122),N(S122)&lt;=p_soon_pct*N(G122))),"Bientôt","À jour")))))</f>
        <v/>
      </c>
      <c r="V122" s="79" t="str">
        <f>IF(AND(A122="",B122="",D122=""),"",IF(A122="","N° de plan manquant",IF(COUNTIF($A$6:$A$505,A122)&gt;1,"N° de plan en double",IF(B122="","Équipement manquant",IF(ISNA(MATCH(B122,eq_code,0)),"Équipement inconnu",IF(D122="","Tâche manquante",IF(E122="","Déclenchement manquant",IF(AND(E122&lt;&gt;"Calendrier",E122&lt;&gt;"Compteur",E122&lt;&gt;"Au premier des deux"),"Déclenchement inconnu",IF(AND(E122&lt;&gt;"Compteur",OR(NOT(ISNUMBER(F122)),N(F122)&lt;=0)),"Périodicité en jours manquante",IF(AND(E122&lt;&gt;"Calendrier",OR(NOT(ISNUMBER(G122)),N(G122)&lt;=0)),"Périodicité compteur manquante",IF(AND(J122&lt;&gt;"",OR(NOT(ISNUMBER(J122)),N(J122)&lt;=0)),"Date de réalisation invalide",IF(AND(K122&lt;&gt;"",OR(NOT(ISNUMBER(K122)),N(K122)&lt;0)),"Compteur de réalisation invalide",IF(AND(E122&lt;&gt;"Compteur",N(M122)=0,IFERROR(N(INDEX(eq_start,MATCH(B122,eq_code,0))),0)=0),"Date de départ manquante",IF(AND(E122&lt;&gt;"Calendrier",K122="",N(N122)=0),"Compteur de départ manquant",IF(AND(E122&lt;&gt;"Calendrier",N(Q122)=0),"Relevé compteur manquant (Équipements)",IF(AND(I122&lt;&gt;"",ISNA(MATCH(I122,tech_name,0))),"Technicien inconnu",IF(AND(L122&lt;&gt;"",L122&lt;&gt;"Oui",L122&lt;&gt;"Non"),"Actif : Oui ou Non","OK")))))))))))))))))</f>
        <v/>
      </c>
      <c r="W122" s="67">
        <f>IFERROR(N(INDEX(eq_use,MATCH(B122,eq_code,0))),0)</f>
        <v>0.0</v>
      </c>
      <c r="X122" s="67" t="str">
        <f>IF(AND(ISNUMBER(S122),W122&gt;0),p_today+MAX(0,ROUNDUP(S122*7/W122,0)),"")</f>
        <v/>
      </c>
      <c r="Y122" s="67" t="str">
        <f>IF(AND(ISNUMBER(T122),OR(U122="En retard",U122="Bientôt",U122="À jour")),IF(AND(ISNUMBER(O122),ISNUMBER(X122)),MIN(F122,G122*7/W122),IF(ISNUMBER(O122),F122,G122*7/W122)),"")</f>
        <v/>
      </c>
      <c r="Z122" s="67" t="str">
        <f>IF(OR(U122="En retard",U122="Bientôt"),IF(U122="En retard",0,1)*1000000000+IF(AB122="A",0,IF(AB122="B",1,IF(AB122="C",2,3)))*100000000+IF(ISNUMBER(T122),T122,p_today)*1000+ROW()-5,"")</f>
        <v/>
      </c>
      <c r="AA122" s="67" t="str">
        <f>IF(Z122="","",COUNTIF($Z$6:$Z$505,"&lt;"&amp;Z122)+1)</f>
        <v/>
      </c>
      <c r="AB122" s="67" t="str">
        <f>IFERROR(INDEX(eq_crit,MATCH(B122,eq_code,0))&amp;"","")</f>
        <v/>
      </c>
    </row>
    <row r="123">
      <c r="A123" s="65" t="n"/>
      <c r="B123" s="66" t="n"/>
      <c r="C123" s="67" t="str">
        <f>IF(B123="","",IFERROR(INDEX(eq_des,MATCH(B123,eq_code,0))&amp;"","Équipement inconnu"))</f>
        <v/>
      </c>
      <c r="D123" s="66" t="n"/>
      <c r="E123" s="68" t="n"/>
      <c r="F123" s="69" t="n"/>
      <c r="G123" s="70" t="n"/>
      <c r="H123" s="71" t="n"/>
      <c r="I123" s="66" t="n"/>
      <c r="J123" s="72" t="n"/>
      <c r="K123" s="73" t="n"/>
      <c r="L123" s="68" t="n"/>
      <c r="M123" s="74" t="str">
        <f>IF(AND(A123="",B123="",D123=""),"",MAX(N(J123),IF(A123="",0,SUMPRODUCT(MAX((in_plan=A123)*in_prev*in_dnum)))))</f>
        <v/>
      </c>
      <c r="N123" s="75" t="str">
        <f>IF(AND(A123="",B123="",D123=""),"",MAX(N(K123),IF(A123="",0,SUMPRODUCT(MAX((in_plan=A123)*in_prev*in_cnum)))))</f>
        <v/>
      </c>
      <c r="O123" s="76" t="str">
        <f>IF(AND(OR(E123="Calendrier",E123="Au premier des deux"),N(F123)&gt;0,IF(N(M123)&gt;0,M123,IFERROR(N(INDEX(eq_start,MATCH(B123,eq_code,0))),0))&gt;0),IF(N(M123)&gt;0,M123,IFERROR(N(INDEX(eq_start,MATCH(B123,eq_code,0))),0))+F123,"")</f>
        <v/>
      </c>
      <c r="P123" s="75" t="str">
        <f>IF(AND(OR(E123="Compteur",E123="Au premier des deux"),N(G123)&gt;0),N(N123)+G123,"")</f>
        <v/>
      </c>
      <c r="Q123" s="75" t="str">
        <f>IF(B123="","",IFERROR(N(INDEX(eq_cnt,MATCH(B123,eq_code,0))),""))</f>
        <v/>
      </c>
      <c r="R123" s="77" t="str">
        <f>IF(ISNUMBER(O123),O123-p_today,"")</f>
        <v/>
      </c>
      <c r="S123" s="78" t="str">
        <f>IF(AND(ISNUMBER(P123),N(Q123)&gt;0),P123-Q123,"")</f>
        <v/>
      </c>
      <c r="T123" s="76" t="str">
        <f>IF(AND(ISNUMBER(O123),ISNUMBER(X123)),MIN(O123,X123),IF(ISNUMBER(O123),O123,X123))</f>
        <v/>
      </c>
      <c r="U123" s="79" t="str">
        <f>IF(AND(A123="",B123="",D123=""),"",IF(L123="Non","Inactif",IF(AND(NOT(ISNUMBER(R123)),NOT(ISNUMBER(S123))),"À compléter",IF(OR(AND(ISNUMBER(R123),N(R123)&lt;0),AND(ISNUMBER(S123),N(S123)&lt;0)),"En retard",IF(OR(AND(ISNUMBER(R123),N(R123)&lt;=p_soon),AND(ISNUMBER(S123),N(S123)&lt;=p_soon_pct*N(G123))),"Bientôt","À jour")))))</f>
        <v/>
      </c>
      <c r="V123" s="79" t="str">
        <f>IF(AND(A123="",B123="",D123=""),"",IF(A123="","N° de plan manquant",IF(COUNTIF($A$6:$A$505,A123)&gt;1,"N° de plan en double",IF(B123="","Équipement manquant",IF(ISNA(MATCH(B123,eq_code,0)),"Équipement inconnu",IF(D123="","Tâche manquante",IF(E123="","Déclenchement manquant",IF(AND(E123&lt;&gt;"Calendrier",E123&lt;&gt;"Compteur",E123&lt;&gt;"Au premier des deux"),"Déclenchement inconnu",IF(AND(E123&lt;&gt;"Compteur",OR(NOT(ISNUMBER(F123)),N(F123)&lt;=0)),"Périodicité en jours manquante",IF(AND(E123&lt;&gt;"Calendrier",OR(NOT(ISNUMBER(G123)),N(G123)&lt;=0)),"Périodicité compteur manquante",IF(AND(J123&lt;&gt;"",OR(NOT(ISNUMBER(J123)),N(J123)&lt;=0)),"Date de réalisation invalide",IF(AND(K123&lt;&gt;"",OR(NOT(ISNUMBER(K123)),N(K123)&lt;0)),"Compteur de réalisation invalide",IF(AND(E123&lt;&gt;"Compteur",N(M123)=0,IFERROR(N(INDEX(eq_start,MATCH(B123,eq_code,0))),0)=0),"Date de départ manquante",IF(AND(E123&lt;&gt;"Calendrier",K123="",N(N123)=0),"Compteur de départ manquant",IF(AND(E123&lt;&gt;"Calendrier",N(Q123)=0),"Relevé compteur manquant (Équipements)",IF(AND(I123&lt;&gt;"",ISNA(MATCH(I123,tech_name,0))),"Technicien inconnu",IF(AND(L123&lt;&gt;"",L123&lt;&gt;"Oui",L123&lt;&gt;"Non"),"Actif : Oui ou Non","OK")))))))))))))))))</f>
        <v/>
      </c>
      <c r="W123" s="67">
        <f>IFERROR(N(INDEX(eq_use,MATCH(B123,eq_code,0))),0)</f>
        <v>0.0</v>
      </c>
      <c r="X123" s="67" t="str">
        <f>IF(AND(ISNUMBER(S123),W123&gt;0),p_today+MAX(0,ROUNDUP(S123*7/W123,0)),"")</f>
        <v/>
      </c>
      <c r="Y123" s="67" t="str">
        <f>IF(AND(ISNUMBER(T123),OR(U123="En retard",U123="Bientôt",U123="À jour")),IF(AND(ISNUMBER(O123),ISNUMBER(X123)),MIN(F123,G123*7/W123),IF(ISNUMBER(O123),F123,G123*7/W123)),"")</f>
        <v/>
      </c>
      <c r="Z123" s="67" t="str">
        <f>IF(OR(U123="En retard",U123="Bientôt"),IF(U123="En retard",0,1)*1000000000+IF(AB123="A",0,IF(AB123="B",1,IF(AB123="C",2,3)))*100000000+IF(ISNUMBER(T123),T123,p_today)*1000+ROW()-5,"")</f>
        <v/>
      </c>
      <c r="AA123" s="67" t="str">
        <f>IF(Z123="","",COUNTIF($Z$6:$Z$505,"&lt;"&amp;Z123)+1)</f>
        <v/>
      </c>
      <c r="AB123" s="67" t="str">
        <f>IFERROR(INDEX(eq_crit,MATCH(B123,eq_code,0))&amp;"","")</f>
        <v/>
      </c>
    </row>
    <row r="124">
      <c r="A124" s="65" t="n"/>
      <c r="B124" s="66" t="n"/>
      <c r="C124" s="67" t="str">
        <f>IF(B124="","",IFERROR(INDEX(eq_des,MATCH(B124,eq_code,0))&amp;"","Équipement inconnu"))</f>
        <v/>
      </c>
      <c r="D124" s="66" t="n"/>
      <c r="E124" s="68" t="n"/>
      <c r="F124" s="69" t="n"/>
      <c r="G124" s="70" t="n"/>
      <c r="H124" s="71" t="n"/>
      <c r="I124" s="66" t="n"/>
      <c r="J124" s="72" t="n"/>
      <c r="K124" s="73" t="n"/>
      <c r="L124" s="68" t="n"/>
      <c r="M124" s="74" t="str">
        <f>IF(AND(A124="",B124="",D124=""),"",MAX(N(J124),IF(A124="",0,SUMPRODUCT(MAX((in_plan=A124)*in_prev*in_dnum)))))</f>
        <v/>
      </c>
      <c r="N124" s="75" t="str">
        <f>IF(AND(A124="",B124="",D124=""),"",MAX(N(K124),IF(A124="",0,SUMPRODUCT(MAX((in_plan=A124)*in_prev*in_cnum)))))</f>
        <v/>
      </c>
      <c r="O124" s="76" t="str">
        <f>IF(AND(OR(E124="Calendrier",E124="Au premier des deux"),N(F124)&gt;0,IF(N(M124)&gt;0,M124,IFERROR(N(INDEX(eq_start,MATCH(B124,eq_code,0))),0))&gt;0),IF(N(M124)&gt;0,M124,IFERROR(N(INDEX(eq_start,MATCH(B124,eq_code,0))),0))+F124,"")</f>
        <v/>
      </c>
      <c r="P124" s="75" t="str">
        <f>IF(AND(OR(E124="Compteur",E124="Au premier des deux"),N(G124)&gt;0),N(N124)+G124,"")</f>
        <v/>
      </c>
      <c r="Q124" s="75" t="str">
        <f>IF(B124="","",IFERROR(N(INDEX(eq_cnt,MATCH(B124,eq_code,0))),""))</f>
        <v/>
      </c>
      <c r="R124" s="77" t="str">
        <f>IF(ISNUMBER(O124),O124-p_today,"")</f>
        <v/>
      </c>
      <c r="S124" s="78" t="str">
        <f>IF(AND(ISNUMBER(P124),N(Q124)&gt;0),P124-Q124,"")</f>
        <v/>
      </c>
      <c r="T124" s="76" t="str">
        <f>IF(AND(ISNUMBER(O124),ISNUMBER(X124)),MIN(O124,X124),IF(ISNUMBER(O124),O124,X124))</f>
        <v/>
      </c>
      <c r="U124" s="79" t="str">
        <f>IF(AND(A124="",B124="",D124=""),"",IF(L124="Non","Inactif",IF(AND(NOT(ISNUMBER(R124)),NOT(ISNUMBER(S124))),"À compléter",IF(OR(AND(ISNUMBER(R124),N(R124)&lt;0),AND(ISNUMBER(S124),N(S124)&lt;0)),"En retard",IF(OR(AND(ISNUMBER(R124),N(R124)&lt;=p_soon),AND(ISNUMBER(S124),N(S124)&lt;=p_soon_pct*N(G124))),"Bientôt","À jour")))))</f>
        <v/>
      </c>
      <c r="V124" s="79" t="str">
        <f>IF(AND(A124="",B124="",D124=""),"",IF(A124="","N° de plan manquant",IF(COUNTIF($A$6:$A$505,A124)&gt;1,"N° de plan en double",IF(B124="","Équipement manquant",IF(ISNA(MATCH(B124,eq_code,0)),"Équipement inconnu",IF(D124="","Tâche manquante",IF(E124="","Déclenchement manquant",IF(AND(E124&lt;&gt;"Calendrier",E124&lt;&gt;"Compteur",E124&lt;&gt;"Au premier des deux"),"Déclenchement inconnu",IF(AND(E124&lt;&gt;"Compteur",OR(NOT(ISNUMBER(F124)),N(F124)&lt;=0)),"Périodicité en jours manquante",IF(AND(E124&lt;&gt;"Calendrier",OR(NOT(ISNUMBER(G124)),N(G124)&lt;=0)),"Périodicité compteur manquante",IF(AND(J124&lt;&gt;"",OR(NOT(ISNUMBER(J124)),N(J124)&lt;=0)),"Date de réalisation invalide",IF(AND(K124&lt;&gt;"",OR(NOT(ISNUMBER(K124)),N(K124)&lt;0)),"Compteur de réalisation invalide",IF(AND(E124&lt;&gt;"Compteur",N(M124)=0,IFERROR(N(INDEX(eq_start,MATCH(B124,eq_code,0))),0)=0),"Date de départ manquante",IF(AND(E124&lt;&gt;"Calendrier",K124="",N(N124)=0),"Compteur de départ manquant",IF(AND(E124&lt;&gt;"Calendrier",N(Q124)=0),"Relevé compteur manquant (Équipements)",IF(AND(I124&lt;&gt;"",ISNA(MATCH(I124,tech_name,0))),"Technicien inconnu",IF(AND(L124&lt;&gt;"",L124&lt;&gt;"Oui",L124&lt;&gt;"Non"),"Actif : Oui ou Non","OK")))))))))))))))))</f>
        <v/>
      </c>
      <c r="W124" s="67">
        <f>IFERROR(N(INDEX(eq_use,MATCH(B124,eq_code,0))),0)</f>
        <v>0.0</v>
      </c>
      <c r="X124" s="67" t="str">
        <f>IF(AND(ISNUMBER(S124),W124&gt;0),p_today+MAX(0,ROUNDUP(S124*7/W124,0)),"")</f>
        <v/>
      </c>
      <c r="Y124" s="67" t="str">
        <f>IF(AND(ISNUMBER(T124),OR(U124="En retard",U124="Bientôt",U124="À jour")),IF(AND(ISNUMBER(O124),ISNUMBER(X124)),MIN(F124,G124*7/W124),IF(ISNUMBER(O124),F124,G124*7/W124)),"")</f>
        <v/>
      </c>
      <c r="Z124" s="67" t="str">
        <f>IF(OR(U124="En retard",U124="Bientôt"),IF(U124="En retard",0,1)*1000000000+IF(AB124="A",0,IF(AB124="B",1,IF(AB124="C",2,3)))*100000000+IF(ISNUMBER(T124),T124,p_today)*1000+ROW()-5,"")</f>
        <v/>
      </c>
      <c r="AA124" s="67" t="str">
        <f>IF(Z124="","",COUNTIF($Z$6:$Z$505,"&lt;"&amp;Z124)+1)</f>
        <v/>
      </c>
      <c r="AB124" s="67" t="str">
        <f>IFERROR(INDEX(eq_crit,MATCH(B124,eq_code,0))&amp;"","")</f>
        <v/>
      </c>
    </row>
    <row r="125">
      <c r="A125" s="65" t="n"/>
      <c r="B125" s="66" t="n"/>
      <c r="C125" s="67" t="str">
        <f>IF(B125="","",IFERROR(INDEX(eq_des,MATCH(B125,eq_code,0))&amp;"","Équipement inconnu"))</f>
        <v/>
      </c>
      <c r="D125" s="66" t="n"/>
      <c r="E125" s="68" t="n"/>
      <c r="F125" s="69" t="n"/>
      <c r="G125" s="70" t="n"/>
      <c r="H125" s="71" t="n"/>
      <c r="I125" s="66" t="n"/>
      <c r="J125" s="72" t="n"/>
      <c r="K125" s="73" t="n"/>
      <c r="L125" s="68" t="n"/>
      <c r="M125" s="74" t="str">
        <f>IF(AND(A125="",B125="",D125=""),"",MAX(N(J125),IF(A125="",0,SUMPRODUCT(MAX((in_plan=A125)*in_prev*in_dnum)))))</f>
        <v/>
      </c>
      <c r="N125" s="75" t="str">
        <f>IF(AND(A125="",B125="",D125=""),"",MAX(N(K125),IF(A125="",0,SUMPRODUCT(MAX((in_plan=A125)*in_prev*in_cnum)))))</f>
        <v/>
      </c>
      <c r="O125" s="76" t="str">
        <f>IF(AND(OR(E125="Calendrier",E125="Au premier des deux"),N(F125)&gt;0,IF(N(M125)&gt;0,M125,IFERROR(N(INDEX(eq_start,MATCH(B125,eq_code,0))),0))&gt;0),IF(N(M125)&gt;0,M125,IFERROR(N(INDEX(eq_start,MATCH(B125,eq_code,0))),0))+F125,"")</f>
        <v/>
      </c>
      <c r="P125" s="75" t="str">
        <f>IF(AND(OR(E125="Compteur",E125="Au premier des deux"),N(G125)&gt;0),N(N125)+G125,"")</f>
        <v/>
      </c>
      <c r="Q125" s="75" t="str">
        <f>IF(B125="","",IFERROR(N(INDEX(eq_cnt,MATCH(B125,eq_code,0))),""))</f>
        <v/>
      </c>
      <c r="R125" s="77" t="str">
        <f>IF(ISNUMBER(O125),O125-p_today,"")</f>
        <v/>
      </c>
      <c r="S125" s="78" t="str">
        <f>IF(AND(ISNUMBER(P125),N(Q125)&gt;0),P125-Q125,"")</f>
        <v/>
      </c>
      <c r="T125" s="76" t="str">
        <f>IF(AND(ISNUMBER(O125),ISNUMBER(X125)),MIN(O125,X125),IF(ISNUMBER(O125),O125,X125))</f>
        <v/>
      </c>
      <c r="U125" s="79" t="str">
        <f>IF(AND(A125="",B125="",D125=""),"",IF(L125="Non","Inactif",IF(AND(NOT(ISNUMBER(R125)),NOT(ISNUMBER(S125))),"À compléter",IF(OR(AND(ISNUMBER(R125),N(R125)&lt;0),AND(ISNUMBER(S125),N(S125)&lt;0)),"En retard",IF(OR(AND(ISNUMBER(R125),N(R125)&lt;=p_soon),AND(ISNUMBER(S125),N(S125)&lt;=p_soon_pct*N(G125))),"Bientôt","À jour")))))</f>
        <v/>
      </c>
      <c r="V125" s="79" t="str">
        <f>IF(AND(A125="",B125="",D125=""),"",IF(A125="","N° de plan manquant",IF(COUNTIF($A$6:$A$505,A125)&gt;1,"N° de plan en double",IF(B125="","Équipement manquant",IF(ISNA(MATCH(B125,eq_code,0)),"Équipement inconnu",IF(D125="","Tâche manquante",IF(E125="","Déclenchement manquant",IF(AND(E125&lt;&gt;"Calendrier",E125&lt;&gt;"Compteur",E125&lt;&gt;"Au premier des deux"),"Déclenchement inconnu",IF(AND(E125&lt;&gt;"Compteur",OR(NOT(ISNUMBER(F125)),N(F125)&lt;=0)),"Périodicité en jours manquante",IF(AND(E125&lt;&gt;"Calendrier",OR(NOT(ISNUMBER(G125)),N(G125)&lt;=0)),"Périodicité compteur manquante",IF(AND(J125&lt;&gt;"",OR(NOT(ISNUMBER(J125)),N(J125)&lt;=0)),"Date de réalisation invalide",IF(AND(K125&lt;&gt;"",OR(NOT(ISNUMBER(K125)),N(K125)&lt;0)),"Compteur de réalisation invalide",IF(AND(E125&lt;&gt;"Compteur",N(M125)=0,IFERROR(N(INDEX(eq_start,MATCH(B125,eq_code,0))),0)=0),"Date de départ manquante",IF(AND(E125&lt;&gt;"Calendrier",K125="",N(N125)=0),"Compteur de départ manquant",IF(AND(E125&lt;&gt;"Calendrier",N(Q125)=0),"Relevé compteur manquant (Équipements)",IF(AND(I125&lt;&gt;"",ISNA(MATCH(I125,tech_name,0))),"Technicien inconnu",IF(AND(L125&lt;&gt;"",L125&lt;&gt;"Oui",L125&lt;&gt;"Non"),"Actif : Oui ou Non","OK")))))))))))))))))</f>
        <v/>
      </c>
      <c r="W125" s="67">
        <f>IFERROR(N(INDEX(eq_use,MATCH(B125,eq_code,0))),0)</f>
        <v>0.0</v>
      </c>
      <c r="X125" s="67" t="str">
        <f>IF(AND(ISNUMBER(S125),W125&gt;0),p_today+MAX(0,ROUNDUP(S125*7/W125,0)),"")</f>
        <v/>
      </c>
      <c r="Y125" s="67" t="str">
        <f>IF(AND(ISNUMBER(T125),OR(U125="En retard",U125="Bientôt",U125="À jour")),IF(AND(ISNUMBER(O125),ISNUMBER(X125)),MIN(F125,G125*7/W125),IF(ISNUMBER(O125),F125,G125*7/W125)),"")</f>
        <v/>
      </c>
      <c r="Z125" s="67" t="str">
        <f>IF(OR(U125="En retard",U125="Bientôt"),IF(U125="En retard",0,1)*1000000000+IF(AB125="A",0,IF(AB125="B",1,IF(AB125="C",2,3)))*100000000+IF(ISNUMBER(T125),T125,p_today)*1000+ROW()-5,"")</f>
        <v/>
      </c>
      <c r="AA125" s="67" t="str">
        <f>IF(Z125="","",COUNTIF($Z$6:$Z$505,"&lt;"&amp;Z125)+1)</f>
        <v/>
      </c>
      <c r="AB125" s="67" t="str">
        <f>IFERROR(INDEX(eq_crit,MATCH(B125,eq_code,0))&amp;"","")</f>
        <v/>
      </c>
    </row>
    <row r="126">
      <c r="A126" s="65" t="n"/>
      <c r="B126" s="66" t="n"/>
      <c r="C126" s="67" t="str">
        <f>IF(B126="","",IFERROR(INDEX(eq_des,MATCH(B126,eq_code,0))&amp;"","Équipement inconnu"))</f>
        <v/>
      </c>
      <c r="D126" s="66" t="n"/>
      <c r="E126" s="68" t="n"/>
      <c r="F126" s="69" t="n"/>
      <c r="G126" s="70" t="n"/>
      <c r="H126" s="71" t="n"/>
      <c r="I126" s="66" t="n"/>
      <c r="J126" s="72" t="n"/>
      <c r="K126" s="73" t="n"/>
      <c r="L126" s="68" t="n"/>
      <c r="M126" s="74" t="str">
        <f>IF(AND(A126="",B126="",D126=""),"",MAX(N(J126),IF(A126="",0,SUMPRODUCT(MAX((in_plan=A126)*in_prev*in_dnum)))))</f>
        <v/>
      </c>
      <c r="N126" s="75" t="str">
        <f>IF(AND(A126="",B126="",D126=""),"",MAX(N(K126),IF(A126="",0,SUMPRODUCT(MAX((in_plan=A126)*in_prev*in_cnum)))))</f>
        <v/>
      </c>
      <c r="O126" s="76" t="str">
        <f>IF(AND(OR(E126="Calendrier",E126="Au premier des deux"),N(F126)&gt;0,IF(N(M126)&gt;0,M126,IFERROR(N(INDEX(eq_start,MATCH(B126,eq_code,0))),0))&gt;0),IF(N(M126)&gt;0,M126,IFERROR(N(INDEX(eq_start,MATCH(B126,eq_code,0))),0))+F126,"")</f>
        <v/>
      </c>
      <c r="P126" s="75" t="str">
        <f>IF(AND(OR(E126="Compteur",E126="Au premier des deux"),N(G126)&gt;0),N(N126)+G126,"")</f>
        <v/>
      </c>
      <c r="Q126" s="75" t="str">
        <f>IF(B126="","",IFERROR(N(INDEX(eq_cnt,MATCH(B126,eq_code,0))),""))</f>
        <v/>
      </c>
      <c r="R126" s="77" t="str">
        <f>IF(ISNUMBER(O126),O126-p_today,"")</f>
        <v/>
      </c>
      <c r="S126" s="78" t="str">
        <f>IF(AND(ISNUMBER(P126),N(Q126)&gt;0),P126-Q126,"")</f>
        <v/>
      </c>
      <c r="T126" s="76" t="str">
        <f>IF(AND(ISNUMBER(O126),ISNUMBER(X126)),MIN(O126,X126),IF(ISNUMBER(O126),O126,X126))</f>
        <v/>
      </c>
      <c r="U126" s="79" t="str">
        <f>IF(AND(A126="",B126="",D126=""),"",IF(L126="Non","Inactif",IF(AND(NOT(ISNUMBER(R126)),NOT(ISNUMBER(S126))),"À compléter",IF(OR(AND(ISNUMBER(R126),N(R126)&lt;0),AND(ISNUMBER(S126),N(S126)&lt;0)),"En retard",IF(OR(AND(ISNUMBER(R126),N(R126)&lt;=p_soon),AND(ISNUMBER(S126),N(S126)&lt;=p_soon_pct*N(G126))),"Bientôt","À jour")))))</f>
        <v/>
      </c>
      <c r="V126" s="79" t="str">
        <f>IF(AND(A126="",B126="",D126=""),"",IF(A126="","N° de plan manquant",IF(COUNTIF($A$6:$A$505,A126)&gt;1,"N° de plan en double",IF(B126="","Équipement manquant",IF(ISNA(MATCH(B126,eq_code,0)),"Équipement inconnu",IF(D126="","Tâche manquante",IF(E126="","Déclenchement manquant",IF(AND(E126&lt;&gt;"Calendrier",E126&lt;&gt;"Compteur",E126&lt;&gt;"Au premier des deux"),"Déclenchement inconnu",IF(AND(E126&lt;&gt;"Compteur",OR(NOT(ISNUMBER(F126)),N(F126)&lt;=0)),"Périodicité en jours manquante",IF(AND(E126&lt;&gt;"Calendrier",OR(NOT(ISNUMBER(G126)),N(G126)&lt;=0)),"Périodicité compteur manquante",IF(AND(J126&lt;&gt;"",OR(NOT(ISNUMBER(J126)),N(J126)&lt;=0)),"Date de réalisation invalide",IF(AND(K126&lt;&gt;"",OR(NOT(ISNUMBER(K126)),N(K126)&lt;0)),"Compteur de réalisation invalide",IF(AND(E126&lt;&gt;"Compteur",N(M126)=0,IFERROR(N(INDEX(eq_start,MATCH(B126,eq_code,0))),0)=0),"Date de départ manquante",IF(AND(E126&lt;&gt;"Calendrier",K126="",N(N126)=0),"Compteur de départ manquant",IF(AND(E126&lt;&gt;"Calendrier",N(Q126)=0),"Relevé compteur manquant (Équipements)",IF(AND(I126&lt;&gt;"",ISNA(MATCH(I126,tech_name,0))),"Technicien inconnu",IF(AND(L126&lt;&gt;"",L126&lt;&gt;"Oui",L126&lt;&gt;"Non"),"Actif : Oui ou Non","OK")))))))))))))))))</f>
        <v/>
      </c>
      <c r="W126" s="67">
        <f>IFERROR(N(INDEX(eq_use,MATCH(B126,eq_code,0))),0)</f>
        <v>0.0</v>
      </c>
      <c r="X126" s="67" t="str">
        <f>IF(AND(ISNUMBER(S126),W126&gt;0),p_today+MAX(0,ROUNDUP(S126*7/W126,0)),"")</f>
        <v/>
      </c>
      <c r="Y126" s="67" t="str">
        <f>IF(AND(ISNUMBER(T126),OR(U126="En retard",U126="Bientôt",U126="À jour")),IF(AND(ISNUMBER(O126),ISNUMBER(X126)),MIN(F126,G126*7/W126),IF(ISNUMBER(O126),F126,G126*7/W126)),"")</f>
        <v/>
      </c>
      <c r="Z126" s="67" t="str">
        <f>IF(OR(U126="En retard",U126="Bientôt"),IF(U126="En retard",0,1)*1000000000+IF(AB126="A",0,IF(AB126="B",1,IF(AB126="C",2,3)))*100000000+IF(ISNUMBER(T126),T126,p_today)*1000+ROW()-5,"")</f>
        <v/>
      </c>
      <c r="AA126" s="67" t="str">
        <f>IF(Z126="","",COUNTIF($Z$6:$Z$505,"&lt;"&amp;Z126)+1)</f>
        <v/>
      </c>
      <c r="AB126" s="67" t="str">
        <f>IFERROR(INDEX(eq_crit,MATCH(B126,eq_code,0))&amp;"","")</f>
        <v/>
      </c>
    </row>
    <row r="127">
      <c r="A127" s="65" t="n"/>
      <c r="B127" s="66" t="n"/>
      <c r="C127" s="67" t="str">
        <f>IF(B127="","",IFERROR(INDEX(eq_des,MATCH(B127,eq_code,0))&amp;"","Équipement inconnu"))</f>
        <v/>
      </c>
      <c r="D127" s="66" t="n"/>
      <c r="E127" s="68" t="n"/>
      <c r="F127" s="69" t="n"/>
      <c r="G127" s="70" t="n"/>
      <c r="H127" s="71" t="n"/>
      <c r="I127" s="66" t="n"/>
      <c r="J127" s="72" t="n"/>
      <c r="K127" s="73" t="n"/>
      <c r="L127" s="68" t="n"/>
      <c r="M127" s="74" t="str">
        <f>IF(AND(A127="",B127="",D127=""),"",MAX(N(J127),IF(A127="",0,SUMPRODUCT(MAX((in_plan=A127)*in_prev*in_dnum)))))</f>
        <v/>
      </c>
      <c r="N127" s="75" t="str">
        <f>IF(AND(A127="",B127="",D127=""),"",MAX(N(K127),IF(A127="",0,SUMPRODUCT(MAX((in_plan=A127)*in_prev*in_cnum)))))</f>
        <v/>
      </c>
      <c r="O127" s="76" t="str">
        <f>IF(AND(OR(E127="Calendrier",E127="Au premier des deux"),N(F127)&gt;0,IF(N(M127)&gt;0,M127,IFERROR(N(INDEX(eq_start,MATCH(B127,eq_code,0))),0))&gt;0),IF(N(M127)&gt;0,M127,IFERROR(N(INDEX(eq_start,MATCH(B127,eq_code,0))),0))+F127,"")</f>
        <v/>
      </c>
      <c r="P127" s="75" t="str">
        <f>IF(AND(OR(E127="Compteur",E127="Au premier des deux"),N(G127)&gt;0),N(N127)+G127,"")</f>
        <v/>
      </c>
      <c r="Q127" s="75" t="str">
        <f>IF(B127="","",IFERROR(N(INDEX(eq_cnt,MATCH(B127,eq_code,0))),""))</f>
        <v/>
      </c>
      <c r="R127" s="77" t="str">
        <f>IF(ISNUMBER(O127),O127-p_today,"")</f>
        <v/>
      </c>
      <c r="S127" s="78" t="str">
        <f>IF(AND(ISNUMBER(P127),N(Q127)&gt;0),P127-Q127,"")</f>
        <v/>
      </c>
      <c r="T127" s="76" t="str">
        <f>IF(AND(ISNUMBER(O127),ISNUMBER(X127)),MIN(O127,X127),IF(ISNUMBER(O127),O127,X127))</f>
        <v/>
      </c>
      <c r="U127" s="79" t="str">
        <f>IF(AND(A127="",B127="",D127=""),"",IF(L127="Non","Inactif",IF(AND(NOT(ISNUMBER(R127)),NOT(ISNUMBER(S127))),"À compléter",IF(OR(AND(ISNUMBER(R127),N(R127)&lt;0),AND(ISNUMBER(S127),N(S127)&lt;0)),"En retard",IF(OR(AND(ISNUMBER(R127),N(R127)&lt;=p_soon),AND(ISNUMBER(S127),N(S127)&lt;=p_soon_pct*N(G127))),"Bientôt","À jour")))))</f>
        <v/>
      </c>
      <c r="V127" s="79" t="str">
        <f>IF(AND(A127="",B127="",D127=""),"",IF(A127="","N° de plan manquant",IF(COUNTIF($A$6:$A$505,A127)&gt;1,"N° de plan en double",IF(B127="","Équipement manquant",IF(ISNA(MATCH(B127,eq_code,0)),"Équipement inconnu",IF(D127="","Tâche manquante",IF(E127="","Déclenchement manquant",IF(AND(E127&lt;&gt;"Calendrier",E127&lt;&gt;"Compteur",E127&lt;&gt;"Au premier des deux"),"Déclenchement inconnu",IF(AND(E127&lt;&gt;"Compteur",OR(NOT(ISNUMBER(F127)),N(F127)&lt;=0)),"Périodicité en jours manquante",IF(AND(E127&lt;&gt;"Calendrier",OR(NOT(ISNUMBER(G127)),N(G127)&lt;=0)),"Périodicité compteur manquante",IF(AND(J127&lt;&gt;"",OR(NOT(ISNUMBER(J127)),N(J127)&lt;=0)),"Date de réalisation invalide",IF(AND(K127&lt;&gt;"",OR(NOT(ISNUMBER(K127)),N(K127)&lt;0)),"Compteur de réalisation invalide",IF(AND(E127&lt;&gt;"Compteur",N(M127)=0,IFERROR(N(INDEX(eq_start,MATCH(B127,eq_code,0))),0)=0),"Date de départ manquante",IF(AND(E127&lt;&gt;"Calendrier",K127="",N(N127)=0),"Compteur de départ manquant",IF(AND(E127&lt;&gt;"Calendrier",N(Q127)=0),"Relevé compteur manquant (Équipements)",IF(AND(I127&lt;&gt;"",ISNA(MATCH(I127,tech_name,0))),"Technicien inconnu",IF(AND(L127&lt;&gt;"",L127&lt;&gt;"Oui",L127&lt;&gt;"Non"),"Actif : Oui ou Non","OK")))))))))))))))))</f>
        <v/>
      </c>
      <c r="W127" s="67">
        <f>IFERROR(N(INDEX(eq_use,MATCH(B127,eq_code,0))),0)</f>
        <v>0.0</v>
      </c>
      <c r="X127" s="67" t="str">
        <f>IF(AND(ISNUMBER(S127),W127&gt;0),p_today+MAX(0,ROUNDUP(S127*7/W127,0)),"")</f>
        <v/>
      </c>
      <c r="Y127" s="67" t="str">
        <f>IF(AND(ISNUMBER(T127),OR(U127="En retard",U127="Bientôt",U127="À jour")),IF(AND(ISNUMBER(O127),ISNUMBER(X127)),MIN(F127,G127*7/W127),IF(ISNUMBER(O127),F127,G127*7/W127)),"")</f>
        <v/>
      </c>
      <c r="Z127" s="67" t="str">
        <f>IF(OR(U127="En retard",U127="Bientôt"),IF(U127="En retard",0,1)*1000000000+IF(AB127="A",0,IF(AB127="B",1,IF(AB127="C",2,3)))*100000000+IF(ISNUMBER(T127),T127,p_today)*1000+ROW()-5,"")</f>
        <v/>
      </c>
      <c r="AA127" s="67" t="str">
        <f>IF(Z127="","",COUNTIF($Z$6:$Z$505,"&lt;"&amp;Z127)+1)</f>
        <v/>
      </c>
      <c r="AB127" s="67" t="str">
        <f>IFERROR(INDEX(eq_crit,MATCH(B127,eq_code,0))&amp;"","")</f>
        <v/>
      </c>
    </row>
    <row r="128">
      <c r="A128" s="65" t="n"/>
      <c r="B128" s="66" t="n"/>
      <c r="C128" s="67" t="str">
        <f>IF(B128="","",IFERROR(INDEX(eq_des,MATCH(B128,eq_code,0))&amp;"","Équipement inconnu"))</f>
        <v/>
      </c>
      <c r="D128" s="66" t="n"/>
      <c r="E128" s="68" t="n"/>
      <c r="F128" s="69" t="n"/>
      <c r="G128" s="70" t="n"/>
      <c r="H128" s="71" t="n"/>
      <c r="I128" s="66" t="n"/>
      <c r="J128" s="72" t="n"/>
      <c r="K128" s="73" t="n"/>
      <c r="L128" s="68" t="n"/>
      <c r="M128" s="74" t="str">
        <f>IF(AND(A128="",B128="",D128=""),"",MAX(N(J128),IF(A128="",0,SUMPRODUCT(MAX((in_plan=A128)*in_prev*in_dnum)))))</f>
        <v/>
      </c>
      <c r="N128" s="75" t="str">
        <f>IF(AND(A128="",B128="",D128=""),"",MAX(N(K128),IF(A128="",0,SUMPRODUCT(MAX((in_plan=A128)*in_prev*in_cnum)))))</f>
        <v/>
      </c>
      <c r="O128" s="76" t="str">
        <f>IF(AND(OR(E128="Calendrier",E128="Au premier des deux"),N(F128)&gt;0,IF(N(M128)&gt;0,M128,IFERROR(N(INDEX(eq_start,MATCH(B128,eq_code,0))),0))&gt;0),IF(N(M128)&gt;0,M128,IFERROR(N(INDEX(eq_start,MATCH(B128,eq_code,0))),0))+F128,"")</f>
        <v/>
      </c>
      <c r="P128" s="75" t="str">
        <f>IF(AND(OR(E128="Compteur",E128="Au premier des deux"),N(G128)&gt;0),N(N128)+G128,"")</f>
        <v/>
      </c>
      <c r="Q128" s="75" t="str">
        <f>IF(B128="","",IFERROR(N(INDEX(eq_cnt,MATCH(B128,eq_code,0))),""))</f>
        <v/>
      </c>
      <c r="R128" s="77" t="str">
        <f>IF(ISNUMBER(O128),O128-p_today,"")</f>
        <v/>
      </c>
      <c r="S128" s="78" t="str">
        <f>IF(AND(ISNUMBER(P128),N(Q128)&gt;0),P128-Q128,"")</f>
        <v/>
      </c>
      <c r="T128" s="76" t="str">
        <f>IF(AND(ISNUMBER(O128),ISNUMBER(X128)),MIN(O128,X128),IF(ISNUMBER(O128),O128,X128))</f>
        <v/>
      </c>
      <c r="U128" s="79" t="str">
        <f>IF(AND(A128="",B128="",D128=""),"",IF(L128="Non","Inactif",IF(AND(NOT(ISNUMBER(R128)),NOT(ISNUMBER(S128))),"À compléter",IF(OR(AND(ISNUMBER(R128),N(R128)&lt;0),AND(ISNUMBER(S128),N(S128)&lt;0)),"En retard",IF(OR(AND(ISNUMBER(R128),N(R128)&lt;=p_soon),AND(ISNUMBER(S128),N(S128)&lt;=p_soon_pct*N(G128))),"Bientôt","À jour")))))</f>
        <v/>
      </c>
      <c r="V128" s="79" t="str">
        <f>IF(AND(A128="",B128="",D128=""),"",IF(A128="","N° de plan manquant",IF(COUNTIF($A$6:$A$505,A128)&gt;1,"N° de plan en double",IF(B128="","Équipement manquant",IF(ISNA(MATCH(B128,eq_code,0)),"Équipement inconnu",IF(D128="","Tâche manquante",IF(E128="","Déclenchement manquant",IF(AND(E128&lt;&gt;"Calendrier",E128&lt;&gt;"Compteur",E128&lt;&gt;"Au premier des deux"),"Déclenchement inconnu",IF(AND(E128&lt;&gt;"Compteur",OR(NOT(ISNUMBER(F128)),N(F128)&lt;=0)),"Périodicité en jours manquante",IF(AND(E128&lt;&gt;"Calendrier",OR(NOT(ISNUMBER(G128)),N(G128)&lt;=0)),"Périodicité compteur manquante",IF(AND(J128&lt;&gt;"",OR(NOT(ISNUMBER(J128)),N(J128)&lt;=0)),"Date de réalisation invalide",IF(AND(K128&lt;&gt;"",OR(NOT(ISNUMBER(K128)),N(K128)&lt;0)),"Compteur de réalisation invalide",IF(AND(E128&lt;&gt;"Compteur",N(M128)=0,IFERROR(N(INDEX(eq_start,MATCH(B128,eq_code,0))),0)=0),"Date de départ manquante",IF(AND(E128&lt;&gt;"Calendrier",K128="",N(N128)=0),"Compteur de départ manquant",IF(AND(E128&lt;&gt;"Calendrier",N(Q128)=0),"Relevé compteur manquant (Équipements)",IF(AND(I128&lt;&gt;"",ISNA(MATCH(I128,tech_name,0))),"Technicien inconnu",IF(AND(L128&lt;&gt;"",L128&lt;&gt;"Oui",L128&lt;&gt;"Non"),"Actif : Oui ou Non","OK")))))))))))))))))</f>
        <v/>
      </c>
      <c r="W128" s="67">
        <f>IFERROR(N(INDEX(eq_use,MATCH(B128,eq_code,0))),0)</f>
        <v>0.0</v>
      </c>
      <c r="X128" s="67" t="str">
        <f>IF(AND(ISNUMBER(S128),W128&gt;0),p_today+MAX(0,ROUNDUP(S128*7/W128,0)),"")</f>
        <v/>
      </c>
      <c r="Y128" s="67" t="str">
        <f>IF(AND(ISNUMBER(T128),OR(U128="En retard",U128="Bientôt",U128="À jour")),IF(AND(ISNUMBER(O128),ISNUMBER(X128)),MIN(F128,G128*7/W128),IF(ISNUMBER(O128),F128,G128*7/W128)),"")</f>
        <v/>
      </c>
      <c r="Z128" s="67" t="str">
        <f>IF(OR(U128="En retard",U128="Bientôt"),IF(U128="En retard",0,1)*1000000000+IF(AB128="A",0,IF(AB128="B",1,IF(AB128="C",2,3)))*100000000+IF(ISNUMBER(T128),T128,p_today)*1000+ROW()-5,"")</f>
        <v/>
      </c>
      <c r="AA128" s="67" t="str">
        <f>IF(Z128="","",COUNTIF($Z$6:$Z$505,"&lt;"&amp;Z128)+1)</f>
        <v/>
      </c>
      <c r="AB128" s="67" t="str">
        <f>IFERROR(INDEX(eq_crit,MATCH(B128,eq_code,0))&amp;"","")</f>
        <v/>
      </c>
    </row>
    <row r="129">
      <c r="A129" s="65" t="n"/>
      <c r="B129" s="66" t="n"/>
      <c r="C129" s="67" t="str">
        <f>IF(B129="","",IFERROR(INDEX(eq_des,MATCH(B129,eq_code,0))&amp;"","Équipement inconnu"))</f>
        <v/>
      </c>
      <c r="D129" s="66" t="n"/>
      <c r="E129" s="68" t="n"/>
      <c r="F129" s="69" t="n"/>
      <c r="G129" s="70" t="n"/>
      <c r="H129" s="71" t="n"/>
      <c r="I129" s="66" t="n"/>
      <c r="J129" s="72" t="n"/>
      <c r="K129" s="73" t="n"/>
      <c r="L129" s="68" t="n"/>
      <c r="M129" s="74" t="str">
        <f>IF(AND(A129="",B129="",D129=""),"",MAX(N(J129),IF(A129="",0,SUMPRODUCT(MAX((in_plan=A129)*in_prev*in_dnum)))))</f>
        <v/>
      </c>
      <c r="N129" s="75" t="str">
        <f>IF(AND(A129="",B129="",D129=""),"",MAX(N(K129),IF(A129="",0,SUMPRODUCT(MAX((in_plan=A129)*in_prev*in_cnum)))))</f>
        <v/>
      </c>
      <c r="O129" s="76" t="str">
        <f>IF(AND(OR(E129="Calendrier",E129="Au premier des deux"),N(F129)&gt;0,IF(N(M129)&gt;0,M129,IFERROR(N(INDEX(eq_start,MATCH(B129,eq_code,0))),0))&gt;0),IF(N(M129)&gt;0,M129,IFERROR(N(INDEX(eq_start,MATCH(B129,eq_code,0))),0))+F129,"")</f>
        <v/>
      </c>
      <c r="P129" s="75" t="str">
        <f>IF(AND(OR(E129="Compteur",E129="Au premier des deux"),N(G129)&gt;0),N(N129)+G129,"")</f>
        <v/>
      </c>
      <c r="Q129" s="75" t="str">
        <f>IF(B129="","",IFERROR(N(INDEX(eq_cnt,MATCH(B129,eq_code,0))),""))</f>
        <v/>
      </c>
      <c r="R129" s="77" t="str">
        <f>IF(ISNUMBER(O129),O129-p_today,"")</f>
        <v/>
      </c>
      <c r="S129" s="78" t="str">
        <f>IF(AND(ISNUMBER(P129),N(Q129)&gt;0),P129-Q129,"")</f>
        <v/>
      </c>
      <c r="T129" s="76" t="str">
        <f>IF(AND(ISNUMBER(O129),ISNUMBER(X129)),MIN(O129,X129),IF(ISNUMBER(O129),O129,X129))</f>
        <v/>
      </c>
      <c r="U129" s="79" t="str">
        <f>IF(AND(A129="",B129="",D129=""),"",IF(L129="Non","Inactif",IF(AND(NOT(ISNUMBER(R129)),NOT(ISNUMBER(S129))),"À compléter",IF(OR(AND(ISNUMBER(R129),N(R129)&lt;0),AND(ISNUMBER(S129),N(S129)&lt;0)),"En retard",IF(OR(AND(ISNUMBER(R129),N(R129)&lt;=p_soon),AND(ISNUMBER(S129),N(S129)&lt;=p_soon_pct*N(G129))),"Bientôt","À jour")))))</f>
        <v/>
      </c>
      <c r="V129" s="79" t="str">
        <f>IF(AND(A129="",B129="",D129=""),"",IF(A129="","N° de plan manquant",IF(COUNTIF($A$6:$A$505,A129)&gt;1,"N° de plan en double",IF(B129="","Équipement manquant",IF(ISNA(MATCH(B129,eq_code,0)),"Équipement inconnu",IF(D129="","Tâche manquante",IF(E129="","Déclenchement manquant",IF(AND(E129&lt;&gt;"Calendrier",E129&lt;&gt;"Compteur",E129&lt;&gt;"Au premier des deux"),"Déclenchement inconnu",IF(AND(E129&lt;&gt;"Compteur",OR(NOT(ISNUMBER(F129)),N(F129)&lt;=0)),"Périodicité en jours manquante",IF(AND(E129&lt;&gt;"Calendrier",OR(NOT(ISNUMBER(G129)),N(G129)&lt;=0)),"Périodicité compteur manquante",IF(AND(J129&lt;&gt;"",OR(NOT(ISNUMBER(J129)),N(J129)&lt;=0)),"Date de réalisation invalide",IF(AND(K129&lt;&gt;"",OR(NOT(ISNUMBER(K129)),N(K129)&lt;0)),"Compteur de réalisation invalide",IF(AND(E129&lt;&gt;"Compteur",N(M129)=0,IFERROR(N(INDEX(eq_start,MATCH(B129,eq_code,0))),0)=0),"Date de départ manquante",IF(AND(E129&lt;&gt;"Calendrier",K129="",N(N129)=0),"Compteur de départ manquant",IF(AND(E129&lt;&gt;"Calendrier",N(Q129)=0),"Relevé compteur manquant (Équipements)",IF(AND(I129&lt;&gt;"",ISNA(MATCH(I129,tech_name,0))),"Technicien inconnu",IF(AND(L129&lt;&gt;"",L129&lt;&gt;"Oui",L129&lt;&gt;"Non"),"Actif : Oui ou Non","OK")))))))))))))))))</f>
        <v/>
      </c>
      <c r="W129" s="67">
        <f>IFERROR(N(INDEX(eq_use,MATCH(B129,eq_code,0))),0)</f>
        <v>0.0</v>
      </c>
      <c r="X129" s="67" t="str">
        <f>IF(AND(ISNUMBER(S129),W129&gt;0),p_today+MAX(0,ROUNDUP(S129*7/W129,0)),"")</f>
        <v/>
      </c>
      <c r="Y129" s="67" t="str">
        <f>IF(AND(ISNUMBER(T129),OR(U129="En retard",U129="Bientôt",U129="À jour")),IF(AND(ISNUMBER(O129),ISNUMBER(X129)),MIN(F129,G129*7/W129),IF(ISNUMBER(O129),F129,G129*7/W129)),"")</f>
        <v/>
      </c>
      <c r="Z129" s="67" t="str">
        <f>IF(OR(U129="En retard",U129="Bientôt"),IF(U129="En retard",0,1)*1000000000+IF(AB129="A",0,IF(AB129="B",1,IF(AB129="C",2,3)))*100000000+IF(ISNUMBER(T129),T129,p_today)*1000+ROW()-5,"")</f>
        <v/>
      </c>
      <c r="AA129" s="67" t="str">
        <f>IF(Z129="","",COUNTIF($Z$6:$Z$505,"&lt;"&amp;Z129)+1)</f>
        <v/>
      </c>
      <c r="AB129" s="67" t="str">
        <f>IFERROR(INDEX(eq_crit,MATCH(B129,eq_code,0))&amp;"","")</f>
        <v/>
      </c>
    </row>
    <row r="130">
      <c r="A130" s="65" t="n"/>
      <c r="B130" s="66" t="n"/>
      <c r="C130" s="67" t="str">
        <f>IF(B130="","",IFERROR(INDEX(eq_des,MATCH(B130,eq_code,0))&amp;"","Équipement inconnu"))</f>
        <v/>
      </c>
      <c r="D130" s="66" t="n"/>
      <c r="E130" s="68" t="n"/>
      <c r="F130" s="69" t="n"/>
      <c r="G130" s="70" t="n"/>
      <c r="H130" s="71" t="n"/>
      <c r="I130" s="66" t="n"/>
      <c r="J130" s="72" t="n"/>
      <c r="K130" s="73" t="n"/>
      <c r="L130" s="68" t="n"/>
      <c r="M130" s="74" t="str">
        <f>IF(AND(A130="",B130="",D130=""),"",MAX(N(J130),IF(A130="",0,SUMPRODUCT(MAX((in_plan=A130)*in_prev*in_dnum)))))</f>
        <v/>
      </c>
      <c r="N130" s="75" t="str">
        <f>IF(AND(A130="",B130="",D130=""),"",MAX(N(K130),IF(A130="",0,SUMPRODUCT(MAX((in_plan=A130)*in_prev*in_cnum)))))</f>
        <v/>
      </c>
      <c r="O130" s="76" t="str">
        <f>IF(AND(OR(E130="Calendrier",E130="Au premier des deux"),N(F130)&gt;0,IF(N(M130)&gt;0,M130,IFERROR(N(INDEX(eq_start,MATCH(B130,eq_code,0))),0))&gt;0),IF(N(M130)&gt;0,M130,IFERROR(N(INDEX(eq_start,MATCH(B130,eq_code,0))),0))+F130,"")</f>
        <v/>
      </c>
      <c r="P130" s="75" t="str">
        <f>IF(AND(OR(E130="Compteur",E130="Au premier des deux"),N(G130)&gt;0),N(N130)+G130,"")</f>
        <v/>
      </c>
      <c r="Q130" s="75" t="str">
        <f>IF(B130="","",IFERROR(N(INDEX(eq_cnt,MATCH(B130,eq_code,0))),""))</f>
        <v/>
      </c>
      <c r="R130" s="77" t="str">
        <f>IF(ISNUMBER(O130),O130-p_today,"")</f>
        <v/>
      </c>
      <c r="S130" s="78" t="str">
        <f>IF(AND(ISNUMBER(P130),N(Q130)&gt;0),P130-Q130,"")</f>
        <v/>
      </c>
      <c r="T130" s="76" t="str">
        <f>IF(AND(ISNUMBER(O130),ISNUMBER(X130)),MIN(O130,X130),IF(ISNUMBER(O130),O130,X130))</f>
        <v/>
      </c>
      <c r="U130" s="79" t="str">
        <f>IF(AND(A130="",B130="",D130=""),"",IF(L130="Non","Inactif",IF(AND(NOT(ISNUMBER(R130)),NOT(ISNUMBER(S130))),"À compléter",IF(OR(AND(ISNUMBER(R130),N(R130)&lt;0),AND(ISNUMBER(S130),N(S130)&lt;0)),"En retard",IF(OR(AND(ISNUMBER(R130),N(R130)&lt;=p_soon),AND(ISNUMBER(S130),N(S130)&lt;=p_soon_pct*N(G130))),"Bientôt","À jour")))))</f>
        <v/>
      </c>
      <c r="V130" s="79" t="str">
        <f>IF(AND(A130="",B130="",D130=""),"",IF(A130="","N° de plan manquant",IF(COUNTIF($A$6:$A$505,A130)&gt;1,"N° de plan en double",IF(B130="","Équipement manquant",IF(ISNA(MATCH(B130,eq_code,0)),"Équipement inconnu",IF(D130="","Tâche manquante",IF(E130="","Déclenchement manquant",IF(AND(E130&lt;&gt;"Calendrier",E130&lt;&gt;"Compteur",E130&lt;&gt;"Au premier des deux"),"Déclenchement inconnu",IF(AND(E130&lt;&gt;"Compteur",OR(NOT(ISNUMBER(F130)),N(F130)&lt;=0)),"Périodicité en jours manquante",IF(AND(E130&lt;&gt;"Calendrier",OR(NOT(ISNUMBER(G130)),N(G130)&lt;=0)),"Périodicité compteur manquante",IF(AND(J130&lt;&gt;"",OR(NOT(ISNUMBER(J130)),N(J130)&lt;=0)),"Date de réalisation invalide",IF(AND(K130&lt;&gt;"",OR(NOT(ISNUMBER(K130)),N(K130)&lt;0)),"Compteur de réalisation invalide",IF(AND(E130&lt;&gt;"Compteur",N(M130)=0,IFERROR(N(INDEX(eq_start,MATCH(B130,eq_code,0))),0)=0),"Date de départ manquante",IF(AND(E130&lt;&gt;"Calendrier",K130="",N(N130)=0),"Compteur de départ manquant",IF(AND(E130&lt;&gt;"Calendrier",N(Q130)=0),"Relevé compteur manquant (Équipements)",IF(AND(I130&lt;&gt;"",ISNA(MATCH(I130,tech_name,0))),"Technicien inconnu",IF(AND(L130&lt;&gt;"",L130&lt;&gt;"Oui",L130&lt;&gt;"Non"),"Actif : Oui ou Non","OK")))))))))))))))))</f>
        <v/>
      </c>
      <c r="W130" s="67">
        <f>IFERROR(N(INDEX(eq_use,MATCH(B130,eq_code,0))),0)</f>
        <v>0.0</v>
      </c>
      <c r="X130" s="67" t="str">
        <f>IF(AND(ISNUMBER(S130),W130&gt;0),p_today+MAX(0,ROUNDUP(S130*7/W130,0)),"")</f>
        <v/>
      </c>
      <c r="Y130" s="67" t="str">
        <f>IF(AND(ISNUMBER(T130),OR(U130="En retard",U130="Bientôt",U130="À jour")),IF(AND(ISNUMBER(O130),ISNUMBER(X130)),MIN(F130,G130*7/W130),IF(ISNUMBER(O130),F130,G130*7/W130)),"")</f>
        <v/>
      </c>
      <c r="Z130" s="67" t="str">
        <f>IF(OR(U130="En retard",U130="Bientôt"),IF(U130="En retard",0,1)*1000000000+IF(AB130="A",0,IF(AB130="B",1,IF(AB130="C",2,3)))*100000000+IF(ISNUMBER(T130),T130,p_today)*1000+ROW()-5,"")</f>
        <v/>
      </c>
      <c r="AA130" s="67" t="str">
        <f>IF(Z130="","",COUNTIF($Z$6:$Z$505,"&lt;"&amp;Z130)+1)</f>
        <v/>
      </c>
      <c r="AB130" s="67" t="str">
        <f>IFERROR(INDEX(eq_crit,MATCH(B130,eq_code,0))&amp;"","")</f>
        <v/>
      </c>
    </row>
    <row r="131">
      <c r="A131" s="65" t="n"/>
      <c r="B131" s="66" t="n"/>
      <c r="C131" s="67" t="str">
        <f>IF(B131="","",IFERROR(INDEX(eq_des,MATCH(B131,eq_code,0))&amp;"","Équipement inconnu"))</f>
        <v/>
      </c>
      <c r="D131" s="66" t="n"/>
      <c r="E131" s="68" t="n"/>
      <c r="F131" s="69" t="n"/>
      <c r="G131" s="70" t="n"/>
      <c r="H131" s="71" t="n"/>
      <c r="I131" s="66" t="n"/>
      <c r="J131" s="72" t="n"/>
      <c r="K131" s="73" t="n"/>
      <c r="L131" s="68" t="n"/>
      <c r="M131" s="74" t="str">
        <f>IF(AND(A131="",B131="",D131=""),"",MAX(N(J131),IF(A131="",0,SUMPRODUCT(MAX((in_plan=A131)*in_prev*in_dnum)))))</f>
        <v/>
      </c>
      <c r="N131" s="75" t="str">
        <f>IF(AND(A131="",B131="",D131=""),"",MAX(N(K131),IF(A131="",0,SUMPRODUCT(MAX((in_plan=A131)*in_prev*in_cnum)))))</f>
        <v/>
      </c>
      <c r="O131" s="76" t="str">
        <f>IF(AND(OR(E131="Calendrier",E131="Au premier des deux"),N(F131)&gt;0,IF(N(M131)&gt;0,M131,IFERROR(N(INDEX(eq_start,MATCH(B131,eq_code,0))),0))&gt;0),IF(N(M131)&gt;0,M131,IFERROR(N(INDEX(eq_start,MATCH(B131,eq_code,0))),0))+F131,"")</f>
        <v/>
      </c>
      <c r="P131" s="75" t="str">
        <f>IF(AND(OR(E131="Compteur",E131="Au premier des deux"),N(G131)&gt;0),N(N131)+G131,"")</f>
        <v/>
      </c>
      <c r="Q131" s="75" t="str">
        <f>IF(B131="","",IFERROR(N(INDEX(eq_cnt,MATCH(B131,eq_code,0))),""))</f>
        <v/>
      </c>
      <c r="R131" s="77" t="str">
        <f>IF(ISNUMBER(O131),O131-p_today,"")</f>
        <v/>
      </c>
      <c r="S131" s="78" t="str">
        <f>IF(AND(ISNUMBER(P131),N(Q131)&gt;0),P131-Q131,"")</f>
        <v/>
      </c>
      <c r="T131" s="76" t="str">
        <f>IF(AND(ISNUMBER(O131),ISNUMBER(X131)),MIN(O131,X131),IF(ISNUMBER(O131),O131,X131))</f>
        <v/>
      </c>
      <c r="U131" s="79" t="str">
        <f>IF(AND(A131="",B131="",D131=""),"",IF(L131="Non","Inactif",IF(AND(NOT(ISNUMBER(R131)),NOT(ISNUMBER(S131))),"À compléter",IF(OR(AND(ISNUMBER(R131),N(R131)&lt;0),AND(ISNUMBER(S131),N(S131)&lt;0)),"En retard",IF(OR(AND(ISNUMBER(R131),N(R131)&lt;=p_soon),AND(ISNUMBER(S131),N(S131)&lt;=p_soon_pct*N(G131))),"Bientôt","À jour")))))</f>
        <v/>
      </c>
      <c r="V131" s="79" t="str">
        <f>IF(AND(A131="",B131="",D131=""),"",IF(A131="","N° de plan manquant",IF(COUNTIF($A$6:$A$505,A131)&gt;1,"N° de plan en double",IF(B131="","Équipement manquant",IF(ISNA(MATCH(B131,eq_code,0)),"Équipement inconnu",IF(D131="","Tâche manquante",IF(E131="","Déclenchement manquant",IF(AND(E131&lt;&gt;"Calendrier",E131&lt;&gt;"Compteur",E131&lt;&gt;"Au premier des deux"),"Déclenchement inconnu",IF(AND(E131&lt;&gt;"Compteur",OR(NOT(ISNUMBER(F131)),N(F131)&lt;=0)),"Périodicité en jours manquante",IF(AND(E131&lt;&gt;"Calendrier",OR(NOT(ISNUMBER(G131)),N(G131)&lt;=0)),"Périodicité compteur manquante",IF(AND(J131&lt;&gt;"",OR(NOT(ISNUMBER(J131)),N(J131)&lt;=0)),"Date de réalisation invalide",IF(AND(K131&lt;&gt;"",OR(NOT(ISNUMBER(K131)),N(K131)&lt;0)),"Compteur de réalisation invalide",IF(AND(E131&lt;&gt;"Compteur",N(M131)=0,IFERROR(N(INDEX(eq_start,MATCH(B131,eq_code,0))),0)=0),"Date de départ manquante",IF(AND(E131&lt;&gt;"Calendrier",K131="",N(N131)=0),"Compteur de départ manquant",IF(AND(E131&lt;&gt;"Calendrier",N(Q131)=0),"Relevé compteur manquant (Équipements)",IF(AND(I131&lt;&gt;"",ISNA(MATCH(I131,tech_name,0))),"Technicien inconnu",IF(AND(L131&lt;&gt;"",L131&lt;&gt;"Oui",L131&lt;&gt;"Non"),"Actif : Oui ou Non","OK")))))))))))))))))</f>
        <v/>
      </c>
      <c r="W131" s="67">
        <f>IFERROR(N(INDEX(eq_use,MATCH(B131,eq_code,0))),0)</f>
        <v>0.0</v>
      </c>
      <c r="X131" s="67" t="str">
        <f>IF(AND(ISNUMBER(S131),W131&gt;0),p_today+MAX(0,ROUNDUP(S131*7/W131,0)),"")</f>
        <v/>
      </c>
      <c r="Y131" s="67" t="str">
        <f>IF(AND(ISNUMBER(T131),OR(U131="En retard",U131="Bientôt",U131="À jour")),IF(AND(ISNUMBER(O131),ISNUMBER(X131)),MIN(F131,G131*7/W131),IF(ISNUMBER(O131),F131,G131*7/W131)),"")</f>
        <v/>
      </c>
      <c r="Z131" s="67" t="str">
        <f>IF(OR(U131="En retard",U131="Bientôt"),IF(U131="En retard",0,1)*1000000000+IF(AB131="A",0,IF(AB131="B",1,IF(AB131="C",2,3)))*100000000+IF(ISNUMBER(T131),T131,p_today)*1000+ROW()-5,"")</f>
        <v/>
      </c>
      <c r="AA131" s="67" t="str">
        <f>IF(Z131="","",COUNTIF($Z$6:$Z$505,"&lt;"&amp;Z131)+1)</f>
        <v/>
      </c>
      <c r="AB131" s="67" t="str">
        <f>IFERROR(INDEX(eq_crit,MATCH(B131,eq_code,0))&amp;"","")</f>
        <v/>
      </c>
    </row>
    <row r="132">
      <c r="A132" s="65" t="n"/>
      <c r="B132" s="66" t="n"/>
      <c r="C132" s="67" t="str">
        <f>IF(B132="","",IFERROR(INDEX(eq_des,MATCH(B132,eq_code,0))&amp;"","Équipement inconnu"))</f>
        <v/>
      </c>
      <c r="D132" s="66" t="n"/>
      <c r="E132" s="68" t="n"/>
      <c r="F132" s="69" t="n"/>
      <c r="G132" s="70" t="n"/>
      <c r="H132" s="71" t="n"/>
      <c r="I132" s="66" t="n"/>
      <c r="J132" s="72" t="n"/>
      <c r="K132" s="73" t="n"/>
      <c r="L132" s="68" t="n"/>
      <c r="M132" s="74" t="str">
        <f>IF(AND(A132="",B132="",D132=""),"",MAX(N(J132),IF(A132="",0,SUMPRODUCT(MAX((in_plan=A132)*in_prev*in_dnum)))))</f>
        <v/>
      </c>
      <c r="N132" s="75" t="str">
        <f>IF(AND(A132="",B132="",D132=""),"",MAX(N(K132),IF(A132="",0,SUMPRODUCT(MAX((in_plan=A132)*in_prev*in_cnum)))))</f>
        <v/>
      </c>
      <c r="O132" s="76" t="str">
        <f>IF(AND(OR(E132="Calendrier",E132="Au premier des deux"),N(F132)&gt;0,IF(N(M132)&gt;0,M132,IFERROR(N(INDEX(eq_start,MATCH(B132,eq_code,0))),0))&gt;0),IF(N(M132)&gt;0,M132,IFERROR(N(INDEX(eq_start,MATCH(B132,eq_code,0))),0))+F132,"")</f>
        <v/>
      </c>
      <c r="P132" s="75" t="str">
        <f>IF(AND(OR(E132="Compteur",E132="Au premier des deux"),N(G132)&gt;0),N(N132)+G132,"")</f>
        <v/>
      </c>
      <c r="Q132" s="75" t="str">
        <f>IF(B132="","",IFERROR(N(INDEX(eq_cnt,MATCH(B132,eq_code,0))),""))</f>
        <v/>
      </c>
      <c r="R132" s="77" t="str">
        <f>IF(ISNUMBER(O132),O132-p_today,"")</f>
        <v/>
      </c>
      <c r="S132" s="78" t="str">
        <f>IF(AND(ISNUMBER(P132),N(Q132)&gt;0),P132-Q132,"")</f>
        <v/>
      </c>
      <c r="T132" s="76" t="str">
        <f>IF(AND(ISNUMBER(O132),ISNUMBER(X132)),MIN(O132,X132),IF(ISNUMBER(O132),O132,X132))</f>
        <v/>
      </c>
      <c r="U132" s="79" t="str">
        <f>IF(AND(A132="",B132="",D132=""),"",IF(L132="Non","Inactif",IF(AND(NOT(ISNUMBER(R132)),NOT(ISNUMBER(S132))),"À compléter",IF(OR(AND(ISNUMBER(R132),N(R132)&lt;0),AND(ISNUMBER(S132),N(S132)&lt;0)),"En retard",IF(OR(AND(ISNUMBER(R132),N(R132)&lt;=p_soon),AND(ISNUMBER(S132),N(S132)&lt;=p_soon_pct*N(G132))),"Bientôt","À jour")))))</f>
        <v/>
      </c>
      <c r="V132" s="79" t="str">
        <f>IF(AND(A132="",B132="",D132=""),"",IF(A132="","N° de plan manquant",IF(COUNTIF($A$6:$A$505,A132)&gt;1,"N° de plan en double",IF(B132="","Équipement manquant",IF(ISNA(MATCH(B132,eq_code,0)),"Équipement inconnu",IF(D132="","Tâche manquante",IF(E132="","Déclenchement manquant",IF(AND(E132&lt;&gt;"Calendrier",E132&lt;&gt;"Compteur",E132&lt;&gt;"Au premier des deux"),"Déclenchement inconnu",IF(AND(E132&lt;&gt;"Compteur",OR(NOT(ISNUMBER(F132)),N(F132)&lt;=0)),"Périodicité en jours manquante",IF(AND(E132&lt;&gt;"Calendrier",OR(NOT(ISNUMBER(G132)),N(G132)&lt;=0)),"Périodicité compteur manquante",IF(AND(J132&lt;&gt;"",OR(NOT(ISNUMBER(J132)),N(J132)&lt;=0)),"Date de réalisation invalide",IF(AND(K132&lt;&gt;"",OR(NOT(ISNUMBER(K132)),N(K132)&lt;0)),"Compteur de réalisation invalide",IF(AND(E132&lt;&gt;"Compteur",N(M132)=0,IFERROR(N(INDEX(eq_start,MATCH(B132,eq_code,0))),0)=0),"Date de départ manquante",IF(AND(E132&lt;&gt;"Calendrier",K132="",N(N132)=0),"Compteur de départ manquant",IF(AND(E132&lt;&gt;"Calendrier",N(Q132)=0),"Relevé compteur manquant (Équipements)",IF(AND(I132&lt;&gt;"",ISNA(MATCH(I132,tech_name,0))),"Technicien inconnu",IF(AND(L132&lt;&gt;"",L132&lt;&gt;"Oui",L132&lt;&gt;"Non"),"Actif : Oui ou Non","OK")))))))))))))))))</f>
        <v/>
      </c>
      <c r="W132" s="67">
        <f>IFERROR(N(INDEX(eq_use,MATCH(B132,eq_code,0))),0)</f>
        <v>0.0</v>
      </c>
      <c r="X132" s="67" t="str">
        <f>IF(AND(ISNUMBER(S132),W132&gt;0),p_today+MAX(0,ROUNDUP(S132*7/W132,0)),"")</f>
        <v/>
      </c>
      <c r="Y132" s="67" t="str">
        <f>IF(AND(ISNUMBER(T132),OR(U132="En retard",U132="Bientôt",U132="À jour")),IF(AND(ISNUMBER(O132),ISNUMBER(X132)),MIN(F132,G132*7/W132),IF(ISNUMBER(O132),F132,G132*7/W132)),"")</f>
        <v/>
      </c>
      <c r="Z132" s="67" t="str">
        <f>IF(OR(U132="En retard",U132="Bientôt"),IF(U132="En retard",0,1)*1000000000+IF(AB132="A",0,IF(AB132="B",1,IF(AB132="C",2,3)))*100000000+IF(ISNUMBER(T132),T132,p_today)*1000+ROW()-5,"")</f>
        <v/>
      </c>
      <c r="AA132" s="67" t="str">
        <f>IF(Z132="","",COUNTIF($Z$6:$Z$505,"&lt;"&amp;Z132)+1)</f>
        <v/>
      </c>
      <c r="AB132" s="67" t="str">
        <f>IFERROR(INDEX(eq_crit,MATCH(B132,eq_code,0))&amp;"","")</f>
        <v/>
      </c>
    </row>
    <row r="133">
      <c r="A133" s="65" t="n"/>
      <c r="B133" s="66" t="n"/>
      <c r="C133" s="67" t="str">
        <f>IF(B133="","",IFERROR(INDEX(eq_des,MATCH(B133,eq_code,0))&amp;"","Équipement inconnu"))</f>
        <v/>
      </c>
      <c r="D133" s="66" t="n"/>
      <c r="E133" s="68" t="n"/>
      <c r="F133" s="69" t="n"/>
      <c r="G133" s="70" t="n"/>
      <c r="H133" s="71" t="n"/>
      <c r="I133" s="66" t="n"/>
      <c r="J133" s="72" t="n"/>
      <c r="K133" s="73" t="n"/>
      <c r="L133" s="68" t="n"/>
      <c r="M133" s="74" t="str">
        <f>IF(AND(A133="",B133="",D133=""),"",MAX(N(J133),IF(A133="",0,SUMPRODUCT(MAX((in_plan=A133)*in_prev*in_dnum)))))</f>
        <v/>
      </c>
      <c r="N133" s="75" t="str">
        <f>IF(AND(A133="",B133="",D133=""),"",MAX(N(K133),IF(A133="",0,SUMPRODUCT(MAX((in_plan=A133)*in_prev*in_cnum)))))</f>
        <v/>
      </c>
      <c r="O133" s="76" t="str">
        <f>IF(AND(OR(E133="Calendrier",E133="Au premier des deux"),N(F133)&gt;0,IF(N(M133)&gt;0,M133,IFERROR(N(INDEX(eq_start,MATCH(B133,eq_code,0))),0))&gt;0),IF(N(M133)&gt;0,M133,IFERROR(N(INDEX(eq_start,MATCH(B133,eq_code,0))),0))+F133,"")</f>
        <v/>
      </c>
      <c r="P133" s="75" t="str">
        <f>IF(AND(OR(E133="Compteur",E133="Au premier des deux"),N(G133)&gt;0),N(N133)+G133,"")</f>
        <v/>
      </c>
      <c r="Q133" s="75" t="str">
        <f>IF(B133="","",IFERROR(N(INDEX(eq_cnt,MATCH(B133,eq_code,0))),""))</f>
        <v/>
      </c>
      <c r="R133" s="77" t="str">
        <f>IF(ISNUMBER(O133),O133-p_today,"")</f>
        <v/>
      </c>
      <c r="S133" s="78" t="str">
        <f>IF(AND(ISNUMBER(P133),N(Q133)&gt;0),P133-Q133,"")</f>
        <v/>
      </c>
      <c r="T133" s="76" t="str">
        <f>IF(AND(ISNUMBER(O133),ISNUMBER(X133)),MIN(O133,X133),IF(ISNUMBER(O133),O133,X133))</f>
        <v/>
      </c>
      <c r="U133" s="79" t="str">
        <f>IF(AND(A133="",B133="",D133=""),"",IF(L133="Non","Inactif",IF(AND(NOT(ISNUMBER(R133)),NOT(ISNUMBER(S133))),"À compléter",IF(OR(AND(ISNUMBER(R133),N(R133)&lt;0),AND(ISNUMBER(S133),N(S133)&lt;0)),"En retard",IF(OR(AND(ISNUMBER(R133),N(R133)&lt;=p_soon),AND(ISNUMBER(S133),N(S133)&lt;=p_soon_pct*N(G133))),"Bientôt","À jour")))))</f>
        <v/>
      </c>
      <c r="V133" s="79" t="str">
        <f>IF(AND(A133="",B133="",D133=""),"",IF(A133="","N° de plan manquant",IF(COUNTIF($A$6:$A$505,A133)&gt;1,"N° de plan en double",IF(B133="","Équipement manquant",IF(ISNA(MATCH(B133,eq_code,0)),"Équipement inconnu",IF(D133="","Tâche manquante",IF(E133="","Déclenchement manquant",IF(AND(E133&lt;&gt;"Calendrier",E133&lt;&gt;"Compteur",E133&lt;&gt;"Au premier des deux"),"Déclenchement inconnu",IF(AND(E133&lt;&gt;"Compteur",OR(NOT(ISNUMBER(F133)),N(F133)&lt;=0)),"Périodicité en jours manquante",IF(AND(E133&lt;&gt;"Calendrier",OR(NOT(ISNUMBER(G133)),N(G133)&lt;=0)),"Périodicité compteur manquante",IF(AND(J133&lt;&gt;"",OR(NOT(ISNUMBER(J133)),N(J133)&lt;=0)),"Date de réalisation invalide",IF(AND(K133&lt;&gt;"",OR(NOT(ISNUMBER(K133)),N(K133)&lt;0)),"Compteur de réalisation invalide",IF(AND(E133&lt;&gt;"Compteur",N(M133)=0,IFERROR(N(INDEX(eq_start,MATCH(B133,eq_code,0))),0)=0),"Date de départ manquante",IF(AND(E133&lt;&gt;"Calendrier",K133="",N(N133)=0),"Compteur de départ manquant",IF(AND(E133&lt;&gt;"Calendrier",N(Q133)=0),"Relevé compteur manquant (Équipements)",IF(AND(I133&lt;&gt;"",ISNA(MATCH(I133,tech_name,0))),"Technicien inconnu",IF(AND(L133&lt;&gt;"",L133&lt;&gt;"Oui",L133&lt;&gt;"Non"),"Actif : Oui ou Non","OK")))))))))))))))))</f>
        <v/>
      </c>
      <c r="W133" s="67">
        <f>IFERROR(N(INDEX(eq_use,MATCH(B133,eq_code,0))),0)</f>
        <v>0.0</v>
      </c>
      <c r="X133" s="67" t="str">
        <f>IF(AND(ISNUMBER(S133),W133&gt;0),p_today+MAX(0,ROUNDUP(S133*7/W133,0)),"")</f>
        <v/>
      </c>
      <c r="Y133" s="67" t="str">
        <f>IF(AND(ISNUMBER(T133),OR(U133="En retard",U133="Bientôt",U133="À jour")),IF(AND(ISNUMBER(O133),ISNUMBER(X133)),MIN(F133,G133*7/W133),IF(ISNUMBER(O133),F133,G133*7/W133)),"")</f>
        <v/>
      </c>
      <c r="Z133" s="67" t="str">
        <f>IF(OR(U133="En retard",U133="Bientôt"),IF(U133="En retard",0,1)*1000000000+IF(AB133="A",0,IF(AB133="B",1,IF(AB133="C",2,3)))*100000000+IF(ISNUMBER(T133),T133,p_today)*1000+ROW()-5,"")</f>
        <v/>
      </c>
      <c r="AA133" s="67" t="str">
        <f>IF(Z133="","",COUNTIF($Z$6:$Z$505,"&lt;"&amp;Z133)+1)</f>
        <v/>
      </c>
      <c r="AB133" s="67" t="str">
        <f>IFERROR(INDEX(eq_crit,MATCH(B133,eq_code,0))&amp;"","")</f>
        <v/>
      </c>
    </row>
    <row r="134">
      <c r="A134" s="65" t="n"/>
      <c r="B134" s="66" t="n"/>
      <c r="C134" s="67" t="str">
        <f>IF(B134="","",IFERROR(INDEX(eq_des,MATCH(B134,eq_code,0))&amp;"","Équipement inconnu"))</f>
        <v/>
      </c>
      <c r="D134" s="66" t="n"/>
      <c r="E134" s="68" t="n"/>
      <c r="F134" s="69" t="n"/>
      <c r="G134" s="70" t="n"/>
      <c r="H134" s="71" t="n"/>
      <c r="I134" s="66" t="n"/>
      <c r="J134" s="72" t="n"/>
      <c r="K134" s="73" t="n"/>
      <c r="L134" s="68" t="n"/>
      <c r="M134" s="74" t="str">
        <f>IF(AND(A134="",B134="",D134=""),"",MAX(N(J134),IF(A134="",0,SUMPRODUCT(MAX((in_plan=A134)*in_prev*in_dnum)))))</f>
        <v/>
      </c>
      <c r="N134" s="75" t="str">
        <f>IF(AND(A134="",B134="",D134=""),"",MAX(N(K134),IF(A134="",0,SUMPRODUCT(MAX((in_plan=A134)*in_prev*in_cnum)))))</f>
        <v/>
      </c>
      <c r="O134" s="76" t="str">
        <f>IF(AND(OR(E134="Calendrier",E134="Au premier des deux"),N(F134)&gt;0,IF(N(M134)&gt;0,M134,IFERROR(N(INDEX(eq_start,MATCH(B134,eq_code,0))),0))&gt;0),IF(N(M134)&gt;0,M134,IFERROR(N(INDEX(eq_start,MATCH(B134,eq_code,0))),0))+F134,"")</f>
        <v/>
      </c>
      <c r="P134" s="75" t="str">
        <f>IF(AND(OR(E134="Compteur",E134="Au premier des deux"),N(G134)&gt;0),N(N134)+G134,"")</f>
        <v/>
      </c>
      <c r="Q134" s="75" t="str">
        <f>IF(B134="","",IFERROR(N(INDEX(eq_cnt,MATCH(B134,eq_code,0))),""))</f>
        <v/>
      </c>
      <c r="R134" s="77" t="str">
        <f>IF(ISNUMBER(O134),O134-p_today,"")</f>
        <v/>
      </c>
      <c r="S134" s="78" t="str">
        <f>IF(AND(ISNUMBER(P134),N(Q134)&gt;0),P134-Q134,"")</f>
        <v/>
      </c>
      <c r="T134" s="76" t="str">
        <f>IF(AND(ISNUMBER(O134),ISNUMBER(X134)),MIN(O134,X134),IF(ISNUMBER(O134),O134,X134))</f>
        <v/>
      </c>
      <c r="U134" s="79" t="str">
        <f>IF(AND(A134="",B134="",D134=""),"",IF(L134="Non","Inactif",IF(AND(NOT(ISNUMBER(R134)),NOT(ISNUMBER(S134))),"À compléter",IF(OR(AND(ISNUMBER(R134),N(R134)&lt;0),AND(ISNUMBER(S134),N(S134)&lt;0)),"En retard",IF(OR(AND(ISNUMBER(R134),N(R134)&lt;=p_soon),AND(ISNUMBER(S134),N(S134)&lt;=p_soon_pct*N(G134))),"Bientôt","À jour")))))</f>
        <v/>
      </c>
      <c r="V134" s="79" t="str">
        <f>IF(AND(A134="",B134="",D134=""),"",IF(A134="","N° de plan manquant",IF(COUNTIF($A$6:$A$505,A134)&gt;1,"N° de plan en double",IF(B134="","Équipement manquant",IF(ISNA(MATCH(B134,eq_code,0)),"Équipement inconnu",IF(D134="","Tâche manquante",IF(E134="","Déclenchement manquant",IF(AND(E134&lt;&gt;"Calendrier",E134&lt;&gt;"Compteur",E134&lt;&gt;"Au premier des deux"),"Déclenchement inconnu",IF(AND(E134&lt;&gt;"Compteur",OR(NOT(ISNUMBER(F134)),N(F134)&lt;=0)),"Périodicité en jours manquante",IF(AND(E134&lt;&gt;"Calendrier",OR(NOT(ISNUMBER(G134)),N(G134)&lt;=0)),"Périodicité compteur manquante",IF(AND(J134&lt;&gt;"",OR(NOT(ISNUMBER(J134)),N(J134)&lt;=0)),"Date de réalisation invalide",IF(AND(K134&lt;&gt;"",OR(NOT(ISNUMBER(K134)),N(K134)&lt;0)),"Compteur de réalisation invalide",IF(AND(E134&lt;&gt;"Compteur",N(M134)=0,IFERROR(N(INDEX(eq_start,MATCH(B134,eq_code,0))),0)=0),"Date de départ manquante",IF(AND(E134&lt;&gt;"Calendrier",K134="",N(N134)=0),"Compteur de départ manquant",IF(AND(E134&lt;&gt;"Calendrier",N(Q134)=0),"Relevé compteur manquant (Équipements)",IF(AND(I134&lt;&gt;"",ISNA(MATCH(I134,tech_name,0))),"Technicien inconnu",IF(AND(L134&lt;&gt;"",L134&lt;&gt;"Oui",L134&lt;&gt;"Non"),"Actif : Oui ou Non","OK")))))))))))))))))</f>
        <v/>
      </c>
      <c r="W134" s="67">
        <f>IFERROR(N(INDEX(eq_use,MATCH(B134,eq_code,0))),0)</f>
        <v>0.0</v>
      </c>
      <c r="X134" s="67" t="str">
        <f>IF(AND(ISNUMBER(S134),W134&gt;0),p_today+MAX(0,ROUNDUP(S134*7/W134,0)),"")</f>
        <v/>
      </c>
      <c r="Y134" s="67" t="str">
        <f>IF(AND(ISNUMBER(T134),OR(U134="En retard",U134="Bientôt",U134="À jour")),IF(AND(ISNUMBER(O134),ISNUMBER(X134)),MIN(F134,G134*7/W134),IF(ISNUMBER(O134),F134,G134*7/W134)),"")</f>
        <v/>
      </c>
      <c r="Z134" s="67" t="str">
        <f>IF(OR(U134="En retard",U134="Bientôt"),IF(U134="En retard",0,1)*1000000000+IF(AB134="A",0,IF(AB134="B",1,IF(AB134="C",2,3)))*100000000+IF(ISNUMBER(T134),T134,p_today)*1000+ROW()-5,"")</f>
        <v/>
      </c>
      <c r="AA134" s="67" t="str">
        <f>IF(Z134="","",COUNTIF($Z$6:$Z$505,"&lt;"&amp;Z134)+1)</f>
        <v/>
      </c>
      <c r="AB134" s="67" t="str">
        <f>IFERROR(INDEX(eq_crit,MATCH(B134,eq_code,0))&amp;"","")</f>
        <v/>
      </c>
    </row>
    <row r="135">
      <c r="A135" s="65" t="n"/>
      <c r="B135" s="66" t="n"/>
      <c r="C135" s="67" t="str">
        <f>IF(B135="","",IFERROR(INDEX(eq_des,MATCH(B135,eq_code,0))&amp;"","Équipement inconnu"))</f>
        <v/>
      </c>
      <c r="D135" s="66" t="n"/>
      <c r="E135" s="68" t="n"/>
      <c r="F135" s="69" t="n"/>
      <c r="G135" s="70" t="n"/>
      <c r="H135" s="71" t="n"/>
      <c r="I135" s="66" t="n"/>
      <c r="J135" s="72" t="n"/>
      <c r="K135" s="73" t="n"/>
      <c r="L135" s="68" t="n"/>
      <c r="M135" s="74" t="str">
        <f>IF(AND(A135="",B135="",D135=""),"",MAX(N(J135),IF(A135="",0,SUMPRODUCT(MAX((in_plan=A135)*in_prev*in_dnum)))))</f>
        <v/>
      </c>
      <c r="N135" s="75" t="str">
        <f>IF(AND(A135="",B135="",D135=""),"",MAX(N(K135),IF(A135="",0,SUMPRODUCT(MAX((in_plan=A135)*in_prev*in_cnum)))))</f>
        <v/>
      </c>
      <c r="O135" s="76" t="str">
        <f>IF(AND(OR(E135="Calendrier",E135="Au premier des deux"),N(F135)&gt;0,IF(N(M135)&gt;0,M135,IFERROR(N(INDEX(eq_start,MATCH(B135,eq_code,0))),0))&gt;0),IF(N(M135)&gt;0,M135,IFERROR(N(INDEX(eq_start,MATCH(B135,eq_code,0))),0))+F135,"")</f>
        <v/>
      </c>
      <c r="P135" s="75" t="str">
        <f>IF(AND(OR(E135="Compteur",E135="Au premier des deux"),N(G135)&gt;0),N(N135)+G135,"")</f>
        <v/>
      </c>
      <c r="Q135" s="75" t="str">
        <f>IF(B135="","",IFERROR(N(INDEX(eq_cnt,MATCH(B135,eq_code,0))),""))</f>
        <v/>
      </c>
      <c r="R135" s="77" t="str">
        <f>IF(ISNUMBER(O135),O135-p_today,"")</f>
        <v/>
      </c>
      <c r="S135" s="78" t="str">
        <f>IF(AND(ISNUMBER(P135),N(Q135)&gt;0),P135-Q135,"")</f>
        <v/>
      </c>
      <c r="T135" s="76" t="str">
        <f>IF(AND(ISNUMBER(O135),ISNUMBER(X135)),MIN(O135,X135),IF(ISNUMBER(O135),O135,X135))</f>
        <v/>
      </c>
      <c r="U135" s="79" t="str">
        <f>IF(AND(A135="",B135="",D135=""),"",IF(L135="Non","Inactif",IF(AND(NOT(ISNUMBER(R135)),NOT(ISNUMBER(S135))),"À compléter",IF(OR(AND(ISNUMBER(R135),N(R135)&lt;0),AND(ISNUMBER(S135),N(S135)&lt;0)),"En retard",IF(OR(AND(ISNUMBER(R135),N(R135)&lt;=p_soon),AND(ISNUMBER(S135),N(S135)&lt;=p_soon_pct*N(G135))),"Bientôt","À jour")))))</f>
        <v/>
      </c>
      <c r="V135" s="79" t="str">
        <f>IF(AND(A135="",B135="",D135=""),"",IF(A135="","N° de plan manquant",IF(COUNTIF($A$6:$A$505,A135)&gt;1,"N° de plan en double",IF(B135="","Équipement manquant",IF(ISNA(MATCH(B135,eq_code,0)),"Équipement inconnu",IF(D135="","Tâche manquante",IF(E135="","Déclenchement manquant",IF(AND(E135&lt;&gt;"Calendrier",E135&lt;&gt;"Compteur",E135&lt;&gt;"Au premier des deux"),"Déclenchement inconnu",IF(AND(E135&lt;&gt;"Compteur",OR(NOT(ISNUMBER(F135)),N(F135)&lt;=0)),"Périodicité en jours manquante",IF(AND(E135&lt;&gt;"Calendrier",OR(NOT(ISNUMBER(G135)),N(G135)&lt;=0)),"Périodicité compteur manquante",IF(AND(J135&lt;&gt;"",OR(NOT(ISNUMBER(J135)),N(J135)&lt;=0)),"Date de réalisation invalide",IF(AND(K135&lt;&gt;"",OR(NOT(ISNUMBER(K135)),N(K135)&lt;0)),"Compteur de réalisation invalide",IF(AND(E135&lt;&gt;"Compteur",N(M135)=0,IFERROR(N(INDEX(eq_start,MATCH(B135,eq_code,0))),0)=0),"Date de départ manquante",IF(AND(E135&lt;&gt;"Calendrier",K135="",N(N135)=0),"Compteur de départ manquant",IF(AND(E135&lt;&gt;"Calendrier",N(Q135)=0),"Relevé compteur manquant (Équipements)",IF(AND(I135&lt;&gt;"",ISNA(MATCH(I135,tech_name,0))),"Technicien inconnu",IF(AND(L135&lt;&gt;"",L135&lt;&gt;"Oui",L135&lt;&gt;"Non"),"Actif : Oui ou Non","OK")))))))))))))))))</f>
        <v/>
      </c>
      <c r="W135" s="67">
        <f>IFERROR(N(INDEX(eq_use,MATCH(B135,eq_code,0))),0)</f>
        <v>0.0</v>
      </c>
      <c r="X135" s="67" t="str">
        <f>IF(AND(ISNUMBER(S135),W135&gt;0),p_today+MAX(0,ROUNDUP(S135*7/W135,0)),"")</f>
        <v/>
      </c>
      <c r="Y135" s="67" t="str">
        <f>IF(AND(ISNUMBER(T135),OR(U135="En retard",U135="Bientôt",U135="À jour")),IF(AND(ISNUMBER(O135),ISNUMBER(X135)),MIN(F135,G135*7/W135),IF(ISNUMBER(O135),F135,G135*7/W135)),"")</f>
        <v/>
      </c>
      <c r="Z135" s="67" t="str">
        <f>IF(OR(U135="En retard",U135="Bientôt"),IF(U135="En retard",0,1)*1000000000+IF(AB135="A",0,IF(AB135="B",1,IF(AB135="C",2,3)))*100000000+IF(ISNUMBER(T135),T135,p_today)*1000+ROW()-5,"")</f>
        <v/>
      </c>
      <c r="AA135" s="67" t="str">
        <f>IF(Z135="","",COUNTIF($Z$6:$Z$505,"&lt;"&amp;Z135)+1)</f>
        <v/>
      </c>
      <c r="AB135" s="67" t="str">
        <f>IFERROR(INDEX(eq_crit,MATCH(B135,eq_code,0))&amp;"","")</f>
        <v/>
      </c>
    </row>
    <row r="136">
      <c r="A136" s="65" t="n"/>
      <c r="B136" s="66" t="n"/>
      <c r="C136" s="67" t="str">
        <f>IF(B136="","",IFERROR(INDEX(eq_des,MATCH(B136,eq_code,0))&amp;"","Équipement inconnu"))</f>
        <v/>
      </c>
      <c r="D136" s="66" t="n"/>
      <c r="E136" s="68" t="n"/>
      <c r="F136" s="69" t="n"/>
      <c r="G136" s="70" t="n"/>
      <c r="H136" s="71" t="n"/>
      <c r="I136" s="66" t="n"/>
      <c r="J136" s="72" t="n"/>
      <c r="K136" s="73" t="n"/>
      <c r="L136" s="68" t="n"/>
      <c r="M136" s="74" t="str">
        <f>IF(AND(A136="",B136="",D136=""),"",MAX(N(J136),IF(A136="",0,SUMPRODUCT(MAX((in_plan=A136)*in_prev*in_dnum)))))</f>
        <v/>
      </c>
      <c r="N136" s="75" t="str">
        <f>IF(AND(A136="",B136="",D136=""),"",MAX(N(K136),IF(A136="",0,SUMPRODUCT(MAX((in_plan=A136)*in_prev*in_cnum)))))</f>
        <v/>
      </c>
      <c r="O136" s="76" t="str">
        <f>IF(AND(OR(E136="Calendrier",E136="Au premier des deux"),N(F136)&gt;0,IF(N(M136)&gt;0,M136,IFERROR(N(INDEX(eq_start,MATCH(B136,eq_code,0))),0))&gt;0),IF(N(M136)&gt;0,M136,IFERROR(N(INDEX(eq_start,MATCH(B136,eq_code,0))),0))+F136,"")</f>
        <v/>
      </c>
      <c r="P136" s="75" t="str">
        <f>IF(AND(OR(E136="Compteur",E136="Au premier des deux"),N(G136)&gt;0),N(N136)+G136,"")</f>
        <v/>
      </c>
      <c r="Q136" s="75" t="str">
        <f>IF(B136="","",IFERROR(N(INDEX(eq_cnt,MATCH(B136,eq_code,0))),""))</f>
        <v/>
      </c>
      <c r="R136" s="77" t="str">
        <f>IF(ISNUMBER(O136),O136-p_today,"")</f>
        <v/>
      </c>
      <c r="S136" s="78" t="str">
        <f>IF(AND(ISNUMBER(P136),N(Q136)&gt;0),P136-Q136,"")</f>
        <v/>
      </c>
      <c r="T136" s="76" t="str">
        <f>IF(AND(ISNUMBER(O136),ISNUMBER(X136)),MIN(O136,X136),IF(ISNUMBER(O136),O136,X136))</f>
        <v/>
      </c>
      <c r="U136" s="79" t="str">
        <f>IF(AND(A136="",B136="",D136=""),"",IF(L136="Non","Inactif",IF(AND(NOT(ISNUMBER(R136)),NOT(ISNUMBER(S136))),"À compléter",IF(OR(AND(ISNUMBER(R136),N(R136)&lt;0),AND(ISNUMBER(S136),N(S136)&lt;0)),"En retard",IF(OR(AND(ISNUMBER(R136),N(R136)&lt;=p_soon),AND(ISNUMBER(S136),N(S136)&lt;=p_soon_pct*N(G136))),"Bientôt","À jour")))))</f>
        <v/>
      </c>
      <c r="V136" s="79" t="str">
        <f>IF(AND(A136="",B136="",D136=""),"",IF(A136="","N° de plan manquant",IF(COUNTIF($A$6:$A$505,A136)&gt;1,"N° de plan en double",IF(B136="","Équipement manquant",IF(ISNA(MATCH(B136,eq_code,0)),"Équipement inconnu",IF(D136="","Tâche manquante",IF(E136="","Déclenchement manquant",IF(AND(E136&lt;&gt;"Calendrier",E136&lt;&gt;"Compteur",E136&lt;&gt;"Au premier des deux"),"Déclenchement inconnu",IF(AND(E136&lt;&gt;"Compteur",OR(NOT(ISNUMBER(F136)),N(F136)&lt;=0)),"Périodicité en jours manquante",IF(AND(E136&lt;&gt;"Calendrier",OR(NOT(ISNUMBER(G136)),N(G136)&lt;=0)),"Périodicité compteur manquante",IF(AND(J136&lt;&gt;"",OR(NOT(ISNUMBER(J136)),N(J136)&lt;=0)),"Date de réalisation invalide",IF(AND(K136&lt;&gt;"",OR(NOT(ISNUMBER(K136)),N(K136)&lt;0)),"Compteur de réalisation invalide",IF(AND(E136&lt;&gt;"Compteur",N(M136)=0,IFERROR(N(INDEX(eq_start,MATCH(B136,eq_code,0))),0)=0),"Date de départ manquante",IF(AND(E136&lt;&gt;"Calendrier",K136="",N(N136)=0),"Compteur de départ manquant",IF(AND(E136&lt;&gt;"Calendrier",N(Q136)=0),"Relevé compteur manquant (Équipements)",IF(AND(I136&lt;&gt;"",ISNA(MATCH(I136,tech_name,0))),"Technicien inconnu",IF(AND(L136&lt;&gt;"",L136&lt;&gt;"Oui",L136&lt;&gt;"Non"),"Actif : Oui ou Non","OK")))))))))))))))))</f>
        <v/>
      </c>
      <c r="W136" s="67">
        <f>IFERROR(N(INDEX(eq_use,MATCH(B136,eq_code,0))),0)</f>
        <v>0.0</v>
      </c>
      <c r="X136" s="67" t="str">
        <f>IF(AND(ISNUMBER(S136),W136&gt;0),p_today+MAX(0,ROUNDUP(S136*7/W136,0)),"")</f>
        <v/>
      </c>
      <c r="Y136" s="67" t="str">
        <f>IF(AND(ISNUMBER(T136),OR(U136="En retard",U136="Bientôt",U136="À jour")),IF(AND(ISNUMBER(O136),ISNUMBER(X136)),MIN(F136,G136*7/W136),IF(ISNUMBER(O136),F136,G136*7/W136)),"")</f>
        <v/>
      </c>
      <c r="Z136" s="67" t="str">
        <f>IF(OR(U136="En retard",U136="Bientôt"),IF(U136="En retard",0,1)*1000000000+IF(AB136="A",0,IF(AB136="B",1,IF(AB136="C",2,3)))*100000000+IF(ISNUMBER(T136),T136,p_today)*1000+ROW()-5,"")</f>
        <v/>
      </c>
      <c r="AA136" s="67" t="str">
        <f>IF(Z136="","",COUNTIF($Z$6:$Z$505,"&lt;"&amp;Z136)+1)</f>
        <v/>
      </c>
      <c r="AB136" s="67" t="str">
        <f>IFERROR(INDEX(eq_crit,MATCH(B136,eq_code,0))&amp;"","")</f>
        <v/>
      </c>
    </row>
    <row r="137">
      <c r="A137" s="65" t="n"/>
      <c r="B137" s="66" t="n"/>
      <c r="C137" s="67" t="str">
        <f>IF(B137="","",IFERROR(INDEX(eq_des,MATCH(B137,eq_code,0))&amp;"","Équipement inconnu"))</f>
        <v/>
      </c>
      <c r="D137" s="66" t="n"/>
      <c r="E137" s="68" t="n"/>
      <c r="F137" s="69" t="n"/>
      <c r="G137" s="70" t="n"/>
      <c r="H137" s="71" t="n"/>
      <c r="I137" s="66" t="n"/>
      <c r="J137" s="72" t="n"/>
      <c r="K137" s="73" t="n"/>
      <c r="L137" s="68" t="n"/>
      <c r="M137" s="74" t="str">
        <f>IF(AND(A137="",B137="",D137=""),"",MAX(N(J137),IF(A137="",0,SUMPRODUCT(MAX((in_plan=A137)*in_prev*in_dnum)))))</f>
        <v/>
      </c>
      <c r="N137" s="75" t="str">
        <f>IF(AND(A137="",B137="",D137=""),"",MAX(N(K137),IF(A137="",0,SUMPRODUCT(MAX((in_plan=A137)*in_prev*in_cnum)))))</f>
        <v/>
      </c>
      <c r="O137" s="76" t="str">
        <f>IF(AND(OR(E137="Calendrier",E137="Au premier des deux"),N(F137)&gt;0,IF(N(M137)&gt;0,M137,IFERROR(N(INDEX(eq_start,MATCH(B137,eq_code,0))),0))&gt;0),IF(N(M137)&gt;0,M137,IFERROR(N(INDEX(eq_start,MATCH(B137,eq_code,0))),0))+F137,"")</f>
        <v/>
      </c>
      <c r="P137" s="75" t="str">
        <f>IF(AND(OR(E137="Compteur",E137="Au premier des deux"),N(G137)&gt;0),N(N137)+G137,"")</f>
        <v/>
      </c>
      <c r="Q137" s="75" t="str">
        <f>IF(B137="","",IFERROR(N(INDEX(eq_cnt,MATCH(B137,eq_code,0))),""))</f>
        <v/>
      </c>
      <c r="R137" s="77" t="str">
        <f>IF(ISNUMBER(O137),O137-p_today,"")</f>
        <v/>
      </c>
      <c r="S137" s="78" t="str">
        <f>IF(AND(ISNUMBER(P137),N(Q137)&gt;0),P137-Q137,"")</f>
        <v/>
      </c>
      <c r="T137" s="76" t="str">
        <f>IF(AND(ISNUMBER(O137),ISNUMBER(X137)),MIN(O137,X137),IF(ISNUMBER(O137),O137,X137))</f>
        <v/>
      </c>
      <c r="U137" s="79" t="str">
        <f>IF(AND(A137="",B137="",D137=""),"",IF(L137="Non","Inactif",IF(AND(NOT(ISNUMBER(R137)),NOT(ISNUMBER(S137))),"À compléter",IF(OR(AND(ISNUMBER(R137),N(R137)&lt;0),AND(ISNUMBER(S137),N(S137)&lt;0)),"En retard",IF(OR(AND(ISNUMBER(R137),N(R137)&lt;=p_soon),AND(ISNUMBER(S137),N(S137)&lt;=p_soon_pct*N(G137))),"Bientôt","À jour")))))</f>
        <v/>
      </c>
      <c r="V137" s="79" t="str">
        <f>IF(AND(A137="",B137="",D137=""),"",IF(A137="","N° de plan manquant",IF(COUNTIF($A$6:$A$505,A137)&gt;1,"N° de plan en double",IF(B137="","Équipement manquant",IF(ISNA(MATCH(B137,eq_code,0)),"Équipement inconnu",IF(D137="","Tâche manquante",IF(E137="","Déclenchement manquant",IF(AND(E137&lt;&gt;"Calendrier",E137&lt;&gt;"Compteur",E137&lt;&gt;"Au premier des deux"),"Déclenchement inconnu",IF(AND(E137&lt;&gt;"Compteur",OR(NOT(ISNUMBER(F137)),N(F137)&lt;=0)),"Périodicité en jours manquante",IF(AND(E137&lt;&gt;"Calendrier",OR(NOT(ISNUMBER(G137)),N(G137)&lt;=0)),"Périodicité compteur manquante",IF(AND(J137&lt;&gt;"",OR(NOT(ISNUMBER(J137)),N(J137)&lt;=0)),"Date de réalisation invalide",IF(AND(K137&lt;&gt;"",OR(NOT(ISNUMBER(K137)),N(K137)&lt;0)),"Compteur de réalisation invalide",IF(AND(E137&lt;&gt;"Compteur",N(M137)=0,IFERROR(N(INDEX(eq_start,MATCH(B137,eq_code,0))),0)=0),"Date de départ manquante",IF(AND(E137&lt;&gt;"Calendrier",K137="",N(N137)=0),"Compteur de départ manquant",IF(AND(E137&lt;&gt;"Calendrier",N(Q137)=0),"Relevé compteur manquant (Équipements)",IF(AND(I137&lt;&gt;"",ISNA(MATCH(I137,tech_name,0))),"Technicien inconnu",IF(AND(L137&lt;&gt;"",L137&lt;&gt;"Oui",L137&lt;&gt;"Non"),"Actif : Oui ou Non","OK")))))))))))))))))</f>
        <v/>
      </c>
      <c r="W137" s="67">
        <f>IFERROR(N(INDEX(eq_use,MATCH(B137,eq_code,0))),0)</f>
        <v>0.0</v>
      </c>
      <c r="X137" s="67" t="str">
        <f>IF(AND(ISNUMBER(S137),W137&gt;0),p_today+MAX(0,ROUNDUP(S137*7/W137,0)),"")</f>
        <v/>
      </c>
      <c r="Y137" s="67" t="str">
        <f>IF(AND(ISNUMBER(T137),OR(U137="En retard",U137="Bientôt",U137="À jour")),IF(AND(ISNUMBER(O137),ISNUMBER(X137)),MIN(F137,G137*7/W137),IF(ISNUMBER(O137),F137,G137*7/W137)),"")</f>
        <v/>
      </c>
      <c r="Z137" s="67" t="str">
        <f>IF(OR(U137="En retard",U137="Bientôt"),IF(U137="En retard",0,1)*1000000000+IF(AB137="A",0,IF(AB137="B",1,IF(AB137="C",2,3)))*100000000+IF(ISNUMBER(T137),T137,p_today)*1000+ROW()-5,"")</f>
        <v/>
      </c>
      <c r="AA137" s="67" t="str">
        <f>IF(Z137="","",COUNTIF($Z$6:$Z$505,"&lt;"&amp;Z137)+1)</f>
        <v/>
      </c>
      <c r="AB137" s="67" t="str">
        <f>IFERROR(INDEX(eq_crit,MATCH(B137,eq_code,0))&amp;"","")</f>
        <v/>
      </c>
    </row>
    <row r="138">
      <c r="A138" s="65" t="n"/>
      <c r="B138" s="66" t="n"/>
      <c r="C138" s="67" t="str">
        <f>IF(B138="","",IFERROR(INDEX(eq_des,MATCH(B138,eq_code,0))&amp;"","Équipement inconnu"))</f>
        <v/>
      </c>
      <c r="D138" s="66" t="n"/>
      <c r="E138" s="68" t="n"/>
      <c r="F138" s="69" t="n"/>
      <c r="G138" s="70" t="n"/>
      <c r="H138" s="71" t="n"/>
      <c r="I138" s="66" t="n"/>
      <c r="J138" s="72" t="n"/>
      <c r="K138" s="73" t="n"/>
      <c r="L138" s="68" t="n"/>
      <c r="M138" s="74" t="str">
        <f>IF(AND(A138="",B138="",D138=""),"",MAX(N(J138),IF(A138="",0,SUMPRODUCT(MAX((in_plan=A138)*in_prev*in_dnum)))))</f>
        <v/>
      </c>
      <c r="N138" s="75" t="str">
        <f>IF(AND(A138="",B138="",D138=""),"",MAX(N(K138),IF(A138="",0,SUMPRODUCT(MAX((in_plan=A138)*in_prev*in_cnum)))))</f>
        <v/>
      </c>
      <c r="O138" s="76" t="str">
        <f>IF(AND(OR(E138="Calendrier",E138="Au premier des deux"),N(F138)&gt;0,IF(N(M138)&gt;0,M138,IFERROR(N(INDEX(eq_start,MATCH(B138,eq_code,0))),0))&gt;0),IF(N(M138)&gt;0,M138,IFERROR(N(INDEX(eq_start,MATCH(B138,eq_code,0))),0))+F138,"")</f>
        <v/>
      </c>
      <c r="P138" s="75" t="str">
        <f>IF(AND(OR(E138="Compteur",E138="Au premier des deux"),N(G138)&gt;0),N(N138)+G138,"")</f>
        <v/>
      </c>
      <c r="Q138" s="75" t="str">
        <f>IF(B138="","",IFERROR(N(INDEX(eq_cnt,MATCH(B138,eq_code,0))),""))</f>
        <v/>
      </c>
      <c r="R138" s="77" t="str">
        <f>IF(ISNUMBER(O138),O138-p_today,"")</f>
        <v/>
      </c>
      <c r="S138" s="78" t="str">
        <f>IF(AND(ISNUMBER(P138),N(Q138)&gt;0),P138-Q138,"")</f>
        <v/>
      </c>
      <c r="T138" s="76" t="str">
        <f>IF(AND(ISNUMBER(O138),ISNUMBER(X138)),MIN(O138,X138),IF(ISNUMBER(O138),O138,X138))</f>
        <v/>
      </c>
      <c r="U138" s="79" t="str">
        <f>IF(AND(A138="",B138="",D138=""),"",IF(L138="Non","Inactif",IF(AND(NOT(ISNUMBER(R138)),NOT(ISNUMBER(S138))),"À compléter",IF(OR(AND(ISNUMBER(R138),N(R138)&lt;0),AND(ISNUMBER(S138),N(S138)&lt;0)),"En retard",IF(OR(AND(ISNUMBER(R138),N(R138)&lt;=p_soon),AND(ISNUMBER(S138),N(S138)&lt;=p_soon_pct*N(G138))),"Bientôt","À jour")))))</f>
        <v/>
      </c>
      <c r="V138" s="79" t="str">
        <f>IF(AND(A138="",B138="",D138=""),"",IF(A138="","N° de plan manquant",IF(COUNTIF($A$6:$A$505,A138)&gt;1,"N° de plan en double",IF(B138="","Équipement manquant",IF(ISNA(MATCH(B138,eq_code,0)),"Équipement inconnu",IF(D138="","Tâche manquante",IF(E138="","Déclenchement manquant",IF(AND(E138&lt;&gt;"Calendrier",E138&lt;&gt;"Compteur",E138&lt;&gt;"Au premier des deux"),"Déclenchement inconnu",IF(AND(E138&lt;&gt;"Compteur",OR(NOT(ISNUMBER(F138)),N(F138)&lt;=0)),"Périodicité en jours manquante",IF(AND(E138&lt;&gt;"Calendrier",OR(NOT(ISNUMBER(G138)),N(G138)&lt;=0)),"Périodicité compteur manquante",IF(AND(J138&lt;&gt;"",OR(NOT(ISNUMBER(J138)),N(J138)&lt;=0)),"Date de réalisation invalide",IF(AND(K138&lt;&gt;"",OR(NOT(ISNUMBER(K138)),N(K138)&lt;0)),"Compteur de réalisation invalide",IF(AND(E138&lt;&gt;"Compteur",N(M138)=0,IFERROR(N(INDEX(eq_start,MATCH(B138,eq_code,0))),0)=0),"Date de départ manquante",IF(AND(E138&lt;&gt;"Calendrier",K138="",N(N138)=0),"Compteur de départ manquant",IF(AND(E138&lt;&gt;"Calendrier",N(Q138)=0),"Relevé compteur manquant (Équipements)",IF(AND(I138&lt;&gt;"",ISNA(MATCH(I138,tech_name,0))),"Technicien inconnu",IF(AND(L138&lt;&gt;"",L138&lt;&gt;"Oui",L138&lt;&gt;"Non"),"Actif : Oui ou Non","OK")))))))))))))))))</f>
        <v/>
      </c>
      <c r="W138" s="67">
        <f>IFERROR(N(INDEX(eq_use,MATCH(B138,eq_code,0))),0)</f>
        <v>0.0</v>
      </c>
      <c r="X138" s="67" t="str">
        <f>IF(AND(ISNUMBER(S138),W138&gt;0),p_today+MAX(0,ROUNDUP(S138*7/W138,0)),"")</f>
        <v/>
      </c>
      <c r="Y138" s="67" t="str">
        <f>IF(AND(ISNUMBER(T138),OR(U138="En retard",U138="Bientôt",U138="À jour")),IF(AND(ISNUMBER(O138),ISNUMBER(X138)),MIN(F138,G138*7/W138),IF(ISNUMBER(O138),F138,G138*7/W138)),"")</f>
        <v/>
      </c>
      <c r="Z138" s="67" t="str">
        <f>IF(OR(U138="En retard",U138="Bientôt"),IF(U138="En retard",0,1)*1000000000+IF(AB138="A",0,IF(AB138="B",1,IF(AB138="C",2,3)))*100000000+IF(ISNUMBER(T138),T138,p_today)*1000+ROW()-5,"")</f>
        <v/>
      </c>
      <c r="AA138" s="67" t="str">
        <f>IF(Z138="","",COUNTIF($Z$6:$Z$505,"&lt;"&amp;Z138)+1)</f>
        <v/>
      </c>
      <c r="AB138" s="67" t="str">
        <f>IFERROR(INDEX(eq_crit,MATCH(B138,eq_code,0))&amp;"","")</f>
        <v/>
      </c>
    </row>
    <row r="139">
      <c r="A139" s="65" t="n"/>
      <c r="B139" s="66" t="n"/>
      <c r="C139" s="67" t="str">
        <f>IF(B139="","",IFERROR(INDEX(eq_des,MATCH(B139,eq_code,0))&amp;"","Équipement inconnu"))</f>
        <v/>
      </c>
      <c r="D139" s="66" t="n"/>
      <c r="E139" s="68" t="n"/>
      <c r="F139" s="69" t="n"/>
      <c r="G139" s="70" t="n"/>
      <c r="H139" s="71" t="n"/>
      <c r="I139" s="66" t="n"/>
      <c r="J139" s="72" t="n"/>
      <c r="K139" s="73" t="n"/>
      <c r="L139" s="68" t="n"/>
      <c r="M139" s="74" t="str">
        <f>IF(AND(A139="",B139="",D139=""),"",MAX(N(J139),IF(A139="",0,SUMPRODUCT(MAX((in_plan=A139)*in_prev*in_dnum)))))</f>
        <v/>
      </c>
      <c r="N139" s="75" t="str">
        <f>IF(AND(A139="",B139="",D139=""),"",MAX(N(K139),IF(A139="",0,SUMPRODUCT(MAX((in_plan=A139)*in_prev*in_cnum)))))</f>
        <v/>
      </c>
      <c r="O139" s="76" t="str">
        <f>IF(AND(OR(E139="Calendrier",E139="Au premier des deux"),N(F139)&gt;0,IF(N(M139)&gt;0,M139,IFERROR(N(INDEX(eq_start,MATCH(B139,eq_code,0))),0))&gt;0),IF(N(M139)&gt;0,M139,IFERROR(N(INDEX(eq_start,MATCH(B139,eq_code,0))),0))+F139,"")</f>
        <v/>
      </c>
      <c r="P139" s="75" t="str">
        <f>IF(AND(OR(E139="Compteur",E139="Au premier des deux"),N(G139)&gt;0),N(N139)+G139,"")</f>
        <v/>
      </c>
      <c r="Q139" s="75" t="str">
        <f>IF(B139="","",IFERROR(N(INDEX(eq_cnt,MATCH(B139,eq_code,0))),""))</f>
        <v/>
      </c>
      <c r="R139" s="77" t="str">
        <f>IF(ISNUMBER(O139),O139-p_today,"")</f>
        <v/>
      </c>
      <c r="S139" s="78" t="str">
        <f>IF(AND(ISNUMBER(P139),N(Q139)&gt;0),P139-Q139,"")</f>
        <v/>
      </c>
      <c r="T139" s="76" t="str">
        <f>IF(AND(ISNUMBER(O139),ISNUMBER(X139)),MIN(O139,X139),IF(ISNUMBER(O139),O139,X139))</f>
        <v/>
      </c>
      <c r="U139" s="79" t="str">
        <f>IF(AND(A139="",B139="",D139=""),"",IF(L139="Non","Inactif",IF(AND(NOT(ISNUMBER(R139)),NOT(ISNUMBER(S139))),"À compléter",IF(OR(AND(ISNUMBER(R139),N(R139)&lt;0),AND(ISNUMBER(S139),N(S139)&lt;0)),"En retard",IF(OR(AND(ISNUMBER(R139),N(R139)&lt;=p_soon),AND(ISNUMBER(S139),N(S139)&lt;=p_soon_pct*N(G139))),"Bientôt","À jour")))))</f>
        <v/>
      </c>
      <c r="V139" s="79" t="str">
        <f>IF(AND(A139="",B139="",D139=""),"",IF(A139="","N° de plan manquant",IF(COUNTIF($A$6:$A$505,A139)&gt;1,"N° de plan en double",IF(B139="","Équipement manquant",IF(ISNA(MATCH(B139,eq_code,0)),"Équipement inconnu",IF(D139="","Tâche manquante",IF(E139="","Déclenchement manquant",IF(AND(E139&lt;&gt;"Calendrier",E139&lt;&gt;"Compteur",E139&lt;&gt;"Au premier des deux"),"Déclenchement inconnu",IF(AND(E139&lt;&gt;"Compteur",OR(NOT(ISNUMBER(F139)),N(F139)&lt;=0)),"Périodicité en jours manquante",IF(AND(E139&lt;&gt;"Calendrier",OR(NOT(ISNUMBER(G139)),N(G139)&lt;=0)),"Périodicité compteur manquante",IF(AND(J139&lt;&gt;"",OR(NOT(ISNUMBER(J139)),N(J139)&lt;=0)),"Date de réalisation invalide",IF(AND(K139&lt;&gt;"",OR(NOT(ISNUMBER(K139)),N(K139)&lt;0)),"Compteur de réalisation invalide",IF(AND(E139&lt;&gt;"Compteur",N(M139)=0,IFERROR(N(INDEX(eq_start,MATCH(B139,eq_code,0))),0)=0),"Date de départ manquante",IF(AND(E139&lt;&gt;"Calendrier",K139="",N(N139)=0),"Compteur de départ manquant",IF(AND(E139&lt;&gt;"Calendrier",N(Q139)=0),"Relevé compteur manquant (Équipements)",IF(AND(I139&lt;&gt;"",ISNA(MATCH(I139,tech_name,0))),"Technicien inconnu",IF(AND(L139&lt;&gt;"",L139&lt;&gt;"Oui",L139&lt;&gt;"Non"),"Actif : Oui ou Non","OK")))))))))))))))))</f>
        <v/>
      </c>
      <c r="W139" s="67">
        <f>IFERROR(N(INDEX(eq_use,MATCH(B139,eq_code,0))),0)</f>
        <v>0.0</v>
      </c>
      <c r="X139" s="67" t="str">
        <f>IF(AND(ISNUMBER(S139),W139&gt;0),p_today+MAX(0,ROUNDUP(S139*7/W139,0)),"")</f>
        <v/>
      </c>
      <c r="Y139" s="67" t="str">
        <f>IF(AND(ISNUMBER(T139),OR(U139="En retard",U139="Bientôt",U139="À jour")),IF(AND(ISNUMBER(O139),ISNUMBER(X139)),MIN(F139,G139*7/W139),IF(ISNUMBER(O139),F139,G139*7/W139)),"")</f>
        <v/>
      </c>
      <c r="Z139" s="67" t="str">
        <f>IF(OR(U139="En retard",U139="Bientôt"),IF(U139="En retard",0,1)*1000000000+IF(AB139="A",0,IF(AB139="B",1,IF(AB139="C",2,3)))*100000000+IF(ISNUMBER(T139),T139,p_today)*1000+ROW()-5,"")</f>
        <v/>
      </c>
      <c r="AA139" s="67" t="str">
        <f>IF(Z139="","",COUNTIF($Z$6:$Z$505,"&lt;"&amp;Z139)+1)</f>
        <v/>
      </c>
      <c r="AB139" s="67" t="str">
        <f>IFERROR(INDEX(eq_crit,MATCH(B139,eq_code,0))&amp;"","")</f>
        <v/>
      </c>
    </row>
    <row r="140">
      <c r="A140" s="65" t="n"/>
      <c r="B140" s="66" t="n"/>
      <c r="C140" s="67" t="str">
        <f>IF(B140="","",IFERROR(INDEX(eq_des,MATCH(B140,eq_code,0))&amp;"","Équipement inconnu"))</f>
        <v/>
      </c>
      <c r="D140" s="66" t="n"/>
      <c r="E140" s="68" t="n"/>
      <c r="F140" s="69" t="n"/>
      <c r="G140" s="70" t="n"/>
      <c r="H140" s="71" t="n"/>
      <c r="I140" s="66" t="n"/>
      <c r="J140" s="72" t="n"/>
      <c r="K140" s="73" t="n"/>
      <c r="L140" s="68" t="n"/>
      <c r="M140" s="74" t="str">
        <f>IF(AND(A140="",B140="",D140=""),"",MAX(N(J140),IF(A140="",0,SUMPRODUCT(MAX((in_plan=A140)*in_prev*in_dnum)))))</f>
        <v/>
      </c>
      <c r="N140" s="75" t="str">
        <f>IF(AND(A140="",B140="",D140=""),"",MAX(N(K140),IF(A140="",0,SUMPRODUCT(MAX((in_plan=A140)*in_prev*in_cnum)))))</f>
        <v/>
      </c>
      <c r="O140" s="76" t="str">
        <f>IF(AND(OR(E140="Calendrier",E140="Au premier des deux"),N(F140)&gt;0,IF(N(M140)&gt;0,M140,IFERROR(N(INDEX(eq_start,MATCH(B140,eq_code,0))),0))&gt;0),IF(N(M140)&gt;0,M140,IFERROR(N(INDEX(eq_start,MATCH(B140,eq_code,0))),0))+F140,"")</f>
        <v/>
      </c>
      <c r="P140" s="75" t="str">
        <f>IF(AND(OR(E140="Compteur",E140="Au premier des deux"),N(G140)&gt;0),N(N140)+G140,"")</f>
        <v/>
      </c>
      <c r="Q140" s="75" t="str">
        <f>IF(B140="","",IFERROR(N(INDEX(eq_cnt,MATCH(B140,eq_code,0))),""))</f>
        <v/>
      </c>
      <c r="R140" s="77" t="str">
        <f>IF(ISNUMBER(O140),O140-p_today,"")</f>
        <v/>
      </c>
      <c r="S140" s="78" t="str">
        <f>IF(AND(ISNUMBER(P140),N(Q140)&gt;0),P140-Q140,"")</f>
        <v/>
      </c>
      <c r="T140" s="76" t="str">
        <f>IF(AND(ISNUMBER(O140),ISNUMBER(X140)),MIN(O140,X140),IF(ISNUMBER(O140),O140,X140))</f>
        <v/>
      </c>
      <c r="U140" s="79" t="str">
        <f>IF(AND(A140="",B140="",D140=""),"",IF(L140="Non","Inactif",IF(AND(NOT(ISNUMBER(R140)),NOT(ISNUMBER(S140))),"À compléter",IF(OR(AND(ISNUMBER(R140),N(R140)&lt;0),AND(ISNUMBER(S140),N(S140)&lt;0)),"En retard",IF(OR(AND(ISNUMBER(R140),N(R140)&lt;=p_soon),AND(ISNUMBER(S140),N(S140)&lt;=p_soon_pct*N(G140))),"Bientôt","À jour")))))</f>
        <v/>
      </c>
      <c r="V140" s="79" t="str">
        <f>IF(AND(A140="",B140="",D140=""),"",IF(A140="","N° de plan manquant",IF(COUNTIF($A$6:$A$505,A140)&gt;1,"N° de plan en double",IF(B140="","Équipement manquant",IF(ISNA(MATCH(B140,eq_code,0)),"Équipement inconnu",IF(D140="","Tâche manquante",IF(E140="","Déclenchement manquant",IF(AND(E140&lt;&gt;"Calendrier",E140&lt;&gt;"Compteur",E140&lt;&gt;"Au premier des deux"),"Déclenchement inconnu",IF(AND(E140&lt;&gt;"Compteur",OR(NOT(ISNUMBER(F140)),N(F140)&lt;=0)),"Périodicité en jours manquante",IF(AND(E140&lt;&gt;"Calendrier",OR(NOT(ISNUMBER(G140)),N(G140)&lt;=0)),"Périodicité compteur manquante",IF(AND(J140&lt;&gt;"",OR(NOT(ISNUMBER(J140)),N(J140)&lt;=0)),"Date de réalisation invalide",IF(AND(K140&lt;&gt;"",OR(NOT(ISNUMBER(K140)),N(K140)&lt;0)),"Compteur de réalisation invalide",IF(AND(E140&lt;&gt;"Compteur",N(M140)=0,IFERROR(N(INDEX(eq_start,MATCH(B140,eq_code,0))),0)=0),"Date de départ manquante",IF(AND(E140&lt;&gt;"Calendrier",K140="",N(N140)=0),"Compteur de départ manquant",IF(AND(E140&lt;&gt;"Calendrier",N(Q140)=0),"Relevé compteur manquant (Équipements)",IF(AND(I140&lt;&gt;"",ISNA(MATCH(I140,tech_name,0))),"Technicien inconnu",IF(AND(L140&lt;&gt;"",L140&lt;&gt;"Oui",L140&lt;&gt;"Non"),"Actif : Oui ou Non","OK")))))))))))))))))</f>
        <v/>
      </c>
      <c r="W140" s="67">
        <f>IFERROR(N(INDEX(eq_use,MATCH(B140,eq_code,0))),0)</f>
        <v>0.0</v>
      </c>
      <c r="X140" s="67" t="str">
        <f>IF(AND(ISNUMBER(S140),W140&gt;0),p_today+MAX(0,ROUNDUP(S140*7/W140,0)),"")</f>
        <v/>
      </c>
      <c r="Y140" s="67" t="str">
        <f>IF(AND(ISNUMBER(T140),OR(U140="En retard",U140="Bientôt",U140="À jour")),IF(AND(ISNUMBER(O140),ISNUMBER(X140)),MIN(F140,G140*7/W140),IF(ISNUMBER(O140),F140,G140*7/W140)),"")</f>
        <v/>
      </c>
      <c r="Z140" s="67" t="str">
        <f>IF(OR(U140="En retard",U140="Bientôt"),IF(U140="En retard",0,1)*1000000000+IF(AB140="A",0,IF(AB140="B",1,IF(AB140="C",2,3)))*100000000+IF(ISNUMBER(T140),T140,p_today)*1000+ROW()-5,"")</f>
        <v/>
      </c>
      <c r="AA140" s="67" t="str">
        <f>IF(Z140="","",COUNTIF($Z$6:$Z$505,"&lt;"&amp;Z140)+1)</f>
        <v/>
      </c>
      <c r="AB140" s="67" t="str">
        <f>IFERROR(INDEX(eq_crit,MATCH(B140,eq_code,0))&amp;"","")</f>
        <v/>
      </c>
    </row>
    <row r="141">
      <c r="A141" s="65" t="n"/>
      <c r="B141" s="66" t="n"/>
      <c r="C141" s="67" t="str">
        <f>IF(B141="","",IFERROR(INDEX(eq_des,MATCH(B141,eq_code,0))&amp;"","Équipement inconnu"))</f>
        <v/>
      </c>
      <c r="D141" s="66" t="n"/>
      <c r="E141" s="68" t="n"/>
      <c r="F141" s="69" t="n"/>
      <c r="G141" s="70" t="n"/>
      <c r="H141" s="71" t="n"/>
      <c r="I141" s="66" t="n"/>
      <c r="J141" s="72" t="n"/>
      <c r="K141" s="73" t="n"/>
      <c r="L141" s="68" t="n"/>
      <c r="M141" s="74" t="str">
        <f>IF(AND(A141="",B141="",D141=""),"",MAX(N(J141),IF(A141="",0,SUMPRODUCT(MAX((in_plan=A141)*in_prev*in_dnum)))))</f>
        <v/>
      </c>
      <c r="N141" s="75" t="str">
        <f>IF(AND(A141="",B141="",D141=""),"",MAX(N(K141),IF(A141="",0,SUMPRODUCT(MAX((in_plan=A141)*in_prev*in_cnum)))))</f>
        <v/>
      </c>
      <c r="O141" s="76" t="str">
        <f>IF(AND(OR(E141="Calendrier",E141="Au premier des deux"),N(F141)&gt;0,IF(N(M141)&gt;0,M141,IFERROR(N(INDEX(eq_start,MATCH(B141,eq_code,0))),0))&gt;0),IF(N(M141)&gt;0,M141,IFERROR(N(INDEX(eq_start,MATCH(B141,eq_code,0))),0))+F141,"")</f>
        <v/>
      </c>
      <c r="P141" s="75" t="str">
        <f>IF(AND(OR(E141="Compteur",E141="Au premier des deux"),N(G141)&gt;0),N(N141)+G141,"")</f>
        <v/>
      </c>
      <c r="Q141" s="75" t="str">
        <f>IF(B141="","",IFERROR(N(INDEX(eq_cnt,MATCH(B141,eq_code,0))),""))</f>
        <v/>
      </c>
      <c r="R141" s="77" t="str">
        <f>IF(ISNUMBER(O141),O141-p_today,"")</f>
        <v/>
      </c>
      <c r="S141" s="78" t="str">
        <f>IF(AND(ISNUMBER(P141),N(Q141)&gt;0),P141-Q141,"")</f>
        <v/>
      </c>
      <c r="T141" s="76" t="str">
        <f>IF(AND(ISNUMBER(O141),ISNUMBER(X141)),MIN(O141,X141),IF(ISNUMBER(O141),O141,X141))</f>
        <v/>
      </c>
      <c r="U141" s="79" t="str">
        <f>IF(AND(A141="",B141="",D141=""),"",IF(L141="Non","Inactif",IF(AND(NOT(ISNUMBER(R141)),NOT(ISNUMBER(S141))),"À compléter",IF(OR(AND(ISNUMBER(R141),N(R141)&lt;0),AND(ISNUMBER(S141),N(S141)&lt;0)),"En retard",IF(OR(AND(ISNUMBER(R141),N(R141)&lt;=p_soon),AND(ISNUMBER(S141),N(S141)&lt;=p_soon_pct*N(G141))),"Bientôt","À jour")))))</f>
        <v/>
      </c>
      <c r="V141" s="79" t="str">
        <f>IF(AND(A141="",B141="",D141=""),"",IF(A141="","N° de plan manquant",IF(COUNTIF($A$6:$A$505,A141)&gt;1,"N° de plan en double",IF(B141="","Équipement manquant",IF(ISNA(MATCH(B141,eq_code,0)),"Équipement inconnu",IF(D141="","Tâche manquante",IF(E141="","Déclenchement manquant",IF(AND(E141&lt;&gt;"Calendrier",E141&lt;&gt;"Compteur",E141&lt;&gt;"Au premier des deux"),"Déclenchement inconnu",IF(AND(E141&lt;&gt;"Compteur",OR(NOT(ISNUMBER(F141)),N(F141)&lt;=0)),"Périodicité en jours manquante",IF(AND(E141&lt;&gt;"Calendrier",OR(NOT(ISNUMBER(G141)),N(G141)&lt;=0)),"Périodicité compteur manquante",IF(AND(J141&lt;&gt;"",OR(NOT(ISNUMBER(J141)),N(J141)&lt;=0)),"Date de réalisation invalide",IF(AND(K141&lt;&gt;"",OR(NOT(ISNUMBER(K141)),N(K141)&lt;0)),"Compteur de réalisation invalide",IF(AND(E141&lt;&gt;"Compteur",N(M141)=0,IFERROR(N(INDEX(eq_start,MATCH(B141,eq_code,0))),0)=0),"Date de départ manquante",IF(AND(E141&lt;&gt;"Calendrier",K141="",N(N141)=0),"Compteur de départ manquant",IF(AND(E141&lt;&gt;"Calendrier",N(Q141)=0),"Relevé compteur manquant (Équipements)",IF(AND(I141&lt;&gt;"",ISNA(MATCH(I141,tech_name,0))),"Technicien inconnu",IF(AND(L141&lt;&gt;"",L141&lt;&gt;"Oui",L141&lt;&gt;"Non"),"Actif : Oui ou Non","OK")))))))))))))))))</f>
        <v/>
      </c>
      <c r="W141" s="67">
        <f>IFERROR(N(INDEX(eq_use,MATCH(B141,eq_code,0))),0)</f>
        <v>0.0</v>
      </c>
      <c r="X141" s="67" t="str">
        <f>IF(AND(ISNUMBER(S141),W141&gt;0),p_today+MAX(0,ROUNDUP(S141*7/W141,0)),"")</f>
        <v/>
      </c>
      <c r="Y141" s="67" t="str">
        <f>IF(AND(ISNUMBER(T141),OR(U141="En retard",U141="Bientôt",U141="À jour")),IF(AND(ISNUMBER(O141),ISNUMBER(X141)),MIN(F141,G141*7/W141),IF(ISNUMBER(O141),F141,G141*7/W141)),"")</f>
        <v/>
      </c>
      <c r="Z141" s="67" t="str">
        <f>IF(OR(U141="En retard",U141="Bientôt"),IF(U141="En retard",0,1)*1000000000+IF(AB141="A",0,IF(AB141="B",1,IF(AB141="C",2,3)))*100000000+IF(ISNUMBER(T141),T141,p_today)*1000+ROW()-5,"")</f>
        <v/>
      </c>
      <c r="AA141" s="67" t="str">
        <f>IF(Z141="","",COUNTIF($Z$6:$Z$505,"&lt;"&amp;Z141)+1)</f>
        <v/>
      </c>
      <c r="AB141" s="67" t="str">
        <f>IFERROR(INDEX(eq_crit,MATCH(B141,eq_code,0))&amp;"","")</f>
        <v/>
      </c>
    </row>
    <row r="142">
      <c r="A142" s="65" t="n"/>
      <c r="B142" s="66" t="n"/>
      <c r="C142" s="67" t="str">
        <f>IF(B142="","",IFERROR(INDEX(eq_des,MATCH(B142,eq_code,0))&amp;"","Équipement inconnu"))</f>
        <v/>
      </c>
      <c r="D142" s="66" t="n"/>
      <c r="E142" s="68" t="n"/>
      <c r="F142" s="69" t="n"/>
      <c r="G142" s="70" t="n"/>
      <c r="H142" s="71" t="n"/>
      <c r="I142" s="66" t="n"/>
      <c r="J142" s="72" t="n"/>
      <c r="K142" s="73" t="n"/>
      <c r="L142" s="68" t="n"/>
      <c r="M142" s="74" t="str">
        <f>IF(AND(A142="",B142="",D142=""),"",MAX(N(J142),IF(A142="",0,SUMPRODUCT(MAX((in_plan=A142)*in_prev*in_dnum)))))</f>
        <v/>
      </c>
      <c r="N142" s="75" t="str">
        <f>IF(AND(A142="",B142="",D142=""),"",MAX(N(K142),IF(A142="",0,SUMPRODUCT(MAX((in_plan=A142)*in_prev*in_cnum)))))</f>
        <v/>
      </c>
      <c r="O142" s="76" t="str">
        <f>IF(AND(OR(E142="Calendrier",E142="Au premier des deux"),N(F142)&gt;0,IF(N(M142)&gt;0,M142,IFERROR(N(INDEX(eq_start,MATCH(B142,eq_code,0))),0))&gt;0),IF(N(M142)&gt;0,M142,IFERROR(N(INDEX(eq_start,MATCH(B142,eq_code,0))),0))+F142,"")</f>
        <v/>
      </c>
      <c r="P142" s="75" t="str">
        <f>IF(AND(OR(E142="Compteur",E142="Au premier des deux"),N(G142)&gt;0),N(N142)+G142,"")</f>
        <v/>
      </c>
      <c r="Q142" s="75" t="str">
        <f>IF(B142="","",IFERROR(N(INDEX(eq_cnt,MATCH(B142,eq_code,0))),""))</f>
        <v/>
      </c>
      <c r="R142" s="77" t="str">
        <f>IF(ISNUMBER(O142),O142-p_today,"")</f>
        <v/>
      </c>
      <c r="S142" s="78" t="str">
        <f>IF(AND(ISNUMBER(P142),N(Q142)&gt;0),P142-Q142,"")</f>
        <v/>
      </c>
      <c r="T142" s="76" t="str">
        <f>IF(AND(ISNUMBER(O142),ISNUMBER(X142)),MIN(O142,X142),IF(ISNUMBER(O142),O142,X142))</f>
        <v/>
      </c>
      <c r="U142" s="79" t="str">
        <f>IF(AND(A142="",B142="",D142=""),"",IF(L142="Non","Inactif",IF(AND(NOT(ISNUMBER(R142)),NOT(ISNUMBER(S142))),"À compléter",IF(OR(AND(ISNUMBER(R142),N(R142)&lt;0),AND(ISNUMBER(S142),N(S142)&lt;0)),"En retard",IF(OR(AND(ISNUMBER(R142),N(R142)&lt;=p_soon),AND(ISNUMBER(S142),N(S142)&lt;=p_soon_pct*N(G142))),"Bientôt","À jour")))))</f>
        <v/>
      </c>
      <c r="V142" s="79" t="str">
        <f>IF(AND(A142="",B142="",D142=""),"",IF(A142="","N° de plan manquant",IF(COUNTIF($A$6:$A$505,A142)&gt;1,"N° de plan en double",IF(B142="","Équipement manquant",IF(ISNA(MATCH(B142,eq_code,0)),"Équipement inconnu",IF(D142="","Tâche manquante",IF(E142="","Déclenchement manquant",IF(AND(E142&lt;&gt;"Calendrier",E142&lt;&gt;"Compteur",E142&lt;&gt;"Au premier des deux"),"Déclenchement inconnu",IF(AND(E142&lt;&gt;"Compteur",OR(NOT(ISNUMBER(F142)),N(F142)&lt;=0)),"Périodicité en jours manquante",IF(AND(E142&lt;&gt;"Calendrier",OR(NOT(ISNUMBER(G142)),N(G142)&lt;=0)),"Périodicité compteur manquante",IF(AND(J142&lt;&gt;"",OR(NOT(ISNUMBER(J142)),N(J142)&lt;=0)),"Date de réalisation invalide",IF(AND(K142&lt;&gt;"",OR(NOT(ISNUMBER(K142)),N(K142)&lt;0)),"Compteur de réalisation invalide",IF(AND(E142&lt;&gt;"Compteur",N(M142)=0,IFERROR(N(INDEX(eq_start,MATCH(B142,eq_code,0))),0)=0),"Date de départ manquante",IF(AND(E142&lt;&gt;"Calendrier",K142="",N(N142)=0),"Compteur de départ manquant",IF(AND(E142&lt;&gt;"Calendrier",N(Q142)=0),"Relevé compteur manquant (Équipements)",IF(AND(I142&lt;&gt;"",ISNA(MATCH(I142,tech_name,0))),"Technicien inconnu",IF(AND(L142&lt;&gt;"",L142&lt;&gt;"Oui",L142&lt;&gt;"Non"),"Actif : Oui ou Non","OK")))))))))))))))))</f>
        <v/>
      </c>
      <c r="W142" s="67">
        <f>IFERROR(N(INDEX(eq_use,MATCH(B142,eq_code,0))),0)</f>
        <v>0.0</v>
      </c>
      <c r="X142" s="67" t="str">
        <f>IF(AND(ISNUMBER(S142),W142&gt;0),p_today+MAX(0,ROUNDUP(S142*7/W142,0)),"")</f>
        <v/>
      </c>
      <c r="Y142" s="67" t="str">
        <f>IF(AND(ISNUMBER(T142),OR(U142="En retard",U142="Bientôt",U142="À jour")),IF(AND(ISNUMBER(O142),ISNUMBER(X142)),MIN(F142,G142*7/W142),IF(ISNUMBER(O142),F142,G142*7/W142)),"")</f>
        <v/>
      </c>
      <c r="Z142" s="67" t="str">
        <f>IF(OR(U142="En retard",U142="Bientôt"),IF(U142="En retard",0,1)*1000000000+IF(AB142="A",0,IF(AB142="B",1,IF(AB142="C",2,3)))*100000000+IF(ISNUMBER(T142),T142,p_today)*1000+ROW()-5,"")</f>
        <v/>
      </c>
      <c r="AA142" s="67" t="str">
        <f>IF(Z142="","",COUNTIF($Z$6:$Z$505,"&lt;"&amp;Z142)+1)</f>
        <v/>
      </c>
      <c r="AB142" s="67" t="str">
        <f>IFERROR(INDEX(eq_crit,MATCH(B142,eq_code,0))&amp;"","")</f>
        <v/>
      </c>
    </row>
    <row r="143">
      <c r="A143" s="65" t="n"/>
      <c r="B143" s="66" t="n"/>
      <c r="C143" s="67" t="str">
        <f>IF(B143="","",IFERROR(INDEX(eq_des,MATCH(B143,eq_code,0))&amp;"","Équipement inconnu"))</f>
        <v/>
      </c>
      <c r="D143" s="66" t="n"/>
      <c r="E143" s="68" t="n"/>
      <c r="F143" s="69" t="n"/>
      <c r="G143" s="70" t="n"/>
      <c r="H143" s="71" t="n"/>
      <c r="I143" s="66" t="n"/>
      <c r="J143" s="72" t="n"/>
      <c r="K143" s="73" t="n"/>
      <c r="L143" s="68" t="n"/>
      <c r="M143" s="74" t="str">
        <f>IF(AND(A143="",B143="",D143=""),"",MAX(N(J143),IF(A143="",0,SUMPRODUCT(MAX((in_plan=A143)*in_prev*in_dnum)))))</f>
        <v/>
      </c>
      <c r="N143" s="75" t="str">
        <f>IF(AND(A143="",B143="",D143=""),"",MAX(N(K143),IF(A143="",0,SUMPRODUCT(MAX((in_plan=A143)*in_prev*in_cnum)))))</f>
        <v/>
      </c>
      <c r="O143" s="76" t="str">
        <f>IF(AND(OR(E143="Calendrier",E143="Au premier des deux"),N(F143)&gt;0,IF(N(M143)&gt;0,M143,IFERROR(N(INDEX(eq_start,MATCH(B143,eq_code,0))),0))&gt;0),IF(N(M143)&gt;0,M143,IFERROR(N(INDEX(eq_start,MATCH(B143,eq_code,0))),0))+F143,"")</f>
        <v/>
      </c>
      <c r="P143" s="75" t="str">
        <f>IF(AND(OR(E143="Compteur",E143="Au premier des deux"),N(G143)&gt;0),N(N143)+G143,"")</f>
        <v/>
      </c>
      <c r="Q143" s="75" t="str">
        <f>IF(B143="","",IFERROR(N(INDEX(eq_cnt,MATCH(B143,eq_code,0))),""))</f>
        <v/>
      </c>
      <c r="R143" s="77" t="str">
        <f>IF(ISNUMBER(O143),O143-p_today,"")</f>
        <v/>
      </c>
      <c r="S143" s="78" t="str">
        <f>IF(AND(ISNUMBER(P143),N(Q143)&gt;0),P143-Q143,"")</f>
        <v/>
      </c>
      <c r="T143" s="76" t="str">
        <f>IF(AND(ISNUMBER(O143),ISNUMBER(X143)),MIN(O143,X143),IF(ISNUMBER(O143),O143,X143))</f>
        <v/>
      </c>
      <c r="U143" s="79" t="str">
        <f>IF(AND(A143="",B143="",D143=""),"",IF(L143="Non","Inactif",IF(AND(NOT(ISNUMBER(R143)),NOT(ISNUMBER(S143))),"À compléter",IF(OR(AND(ISNUMBER(R143),N(R143)&lt;0),AND(ISNUMBER(S143),N(S143)&lt;0)),"En retard",IF(OR(AND(ISNUMBER(R143),N(R143)&lt;=p_soon),AND(ISNUMBER(S143),N(S143)&lt;=p_soon_pct*N(G143))),"Bientôt","À jour")))))</f>
        <v/>
      </c>
      <c r="V143" s="79" t="str">
        <f>IF(AND(A143="",B143="",D143=""),"",IF(A143="","N° de plan manquant",IF(COUNTIF($A$6:$A$505,A143)&gt;1,"N° de plan en double",IF(B143="","Équipement manquant",IF(ISNA(MATCH(B143,eq_code,0)),"Équipement inconnu",IF(D143="","Tâche manquante",IF(E143="","Déclenchement manquant",IF(AND(E143&lt;&gt;"Calendrier",E143&lt;&gt;"Compteur",E143&lt;&gt;"Au premier des deux"),"Déclenchement inconnu",IF(AND(E143&lt;&gt;"Compteur",OR(NOT(ISNUMBER(F143)),N(F143)&lt;=0)),"Périodicité en jours manquante",IF(AND(E143&lt;&gt;"Calendrier",OR(NOT(ISNUMBER(G143)),N(G143)&lt;=0)),"Périodicité compteur manquante",IF(AND(J143&lt;&gt;"",OR(NOT(ISNUMBER(J143)),N(J143)&lt;=0)),"Date de réalisation invalide",IF(AND(K143&lt;&gt;"",OR(NOT(ISNUMBER(K143)),N(K143)&lt;0)),"Compteur de réalisation invalide",IF(AND(E143&lt;&gt;"Compteur",N(M143)=0,IFERROR(N(INDEX(eq_start,MATCH(B143,eq_code,0))),0)=0),"Date de départ manquante",IF(AND(E143&lt;&gt;"Calendrier",K143="",N(N143)=0),"Compteur de départ manquant",IF(AND(E143&lt;&gt;"Calendrier",N(Q143)=0),"Relevé compteur manquant (Équipements)",IF(AND(I143&lt;&gt;"",ISNA(MATCH(I143,tech_name,0))),"Technicien inconnu",IF(AND(L143&lt;&gt;"",L143&lt;&gt;"Oui",L143&lt;&gt;"Non"),"Actif : Oui ou Non","OK")))))))))))))))))</f>
        <v/>
      </c>
      <c r="W143" s="67">
        <f>IFERROR(N(INDEX(eq_use,MATCH(B143,eq_code,0))),0)</f>
        <v>0.0</v>
      </c>
      <c r="X143" s="67" t="str">
        <f>IF(AND(ISNUMBER(S143),W143&gt;0),p_today+MAX(0,ROUNDUP(S143*7/W143,0)),"")</f>
        <v/>
      </c>
      <c r="Y143" s="67" t="str">
        <f>IF(AND(ISNUMBER(T143),OR(U143="En retard",U143="Bientôt",U143="À jour")),IF(AND(ISNUMBER(O143),ISNUMBER(X143)),MIN(F143,G143*7/W143),IF(ISNUMBER(O143),F143,G143*7/W143)),"")</f>
        <v/>
      </c>
      <c r="Z143" s="67" t="str">
        <f>IF(OR(U143="En retard",U143="Bientôt"),IF(U143="En retard",0,1)*1000000000+IF(AB143="A",0,IF(AB143="B",1,IF(AB143="C",2,3)))*100000000+IF(ISNUMBER(T143),T143,p_today)*1000+ROW()-5,"")</f>
        <v/>
      </c>
      <c r="AA143" s="67" t="str">
        <f>IF(Z143="","",COUNTIF($Z$6:$Z$505,"&lt;"&amp;Z143)+1)</f>
        <v/>
      </c>
      <c r="AB143" s="67" t="str">
        <f>IFERROR(INDEX(eq_crit,MATCH(B143,eq_code,0))&amp;"","")</f>
        <v/>
      </c>
    </row>
    <row r="144">
      <c r="A144" s="65" t="n"/>
      <c r="B144" s="66" t="n"/>
      <c r="C144" s="67" t="str">
        <f>IF(B144="","",IFERROR(INDEX(eq_des,MATCH(B144,eq_code,0))&amp;"","Équipement inconnu"))</f>
        <v/>
      </c>
      <c r="D144" s="66" t="n"/>
      <c r="E144" s="68" t="n"/>
      <c r="F144" s="69" t="n"/>
      <c r="G144" s="70" t="n"/>
      <c r="H144" s="71" t="n"/>
      <c r="I144" s="66" t="n"/>
      <c r="J144" s="72" t="n"/>
      <c r="K144" s="73" t="n"/>
      <c r="L144" s="68" t="n"/>
      <c r="M144" s="74" t="str">
        <f>IF(AND(A144="",B144="",D144=""),"",MAX(N(J144),IF(A144="",0,SUMPRODUCT(MAX((in_plan=A144)*in_prev*in_dnum)))))</f>
        <v/>
      </c>
      <c r="N144" s="75" t="str">
        <f>IF(AND(A144="",B144="",D144=""),"",MAX(N(K144),IF(A144="",0,SUMPRODUCT(MAX((in_plan=A144)*in_prev*in_cnum)))))</f>
        <v/>
      </c>
      <c r="O144" s="76" t="str">
        <f>IF(AND(OR(E144="Calendrier",E144="Au premier des deux"),N(F144)&gt;0,IF(N(M144)&gt;0,M144,IFERROR(N(INDEX(eq_start,MATCH(B144,eq_code,0))),0))&gt;0),IF(N(M144)&gt;0,M144,IFERROR(N(INDEX(eq_start,MATCH(B144,eq_code,0))),0))+F144,"")</f>
        <v/>
      </c>
      <c r="P144" s="75" t="str">
        <f>IF(AND(OR(E144="Compteur",E144="Au premier des deux"),N(G144)&gt;0),N(N144)+G144,"")</f>
        <v/>
      </c>
      <c r="Q144" s="75" t="str">
        <f>IF(B144="","",IFERROR(N(INDEX(eq_cnt,MATCH(B144,eq_code,0))),""))</f>
        <v/>
      </c>
      <c r="R144" s="77" t="str">
        <f>IF(ISNUMBER(O144),O144-p_today,"")</f>
        <v/>
      </c>
      <c r="S144" s="78" t="str">
        <f>IF(AND(ISNUMBER(P144),N(Q144)&gt;0),P144-Q144,"")</f>
        <v/>
      </c>
      <c r="T144" s="76" t="str">
        <f>IF(AND(ISNUMBER(O144),ISNUMBER(X144)),MIN(O144,X144),IF(ISNUMBER(O144),O144,X144))</f>
        <v/>
      </c>
      <c r="U144" s="79" t="str">
        <f>IF(AND(A144="",B144="",D144=""),"",IF(L144="Non","Inactif",IF(AND(NOT(ISNUMBER(R144)),NOT(ISNUMBER(S144))),"À compléter",IF(OR(AND(ISNUMBER(R144),N(R144)&lt;0),AND(ISNUMBER(S144),N(S144)&lt;0)),"En retard",IF(OR(AND(ISNUMBER(R144),N(R144)&lt;=p_soon),AND(ISNUMBER(S144),N(S144)&lt;=p_soon_pct*N(G144))),"Bientôt","À jour")))))</f>
        <v/>
      </c>
      <c r="V144" s="79" t="str">
        <f>IF(AND(A144="",B144="",D144=""),"",IF(A144="","N° de plan manquant",IF(COUNTIF($A$6:$A$505,A144)&gt;1,"N° de plan en double",IF(B144="","Équipement manquant",IF(ISNA(MATCH(B144,eq_code,0)),"Équipement inconnu",IF(D144="","Tâche manquante",IF(E144="","Déclenchement manquant",IF(AND(E144&lt;&gt;"Calendrier",E144&lt;&gt;"Compteur",E144&lt;&gt;"Au premier des deux"),"Déclenchement inconnu",IF(AND(E144&lt;&gt;"Compteur",OR(NOT(ISNUMBER(F144)),N(F144)&lt;=0)),"Périodicité en jours manquante",IF(AND(E144&lt;&gt;"Calendrier",OR(NOT(ISNUMBER(G144)),N(G144)&lt;=0)),"Périodicité compteur manquante",IF(AND(J144&lt;&gt;"",OR(NOT(ISNUMBER(J144)),N(J144)&lt;=0)),"Date de réalisation invalide",IF(AND(K144&lt;&gt;"",OR(NOT(ISNUMBER(K144)),N(K144)&lt;0)),"Compteur de réalisation invalide",IF(AND(E144&lt;&gt;"Compteur",N(M144)=0,IFERROR(N(INDEX(eq_start,MATCH(B144,eq_code,0))),0)=0),"Date de départ manquante",IF(AND(E144&lt;&gt;"Calendrier",K144="",N(N144)=0),"Compteur de départ manquant",IF(AND(E144&lt;&gt;"Calendrier",N(Q144)=0),"Relevé compteur manquant (Équipements)",IF(AND(I144&lt;&gt;"",ISNA(MATCH(I144,tech_name,0))),"Technicien inconnu",IF(AND(L144&lt;&gt;"",L144&lt;&gt;"Oui",L144&lt;&gt;"Non"),"Actif : Oui ou Non","OK")))))))))))))))))</f>
        <v/>
      </c>
      <c r="W144" s="67">
        <f>IFERROR(N(INDEX(eq_use,MATCH(B144,eq_code,0))),0)</f>
        <v>0.0</v>
      </c>
      <c r="X144" s="67" t="str">
        <f>IF(AND(ISNUMBER(S144),W144&gt;0),p_today+MAX(0,ROUNDUP(S144*7/W144,0)),"")</f>
        <v/>
      </c>
      <c r="Y144" s="67" t="str">
        <f>IF(AND(ISNUMBER(T144),OR(U144="En retard",U144="Bientôt",U144="À jour")),IF(AND(ISNUMBER(O144),ISNUMBER(X144)),MIN(F144,G144*7/W144),IF(ISNUMBER(O144),F144,G144*7/W144)),"")</f>
        <v/>
      </c>
      <c r="Z144" s="67" t="str">
        <f>IF(OR(U144="En retard",U144="Bientôt"),IF(U144="En retard",0,1)*1000000000+IF(AB144="A",0,IF(AB144="B",1,IF(AB144="C",2,3)))*100000000+IF(ISNUMBER(T144),T144,p_today)*1000+ROW()-5,"")</f>
        <v/>
      </c>
      <c r="AA144" s="67" t="str">
        <f>IF(Z144="","",COUNTIF($Z$6:$Z$505,"&lt;"&amp;Z144)+1)</f>
        <v/>
      </c>
      <c r="AB144" s="67" t="str">
        <f>IFERROR(INDEX(eq_crit,MATCH(B144,eq_code,0))&amp;"","")</f>
        <v/>
      </c>
    </row>
    <row r="145">
      <c r="A145" s="65" t="n"/>
      <c r="B145" s="66" t="n"/>
      <c r="C145" s="67" t="str">
        <f>IF(B145="","",IFERROR(INDEX(eq_des,MATCH(B145,eq_code,0))&amp;"","Équipement inconnu"))</f>
        <v/>
      </c>
      <c r="D145" s="66" t="n"/>
      <c r="E145" s="68" t="n"/>
      <c r="F145" s="69" t="n"/>
      <c r="G145" s="70" t="n"/>
      <c r="H145" s="71" t="n"/>
      <c r="I145" s="66" t="n"/>
      <c r="J145" s="72" t="n"/>
      <c r="K145" s="73" t="n"/>
      <c r="L145" s="68" t="n"/>
      <c r="M145" s="74" t="str">
        <f>IF(AND(A145="",B145="",D145=""),"",MAX(N(J145),IF(A145="",0,SUMPRODUCT(MAX((in_plan=A145)*in_prev*in_dnum)))))</f>
        <v/>
      </c>
      <c r="N145" s="75" t="str">
        <f>IF(AND(A145="",B145="",D145=""),"",MAX(N(K145),IF(A145="",0,SUMPRODUCT(MAX((in_plan=A145)*in_prev*in_cnum)))))</f>
        <v/>
      </c>
      <c r="O145" s="76" t="str">
        <f>IF(AND(OR(E145="Calendrier",E145="Au premier des deux"),N(F145)&gt;0,IF(N(M145)&gt;0,M145,IFERROR(N(INDEX(eq_start,MATCH(B145,eq_code,0))),0))&gt;0),IF(N(M145)&gt;0,M145,IFERROR(N(INDEX(eq_start,MATCH(B145,eq_code,0))),0))+F145,"")</f>
        <v/>
      </c>
      <c r="P145" s="75" t="str">
        <f>IF(AND(OR(E145="Compteur",E145="Au premier des deux"),N(G145)&gt;0),N(N145)+G145,"")</f>
        <v/>
      </c>
      <c r="Q145" s="75" t="str">
        <f>IF(B145="","",IFERROR(N(INDEX(eq_cnt,MATCH(B145,eq_code,0))),""))</f>
        <v/>
      </c>
      <c r="R145" s="77" t="str">
        <f>IF(ISNUMBER(O145),O145-p_today,"")</f>
        <v/>
      </c>
      <c r="S145" s="78" t="str">
        <f>IF(AND(ISNUMBER(P145),N(Q145)&gt;0),P145-Q145,"")</f>
        <v/>
      </c>
      <c r="T145" s="76" t="str">
        <f>IF(AND(ISNUMBER(O145),ISNUMBER(X145)),MIN(O145,X145),IF(ISNUMBER(O145),O145,X145))</f>
        <v/>
      </c>
      <c r="U145" s="79" t="str">
        <f>IF(AND(A145="",B145="",D145=""),"",IF(L145="Non","Inactif",IF(AND(NOT(ISNUMBER(R145)),NOT(ISNUMBER(S145))),"À compléter",IF(OR(AND(ISNUMBER(R145),N(R145)&lt;0),AND(ISNUMBER(S145),N(S145)&lt;0)),"En retard",IF(OR(AND(ISNUMBER(R145),N(R145)&lt;=p_soon),AND(ISNUMBER(S145),N(S145)&lt;=p_soon_pct*N(G145))),"Bientôt","À jour")))))</f>
        <v/>
      </c>
      <c r="V145" s="79" t="str">
        <f>IF(AND(A145="",B145="",D145=""),"",IF(A145="","N° de plan manquant",IF(COUNTIF($A$6:$A$505,A145)&gt;1,"N° de plan en double",IF(B145="","Équipement manquant",IF(ISNA(MATCH(B145,eq_code,0)),"Équipement inconnu",IF(D145="","Tâche manquante",IF(E145="","Déclenchement manquant",IF(AND(E145&lt;&gt;"Calendrier",E145&lt;&gt;"Compteur",E145&lt;&gt;"Au premier des deux"),"Déclenchement inconnu",IF(AND(E145&lt;&gt;"Compteur",OR(NOT(ISNUMBER(F145)),N(F145)&lt;=0)),"Périodicité en jours manquante",IF(AND(E145&lt;&gt;"Calendrier",OR(NOT(ISNUMBER(G145)),N(G145)&lt;=0)),"Périodicité compteur manquante",IF(AND(J145&lt;&gt;"",OR(NOT(ISNUMBER(J145)),N(J145)&lt;=0)),"Date de réalisation invalide",IF(AND(K145&lt;&gt;"",OR(NOT(ISNUMBER(K145)),N(K145)&lt;0)),"Compteur de réalisation invalide",IF(AND(E145&lt;&gt;"Compteur",N(M145)=0,IFERROR(N(INDEX(eq_start,MATCH(B145,eq_code,0))),0)=0),"Date de départ manquante",IF(AND(E145&lt;&gt;"Calendrier",K145="",N(N145)=0),"Compteur de départ manquant",IF(AND(E145&lt;&gt;"Calendrier",N(Q145)=0),"Relevé compteur manquant (Équipements)",IF(AND(I145&lt;&gt;"",ISNA(MATCH(I145,tech_name,0))),"Technicien inconnu",IF(AND(L145&lt;&gt;"",L145&lt;&gt;"Oui",L145&lt;&gt;"Non"),"Actif : Oui ou Non","OK")))))))))))))))))</f>
        <v/>
      </c>
      <c r="W145" s="67">
        <f>IFERROR(N(INDEX(eq_use,MATCH(B145,eq_code,0))),0)</f>
        <v>0.0</v>
      </c>
      <c r="X145" s="67" t="str">
        <f>IF(AND(ISNUMBER(S145),W145&gt;0),p_today+MAX(0,ROUNDUP(S145*7/W145,0)),"")</f>
        <v/>
      </c>
      <c r="Y145" s="67" t="str">
        <f>IF(AND(ISNUMBER(T145),OR(U145="En retard",U145="Bientôt",U145="À jour")),IF(AND(ISNUMBER(O145),ISNUMBER(X145)),MIN(F145,G145*7/W145),IF(ISNUMBER(O145),F145,G145*7/W145)),"")</f>
        <v/>
      </c>
      <c r="Z145" s="67" t="str">
        <f>IF(OR(U145="En retard",U145="Bientôt"),IF(U145="En retard",0,1)*1000000000+IF(AB145="A",0,IF(AB145="B",1,IF(AB145="C",2,3)))*100000000+IF(ISNUMBER(T145),T145,p_today)*1000+ROW()-5,"")</f>
        <v/>
      </c>
      <c r="AA145" s="67" t="str">
        <f>IF(Z145="","",COUNTIF($Z$6:$Z$505,"&lt;"&amp;Z145)+1)</f>
        <v/>
      </c>
      <c r="AB145" s="67" t="str">
        <f>IFERROR(INDEX(eq_crit,MATCH(B145,eq_code,0))&amp;"","")</f>
        <v/>
      </c>
    </row>
    <row r="146">
      <c r="A146" s="65" t="n"/>
      <c r="B146" s="66" t="n"/>
      <c r="C146" s="67" t="str">
        <f>IF(B146="","",IFERROR(INDEX(eq_des,MATCH(B146,eq_code,0))&amp;"","Équipement inconnu"))</f>
        <v/>
      </c>
      <c r="D146" s="66" t="n"/>
      <c r="E146" s="68" t="n"/>
      <c r="F146" s="69" t="n"/>
      <c r="G146" s="70" t="n"/>
      <c r="H146" s="71" t="n"/>
      <c r="I146" s="66" t="n"/>
      <c r="J146" s="72" t="n"/>
      <c r="K146" s="73" t="n"/>
      <c r="L146" s="68" t="n"/>
      <c r="M146" s="74" t="str">
        <f>IF(AND(A146="",B146="",D146=""),"",MAX(N(J146),IF(A146="",0,SUMPRODUCT(MAX((in_plan=A146)*in_prev*in_dnum)))))</f>
        <v/>
      </c>
      <c r="N146" s="75" t="str">
        <f>IF(AND(A146="",B146="",D146=""),"",MAX(N(K146),IF(A146="",0,SUMPRODUCT(MAX((in_plan=A146)*in_prev*in_cnum)))))</f>
        <v/>
      </c>
      <c r="O146" s="76" t="str">
        <f>IF(AND(OR(E146="Calendrier",E146="Au premier des deux"),N(F146)&gt;0,IF(N(M146)&gt;0,M146,IFERROR(N(INDEX(eq_start,MATCH(B146,eq_code,0))),0))&gt;0),IF(N(M146)&gt;0,M146,IFERROR(N(INDEX(eq_start,MATCH(B146,eq_code,0))),0))+F146,"")</f>
        <v/>
      </c>
      <c r="P146" s="75" t="str">
        <f>IF(AND(OR(E146="Compteur",E146="Au premier des deux"),N(G146)&gt;0),N(N146)+G146,"")</f>
        <v/>
      </c>
      <c r="Q146" s="75" t="str">
        <f>IF(B146="","",IFERROR(N(INDEX(eq_cnt,MATCH(B146,eq_code,0))),""))</f>
        <v/>
      </c>
      <c r="R146" s="77" t="str">
        <f>IF(ISNUMBER(O146),O146-p_today,"")</f>
        <v/>
      </c>
      <c r="S146" s="78" t="str">
        <f>IF(AND(ISNUMBER(P146),N(Q146)&gt;0),P146-Q146,"")</f>
        <v/>
      </c>
      <c r="T146" s="76" t="str">
        <f>IF(AND(ISNUMBER(O146),ISNUMBER(X146)),MIN(O146,X146),IF(ISNUMBER(O146),O146,X146))</f>
        <v/>
      </c>
      <c r="U146" s="79" t="str">
        <f>IF(AND(A146="",B146="",D146=""),"",IF(L146="Non","Inactif",IF(AND(NOT(ISNUMBER(R146)),NOT(ISNUMBER(S146))),"À compléter",IF(OR(AND(ISNUMBER(R146),N(R146)&lt;0),AND(ISNUMBER(S146),N(S146)&lt;0)),"En retard",IF(OR(AND(ISNUMBER(R146),N(R146)&lt;=p_soon),AND(ISNUMBER(S146),N(S146)&lt;=p_soon_pct*N(G146))),"Bientôt","À jour")))))</f>
        <v/>
      </c>
      <c r="V146" s="79" t="str">
        <f>IF(AND(A146="",B146="",D146=""),"",IF(A146="","N° de plan manquant",IF(COUNTIF($A$6:$A$505,A146)&gt;1,"N° de plan en double",IF(B146="","Équipement manquant",IF(ISNA(MATCH(B146,eq_code,0)),"Équipement inconnu",IF(D146="","Tâche manquante",IF(E146="","Déclenchement manquant",IF(AND(E146&lt;&gt;"Calendrier",E146&lt;&gt;"Compteur",E146&lt;&gt;"Au premier des deux"),"Déclenchement inconnu",IF(AND(E146&lt;&gt;"Compteur",OR(NOT(ISNUMBER(F146)),N(F146)&lt;=0)),"Périodicité en jours manquante",IF(AND(E146&lt;&gt;"Calendrier",OR(NOT(ISNUMBER(G146)),N(G146)&lt;=0)),"Périodicité compteur manquante",IF(AND(J146&lt;&gt;"",OR(NOT(ISNUMBER(J146)),N(J146)&lt;=0)),"Date de réalisation invalide",IF(AND(K146&lt;&gt;"",OR(NOT(ISNUMBER(K146)),N(K146)&lt;0)),"Compteur de réalisation invalide",IF(AND(E146&lt;&gt;"Compteur",N(M146)=0,IFERROR(N(INDEX(eq_start,MATCH(B146,eq_code,0))),0)=0),"Date de départ manquante",IF(AND(E146&lt;&gt;"Calendrier",K146="",N(N146)=0),"Compteur de départ manquant",IF(AND(E146&lt;&gt;"Calendrier",N(Q146)=0),"Relevé compteur manquant (Équipements)",IF(AND(I146&lt;&gt;"",ISNA(MATCH(I146,tech_name,0))),"Technicien inconnu",IF(AND(L146&lt;&gt;"",L146&lt;&gt;"Oui",L146&lt;&gt;"Non"),"Actif : Oui ou Non","OK")))))))))))))))))</f>
        <v/>
      </c>
      <c r="W146" s="67">
        <f>IFERROR(N(INDEX(eq_use,MATCH(B146,eq_code,0))),0)</f>
        <v>0.0</v>
      </c>
      <c r="X146" s="67" t="str">
        <f>IF(AND(ISNUMBER(S146),W146&gt;0),p_today+MAX(0,ROUNDUP(S146*7/W146,0)),"")</f>
        <v/>
      </c>
      <c r="Y146" s="67" t="str">
        <f>IF(AND(ISNUMBER(T146),OR(U146="En retard",U146="Bientôt",U146="À jour")),IF(AND(ISNUMBER(O146),ISNUMBER(X146)),MIN(F146,G146*7/W146),IF(ISNUMBER(O146),F146,G146*7/W146)),"")</f>
        <v/>
      </c>
      <c r="Z146" s="67" t="str">
        <f>IF(OR(U146="En retard",U146="Bientôt"),IF(U146="En retard",0,1)*1000000000+IF(AB146="A",0,IF(AB146="B",1,IF(AB146="C",2,3)))*100000000+IF(ISNUMBER(T146),T146,p_today)*1000+ROW()-5,"")</f>
        <v/>
      </c>
      <c r="AA146" s="67" t="str">
        <f>IF(Z146="","",COUNTIF($Z$6:$Z$505,"&lt;"&amp;Z146)+1)</f>
        <v/>
      </c>
      <c r="AB146" s="67" t="str">
        <f>IFERROR(INDEX(eq_crit,MATCH(B146,eq_code,0))&amp;"","")</f>
        <v/>
      </c>
    </row>
    <row r="147">
      <c r="A147" s="65" t="n"/>
      <c r="B147" s="66" t="n"/>
      <c r="C147" s="67" t="str">
        <f>IF(B147="","",IFERROR(INDEX(eq_des,MATCH(B147,eq_code,0))&amp;"","Équipement inconnu"))</f>
        <v/>
      </c>
      <c r="D147" s="66" t="n"/>
      <c r="E147" s="68" t="n"/>
      <c r="F147" s="69" t="n"/>
      <c r="G147" s="70" t="n"/>
      <c r="H147" s="71" t="n"/>
      <c r="I147" s="66" t="n"/>
      <c r="J147" s="72" t="n"/>
      <c r="K147" s="73" t="n"/>
      <c r="L147" s="68" t="n"/>
      <c r="M147" s="74" t="str">
        <f>IF(AND(A147="",B147="",D147=""),"",MAX(N(J147),IF(A147="",0,SUMPRODUCT(MAX((in_plan=A147)*in_prev*in_dnum)))))</f>
        <v/>
      </c>
      <c r="N147" s="75" t="str">
        <f>IF(AND(A147="",B147="",D147=""),"",MAX(N(K147),IF(A147="",0,SUMPRODUCT(MAX((in_plan=A147)*in_prev*in_cnum)))))</f>
        <v/>
      </c>
      <c r="O147" s="76" t="str">
        <f>IF(AND(OR(E147="Calendrier",E147="Au premier des deux"),N(F147)&gt;0,IF(N(M147)&gt;0,M147,IFERROR(N(INDEX(eq_start,MATCH(B147,eq_code,0))),0))&gt;0),IF(N(M147)&gt;0,M147,IFERROR(N(INDEX(eq_start,MATCH(B147,eq_code,0))),0))+F147,"")</f>
        <v/>
      </c>
      <c r="P147" s="75" t="str">
        <f>IF(AND(OR(E147="Compteur",E147="Au premier des deux"),N(G147)&gt;0),N(N147)+G147,"")</f>
        <v/>
      </c>
      <c r="Q147" s="75" t="str">
        <f>IF(B147="","",IFERROR(N(INDEX(eq_cnt,MATCH(B147,eq_code,0))),""))</f>
        <v/>
      </c>
      <c r="R147" s="77" t="str">
        <f>IF(ISNUMBER(O147),O147-p_today,"")</f>
        <v/>
      </c>
      <c r="S147" s="78" t="str">
        <f>IF(AND(ISNUMBER(P147),N(Q147)&gt;0),P147-Q147,"")</f>
        <v/>
      </c>
      <c r="T147" s="76" t="str">
        <f>IF(AND(ISNUMBER(O147),ISNUMBER(X147)),MIN(O147,X147),IF(ISNUMBER(O147),O147,X147))</f>
        <v/>
      </c>
      <c r="U147" s="79" t="str">
        <f>IF(AND(A147="",B147="",D147=""),"",IF(L147="Non","Inactif",IF(AND(NOT(ISNUMBER(R147)),NOT(ISNUMBER(S147))),"À compléter",IF(OR(AND(ISNUMBER(R147),N(R147)&lt;0),AND(ISNUMBER(S147),N(S147)&lt;0)),"En retard",IF(OR(AND(ISNUMBER(R147),N(R147)&lt;=p_soon),AND(ISNUMBER(S147),N(S147)&lt;=p_soon_pct*N(G147))),"Bientôt","À jour")))))</f>
        <v/>
      </c>
      <c r="V147" s="79" t="str">
        <f>IF(AND(A147="",B147="",D147=""),"",IF(A147="","N° de plan manquant",IF(COUNTIF($A$6:$A$505,A147)&gt;1,"N° de plan en double",IF(B147="","Équipement manquant",IF(ISNA(MATCH(B147,eq_code,0)),"Équipement inconnu",IF(D147="","Tâche manquante",IF(E147="","Déclenchement manquant",IF(AND(E147&lt;&gt;"Calendrier",E147&lt;&gt;"Compteur",E147&lt;&gt;"Au premier des deux"),"Déclenchement inconnu",IF(AND(E147&lt;&gt;"Compteur",OR(NOT(ISNUMBER(F147)),N(F147)&lt;=0)),"Périodicité en jours manquante",IF(AND(E147&lt;&gt;"Calendrier",OR(NOT(ISNUMBER(G147)),N(G147)&lt;=0)),"Périodicité compteur manquante",IF(AND(J147&lt;&gt;"",OR(NOT(ISNUMBER(J147)),N(J147)&lt;=0)),"Date de réalisation invalide",IF(AND(K147&lt;&gt;"",OR(NOT(ISNUMBER(K147)),N(K147)&lt;0)),"Compteur de réalisation invalide",IF(AND(E147&lt;&gt;"Compteur",N(M147)=0,IFERROR(N(INDEX(eq_start,MATCH(B147,eq_code,0))),0)=0),"Date de départ manquante",IF(AND(E147&lt;&gt;"Calendrier",K147="",N(N147)=0),"Compteur de départ manquant",IF(AND(E147&lt;&gt;"Calendrier",N(Q147)=0),"Relevé compteur manquant (Équipements)",IF(AND(I147&lt;&gt;"",ISNA(MATCH(I147,tech_name,0))),"Technicien inconnu",IF(AND(L147&lt;&gt;"",L147&lt;&gt;"Oui",L147&lt;&gt;"Non"),"Actif : Oui ou Non","OK")))))))))))))))))</f>
        <v/>
      </c>
      <c r="W147" s="67">
        <f>IFERROR(N(INDEX(eq_use,MATCH(B147,eq_code,0))),0)</f>
        <v>0.0</v>
      </c>
      <c r="X147" s="67" t="str">
        <f>IF(AND(ISNUMBER(S147),W147&gt;0),p_today+MAX(0,ROUNDUP(S147*7/W147,0)),"")</f>
        <v/>
      </c>
      <c r="Y147" s="67" t="str">
        <f>IF(AND(ISNUMBER(T147),OR(U147="En retard",U147="Bientôt",U147="À jour")),IF(AND(ISNUMBER(O147),ISNUMBER(X147)),MIN(F147,G147*7/W147),IF(ISNUMBER(O147),F147,G147*7/W147)),"")</f>
        <v/>
      </c>
      <c r="Z147" s="67" t="str">
        <f>IF(OR(U147="En retard",U147="Bientôt"),IF(U147="En retard",0,1)*1000000000+IF(AB147="A",0,IF(AB147="B",1,IF(AB147="C",2,3)))*100000000+IF(ISNUMBER(T147),T147,p_today)*1000+ROW()-5,"")</f>
        <v/>
      </c>
      <c r="AA147" s="67" t="str">
        <f>IF(Z147="","",COUNTIF($Z$6:$Z$505,"&lt;"&amp;Z147)+1)</f>
        <v/>
      </c>
      <c r="AB147" s="67" t="str">
        <f>IFERROR(INDEX(eq_crit,MATCH(B147,eq_code,0))&amp;"","")</f>
        <v/>
      </c>
    </row>
    <row r="148">
      <c r="A148" s="65" t="n"/>
      <c r="B148" s="66" t="n"/>
      <c r="C148" s="67" t="str">
        <f>IF(B148="","",IFERROR(INDEX(eq_des,MATCH(B148,eq_code,0))&amp;"","Équipement inconnu"))</f>
        <v/>
      </c>
      <c r="D148" s="66" t="n"/>
      <c r="E148" s="68" t="n"/>
      <c r="F148" s="69" t="n"/>
      <c r="G148" s="70" t="n"/>
      <c r="H148" s="71" t="n"/>
      <c r="I148" s="66" t="n"/>
      <c r="J148" s="72" t="n"/>
      <c r="K148" s="73" t="n"/>
      <c r="L148" s="68" t="n"/>
      <c r="M148" s="74" t="str">
        <f>IF(AND(A148="",B148="",D148=""),"",MAX(N(J148),IF(A148="",0,SUMPRODUCT(MAX((in_plan=A148)*in_prev*in_dnum)))))</f>
        <v/>
      </c>
      <c r="N148" s="75" t="str">
        <f>IF(AND(A148="",B148="",D148=""),"",MAX(N(K148),IF(A148="",0,SUMPRODUCT(MAX((in_plan=A148)*in_prev*in_cnum)))))</f>
        <v/>
      </c>
      <c r="O148" s="76" t="str">
        <f>IF(AND(OR(E148="Calendrier",E148="Au premier des deux"),N(F148)&gt;0,IF(N(M148)&gt;0,M148,IFERROR(N(INDEX(eq_start,MATCH(B148,eq_code,0))),0))&gt;0),IF(N(M148)&gt;0,M148,IFERROR(N(INDEX(eq_start,MATCH(B148,eq_code,0))),0))+F148,"")</f>
        <v/>
      </c>
      <c r="P148" s="75" t="str">
        <f>IF(AND(OR(E148="Compteur",E148="Au premier des deux"),N(G148)&gt;0),N(N148)+G148,"")</f>
        <v/>
      </c>
      <c r="Q148" s="75" t="str">
        <f>IF(B148="","",IFERROR(N(INDEX(eq_cnt,MATCH(B148,eq_code,0))),""))</f>
        <v/>
      </c>
      <c r="R148" s="77" t="str">
        <f>IF(ISNUMBER(O148),O148-p_today,"")</f>
        <v/>
      </c>
      <c r="S148" s="78" t="str">
        <f>IF(AND(ISNUMBER(P148),N(Q148)&gt;0),P148-Q148,"")</f>
        <v/>
      </c>
      <c r="T148" s="76" t="str">
        <f>IF(AND(ISNUMBER(O148),ISNUMBER(X148)),MIN(O148,X148),IF(ISNUMBER(O148),O148,X148))</f>
        <v/>
      </c>
      <c r="U148" s="79" t="str">
        <f>IF(AND(A148="",B148="",D148=""),"",IF(L148="Non","Inactif",IF(AND(NOT(ISNUMBER(R148)),NOT(ISNUMBER(S148))),"À compléter",IF(OR(AND(ISNUMBER(R148),N(R148)&lt;0),AND(ISNUMBER(S148),N(S148)&lt;0)),"En retard",IF(OR(AND(ISNUMBER(R148),N(R148)&lt;=p_soon),AND(ISNUMBER(S148),N(S148)&lt;=p_soon_pct*N(G148))),"Bientôt","À jour")))))</f>
        <v/>
      </c>
      <c r="V148" s="79" t="str">
        <f>IF(AND(A148="",B148="",D148=""),"",IF(A148="","N° de plan manquant",IF(COUNTIF($A$6:$A$505,A148)&gt;1,"N° de plan en double",IF(B148="","Équipement manquant",IF(ISNA(MATCH(B148,eq_code,0)),"Équipement inconnu",IF(D148="","Tâche manquante",IF(E148="","Déclenchement manquant",IF(AND(E148&lt;&gt;"Calendrier",E148&lt;&gt;"Compteur",E148&lt;&gt;"Au premier des deux"),"Déclenchement inconnu",IF(AND(E148&lt;&gt;"Compteur",OR(NOT(ISNUMBER(F148)),N(F148)&lt;=0)),"Périodicité en jours manquante",IF(AND(E148&lt;&gt;"Calendrier",OR(NOT(ISNUMBER(G148)),N(G148)&lt;=0)),"Périodicité compteur manquante",IF(AND(J148&lt;&gt;"",OR(NOT(ISNUMBER(J148)),N(J148)&lt;=0)),"Date de réalisation invalide",IF(AND(K148&lt;&gt;"",OR(NOT(ISNUMBER(K148)),N(K148)&lt;0)),"Compteur de réalisation invalide",IF(AND(E148&lt;&gt;"Compteur",N(M148)=0,IFERROR(N(INDEX(eq_start,MATCH(B148,eq_code,0))),0)=0),"Date de départ manquante",IF(AND(E148&lt;&gt;"Calendrier",K148="",N(N148)=0),"Compteur de départ manquant",IF(AND(E148&lt;&gt;"Calendrier",N(Q148)=0),"Relevé compteur manquant (Équipements)",IF(AND(I148&lt;&gt;"",ISNA(MATCH(I148,tech_name,0))),"Technicien inconnu",IF(AND(L148&lt;&gt;"",L148&lt;&gt;"Oui",L148&lt;&gt;"Non"),"Actif : Oui ou Non","OK")))))))))))))))))</f>
        <v/>
      </c>
      <c r="W148" s="67">
        <f>IFERROR(N(INDEX(eq_use,MATCH(B148,eq_code,0))),0)</f>
        <v>0.0</v>
      </c>
      <c r="X148" s="67" t="str">
        <f>IF(AND(ISNUMBER(S148),W148&gt;0),p_today+MAX(0,ROUNDUP(S148*7/W148,0)),"")</f>
        <v/>
      </c>
      <c r="Y148" s="67" t="str">
        <f>IF(AND(ISNUMBER(T148),OR(U148="En retard",U148="Bientôt",U148="À jour")),IF(AND(ISNUMBER(O148),ISNUMBER(X148)),MIN(F148,G148*7/W148),IF(ISNUMBER(O148),F148,G148*7/W148)),"")</f>
        <v/>
      </c>
      <c r="Z148" s="67" t="str">
        <f>IF(OR(U148="En retard",U148="Bientôt"),IF(U148="En retard",0,1)*1000000000+IF(AB148="A",0,IF(AB148="B",1,IF(AB148="C",2,3)))*100000000+IF(ISNUMBER(T148),T148,p_today)*1000+ROW()-5,"")</f>
        <v/>
      </c>
      <c r="AA148" s="67" t="str">
        <f>IF(Z148="","",COUNTIF($Z$6:$Z$505,"&lt;"&amp;Z148)+1)</f>
        <v/>
      </c>
      <c r="AB148" s="67" t="str">
        <f>IFERROR(INDEX(eq_crit,MATCH(B148,eq_code,0))&amp;"","")</f>
        <v/>
      </c>
    </row>
    <row r="149">
      <c r="A149" s="65" t="n"/>
      <c r="B149" s="66" t="n"/>
      <c r="C149" s="67" t="str">
        <f>IF(B149="","",IFERROR(INDEX(eq_des,MATCH(B149,eq_code,0))&amp;"","Équipement inconnu"))</f>
        <v/>
      </c>
      <c r="D149" s="66" t="n"/>
      <c r="E149" s="68" t="n"/>
      <c r="F149" s="69" t="n"/>
      <c r="G149" s="70" t="n"/>
      <c r="H149" s="71" t="n"/>
      <c r="I149" s="66" t="n"/>
      <c r="J149" s="72" t="n"/>
      <c r="K149" s="73" t="n"/>
      <c r="L149" s="68" t="n"/>
      <c r="M149" s="74" t="str">
        <f>IF(AND(A149="",B149="",D149=""),"",MAX(N(J149),IF(A149="",0,SUMPRODUCT(MAX((in_plan=A149)*in_prev*in_dnum)))))</f>
        <v/>
      </c>
      <c r="N149" s="75" t="str">
        <f>IF(AND(A149="",B149="",D149=""),"",MAX(N(K149),IF(A149="",0,SUMPRODUCT(MAX((in_plan=A149)*in_prev*in_cnum)))))</f>
        <v/>
      </c>
      <c r="O149" s="76" t="str">
        <f>IF(AND(OR(E149="Calendrier",E149="Au premier des deux"),N(F149)&gt;0,IF(N(M149)&gt;0,M149,IFERROR(N(INDEX(eq_start,MATCH(B149,eq_code,0))),0))&gt;0),IF(N(M149)&gt;0,M149,IFERROR(N(INDEX(eq_start,MATCH(B149,eq_code,0))),0))+F149,"")</f>
        <v/>
      </c>
      <c r="P149" s="75" t="str">
        <f>IF(AND(OR(E149="Compteur",E149="Au premier des deux"),N(G149)&gt;0),N(N149)+G149,"")</f>
        <v/>
      </c>
      <c r="Q149" s="75" t="str">
        <f>IF(B149="","",IFERROR(N(INDEX(eq_cnt,MATCH(B149,eq_code,0))),""))</f>
        <v/>
      </c>
      <c r="R149" s="77" t="str">
        <f>IF(ISNUMBER(O149),O149-p_today,"")</f>
        <v/>
      </c>
      <c r="S149" s="78" t="str">
        <f>IF(AND(ISNUMBER(P149),N(Q149)&gt;0),P149-Q149,"")</f>
        <v/>
      </c>
      <c r="T149" s="76" t="str">
        <f>IF(AND(ISNUMBER(O149),ISNUMBER(X149)),MIN(O149,X149),IF(ISNUMBER(O149),O149,X149))</f>
        <v/>
      </c>
      <c r="U149" s="79" t="str">
        <f>IF(AND(A149="",B149="",D149=""),"",IF(L149="Non","Inactif",IF(AND(NOT(ISNUMBER(R149)),NOT(ISNUMBER(S149))),"À compléter",IF(OR(AND(ISNUMBER(R149),N(R149)&lt;0),AND(ISNUMBER(S149),N(S149)&lt;0)),"En retard",IF(OR(AND(ISNUMBER(R149),N(R149)&lt;=p_soon),AND(ISNUMBER(S149),N(S149)&lt;=p_soon_pct*N(G149))),"Bientôt","À jour")))))</f>
        <v/>
      </c>
      <c r="V149" s="79" t="str">
        <f>IF(AND(A149="",B149="",D149=""),"",IF(A149="","N° de plan manquant",IF(COUNTIF($A$6:$A$505,A149)&gt;1,"N° de plan en double",IF(B149="","Équipement manquant",IF(ISNA(MATCH(B149,eq_code,0)),"Équipement inconnu",IF(D149="","Tâche manquante",IF(E149="","Déclenchement manquant",IF(AND(E149&lt;&gt;"Calendrier",E149&lt;&gt;"Compteur",E149&lt;&gt;"Au premier des deux"),"Déclenchement inconnu",IF(AND(E149&lt;&gt;"Compteur",OR(NOT(ISNUMBER(F149)),N(F149)&lt;=0)),"Périodicité en jours manquante",IF(AND(E149&lt;&gt;"Calendrier",OR(NOT(ISNUMBER(G149)),N(G149)&lt;=0)),"Périodicité compteur manquante",IF(AND(J149&lt;&gt;"",OR(NOT(ISNUMBER(J149)),N(J149)&lt;=0)),"Date de réalisation invalide",IF(AND(K149&lt;&gt;"",OR(NOT(ISNUMBER(K149)),N(K149)&lt;0)),"Compteur de réalisation invalide",IF(AND(E149&lt;&gt;"Compteur",N(M149)=0,IFERROR(N(INDEX(eq_start,MATCH(B149,eq_code,0))),0)=0),"Date de départ manquante",IF(AND(E149&lt;&gt;"Calendrier",K149="",N(N149)=0),"Compteur de départ manquant",IF(AND(E149&lt;&gt;"Calendrier",N(Q149)=0),"Relevé compteur manquant (Équipements)",IF(AND(I149&lt;&gt;"",ISNA(MATCH(I149,tech_name,0))),"Technicien inconnu",IF(AND(L149&lt;&gt;"",L149&lt;&gt;"Oui",L149&lt;&gt;"Non"),"Actif : Oui ou Non","OK")))))))))))))))))</f>
        <v/>
      </c>
      <c r="W149" s="67">
        <f>IFERROR(N(INDEX(eq_use,MATCH(B149,eq_code,0))),0)</f>
        <v>0.0</v>
      </c>
      <c r="X149" s="67" t="str">
        <f>IF(AND(ISNUMBER(S149),W149&gt;0),p_today+MAX(0,ROUNDUP(S149*7/W149,0)),"")</f>
        <v/>
      </c>
      <c r="Y149" s="67" t="str">
        <f>IF(AND(ISNUMBER(T149),OR(U149="En retard",U149="Bientôt",U149="À jour")),IF(AND(ISNUMBER(O149),ISNUMBER(X149)),MIN(F149,G149*7/W149),IF(ISNUMBER(O149),F149,G149*7/W149)),"")</f>
        <v/>
      </c>
      <c r="Z149" s="67" t="str">
        <f>IF(OR(U149="En retard",U149="Bientôt"),IF(U149="En retard",0,1)*1000000000+IF(AB149="A",0,IF(AB149="B",1,IF(AB149="C",2,3)))*100000000+IF(ISNUMBER(T149),T149,p_today)*1000+ROW()-5,"")</f>
        <v/>
      </c>
      <c r="AA149" s="67" t="str">
        <f>IF(Z149="","",COUNTIF($Z$6:$Z$505,"&lt;"&amp;Z149)+1)</f>
        <v/>
      </c>
      <c r="AB149" s="67" t="str">
        <f>IFERROR(INDEX(eq_crit,MATCH(B149,eq_code,0))&amp;"","")</f>
        <v/>
      </c>
    </row>
    <row r="150">
      <c r="A150" s="65" t="n"/>
      <c r="B150" s="66" t="n"/>
      <c r="C150" s="67" t="str">
        <f>IF(B150="","",IFERROR(INDEX(eq_des,MATCH(B150,eq_code,0))&amp;"","Équipement inconnu"))</f>
        <v/>
      </c>
      <c r="D150" s="66" t="n"/>
      <c r="E150" s="68" t="n"/>
      <c r="F150" s="69" t="n"/>
      <c r="G150" s="70" t="n"/>
      <c r="H150" s="71" t="n"/>
      <c r="I150" s="66" t="n"/>
      <c r="J150" s="72" t="n"/>
      <c r="K150" s="73" t="n"/>
      <c r="L150" s="68" t="n"/>
      <c r="M150" s="74" t="str">
        <f>IF(AND(A150="",B150="",D150=""),"",MAX(N(J150),IF(A150="",0,SUMPRODUCT(MAX((in_plan=A150)*in_prev*in_dnum)))))</f>
        <v/>
      </c>
      <c r="N150" s="75" t="str">
        <f>IF(AND(A150="",B150="",D150=""),"",MAX(N(K150),IF(A150="",0,SUMPRODUCT(MAX((in_plan=A150)*in_prev*in_cnum)))))</f>
        <v/>
      </c>
      <c r="O150" s="76" t="str">
        <f>IF(AND(OR(E150="Calendrier",E150="Au premier des deux"),N(F150)&gt;0,IF(N(M150)&gt;0,M150,IFERROR(N(INDEX(eq_start,MATCH(B150,eq_code,0))),0))&gt;0),IF(N(M150)&gt;0,M150,IFERROR(N(INDEX(eq_start,MATCH(B150,eq_code,0))),0))+F150,"")</f>
        <v/>
      </c>
      <c r="P150" s="75" t="str">
        <f>IF(AND(OR(E150="Compteur",E150="Au premier des deux"),N(G150)&gt;0),N(N150)+G150,"")</f>
        <v/>
      </c>
      <c r="Q150" s="75" t="str">
        <f>IF(B150="","",IFERROR(N(INDEX(eq_cnt,MATCH(B150,eq_code,0))),""))</f>
        <v/>
      </c>
      <c r="R150" s="77" t="str">
        <f>IF(ISNUMBER(O150),O150-p_today,"")</f>
        <v/>
      </c>
      <c r="S150" s="78" t="str">
        <f>IF(AND(ISNUMBER(P150),N(Q150)&gt;0),P150-Q150,"")</f>
        <v/>
      </c>
      <c r="T150" s="76" t="str">
        <f>IF(AND(ISNUMBER(O150),ISNUMBER(X150)),MIN(O150,X150),IF(ISNUMBER(O150),O150,X150))</f>
        <v/>
      </c>
      <c r="U150" s="79" t="str">
        <f>IF(AND(A150="",B150="",D150=""),"",IF(L150="Non","Inactif",IF(AND(NOT(ISNUMBER(R150)),NOT(ISNUMBER(S150))),"À compléter",IF(OR(AND(ISNUMBER(R150),N(R150)&lt;0),AND(ISNUMBER(S150),N(S150)&lt;0)),"En retard",IF(OR(AND(ISNUMBER(R150),N(R150)&lt;=p_soon),AND(ISNUMBER(S150),N(S150)&lt;=p_soon_pct*N(G150))),"Bientôt","À jour")))))</f>
        <v/>
      </c>
      <c r="V150" s="79" t="str">
        <f>IF(AND(A150="",B150="",D150=""),"",IF(A150="","N° de plan manquant",IF(COUNTIF($A$6:$A$505,A150)&gt;1,"N° de plan en double",IF(B150="","Équipement manquant",IF(ISNA(MATCH(B150,eq_code,0)),"Équipement inconnu",IF(D150="","Tâche manquante",IF(E150="","Déclenchement manquant",IF(AND(E150&lt;&gt;"Calendrier",E150&lt;&gt;"Compteur",E150&lt;&gt;"Au premier des deux"),"Déclenchement inconnu",IF(AND(E150&lt;&gt;"Compteur",OR(NOT(ISNUMBER(F150)),N(F150)&lt;=0)),"Périodicité en jours manquante",IF(AND(E150&lt;&gt;"Calendrier",OR(NOT(ISNUMBER(G150)),N(G150)&lt;=0)),"Périodicité compteur manquante",IF(AND(J150&lt;&gt;"",OR(NOT(ISNUMBER(J150)),N(J150)&lt;=0)),"Date de réalisation invalide",IF(AND(K150&lt;&gt;"",OR(NOT(ISNUMBER(K150)),N(K150)&lt;0)),"Compteur de réalisation invalide",IF(AND(E150&lt;&gt;"Compteur",N(M150)=0,IFERROR(N(INDEX(eq_start,MATCH(B150,eq_code,0))),0)=0),"Date de départ manquante",IF(AND(E150&lt;&gt;"Calendrier",K150="",N(N150)=0),"Compteur de départ manquant",IF(AND(E150&lt;&gt;"Calendrier",N(Q150)=0),"Relevé compteur manquant (Équipements)",IF(AND(I150&lt;&gt;"",ISNA(MATCH(I150,tech_name,0))),"Technicien inconnu",IF(AND(L150&lt;&gt;"",L150&lt;&gt;"Oui",L150&lt;&gt;"Non"),"Actif : Oui ou Non","OK")))))))))))))))))</f>
        <v/>
      </c>
      <c r="W150" s="67">
        <f>IFERROR(N(INDEX(eq_use,MATCH(B150,eq_code,0))),0)</f>
        <v>0.0</v>
      </c>
      <c r="X150" s="67" t="str">
        <f>IF(AND(ISNUMBER(S150),W150&gt;0),p_today+MAX(0,ROUNDUP(S150*7/W150,0)),"")</f>
        <v/>
      </c>
      <c r="Y150" s="67" t="str">
        <f>IF(AND(ISNUMBER(T150),OR(U150="En retard",U150="Bientôt",U150="À jour")),IF(AND(ISNUMBER(O150),ISNUMBER(X150)),MIN(F150,G150*7/W150),IF(ISNUMBER(O150),F150,G150*7/W150)),"")</f>
        <v/>
      </c>
      <c r="Z150" s="67" t="str">
        <f>IF(OR(U150="En retard",U150="Bientôt"),IF(U150="En retard",0,1)*1000000000+IF(AB150="A",0,IF(AB150="B",1,IF(AB150="C",2,3)))*100000000+IF(ISNUMBER(T150),T150,p_today)*1000+ROW()-5,"")</f>
        <v/>
      </c>
      <c r="AA150" s="67" t="str">
        <f>IF(Z150="","",COUNTIF($Z$6:$Z$505,"&lt;"&amp;Z150)+1)</f>
        <v/>
      </c>
      <c r="AB150" s="67" t="str">
        <f>IFERROR(INDEX(eq_crit,MATCH(B150,eq_code,0))&amp;"","")</f>
        <v/>
      </c>
    </row>
    <row r="151">
      <c r="A151" s="65" t="n"/>
      <c r="B151" s="66" t="n"/>
      <c r="C151" s="67" t="str">
        <f>IF(B151="","",IFERROR(INDEX(eq_des,MATCH(B151,eq_code,0))&amp;"","Équipement inconnu"))</f>
        <v/>
      </c>
      <c r="D151" s="66" t="n"/>
      <c r="E151" s="68" t="n"/>
      <c r="F151" s="69" t="n"/>
      <c r="G151" s="70" t="n"/>
      <c r="H151" s="71" t="n"/>
      <c r="I151" s="66" t="n"/>
      <c r="J151" s="72" t="n"/>
      <c r="K151" s="73" t="n"/>
      <c r="L151" s="68" t="n"/>
      <c r="M151" s="74" t="str">
        <f>IF(AND(A151="",B151="",D151=""),"",MAX(N(J151),IF(A151="",0,SUMPRODUCT(MAX((in_plan=A151)*in_prev*in_dnum)))))</f>
        <v/>
      </c>
      <c r="N151" s="75" t="str">
        <f>IF(AND(A151="",B151="",D151=""),"",MAX(N(K151),IF(A151="",0,SUMPRODUCT(MAX((in_plan=A151)*in_prev*in_cnum)))))</f>
        <v/>
      </c>
      <c r="O151" s="76" t="str">
        <f>IF(AND(OR(E151="Calendrier",E151="Au premier des deux"),N(F151)&gt;0,IF(N(M151)&gt;0,M151,IFERROR(N(INDEX(eq_start,MATCH(B151,eq_code,0))),0))&gt;0),IF(N(M151)&gt;0,M151,IFERROR(N(INDEX(eq_start,MATCH(B151,eq_code,0))),0))+F151,"")</f>
        <v/>
      </c>
      <c r="P151" s="75" t="str">
        <f>IF(AND(OR(E151="Compteur",E151="Au premier des deux"),N(G151)&gt;0),N(N151)+G151,"")</f>
        <v/>
      </c>
      <c r="Q151" s="75" t="str">
        <f>IF(B151="","",IFERROR(N(INDEX(eq_cnt,MATCH(B151,eq_code,0))),""))</f>
        <v/>
      </c>
      <c r="R151" s="77" t="str">
        <f>IF(ISNUMBER(O151),O151-p_today,"")</f>
        <v/>
      </c>
      <c r="S151" s="78" t="str">
        <f>IF(AND(ISNUMBER(P151),N(Q151)&gt;0),P151-Q151,"")</f>
        <v/>
      </c>
      <c r="T151" s="76" t="str">
        <f>IF(AND(ISNUMBER(O151),ISNUMBER(X151)),MIN(O151,X151),IF(ISNUMBER(O151),O151,X151))</f>
        <v/>
      </c>
      <c r="U151" s="79" t="str">
        <f>IF(AND(A151="",B151="",D151=""),"",IF(L151="Non","Inactif",IF(AND(NOT(ISNUMBER(R151)),NOT(ISNUMBER(S151))),"À compléter",IF(OR(AND(ISNUMBER(R151),N(R151)&lt;0),AND(ISNUMBER(S151),N(S151)&lt;0)),"En retard",IF(OR(AND(ISNUMBER(R151),N(R151)&lt;=p_soon),AND(ISNUMBER(S151),N(S151)&lt;=p_soon_pct*N(G151))),"Bientôt","À jour")))))</f>
        <v/>
      </c>
      <c r="V151" s="79" t="str">
        <f>IF(AND(A151="",B151="",D151=""),"",IF(A151="","N° de plan manquant",IF(COUNTIF($A$6:$A$505,A151)&gt;1,"N° de plan en double",IF(B151="","Équipement manquant",IF(ISNA(MATCH(B151,eq_code,0)),"Équipement inconnu",IF(D151="","Tâche manquante",IF(E151="","Déclenchement manquant",IF(AND(E151&lt;&gt;"Calendrier",E151&lt;&gt;"Compteur",E151&lt;&gt;"Au premier des deux"),"Déclenchement inconnu",IF(AND(E151&lt;&gt;"Compteur",OR(NOT(ISNUMBER(F151)),N(F151)&lt;=0)),"Périodicité en jours manquante",IF(AND(E151&lt;&gt;"Calendrier",OR(NOT(ISNUMBER(G151)),N(G151)&lt;=0)),"Périodicité compteur manquante",IF(AND(J151&lt;&gt;"",OR(NOT(ISNUMBER(J151)),N(J151)&lt;=0)),"Date de réalisation invalide",IF(AND(K151&lt;&gt;"",OR(NOT(ISNUMBER(K151)),N(K151)&lt;0)),"Compteur de réalisation invalide",IF(AND(E151&lt;&gt;"Compteur",N(M151)=0,IFERROR(N(INDEX(eq_start,MATCH(B151,eq_code,0))),0)=0),"Date de départ manquante",IF(AND(E151&lt;&gt;"Calendrier",K151="",N(N151)=0),"Compteur de départ manquant",IF(AND(E151&lt;&gt;"Calendrier",N(Q151)=0),"Relevé compteur manquant (Équipements)",IF(AND(I151&lt;&gt;"",ISNA(MATCH(I151,tech_name,0))),"Technicien inconnu",IF(AND(L151&lt;&gt;"",L151&lt;&gt;"Oui",L151&lt;&gt;"Non"),"Actif : Oui ou Non","OK")))))))))))))))))</f>
        <v/>
      </c>
      <c r="W151" s="67">
        <f>IFERROR(N(INDEX(eq_use,MATCH(B151,eq_code,0))),0)</f>
        <v>0.0</v>
      </c>
      <c r="X151" s="67" t="str">
        <f>IF(AND(ISNUMBER(S151),W151&gt;0),p_today+MAX(0,ROUNDUP(S151*7/W151,0)),"")</f>
        <v/>
      </c>
      <c r="Y151" s="67" t="str">
        <f>IF(AND(ISNUMBER(T151),OR(U151="En retard",U151="Bientôt",U151="À jour")),IF(AND(ISNUMBER(O151),ISNUMBER(X151)),MIN(F151,G151*7/W151),IF(ISNUMBER(O151),F151,G151*7/W151)),"")</f>
        <v/>
      </c>
      <c r="Z151" s="67" t="str">
        <f>IF(OR(U151="En retard",U151="Bientôt"),IF(U151="En retard",0,1)*1000000000+IF(AB151="A",0,IF(AB151="B",1,IF(AB151="C",2,3)))*100000000+IF(ISNUMBER(T151),T151,p_today)*1000+ROW()-5,"")</f>
        <v/>
      </c>
      <c r="AA151" s="67" t="str">
        <f>IF(Z151="","",COUNTIF($Z$6:$Z$505,"&lt;"&amp;Z151)+1)</f>
        <v/>
      </c>
      <c r="AB151" s="67" t="str">
        <f>IFERROR(INDEX(eq_crit,MATCH(B151,eq_code,0))&amp;"","")</f>
        <v/>
      </c>
    </row>
    <row r="152">
      <c r="A152" s="65" t="n"/>
      <c r="B152" s="66" t="n"/>
      <c r="C152" s="67" t="str">
        <f>IF(B152="","",IFERROR(INDEX(eq_des,MATCH(B152,eq_code,0))&amp;"","Équipement inconnu"))</f>
        <v/>
      </c>
      <c r="D152" s="66" t="n"/>
      <c r="E152" s="68" t="n"/>
      <c r="F152" s="69" t="n"/>
      <c r="G152" s="70" t="n"/>
      <c r="H152" s="71" t="n"/>
      <c r="I152" s="66" t="n"/>
      <c r="J152" s="72" t="n"/>
      <c r="K152" s="73" t="n"/>
      <c r="L152" s="68" t="n"/>
      <c r="M152" s="74" t="str">
        <f>IF(AND(A152="",B152="",D152=""),"",MAX(N(J152),IF(A152="",0,SUMPRODUCT(MAX((in_plan=A152)*in_prev*in_dnum)))))</f>
        <v/>
      </c>
      <c r="N152" s="75" t="str">
        <f>IF(AND(A152="",B152="",D152=""),"",MAX(N(K152),IF(A152="",0,SUMPRODUCT(MAX((in_plan=A152)*in_prev*in_cnum)))))</f>
        <v/>
      </c>
      <c r="O152" s="76" t="str">
        <f>IF(AND(OR(E152="Calendrier",E152="Au premier des deux"),N(F152)&gt;0,IF(N(M152)&gt;0,M152,IFERROR(N(INDEX(eq_start,MATCH(B152,eq_code,0))),0))&gt;0),IF(N(M152)&gt;0,M152,IFERROR(N(INDEX(eq_start,MATCH(B152,eq_code,0))),0))+F152,"")</f>
        <v/>
      </c>
      <c r="P152" s="75" t="str">
        <f>IF(AND(OR(E152="Compteur",E152="Au premier des deux"),N(G152)&gt;0),N(N152)+G152,"")</f>
        <v/>
      </c>
      <c r="Q152" s="75" t="str">
        <f>IF(B152="","",IFERROR(N(INDEX(eq_cnt,MATCH(B152,eq_code,0))),""))</f>
        <v/>
      </c>
      <c r="R152" s="77" t="str">
        <f>IF(ISNUMBER(O152),O152-p_today,"")</f>
        <v/>
      </c>
      <c r="S152" s="78" t="str">
        <f>IF(AND(ISNUMBER(P152),N(Q152)&gt;0),P152-Q152,"")</f>
        <v/>
      </c>
      <c r="T152" s="76" t="str">
        <f>IF(AND(ISNUMBER(O152),ISNUMBER(X152)),MIN(O152,X152),IF(ISNUMBER(O152),O152,X152))</f>
        <v/>
      </c>
      <c r="U152" s="79" t="str">
        <f>IF(AND(A152="",B152="",D152=""),"",IF(L152="Non","Inactif",IF(AND(NOT(ISNUMBER(R152)),NOT(ISNUMBER(S152))),"À compléter",IF(OR(AND(ISNUMBER(R152),N(R152)&lt;0),AND(ISNUMBER(S152),N(S152)&lt;0)),"En retard",IF(OR(AND(ISNUMBER(R152),N(R152)&lt;=p_soon),AND(ISNUMBER(S152),N(S152)&lt;=p_soon_pct*N(G152))),"Bientôt","À jour")))))</f>
        <v/>
      </c>
      <c r="V152" s="79" t="str">
        <f>IF(AND(A152="",B152="",D152=""),"",IF(A152="","N° de plan manquant",IF(COUNTIF($A$6:$A$505,A152)&gt;1,"N° de plan en double",IF(B152="","Équipement manquant",IF(ISNA(MATCH(B152,eq_code,0)),"Équipement inconnu",IF(D152="","Tâche manquante",IF(E152="","Déclenchement manquant",IF(AND(E152&lt;&gt;"Calendrier",E152&lt;&gt;"Compteur",E152&lt;&gt;"Au premier des deux"),"Déclenchement inconnu",IF(AND(E152&lt;&gt;"Compteur",OR(NOT(ISNUMBER(F152)),N(F152)&lt;=0)),"Périodicité en jours manquante",IF(AND(E152&lt;&gt;"Calendrier",OR(NOT(ISNUMBER(G152)),N(G152)&lt;=0)),"Périodicité compteur manquante",IF(AND(J152&lt;&gt;"",OR(NOT(ISNUMBER(J152)),N(J152)&lt;=0)),"Date de réalisation invalide",IF(AND(K152&lt;&gt;"",OR(NOT(ISNUMBER(K152)),N(K152)&lt;0)),"Compteur de réalisation invalide",IF(AND(E152&lt;&gt;"Compteur",N(M152)=0,IFERROR(N(INDEX(eq_start,MATCH(B152,eq_code,0))),0)=0),"Date de départ manquante",IF(AND(E152&lt;&gt;"Calendrier",K152="",N(N152)=0),"Compteur de départ manquant",IF(AND(E152&lt;&gt;"Calendrier",N(Q152)=0),"Relevé compteur manquant (Équipements)",IF(AND(I152&lt;&gt;"",ISNA(MATCH(I152,tech_name,0))),"Technicien inconnu",IF(AND(L152&lt;&gt;"",L152&lt;&gt;"Oui",L152&lt;&gt;"Non"),"Actif : Oui ou Non","OK")))))))))))))))))</f>
        <v/>
      </c>
      <c r="W152" s="67">
        <f>IFERROR(N(INDEX(eq_use,MATCH(B152,eq_code,0))),0)</f>
        <v>0.0</v>
      </c>
      <c r="X152" s="67" t="str">
        <f>IF(AND(ISNUMBER(S152),W152&gt;0),p_today+MAX(0,ROUNDUP(S152*7/W152,0)),"")</f>
        <v/>
      </c>
      <c r="Y152" s="67" t="str">
        <f>IF(AND(ISNUMBER(T152),OR(U152="En retard",U152="Bientôt",U152="À jour")),IF(AND(ISNUMBER(O152),ISNUMBER(X152)),MIN(F152,G152*7/W152),IF(ISNUMBER(O152),F152,G152*7/W152)),"")</f>
        <v/>
      </c>
      <c r="Z152" s="67" t="str">
        <f>IF(OR(U152="En retard",U152="Bientôt"),IF(U152="En retard",0,1)*1000000000+IF(AB152="A",0,IF(AB152="B",1,IF(AB152="C",2,3)))*100000000+IF(ISNUMBER(T152),T152,p_today)*1000+ROW()-5,"")</f>
        <v/>
      </c>
      <c r="AA152" s="67" t="str">
        <f>IF(Z152="","",COUNTIF($Z$6:$Z$505,"&lt;"&amp;Z152)+1)</f>
        <v/>
      </c>
      <c r="AB152" s="67" t="str">
        <f>IFERROR(INDEX(eq_crit,MATCH(B152,eq_code,0))&amp;"","")</f>
        <v/>
      </c>
    </row>
    <row r="153">
      <c r="A153" s="65" t="n"/>
      <c r="B153" s="66" t="n"/>
      <c r="C153" s="67" t="str">
        <f>IF(B153="","",IFERROR(INDEX(eq_des,MATCH(B153,eq_code,0))&amp;"","Équipement inconnu"))</f>
        <v/>
      </c>
      <c r="D153" s="66" t="n"/>
      <c r="E153" s="68" t="n"/>
      <c r="F153" s="69" t="n"/>
      <c r="G153" s="70" t="n"/>
      <c r="H153" s="71" t="n"/>
      <c r="I153" s="66" t="n"/>
      <c r="J153" s="72" t="n"/>
      <c r="K153" s="73" t="n"/>
      <c r="L153" s="68" t="n"/>
      <c r="M153" s="74" t="str">
        <f>IF(AND(A153="",B153="",D153=""),"",MAX(N(J153),IF(A153="",0,SUMPRODUCT(MAX((in_plan=A153)*in_prev*in_dnum)))))</f>
        <v/>
      </c>
      <c r="N153" s="75" t="str">
        <f>IF(AND(A153="",B153="",D153=""),"",MAX(N(K153),IF(A153="",0,SUMPRODUCT(MAX((in_plan=A153)*in_prev*in_cnum)))))</f>
        <v/>
      </c>
      <c r="O153" s="76" t="str">
        <f>IF(AND(OR(E153="Calendrier",E153="Au premier des deux"),N(F153)&gt;0,IF(N(M153)&gt;0,M153,IFERROR(N(INDEX(eq_start,MATCH(B153,eq_code,0))),0))&gt;0),IF(N(M153)&gt;0,M153,IFERROR(N(INDEX(eq_start,MATCH(B153,eq_code,0))),0))+F153,"")</f>
        <v/>
      </c>
      <c r="P153" s="75" t="str">
        <f>IF(AND(OR(E153="Compteur",E153="Au premier des deux"),N(G153)&gt;0),N(N153)+G153,"")</f>
        <v/>
      </c>
      <c r="Q153" s="75" t="str">
        <f>IF(B153="","",IFERROR(N(INDEX(eq_cnt,MATCH(B153,eq_code,0))),""))</f>
        <v/>
      </c>
      <c r="R153" s="77" t="str">
        <f>IF(ISNUMBER(O153),O153-p_today,"")</f>
        <v/>
      </c>
      <c r="S153" s="78" t="str">
        <f>IF(AND(ISNUMBER(P153),N(Q153)&gt;0),P153-Q153,"")</f>
        <v/>
      </c>
      <c r="T153" s="76" t="str">
        <f>IF(AND(ISNUMBER(O153),ISNUMBER(X153)),MIN(O153,X153),IF(ISNUMBER(O153),O153,X153))</f>
        <v/>
      </c>
      <c r="U153" s="79" t="str">
        <f>IF(AND(A153="",B153="",D153=""),"",IF(L153="Non","Inactif",IF(AND(NOT(ISNUMBER(R153)),NOT(ISNUMBER(S153))),"À compléter",IF(OR(AND(ISNUMBER(R153),N(R153)&lt;0),AND(ISNUMBER(S153),N(S153)&lt;0)),"En retard",IF(OR(AND(ISNUMBER(R153),N(R153)&lt;=p_soon),AND(ISNUMBER(S153),N(S153)&lt;=p_soon_pct*N(G153))),"Bientôt","À jour")))))</f>
        <v/>
      </c>
      <c r="V153" s="79" t="str">
        <f>IF(AND(A153="",B153="",D153=""),"",IF(A153="","N° de plan manquant",IF(COUNTIF($A$6:$A$505,A153)&gt;1,"N° de plan en double",IF(B153="","Équipement manquant",IF(ISNA(MATCH(B153,eq_code,0)),"Équipement inconnu",IF(D153="","Tâche manquante",IF(E153="","Déclenchement manquant",IF(AND(E153&lt;&gt;"Calendrier",E153&lt;&gt;"Compteur",E153&lt;&gt;"Au premier des deux"),"Déclenchement inconnu",IF(AND(E153&lt;&gt;"Compteur",OR(NOT(ISNUMBER(F153)),N(F153)&lt;=0)),"Périodicité en jours manquante",IF(AND(E153&lt;&gt;"Calendrier",OR(NOT(ISNUMBER(G153)),N(G153)&lt;=0)),"Périodicité compteur manquante",IF(AND(J153&lt;&gt;"",OR(NOT(ISNUMBER(J153)),N(J153)&lt;=0)),"Date de réalisation invalide",IF(AND(K153&lt;&gt;"",OR(NOT(ISNUMBER(K153)),N(K153)&lt;0)),"Compteur de réalisation invalide",IF(AND(E153&lt;&gt;"Compteur",N(M153)=0,IFERROR(N(INDEX(eq_start,MATCH(B153,eq_code,0))),0)=0),"Date de départ manquante",IF(AND(E153&lt;&gt;"Calendrier",K153="",N(N153)=0),"Compteur de départ manquant",IF(AND(E153&lt;&gt;"Calendrier",N(Q153)=0),"Relevé compteur manquant (Équipements)",IF(AND(I153&lt;&gt;"",ISNA(MATCH(I153,tech_name,0))),"Technicien inconnu",IF(AND(L153&lt;&gt;"",L153&lt;&gt;"Oui",L153&lt;&gt;"Non"),"Actif : Oui ou Non","OK")))))))))))))))))</f>
        <v/>
      </c>
      <c r="W153" s="67">
        <f>IFERROR(N(INDEX(eq_use,MATCH(B153,eq_code,0))),0)</f>
        <v>0.0</v>
      </c>
      <c r="X153" s="67" t="str">
        <f>IF(AND(ISNUMBER(S153),W153&gt;0),p_today+MAX(0,ROUNDUP(S153*7/W153,0)),"")</f>
        <v/>
      </c>
      <c r="Y153" s="67" t="str">
        <f>IF(AND(ISNUMBER(T153),OR(U153="En retard",U153="Bientôt",U153="À jour")),IF(AND(ISNUMBER(O153),ISNUMBER(X153)),MIN(F153,G153*7/W153),IF(ISNUMBER(O153),F153,G153*7/W153)),"")</f>
        <v/>
      </c>
      <c r="Z153" s="67" t="str">
        <f>IF(OR(U153="En retard",U153="Bientôt"),IF(U153="En retard",0,1)*1000000000+IF(AB153="A",0,IF(AB153="B",1,IF(AB153="C",2,3)))*100000000+IF(ISNUMBER(T153),T153,p_today)*1000+ROW()-5,"")</f>
        <v/>
      </c>
      <c r="AA153" s="67" t="str">
        <f>IF(Z153="","",COUNTIF($Z$6:$Z$505,"&lt;"&amp;Z153)+1)</f>
        <v/>
      </c>
      <c r="AB153" s="67" t="str">
        <f>IFERROR(INDEX(eq_crit,MATCH(B153,eq_code,0))&amp;"","")</f>
        <v/>
      </c>
    </row>
    <row r="154">
      <c r="A154" s="65" t="n"/>
      <c r="B154" s="66" t="n"/>
      <c r="C154" s="67" t="str">
        <f>IF(B154="","",IFERROR(INDEX(eq_des,MATCH(B154,eq_code,0))&amp;"","Équipement inconnu"))</f>
        <v/>
      </c>
      <c r="D154" s="66" t="n"/>
      <c r="E154" s="68" t="n"/>
      <c r="F154" s="69" t="n"/>
      <c r="G154" s="70" t="n"/>
      <c r="H154" s="71" t="n"/>
      <c r="I154" s="66" t="n"/>
      <c r="J154" s="72" t="n"/>
      <c r="K154" s="73" t="n"/>
      <c r="L154" s="68" t="n"/>
      <c r="M154" s="74" t="str">
        <f>IF(AND(A154="",B154="",D154=""),"",MAX(N(J154),IF(A154="",0,SUMPRODUCT(MAX((in_plan=A154)*in_prev*in_dnum)))))</f>
        <v/>
      </c>
      <c r="N154" s="75" t="str">
        <f>IF(AND(A154="",B154="",D154=""),"",MAX(N(K154),IF(A154="",0,SUMPRODUCT(MAX((in_plan=A154)*in_prev*in_cnum)))))</f>
        <v/>
      </c>
      <c r="O154" s="76" t="str">
        <f>IF(AND(OR(E154="Calendrier",E154="Au premier des deux"),N(F154)&gt;0,IF(N(M154)&gt;0,M154,IFERROR(N(INDEX(eq_start,MATCH(B154,eq_code,0))),0))&gt;0),IF(N(M154)&gt;0,M154,IFERROR(N(INDEX(eq_start,MATCH(B154,eq_code,0))),0))+F154,"")</f>
        <v/>
      </c>
      <c r="P154" s="75" t="str">
        <f>IF(AND(OR(E154="Compteur",E154="Au premier des deux"),N(G154)&gt;0),N(N154)+G154,"")</f>
        <v/>
      </c>
      <c r="Q154" s="75" t="str">
        <f>IF(B154="","",IFERROR(N(INDEX(eq_cnt,MATCH(B154,eq_code,0))),""))</f>
        <v/>
      </c>
      <c r="R154" s="77" t="str">
        <f>IF(ISNUMBER(O154),O154-p_today,"")</f>
        <v/>
      </c>
      <c r="S154" s="78" t="str">
        <f>IF(AND(ISNUMBER(P154),N(Q154)&gt;0),P154-Q154,"")</f>
        <v/>
      </c>
      <c r="T154" s="76" t="str">
        <f>IF(AND(ISNUMBER(O154),ISNUMBER(X154)),MIN(O154,X154),IF(ISNUMBER(O154),O154,X154))</f>
        <v/>
      </c>
      <c r="U154" s="79" t="str">
        <f>IF(AND(A154="",B154="",D154=""),"",IF(L154="Non","Inactif",IF(AND(NOT(ISNUMBER(R154)),NOT(ISNUMBER(S154))),"À compléter",IF(OR(AND(ISNUMBER(R154),N(R154)&lt;0),AND(ISNUMBER(S154),N(S154)&lt;0)),"En retard",IF(OR(AND(ISNUMBER(R154),N(R154)&lt;=p_soon),AND(ISNUMBER(S154),N(S154)&lt;=p_soon_pct*N(G154))),"Bientôt","À jour")))))</f>
        <v/>
      </c>
      <c r="V154" s="79" t="str">
        <f>IF(AND(A154="",B154="",D154=""),"",IF(A154="","N° de plan manquant",IF(COUNTIF($A$6:$A$505,A154)&gt;1,"N° de plan en double",IF(B154="","Équipement manquant",IF(ISNA(MATCH(B154,eq_code,0)),"Équipement inconnu",IF(D154="","Tâche manquante",IF(E154="","Déclenchement manquant",IF(AND(E154&lt;&gt;"Calendrier",E154&lt;&gt;"Compteur",E154&lt;&gt;"Au premier des deux"),"Déclenchement inconnu",IF(AND(E154&lt;&gt;"Compteur",OR(NOT(ISNUMBER(F154)),N(F154)&lt;=0)),"Périodicité en jours manquante",IF(AND(E154&lt;&gt;"Calendrier",OR(NOT(ISNUMBER(G154)),N(G154)&lt;=0)),"Périodicité compteur manquante",IF(AND(J154&lt;&gt;"",OR(NOT(ISNUMBER(J154)),N(J154)&lt;=0)),"Date de réalisation invalide",IF(AND(K154&lt;&gt;"",OR(NOT(ISNUMBER(K154)),N(K154)&lt;0)),"Compteur de réalisation invalide",IF(AND(E154&lt;&gt;"Compteur",N(M154)=0,IFERROR(N(INDEX(eq_start,MATCH(B154,eq_code,0))),0)=0),"Date de départ manquante",IF(AND(E154&lt;&gt;"Calendrier",K154="",N(N154)=0),"Compteur de départ manquant",IF(AND(E154&lt;&gt;"Calendrier",N(Q154)=0),"Relevé compteur manquant (Équipements)",IF(AND(I154&lt;&gt;"",ISNA(MATCH(I154,tech_name,0))),"Technicien inconnu",IF(AND(L154&lt;&gt;"",L154&lt;&gt;"Oui",L154&lt;&gt;"Non"),"Actif : Oui ou Non","OK")))))))))))))))))</f>
        <v/>
      </c>
      <c r="W154" s="67">
        <f>IFERROR(N(INDEX(eq_use,MATCH(B154,eq_code,0))),0)</f>
        <v>0.0</v>
      </c>
      <c r="X154" s="67" t="str">
        <f>IF(AND(ISNUMBER(S154),W154&gt;0),p_today+MAX(0,ROUNDUP(S154*7/W154,0)),"")</f>
        <v/>
      </c>
      <c r="Y154" s="67" t="str">
        <f>IF(AND(ISNUMBER(T154),OR(U154="En retard",U154="Bientôt",U154="À jour")),IF(AND(ISNUMBER(O154),ISNUMBER(X154)),MIN(F154,G154*7/W154),IF(ISNUMBER(O154),F154,G154*7/W154)),"")</f>
        <v/>
      </c>
      <c r="Z154" s="67" t="str">
        <f>IF(OR(U154="En retard",U154="Bientôt"),IF(U154="En retard",0,1)*1000000000+IF(AB154="A",0,IF(AB154="B",1,IF(AB154="C",2,3)))*100000000+IF(ISNUMBER(T154),T154,p_today)*1000+ROW()-5,"")</f>
        <v/>
      </c>
      <c r="AA154" s="67" t="str">
        <f>IF(Z154="","",COUNTIF($Z$6:$Z$505,"&lt;"&amp;Z154)+1)</f>
        <v/>
      </c>
      <c r="AB154" s="67" t="str">
        <f>IFERROR(INDEX(eq_crit,MATCH(B154,eq_code,0))&amp;"","")</f>
        <v/>
      </c>
    </row>
    <row r="155">
      <c r="A155" s="65" t="n"/>
      <c r="B155" s="66" t="n"/>
      <c r="C155" s="67" t="str">
        <f>IF(B155="","",IFERROR(INDEX(eq_des,MATCH(B155,eq_code,0))&amp;"","Équipement inconnu"))</f>
        <v/>
      </c>
      <c r="D155" s="66" t="n"/>
      <c r="E155" s="68" t="n"/>
      <c r="F155" s="69" t="n"/>
      <c r="G155" s="70" t="n"/>
      <c r="H155" s="71" t="n"/>
      <c r="I155" s="66" t="n"/>
      <c r="J155" s="72" t="n"/>
      <c r="K155" s="73" t="n"/>
      <c r="L155" s="68" t="n"/>
      <c r="M155" s="74" t="str">
        <f>IF(AND(A155="",B155="",D155=""),"",MAX(N(J155),IF(A155="",0,SUMPRODUCT(MAX((in_plan=A155)*in_prev*in_dnum)))))</f>
        <v/>
      </c>
      <c r="N155" s="75" t="str">
        <f>IF(AND(A155="",B155="",D155=""),"",MAX(N(K155),IF(A155="",0,SUMPRODUCT(MAX((in_plan=A155)*in_prev*in_cnum)))))</f>
        <v/>
      </c>
      <c r="O155" s="76" t="str">
        <f>IF(AND(OR(E155="Calendrier",E155="Au premier des deux"),N(F155)&gt;0,IF(N(M155)&gt;0,M155,IFERROR(N(INDEX(eq_start,MATCH(B155,eq_code,0))),0))&gt;0),IF(N(M155)&gt;0,M155,IFERROR(N(INDEX(eq_start,MATCH(B155,eq_code,0))),0))+F155,"")</f>
        <v/>
      </c>
      <c r="P155" s="75" t="str">
        <f>IF(AND(OR(E155="Compteur",E155="Au premier des deux"),N(G155)&gt;0),N(N155)+G155,"")</f>
        <v/>
      </c>
      <c r="Q155" s="75" t="str">
        <f>IF(B155="","",IFERROR(N(INDEX(eq_cnt,MATCH(B155,eq_code,0))),""))</f>
        <v/>
      </c>
      <c r="R155" s="77" t="str">
        <f>IF(ISNUMBER(O155),O155-p_today,"")</f>
        <v/>
      </c>
      <c r="S155" s="78" t="str">
        <f>IF(AND(ISNUMBER(P155),N(Q155)&gt;0),P155-Q155,"")</f>
        <v/>
      </c>
      <c r="T155" s="76" t="str">
        <f>IF(AND(ISNUMBER(O155),ISNUMBER(X155)),MIN(O155,X155),IF(ISNUMBER(O155),O155,X155))</f>
        <v/>
      </c>
      <c r="U155" s="79" t="str">
        <f>IF(AND(A155="",B155="",D155=""),"",IF(L155="Non","Inactif",IF(AND(NOT(ISNUMBER(R155)),NOT(ISNUMBER(S155))),"À compléter",IF(OR(AND(ISNUMBER(R155),N(R155)&lt;0),AND(ISNUMBER(S155),N(S155)&lt;0)),"En retard",IF(OR(AND(ISNUMBER(R155),N(R155)&lt;=p_soon),AND(ISNUMBER(S155),N(S155)&lt;=p_soon_pct*N(G155))),"Bientôt","À jour")))))</f>
        <v/>
      </c>
      <c r="V155" s="79" t="str">
        <f>IF(AND(A155="",B155="",D155=""),"",IF(A155="","N° de plan manquant",IF(COUNTIF($A$6:$A$505,A155)&gt;1,"N° de plan en double",IF(B155="","Équipement manquant",IF(ISNA(MATCH(B155,eq_code,0)),"Équipement inconnu",IF(D155="","Tâche manquante",IF(E155="","Déclenchement manquant",IF(AND(E155&lt;&gt;"Calendrier",E155&lt;&gt;"Compteur",E155&lt;&gt;"Au premier des deux"),"Déclenchement inconnu",IF(AND(E155&lt;&gt;"Compteur",OR(NOT(ISNUMBER(F155)),N(F155)&lt;=0)),"Périodicité en jours manquante",IF(AND(E155&lt;&gt;"Calendrier",OR(NOT(ISNUMBER(G155)),N(G155)&lt;=0)),"Périodicité compteur manquante",IF(AND(J155&lt;&gt;"",OR(NOT(ISNUMBER(J155)),N(J155)&lt;=0)),"Date de réalisation invalide",IF(AND(K155&lt;&gt;"",OR(NOT(ISNUMBER(K155)),N(K155)&lt;0)),"Compteur de réalisation invalide",IF(AND(E155&lt;&gt;"Compteur",N(M155)=0,IFERROR(N(INDEX(eq_start,MATCH(B155,eq_code,0))),0)=0),"Date de départ manquante",IF(AND(E155&lt;&gt;"Calendrier",K155="",N(N155)=0),"Compteur de départ manquant",IF(AND(E155&lt;&gt;"Calendrier",N(Q155)=0),"Relevé compteur manquant (Équipements)",IF(AND(I155&lt;&gt;"",ISNA(MATCH(I155,tech_name,0))),"Technicien inconnu",IF(AND(L155&lt;&gt;"",L155&lt;&gt;"Oui",L155&lt;&gt;"Non"),"Actif : Oui ou Non","OK")))))))))))))))))</f>
        <v/>
      </c>
      <c r="W155" s="67">
        <f>IFERROR(N(INDEX(eq_use,MATCH(B155,eq_code,0))),0)</f>
        <v>0.0</v>
      </c>
      <c r="X155" s="67" t="str">
        <f>IF(AND(ISNUMBER(S155),W155&gt;0),p_today+MAX(0,ROUNDUP(S155*7/W155,0)),"")</f>
        <v/>
      </c>
      <c r="Y155" s="67" t="str">
        <f>IF(AND(ISNUMBER(T155),OR(U155="En retard",U155="Bientôt",U155="À jour")),IF(AND(ISNUMBER(O155),ISNUMBER(X155)),MIN(F155,G155*7/W155),IF(ISNUMBER(O155),F155,G155*7/W155)),"")</f>
        <v/>
      </c>
      <c r="Z155" s="67" t="str">
        <f>IF(OR(U155="En retard",U155="Bientôt"),IF(U155="En retard",0,1)*1000000000+IF(AB155="A",0,IF(AB155="B",1,IF(AB155="C",2,3)))*100000000+IF(ISNUMBER(T155),T155,p_today)*1000+ROW()-5,"")</f>
        <v/>
      </c>
      <c r="AA155" s="67" t="str">
        <f>IF(Z155="","",COUNTIF($Z$6:$Z$505,"&lt;"&amp;Z155)+1)</f>
        <v/>
      </c>
      <c r="AB155" s="67" t="str">
        <f>IFERROR(INDEX(eq_crit,MATCH(B155,eq_code,0))&amp;"","")</f>
        <v/>
      </c>
    </row>
    <row r="156">
      <c r="A156" s="65" t="n"/>
      <c r="B156" s="66" t="n"/>
      <c r="C156" s="67" t="str">
        <f>IF(B156="","",IFERROR(INDEX(eq_des,MATCH(B156,eq_code,0))&amp;"","Équipement inconnu"))</f>
        <v/>
      </c>
      <c r="D156" s="66" t="n"/>
      <c r="E156" s="68" t="n"/>
      <c r="F156" s="69" t="n"/>
      <c r="G156" s="70" t="n"/>
      <c r="H156" s="71" t="n"/>
      <c r="I156" s="66" t="n"/>
      <c r="J156" s="72" t="n"/>
      <c r="K156" s="73" t="n"/>
      <c r="L156" s="68" t="n"/>
      <c r="M156" s="74" t="str">
        <f>IF(AND(A156="",B156="",D156=""),"",MAX(N(J156),IF(A156="",0,SUMPRODUCT(MAX((in_plan=A156)*in_prev*in_dnum)))))</f>
        <v/>
      </c>
      <c r="N156" s="75" t="str">
        <f>IF(AND(A156="",B156="",D156=""),"",MAX(N(K156),IF(A156="",0,SUMPRODUCT(MAX((in_plan=A156)*in_prev*in_cnum)))))</f>
        <v/>
      </c>
      <c r="O156" s="76" t="str">
        <f>IF(AND(OR(E156="Calendrier",E156="Au premier des deux"),N(F156)&gt;0,IF(N(M156)&gt;0,M156,IFERROR(N(INDEX(eq_start,MATCH(B156,eq_code,0))),0))&gt;0),IF(N(M156)&gt;0,M156,IFERROR(N(INDEX(eq_start,MATCH(B156,eq_code,0))),0))+F156,"")</f>
        <v/>
      </c>
      <c r="P156" s="75" t="str">
        <f>IF(AND(OR(E156="Compteur",E156="Au premier des deux"),N(G156)&gt;0),N(N156)+G156,"")</f>
        <v/>
      </c>
      <c r="Q156" s="75" t="str">
        <f>IF(B156="","",IFERROR(N(INDEX(eq_cnt,MATCH(B156,eq_code,0))),""))</f>
        <v/>
      </c>
      <c r="R156" s="77" t="str">
        <f>IF(ISNUMBER(O156),O156-p_today,"")</f>
        <v/>
      </c>
      <c r="S156" s="78" t="str">
        <f>IF(AND(ISNUMBER(P156),N(Q156)&gt;0),P156-Q156,"")</f>
        <v/>
      </c>
      <c r="T156" s="76" t="str">
        <f>IF(AND(ISNUMBER(O156),ISNUMBER(X156)),MIN(O156,X156),IF(ISNUMBER(O156),O156,X156))</f>
        <v/>
      </c>
      <c r="U156" s="79" t="str">
        <f>IF(AND(A156="",B156="",D156=""),"",IF(L156="Non","Inactif",IF(AND(NOT(ISNUMBER(R156)),NOT(ISNUMBER(S156))),"À compléter",IF(OR(AND(ISNUMBER(R156),N(R156)&lt;0),AND(ISNUMBER(S156),N(S156)&lt;0)),"En retard",IF(OR(AND(ISNUMBER(R156),N(R156)&lt;=p_soon),AND(ISNUMBER(S156),N(S156)&lt;=p_soon_pct*N(G156))),"Bientôt","À jour")))))</f>
        <v/>
      </c>
      <c r="V156" s="79" t="str">
        <f>IF(AND(A156="",B156="",D156=""),"",IF(A156="","N° de plan manquant",IF(COUNTIF($A$6:$A$505,A156)&gt;1,"N° de plan en double",IF(B156="","Équipement manquant",IF(ISNA(MATCH(B156,eq_code,0)),"Équipement inconnu",IF(D156="","Tâche manquante",IF(E156="","Déclenchement manquant",IF(AND(E156&lt;&gt;"Calendrier",E156&lt;&gt;"Compteur",E156&lt;&gt;"Au premier des deux"),"Déclenchement inconnu",IF(AND(E156&lt;&gt;"Compteur",OR(NOT(ISNUMBER(F156)),N(F156)&lt;=0)),"Périodicité en jours manquante",IF(AND(E156&lt;&gt;"Calendrier",OR(NOT(ISNUMBER(G156)),N(G156)&lt;=0)),"Périodicité compteur manquante",IF(AND(J156&lt;&gt;"",OR(NOT(ISNUMBER(J156)),N(J156)&lt;=0)),"Date de réalisation invalide",IF(AND(K156&lt;&gt;"",OR(NOT(ISNUMBER(K156)),N(K156)&lt;0)),"Compteur de réalisation invalide",IF(AND(E156&lt;&gt;"Compteur",N(M156)=0,IFERROR(N(INDEX(eq_start,MATCH(B156,eq_code,0))),0)=0),"Date de départ manquante",IF(AND(E156&lt;&gt;"Calendrier",K156="",N(N156)=0),"Compteur de départ manquant",IF(AND(E156&lt;&gt;"Calendrier",N(Q156)=0),"Relevé compteur manquant (Équipements)",IF(AND(I156&lt;&gt;"",ISNA(MATCH(I156,tech_name,0))),"Technicien inconnu",IF(AND(L156&lt;&gt;"",L156&lt;&gt;"Oui",L156&lt;&gt;"Non"),"Actif : Oui ou Non","OK")))))))))))))))))</f>
        <v/>
      </c>
      <c r="W156" s="67">
        <f>IFERROR(N(INDEX(eq_use,MATCH(B156,eq_code,0))),0)</f>
        <v>0.0</v>
      </c>
      <c r="X156" s="67" t="str">
        <f>IF(AND(ISNUMBER(S156),W156&gt;0),p_today+MAX(0,ROUNDUP(S156*7/W156,0)),"")</f>
        <v/>
      </c>
      <c r="Y156" s="67" t="str">
        <f>IF(AND(ISNUMBER(T156),OR(U156="En retard",U156="Bientôt",U156="À jour")),IF(AND(ISNUMBER(O156),ISNUMBER(X156)),MIN(F156,G156*7/W156),IF(ISNUMBER(O156),F156,G156*7/W156)),"")</f>
        <v/>
      </c>
      <c r="Z156" s="67" t="str">
        <f>IF(OR(U156="En retard",U156="Bientôt"),IF(U156="En retard",0,1)*1000000000+IF(AB156="A",0,IF(AB156="B",1,IF(AB156="C",2,3)))*100000000+IF(ISNUMBER(T156),T156,p_today)*1000+ROW()-5,"")</f>
        <v/>
      </c>
      <c r="AA156" s="67" t="str">
        <f>IF(Z156="","",COUNTIF($Z$6:$Z$505,"&lt;"&amp;Z156)+1)</f>
        <v/>
      </c>
      <c r="AB156" s="67" t="str">
        <f>IFERROR(INDEX(eq_crit,MATCH(B156,eq_code,0))&amp;"","")</f>
        <v/>
      </c>
    </row>
    <row r="157">
      <c r="A157" s="65" t="n"/>
      <c r="B157" s="66" t="n"/>
      <c r="C157" s="67" t="str">
        <f>IF(B157="","",IFERROR(INDEX(eq_des,MATCH(B157,eq_code,0))&amp;"","Équipement inconnu"))</f>
        <v/>
      </c>
      <c r="D157" s="66" t="n"/>
      <c r="E157" s="68" t="n"/>
      <c r="F157" s="69" t="n"/>
      <c r="G157" s="70" t="n"/>
      <c r="H157" s="71" t="n"/>
      <c r="I157" s="66" t="n"/>
      <c r="J157" s="72" t="n"/>
      <c r="K157" s="73" t="n"/>
      <c r="L157" s="68" t="n"/>
      <c r="M157" s="74" t="str">
        <f>IF(AND(A157="",B157="",D157=""),"",MAX(N(J157),IF(A157="",0,SUMPRODUCT(MAX((in_plan=A157)*in_prev*in_dnum)))))</f>
        <v/>
      </c>
      <c r="N157" s="75" t="str">
        <f>IF(AND(A157="",B157="",D157=""),"",MAX(N(K157),IF(A157="",0,SUMPRODUCT(MAX((in_plan=A157)*in_prev*in_cnum)))))</f>
        <v/>
      </c>
      <c r="O157" s="76" t="str">
        <f>IF(AND(OR(E157="Calendrier",E157="Au premier des deux"),N(F157)&gt;0,IF(N(M157)&gt;0,M157,IFERROR(N(INDEX(eq_start,MATCH(B157,eq_code,0))),0))&gt;0),IF(N(M157)&gt;0,M157,IFERROR(N(INDEX(eq_start,MATCH(B157,eq_code,0))),0))+F157,"")</f>
        <v/>
      </c>
      <c r="P157" s="75" t="str">
        <f>IF(AND(OR(E157="Compteur",E157="Au premier des deux"),N(G157)&gt;0),N(N157)+G157,"")</f>
        <v/>
      </c>
      <c r="Q157" s="75" t="str">
        <f>IF(B157="","",IFERROR(N(INDEX(eq_cnt,MATCH(B157,eq_code,0))),""))</f>
        <v/>
      </c>
      <c r="R157" s="77" t="str">
        <f>IF(ISNUMBER(O157),O157-p_today,"")</f>
        <v/>
      </c>
      <c r="S157" s="78" t="str">
        <f>IF(AND(ISNUMBER(P157),N(Q157)&gt;0),P157-Q157,"")</f>
        <v/>
      </c>
      <c r="T157" s="76" t="str">
        <f>IF(AND(ISNUMBER(O157),ISNUMBER(X157)),MIN(O157,X157),IF(ISNUMBER(O157),O157,X157))</f>
        <v/>
      </c>
      <c r="U157" s="79" t="str">
        <f>IF(AND(A157="",B157="",D157=""),"",IF(L157="Non","Inactif",IF(AND(NOT(ISNUMBER(R157)),NOT(ISNUMBER(S157))),"À compléter",IF(OR(AND(ISNUMBER(R157),N(R157)&lt;0),AND(ISNUMBER(S157),N(S157)&lt;0)),"En retard",IF(OR(AND(ISNUMBER(R157),N(R157)&lt;=p_soon),AND(ISNUMBER(S157),N(S157)&lt;=p_soon_pct*N(G157))),"Bientôt","À jour")))))</f>
        <v/>
      </c>
      <c r="V157" s="79" t="str">
        <f>IF(AND(A157="",B157="",D157=""),"",IF(A157="","N° de plan manquant",IF(COUNTIF($A$6:$A$505,A157)&gt;1,"N° de plan en double",IF(B157="","Équipement manquant",IF(ISNA(MATCH(B157,eq_code,0)),"Équipement inconnu",IF(D157="","Tâche manquante",IF(E157="","Déclenchement manquant",IF(AND(E157&lt;&gt;"Calendrier",E157&lt;&gt;"Compteur",E157&lt;&gt;"Au premier des deux"),"Déclenchement inconnu",IF(AND(E157&lt;&gt;"Compteur",OR(NOT(ISNUMBER(F157)),N(F157)&lt;=0)),"Périodicité en jours manquante",IF(AND(E157&lt;&gt;"Calendrier",OR(NOT(ISNUMBER(G157)),N(G157)&lt;=0)),"Périodicité compteur manquante",IF(AND(J157&lt;&gt;"",OR(NOT(ISNUMBER(J157)),N(J157)&lt;=0)),"Date de réalisation invalide",IF(AND(K157&lt;&gt;"",OR(NOT(ISNUMBER(K157)),N(K157)&lt;0)),"Compteur de réalisation invalide",IF(AND(E157&lt;&gt;"Compteur",N(M157)=0,IFERROR(N(INDEX(eq_start,MATCH(B157,eq_code,0))),0)=0),"Date de départ manquante",IF(AND(E157&lt;&gt;"Calendrier",K157="",N(N157)=0),"Compteur de départ manquant",IF(AND(E157&lt;&gt;"Calendrier",N(Q157)=0),"Relevé compteur manquant (Équipements)",IF(AND(I157&lt;&gt;"",ISNA(MATCH(I157,tech_name,0))),"Technicien inconnu",IF(AND(L157&lt;&gt;"",L157&lt;&gt;"Oui",L157&lt;&gt;"Non"),"Actif : Oui ou Non","OK")))))))))))))))))</f>
        <v/>
      </c>
      <c r="W157" s="67">
        <f>IFERROR(N(INDEX(eq_use,MATCH(B157,eq_code,0))),0)</f>
        <v>0.0</v>
      </c>
      <c r="X157" s="67" t="str">
        <f>IF(AND(ISNUMBER(S157),W157&gt;0),p_today+MAX(0,ROUNDUP(S157*7/W157,0)),"")</f>
        <v/>
      </c>
      <c r="Y157" s="67" t="str">
        <f>IF(AND(ISNUMBER(T157),OR(U157="En retard",U157="Bientôt",U157="À jour")),IF(AND(ISNUMBER(O157),ISNUMBER(X157)),MIN(F157,G157*7/W157),IF(ISNUMBER(O157),F157,G157*7/W157)),"")</f>
        <v/>
      </c>
      <c r="Z157" s="67" t="str">
        <f>IF(OR(U157="En retard",U157="Bientôt"),IF(U157="En retard",0,1)*1000000000+IF(AB157="A",0,IF(AB157="B",1,IF(AB157="C",2,3)))*100000000+IF(ISNUMBER(T157),T157,p_today)*1000+ROW()-5,"")</f>
        <v/>
      </c>
      <c r="AA157" s="67" t="str">
        <f>IF(Z157="","",COUNTIF($Z$6:$Z$505,"&lt;"&amp;Z157)+1)</f>
        <v/>
      </c>
      <c r="AB157" s="67" t="str">
        <f>IFERROR(INDEX(eq_crit,MATCH(B157,eq_code,0))&amp;"","")</f>
        <v/>
      </c>
    </row>
    <row r="158">
      <c r="A158" s="65" t="n"/>
      <c r="B158" s="66" t="n"/>
      <c r="C158" s="67" t="str">
        <f>IF(B158="","",IFERROR(INDEX(eq_des,MATCH(B158,eq_code,0))&amp;"","Équipement inconnu"))</f>
        <v/>
      </c>
      <c r="D158" s="66" t="n"/>
      <c r="E158" s="68" t="n"/>
      <c r="F158" s="69" t="n"/>
      <c r="G158" s="70" t="n"/>
      <c r="H158" s="71" t="n"/>
      <c r="I158" s="66" t="n"/>
      <c r="J158" s="72" t="n"/>
      <c r="K158" s="73" t="n"/>
      <c r="L158" s="68" t="n"/>
      <c r="M158" s="74" t="str">
        <f>IF(AND(A158="",B158="",D158=""),"",MAX(N(J158),IF(A158="",0,SUMPRODUCT(MAX((in_plan=A158)*in_prev*in_dnum)))))</f>
        <v/>
      </c>
      <c r="N158" s="75" t="str">
        <f>IF(AND(A158="",B158="",D158=""),"",MAX(N(K158),IF(A158="",0,SUMPRODUCT(MAX((in_plan=A158)*in_prev*in_cnum)))))</f>
        <v/>
      </c>
      <c r="O158" s="76" t="str">
        <f>IF(AND(OR(E158="Calendrier",E158="Au premier des deux"),N(F158)&gt;0,IF(N(M158)&gt;0,M158,IFERROR(N(INDEX(eq_start,MATCH(B158,eq_code,0))),0))&gt;0),IF(N(M158)&gt;0,M158,IFERROR(N(INDEX(eq_start,MATCH(B158,eq_code,0))),0))+F158,"")</f>
        <v/>
      </c>
      <c r="P158" s="75" t="str">
        <f>IF(AND(OR(E158="Compteur",E158="Au premier des deux"),N(G158)&gt;0),N(N158)+G158,"")</f>
        <v/>
      </c>
      <c r="Q158" s="75" t="str">
        <f>IF(B158="","",IFERROR(N(INDEX(eq_cnt,MATCH(B158,eq_code,0))),""))</f>
        <v/>
      </c>
      <c r="R158" s="77" t="str">
        <f>IF(ISNUMBER(O158),O158-p_today,"")</f>
        <v/>
      </c>
      <c r="S158" s="78" t="str">
        <f>IF(AND(ISNUMBER(P158),N(Q158)&gt;0),P158-Q158,"")</f>
        <v/>
      </c>
      <c r="T158" s="76" t="str">
        <f>IF(AND(ISNUMBER(O158),ISNUMBER(X158)),MIN(O158,X158),IF(ISNUMBER(O158),O158,X158))</f>
        <v/>
      </c>
      <c r="U158" s="79" t="str">
        <f>IF(AND(A158="",B158="",D158=""),"",IF(L158="Non","Inactif",IF(AND(NOT(ISNUMBER(R158)),NOT(ISNUMBER(S158))),"À compléter",IF(OR(AND(ISNUMBER(R158),N(R158)&lt;0),AND(ISNUMBER(S158),N(S158)&lt;0)),"En retard",IF(OR(AND(ISNUMBER(R158),N(R158)&lt;=p_soon),AND(ISNUMBER(S158),N(S158)&lt;=p_soon_pct*N(G158))),"Bientôt","À jour")))))</f>
        <v/>
      </c>
      <c r="V158" s="79" t="str">
        <f>IF(AND(A158="",B158="",D158=""),"",IF(A158="","N° de plan manquant",IF(COUNTIF($A$6:$A$505,A158)&gt;1,"N° de plan en double",IF(B158="","Équipement manquant",IF(ISNA(MATCH(B158,eq_code,0)),"Équipement inconnu",IF(D158="","Tâche manquante",IF(E158="","Déclenchement manquant",IF(AND(E158&lt;&gt;"Calendrier",E158&lt;&gt;"Compteur",E158&lt;&gt;"Au premier des deux"),"Déclenchement inconnu",IF(AND(E158&lt;&gt;"Compteur",OR(NOT(ISNUMBER(F158)),N(F158)&lt;=0)),"Périodicité en jours manquante",IF(AND(E158&lt;&gt;"Calendrier",OR(NOT(ISNUMBER(G158)),N(G158)&lt;=0)),"Périodicité compteur manquante",IF(AND(J158&lt;&gt;"",OR(NOT(ISNUMBER(J158)),N(J158)&lt;=0)),"Date de réalisation invalide",IF(AND(K158&lt;&gt;"",OR(NOT(ISNUMBER(K158)),N(K158)&lt;0)),"Compteur de réalisation invalide",IF(AND(E158&lt;&gt;"Compteur",N(M158)=0,IFERROR(N(INDEX(eq_start,MATCH(B158,eq_code,0))),0)=0),"Date de départ manquante",IF(AND(E158&lt;&gt;"Calendrier",K158="",N(N158)=0),"Compteur de départ manquant",IF(AND(E158&lt;&gt;"Calendrier",N(Q158)=0),"Relevé compteur manquant (Équipements)",IF(AND(I158&lt;&gt;"",ISNA(MATCH(I158,tech_name,0))),"Technicien inconnu",IF(AND(L158&lt;&gt;"",L158&lt;&gt;"Oui",L158&lt;&gt;"Non"),"Actif : Oui ou Non","OK")))))))))))))))))</f>
        <v/>
      </c>
      <c r="W158" s="67">
        <f>IFERROR(N(INDEX(eq_use,MATCH(B158,eq_code,0))),0)</f>
        <v>0.0</v>
      </c>
      <c r="X158" s="67" t="str">
        <f>IF(AND(ISNUMBER(S158),W158&gt;0),p_today+MAX(0,ROUNDUP(S158*7/W158,0)),"")</f>
        <v/>
      </c>
      <c r="Y158" s="67" t="str">
        <f>IF(AND(ISNUMBER(T158),OR(U158="En retard",U158="Bientôt",U158="À jour")),IF(AND(ISNUMBER(O158),ISNUMBER(X158)),MIN(F158,G158*7/W158),IF(ISNUMBER(O158),F158,G158*7/W158)),"")</f>
        <v/>
      </c>
      <c r="Z158" s="67" t="str">
        <f>IF(OR(U158="En retard",U158="Bientôt"),IF(U158="En retard",0,1)*1000000000+IF(AB158="A",0,IF(AB158="B",1,IF(AB158="C",2,3)))*100000000+IF(ISNUMBER(T158),T158,p_today)*1000+ROW()-5,"")</f>
        <v/>
      </c>
      <c r="AA158" s="67" t="str">
        <f>IF(Z158="","",COUNTIF($Z$6:$Z$505,"&lt;"&amp;Z158)+1)</f>
        <v/>
      </c>
      <c r="AB158" s="67" t="str">
        <f>IFERROR(INDEX(eq_crit,MATCH(B158,eq_code,0))&amp;"","")</f>
        <v/>
      </c>
    </row>
    <row r="159">
      <c r="A159" s="65" t="n"/>
      <c r="B159" s="66" t="n"/>
      <c r="C159" s="67" t="str">
        <f>IF(B159="","",IFERROR(INDEX(eq_des,MATCH(B159,eq_code,0))&amp;"","Équipement inconnu"))</f>
        <v/>
      </c>
      <c r="D159" s="66" t="n"/>
      <c r="E159" s="68" t="n"/>
      <c r="F159" s="69" t="n"/>
      <c r="G159" s="70" t="n"/>
      <c r="H159" s="71" t="n"/>
      <c r="I159" s="66" t="n"/>
      <c r="J159" s="72" t="n"/>
      <c r="K159" s="73" t="n"/>
      <c r="L159" s="68" t="n"/>
      <c r="M159" s="74" t="str">
        <f>IF(AND(A159="",B159="",D159=""),"",MAX(N(J159),IF(A159="",0,SUMPRODUCT(MAX((in_plan=A159)*in_prev*in_dnum)))))</f>
        <v/>
      </c>
      <c r="N159" s="75" t="str">
        <f>IF(AND(A159="",B159="",D159=""),"",MAX(N(K159),IF(A159="",0,SUMPRODUCT(MAX((in_plan=A159)*in_prev*in_cnum)))))</f>
        <v/>
      </c>
      <c r="O159" s="76" t="str">
        <f>IF(AND(OR(E159="Calendrier",E159="Au premier des deux"),N(F159)&gt;0,IF(N(M159)&gt;0,M159,IFERROR(N(INDEX(eq_start,MATCH(B159,eq_code,0))),0))&gt;0),IF(N(M159)&gt;0,M159,IFERROR(N(INDEX(eq_start,MATCH(B159,eq_code,0))),0))+F159,"")</f>
        <v/>
      </c>
      <c r="P159" s="75" t="str">
        <f>IF(AND(OR(E159="Compteur",E159="Au premier des deux"),N(G159)&gt;0),N(N159)+G159,"")</f>
        <v/>
      </c>
      <c r="Q159" s="75" t="str">
        <f>IF(B159="","",IFERROR(N(INDEX(eq_cnt,MATCH(B159,eq_code,0))),""))</f>
        <v/>
      </c>
      <c r="R159" s="77" t="str">
        <f>IF(ISNUMBER(O159),O159-p_today,"")</f>
        <v/>
      </c>
      <c r="S159" s="78" t="str">
        <f>IF(AND(ISNUMBER(P159),N(Q159)&gt;0),P159-Q159,"")</f>
        <v/>
      </c>
      <c r="T159" s="76" t="str">
        <f>IF(AND(ISNUMBER(O159),ISNUMBER(X159)),MIN(O159,X159),IF(ISNUMBER(O159),O159,X159))</f>
        <v/>
      </c>
      <c r="U159" s="79" t="str">
        <f>IF(AND(A159="",B159="",D159=""),"",IF(L159="Non","Inactif",IF(AND(NOT(ISNUMBER(R159)),NOT(ISNUMBER(S159))),"À compléter",IF(OR(AND(ISNUMBER(R159),N(R159)&lt;0),AND(ISNUMBER(S159),N(S159)&lt;0)),"En retard",IF(OR(AND(ISNUMBER(R159),N(R159)&lt;=p_soon),AND(ISNUMBER(S159),N(S159)&lt;=p_soon_pct*N(G159))),"Bientôt","À jour")))))</f>
        <v/>
      </c>
      <c r="V159" s="79" t="str">
        <f>IF(AND(A159="",B159="",D159=""),"",IF(A159="","N° de plan manquant",IF(COUNTIF($A$6:$A$505,A159)&gt;1,"N° de plan en double",IF(B159="","Équipement manquant",IF(ISNA(MATCH(B159,eq_code,0)),"Équipement inconnu",IF(D159="","Tâche manquante",IF(E159="","Déclenchement manquant",IF(AND(E159&lt;&gt;"Calendrier",E159&lt;&gt;"Compteur",E159&lt;&gt;"Au premier des deux"),"Déclenchement inconnu",IF(AND(E159&lt;&gt;"Compteur",OR(NOT(ISNUMBER(F159)),N(F159)&lt;=0)),"Périodicité en jours manquante",IF(AND(E159&lt;&gt;"Calendrier",OR(NOT(ISNUMBER(G159)),N(G159)&lt;=0)),"Périodicité compteur manquante",IF(AND(J159&lt;&gt;"",OR(NOT(ISNUMBER(J159)),N(J159)&lt;=0)),"Date de réalisation invalide",IF(AND(K159&lt;&gt;"",OR(NOT(ISNUMBER(K159)),N(K159)&lt;0)),"Compteur de réalisation invalide",IF(AND(E159&lt;&gt;"Compteur",N(M159)=0,IFERROR(N(INDEX(eq_start,MATCH(B159,eq_code,0))),0)=0),"Date de départ manquante",IF(AND(E159&lt;&gt;"Calendrier",K159="",N(N159)=0),"Compteur de départ manquant",IF(AND(E159&lt;&gt;"Calendrier",N(Q159)=0),"Relevé compteur manquant (Équipements)",IF(AND(I159&lt;&gt;"",ISNA(MATCH(I159,tech_name,0))),"Technicien inconnu",IF(AND(L159&lt;&gt;"",L159&lt;&gt;"Oui",L159&lt;&gt;"Non"),"Actif : Oui ou Non","OK")))))))))))))))))</f>
        <v/>
      </c>
      <c r="W159" s="67">
        <f>IFERROR(N(INDEX(eq_use,MATCH(B159,eq_code,0))),0)</f>
        <v>0.0</v>
      </c>
      <c r="X159" s="67" t="str">
        <f>IF(AND(ISNUMBER(S159),W159&gt;0),p_today+MAX(0,ROUNDUP(S159*7/W159,0)),"")</f>
        <v/>
      </c>
      <c r="Y159" s="67" t="str">
        <f>IF(AND(ISNUMBER(T159),OR(U159="En retard",U159="Bientôt",U159="À jour")),IF(AND(ISNUMBER(O159),ISNUMBER(X159)),MIN(F159,G159*7/W159),IF(ISNUMBER(O159),F159,G159*7/W159)),"")</f>
        <v/>
      </c>
      <c r="Z159" s="67" t="str">
        <f>IF(OR(U159="En retard",U159="Bientôt"),IF(U159="En retard",0,1)*1000000000+IF(AB159="A",0,IF(AB159="B",1,IF(AB159="C",2,3)))*100000000+IF(ISNUMBER(T159),T159,p_today)*1000+ROW()-5,"")</f>
        <v/>
      </c>
      <c r="AA159" s="67" t="str">
        <f>IF(Z159="","",COUNTIF($Z$6:$Z$505,"&lt;"&amp;Z159)+1)</f>
        <v/>
      </c>
      <c r="AB159" s="67" t="str">
        <f>IFERROR(INDEX(eq_crit,MATCH(B159,eq_code,0))&amp;"","")</f>
        <v/>
      </c>
    </row>
    <row r="160">
      <c r="A160" s="65" t="n"/>
      <c r="B160" s="66" t="n"/>
      <c r="C160" s="67" t="str">
        <f>IF(B160="","",IFERROR(INDEX(eq_des,MATCH(B160,eq_code,0))&amp;"","Équipement inconnu"))</f>
        <v/>
      </c>
      <c r="D160" s="66" t="n"/>
      <c r="E160" s="68" t="n"/>
      <c r="F160" s="69" t="n"/>
      <c r="G160" s="70" t="n"/>
      <c r="H160" s="71" t="n"/>
      <c r="I160" s="66" t="n"/>
      <c r="J160" s="72" t="n"/>
      <c r="K160" s="73" t="n"/>
      <c r="L160" s="68" t="n"/>
      <c r="M160" s="74" t="str">
        <f>IF(AND(A160="",B160="",D160=""),"",MAX(N(J160),IF(A160="",0,SUMPRODUCT(MAX((in_plan=A160)*in_prev*in_dnum)))))</f>
        <v/>
      </c>
      <c r="N160" s="75" t="str">
        <f>IF(AND(A160="",B160="",D160=""),"",MAX(N(K160),IF(A160="",0,SUMPRODUCT(MAX((in_plan=A160)*in_prev*in_cnum)))))</f>
        <v/>
      </c>
      <c r="O160" s="76" t="str">
        <f>IF(AND(OR(E160="Calendrier",E160="Au premier des deux"),N(F160)&gt;0,IF(N(M160)&gt;0,M160,IFERROR(N(INDEX(eq_start,MATCH(B160,eq_code,0))),0))&gt;0),IF(N(M160)&gt;0,M160,IFERROR(N(INDEX(eq_start,MATCH(B160,eq_code,0))),0))+F160,"")</f>
        <v/>
      </c>
      <c r="P160" s="75" t="str">
        <f>IF(AND(OR(E160="Compteur",E160="Au premier des deux"),N(G160)&gt;0),N(N160)+G160,"")</f>
        <v/>
      </c>
      <c r="Q160" s="75" t="str">
        <f>IF(B160="","",IFERROR(N(INDEX(eq_cnt,MATCH(B160,eq_code,0))),""))</f>
        <v/>
      </c>
      <c r="R160" s="77" t="str">
        <f>IF(ISNUMBER(O160),O160-p_today,"")</f>
        <v/>
      </c>
      <c r="S160" s="78" t="str">
        <f>IF(AND(ISNUMBER(P160),N(Q160)&gt;0),P160-Q160,"")</f>
        <v/>
      </c>
      <c r="T160" s="76" t="str">
        <f>IF(AND(ISNUMBER(O160),ISNUMBER(X160)),MIN(O160,X160),IF(ISNUMBER(O160),O160,X160))</f>
        <v/>
      </c>
      <c r="U160" s="79" t="str">
        <f>IF(AND(A160="",B160="",D160=""),"",IF(L160="Non","Inactif",IF(AND(NOT(ISNUMBER(R160)),NOT(ISNUMBER(S160))),"À compléter",IF(OR(AND(ISNUMBER(R160),N(R160)&lt;0),AND(ISNUMBER(S160),N(S160)&lt;0)),"En retard",IF(OR(AND(ISNUMBER(R160),N(R160)&lt;=p_soon),AND(ISNUMBER(S160),N(S160)&lt;=p_soon_pct*N(G160))),"Bientôt","À jour")))))</f>
        <v/>
      </c>
      <c r="V160" s="79" t="str">
        <f>IF(AND(A160="",B160="",D160=""),"",IF(A160="","N° de plan manquant",IF(COUNTIF($A$6:$A$505,A160)&gt;1,"N° de plan en double",IF(B160="","Équipement manquant",IF(ISNA(MATCH(B160,eq_code,0)),"Équipement inconnu",IF(D160="","Tâche manquante",IF(E160="","Déclenchement manquant",IF(AND(E160&lt;&gt;"Calendrier",E160&lt;&gt;"Compteur",E160&lt;&gt;"Au premier des deux"),"Déclenchement inconnu",IF(AND(E160&lt;&gt;"Compteur",OR(NOT(ISNUMBER(F160)),N(F160)&lt;=0)),"Périodicité en jours manquante",IF(AND(E160&lt;&gt;"Calendrier",OR(NOT(ISNUMBER(G160)),N(G160)&lt;=0)),"Périodicité compteur manquante",IF(AND(J160&lt;&gt;"",OR(NOT(ISNUMBER(J160)),N(J160)&lt;=0)),"Date de réalisation invalide",IF(AND(K160&lt;&gt;"",OR(NOT(ISNUMBER(K160)),N(K160)&lt;0)),"Compteur de réalisation invalide",IF(AND(E160&lt;&gt;"Compteur",N(M160)=0,IFERROR(N(INDEX(eq_start,MATCH(B160,eq_code,0))),0)=0),"Date de départ manquante",IF(AND(E160&lt;&gt;"Calendrier",K160="",N(N160)=0),"Compteur de départ manquant",IF(AND(E160&lt;&gt;"Calendrier",N(Q160)=0),"Relevé compteur manquant (Équipements)",IF(AND(I160&lt;&gt;"",ISNA(MATCH(I160,tech_name,0))),"Technicien inconnu",IF(AND(L160&lt;&gt;"",L160&lt;&gt;"Oui",L160&lt;&gt;"Non"),"Actif : Oui ou Non","OK")))))))))))))))))</f>
        <v/>
      </c>
      <c r="W160" s="67">
        <f>IFERROR(N(INDEX(eq_use,MATCH(B160,eq_code,0))),0)</f>
        <v>0.0</v>
      </c>
      <c r="X160" s="67" t="str">
        <f>IF(AND(ISNUMBER(S160),W160&gt;0),p_today+MAX(0,ROUNDUP(S160*7/W160,0)),"")</f>
        <v/>
      </c>
      <c r="Y160" s="67" t="str">
        <f>IF(AND(ISNUMBER(T160),OR(U160="En retard",U160="Bientôt",U160="À jour")),IF(AND(ISNUMBER(O160),ISNUMBER(X160)),MIN(F160,G160*7/W160),IF(ISNUMBER(O160),F160,G160*7/W160)),"")</f>
        <v/>
      </c>
      <c r="Z160" s="67" t="str">
        <f>IF(OR(U160="En retard",U160="Bientôt"),IF(U160="En retard",0,1)*1000000000+IF(AB160="A",0,IF(AB160="B",1,IF(AB160="C",2,3)))*100000000+IF(ISNUMBER(T160),T160,p_today)*1000+ROW()-5,"")</f>
        <v/>
      </c>
      <c r="AA160" s="67" t="str">
        <f>IF(Z160="","",COUNTIF($Z$6:$Z$505,"&lt;"&amp;Z160)+1)</f>
        <v/>
      </c>
      <c r="AB160" s="67" t="str">
        <f>IFERROR(INDEX(eq_crit,MATCH(B160,eq_code,0))&amp;"","")</f>
        <v/>
      </c>
    </row>
    <row r="161">
      <c r="A161" s="65" t="n"/>
      <c r="B161" s="66" t="n"/>
      <c r="C161" s="67" t="str">
        <f>IF(B161="","",IFERROR(INDEX(eq_des,MATCH(B161,eq_code,0))&amp;"","Équipement inconnu"))</f>
        <v/>
      </c>
      <c r="D161" s="66" t="n"/>
      <c r="E161" s="68" t="n"/>
      <c r="F161" s="69" t="n"/>
      <c r="G161" s="70" t="n"/>
      <c r="H161" s="71" t="n"/>
      <c r="I161" s="66" t="n"/>
      <c r="J161" s="72" t="n"/>
      <c r="K161" s="73" t="n"/>
      <c r="L161" s="68" t="n"/>
      <c r="M161" s="74" t="str">
        <f>IF(AND(A161="",B161="",D161=""),"",MAX(N(J161),IF(A161="",0,SUMPRODUCT(MAX((in_plan=A161)*in_prev*in_dnum)))))</f>
        <v/>
      </c>
      <c r="N161" s="75" t="str">
        <f>IF(AND(A161="",B161="",D161=""),"",MAX(N(K161),IF(A161="",0,SUMPRODUCT(MAX((in_plan=A161)*in_prev*in_cnum)))))</f>
        <v/>
      </c>
      <c r="O161" s="76" t="str">
        <f>IF(AND(OR(E161="Calendrier",E161="Au premier des deux"),N(F161)&gt;0,IF(N(M161)&gt;0,M161,IFERROR(N(INDEX(eq_start,MATCH(B161,eq_code,0))),0))&gt;0),IF(N(M161)&gt;0,M161,IFERROR(N(INDEX(eq_start,MATCH(B161,eq_code,0))),0))+F161,"")</f>
        <v/>
      </c>
      <c r="P161" s="75" t="str">
        <f>IF(AND(OR(E161="Compteur",E161="Au premier des deux"),N(G161)&gt;0),N(N161)+G161,"")</f>
        <v/>
      </c>
      <c r="Q161" s="75" t="str">
        <f>IF(B161="","",IFERROR(N(INDEX(eq_cnt,MATCH(B161,eq_code,0))),""))</f>
        <v/>
      </c>
      <c r="R161" s="77" t="str">
        <f>IF(ISNUMBER(O161),O161-p_today,"")</f>
        <v/>
      </c>
      <c r="S161" s="78" t="str">
        <f>IF(AND(ISNUMBER(P161),N(Q161)&gt;0),P161-Q161,"")</f>
        <v/>
      </c>
      <c r="T161" s="76" t="str">
        <f>IF(AND(ISNUMBER(O161),ISNUMBER(X161)),MIN(O161,X161),IF(ISNUMBER(O161),O161,X161))</f>
        <v/>
      </c>
      <c r="U161" s="79" t="str">
        <f>IF(AND(A161="",B161="",D161=""),"",IF(L161="Non","Inactif",IF(AND(NOT(ISNUMBER(R161)),NOT(ISNUMBER(S161))),"À compléter",IF(OR(AND(ISNUMBER(R161),N(R161)&lt;0),AND(ISNUMBER(S161),N(S161)&lt;0)),"En retard",IF(OR(AND(ISNUMBER(R161),N(R161)&lt;=p_soon),AND(ISNUMBER(S161),N(S161)&lt;=p_soon_pct*N(G161))),"Bientôt","À jour")))))</f>
        <v/>
      </c>
      <c r="V161" s="79" t="str">
        <f>IF(AND(A161="",B161="",D161=""),"",IF(A161="","N° de plan manquant",IF(COUNTIF($A$6:$A$505,A161)&gt;1,"N° de plan en double",IF(B161="","Équipement manquant",IF(ISNA(MATCH(B161,eq_code,0)),"Équipement inconnu",IF(D161="","Tâche manquante",IF(E161="","Déclenchement manquant",IF(AND(E161&lt;&gt;"Calendrier",E161&lt;&gt;"Compteur",E161&lt;&gt;"Au premier des deux"),"Déclenchement inconnu",IF(AND(E161&lt;&gt;"Compteur",OR(NOT(ISNUMBER(F161)),N(F161)&lt;=0)),"Périodicité en jours manquante",IF(AND(E161&lt;&gt;"Calendrier",OR(NOT(ISNUMBER(G161)),N(G161)&lt;=0)),"Périodicité compteur manquante",IF(AND(J161&lt;&gt;"",OR(NOT(ISNUMBER(J161)),N(J161)&lt;=0)),"Date de réalisation invalide",IF(AND(K161&lt;&gt;"",OR(NOT(ISNUMBER(K161)),N(K161)&lt;0)),"Compteur de réalisation invalide",IF(AND(E161&lt;&gt;"Compteur",N(M161)=0,IFERROR(N(INDEX(eq_start,MATCH(B161,eq_code,0))),0)=0),"Date de départ manquante",IF(AND(E161&lt;&gt;"Calendrier",K161="",N(N161)=0),"Compteur de départ manquant",IF(AND(E161&lt;&gt;"Calendrier",N(Q161)=0),"Relevé compteur manquant (Équipements)",IF(AND(I161&lt;&gt;"",ISNA(MATCH(I161,tech_name,0))),"Technicien inconnu",IF(AND(L161&lt;&gt;"",L161&lt;&gt;"Oui",L161&lt;&gt;"Non"),"Actif : Oui ou Non","OK")))))))))))))))))</f>
        <v/>
      </c>
      <c r="W161" s="67">
        <f>IFERROR(N(INDEX(eq_use,MATCH(B161,eq_code,0))),0)</f>
        <v>0.0</v>
      </c>
      <c r="X161" s="67" t="str">
        <f>IF(AND(ISNUMBER(S161),W161&gt;0),p_today+MAX(0,ROUNDUP(S161*7/W161,0)),"")</f>
        <v/>
      </c>
      <c r="Y161" s="67" t="str">
        <f>IF(AND(ISNUMBER(T161),OR(U161="En retard",U161="Bientôt",U161="À jour")),IF(AND(ISNUMBER(O161),ISNUMBER(X161)),MIN(F161,G161*7/W161),IF(ISNUMBER(O161),F161,G161*7/W161)),"")</f>
        <v/>
      </c>
      <c r="Z161" s="67" t="str">
        <f>IF(OR(U161="En retard",U161="Bientôt"),IF(U161="En retard",0,1)*1000000000+IF(AB161="A",0,IF(AB161="B",1,IF(AB161="C",2,3)))*100000000+IF(ISNUMBER(T161),T161,p_today)*1000+ROW()-5,"")</f>
        <v/>
      </c>
      <c r="AA161" s="67" t="str">
        <f>IF(Z161="","",COUNTIF($Z$6:$Z$505,"&lt;"&amp;Z161)+1)</f>
        <v/>
      </c>
      <c r="AB161" s="67" t="str">
        <f>IFERROR(INDEX(eq_crit,MATCH(B161,eq_code,0))&amp;"","")</f>
        <v/>
      </c>
    </row>
    <row r="162">
      <c r="A162" s="65" t="n"/>
      <c r="B162" s="66" t="n"/>
      <c r="C162" s="67" t="str">
        <f>IF(B162="","",IFERROR(INDEX(eq_des,MATCH(B162,eq_code,0))&amp;"","Équipement inconnu"))</f>
        <v/>
      </c>
      <c r="D162" s="66" t="n"/>
      <c r="E162" s="68" t="n"/>
      <c r="F162" s="69" t="n"/>
      <c r="G162" s="70" t="n"/>
      <c r="H162" s="71" t="n"/>
      <c r="I162" s="66" t="n"/>
      <c r="J162" s="72" t="n"/>
      <c r="K162" s="73" t="n"/>
      <c r="L162" s="68" t="n"/>
      <c r="M162" s="74" t="str">
        <f>IF(AND(A162="",B162="",D162=""),"",MAX(N(J162),IF(A162="",0,SUMPRODUCT(MAX((in_plan=A162)*in_prev*in_dnum)))))</f>
        <v/>
      </c>
      <c r="N162" s="75" t="str">
        <f>IF(AND(A162="",B162="",D162=""),"",MAX(N(K162),IF(A162="",0,SUMPRODUCT(MAX((in_plan=A162)*in_prev*in_cnum)))))</f>
        <v/>
      </c>
      <c r="O162" s="76" t="str">
        <f>IF(AND(OR(E162="Calendrier",E162="Au premier des deux"),N(F162)&gt;0,IF(N(M162)&gt;0,M162,IFERROR(N(INDEX(eq_start,MATCH(B162,eq_code,0))),0))&gt;0),IF(N(M162)&gt;0,M162,IFERROR(N(INDEX(eq_start,MATCH(B162,eq_code,0))),0))+F162,"")</f>
        <v/>
      </c>
      <c r="P162" s="75" t="str">
        <f>IF(AND(OR(E162="Compteur",E162="Au premier des deux"),N(G162)&gt;0),N(N162)+G162,"")</f>
        <v/>
      </c>
      <c r="Q162" s="75" t="str">
        <f>IF(B162="","",IFERROR(N(INDEX(eq_cnt,MATCH(B162,eq_code,0))),""))</f>
        <v/>
      </c>
      <c r="R162" s="77" t="str">
        <f>IF(ISNUMBER(O162),O162-p_today,"")</f>
        <v/>
      </c>
      <c r="S162" s="78" t="str">
        <f>IF(AND(ISNUMBER(P162),N(Q162)&gt;0),P162-Q162,"")</f>
        <v/>
      </c>
      <c r="T162" s="76" t="str">
        <f>IF(AND(ISNUMBER(O162),ISNUMBER(X162)),MIN(O162,X162),IF(ISNUMBER(O162),O162,X162))</f>
        <v/>
      </c>
      <c r="U162" s="79" t="str">
        <f>IF(AND(A162="",B162="",D162=""),"",IF(L162="Non","Inactif",IF(AND(NOT(ISNUMBER(R162)),NOT(ISNUMBER(S162))),"À compléter",IF(OR(AND(ISNUMBER(R162),N(R162)&lt;0),AND(ISNUMBER(S162),N(S162)&lt;0)),"En retard",IF(OR(AND(ISNUMBER(R162),N(R162)&lt;=p_soon),AND(ISNUMBER(S162),N(S162)&lt;=p_soon_pct*N(G162))),"Bientôt","À jour")))))</f>
        <v/>
      </c>
      <c r="V162" s="79" t="str">
        <f>IF(AND(A162="",B162="",D162=""),"",IF(A162="","N° de plan manquant",IF(COUNTIF($A$6:$A$505,A162)&gt;1,"N° de plan en double",IF(B162="","Équipement manquant",IF(ISNA(MATCH(B162,eq_code,0)),"Équipement inconnu",IF(D162="","Tâche manquante",IF(E162="","Déclenchement manquant",IF(AND(E162&lt;&gt;"Calendrier",E162&lt;&gt;"Compteur",E162&lt;&gt;"Au premier des deux"),"Déclenchement inconnu",IF(AND(E162&lt;&gt;"Compteur",OR(NOT(ISNUMBER(F162)),N(F162)&lt;=0)),"Périodicité en jours manquante",IF(AND(E162&lt;&gt;"Calendrier",OR(NOT(ISNUMBER(G162)),N(G162)&lt;=0)),"Périodicité compteur manquante",IF(AND(J162&lt;&gt;"",OR(NOT(ISNUMBER(J162)),N(J162)&lt;=0)),"Date de réalisation invalide",IF(AND(K162&lt;&gt;"",OR(NOT(ISNUMBER(K162)),N(K162)&lt;0)),"Compteur de réalisation invalide",IF(AND(E162&lt;&gt;"Compteur",N(M162)=0,IFERROR(N(INDEX(eq_start,MATCH(B162,eq_code,0))),0)=0),"Date de départ manquante",IF(AND(E162&lt;&gt;"Calendrier",K162="",N(N162)=0),"Compteur de départ manquant",IF(AND(E162&lt;&gt;"Calendrier",N(Q162)=0),"Relevé compteur manquant (Équipements)",IF(AND(I162&lt;&gt;"",ISNA(MATCH(I162,tech_name,0))),"Technicien inconnu",IF(AND(L162&lt;&gt;"",L162&lt;&gt;"Oui",L162&lt;&gt;"Non"),"Actif : Oui ou Non","OK")))))))))))))))))</f>
        <v/>
      </c>
      <c r="W162" s="67">
        <f>IFERROR(N(INDEX(eq_use,MATCH(B162,eq_code,0))),0)</f>
        <v>0.0</v>
      </c>
      <c r="X162" s="67" t="str">
        <f>IF(AND(ISNUMBER(S162),W162&gt;0),p_today+MAX(0,ROUNDUP(S162*7/W162,0)),"")</f>
        <v/>
      </c>
      <c r="Y162" s="67" t="str">
        <f>IF(AND(ISNUMBER(T162),OR(U162="En retard",U162="Bientôt",U162="À jour")),IF(AND(ISNUMBER(O162),ISNUMBER(X162)),MIN(F162,G162*7/W162),IF(ISNUMBER(O162),F162,G162*7/W162)),"")</f>
        <v/>
      </c>
      <c r="Z162" s="67" t="str">
        <f>IF(OR(U162="En retard",U162="Bientôt"),IF(U162="En retard",0,1)*1000000000+IF(AB162="A",0,IF(AB162="B",1,IF(AB162="C",2,3)))*100000000+IF(ISNUMBER(T162),T162,p_today)*1000+ROW()-5,"")</f>
        <v/>
      </c>
      <c r="AA162" s="67" t="str">
        <f>IF(Z162="","",COUNTIF($Z$6:$Z$505,"&lt;"&amp;Z162)+1)</f>
        <v/>
      </c>
      <c r="AB162" s="67" t="str">
        <f>IFERROR(INDEX(eq_crit,MATCH(B162,eq_code,0))&amp;"","")</f>
        <v/>
      </c>
    </row>
    <row r="163">
      <c r="A163" s="65" t="n"/>
      <c r="B163" s="66" t="n"/>
      <c r="C163" s="67" t="str">
        <f>IF(B163="","",IFERROR(INDEX(eq_des,MATCH(B163,eq_code,0))&amp;"","Équipement inconnu"))</f>
        <v/>
      </c>
      <c r="D163" s="66" t="n"/>
      <c r="E163" s="68" t="n"/>
      <c r="F163" s="69" t="n"/>
      <c r="G163" s="70" t="n"/>
      <c r="H163" s="71" t="n"/>
      <c r="I163" s="66" t="n"/>
      <c r="J163" s="72" t="n"/>
      <c r="K163" s="73" t="n"/>
      <c r="L163" s="68" t="n"/>
      <c r="M163" s="74" t="str">
        <f>IF(AND(A163="",B163="",D163=""),"",MAX(N(J163),IF(A163="",0,SUMPRODUCT(MAX((in_plan=A163)*in_prev*in_dnum)))))</f>
        <v/>
      </c>
      <c r="N163" s="75" t="str">
        <f>IF(AND(A163="",B163="",D163=""),"",MAX(N(K163),IF(A163="",0,SUMPRODUCT(MAX((in_plan=A163)*in_prev*in_cnum)))))</f>
        <v/>
      </c>
      <c r="O163" s="76" t="str">
        <f>IF(AND(OR(E163="Calendrier",E163="Au premier des deux"),N(F163)&gt;0,IF(N(M163)&gt;0,M163,IFERROR(N(INDEX(eq_start,MATCH(B163,eq_code,0))),0))&gt;0),IF(N(M163)&gt;0,M163,IFERROR(N(INDEX(eq_start,MATCH(B163,eq_code,0))),0))+F163,"")</f>
        <v/>
      </c>
      <c r="P163" s="75" t="str">
        <f>IF(AND(OR(E163="Compteur",E163="Au premier des deux"),N(G163)&gt;0),N(N163)+G163,"")</f>
        <v/>
      </c>
      <c r="Q163" s="75" t="str">
        <f>IF(B163="","",IFERROR(N(INDEX(eq_cnt,MATCH(B163,eq_code,0))),""))</f>
        <v/>
      </c>
      <c r="R163" s="77" t="str">
        <f>IF(ISNUMBER(O163),O163-p_today,"")</f>
        <v/>
      </c>
      <c r="S163" s="78" t="str">
        <f>IF(AND(ISNUMBER(P163),N(Q163)&gt;0),P163-Q163,"")</f>
        <v/>
      </c>
      <c r="T163" s="76" t="str">
        <f>IF(AND(ISNUMBER(O163),ISNUMBER(X163)),MIN(O163,X163),IF(ISNUMBER(O163),O163,X163))</f>
        <v/>
      </c>
      <c r="U163" s="79" t="str">
        <f>IF(AND(A163="",B163="",D163=""),"",IF(L163="Non","Inactif",IF(AND(NOT(ISNUMBER(R163)),NOT(ISNUMBER(S163))),"À compléter",IF(OR(AND(ISNUMBER(R163),N(R163)&lt;0),AND(ISNUMBER(S163),N(S163)&lt;0)),"En retard",IF(OR(AND(ISNUMBER(R163),N(R163)&lt;=p_soon),AND(ISNUMBER(S163),N(S163)&lt;=p_soon_pct*N(G163))),"Bientôt","À jour")))))</f>
        <v/>
      </c>
      <c r="V163" s="79" t="str">
        <f>IF(AND(A163="",B163="",D163=""),"",IF(A163="","N° de plan manquant",IF(COUNTIF($A$6:$A$505,A163)&gt;1,"N° de plan en double",IF(B163="","Équipement manquant",IF(ISNA(MATCH(B163,eq_code,0)),"Équipement inconnu",IF(D163="","Tâche manquante",IF(E163="","Déclenchement manquant",IF(AND(E163&lt;&gt;"Calendrier",E163&lt;&gt;"Compteur",E163&lt;&gt;"Au premier des deux"),"Déclenchement inconnu",IF(AND(E163&lt;&gt;"Compteur",OR(NOT(ISNUMBER(F163)),N(F163)&lt;=0)),"Périodicité en jours manquante",IF(AND(E163&lt;&gt;"Calendrier",OR(NOT(ISNUMBER(G163)),N(G163)&lt;=0)),"Périodicité compteur manquante",IF(AND(J163&lt;&gt;"",OR(NOT(ISNUMBER(J163)),N(J163)&lt;=0)),"Date de réalisation invalide",IF(AND(K163&lt;&gt;"",OR(NOT(ISNUMBER(K163)),N(K163)&lt;0)),"Compteur de réalisation invalide",IF(AND(E163&lt;&gt;"Compteur",N(M163)=0,IFERROR(N(INDEX(eq_start,MATCH(B163,eq_code,0))),0)=0),"Date de départ manquante",IF(AND(E163&lt;&gt;"Calendrier",K163="",N(N163)=0),"Compteur de départ manquant",IF(AND(E163&lt;&gt;"Calendrier",N(Q163)=0),"Relevé compteur manquant (Équipements)",IF(AND(I163&lt;&gt;"",ISNA(MATCH(I163,tech_name,0))),"Technicien inconnu",IF(AND(L163&lt;&gt;"",L163&lt;&gt;"Oui",L163&lt;&gt;"Non"),"Actif : Oui ou Non","OK")))))))))))))))))</f>
        <v/>
      </c>
      <c r="W163" s="67">
        <f>IFERROR(N(INDEX(eq_use,MATCH(B163,eq_code,0))),0)</f>
        <v>0.0</v>
      </c>
      <c r="X163" s="67" t="str">
        <f>IF(AND(ISNUMBER(S163),W163&gt;0),p_today+MAX(0,ROUNDUP(S163*7/W163,0)),"")</f>
        <v/>
      </c>
      <c r="Y163" s="67" t="str">
        <f>IF(AND(ISNUMBER(T163),OR(U163="En retard",U163="Bientôt",U163="À jour")),IF(AND(ISNUMBER(O163),ISNUMBER(X163)),MIN(F163,G163*7/W163),IF(ISNUMBER(O163),F163,G163*7/W163)),"")</f>
        <v/>
      </c>
      <c r="Z163" s="67" t="str">
        <f>IF(OR(U163="En retard",U163="Bientôt"),IF(U163="En retard",0,1)*1000000000+IF(AB163="A",0,IF(AB163="B",1,IF(AB163="C",2,3)))*100000000+IF(ISNUMBER(T163),T163,p_today)*1000+ROW()-5,"")</f>
        <v/>
      </c>
      <c r="AA163" s="67" t="str">
        <f>IF(Z163="","",COUNTIF($Z$6:$Z$505,"&lt;"&amp;Z163)+1)</f>
        <v/>
      </c>
      <c r="AB163" s="67" t="str">
        <f>IFERROR(INDEX(eq_crit,MATCH(B163,eq_code,0))&amp;"","")</f>
        <v/>
      </c>
    </row>
    <row r="164">
      <c r="A164" s="65" t="n"/>
      <c r="B164" s="66" t="n"/>
      <c r="C164" s="67" t="str">
        <f>IF(B164="","",IFERROR(INDEX(eq_des,MATCH(B164,eq_code,0))&amp;"","Équipement inconnu"))</f>
        <v/>
      </c>
      <c r="D164" s="66" t="n"/>
      <c r="E164" s="68" t="n"/>
      <c r="F164" s="69" t="n"/>
      <c r="G164" s="70" t="n"/>
      <c r="H164" s="71" t="n"/>
      <c r="I164" s="66" t="n"/>
      <c r="J164" s="72" t="n"/>
      <c r="K164" s="73" t="n"/>
      <c r="L164" s="68" t="n"/>
      <c r="M164" s="74" t="str">
        <f>IF(AND(A164="",B164="",D164=""),"",MAX(N(J164),IF(A164="",0,SUMPRODUCT(MAX((in_plan=A164)*in_prev*in_dnum)))))</f>
        <v/>
      </c>
      <c r="N164" s="75" t="str">
        <f>IF(AND(A164="",B164="",D164=""),"",MAX(N(K164),IF(A164="",0,SUMPRODUCT(MAX((in_plan=A164)*in_prev*in_cnum)))))</f>
        <v/>
      </c>
      <c r="O164" s="76" t="str">
        <f>IF(AND(OR(E164="Calendrier",E164="Au premier des deux"),N(F164)&gt;0,IF(N(M164)&gt;0,M164,IFERROR(N(INDEX(eq_start,MATCH(B164,eq_code,0))),0))&gt;0),IF(N(M164)&gt;0,M164,IFERROR(N(INDEX(eq_start,MATCH(B164,eq_code,0))),0))+F164,"")</f>
        <v/>
      </c>
      <c r="P164" s="75" t="str">
        <f>IF(AND(OR(E164="Compteur",E164="Au premier des deux"),N(G164)&gt;0),N(N164)+G164,"")</f>
        <v/>
      </c>
      <c r="Q164" s="75" t="str">
        <f>IF(B164="","",IFERROR(N(INDEX(eq_cnt,MATCH(B164,eq_code,0))),""))</f>
        <v/>
      </c>
      <c r="R164" s="77" t="str">
        <f>IF(ISNUMBER(O164),O164-p_today,"")</f>
        <v/>
      </c>
      <c r="S164" s="78" t="str">
        <f>IF(AND(ISNUMBER(P164),N(Q164)&gt;0),P164-Q164,"")</f>
        <v/>
      </c>
      <c r="T164" s="76" t="str">
        <f>IF(AND(ISNUMBER(O164),ISNUMBER(X164)),MIN(O164,X164),IF(ISNUMBER(O164),O164,X164))</f>
        <v/>
      </c>
      <c r="U164" s="79" t="str">
        <f>IF(AND(A164="",B164="",D164=""),"",IF(L164="Non","Inactif",IF(AND(NOT(ISNUMBER(R164)),NOT(ISNUMBER(S164))),"À compléter",IF(OR(AND(ISNUMBER(R164),N(R164)&lt;0),AND(ISNUMBER(S164),N(S164)&lt;0)),"En retard",IF(OR(AND(ISNUMBER(R164),N(R164)&lt;=p_soon),AND(ISNUMBER(S164),N(S164)&lt;=p_soon_pct*N(G164))),"Bientôt","À jour")))))</f>
        <v/>
      </c>
      <c r="V164" s="79" t="str">
        <f>IF(AND(A164="",B164="",D164=""),"",IF(A164="","N° de plan manquant",IF(COUNTIF($A$6:$A$505,A164)&gt;1,"N° de plan en double",IF(B164="","Équipement manquant",IF(ISNA(MATCH(B164,eq_code,0)),"Équipement inconnu",IF(D164="","Tâche manquante",IF(E164="","Déclenchement manquant",IF(AND(E164&lt;&gt;"Calendrier",E164&lt;&gt;"Compteur",E164&lt;&gt;"Au premier des deux"),"Déclenchement inconnu",IF(AND(E164&lt;&gt;"Compteur",OR(NOT(ISNUMBER(F164)),N(F164)&lt;=0)),"Périodicité en jours manquante",IF(AND(E164&lt;&gt;"Calendrier",OR(NOT(ISNUMBER(G164)),N(G164)&lt;=0)),"Périodicité compteur manquante",IF(AND(J164&lt;&gt;"",OR(NOT(ISNUMBER(J164)),N(J164)&lt;=0)),"Date de réalisation invalide",IF(AND(K164&lt;&gt;"",OR(NOT(ISNUMBER(K164)),N(K164)&lt;0)),"Compteur de réalisation invalide",IF(AND(E164&lt;&gt;"Compteur",N(M164)=0,IFERROR(N(INDEX(eq_start,MATCH(B164,eq_code,0))),0)=0),"Date de départ manquante",IF(AND(E164&lt;&gt;"Calendrier",K164="",N(N164)=0),"Compteur de départ manquant",IF(AND(E164&lt;&gt;"Calendrier",N(Q164)=0),"Relevé compteur manquant (Équipements)",IF(AND(I164&lt;&gt;"",ISNA(MATCH(I164,tech_name,0))),"Technicien inconnu",IF(AND(L164&lt;&gt;"",L164&lt;&gt;"Oui",L164&lt;&gt;"Non"),"Actif : Oui ou Non","OK")))))))))))))))))</f>
        <v/>
      </c>
      <c r="W164" s="67">
        <f>IFERROR(N(INDEX(eq_use,MATCH(B164,eq_code,0))),0)</f>
        <v>0.0</v>
      </c>
      <c r="X164" s="67" t="str">
        <f>IF(AND(ISNUMBER(S164),W164&gt;0),p_today+MAX(0,ROUNDUP(S164*7/W164,0)),"")</f>
        <v/>
      </c>
      <c r="Y164" s="67" t="str">
        <f>IF(AND(ISNUMBER(T164),OR(U164="En retard",U164="Bientôt",U164="À jour")),IF(AND(ISNUMBER(O164),ISNUMBER(X164)),MIN(F164,G164*7/W164),IF(ISNUMBER(O164),F164,G164*7/W164)),"")</f>
        <v/>
      </c>
      <c r="Z164" s="67" t="str">
        <f>IF(OR(U164="En retard",U164="Bientôt"),IF(U164="En retard",0,1)*1000000000+IF(AB164="A",0,IF(AB164="B",1,IF(AB164="C",2,3)))*100000000+IF(ISNUMBER(T164),T164,p_today)*1000+ROW()-5,"")</f>
        <v/>
      </c>
      <c r="AA164" s="67" t="str">
        <f>IF(Z164="","",COUNTIF($Z$6:$Z$505,"&lt;"&amp;Z164)+1)</f>
        <v/>
      </c>
      <c r="AB164" s="67" t="str">
        <f>IFERROR(INDEX(eq_crit,MATCH(B164,eq_code,0))&amp;"","")</f>
        <v/>
      </c>
    </row>
    <row r="165">
      <c r="A165" s="65" t="n"/>
      <c r="B165" s="66" t="n"/>
      <c r="C165" s="67" t="str">
        <f>IF(B165="","",IFERROR(INDEX(eq_des,MATCH(B165,eq_code,0))&amp;"","Équipement inconnu"))</f>
        <v/>
      </c>
      <c r="D165" s="66" t="n"/>
      <c r="E165" s="68" t="n"/>
      <c r="F165" s="69" t="n"/>
      <c r="G165" s="70" t="n"/>
      <c r="H165" s="71" t="n"/>
      <c r="I165" s="66" t="n"/>
      <c r="J165" s="72" t="n"/>
      <c r="K165" s="73" t="n"/>
      <c r="L165" s="68" t="n"/>
      <c r="M165" s="74" t="str">
        <f>IF(AND(A165="",B165="",D165=""),"",MAX(N(J165),IF(A165="",0,SUMPRODUCT(MAX((in_plan=A165)*in_prev*in_dnum)))))</f>
        <v/>
      </c>
      <c r="N165" s="75" t="str">
        <f>IF(AND(A165="",B165="",D165=""),"",MAX(N(K165),IF(A165="",0,SUMPRODUCT(MAX((in_plan=A165)*in_prev*in_cnum)))))</f>
        <v/>
      </c>
      <c r="O165" s="76" t="str">
        <f>IF(AND(OR(E165="Calendrier",E165="Au premier des deux"),N(F165)&gt;0,IF(N(M165)&gt;0,M165,IFERROR(N(INDEX(eq_start,MATCH(B165,eq_code,0))),0))&gt;0),IF(N(M165)&gt;0,M165,IFERROR(N(INDEX(eq_start,MATCH(B165,eq_code,0))),0))+F165,"")</f>
        <v/>
      </c>
      <c r="P165" s="75" t="str">
        <f>IF(AND(OR(E165="Compteur",E165="Au premier des deux"),N(G165)&gt;0),N(N165)+G165,"")</f>
        <v/>
      </c>
      <c r="Q165" s="75" t="str">
        <f>IF(B165="","",IFERROR(N(INDEX(eq_cnt,MATCH(B165,eq_code,0))),""))</f>
        <v/>
      </c>
      <c r="R165" s="77" t="str">
        <f>IF(ISNUMBER(O165),O165-p_today,"")</f>
        <v/>
      </c>
      <c r="S165" s="78" t="str">
        <f>IF(AND(ISNUMBER(P165),N(Q165)&gt;0),P165-Q165,"")</f>
        <v/>
      </c>
      <c r="T165" s="76" t="str">
        <f>IF(AND(ISNUMBER(O165),ISNUMBER(X165)),MIN(O165,X165),IF(ISNUMBER(O165),O165,X165))</f>
        <v/>
      </c>
      <c r="U165" s="79" t="str">
        <f>IF(AND(A165="",B165="",D165=""),"",IF(L165="Non","Inactif",IF(AND(NOT(ISNUMBER(R165)),NOT(ISNUMBER(S165))),"À compléter",IF(OR(AND(ISNUMBER(R165),N(R165)&lt;0),AND(ISNUMBER(S165),N(S165)&lt;0)),"En retard",IF(OR(AND(ISNUMBER(R165),N(R165)&lt;=p_soon),AND(ISNUMBER(S165),N(S165)&lt;=p_soon_pct*N(G165))),"Bientôt","À jour")))))</f>
        <v/>
      </c>
      <c r="V165" s="79" t="str">
        <f>IF(AND(A165="",B165="",D165=""),"",IF(A165="","N° de plan manquant",IF(COUNTIF($A$6:$A$505,A165)&gt;1,"N° de plan en double",IF(B165="","Équipement manquant",IF(ISNA(MATCH(B165,eq_code,0)),"Équipement inconnu",IF(D165="","Tâche manquante",IF(E165="","Déclenchement manquant",IF(AND(E165&lt;&gt;"Calendrier",E165&lt;&gt;"Compteur",E165&lt;&gt;"Au premier des deux"),"Déclenchement inconnu",IF(AND(E165&lt;&gt;"Compteur",OR(NOT(ISNUMBER(F165)),N(F165)&lt;=0)),"Périodicité en jours manquante",IF(AND(E165&lt;&gt;"Calendrier",OR(NOT(ISNUMBER(G165)),N(G165)&lt;=0)),"Périodicité compteur manquante",IF(AND(J165&lt;&gt;"",OR(NOT(ISNUMBER(J165)),N(J165)&lt;=0)),"Date de réalisation invalide",IF(AND(K165&lt;&gt;"",OR(NOT(ISNUMBER(K165)),N(K165)&lt;0)),"Compteur de réalisation invalide",IF(AND(E165&lt;&gt;"Compteur",N(M165)=0,IFERROR(N(INDEX(eq_start,MATCH(B165,eq_code,0))),0)=0),"Date de départ manquante",IF(AND(E165&lt;&gt;"Calendrier",K165="",N(N165)=0),"Compteur de départ manquant",IF(AND(E165&lt;&gt;"Calendrier",N(Q165)=0),"Relevé compteur manquant (Équipements)",IF(AND(I165&lt;&gt;"",ISNA(MATCH(I165,tech_name,0))),"Technicien inconnu",IF(AND(L165&lt;&gt;"",L165&lt;&gt;"Oui",L165&lt;&gt;"Non"),"Actif : Oui ou Non","OK")))))))))))))))))</f>
        <v/>
      </c>
      <c r="W165" s="67">
        <f>IFERROR(N(INDEX(eq_use,MATCH(B165,eq_code,0))),0)</f>
        <v>0.0</v>
      </c>
      <c r="X165" s="67" t="str">
        <f>IF(AND(ISNUMBER(S165),W165&gt;0),p_today+MAX(0,ROUNDUP(S165*7/W165,0)),"")</f>
        <v/>
      </c>
      <c r="Y165" s="67" t="str">
        <f>IF(AND(ISNUMBER(T165),OR(U165="En retard",U165="Bientôt",U165="À jour")),IF(AND(ISNUMBER(O165),ISNUMBER(X165)),MIN(F165,G165*7/W165),IF(ISNUMBER(O165),F165,G165*7/W165)),"")</f>
        <v/>
      </c>
      <c r="Z165" s="67" t="str">
        <f>IF(OR(U165="En retard",U165="Bientôt"),IF(U165="En retard",0,1)*1000000000+IF(AB165="A",0,IF(AB165="B",1,IF(AB165="C",2,3)))*100000000+IF(ISNUMBER(T165),T165,p_today)*1000+ROW()-5,"")</f>
        <v/>
      </c>
      <c r="AA165" s="67" t="str">
        <f>IF(Z165="","",COUNTIF($Z$6:$Z$505,"&lt;"&amp;Z165)+1)</f>
        <v/>
      </c>
      <c r="AB165" s="67" t="str">
        <f>IFERROR(INDEX(eq_crit,MATCH(B165,eq_code,0))&amp;"","")</f>
        <v/>
      </c>
    </row>
    <row r="166">
      <c r="A166" s="65" t="n"/>
      <c r="B166" s="66" t="n"/>
      <c r="C166" s="67" t="str">
        <f>IF(B166="","",IFERROR(INDEX(eq_des,MATCH(B166,eq_code,0))&amp;"","Équipement inconnu"))</f>
        <v/>
      </c>
      <c r="D166" s="66" t="n"/>
      <c r="E166" s="68" t="n"/>
      <c r="F166" s="69" t="n"/>
      <c r="G166" s="70" t="n"/>
      <c r="H166" s="71" t="n"/>
      <c r="I166" s="66" t="n"/>
      <c r="J166" s="72" t="n"/>
      <c r="K166" s="73" t="n"/>
      <c r="L166" s="68" t="n"/>
      <c r="M166" s="74" t="str">
        <f>IF(AND(A166="",B166="",D166=""),"",MAX(N(J166),IF(A166="",0,SUMPRODUCT(MAX((in_plan=A166)*in_prev*in_dnum)))))</f>
        <v/>
      </c>
      <c r="N166" s="75" t="str">
        <f>IF(AND(A166="",B166="",D166=""),"",MAX(N(K166),IF(A166="",0,SUMPRODUCT(MAX((in_plan=A166)*in_prev*in_cnum)))))</f>
        <v/>
      </c>
      <c r="O166" s="76" t="str">
        <f>IF(AND(OR(E166="Calendrier",E166="Au premier des deux"),N(F166)&gt;0,IF(N(M166)&gt;0,M166,IFERROR(N(INDEX(eq_start,MATCH(B166,eq_code,0))),0))&gt;0),IF(N(M166)&gt;0,M166,IFERROR(N(INDEX(eq_start,MATCH(B166,eq_code,0))),0))+F166,"")</f>
        <v/>
      </c>
      <c r="P166" s="75" t="str">
        <f>IF(AND(OR(E166="Compteur",E166="Au premier des deux"),N(G166)&gt;0),N(N166)+G166,"")</f>
        <v/>
      </c>
      <c r="Q166" s="75" t="str">
        <f>IF(B166="","",IFERROR(N(INDEX(eq_cnt,MATCH(B166,eq_code,0))),""))</f>
        <v/>
      </c>
      <c r="R166" s="77" t="str">
        <f>IF(ISNUMBER(O166),O166-p_today,"")</f>
        <v/>
      </c>
      <c r="S166" s="78" t="str">
        <f>IF(AND(ISNUMBER(P166),N(Q166)&gt;0),P166-Q166,"")</f>
        <v/>
      </c>
      <c r="T166" s="76" t="str">
        <f>IF(AND(ISNUMBER(O166),ISNUMBER(X166)),MIN(O166,X166),IF(ISNUMBER(O166),O166,X166))</f>
        <v/>
      </c>
      <c r="U166" s="79" t="str">
        <f>IF(AND(A166="",B166="",D166=""),"",IF(L166="Non","Inactif",IF(AND(NOT(ISNUMBER(R166)),NOT(ISNUMBER(S166))),"À compléter",IF(OR(AND(ISNUMBER(R166),N(R166)&lt;0),AND(ISNUMBER(S166),N(S166)&lt;0)),"En retard",IF(OR(AND(ISNUMBER(R166),N(R166)&lt;=p_soon),AND(ISNUMBER(S166),N(S166)&lt;=p_soon_pct*N(G166))),"Bientôt","À jour")))))</f>
        <v/>
      </c>
      <c r="V166" s="79" t="str">
        <f>IF(AND(A166="",B166="",D166=""),"",IF(A166="","N° de plan manquant",IF(COUNTIF($A$6:$A$505,A166)&gt;1,"N° de plan en double",IF(B166="","Équipement manquant",IF(ISNA(MATCH(B166,eq_code,0)),"Équipement inconnu",IF(D166="","Tâche manquante",IF(E166="","Déclenchement manquant",IF(AND(E166&lt;&gt;"Calendrier",E166&lt;&gt;"Compteur",E166&lt;&gt;"Au premier des deux"),"Déclenchement inconnu",IF(AND(E166&lt;&gt;"Compteur",OR(NOT(ISNUMBER(F166)),N(F166)&lt;=0)),"Périodicité en jours manquante",IF(AND(E166&lt;&gt;"Calendrier",OR(NOT(ISNUMBER(G166)),N(G166)&lt;=0)),"Périodicité compteur manquante",IF(AND(J166&lt;&gt;"",OR(NOT(ISNUMBER(J166)),N(J166)&lt;=0)),"Date de réalisation invalide",IF(AND(K166&lt;&gt;"",OR(NOT(ISNUMBER(K166)),N(K166)&lt;0)),"Compteur de réalisation invalide",IF(AND(E166&lt;&gt;"Compteur",N(M166)=0,IFERROR(N(INDEX(eq_start,MATCH(B166,eq_code,0))),0)=0),"Date de départ manquante",IF(AND(E166&lt;&gt;"Calendrier",K166="",N(N166)=0),"Compteur de départ manquant",IF(AND(E166&lt;&gt;"Calendrier",N(Q166)=0),"Relevé compteur manquant (Équipements)",IF(AND(I166&lt;&gt;"",ISNA(MATCH(I166,tech_name,0))),"Technicien inconnu",IF(AND(L166&lt;&gt;"",L166&lt;&gt;"Oui",L166&lt;&gt;"Non"),"Actif : Oui ou Non","OK")))))))))))))))))</f>
        <v/>
      </c>
      <c r="W166" s="67">
        <f>IFERROR(N(INDEX(eq_use,MATCH(B166,eq_code,0))),0)</f>
        <v>0.0</v>
      </c>
      <c r="X166" s="67" t="str">
        <f>IF(AND(ISNUMBER(S166),W166&gt;0),p_today+MAX(0,ROUNDUP(S166*7/W166,0)),"")</f>
        <v/>
      </c>
      <c r="Y166" s="67" t="str">
        <f>IF(AND(ISNUMBER(T166),OR(U166="En retard",U166="Bientôt",U166="À jour")),IF(AND(ISNUMBER(O166),ISNUMBER(X166)),MIN(F166,G166*7/W166),IF(ISNUMBER(O166),F166,G166*7/W166)),"")</f>
        <v/>
      </c>
      <c r="Z166" s="67" t="str">
        <f>IF(OR(U166="En retard",U166="Bientôt"),IF(U166="En retard",0,1)*1000000000+IF(AB166="A",0,IF(AB166="B",1,IF(AB166="C",2,3)))*100000000+IF(ISNUMBER(T166),T166,p_today)*1000+ROW()-5,"")</f>
        <v/>
      </c>
      <c r="AA166" s="67" t="str">
        <f>IF(Z166="","",COUNTIF($Z$6:$Z$505,"&lt;"&amp;Z166)+1)</f>
        <v/>
      </c>
      <c r="AB166" s="67" t="str">
        <f>IFERROR(INDEX(eq_crit,MATCH(B166,eq_code,0))&amp;"","")</f>
        <v/>
      </c>
    </row>
    <row r="167">
      <c r="A167" s="65" t="n"/>
      <c r="B167" s="66" t="n"/>
      <c r="C167" s="67" t="str">
        <f>IF(B167="","",IFERROR(INDEX(eq_des,MATCH(B167,eq_code,0))&amp;"","Équipement inconnu"))</f>
        <v/>
      </c>
      <c r="D167" s="66" t="n"/>
      <c r="E167" s="68" t="n"/>
      <c r="F167" s="69" t="n"/>
      <c r="G167" s="70" t="n"/>
      <c r="H167" s="71" t="n"/>
      <c r="I167" s="66" t="n"/>
      <c r="J167" s="72" t="n"/>
      <c r="K167" s="73" t="n"/>
      <c r="L167" s="68" t="n"/>
      <c r="M167" s="74" t="str">
        <f>IF(AND(A167="",B167="",D167=""),"",MAX(N(J167),IF(A167="",0,SUMPRODUCT(MAX((in_plan=A167)*in_prev*in_dnum)))))</f>
        <v/>
      </c>
      <c r="N167" s="75" t="str">
        <f>IF(AND(A167="",B167="",D167=""),"",MAX(N(K167),IF(A167="",0,SUMPRODUCT(MAX((in_plan=A167)*in_prev*in_cnum)))))</f>
        <v/>
      </c>
      <c r="O167" s="76" t="str">
        <f>IF(AND(OR(E167="Calendrier",E167="Au premier des deux"),N(F167)&gt;0,IF(N(M167)&gt;0,M167,IFERROR(N(INDEX(eq_start,MATCH(B167,eq_code,0))),0))&gt;0),IF(N(M167)&gt;0,M167,IFERROR(N(INDEX(eq_start,MATCH(B167,eq_code,0))),0))+F167,"")</f>
        <v/>
      </c>
      <c r="P167" s="75" t="str">
        <f>IF(AND(OR(E167="Compteur",E167="Au premier des deux"),N(G167)&gt;0),N(N167)+G167,"")</f>
        <v/>
      </c>
      <c r="Q167" s="75" t="str">
        <f>IF(B167="","",IFERROR(N(INDEX(eq_cnt,MATCH(B167,eq_code,0))),""))</f>
        <v/>
      </c>
      <c r="R167" s="77" t="str">
        <f>IF(ISNUMBER(O167),O167-p_today,"")</f>
        <v/>
      </c>
      <c r="S167" s="78" t="str">
        <f>IF(AND(ISNUMBER(P167),N(Q167)&gt;0),P167-Q167,"")</f>
        <v/>
      </c>
      <c r="T167" s="76" t="str">
        <f>IF(AND(ISNUMBER(O167),ISNUMBER(X167)),MIN(O167,X167),IF(ISNUMBER(O167),O167,X167))</f>
        <v/>
      </c>
      <c r="U167" s="79" t="str">
        <f>IF(AND(A167="",B167="",D167=""),"",IF(L167="Non","Inactif",IF(AND(NOT(ISNUMBER(R167)),NOT(ISNUMBER(S167))),"À compléter",IF(OR(AND(ISNUMBER(R167),N(R167)&lt;0),AND(ISNUMBER(S167),N(S167)&lt;0)),"En retard",IF(OR(AND(ISNUMBER(R167),N(R167)&lt;=p_soon),AND(ISNUMBER(S167),N(S167)&lt;=p_soon_pct*N(G167))),"Bientôt","À jour")))))</f>
        <v/>
      </c>
      <c r="V167" s="79" t="str">
        <f>IF(AND(A167="",B167="",D167=""),"",IF(A167="","N° de plan manquant",IF(COUNTIF($A$6:$A$505,A167)&gt;1,"N° de plan en double",IF(B167="","Équipement manquant",IF(ISNA(MATCH(B167,eq_code,0)),"Équipement inconnu",IF(D167="","Tâche manquante",IF(E167="","Déclenchement manquant",IF(AND(E167&lt;&gt;"Calendrier",E167&lt;&gt;"Compteur",E167&lt;&gt;"Au premier des deux"),"Déclenchement inconnu",IF(AND(E167&lt;&gt;"Compteur",OR(NOT(ISNUMBER(F167)),N(F167)&lt;=0)),"Périodicité en jours manquante",IF(AND(E167&lt;&gt;"Calendrier",OR(NOT(ISNUMBER(G167)),N(G167)&lt;=0)),"Périodicité compteur manquante",IF(AND(J167&lt;&gt;"",OR(NOT(ISNUMBER(J167)),N(J167)&lt;=0)),"Date de réalisation invalide",IF(AND(K167&lt;&gt;"",OR(NOT(ISNUMBER(K167)),N(K167)&lt;0)),"Compteur de réalisation invalide",IF(AND(E167&lt;&gt;"Compteur",N(M167)=0,IFERROR(N(INDEX(eq_start,MATCH(B167,eq_code,0))),0)=0),"Date de départ manquante",IF(AND(E167&lt;&gt;"Calendrier",K167="",N(N167)=0),"Compteur de départ manquant",IF(AND(E167&lt;&gt;"Calendrier",N(Q167)=0),"Relevé compteur manquant (Équipements)",IF(AND(I167&lt;&gt;"",ISNA(MATCH(I167,tech_name,0))),"Technicien inconnu",IF(AND(L167&lt;&gt;"",L167&lt;&gt;"Oui",L167&lt;&gt;"Non"),"Actif : Oui ou Non","OK")))))))))))))))))</f>
        <v/>
      </c>
      <c r="W167" s="67">
        <f>IFERROR(N(INDEX(eq_use,MATCH(B167,eq_code,0))),0)</f>
        <v>0.0</v>
      </c>
      <c r="X167" s="67" t="str">
        <f>IF(AND(ISNUMBER(S167),W167&gt;0),p_today+MAX(0,ROUNDUP(S167*7/W167,0)),"")</f>
        <v/>
      </c>
      <c r="Y167" s="67" t="str">
        <f>IF(AND(ISNUMBER(T167),OR(U167="En retard",U167="Bientôt",U167="À jour")),IF(AND(ISNUMBER(O167),ISNUMBER(X167)),MIN(F167,G167*7/W167),IF(ISNUMBER(O167),F167,G167*7/W167)),"")</f>
        <v/>
      </c>
      <c r="Z167" s="67" t="str">
        <f>IF(OR(U167="En retard",U167="Bientôt"),IF(U167="En retard",0,1)*1000000000+IF(AB167="A",0,IF(AB167="B",1,IF(AB167="C",2,3)))*100000000+IF(ISNUMBER(T167),T167,p_today)*1000+ROW()-5,"")</f>
        <v/>
      </c>
      <c r="AA167" s="67" t="str">
        <f>IF(Z167="","",COUNTIF($Z$6:$Z$505,"&lt;"&amp;Z167)+1)</f>
        <v/>
      </c>
      <c r="AB167" s="67" t="str">
        <f>IFERROR(INDEX(eq_crit,MATCH(B167,eq_code,0))&amp;"","")</f>
        <v/>
      </c>
    </row>
    <row r="168">
      <c r="A168" s="65" t="n"/>
      <c r="B168" s="66" t="n"/>
      <c r="C168" s="67" t="str">
        <f>IF(B168="","",IFERROR(INDEX(eq_des,MATCH(B168,eq_code,0))&amp;"","Équipement inconnu"))</f>
        <v/>
      </c>
      <c r="D168" s="66" t="n"/>
      <c r="E168" s="68" t="n"/>
      <c r="F168" s="69" t="n"/>
      <c r="G168" s="70" t="n"/>
      <c r="H168" s="71" t="n"/>
      <c r="I168" s="66" t="n"/>
      <c r="J168" s="72" t="n"/>
      <c r="K168" s="73" t="n"/>
      <c r="L168" s="68" t="n"/>
      <c r="M168" s="74" t="str">
        <f>IF(AND(A168="",B168="",D168=""),"",MAX(N(J168),IF(A168="",0,SUMPRODUCT(MAX((in_plan=A168)*in_prev*in_dnum)))))</f>
        <v/>
      </c>
      <c r="N168" s="75" t="str">
        <f>IF(AND(A168="",B168="",D168=""),"",MAX(N(K168),IF(A168="",0,SUMPRODUCT(MAX((in_plan=A168)*in_prev*in_cnum)))))</f>
        <v/>
      </c>
      <c r="O168" s="76" t="str">
        <f>IF(AND(OR(E168="Calendrier",E168="Au premier des deux"),N(F168)&gt;0,IF(N(M168)&gt;0,M168,IFERROR(N(INDEX(eq_start,MATCH(B168,eq_code,0))),0))&gt;0),IF(N(M168)&gt;0,M168,IFERROR(N(INDEX(eq_start,MATCH(B168,eq_code,0))),0))+F168,"")</f>
        <v/>
      </c>
      <c r="P168" s="75" t="str">
        <f>IF(AND(OR(E168="Compteur",E168="Au premier des deux"),N(G168)&gt;0),N(N168)+G168,"")</f>
        <v/>
      </c>
      <c r="Q168" s="75" t="str">
        <f>IF(B168="","",IFERROR(N(INDEX(eq_cnt,MATCH(B168,eq_code,0))),""))</f>
        <v/>
      </c>
      <c r="R168" s="77" t="str">
        <f>IF(ISNUMBER(O168),O168-p_today,"")</f>
        <v/>
      </c>
      <c r="S168" s="78" t="str">
        <f>IF(AND(ISNUMBER(P168),N(Q168)&gt;0),P168-Q168,"")</f>
        <v/>
      </c>
      <c r="T168" s="76" t="str">
        <f>IF(AND(ISNUMBER(O168),ISNUMBER(X168)),MIN(O168,X168),IF(ISNUMBER(O168),O168,X168))</f>
        <v/>
      </c>
      <c r="U168" s="79" t="str">
        <f>IF(AND(A168="",B168="",D168=""),"",IF(L168="Non","Inactif",IF(AND(NOT(ISNUMBER(R168)),NOT(ISNUMBER(S168))),"À compléter",IF(OR(AND(ISNUMBER(R168),N(R168)&lt;0),AND(ISNUMBER(S168),N(S168)&lt;0)),"En retard",IF(OR(AND(ISNUMBER(R168),N(R168)&lt;=p_soon),AND(ISNUMBER(S168),N(S168)&lt;=p_soon_pct*N(G168))),"Bientôt","À jour")))))</f>
        <v/>
      </c>
      <c r="V168" s="79" t="str">
        <f>IF(AND(A168="",B168="",D168=""),"",IF(A168="","N° de plan manquant",IF(COUNTIF($A$6:$A$505,A168)&gt;1,"N° de plan en double",IF(B168="","Équipement manquant",IF(ISNA(MATCH(B168,eq_code,0)),"Équipement inconnu",IF(D168="","Tâche manquante",IF(E168="","Déclenchement manquant",IF(AND(E168&lt;&gt;"Calendrier",E168&lt;&gt;"Compteur",E168&lt;&gt;"Au premier des deux"),"Déclenchement inconnu",IF(AND(E168&lt;&gt;"Compteur",OR(NOT(ISNUMBER(F168)),N(F168)&lt;=0)),"Périodicité en jours manquante",IF(AND(E168&lt;&gt;"Calendrier",OR(NOT(ISNUMBER(G168)),N(G168)&lt;=0)),"Périodicité compteur manquante",IF(AND(J168&lt;&gt;"",OR(NOT(ISNUMBER(J168)),N(J168)&lt;=0)),"Date de réalisation invalide",IF(AND(K168&lt;&gt;"",OR(NOT(ISNUMBER(K168)),N(K168)&lt;0)),"Compteur de réalisation invalide",IF(AND(E168&lt;&gt;"Compteur",N(M168)=0,IFERROR(N(INDEX(eq_start,MATCH(B168,eq_code,0))),0)=0),"Date de départ manquante",IF(AND(E168&lt;&gt;"Calendrier",K168="",N(N168)=0),"Compteur de départ manquant",IF(AND(E168&lt;&gt;"Calendrier",N(Q168)=0),"Relevé compteur manquant (Équipements)",IF(AND(I168&lt;&gt;"",ISNA(MATCH(I168,tech_name,0))),"Technicien inconnu",IF(AND(L168&lt;&gt;"",L168&lt;&gt;"Oui",L168&lt;&gt;"Non"),"Actif : Oui ou Non","OK")))))))))))))))))</f>
        <v/>
      </c>
      <c r="W168" s="67">
        <f>IFERROR(N(INDEX(eq_use,MATCH(B168,eq_code,0))),0)</f>
        <v>0.0</v>
      </c>
      <c r="X168" s="67" t="str">
        <f>IF(AND(ISNUMBER(S168),W168&gt;0),p_today+MAX(0,ROUNDUP(S168*7/W168,0)),"")</f>
        <v/>
      </c>
      <c r="Y168" s="67" t="str">
        <f>IF(AND(ISNUMBER(T168),OR(U168="En retard",U168="Bientôt",U168="À jour")),IF(AND(ISNUMBER(O168),ISNUMBER(X168)),MIN(F168,G168*7/W168),IF(ISNUMBER(O168),F168,G168*7/W168)),"")</f>
        <v/>
      </c>
      <c r="Z168" s="67" t="str">
        <f>IF(OR(U168="En retard",U168="Bientôt"),IF(U168="En retard",0,1)*1000000000+IF(AB168="A",0,IF(AB168="B",1,IF(AB168="C",2,3)))*100000000+IF(ISNUMBER(T168),T168,p_today)*1000+ROW()-5,"")</f>
        <v/>
      </c>
      <c r="AA168" s="67" t="str">
        <f>IF(Z168="","",COUNTIF($Z$6:$Z$505,"&lt;"&amp;Z168)+1)</f>
        <v/>
      </c>
      <c r="AB168" s="67" t="str">
        <f>IFERROR(INDEX(eq_crit,MATCH(B168,eq_code,0))&amp;"","")</f>
        <v/>
      </c>
    </row>
    <row r="169">
      <c r="A169" s="65" t="n"/>
      <c r="B169" s="66" t="n"/>
      <c r="C169" s="67" t="str">
        <f>IF(B169="","",IFERROR(INDEX(eq_des,MATCH(B169,eq_code,0))&amp;"","Équipement inconnu"))</f>
        <v/>
      </c>
      <c r="D169" s="66" t="n"/>
      <c r="E169" s="68" t="n"/>
      <c r="F169" s="69" t="n"/>
      <c r="G169" s="70" t="n"/>
      <c r="H169" s="71" t="n"/>
      <c r="I169" s="66" t="n"/>
      <c r="J169" s="72" t="n"/>
      <c r="K169" s="73" t="n"/>
      <c r="L169" s="68" t="n"/>
      <c r="M169" s="74" t="str">
        <f>IF(AND(A169="",B169="",D169=""),"",MAX(N(J169),IF(A169="",0,SUMPRODUCT(MAX((in_plan=A169)*in_prev*in_dnum)))))</f>
        <v/>
      </c>
      <c r="N169" s="75" t="str">
        <f>IF(AND(A169="",B169="",D169=""),"",MAX(N(K169),IF(A169="",0,SUMPRODUCT(MAX((in_plan=A169)*in_prev*in_cnum)))))</f>
        <v/>
      </c>
      <c r="O169" s="76" t="str">
        <f>IF(AND(OR(E169="Calendrier",E169="Au premier des deux"),N(F169)&gt;0,IF(N(M169)&gt;0,M169,IFERROR(N(INDEX(eq_start,MATCH(B169,eq_code,0))),0))&gt;0),IF(N(M169)&gt;0,M169,IFERROR(N(INDEX(eq_start,MATCH(B169,eq_code,0))),0))+F169,"")</f>
        <v/>
      </c>
      <c r="P169" s="75" t="str">
        <f>IF(AND(OR(E169="Compteur",E169="Au premier des deux"),N(G169)&gt;0),N(N169)+G169,"")</f>
        <v/>
      </c>
      <c r="Q169" s="75" t="str">
        <f>IF(B169="","",IFERROR(N(INDEX(eq_cnt,MATCH(B169,eq_code,0))),""))</f>
        <v/>
      </c>
      <c r="R169" s="77" t="str">
        <f>IF(ISNUMBER(O169),O169-p_today,"")</f>
        <v/>
      </c>
      <c r="S169" s="78" t="str">
        <f>IF(AND(ISNUMBER(P169),N(Q169)&gt;0),P169-Q169,"")</f>
        <v/>
      </c>
      <c r="T169" s="76" t="str">
        <f>IF(AND(ISNUMBER(O169),ISNUMBER(X169)),MIN(O169,X169),IF(ISNUMBER(O169),O169,X169))</f>
        <v/>
      </c>
      <c r="U169" s="79" t="str">
        <f>IF(AND(A169="",B169="",D169=""),"",IF(L169="Non","Inactif",IF(AND(NOT(ISNUMBER(R169)),NOT(ISNUMBER(S169))),"À compléter",IF(OR(AND(ISNUMBER(R169),N(R169)&lt;0),AND(ISNUMBER(S169),N(S169)&lt;0)),"En retard",IF(OR(AND(ISNUMBER(R169),N(R169)&lt;=p_soon),AND(ISNUMBER(S169),N(S169)&lt;=p_soon_pct*N(G169))),"Bientôt","À jour")))))</f>
        <v/>
      </c>
      <c r="V169" s="79" t="str">
        <f>IF(AND(A169="",B169="",D169=""),"",IF(A169="","N° de plan manquant",IF(COUNTIF($A$6:$A$505,A169)&gt;1,"N° de plan en double",IF(B169="","Équipement manquant",IF(ISNA(MATCH(B169,eq_code,0)),"Équipement inconnu",IF(D169="","Tâche manquante",IF(E169="","Déclenchement manquant",IF(AND(E169&lt;&gt;"Calendrier",E169&lt;&gt;"Compteur",E169&lt;&gt;"Au premier des deux"),"Déclenchement inconnu",IF(AND(E169&lt;&gt;"Compteur",OR(NOT(ISNUMBER(F169)),N(F169)&lt;=0)),"Périodicité en jours manquante",IF(AND(E169&lt;&gt;"Calendrier",OR(NOT(ISNUMBER(G169)),N(G169)&lt;=0)),"Périodicité compteur manquante",IF(AND(J169&lt;&gt;"",OR(NOT(ISNUMBER(J169)),N(J169)&lt;=0)),"Date de réalisation invalide",IF(AND(K169&lt;&gt;"",OR(NOT(ISNUMBER(K169)),N(K169)&lt;0)),"Compteur de réalisation invalide",IF(AND(E169&lt;&gt;"Compteur",N(M169)=0,IFERROR(N(INDEX(eq_start,MATCH(B169,eq_code,0))),0)=0),"Date de départ manquante",IF(AND(E169&lt;&gt;"Calendrier",K169="",N(N169)=0),"Compteur de départ manquant",IF(AND(E169&lt;&gt;"Calendrier",N(Q169)=0),"Relevé compteur manquant (Équipements)",IF(AND(I169&lt;&gt;"",ISNA(MATCH(I169,tech_name,0))),"Technicien inconnu",IF(AND(L169&lt;&gt;"",L169&lt;&gt;"Oui",L169&lt;&gt;"Non"),"Actif : Oui ou Non","OK")))))))))))))))))</f>
        <v/>
      </c>
      <c r="W169" s="67">
        <f>IFERROR(N(INDEX(eq_use,MATCH(B169,eq_code,0))),0)</f>
        <v>0.0</v>
      </c>
      <c r="X169" s="67" t="str">
        <f>IF(AND(ISNUMBER(S169),W169&gt;0),p_today+MAX(0,ROUNDUP(S169*7/W169,0)),"")</f>
        <v/>
      </c>
      <c r="Y169" s="67" t="str">
        <f>IF(AND(ISNUMBER(T169),OR(U169="En retard",U169="Bientôt",U169="À jour")),IF(AND(ISNUMBER(O169),ISNUMBER(X169)),MIN(F169,G169*7/W169),IF(ISNUMBER(O169),F169,G169*7/W169)),"")</f>
        <v/>
      </c>
      <c r="Z169" s="67" t="str">
        <f>IF(OR(U169="En retard",U169="Bientôt"),IF(U169="En retard",0,1)*1000000000+IF(AB169="A",0,IF(AB169="B",1,IF(AB169="C",2,3)))*100000000+IF(ISNUMBER(T169),T169,p_today)*1000+ROW()-5,"")</f>
        <v/>
      </c>
      <c r="AA169" s="67" t="str">
        <f>IF(Z169="","",COUNTIF($Z$6:$Z$505,"&lt;"&amp;Z169)+1)</f>
        <v/>
      </c>
      <c r="AB169" s="67" t="str">
        <f>IFERROR(INDEX(eq_crit,MATCH(B169,eq_code,0))&amp;"","")</f>
        <v/>
      </c>
    </row>
    <row r="170">
      <c r="A170" s="65" t="n"/>
      <c r="B170" s="66" t="n"/>
      <c r="C170" s="67" t="str">
        <f>IF(B170="","",IFERROR(INDEX(eq_des,MATCH(B170,eq_code,0))&amp;"","Équipement inconnu"))</f>
        <v/>
      </c>
      <c r="D170" s="66" t="n"/>
      <c r="E170" s="68" t="n"/>
      <c r="F170" s="69" t="n"/>
      <c r="G170" s="70" t="n"/>
      <c r="H170" s="71" t="n"/>
      <c r="I170" s="66" t="n"/>
      <c r="J170" s="72" t="n"/>
      <c r="K170" s="73" t="n"/>
      <c r="L170" s="68" t="n"/>
      <c r="M170" s="74" t="str">
        <f>IF(AND(A170="",B170="",D170=""),"",MAX(N(J170),IF(A170="",0,SUMPRODUCT(MAX((in_plan=A170)*in_prev*in_dnum)))))</f>
        <v/>
      </c>
      <c r="N170" s="75" t="str">
        <f>IF(AND(A170="",B170="",D170=""),"",MAX(N(K170),IF(A170="",0,SUMPRODUCT(MAX((in_plan=A170)*in_prev*in_cnum)))))</f>
        <v/>
      </c>
      <c r="O170" s="76" t="str">
        <f>IF(AND(OR(E170="Calendrier",E170="Au premier des deux"),N(F170)&gt;0,IF(N(M170)&gt;0,M170,IFERROR(N(INDEX(eq_start,MATCH(B170,eq_code,0))),0))&gt;0),IF(N(M170)&gt;0,M170,IFERROR(N(INDEX(eq_start,MATCH(B170,eq_code,0))),0))+F170,"")</f>
        <v/>
      </c>
      <c r="P170" s="75" t="str">
        <f>IF(AND(OR(E170="Compteur",E170="Au premier des deux"),N(G170)&gt;0),N(N170)+G170,"")</f>
        <v/>
      </c>
      <c r="Q170" s="75" t="str">
        <f>IF(B170="","",IFERROR(N(INDEX(eq_cnt,MATCH(B170,eq_code,0))),""))</f>
        <v/>
      </c>
      <c r="R170" s="77" t="str">
        <f>IF(ISNUMBER(O170),O170-p_today,"")</f>
        <v/>
      </c>
      <c r="S170" s="78" t="str">
        <f>IF(AND(ISNUMBER(P170),N(Q170)&gt;0),P170-Q170,"")</f>
        <v/>
      </c>
      <c r="T170" s="76" t="str">
        <f>IF(AND(ISNUMBER(O170),ISNUMBER(X170)),MIN(O170,X170),IF(ISNUMBER(O170),O170,X170))</f>
        <v/>
      </c>
      <c r="U170" s="79" t="str">
        <f>IF(AND(A170="",B170="",D170=""),"",IF(L170="Non","Inactif",IF(AND(NOT(ISNUMBER(R170)),NOT(ISNUMBER(S170))),"À compléter",IF(OR(AND(ISNUMBER(R170),N(R170)&lt;0),AND(ISNUMBER(S170),N(S170)&lt;0)),"En retard",IF(OR(AND(ISNUMBER(R170),N(R170)&lt;=p_soon),AND(ISNUMBER(S170),N(S170)&lt;=p_soon_pct*N(G170))),"Bientôt","À jour")))))</f>
        <v/>
      </c>
      <c r="V170" s="79" t="str">
        <f>IF(AND(A170="",B170="",D170=""),"",IF(A170="","N° de plan manquant",IF(COUNTIF($A$6:$A$505,A170)&gt;1,"N° de plan en double",IF(B170="","Équipement manquant",IF(ISNA(MATCH(B170,eq_code,0)),"Équipement inconnu",IF(D170="","Tâche manquante",IF(E170="","Déclenchement manquant",IF(AND(E170&lt;&gt;"Calendrier",E170&lt;&gt;"Compteur",E170&lt;&gt;"Au premier des deux"),"Déclenchement inconnu",IF(AND(E170&lt;&gt;"Compteur",OR(NOT(ISNUMBER(F170)),N(F170)&lt;=0)),"Périodicité en jours manquante",IF(AND(E170&lt;&gt;"Calendrier",OR(NOT(ISNUMBER(G170)),N(G170)&lt;=0)),"Périodicité compteur manquante",IF(AND(J170&lt;&gt;"",OR(NOT(ISNUMBER(J170)),N(J170)&lt;=0)),"Date de réalisation invalide",IF(AND(K170&lt;&gt;"",OR(NOT(ISNUMBER(K170)),N(K170)&lt;0)),"Compteur de réalisation invalide",IF(AND(E170&lt;&gt;"Compteur",N(M170)=0,IFERROR(N(INDEX(eq_start,MATCH(B170,eq_code,0))),0)=0),"Date de départ manquante",IF(AND(E170&lt;&gt;"Calendrier",K170="",N(N170)=0),"Compteur de départ manquant",IF(AND(E170&lt;&gt;"Calendrier",N(Q170)=0),"Relevé compteur manquant (Équipements)",IF(AND(I170&lt;&gt;"",ISNA(MATCH(I170,tech_name,0))),"Technicien inconnu",IF(AND(L170&lt;&gt;"",L170&lt;&gt;"Oui",L170&lt;&gt;"Non"),"Actif : Oui ou Non","OK")))))))))))))))))</f>
        <v/>
      </c>
      <c r="W170" s="67">
        <f>IFERROR(N(INDEX(eq_use,MATCH(B170,eq_code,0))),0)</f>
        <v>0.0</v>
      </c>
      <c r="X170" s="67" t="str">
        <f>IF(AND(ISNUMBER(S170),W170&gt;0),p_today+MAX(0,ROUNDUP(S170*7/W170,0)),"")</f>
        <v/>
      </c>
      <c r="Y170" s="67" t="str">
        <f>IF(AND(ISNUMBER(T170),OR(U170="En retard",U170="Bientôt",U170="À jour")),IF(AND(ISNUMBER(O170),ISNUMBER(X170)),MIN(F170,G170*7/W170),IF(ISNUMBER(O170),F170,G170*7/W170)),"")</f>
        <v/>
      </c>
      <c r="Z170" s="67" t="str">
        <f>IF(OR(U170="En retard",U170="Bientôt"),IF(U170="En retard",0,1)*1000000000+IF(AB170="A",0,IF(AB170="B",1,IF(AB170="C",2,3)))*100000000+IF(ISNUMBER(T170),T170,p_today)*1000+ROW()-5,"")</f>
        <v/>
      </c>
      <c r="AA170" s="67" t="str">
        <f>IF(Z170="","",COUNTIF($Z$6:$Z$505,"&lt;"&amp;Z170)+1)</f>
        <v/>
      </c>
      <c r="AB170" s="67" t="str">
        <f>IFERROR(INDEX(eq_crit,MATCH(B170,eq_code,0))&amp;"","")</f>
        <v/>
      </c>
    </row>
    <row r="171">
      <c r="A171" s="65" t="n"/>
      <c r="B171" s="66" t="n"/>
      <c r="C171" s="67" t="str">
        <f>IF(B171="","",IFERROR(INDEX(eq_des,MATCH(B171,eq_code,0))&amp;"","Équipement inconnu"))</f>
        <v/>
      </c>
      <c r="D171" s="66" t="n"/>
      <c r="E171" s="68" t="n"/>
      <c r="F171" s="69" t="n"/>
      <c r="G171" s="70" t="n"/>
      <c r="H171" s="71" t="n"/>
      <c r="I171" s="66" t="n"/>
      <c r="J171" s="72" t="n"/>
      <c r="K171" s="73" t="n"/>
      <c r="L171" s="68" t="n"/>
      <c r="M171" s="74" t="str">
        <f>IF(AND(A171="",B171="",D171=""),"",MAX(N(J171),IF(A171="",0,SUMPRODUCT(MAX((in_plan=A171)*in_prev*in_dnum)))))</f>
        <v/>
      </c>
      <c r="N171" s="75" t="str">
        <f>IF(AND(A171="",B171="",D171=""),"",MAX(N(K171),IF(A171="",0,SUMPRODUCT(MAX((in_plan=A171)*in_prev*in_cnum)))))</f>
        <v/>
      </c>
      <c r="O171" s="76" t="str">
        <f>IF(AND(OR(E171="Calendrier",E171="Au premier des deux"),N(F171)&gt;0,IF(N(M171)&gt;0,M171,IFERROR(N(INDEX(eq_start,MATCH(B171,eq_code,0))),0))&gt;0),IF(N(M171)&gt;0,M171,IFERROR(N(INDEX(eq_start,MATCH(B171,eq_code,0))),0))+F171,"")</f>
        <v/>
      </c>
      <c r="P171" s="75" t="str">
        <f>IF(AND(OR(E171="Compteur",E171="Au premier des deux"),N(G171)&gt;0),N(N171)+G171,"")</f>
        <v/>
      </c>
      <c r="Q171" s="75" t="str">
        <f>IF(B171="","",IFERROR(N(INDEX(eq_cnt,MATCH(B171,eq_code,0))),""))</f>
        <v/>
      </c>
      <c r="R171" s="77" t="str">
        <f>IF(ISNUMBER(O171),O171-p_today,"")</f>
        <v/>
      </c>
      <c r="S171" s="78" t="str">
        <f>IF(AND(ISNUMBER(P171),N(Q171)&gt;0),P171-Q171,"")</f>
        <v/>
      </c>
      <c r="T171" s="76" t="str">
        <f>IF(AND(ISNUMBER(O171),ISNUMBER(X171)),MIN(O171,X171),IF(ISNUMBER(O171),O171,X171))</f>
        <v/>
      </c>
      <c r="U171" s="79" t="str">
        <f>IF(AND(A171="",B171="",D171=""),"",IF(L171="Non","Inactif",IF(AND(NOT(ISNUMBER(R171)),NOT(ISNUMBER(S171))),"À compléter",IF(OR(AND(ISNUMBER(R171),N(R171)&lt;0),AND(ISNUMBER(S171),N(S171)&lt;0)),"En retard",IF(OR(AND(ISNUMBER(R171),N(R171)&lt;=p_soon),AND(ISNUMBER(S171),N(S171)&lt;=p_soon_pct*N(G171))),"Bientôt","À jour")))))</f>
        <v/>
      </c>
      <c r="V171" s="79" t="str">
        <f>IF(AND(A171="",B171="",D171=""),"",IF(A171="","N° de plan manquant",IF(COUNTIF($A$6:$A$505,A171)&gt;1,"N° de plan en double",IF(B171="","Équipement manquant",IF(ISNA(MATCH(B171,eq_code,0)),"Équipement inconnu",IF(D171="","Tâche manquante",IF(E171="","Déclenchement manquant",IF(AND(E171&lt;&gt;"Calendrier",E171&lt;&gt;"Compteur",E171&lt;&gt;"Au premier des deux"),"Déclenchement inconnu",IF(AND(E171&lt;&gt;"Compteur",OR(NOT(ISNUMBER(F171)),N(F171)&lt;=0)),"Périodicité en jours manquante",IF(AND(E171&lt;&gt;"Calendrier",OR(NOT(ISNUMBER(G171)),N(G171)&lt;=0)),"Périodicité compteur manquante",IF(AND(J171&lt;&gt;"",OR(NOT(ISNUMBER(J171)),N(J171)&lt;=0)),"Date de réalisation invalide",IF(AND(K171&lt;&gt;"",OR(NOT(ISNUMBER(K171)),N(K171)&lt;0)),"Compteur de réalisation invalide",IF(AND(E171&lt;&gt;"Compteur",N(M171)=0,IFERROR(N(INDEX(eq_start,MATCH(B171,eq_code,0))),0)=0),"Date de départ manquante",IF(AND(E171&lt;&gt;"Calendrier",K171="",N(N171)=0),"Compteur de départ manquant",IF(AND(E171&lt;&gt;"Calendrier",N(Q171)=0),"Relevé compteur manquant (Équipements)",IF(AND(I171&lt;&gt;"",ISNA(MATCH(I171,tech_name,0))),"Technicien inconnu",IF(AND(L171&lt;&gt;"",L171&lt;&gt;"Oui",L171&lt;&gt;"Non"),"Actif : Oui ou Non","OK")))))))))))))))))</f>
        <v/>
      </c>
      <c r="W171" s="67">
        <f>IFERROR(N(INDEX(eq_use,MATCH(B171,eq_code,0))),0)</f>
        <v>0.0</v>
      </c>
      <c r="X171" s="67" t="str">
        <f>IF(AND(ISNUMBER(S171),W171&gt;0),p_today+MAX(0,ROUNDUP(S171*7/W171,0)),"")</f>
        <v/>
      </c>
      <c r="Y171" s="67" t="str">
        <f>IF(AND(ISNUMBER(T171),OR(U171="En retard",U171="Bientôt",U171="À jour")),IF(AND(ISNUMBER(O171),ISNUMBER(X171)),MIN(F171,G171*7/W171),IF(ISNUMBER(O171),F171,G171*7/W171)),"")</f>
        <v/>
      </c>
      <c r="Z171" s="67" t="str">
        <f>IF(OR(U171="En retard",U171="Bientôt"),IF(U171="En retard",0,1)*1000000000+IF(AB171="A",0,IF(AB171="B",1,IF(AB171="C",2,3)))*100000000+IF(ISNUMBER(T171),T171,p_today)*1000+ROW()-5,"")</f>
        <v/>
      </c>
      <c r="AA171" s="67" t="str">
        <f>IF(Z171="","",COUNTIF($Z$6:$Z$505,"&lt;"&amp;Z171)+1)</f>
        <v/>
      </c>
      <c r="AB171" s="67" t="str">
        <f>IFERROR(INDEX(eq_crit,MATCH(B171,eq_code,0))&amp;"","")</f>
        <v/>
      </c>
    </row>
    <row r="172">
      <c r="A172" s="65" t="n"/>
      <c r="B172" s="66" t="n"/>
      <c r="C172" s="67" t="str">
        <f>IF(B172="","",IFERROR(INDEX(eq_des,MATCH(B172,eq_code,0))&amp;"","Équipement inconnu"))</f>
        <v/>
      </c>
      <c r="D172" s="66" t="n"/>
      <c r="E172" s="68" t="n"/>
      <c r="F172" s="69" t="n"/>
      <c r="G172" s="70" t="n"/>
      <c r="H172" s="71" t="n"/>
      <c r="I172" s="66" t="n"/>
      <c r="J172" s="72" t="n"/>
      <c r="K172" s="73" t="n"/>
      <c r="L172" s="68" t="n"/>
      <c r="M172" s="74" t="str">
        <f>IF(AND(A172="",B172="",D172=""),"",MAX(N(J172),IF(A172="",0,SUMPRODUCT(MAX((in_plan=A172)*in_prev*in_dnum)))))</f>
        <v/>
      </c>
      <c r="N172" s="75" t="str">
        <f>IF(AND(A172="",B172="",D172=""),"",MAX(N(K172),IF(A172="",0,SUMPRODUCT(MAX((in_plan=A172)*in_prev*in_cnum)))))</f>
        <v/>
      </c>
      <c r="O172" s="76" t="str">
        <f>IF(AND(OR(E172="Calendrier",E172="Au premier des deux"),N(F172)&gt;0,IF(N(M172)&gt;0,M172,IFERROR(N(INDEX(eq_start,MATCH(B172,eq_code,0))),0))&gt;0),IF(N(M172)&gt;0,M172,IFERROR(N(INDEX(eq_start,MATCH(B172,eq_code,0))),0))+F172,"")</f>
        <v/>
      </c>
      <c r="P172" s="75" t="str">
        <f>IF(AND(OR(E172="Compteur",E172="Au premier des deux"),N(G172)&gt;0),N(N172)+G172,"")</f>
        <v/>
      </c>
      <c r="Q172" s="75" t="str">
        <f>IF(B172="","",IFERROR(N(INDEX(eq_cnt,MATCH(B172,eq_code,0))),""))</f>
        <v/>
      </c>
      <c r="R172" s="77" t="str">
        <f>IF(ISNUMBER(O172),O172-p_today,"")</f>
        <v/>
      </c>
      <c r="S172" s="78" t="str">
        <f>IF(AND(ISNUMBER(P172),N(Q172)&gt;0),P172-Q172,"")</f>
        <v/>
      </c>
      <c r="T172" s="76" t="str">
        <f>IF(AND(ISNUMBER(O172),ISNUMBER(X172)),MIN(O172,X172),IF(ISNUMBER(O172),O172,X172))</f>
        <v/>
      </c>
      <c r="U172" s="79" t="str">
        <f>IF(AND(A172="",B172="",D172=""),"",IF(L172="Non","Inactif",IF(AND(NOT(ISNUMBER(R172)),NOT(ISNUMBER(S172))),"À compléter",IF(OR(AND(ISNUMBER(R172),N(R172)&lt;0),AND(ISNUMBER(S172),N(S172)&lt;0)),"En retard",IF(OR(AND(ISNUMBER(R172),N(R172)&lt;=p_soon),AND(ISNUMBER(S172),N(S172)&lt;=p_soon_pct*N(G172))),"Bientôt","À jour")))))</f>
        <v/>
      </c>
      <c r="V172" s="79" t="str">
        <f>IF(AND(A172="",B172="",D172=""),"",IF(A172="","N° de plan manquant",IF(COUNTIF($A$6:$A$505,A172)&gt;1,"N° de plan en double",IF(B172="","Équipement manquant",IF(ISNA(MATCH(B172,eq_code,0)),"Équipement inconnu",IF(D172="","Tâche manquante",IF(E172="","Déclenchement manquant",IF(AND(E172&lt;&gt;"Calendrier",E172&lt;&gt;"Compteur",E172&lt;&gt;"Au premier des deux"),"Déclenchement inconnu",IF(AND(E172&lt;&gt;"Compteur",OR(NOT(ISNUMBER(F172)),N(F172)&lt;=0)),"Périodicité en jours manquante",IF(AND(E172&lt;&gt;"Calendrier",OR(NOT(ISNUMBER(G172)),N(G172)&lt;=0)),"Périodicité compteur manquante",IF(AND(J172&lt;&gt;"",OR(NOT(ISNUMBER(J172)),N(J172)&lt;=0)),"Date de réalisation invalide",IF(AND(K172&lt;&gt;"",OR(NOT(ISNUMBER(K172)),N(K172)&lt;0)),"Compteur de réalisation invalide",IF(AND(E172&lt;&gt;"Compteur",N(M172)=0,IFERROR(N(INDEX(eq_start,MATCH(B172,eq_code,0))),0)=0),"Date de départ manquante",IF(AND(E172&lt;&gt;"Calendrier",K172="",N(N172)=0),"Compteur de départ manquant",IF(AND(E172&lt;&gt;"Calendrier",N(Q172)=0),"Relevé compteur manquant (Équipements)",IF(AND(I172&lt;&gt;"",ISNA(MATCH(I172,tech_name,0))),"Technicien inconnu",IF(AND(L172&lt;&gt;"",L172&lt;&gt;"Oui",L172&lt;&gt;"Non"),"Actif : Oui ou Non","OK")))))))))))))))))</f>
        <v/>
      </c>
      <c r="W172" s="67">
        <f>IFERROR(N(INDEX(eq_use,MATCH(B172,eq_code,0))),0)</f>
        <v>0.0</v>
      </c>
      <c r="X172" s="67" t="str">
        <f>IF(AND(ISNUMBER(S172),W172&gt;0),p_today+MAX(0,ROUNDUP(S172*7/W172,0)),"")</f>
        <v/>
      </c>
      <c r="Y172" s="67" t="str">
        <f>IF(AND(ISNUMBER(T172),OR(U172="En retard",U172="Bientôt",U172="À jour")),IF(AND(ISNUMBER(O172),ISNUMBER(X172)),MIN(F172,G172*7/W172),IF(ISNUMBER(O172),F172,G172*7/W172)),"")</f>
        <v/>
      </c>
      <c r="Z172" s="67" t="str">
        <f>IF(OR(U172="En retard",U172="Bientôt"),IF(U172="En retard",0,1)*1000000000+IF(AB172="A",0,IF(AB172="B",1,IF(AB172="C",2,3)))*100000000+IF(ISNUMBER(T172),T172,p_today)*1000+ROW()-5,"")</f>
        <v/>
      </c>
      <c r="AA172" s="67" t="str">
        <f>IF(Z172="","",COUNTIF($Z$6:$Z$505,"&lt;"&amp;Z172)+1)</f>
        <v/>
      </c>
      <c r="AB172" s="67" t="str">
        <f>IFERROR(INDEX(eq_crit,MATCH(B172,eq_code,0))&amp;"","")</f>
        <v/>
      </c>
    </row>
    <row r="173">
      <c r="A173" s="65" t="n"/>
      <c r="B173" s="66" t="n"/>
      <c r="C173" s="67" t="str">
        <f>IF(B173="","",IFERROR(INDEX(eq_des,MATCH(B173,eq_code,0))&amp;"","Équipement inconnu"))</f>
        <v/>
      </c>
      <c r="D173" s="66" t="n"/>
      <c r="E173" s="68" t="n"/>
      <c r="F173" s="69" t="n"/>
      <c r="G173" s="70" t="n"/>
      <c r="H173" s="71" t="n"/>
      <c r="I173" s="66" t="n"/>
      <c r="J173" s="72" t="n"/>
      <c r="K173" s="73" t="n"/>
      <c r="L173" s="68" t="n"/>
      <c r="M173" s="74" t="str">
        <f>IF(AND(A173="",B173="",D173=""),"",MAX(N(J173),IF(A173="",0,SUMPRODUCT(MAX((in_plan=A173)*in_prev*in_dnum)))))</f>
        <v/>
      </c>
      <c r="N173" s="75" t="str">
        <f>IF(AND(A173="",B173="",D173=""),"",MAX(N(K173),IF(A173="",0,SUMPRODUCT(MAX((in_plan=A173)*in_prev*in_cnum)))))</f>
        <v/>
      </c>
      <c r="O173" s="76" t="str">
        <f>IF(AND(OR(E173="Calendrier",E173="Au premier des deux"),N(F173)&gt;0,IF(N(M173)&gt;0,M173,IFERROR(N(INDEX(eq_start,MATCH(B173,eq_code,0))),0))&gt;0),IF(N(M173)&gt;0,M173,IFERROR(N(INDEX(eq_start,MATCH(B173,eq_code,0))),0))+F173,"")</f>
        <v/>
      </c>
      <c r="P173" s="75" t="str">
        <f>IF(AND(OR(E173="Compteur",E173="Au premier des deux"),N(G173)&gt;0),N(N173)+G173,"")</f>
        <v/>
      </c>
      <c r="Q173" s="75" t="str">
        <f>IF(B173="","",IFERROR(N(INDEX(eq_cnt,MATCH(B173,eq_code,0))),""))</f>
        <v/>
      </c>
      <c r="R173" s="77" t="str">
        <f>IF(ISNUMBER(O173),O173-p_today,"")</f>
        <v/>
      </c>
      <c r="S173" s="78" t="str">
        <f>IF(AND(ISNUMBER(P173),N(Q173)&gt;0),P173-Q173,"")</f>
        <v/>
      </c>
      <c r="T173" s="76" t="str">
        <f>IF(AND(ISNUMBER(O173),ISNUMBER(X173)),MIN(O173,X173),IF(ISNUMBER(O173),O173,X173))</f>
        <v/>
      </c>
      <c r="U173" s="79" t="str">
        <f>IF(AND(A173="",B173="",D173=""),"",IF(L173="Non","Inactif",IF(AND(NOT(ISNUMBER(R173)),NOT(ISNUMBER(S173))),"À compléter",IF(OR(AND(ISNUMBER(R173),N(R173)&lt;0),AND(ISNUMBER(S173),N(S173)&lt;0)),"En retard",IF(OR(AND(ISNUMBER(R173),N(R173)&lt;=p_soon),AND(ISNUMBER(S173),N(S173)&lt;=p_soon_pct*N(G173))),"Bientôt","À jour")))))</f>
        <v/>
      </c>
      <c r="V173" s="79" t="str">
        <f>IF(AND(A173="",B173="",D173=""),"",IF(A173="","N° de plan manquant",IF(COUNTIF($A$6:$A$505,A173)&gt;1,"N° de plan en double",IF(B173="","Équipement manquant",IF(ISNA(MATCH(B173,eq_code,0)),"Équipement inconnu",IF(D173="","Tâche manquante",IF(E173="","Déclenchement manquant",IF(AND(E173&lt;&gt;"Calendrier",E173&lt;&gt;"Compteur",E173&lt;&gt;"Au premier des deux"),"Déclenchement inconnu",IF(AND(E173&lt;&gt;"Compteur",OR(NOT(ISNUMBER(F173)),N(F173)&lt;=0)),"Périodicité en jours manquante",IF(AND(E173&lt;&gt;"Calendrier",OR(NOT(ISNUMBER(G173)),N(G173)&lt;=0)),"Périodicité compteur manquante",IF(AND(J173&lt;&gt;"",OR(NOT(ISNUMBER(J173)),N(J173)&lt;=0)),"Date de réalisation invalide",IF(AND(K173&lt;&gt;"",OR(NOT(ISNUMBER(K173)),N(K173)&lt;0)),"Compteur de réalisation invalide",IF(AND(E173&lt;&gt;"Compteur",N(M173)=0,IFERROR(N(INDEX(eq_start,MATCH(B173,eq_code,0))),0)=0),"Date de départ manquante",IF(AND(E173&lt;&gt;"Calendrier",K173="",N(N173)=0),"Compteur de départ manquant",IF(AND(E173&lt;&gt;"Calendrier",N(Q173)=0),"Relevé compteur manquant (Équipements)",IF(AND(I173&lt;&gt;"",ISNA(MATCH(I173,tech_name,0))),"Technicien inconnu",IF(AND(L173&lt;&gt;"",L173&lt;&gt;"Oui",L173&lt;&gt;"Non"),"Actif : Oui ou Non","OK")))))))))))))))))</f>
        <v/>
      </c>
      <c r="W173" s="67">
        <f>IFERROR(N(INDEX(eq_use,MATCH(B173,eq_code,0))),0)</f>
        <v>0.0</v>
      </c>
      <c r="X173" s="67" t="str">
        <f>IF(AND(ISNUMBER(S173),W173&gt;0),p_today+MAX(0,ROUNDUP(S173*7/W173,0)),"")</f>
        <v/>
      </c>
      <c r="Y173" s="67" t="str">
        <f>IF(AND(ISNUMBER(T173),OR(U173="En retard",U173="Bientôt",U173="À jour")),IF(AND(ISNUMBER(O173),ISNUMBER(X173)),MIN(F173,G173*7/W173),IF(ISNUMBER(O173),F173,G173*7/W173)),"")</f>
        <v/>
      </c>
      <c r="Z173" s="67" t="str">
        <f>IF(OR(U173="En retard",U173="Bientôt"),IF(U173="En retard",0,1)*1000000000+IF(AB173="A",0,IF(AB173="B",1,IF(AB173="C",2,3)))*100000000+IF(ISNUMBER(T173),T173,p_today)*1000+ROW()-5,"")</f>
        <v/>
      </c>
      <c r="AA173" s="67" t="str">
        <f>IF(Z173="","",COUNTIF($Z$6:$Z$505,"&lt;"&amp;Z173)+1)</f>
        <v/>
      </c>
      <c r="AB173" s="67" t="str">
        <f>IFERROR(INDEX(eq_crit,MATCH(B173,eq_code,0))&amp;"","")</f>
        <v/>
      </c>
    </row>
    <row r="174">
      <c r="A174" s="65" t="n"/>
      <c r="B174" s="66" t="n"/>
      <c r="C174" s="67" t="str">
        <f>IF(B174="","",IFERROR(INDEX(eq_des,MATCH(B174,eq_code,0))&amp;"","Équipement inconnu"))</f>
        <v/>
      </c>
      <c r="D174" s="66" t="n"/>
      <c r="E174" s="68" t="n"/>
      <c r="F174" s="69" t="n"/>
      <c r="G174" s="70" t="n"/>
      <c r="H174" s="71" t="n"/>
      <c r="I174" s="66" t="n"/>
      <c r="J174" s="72" t="n"/>
      <c r="K174" s="73" t="n"/>
      <c r="L174" s="68" t="n"/>
      <c r="M174" s="74" t="str">
        <f>IF(AND(A174="",B174="",D174=""),"",MAX(N(J174),IF(A174="",0,SUMPRODUCT(MAX((in_plan=A174)*in_prev*in_dnum)))))</f>
        <v/>
      </c>
      <c r="N174" s="75" t="str">
        <f>IF(AND(A174="",B174="",D174=""),"",MAX(N(K174),IF(A174="",0,SUMPRODUCT(MAX((in_plan=A174)*in_prev*in_cnum)))))</f>
        <v/>
      </c>
      <c r="O174" s="76" t="str">
        <f>IF(AND(OR(E174="Calendrier",E174="Au premier des deux"),N(F174)&gt;0,IF(N(M174)&gt;0,M174,IFERROR(N(INDEX(eq_start,MATCH(B174,eq_code,0))),0))&gt;0),IF(N(M174)&gt;0,M174,IFERROR(N(INDEX(eq_start,MATCH(B174,eq_code,0))),0))+F174,"")</f>
        <v/>
      </c>
      <c r="P174" s="75" t="str">
        <f>IF(AND(OR(E174="Compteur",E174="Au premier des deux"),N(G174)&gt;0),N(N174)+G174,"")</f>
        <v/>
      </c>
      <c r="Q174" s="75" t="str">
        <f>IF(B174="","",IFERROR(N(INDEX(eq_cnt,MATCH(B174,eq_code,0))),""))</f>
        <v/>
      </c>
      <c r="R174" s="77" t="str">
        <f>IF(ISNUMBER(O174),O174-p_today,"")</f>
        <v/>
      </c>
      <c r="S174" s="78" t="str">
        <f>IF(AND(ISNUMBER(P174),N(Q174)&gt;0),P174-Q174,"")</f>
        <v/>
      </c>
      <c r="T174" s="76" t="str">
        <f>IF(AND(ISNUMBER(O174),ISNUMBER(X174)),MIN(O174,X174),IF(ISNUMBER(O174),O174,X174))</f>
        <v/>
      </c>
      <c r="U174" s="79" t="str">
        <f>IF(AND(A174="",B174="",D174=""),"",IF(L174="Non","Inactif",IF(AND(NOT(ISNUMBER(R174)),NOT(ISNUMBER(S174))),"À compléter",IF(OR(AND(ISNUMBER(R174),N(R174)&lt;0),AND(ISNUMBER(S174),N(S174)&lt;0)),"En retard",IF(OR(AND(ISNUMBER(R174),N(R174)&lt;=p_soon),AND(ISNUMBER(S174),N(S174)&lt;=p_soon_pct*N(G174))),"Bientôt","À jour")))))</f>
        <v/>
      </c>
      <c r="V174" s="79" t="str">
        <f>IF(AND(A174="",B174="",D174=""),"",IF(A174="","N° de plan manquant",IF(COUNTIF($A$6:$A$505,A174)&gt;1,"N° de plan en double",IF(B174="","Équipement manquant",IF(ISNA(MATCH(B174,eq_code,0)),"Équipement inconnu",IF(D174="","Tâche manquante",IF(E174="","Déclenchement manquant",IF(AND(E174&lt;&gt;"Calendrier",E174&lt;&gt;"Compteur",E174&lt;&gt;"Au premier des deux"),"Déclenchement inconnu",IF(AND(E174&lt;&gt;"Compteur",OR(NOT(ISNUMBER(F174)),N(F174)&lt;=0)),"Périodicité en jours manquante",IF(AND(E174&lt;&gt;"Calendrier",OR(NOT(ISNUMBER(G174)),N(G174)&lt;=0)),"Périodicité compteur manquante",IF(AND(J174&lt;&gt;"",OR(NOT(ISNUMBER(J174)),N(J174)&lt;=0)),"Date de réalisation invalide",IF(AND(K174&lt;&gt;"",OR(NOT(ISNUMBER(K174)),N(K174)&lt;0)),"Compteur de réalisation invalide",IF(AND(E174&lt;&gt;"Compteur",N(M174)=0,IFERROR(N(INDEX(eq_start,MATCH(B174,eq_code,0))),0)=0),"Date de départ manquante",IF(AND(E174&lt;&gt;"Calendrier",K174="",N(N174)=0),"Compteur de départ manquant",IF(AND(E174&lt;&gt;"Calendrier",N(Q174)=0),"Relevé compteur manquant (Équipements)",IF(AND(I174&lt;&gt;"",ISNA(MATCH(I174,tech_name,0))),"Technicien inconnu",IF(AND(L174&lt;&gt;"",L174&lt;&gt;"Oui",L174&lt;&gt;"Non"),"Actif : Oui ou Non","OK")))))))))))))))))</f>
        <v/>
      </c>
      <c r="W174" s="67">
        <f>IFERROR(N(INDEX(eq_use,MATCH(B174,eq_code,0))),0)</f>
        <v>0.0</v>
      </c>
      <c r="X174" s="67" t="str">
        <f>IF(AND(ISNUMBER(S174),W174&gt;0),p_today+MAX(0,ROUNDUP(S174*7/W174,0)),"")</f>
        <v/>
      </c>
      <c r="Y174" s="67" t="str">
        <f>IF(AND(ISNUMBER(T174),OR(U174="En retard",U174="Bientôt",U174="À jour")),IF(AND(ISNUMBER(O174),ISNUMBER(X174)),MIN(F174,G174*7/W174),IF(ISNUMBER(O174),F174,G174*7/W174)),"")</f>
        <v/>
      </c>
      <c r="Z174" s="67" t="str">
        <f>IF(OR(U174="En retard",U174="Bientôt"),IF(U174="En retard",0,1)*1000000000+IF(AB174="A",0,IF(AB174="B",1,IF(AB174="C",2,3)))*100000000+IF(ISNUMBER(T174),T174,p_today)*1000+ROW()-5,"")</f>
        <v/>
      </c>
      <c r="AA174" s="67" t="str">
        <f>IF(Z174="","",COUNTIF($Z$6:$Z$505,"&lt;"&amp;Z174)+1)</f>
        <v/>
      </c>
      <c r="AB174" s="67" t="str">
        <f>IFERROR(INDEX(eq_crit,MATCH(B174,eq_code,0))&amp;"","")</f>
        <v/>
      </c>
    </row>
    <row r="175">
      <c r="A175" s="65" t="n"/>
      <c r="B175" s="66" t="n"/>
      <c r="C175" s="67" t="str">
        <f>IF(B175="","",IFERROR(INDEX(eq_des,MATCH(B175,eq_code,0))&amp;"","Équipement inconnu"))</f>
        <v/>
      </c>
      <c r="D175" s="66" t="n"/>
      <c r="E175" s="68" t="n"/>
      <c r="F175" s="69" t="n"/>
      <c r="G175" s="70" t="n"/>
      <c r="H175" s="71" t="n"/>
      <c r="I175" s="66" t="n"/>
      <c r="J175" s="72" t="n"/>
      <c r="K175" s="73" t="n"/>
      <c r="L175" s="68" t="n"/>
      <c r="M175" s="74" t="str">
        <f>IF(AND(A175="",B175="",D175=""),"",MAX(N(J175),IF(A175="",0,SUMPRODUCT(MAX((in_plan=A175)*in_prev*in_dnum)))))</f>
        <v/>
      </c>
      <c r="N175" s="75" t="str">
        <f>IF(AND(A175="",B175="",D175=""),"",MAX(N(K175),IF(A175="",0,SUMPRODUCT(MAX((in_plan=A175)*in_prev*in_cnum)))))</f>
        <v/>
      </c>
      <c r="O175" s="76" t="str">
        <f>IF(AND(OR(E175="Calendrier",E175="Au premier des deux"),N(F175)&gt;0,IF(N(M175)&gt;0,M175,IFERROR(N(INDEX(eq_start,MATCH(B175,eq_code,0))),0))&gt;0),IF(N(M175)&gt;0,M175,IFERROR(N(INDEX(eq_start,MATCH(B175,eq_code,0))),0))+F175,"")</f>
        <v/>
      </c>
      <c r="P175" s="75" t="str">
        <f>IF(AND(OR(E175="Compteur",E175="Au premier des deux"),N(G175)&gt;0),N(N175)+G175,"")</f>
        <v/>
      </c>
      <c r="Q175" s="75" t="str">
        <f>IF(B175="","",IFERROR(N(INDEX(eq_cnt,MATCH(B175,eq_code,0))),""))</f>
        <v/>
      </c>
      <c r="R175" s="77" t="str">
        <f>IF(ISNUMBER(O175),O175-p_today,"")</f>
        <v/>
      </c>
      <c r="S175" s="78" t="str">
        <f>IF(AND(ISNUMBER(P175),N(Q175)&gt;0),P175-Q175,"")</f>
        <v/>
      </c>
      <c r="T175" s="76" t="str">
        <f>IF(AND(ISNUMBER(O175),ISNUMBER(X175)),MIN(O175,X175),IF(ISNUMBER(O175),O175,X175))</f>
        <v/>
      </c>
      <c r="U175" s="79" t="str">
        <f>IF(AND(A175="",B175="",D175=""),"",IF(L175="Non","Inactif",IF(AND(NOT(ISNUMBER(R175)),NOT(ISNUMBER(S175))),"À compléter",IF(OR(AND(ISNUMBER(R175),N(R175)&lt;0),AND(ISNUMBER(S175),N(S175)&lt;0)),"En retard",IF(OR(AND(ISNUMBER(R175),N(R175)&lt;=p_soon),AND(ISNUMBER(S175),N(S175)&lt;=p_soon_pct*N(G175))),"Bientôt","À jour")))))</f>
        <v/>
      </c>
      <c r="V175" s="79" t="str">
        <f>IF(AND(A175="",B175="",D175=""),"",IF(A175="","N° de plan manquant",IF(COUNTIF($A$6:$A$505,A175)&gt;1,"N° de plan en double",IF(B175="","Équipement manquant",IF(ISNA(MATCH(B175,eq_code,0)),"Équipement inconnu",IF(D175="","Tâche manquante",IF(E175="","Déclenchement manquant",IF(AND(E175&lt;&gt;"Calendrier",E175&lt;&gt;"Compteur",E175&lt;&gt;"Au premier des deux"),"Déclenchement inconnu",IF(AND(E175&lt;&gt;"Compteur",OR(NOT(ISNUMBER(F175)),N(F175)&lt;=0)),"Périodicité en jours manquante",IF(AND(E175&lt;&gt;"Calendrier",OR(NOT(ISNUMBER(G175)),N(G175)&lt;=0)),"Périodicité compteur manquante",IF(AND(J175&lt;&gt;"",OR(NOT(ISNUMBER(J175)),N(J175)&lt;=0)),"Date de réalisation invalide",IF(AND(K175&lt;&gt;"",OR(NOT(ISNUMBER(K175)),N(K175)&lt;0)),"Compteur de réalisation invalide",IF(AND(E175&lt;&gt;"Compteur",N(M175)=0,IFERROR(N(INDEX(eq_start,MATCH(B175,eq_code,0))),0)=0),"Date de départ manquante",IF(AND(E175&lt;&gt;"Calendrier",K175="",N(N175)=0),"Compteur de départ manquant",IF(AND(E175&lt;&gt;"Calendrier",N(Q175)=0),"Relevé compteur manquant (Équipements)",IF(AND(I175&lt;&gt;"",ISNA(MATCH(I175,tech_name,0))),"Technicien inconnu",IF(AND(L175&lt;&gt;"",L175&lt;&gt;"Oui",L175&lt;&gt;"Non"),"Actif : Oui ou Non","OK")))))))))))))))))</f>
        <v/>
      </c>
      <c r="W175" s="67">
        <f>IFERROR(N(INDEX(eq_use,MATCH(B175,eq_code,0))),0)</f>
        <v>0.0</v>
      </c>
      <c r="X175" s="67" t="str">
        <f>IF(AND(ISNUMBER(S175),W175&gt;0),p_today+MAX(0,ROUNDUP(S175*7/W175,0)),"")</f>
        <v/>
      </c>
      <c r="Y175" s="67" t="str">
        <f>IF(AND(ISNUMBER(T175),OR(U175="En retard",U175="Bientôt",U175="À jour")),IF(AND(ISNUMBER(O175),ISNUMBER(X175)),MIN(F175,G175*7/W175),IF(ISNUMBER(O175),F175,G175*7/W175)),"")</f>
        <v/>
      </c>
      <c r="Z175" s="67" t="str">
        <f>IF(OR(U175="En retard",U175="Bientôt"),IF(U175="En retard",0,1)*1000000000+IF(AB175="A",0,IF(AB175="B",1,IF(AB175="C",2,3)))*100000000+IF(ISNUMBER(T175),T175,p_today)*1000+ROW()-5,"")</f>
        <v/>
      </c>
      <c r="AA175" s="67" t="str">
        <f>IF(Z175="","",COUNTIF($Z$6:$Z$505,"&lt;"&amp;Z175)+1)</f>
        <v/>
      </c>
      <c r="AB175" s="67" t="str">
        <f>IFERROR(INDEX(eq_crit,MATCH(B175,eq_code,0))&amp;"","")</f>
        <v/>
      </c>
    </row>
    <row r="176">
      <c r="A176" s="65" t="n"/>
      <c r="B176" s="66" t="n"/>
      <c r="C176" s="67" t="str">
        <f>IF(B176="","",IFERROR(INDEX(eq_des,MATCH(B176,eq_code,0))&amp;"","Équipement inconnu"))</f>
        <v/>
      </c>
      <c r="D176" s="66" t="n"/>
      <c r="E176" s="68" t="n"/>
      <c r="F176" s="69" t="n"/>
      <c r="G176" s="70" t="n"/>
      <c r="H176" s="71" t="n"/>
      <c r="I176" s="66" t="n"/>
      <c r="J176" s="72" t="n"/>
      <c r="K176" s="73" t="n"/>
      <c r="L176" s="68" t="n"/>
      <c r="M176" s="74" t="str">
        <f>IF(AND(A176="",B176="",D176=""),"",MAX(N(J176),IF(A176="",0,SUMPRODUCT(MAX((in_plan=A176)*in_prev*in_dnum)))))</f>
        <v/>
      </c>
      <c r="N176" s="75" t="str">
        <f>IF(AND(A176="",B176="",D176=""),"",MAX(N(K176),IF(A176="",0,SUMPRODUCT(MAX((in_plan=A176)*in_prev*in_cnum)))))</f>
        <v/>
      </c>
      <c r="O176" s="76" t="str">
        <f>IF(AND(OR(E176="Calendrier",E176="Au premier des deux"),N(F176)&gt;0,IF(N(M176)&gt;0,M176,IFERROR(N(INDEX(eq_start,MATCH(B176,eq_code,0))),0))&gt;0),IF(N(M176)&gt;0,M176,IFERROR(N(INDEX(eq_start,MATCH(B176,eq_code,0))),0))+F176,"")</f>
        <v/>
      </c>
      <c r="P176" s="75" t="str">
        <f>IF(AND(OR(E176="Compteur",E176="Au premier des deux"),N(G176)&gt;0),N(N176)+G176,"")</f>
        <v/>
      </c>
      <c r="Q176" s="75" t="str">
        <f>IF(B176="","",IFERROR(N(INDEX(eq_cnt,MATCH(B176,eq_code,0))),""))</f>
        <v/>
      </c>
      <c r="R176" s="77" t="str">
        <f>IF(ISNUMBER(O176),O176-p_today,"")</f>
        <v/>
      </c>
      <c r="S176" s="78" t="str">
        <f>IF(AND(ISNUMBER(P176),N(Q176)&gt;0),P176-Q176,"")</f>
        <v/>
      </c>
      <c r="T176" s="76" t="str">
        <f>IF(AND(ISNUMBER(O176),ISNUMBER(X176)),MIN(O176,X176),IF(ISNUMBER(O176),O176,X176))</f>
        <v/>
      </c>
      <c r="U176" s="79" t="str">
        <f>IF(AND(A176="",B176="",D176=""),"",IF(L176="Non","Inactif",IF(AND(NOT(ISNUMBER(R176)),NOT(ISNUMBER(S176))),"À compléter",IF(OR(AND(ISNUMBER(R176),N(R176)&lt;0),AND(ISNUMBER(S176),N(S176)&lt;0)),"En retard",IF(OR(AND(ISNUMBER(R176),N(R176)&lt;=p_soon),AND(ISNUMBER(S176),N(S176)&lt;=p_soon_pct*N(G176))),"Bientôt","À jour")))))</f>
        <v/>
      </c>
      <c r="V176" s="79" t="str">
        <f>IF(AND(A176="",B176="",D176=""),"",IF(A176="","N° de plan manquant",IF(COUNTIF($A$6:$A$505,A176)&gt;1,"N° de plan en double",IF(B176="","Équipement manquant",IF(ISNA(MATCH(B176,eq_code,0)),"Équipement inconnu",IF(D176="","Tâche manquante",IF(E176="","Déclenchement manquant",IF(AND(E176&lt;&gt;"Calendrier",E176&lt;&gt;"Compteur",E176&lt;&gt;"Au premier des deux"),"Déclenchement inconnu",IF(AND(E176&lt;&gt;"Compteur",OR(NOT(ISNUMBER(F176)),N(F176)&lt;=0)),"Périodicité en jours manquante",IF(AND(E176&lt;&gt;"Calendrier",OR(NOT(ISNUMBER(G176)),N(G176)&lt;=0)),"Périodicité compteur manquante",IF(AND(J176&lt;&gt;"",OR(NOT(ISNUMBER(J176)),N(J176)&lt;=0)),"Date de réalisation invalide",IF(AND(K176&lt;&gt;"",OR(NOT(ISNUMBER(K176)),N(K176)&lt;0)),"Compteur de réalisation invalide",IF(AND(E176&lt;&gt;"Compteur",N(M176)=0,IFERROR(N(INDEX(eq_start,MATCH(B176,eq_code,0))),0)=0),"Date de départ manquante",IF(AND(E176&lt;&gt;"Calendrier",K176="",N(N176)=0),"Compteur de départ manquant",IF(AND(E176&lt;&gt;"Calendrier",N(Q176)=0),"Relevé compteur manquant (Équipements)",IF(AND(I176&lt;&gt;"",ISNA(MATCH(I176,tech_name,0))),"Technicien inconnu",IF(AND(L176&lt;&gt;"",L176&lt;&gt;"Oui",L176&lt;&gt;"Non"),"Actif : Oui ou Non","OK")))))))))))))))))</f>
        <v/>
      </c>
      <c r="W176" s="67">
        <f>IFERROR(N(INDEX(eq_use,MATCH(B176,eq_code,0))),0)</f>
        <v>0.0</v>
      </c>
      <c r="X176" s="67" t="str">
        <f>IF(AND(ISNUMBER(S176),W176&gt;0),p_today+MAX(0,ROUNDUP(S176*7/W176,0)),"")</f>
        <v/>
      </c>
      <c r="Y176" s="67" t="str">
        <f>IF(AND(ISNUMBER(T176),OR(U176="En retard",U176="Bientôt",U176="À jour")),IF(AND(ISNUMBER(O176),ISNUMBER(X176)),MIN(F176,G176*7/W176),IF(ISNUMBER(O176),F176,G176*7/W176)),"")</f>
        <v/>
      </c>
      <c r="Z176" s="67" t="str">
        <f>IF(OR(U176="En retard",U176="Bientôt"),IF(U176="En retard",0,1)*1000000000+IF(AB176="A",0,IF(AB176="B",1,IF(AB176="C",2,3)))*100000000+IF(ISNUMBER(T176),T176,p_today)*1000+ROW()-5,"")</f>
        <v/>
      </c>
      <c r="AA176" s="67" t="str">
        <f>IF(Z176="","",COUNTIF($Z$6:$Z$505,"&lt;"&amp;Z176)+1)</f>
        <v/>
      </c>
      <c r="AB176" s="67" t="str">
        <f>IFERROR(INDEX(eq_crit,MATCH(B176,eq_code,0))&amp;"","")</f>
        <v/>
      </c>
    </row>
    <row r="177">
      <c r="A177" s="65" t="n"/>
      <c r="B177" s="66" t="n"/>
      <c r="C177" s="67" t="str">
        <f>IF(B177="","",IFERROR(INDEX(eq_des,MATCH(B177,eq_code,0))&amp;"","Équipement inconnu"))</f>
        <v/>
      </c>
      <c r="D177" s="66" t="n"/>
      <c r="E177" s="68" t="n"/>
      <c r="F177" s="69" t="n"/>
      <c r="G177" s="70" t="n"/>
      <c r="H177" s="71" t="n"/>
      <c r="I177" s="66" t="n"/>
      <c r="J177" s="72" t="n"/>
      <c r="K177" s="73" t="n"/>
      <c r="L177" s="68" t="n"/>
      <c r="M177" s="74" t="str">
        <f>IF(AND(A177="",B177="",D177=""),"",MAX(N(J177),IF(A177="",0,SUMPRODUCT(MAX((in_plan=A177)*in_prev*in_dnum)))))</f>
        <v/>
      </c>
      <c r="N177" s="75" t="str">
        <f>IF(AND(A177="",B177="",D177=""),"",MAX(N(K177),IF(A177="",0,SUMPRODUCT(MAX((in_plan=A177)*in_prev*in_cnum)))))</f>
        <v/>
      </c>
      <c r="O177" s="76" t="str">
        <f>IF(AND(OR(E177="Calendrier",E177="Au premier des deux"),N(F177)&gt;0,IF(N(M177)&gt;0,M177,IFERROR(N(INDEX(eq_start,MATCH(B177,eq_code,0))),0))&gt;0),IF(N(M177)&gt;0,M177,IFERROR(N(INDEX(eq_start,MATCH(B177,eq_code,0))),0))+F177,"")</f>
        <v/>
      </c>
      <c r="P177" s="75" t="str">
        <f>IF(AND(OR(E177="Compteur",E177="Au premier des deux"),N(G177)&gt;0),N(N177)+G177,"")</f>
        <v/>
      </c>
      <c r="Q177" s="75" t="str">
        <f>IF(B177="","",IFERROR(N(INDEX(eq_cnt,MATCH(B177,eq_code,0))),""))</f>
        <v/>
      </c>
      <c r="R177" s="77" t="str">
        <f>IF(ISNUMBER(O177),O177-p_today,"")</f>
        <v/>
      </c>
      <c r="S177" s="78" t="str">
        <f>IF(AND(ISNUMBER(P177),N(Q177)&gt;0),P177-Q177,"")</f>
        <v/>
      </c>
      <c r="T177" s="76" t="str">
        <f>IF(AND(ISNUMBER(O177),ISNUMBER(X177)),MIN(O177,X177),IF(ISNUMBER(O177),O177,X177))</f>
        <v/>
      </c>
      <c r="U177" s="79" t="str">
        <f>IF(AND(A177="",B177="",D177=""),"",IF(L177="Non","Inactif",IF(AND(NOT(ISNUMBER(R177)),NOT(ISNUMBER(S177))),"À compléter",IF(OR(AND(ISNUMBER(R177),N(R177)&lt;0),AND(ISNUMBER(S177),N(S177)&lt;0)),"En retard",IF(OR(AND(ISNUMBER(R177),N(R177)&lt;=p_soon),AND(ISNUMBER(S177),N(S177)&lt;=p_soon_pct*N(G177))),"Bientôt","À jour")))))</f>
        <v/>
      </c>
      <c r="V177" s="79" t="str">
        <f>IF(AND(A177="",B177="",D177=""),"",IF(A177="","N° de plan manquant",IF(COUNTIF($A$6:$A$505,A177)&gt;1,"N° de plan en double",IF(B177="","Équipement manquant",IF(ISNA(MATCH(B177,eq_code,0)),"Équipement inconnu",IF(D177="","Tâche manquante",IF(E177="","Déclenchement manquant",IF(AND(E177&lt;&gt;"Calendrier",E177&lt;&gt;"Compteur",E177&lt;&gt;"Au premier des deux"),"Déclenchement inconnu",IF(AND(E177&lt;&gt;"Compteur",OR(NOT(ISNUMBER(F177)),N(F177)&lt;=0)),"Périodicité en jours manquante",IF(AND(E177&lt;&gt;"Calendrier",OR(NOT(ISNUMBER(G177)),N(G177)&lt;=0)),"Périodicité compteur manquante",IF(AND(J177&lt;&gt;"",OR(NOT(ISNUMBER(J177)),N(J177)&lt;=0)),"Date de réalisation invalide",IF(AND(K177&lt;&gt;"",OR(NOT(ISNUMBER(K177)),N(K177)&lt;0)),"Compteur de réalisation invalide",IF(AND(E177&lt;&gt;"Compteur",N(M177)=0,IFERROR(N(INDEX(eq_start,MATCH(B177,eq_code,0))),0)=0),"Date de départ manquante",IF(AND(E177&lt;&gt;"Calendrier",K177="",N(N177)=0),"Compteur de départ manquant",IF(AND(E177&lt;&gt;"Calendrier",N(Q177)=0),"Relevé compteur manquant (Équipements)",IF(AND(I177&lt;&gt;"",ISNA(MATCH(I177,tech_name,0))),"Technicien inconnu",IF(AND(L177&lt;&gt;"",L177&lt;&gt;"Oui",L177&lt;&gt;"Non"),"Actif : Oui ou Non","OK")))))))))))))))))</f>
        <v/>
      </c>
      <c r="W177" s="67">
        <f>IFERROR(N(INDEX(eq_use,MATCH(B177,eq_code,0))),0)</f>
        <v>0.0</v>
      </c>
      <c r="X177" s="67" t="str">
        <f>IF(AND(ISNUMBER(S177),W177&gt;0),p_today+MAX(0,ROUNDUP(S177*7/W177,0)),"")</f>
        <v/>
      </c>
      <c r="Y177" s="67" t="str">
        <f>IF(AND(ISNUMBER(T177),OR(U177="En retard",U177="Bientôt",U177="À jour")),IF(AND(ISNUMBER(O177),ISNUMBER(X177)),MIN(F177,G177*7/W177),IF(ISNUMBER(O177),F177,G177*7/W177)),"")</f>
        <v/>
      </c>
      <c r="Z177" s="67" t="str">
        <f>IF(OR(U177="En retard",U177="Bientôt"),IF(U177="En retard",0,1)*1000000000+IF(AB177="A",0,IF(AB177="B",1,IF(AB177="C",2,3)))*100000000+IF(ISNUMBER(T177),T177,p_today)*1000+ROW()-5,"")</f>
        <v/>
      </c>
      <c r="AA177" s="67" t="str">
        <f>IF(Z177="","",COUNTIF($Z$6:$Z$505,"&lt;"&amp;Z177)+1)</f>
        <v/>
      </c>
      <c r="AB177" s="67" t="str">
        <f>IFERROR(INDEX(eq_crit,MATCH(B177,eq_code,0))&amp;"","")</f>
        <v/>
      </c>
    </row>
    <row r="178">
      <c r="A178" s="65" t="n"/>
      <c r="B178" s="66" t="n"/>
      <c r="C178" s="67" t="str">
        <f>IF(B178="","",IFERROR(INDEX(eq_des,MATCH(B178,eq_code,0))&amp;"","Équipement inconnu"))</f>
        <v/>
      </c>
      <c r="D178" s="66" t="n"/>
      <c r="E178" s="68" t="n"/>
      <c r="F178" s="69" t="n"/>
      <c r="G178" s="70" t="n"/>
      <c r="H178" s="71" t="n"/>
      <c r="I178" s="66" t="n"/>
      <c r="J178" s="72" t="n"/>
      <c r="K178" s="73" t="n"/>
      <c r="L178" s="68" t="n"/>
      <c r="M178" s="74" t="str">
        <f>IF(AND(A178="",B178="",D178=""),"",MAX(N(J178),IF(A178="",0,SUMPRODUCT(MAX((in_plan=A178)*in_prev*in_dnum)))))</f>
        <v/>
      </c>
      <c r="N178" s="75" t="str">
        <f>IF(AND(A178="",B178="",D178=""),"",MAX(N(K178),IF(A178="",0,SUMPRODUCT(MAX((in_plan=A178)*in_prev*in_cnum)))))</f>
        <v/>
      </c>
      <c r="O178" s="76" t="str">
        <f>IF(AND(OR(E178="Calendrier",E178="Au premier des deux"),N(F178)&gt;0,IF(N(M178)&gt;0,M178,IFERROR(N(INDEX(eq_start,MATCH(B178,eq_code,0))),0))&gt;0),IF(N(M178)&gt;0,M178,IFERROR(N(INDEX(eq_start,MATCH(B178,eq_code,0))),0))+F178,"")</f>
        <v/>
      </c>
      <c r="P178" s="75" t="str">
        <f>IF(AND(OR(E178="Compteur",E178="Au premier des deux"),N(G178)&gt;0),N(N178)+G178,"")</f>
        <v/>
      </c>
      <c r="Q178" s="75" t="str">
        <f>IF(B178="","",IFERROR(N(INDEX(eq_cnt,MATCH(B178,eq_code,0))),""))</f>
        <v/>
      </c>
      <c r="R178" s="77" t="str">
        <f>IF(ISNUMBER(O178),O178-p_today,"")</f>
        <v/>
      </c>
      <c r="S178" s="78" t="str">
        <f>IF(AND(ISNUMBER(P178),N(Q178)&gt;0),P178-Q178,"")</f>
        <v/>
      </c>
      <c r="T178" s="76" t="str">
        <f>IF(AND(ISNUMBER(O178),ISNUMBER(X178)),MIN(O178,X178),IF(ISNUMBER(O178),O178,X178))</f>
        <v/>
      </c>
      <c r="U178" s="79" t="str">
        <f>IF(AND(A178="",B178="",D178=""),"",IF(L178="Non","Inactif",IF(AND(NOT(ISNUMBER(R178)),NOT(ISNUMBER(S178))),"À compléter",IF(OR(AND(ISNUMBER(R178),N(R178)&lt;0),AND(ISNUMBER(S178),N(S178)&lt;0)),"En retard",IF(OR(AND(ISNUMBER(R178),N(R178)&lt;=p_soon),AND(ISNUMBER(S178),N(S178)&lt;=p_soon_pct*N(G178))),"Bientôt","À jour")))))</f>
        <v/>
      </c>
      <c r="V178" s="79" t="str">
        <f>IF(AND(A178="",B178="",D178=""),"",IF(A178="","N° de plan manquant",IF(COUNTIF($A$6:$A$505,A178)&gt;1,"N° de plan en double",IF(B178="","Équipement manquant",IF(ISNA(MATCH(B178,eq_code,0)),"Équipement inconnu",IF(D178="","Tâche manquante",IF(E178="","Déclenchement manquant",IF(AND(E178&lt;&gt;"Calendrier",E178&lt;&gt;"Compteur",E178&lt;&gt;"Au premier des deux"),"Déclenchement inconnu",IF(AND(E178&lt;&gt;"Compteur",OR(NOT(ISNUMBER(F178)),N(F178)&lt;=0)),"Périodicité en jours manquante",IF(AND(E178&lt;&gt;"Calendrier",OR(NOT(ISNUMBER(G178)),N(G178)&lt;=0)),"Périodicité compteur manquante",IF(AND(J178&lt;&gt;"",OR(NOT(ISNUMBER(J178)),N(J178)&lt;=0)),"Date de réalisation invalide",IF(AND(K178&lt;&gt;"",OR(NOT(ISNUMBER(K178)),N(K178)&lt;0)),"Compteur de réalisation invalide",IF(AND(E178&lt;&gt;"Compteur",N(M178)=0,IFERROR(N(INDEX(eq_start,MATCH(B178,eq_code,0))),0)=0),"Date de départ manquante",IF(AND(E178&lt;&gt;"Calendrier",K178="",N(N178)=0),"Compteur de départ manquant",IF(AND(E178&lt;&gt;"Calendrier",N(Q178)=0),"Relevé compteur manquant (Équipements)",IF(AND(I178&lt;&gt;"",ISNA(MATCH(I178,tech_name,0))),"Technicien inconnu",IF(AND(L178&lt;&gt;"",L178&lt;&gt;"Oui",L178&lt;&gt;"Non"),"Actif : Oui ou Non","OK")))))))))))))))))</f>
        <v/>
      </c>
      <c r="W178" s="67">
        <f>IFERROR(N(INDEX(eq_use,MATCH(B178,eq_code,0))),0)</f>
        <v>0.0</v>
      </c>
      <c r="X178" s="67" t="str">
        <f>IF(AND(ISNUMBER(S178),W178&gt;0),p_today+MAX(0,ROUNDUP(S178*7/W178,0)),"")</f>
        <v/>
      </c>
      <c r="Y178" s="67" t="str">
        <f>IF(AND(ISNUMBER(T178),OR(U178="En retard",U178="Bientôt",U178="À jour")),IF(AND(ISNUMBER(O178),ISNUMBER(X178)),MIN(F178,G178*7/W178),IF(ISNUMBER(O178),F178,G178*7/W178)),"")</f>
        <v/>
      </c>
      <c r="Z178" s="67" t="str">
        <f>IF(OR(U178="En retard",U178="Bientôt"),IF(U178="En retard",0,1)*1000000000+IF(AB178="A",0,IF(AB178="B",1,IF(AB178="C",2,3)))*100000000+IF(ISNUMBER(T178),T178,p_today)*1000+ROW()-5,"")</f>
        <v/>
      </c>
      <c r="AA178" s="67" t="str">
        <f>IF(Z178="","",COUNTIF($Z$6:$Z$505,"&lt;"&amp;Z178)+1)</f>
        <v/>
      </c>
      <c r="AB178" s="67" t="str">
        <f>IFERROR(INDEX(eq_crit,MATCH(B178,eq_code,0))&amp;"","")</f>
        <v/>
      </c>
    </row>
    <row r="179">
      <c r="A179" s="65" t="n"/>
      <c r="B179" s="66" t="n"/>
      <c r="C179" s="67" t="str">
        <f>IF(B179="","",IFERROR(INDEX(eq_des,MATCH(B179,eq_code,0))&amp;"","Équipement inconnu"))</f>
        <v/>
      </c>
      <c r="D179" s="66" t="n"/>
      <c r="E179" s="68" t="n"/>
      <c r="F179" s="69" t="n"/>
      <c r="G179" s="70" t="n"/>
      <c r="H179" s="71" t="n"/>
      <c r="I179" s="66" t="n"/>
      <c r="J179" s="72" t="n"/>
      <c r="K179" s="73" t="n"/>
      <c r="L179" s="68" t="n"/>
      <c r="M179" s="74" t="str">
        <f>IF(AND(A179="",B179="",D179=""),"",MAX(N(J179),IF(A179="",0,SUMPRODUCT(MAX((in_plan=A179)*in_prev*in_dnum)))))</f>
        <v/>
      </c>
      <c r="N179" s="75" t="str">
        <f>IF(AND(A179="",B179="",D179=""),"",MAX(N(K179),IF(A179="",0,SUMPRODUCT(MAX((in_plan=A179)*in_prev*in_cnum)))))</f>
        <v/>
      </c>
      <c r="O179" s="76" t="str">
        <f>IF(AND(OR(E179="Calendrier",E179="Au premier des deux"),N(F179)&gt;0,IF(N(M179)&gt;0,M179,IFERROR(N(INDEX(eq_start,MATCH(B179,eq_code,0))),0))&gt;0),IF(N(M179)&gt;0,M179,IFERROR(N(INDEX(eq_start,MATCH(B179,eq_code,0))),0))+F179,"")</f>
        <v/>
      </c>
      <c r="P179" s="75" t="str">
        <f>IF(AND(OR(E179="Compteur",E179="Au premier des deux"),N(G179)&gt;0),N(N179)+G179,"")</f>
        <v/>
      </c>
      <c r="Q179" s="75" t="str">
        <f>IF(B179="","",IFERROR(N(INDEX(eq_cnt,MATCH(B179,eq_code,0))),""))</f>
        <v/>
      </c>
      <c r="R179" s="77" t="str">
        <f>IF(ISNUMBER(O179),O179-p_today,"")</f>
        <v/>
      </c>
      <c r="S179" s="78" t="str">
        <f>IF(AND(ISNUMBER(P179),N(Q179)&gt;0),P179-Q179,"")</f>
        <v/>
      </c>
      <c r="T179" s="76" t="str">
        <f>IF(AND(ISNUMBER(O179),ISNUMBER(X179)),MIN(O179,X179),IF(ISNUMBER(O179),O179,X179))</f>
        <v/>
      </c>
      <c r="U179" s="79" t="str">
        <f>IF(AND(A179="",B179="",D179=""),"",IF(L179="Non","Inactif",IF(AND(NOT(ISNUMBER(R179)),NOT(ISNUMBER(S179))),"À compléter",IF(OR(AND(ISNUMBER(R179),N(R179)&lt;0),AND(ISNUMBER(S179),N(S179)&lt;0)),"En retard",IF(OR(AND(ISNUMBER(R179),N(R179)&lt;=p_soon),AND(ISNUMBER(S179),N(S179)&lt;=p_soon_pct*N(G179))),"Bientôt","À jour")))))</f>
        <v/>
      </c>
      <c r="V179" s="79" t="str">
        <f>IF(AND(A179="",B179="",D179=""),"",IF(A179="","N° de plan manquant",IF(COUNTIF($A$6:$A$505,A179)&gt;1,"N° de plan en double",IF(B179="","Équipement manquant",IF(ISNA(MATCH(B179,eq_code,0)),"Équipement inconnu",IF(D179="","Tâche manquante",IF(E179="","Déclenchement manquant",IF(AND(E179&lt;&gt;"Calendrier",E179&lt;&gt;"Compteur",E179&lt;&gt;"Au premier des deux"),"Déclenchement inconnu",IF(AND(E179&lt;&gt;"Compteur",OR(NOT(ISNUMBER(F179)),N(F179)&lt;=0)),"Périodicité en jours manquante",IF(AND(E179&lt;&gt;"Calendrier",OR(NOT(ISNUMBER(G179)),N(G179)&lt;=0)),"Périodicité compteur manquante",IF(AND(J179&lt;&gt;"",OR(NOT(ISNUMBER(J179)),N(J179)&lt;=0)),"Date de réalisation invalide",IF(AND(K179&lt;&gt;"",OR(NOT(ISNUMBER(K179)),N(K179)&lt;0)),"Compteur de réalisation invalide",IF(AND(E179&lt;&gt;"Compteur",N(M179)=0,IFERROR(N(INDEX(eq_start,MATCH(B179,eq_code,0))),0)=0),"Date de départ manquante",IF(AND(E179&lt;&gt;"Calendrier",K179="",N(N179)=0),"Compteur de départ manquant",IF(AND(E179&lt;&gt;"Calendrier",N(Q179)=0),"Relevé compteur manquant (Équipements)",IF(AND(I179&lt;&gt;"",ISNA(MATCH(I179,tech_name,0))),"Technicien inconnu",IF(AND(L179&lt;&gt;"",L179&lt;&gt;"Oui",L179&lt;&gt;"Non"),"Actif : Oui ou Non","OK")))))))))))))))))</f>
        <v/>
      </c>
      <c r="W179" s="67">
        <f>IFERROR(N(INDEX(eq_use,MATCH(B179,eq_code,0))),0)</f>
        <v>0.0</v>
      </c>
      <c r="X179" s="67" t="str">
        <f>IF(AND(ISNUMBER(S179),W179&gt;0),p_today+MAX(0,ROUNDUP(S179*7/W179,0)),"")</f>
        <v/>
      </c>
      <c r="Y179" s="67" t="str">
        <f>IF(AND(ISNUMBER(T179),OR(U179="En retard",U179="Bientôt",U179="À jour")),IF(AND(ISNUMBER(O179),ISNUMBER(X179)),MIN(F179,G179*7/W179),IF(ISNUMBER(O179),F179,G179*7/W179)),"")</f>
        <v/>
      </c>
      <c r="Z179" s="67" t="str">
        <f>IF(OR(U179="En retard",U179="Bientôt"),IF(U179="En retard",0,1)*1000000000+IF(AB179="A",0,IF(AB179="B",1,IF(AB179="C",2,3)))*100000000+IF(ISNUMBER(T179),T179,p_today)*1000+ROW()-5,"")</f>
        <v/>
      </c>
      <c r="AA179" s="67" t="str">
        <f>IF(Z179="","",COUNTIF($Z$6:$Z$505,"&lt;"&amp;Z179)+1)</f>
        <v/>
      </c>
      <c r="AB179" s="67" t="str">
        <f>IFERROR(INDEX(eq_crit,MATCH(B179,eq_code,0))&amp;"","")</f>
        <v/>
      </c>
    </row>
    <row r="180">
      <c r="A180" s="65" t="n"/>
      <c r="B180" s="66" t="n"/>
      <c r="C180" s="67" t="str">
        <f>IF(B180="","",IFERROR(INDEX(eq_des,MATCH(B180,eq_code,0))&amp;"","Équipement inconnu"))</f>
        <v/>
      </c>
      <c r="D180" s="66" t="n"/>
      <c r="E180" s="68" t="n"/>
      <c r="F180" s="69" t="n"/>
      <c r="G180" s="70" t="n"/>
      <c r="H180" s="71" t="n"/>
      <c r="I180" s="66" t="n"/>
      <c r="J180" s="72" t="n"/>
      <c r="K180" s="73" t="n"/>
      <c r="L180" s="68" t="n"/>
      <c r="M180" s="74" t="str">
        <f>IF(AND(A180="",B180="",D180=""),"",MAX(N(J180),IF(A180="",0,SUMPRODUCT(MAX((in_plan=A180)*in_prev*in_dnum)))))</f>
        <v/>
      </c>
      <c r="N180" s="75" t="str">
        <f>IF(AND(A180="",B180="",D180=""),"",MAX(N(K180),IF(A180="",0,SUMPRODUCT(MAX((in_plan=A180)*in_prev*in_cnum)))))</f>
        <v/>
      </c>
      <c r="O180" s="76" t="str">
        <f>IF(AND(OR(E180="Calendrier",E180="Au premier des deux"),N(F180)&gt;0,IF(N(M180)&gt;0,M180,IFERROR(N(INDEX(eq_start,MATCH(B180,eq_code,0))),0))&gt;0),IF(N(M180)&gt;0,M180,IFERROR(N(INDEX(eq_start,MATCH(B180,eq_code,0))),0))+F180,"")</f>
        <v/>
      </c>
      <c r="P180" s="75" t="str">
        <f>IF(AND(OR(E180="Compteur",E180="Au premier des deux"),N(G180)&gt;0),N(N180)+G180,"")</f>
        <v/>
      </c>
      <c r="Q180" s="75" t="str">
        <f>IF(B180="","",IFERROR(N(INDEX(eq_cnt,MATCH(B180,eq_code,0))),""))</f>
        <v/>
      </c>
      <c r="R180" s="77" t="str">
        <f>IF(ISNUMBER(O180),O180-p_today,"")</f>
        <v/>
      </c>
      <c r="S180" s="78" t="str">
        <f>IF(AND(ISNUMBER(P180),N(Q180)&gt;0),P180-Q180,"")</f>
        <v/>
      </c>
      <c r="T180" s="76" t="str">
        <f>IF(AND(ISNUMBER(O180),ISNUMBER(X180)),MIN(O180,X180),IF(ISNUMBER(O180),O180,X180))</f>
        <v/>
      </c>
      <c r="U180" s="79" t="str">
        <f>IF(AND(A180="",B180="",D180=""),"",IF(L180="Non","Inactif",IF(AND(NOT(ISNUMBER(R180)),NOT(ISNUMBER(S180))),"À compléter",IF(OR(AND(ISNUMBER(R180),N(R180)&lt;0),AND(ISNUMBER(S180),N(S180)&lt;0)),"En retard",IF(OR(AND(ISNUMBER(R180),N(R180)&lt;=p_soon),AND(ISNUMBER(S180),N(S180)&lt;=p_soon_pct*N(G180))),"Bientôt","À jour")))))</f>
        <v/>
      </c>
      <c r="V180" s="79" t="str">
        <f>IF(AND(A180="",B180="",D180=""),"",IF(A180="","N° de plan manquant",IF(COUNTIF($A$6:$A$505,A180)&gt;1,"N° de plan en double",IF(B180="","Équipement manquant",IF(ISNA(MATCH(B180,eq_code,0)),"Équipement inconnu",IF(D180="","Tâche manquante",IF(E180="","Déclenchement manquant",IF(AND(E180&lt;&gt;"Calendrier",E180&lt;&gt;"Compteur",E180&lt;&gt;"Au premier des deux"),"Déclenchement inconnu",IF(AND(E180&lt;&gt;"Compteur",OR(NOT(ISNUMBER(F180)),N(F180)&lt;=0)),"Périodicité en jours manquante",IF(AND(E180&lt;&gt;"Calendrier",OR(NOT(ISNUMBER(G180)),N(G180)&lt;=0)),"Périodicité compteur manquante",IF(AND(J180&lt;&gt;"",OR(NOT(ISNUMBER(J180)),N(J180)&lt;=0)),"Date de réalisation invalide",IF(AND(K180&lt;&gt;"",OR(NOT(ISNUMBER(K180)),N(K180)&lt;0)),"Compteur de réalisation invalide",IF(AND(E180&lt;&gt;"Compteur",N(M180)=0,IFERROR(N(INDEX(eq_start,MATCH(B180,eq_code,0))),0)=0),"Date de départ manquante",IF(AND(E180&lt;&gt;"Calendrier",K180="",N(N180)=0),"Compteur de départ manquant",IF(AND(E180&lt;&gt;"Calendrier",N(Q180)=0),"Relevé compteur manquant (Équipements)",IF(AND(I180&lt;&gt;"",ISNA(MATCH(I180,tech_name,0))),"Technicien inconnu",IF(AND(L180&lt;&gt;"",L180&lt;&gt;"Oui",L180&lt;&gt;"Non"),"Actif : Oui ou Non","OK")))))))))))))))))</f>
        <v/>
      </c>
      <c r="W180" s="67">
        <f>IFERROR(N(INDEX(eq_use,MATCH(B180,eq_code,0))),0)</f>
        <v>0.0</v>
      </c>
      <c r="X180" s="67" t="str">
        <f>IF(AND(ISNUMBER(S180),W180&gt;0),p_today+MAX(0,ROUNDUP(S180*7/W180,0)),"")</f>
        <v/>
      </c>
      <c r="Y180" s="67" t="str">
        <f>IF(AND(ISNUMBER(T180),OR(U180="En retard",U180="Bientôt",U180="À jour")),IF(AND(ISNUMBER(O180),ISNUMBER(X180)),MIN(F180,G180*7/W180),IF(ISNUMBER(O180),F180,G180*7/W180)),"")</f>
        <v/>
      </c>
      <c r="Z180" s="67" t="str">
        <f>IF(OR(U180="En retard",U180="Bientôt"),IF(U180="En retard",0,1)*1000000000+IF(AB180="A",0,IF(AB180="B",1,IF(AB180="C",2,3)))*100000000+IF(ISNUMBER(T180),T180,p_today)*1000+ROW()-5,"")</f>
        <v/>
      </c>
      <c r="AA180" s="67" t="str">
        <f>IF(Z180="","",COUNTIF($Z$6:$Z$505,"&lt;"&amp;Z180)+1)</f>
        <v/>
      </c>
      <c r="AB180" s="67" t="str">
        <f>IFERROR(INDEX(eq_crit,MATCH(B180,eq_code,0))&amp;"","")</f>
        <v/>
      </c>
    </row>
    <row r="181">
      <c r="A181" s="65" t="n"/>
      <c r="B181" s="66" t="n"/>
      <c r="C181" s="67" t="str">
        <f>IF(B181="","",IFERROR(INDEX(eq_des,MATCH(B181,eq_code,0))&amp;"","Équipement inconnu"))</f>
        <v/>
      </c>
      <c r="D181" s="66" t="n"/>
      <c r="E181" s="68" t="n"/>
      <c r="F181" s="69" t="n"/>
      <c r="G181" s="70" t="n"/>
      <c r="H181" s="71" t="n"/>
      <c r="I181" s="66" t="n"/>
      <c r="J181" s="72" t="n"/>
      <c r="K181" s="73" t="n"/>
      <c r="L181" s="68" t="n"/>
      <c r="M181" s="74" t="str">
        <f>IF(AND(A181="",B181="",D181=""),"",MAX(N(J181),IF(A181="",0,SUMPRODUCT(MAX((in_plan=A181)*in_prev*in_dnum)))))</f>
        <v/>
      </c>
      <c r="N181" s="75" t="str">
        <f>IF(AND(A181="",B181="",D181=""),"",MAX(N(K181),IF(A181="",0,SUMPRODUCT(MAX((in_plan=A181)*in_prev*in_cnum)))))</f>
        <v/>
      </c>
      <c r="O181" s="76" t="str">
        <f>IF(AND(OR(E181="Calendrier",E181="Au premier des deux"),N(F181)&gt;0,IF(N(M181)&gt;0,M181,IFERROR(N(INDEX(eq_start,MATCH(B181,eq_code,0))),0))&gt;0),IF(N(M181)&gt;0,M181,IFERROR(N(INDEX(eq_start,MATCH(B181,eq_code,0))),0))+F181,"")</f>
        <v/>
      </c>
      <c r="P181" s="75" t="str">
        <f>IF(AND(OR(E181="Compteur",E181="Au premier des deux"),N(G181)&gt;0),N(N181)+G181,"")</f>
        <v/>
      </c>
      <c r="Q181" s="75" t="str">
        <f>IF(B181="","",IFERROR(N(INDEX(eq_cnt,MATCH(B181,eq_code,0))),""))</f>
        <v/>
      </c>
      <c r="R181" s="77" t="str">
        <f>IF(ISNUMBER(O181),O181-p_today,"")</f>
        <v/>
      </c>
      <c r="S181" s="78" t="str">
        <f>IF(AND(ISNUMBER(P181),N(Q181)&gt;0),P181-Q181,"")</f>
        <v/>
      </c>
      <c r="T181" s="76" t="str">
        <f>IF(AND(ISNUMBER(O181),ISNUMBER(X181)),MIN(O181,X181),IF(ISNUMBER(O181),O181,X181))</f>
        <v/>
      </c>
      <c r="U181" s="79" t="str">
        <f>IF(AND(A181="",B181="",D181=""),"",IF(L181="Non","Inactif",IF(AND(NOT(ISNUMBER(R181)),NOT(ISNUMBER(S181))),"À compléter",IF(OR(AND(ISNUMBER(R181),N(R181)&lt;0),AND(ISNUMBER(S181),N(S181)&lt;0)),"En retard",IF(OR(AND(ISNUMBER(R181),N(R181)&lt;=p_soon),AND(ISNUMBER(S181),N(S181)&lt;=p_soon_pct*N(G181))),"Bientôt","À jour")))))</f>
        <v/>
      </c>
      <c r="V181" s="79" t="str">
        <f>IF(AND(A181="",B181="",D181=""),"",IF(A181="","N° de plan manquant",IF(COUNTIF($A$6:$A$505,A181)&gt;1,"N° de plan en double",IF(B181="","Équipement manquant",IF(ISNA(MATCH(B181,eq_code,0)),"Équipement inconnu",IF(D181="","Tâche manquante",IF(E181="","Déclenchement manquant",IF(AND(E181&lt;&gt;"Calendrier",E181&lt;&gt;"Compteur",E181&lt;&gt;"Au premier des deux"),"Déclenchement inconnu",IF(AND(E181&lt;&gt;"Compteur",OR(NOT(ISNUMBER(F181)),N(F181)&lt;=0)),"Périodicité en jours manquante",IF(AND(E181&lt;&gt;"Calendrier",OR(NOT(ISNUMBER(G181)),N(G181)&lt;=0)),"Périodicité compteur manquante",IF(AND(J181&lt;&gt;"",OR(NOT(ISNUMBER(J181)),N(J181)&lt;=0)),"Date de réalisation invalide",IF(AND(K181&lt;&gt;"",OR(NOT(ISNUMBER(K181)),N(K181)&lt;0)),"Compteur de réalisation invalide",IF(AND(E181&lt;&gt;"Compteur",N(M181)=0,IFERROR(N(INDEX(eq_start,MATCH(B181,eq_code,0))),0)=0),"Date de départ manquante",IF(AND(E181&lt;&gt;"Calendrier",K181="",N(N181)=0),"Compteur de départ manquant",IF(AND(E181&lt;&gt;"Calendrier",N(Q181)=0),"Relevé compteur manquant (Équipements)",IF(AND(I181&lt;&gt;"",ISNA(MATCH(I181,tech_name,0))),"Technicien inconnu",IF(AND(L181&lt;&gt;"",L181&lt;&gt;"Oui",L181&lt;&gt;"Non"),"Actif : Oui ou Non","OK")))))))))))))))))</f>
        <v/>
      </c>
      <c r="W181" s="67">
        <f>IFERROR(N(INDEX(eq_use,MATCH(B181,eq_code,0))),0)</f>
        <v>0.0</v>
      </c>
      <c r="X181" s="67" t="str">
        <f>IF(AND(ISNUMBER(S181),W181&gt;0),p_today+MAX(0,ROUNDUP(S181*7/W181,0)),"")</f>
        <v/>
      </c>
      <c r="Y181" s="67" t="str">
        <f>IF(AND(ISNUMBER(T181),OR(U181="En retard",U181="Bientôt",U181="À jour")),IF(AND(ISNUMBER(O181),ISNUMBER(X181)),MIN(F181,G181*7/W181),IF(ISNUMBER(O181),F181,G181*7/W181)),"")</f>
        <v/>
      </c>
      <c r="Z181" s="67" t="str">
        <f>IF(OR(U181="En retard",U181="Bientôt"),IF(U181="En retard",0,1)*1000000000+IF(AB181="A",0,IF(AB181="B",1,IF(AB181="C",2,3)))*100000000+IF(ISNUMBER(T181),T181,p_today)*1000+ROW()-5,"")</f>
        <v/>
      </c>
      <c r="AA181" s="67" t="str">
        <f>IF(Z181="","",COUNTIF($Z$6:$Z$505,"&lt;"&amp;Z181)+1)</f>
        <v/>
      </c>
      <c r="AB181" s="67" t="str">
        <f>IFERROR(INDEX(eq_crit,MATCH(B181,eq_code,0))&amp;"","")</f>
        <v/>
      </c>
    </row>
    <row r="182">
      <c r="A182" s="65" t="n"/>
      <c r="B182" s="66" t="n"/>
      <c r="C182" s="67" t="str">
        <f>IF(B182="","",IFERROR(INDEX(eq_des,MATCH(B182,eq_code,0))&amp;"","Équipement inconnu"))</f>
        <v/>
      </c>
      <c r="D182" s="66" t="n"/>
      <c r="E182" s="68" t="n"/>
      <c r="F182" s="69" t="n"/>
      <c r="G182" s="70" t="n"/>
      <c r="H182" s="71" t="n"/>
      <c r="I182" s="66" t="n"/>
      <c r="J182" s="72" t="n"/>
      <c r="K182" s="73" t="n"/>
      <c r="L182" s="68" t="n"/>
      <c r="M182" s="74" t="str">
        <f>IF(AND(A182="",B182="",D182=""),"",MAX(N(J182),IF(A182="",0,SUMPRODUCT(MAX((in_plan=A182)*in_prev*in_dnum)))))</f>
        <v/>
      </c>
      <c r="N182" s="75" t="str">
        <f>IF(AND(A182="",B182="",D182=""),"",MAX(N(K182),IF(A182="",0,SUMPRODUCT(MAX((in_plan=A182)*in_prev*in_cnum)))))</f>
        <v/>
      </c>
      <c r="O182" s="76" t="str">
        <f>IF(AND(OR(E182="Calendrier",E182="Au premier des deux"),N(F182)&gt;0,IF(N(M182)&gt;0,M182,IFERROR(N(INDEX(eq_start,MATCH(B182,eq_code,0))),0))&gt;0),IF(N(M182)&gt;0,M182,IFERROR(N(INDEX(eq_start,MATCH(B182,eq_code,0))),0))+F182,"")</f>
        <v/>
      </c>
      <c r="P182" s="75" t="str">
        <f>IF(AND(OR(E182="Compteur",E182="Au premier des deux"),N(G182)&gt;0),N(N182)+G182,"")</f>
        <v/>
      </c>
      <c r="Q182" s="75" t="str">
        <f>IF(B182="","",IFERROR(N(INDEX(eq_cnt,MATCH(B182,eq_code,0))),""))</f>
        <v/>
      </c>
      <c r="R182" s="77" t="str">
        <f>IF(ISNUMBER(O182),O182-p_today,"")</f>
        <v/>
      </c>
      <c r="S182" s="78" t="str">
        <f>IF(AND(ISNUMBER(P182),N(Q182)&gt;0),P182-Q182,"")</f>
        <v/>
      </c>
      <c r="T182" s="76" t="str">
        <f>IF(AND(ISNUMBER(O182),ISNUMBER(X182)),MIN(O182,X182),IF(ISNUMBER(O182),O182,X182))</f>
        <v/>
      </c>
      <c r="U182" s="79" t="str">
        <f>IF(AND(A182="",B182="",D182=""),"",IF(L182="Non","Inactif",IF(AND(NOT(ISNUMBER(R182)),NOT(ISNUMBER(S182))),"À compléter",IF(OR(AND(ISNUMBER(R182),N(R182)&lt;0),AND(ISNUMBER(S182),N(S182)&lt;0)),"En retard",IF(OR(AND(ISNUMBER(R182),N(R182)&lt;=p_soon),AND(ISNUMBER(S182),N(S182)&lt;=p_soon_pct*N(G182))),"Bientôt","À jour")))))</f>
        <v/>
      </c>
      <c r="V182" s="79" t="str">
        <f>IF(AND(A182="",B182="",D182=""),"",IF(A182="","N° de plan manquant",IF(COUNTIF($A$6:$A$505,A182)&gt;1,"N° de plan en double",IF(B182="","Équipement manquant",IF(ISNA(MATCH(B182,eq_code,0)),"Équipement inconnu",IF(D182="","Tâche manquante",IF(E182="","Déclenchement manquant",IF(AND(E182&lt;&gt;"Calendrier",E182&lt;&gt;"Compteur",E182&lt;&gt;"Au premier des deux"),"Déclenchement inconnu",IF(AND(E182&lt;&gt;"Compteur",OR(NOT(ISNUMBER(F182)),N(F182)&lt;=0)),"Périodicité en jours manquante",IF(AND(E182&lt;&gt;"Calendrier",OR(NOT(ISNUMBER(G182)),N(G182)&lt;=0)),"Périodicité compteur manquante",IF(AND(J182&lt;&gt;"",OR(NOT(ISNUMBER(J182)),N(J182)&lt;=0)),"Date de réalisation invalide",IF(AND(K182&lt;&gt;"",OR(NOT(ISNUMBER(K182)),N(K182)&lt;0)),"Compteur de réalisation invalide",IF(AND(E182&lt;&gt;"Compteur",N(M182)=0,IFERROR(N(INDEX(eq_start,MATCH(B182,eq_code,0))),0)=0),"Date de départ manquante",IF(AND(E182&lt;&gt;"Calendrier",K182="",N(N182)=0),"Compteur de départ manquant",IF(AND(E182&lt;&gt;"Calendrier",N(Q182)=0),"Relevé compteur manquant (Équipements)",IF(AND(I182&lt;&gt;"",ISNA(MATCH(I182,tech_name,0))),"Technicien inconnu",IF(AND(L182&lt;&gt;"",L182&lt;&gt;"Oui",L182&lt;&gt;"Non"),"Actif : Oui ou Non","OK")))))))))))))))))</f>
        <v/>
      </c>
      <c r="W182" s="67">
        <f>IFERROR(N(INDEX(eq_use,MATCH(B182,eq_code,0))),0)</f>
        <v>0.0</v>
      </c>
      <c r="X182" s="67" t="str">
        <f>IF(AND(ISNUMBER(S182),W182&gt;0),p_today+MAX(0,ROUNDUP(S182*7/W182,0)),"")</f>
        <v/>
      </c>
      <c r="Y182" s="67" t="str">
        <f>IF(AND(ISNUMBER(T182),OR(U182="En retard",U182="Bientôt",U182="À jour")),IF(AND(ISNUMBER(O182),ISNUMBER(X182)),MIN(F182,G182*7/W182),IF(ISNUMBER(O182),F182,G182*7/W182)),"")</f>
        <v/>
      </c>
      <c r="Z182" s="67" t="str">
        <f>IF(OR(U182="En retard",U182="Bientôt"),IF(U182="En retard",0,1)*1000000000+IF(AB182="A",0,IF(AB182="B",1,IF(AB182="C",2,3)))*100000000+IF(ISNUMBER(T182),T182,p_today)*1000+ROW()-5,"")</f>
        <v/>
      </c>
      <c r="AA182" s="67" t="str">
        <f>IF(Z182="","",COUNTIF($Z$6:$Z$505,"&lt;"&amp;Z182)+1)</f>
        <v/>
      </c>
      <c r="AB182" s="67" t="str">
        <f>IFERROR(INDEX(eq_crit,MATCH(B182,eq_code,0))&amp;"","")</f>
        <v/>
      </c>
    </row>
    <row r="183">
      <c r="A183" s="65" t="n"/>
      <c r="B183" s="66" t="n"/>
      <c r="C183" s="67" t="str">
        <f>IF(B183="","",IFERROR(INDEX(eq_des,MATCH(B183,eq_code,0))&amp;"","Équipement inconnu"))</f>
        <v/>
      </c>
      <c r="D183" s="66" t="n"/>
      <c r="E183" s="68" t="n"/>
      <c r="F183" s="69" t="n"/>
      <c r="G183" s="70" t="n"/>
      <c r="H183" s="71" t="n"/>
      <c r="I183" s="66" t="n"/>
      <c r="J183" s="72" t="n"/>
      <c r="K183" s="73" t="n"/>
      <c r="L183" s="68" t="n"/>
      <c r="M183" s="74" t="str">
        <f>IF(AND(A183="",B183="",D183=""),"",MAX(N(J183),IF(A183="",0,SUMPRODUCT(MAX((in_plan=A183)*in_prev*in_dnum)))))</f>
        <v/>
      </c>
      <c r="N183" s="75" t="str">
        <f>IF(AND(A183="",B183="",D183=""),"",MAX(N(K183),IF(A183="",0,SUMPRODUCT(MAX((in_plan=A183)*in_prev*in_cnum)))))</f>
        <v/>
      </c>
      <c r="O183" s="76" t="str">
        <f>IF(AND(OR(E183="Calendrier",E183="Au premier des deux"),N(F183)&gt;0,IF(N(M183)&gt;0,M183,IFERROR(N(INDEX(eq_start,MATCH(B183,eq_code,0))),0))&gt;0),IF(N(M183)&gt;0,M183,IFERROR(N(INDEX(eq_start,MATCH(B183,eq_code,0))),0))+F183,"")</f>
        <v/>
      </c>
      <c r="P183" s="75" t="str">
        <f>IF(AND(OR(E183="Compteur",E183="Au premier des deux"),N(G183)&gt;0),N(N183)+G183,"")</f>
        <v/>
      </c>
      <c r="Q183" s="75" t="str">
        <f>IF(B183="","",IFERROR(N(INDEX(eq_cnt,MATCH(B183,eq_code,0))),""))</f>
        <v/>
      </c>
      <c r="R183" s="77" t="str">
        <f>IF(ISNUMBER(O183),O183-p_today,"")</f>
        <v/>
      </c>
      <c r="S183" s="78" t="str">
        <f>IF(AND(ISNUMBER(P183),N(Q183)&gt;0),P183-Q183,"")</f>
        <v/>
      </c>
      <c r="T183" s="76" t="str">
        <f>IF(AND(ISNUMBER(O183),ISNUMBER(X183)),MIN(O183,X183),IF(ISNUMBER(O183),O183,X183))</f>
        <v/>
      </c>
      <c r="U183" s="79" t="str">
        <f>IF(AND(A183="",B183="",D183=""),"",IF(L183="Non","Inactif",IF(AND(NOT(ISNUMBER(R183)),NOT(ISNUMBER(S183))),"À compléter",IF(OR(AND(ISNUMBER(R183),N(R183)&lt;0),AND(ISNUMBER(S183),N(S183)&lt;0)),"En retard",IF(OR(AND(ISNUMBER(R183),N(R183)&lt;=p_soon),AND(ISNUMBER(S183),N(S183)&lt;=p_soon_pct*N(G183))),"Bientôt","À jour")))))</f>
        <v/>
      </c>
      <c r="V183" s="79" t="str">
        <f>IF(AND(A183="",B183="",D183=""),"",IF(A183="","N° de plan manquant",IF(COUNTIF($A$6:$A$505,A183)&gt;1,"N° de plan en double",IF(B183="","Équipement manquant",IF(ISNA(MATCH(B183,eq_code,0)),"Équipement inconnu",IF(D183="","Tâche manquante",IF(E183="","Déclenchement manquant",IF(AND(E183&lt;&gt;"Calendrier",E183&lt;&gt;"Compteur",E183&lt;&gt;"Au premier des deux"),"Déclenchement inconnu",IF(AND(E183&lt;&gt;"Compteur",OR(NOT(ISNUMBER(F183)),N(F183)&lt;=0)),"Périodicité en jours manquante",IF(AND(E183&lt;&gt;"Calendrier",OR(NOT(ISNUMBER(G183)),N(G183)&lt;=0)),"Périodicité compteur manquante",IF(AND(J183&lt;&gt;"",OR(NOT(ISNUMBER(J183)),N(J183)&lt;=0)),"Date de réalisation invalide",IF(AND(K183&lt;&gt;"",OR(NOT(ISNUMBER(K183)),N(K183)&lt;0)),"Compteur de réalisation invalide",IF(AND(E183&lt;&gt;"Compteur",N(M183)=0,IFERROR(N(INDEX(eq_start,MATCH(B183,eq_code,0))),0)=0),"Date de départ manquante",IF(AND(E183&lt;&gt;"Calendrier",K183="",N(N183)=0),"Compteur de départ manquant",IF(AND(E183&lt;&gt;"Calendrier",N(Q183)=0),"Relevé compteur manquant (Équipements)",IF(AND(I183&lt;&gt;"",ISNA(MATCH(I183,tech_name,0))),"Technicien inconnu",IF(AND(L183&lt;&gt;"",L183&lt;&gt;"Oui",L183&lt;&gt;"Non"),"Actif : Oui ou Non","OK")))))))))))))))))</f>
        <v/>
      </c>
      <c r="W183" s="67">
        <f>IFERROR(N(INDEX(eq_use,MATCH(B183,eq_code,0))),0)</f>
        <v>0.0</v>
      </c>
      <c r="X183" s="67" t="str">
        <f>IF(AND(ISNUMBER(S183),W183&gt;0),p_today+MAX(0,ROUNDUP(S183*7/W183,0)),"")</f>
        <v/>
      </c>
      <c r="Y183" s="67" t="str">
        <f>IF(AND(ISNUMBER(T183),OR(U183="En retard",U183="Bientôt",U183="À jour")),IF(AND(ISNUMBER(O183),ISNUMBER(X183)),MIN(F183,G183*7/W183),IF(ISNUMBER(O183),F183,G183*7/W183)),"")</f>
        <v/>
      </c>
      <c r="Z183" s="67" t="str">
        <f>IF(OR(U183="En retard",U183="Bientôt"),IF(U183="En retard",0,1)*1000000000+IF(AB183="A",0,IF(AB183="B",1,IF(AB183="C",2,3)))*100000000+IF(ISNUMBER(T183),T183,p_today)*1000+ROW()-5,"")</f>
        <v/>
      </c>
      <c r="AA183" s="67" t="str">
        <f>IF(Z183="","",COUNTIF($Z$6:$Z$505,"&lt;"&amp;Z183)+1)</f>
        <v/>
      </c>
      <c r="AB183" s="67" t="str">
        <f>IFERROR(INDEX(eq_crit,MATCH(B183,eq_code,0))&amp;"","")</f>
        <v/>
      </c>
    </row>
    <row r="184">
      <c r="A184" s="65" t="n"/>
      <c r="B184" s="66" t="n"/>
      <c r="C184" s="67" t="str">
        <f>IF(B184="","",IFERROR(INDEX(eq_des,MATCH(B184,eq_code,0))&amp;"","Équipement inconnu"))</f>
        <v/>
      </c>
      <c r="D184" s="66" t="n"/>
      <c r="E184" s="68" t="n"/>
      <c r="F184" s="69" t="n"/>
      <c r="G184" s="70" t="n"/>
      <c r="H184" s="71" t="n"/>
      <c r="I184" s="66" t="n"/>
      <c r="J184" s="72" t="n"/>
      <c r="K184" s="73" t="n"/>
      <c r="L184" s="68" t="n"/>
      <c r="M184" s="74" t="str">
        <f>IF(AND(A184="",B184="",D184=""),"",MAX(N(J184),IF(A184="",0,SUMPRODUCT(MAX((in_plan=A184)*in_prev*in_dnum)))))</f>
        <v/>
      </c>
      <c r="N184" s="75" t="str">
        <f>IF(AND(A184="",B184="",D184=""),"",MAX(N(K184),IF(A184="",0,SUMPRODUCT(MAX((in_plan=A184)*in_prev*in_cnum)))))</f>
        <v/>
      </c>
      <c r="O184" s="76" t="str">
        <f>IF(AND(OR(E184="Calendrier",E184="Au premier des deux"),N(F184)&gt;0,IF(N(M184)&gt;0,M184,IFERROR(N(INDEX(eq_start,MATCH(B184,eq_code,0))),0))&gt;0),IF(N(M184)&gt;0,M184,IFERROR(N(INDEX(eq_start,MATCH(B184,eq_code,0))),0))+F184,"")</f>
        <v/>
      </c>
      <c r="P184" s="75" t="str">
        <f>IF(AND(OR(E184="Compteur",E184="Au premier des deux"),N(G184)&gt;0),N(N184)+G184,"")</f>
        <v/>
      </c>
      <c r="Q184" s="75" t="str">
        <f>IF(B184="","",IFERROR(N(INDEX(eq_cnt,MATCH(B184,eq_code,0))),""))</f>
        <v/>
      </c>
      <c r="R184" s="77" t="str">
        <f>IF(ISNUMBER(O184),O184-p_today,"")</f>
        <v/>
      </c>
      <c r="S184" s="78" t="str">
        <f>IF(AND(ISNUMBER(P184),N(Q184)&gt;0),P184-Q184,"")</f>
        <v/>
      </c>
      <c r="T184" s="76" t="str">
        <f>IF(AND(ISNUMBER(O184),ISNUMBER(X184)),MIN(O184,X184),IF(ISNUMBER(O184),O184,X184))</f>
        <v/>
      </c>
      <c r="U184" s="79" t="str">
        <f>IF(AND(A184="",B184="",D184=""),"",IF(L184="Non","Inactif",IF(AND(NOT(ISNUMBER(R184)),NOT(ISNUMBER(S184))),"À compléter",IF(OR(AND(ISNUMBER(R184),N(R184)&lt;0),AND(ISNUMBER(S184),N(S184)&lt;0)),"En retard",IF(OR(AND(ISNUMBER(R184),N(R184)&lt;=p_soon),AND(ISNUMBER(S184),N(S184)&lt;=p_soon_pct*N(G184))),"Bientôt","À jour")))))</f>
        <v/>
      </c>
      <c r="V184" s="79" t="str">
        <f>IF(AND(A184="",B184="",D184=""),"",IF(A184="","N° de plan manquant",IF(COUNTIF($A$6:$A$505,A184)&gt;1,"N° de plan en double",IF(B184="","Équipement manquant",IF(ISNA(MATCH(B184,eq_code,0)),"Équipement inconnu",IF(D184="","Tâche manquante",IF(E184="","Déclenchement manquant",IF(AND(E184&lt;&gt;"Calendrier",E184&lt;&gt;"Compteur",E184&lt;&gt;"Au premier des deux"),"Déclenchement inconnu",IF(AND(E184&lt;&gt;"Compteur",OR(NOT(ISNUMBER(F184)),N(F184)&lt;=0)),"Périodicité en jours manquante",IF(AND(E184&lt;&gt;"Calendrier",OR(NOT(ISNUMBER(G184)),N(G184)&lt;=0)),"Périodicité compteur manquante",IF(AND(J184&lt;&gt;"",OR(NOT(ISNUMBER(J184)),N(J184)&lt;=0)),"Date de réalisation invalide",IF(AND(K184&lt;&gt;"",OR(NOT(ISNUMBER(K184)),N(K184)&lt;0)),"Compteur de réalisation invalide",IF(AND(E184&lt;&gt;"Compteur",N(M184)=0,IFERROR(N(INDEX(eq_start,MATCH(B184,eq_code,0))),0)=0),"Date de départ manquante",IF(AND(E184&lt;&gt;"Calendrier",K184="",N(N184)=0),"Compteur de départ manquant",IF(AND(E184&lt;&gt;"Calendrier",N(Q184)=0),"Relevé compteur manquant (Équipements)",IF(AND(I184&lt;&gt;"",ISNA(MATCH(I184,tech_name,0))),"Technicien inconnu",IF(AND(L184&lt;&gt;"",L184&lt;&gt;"Oui",L184&lt;&gt;"Non"),"Actif : Oui ou Non","OK")))))))))))))))))</f>
        <v/>
      </c>
      <c r="W184" s="67">
        <f>IFERROR(N(INDEX(eq_use,MATCH(B184,eq_code,0))),0)</f>
        <v>0.0</v>
      </c>
      <c r="X184" s="67" t="str">
        <f>IF(AND(ISNUMBER(S184),W184&gt;0),p_today+MAX(0,ROUNDUP(S184*7/W184,0)),"")</f>
        <v/>
      </c>
      <c r="Y184" s="67" t="str">
        <f>IF(AND(ISNUMBER(T184),OR(U184="En retard",U184="Bientôt",U184="À jour")),IF(AND(ISNUMBER(O184),ISNUMBER(X184)),MIN(F184,G184*7/W184),IF(ISNUMBER(O184),F184,G184*7/W184)),"")</f>
        <v/>
      </c>
      <c r="Z184" s="67" t="str">
        <f>IF(OR(U184="En retard",U184="Bientôt"),IF(U184="En retard",0,1)*1000000000+IF(AB184="A",0,IF(AB184="B",1,IF(AB184="C",2,3)))*100000000+IF(ISNUMBER(T184),T184,p_today)*1000+ROW()-5,"")</f>
        <v/>
      </c>
      <c r="AA184" s="67" t="str">
        <f>IF(Z184="","",COUNTIF($Z$6:$Z$505,"&lt;"&amp;Z184)+1)</f>
        <v/>
      </c>
      <c r="AB184" s="67" t="str">
        <f>IFERROR(INDEX(eq_crit,MATCH(B184,eq_code,0))&amp;"","")</f>
        <v/>
      </c>
    </row>
    <row r="185">
      <c r="A185" s="65" t="n"/>
      <c r="B185" s="66" t="n"/>
      <c r="C185" s="67" t="str">
        <f>IF(B185="","",IFERROR(INDEX(eq_des,MATCH(B185,eq_code,0))&amp;"","Équipement inconnu"))</f>
        <v/>
      </c>
      <c r="D185" s="66" t="n"/>
      <c r="E185" s="68" t="n"/>
      <c r="F185" s="69" t="n"/>
      <c r="G185" s="70" t="n"/>
      <c r="H185" s="71" t="n"/>
      <c r="I185" s="66" t="n"/>
      <c r="J185" s="72" t="n"/>
      <c r="K185" s="73" t="n"/>
      <c r="L185" s="68" t="n"/>
      <c r="M185" s="74" t="str">
        <f>IF(AND(A185="",B185="",D185=""),"",MAX(N(J185),IF(A185="",0,SUMPRODUCT(MAX((in_plan=A185)*in_prev*in_dnum)))))</f>
        <v/>
      </c>
      <c r="N185" s="75" t="str">
        <f>IF(AND(A185="",B185="",D185=""),"",MAX(N(K185),IF(A185="",0,SUMPRODUCT(MAX((in_plan=A185)*in_prev*in_cnum)))))</f>
        <v/>
      </c>
      <c r="O185" s="76" t="str">
        <f>IF(AND(OR(E185="Calendrier",E185="Au premier des deux"),N(F185)&gt;0,IF(N(M185)&gt;0,M185,IFERROR(N(INDEX(eq_start,MATCH(B185,eq_code,0))),0))&gt;0),IF(N(M185)&gt;0,M185,IFERROR(N(INDEX(eq_start,MATCH(B185,eq_code,0))),0))+F185,"")</f>
        <v/>
      </c>
      <c r="P185" s="75" t="str">
        <f>IF(AND(OR(E185="Compteur",E185="Au premier des deux"),N(G185)&gt;0),N(N185)+G185,"")</f>
        <v/>
      </c>
      <c r="Q185" s="75" t="str">
        <f>IF(B185="","",IFERROR(N(INDEX(eq_cnt,MATCH(B185,eq_code,0))),""))</f>
        <v/>
      </c>
      <c r="R185" s="77" t="str">
        <f>IF(ISNUMBER(O185),O185-p_today,"")</f>
        <v/>
      </c>
      <c r="S185" s="78" t="str">
        <f>IF(AND(ISNUMBER(P185),N(Q185)&gt;0),P185-Q185,"")</f>
        <v/>
      </c>
      <c r="T185" s="76" t="str">
        <f>IF(AND(ISNUMBER(O185),ISNUMBER(X185)),MIN(O185,X185),IF(ISNUMBER(O185),O185,X185))</f>
        <v/>
      </c>
      <c r="U185" s="79" t="str">
        <f>IF(AND(A185="",B185="",D185=""),"",IF(L185="Non","Inactif",IF(AND(NOT(ISNUMBER(R185)),NOT(ISNUMBER(S185))),"À compléter",IF(OR(AND(ISNUMBER(R185),N(R185)&lt;0),AND(ISNUMBER(S185),N(S185)&lt;0)),"En retard",IF(OR(AND(ISNUMBER(R185),N(R185)&lt;=p_soon),AND(ISNUMBER(S185),N(S185)&lt;=p_soon_pct*N(G185))),"Bientôt","À jour")))))</f>
        <v/>
      </c>
      <c r="V185" s="79" t="str">
        <f>IF(AND(A185="",B185="",D185=""),"",IF(A185="","N° de plan manquant",IF(COUNTIF($A$6:$A$505,A185)&gt;1,"N° de plan en double",IF(B185="","Équipement manquant",IF(ISNA(MATCH(B185,eq_code,0)),"Équipement inconnu",IF(D185="","Tâche manquante",IF(E185="","Déclenchement manquant",IF(AND(E185&lt;&gt;"Calendrier",E185&lt;&gt;"Compteur",E185&lt;&gt;"Au premier des deux"),"Déclenchement inconnu",IF(AND(E185&lt;&gt;"Compteur",OR(NOT(ISNUMBER(F185)),N(F185)&lt;=0)),"Périodicité en jours manquante",IF(AND(E185&lt;&gt;"Calendrier",OR(NOT(ISNUMBER(G185)),N(G185)&lt;=0)),"Périodicité compteur manquante",IF(AND(J185&lt;&gt;"",OR(NOT(ISNUMBER(J185)),N(J185)&lt;=0)),"Date de réalisation invalide",IF(AND(K185&lt;&gt;"",OR(NOT(ISNUMBER(K185)),N(K185)&lt;0)),"Compteur de réalisation invalide",IF(AND(E185&lt;&gt;"Compteur",N(M185)=0,IFERROR(N(INDEX(eq_start,MATCH(B185,eq_code,0))),0)=0),"Date de départ manquante",IF(AND(E185&lt;&gt;"Calendrier",K185="",N(N185)=0),"Compteur de départ manquant",IF(AND(E185&lt;&gt;"Calendrier",N(Q185)=0),"Relevé compteur manquant (Équipements)",IF(AND(I185&lt;&gt;"",ISNA(MATCH(I185,tech_name,0))),"Technicien inconnu",IF(AND(L185&lt;&gt;"",L185&lt;&gt;"Oui",L185&lt;&gt;"Non"),"Actif : Oui ou Non","OK")))))))))))))))))</f>
        <v/>
      </c>
      <c r="W185" s="67">
        <f>IFERROR(N(INDEX(eq_use,MATCH(B185,eq_code,0))),0)</f>
        <v>0.0</v>
      </c>
      <c r="X185" s="67" t="str">
        <f>IF(AND(ISNUMBER(S185),W185&gt;0),p_today+MAX(0,ROUNDUP(S185*7/W185,0)),"")</f>
        <v/>
      </c>
      <c r="Y185" s="67" t="str">
        <f>IF(AND(ISNUMBER(T185),OR(U185="En retard",U185="Bientôt",U185="À jour")),IF(AND(ISNUMBER(O185),ISNUMBER(X185)),MIN(F185,G185*7/W185),IF(ISNUMBER(O185),F185,G185*7/W185)),"")</f>
        <v/>
      </c>
      <c r="Z185" s="67" t="str">
        <f>IF(OR(U185="En retard",U185="Bientôt"),IF(U185="En retard",0,1)*1000000000+IF(AB185="A",0,IF(AB185="B",1,IF(AB185="C",2,3)))*100000000+IF(ISNUMBER(T185),T185,p_today)*1000+ROW()-5,"")</f>
        <v/>
      </c>
      <c r="AA185" s="67" t="str">
        <f>IF(Z185="","",COUNTIF($Z$6:$Z$505,"&lt;"&amp;Z185)+1)</f>
        <v/>
      </c>
      <c r="AB185" s="67" t="str">
        <f>IFERROR(INDEX(eq_crit,MATCH(B185,eq_code,0))&amp;"","")</f>
        <v/>
      </c>
    </row>
    <row r="186">
      <c r="A186" s="65" t="n"/>
      <c r="B186" s="66" t="n"/>
      <c r="C186" s="67" t="str">
        <f>IF(B186="","",IFERROR(INDEX(eq_des,MATCH(B186,eq_code,0))&amp;"","Équipement inconnu"))</f>
        <v/>
      </c>
      <c r="D186" s="66" t="n"/>
      <c r="E186" s="68" t="n"/>
      <c r="F186" s="69" t="n"/>
      <c r="G186" s="70" t="n"/>
      <c r="H186" s="71" t="n"/>
      <c r="I186" s="66" t="n"/>
      <c r="J186" s="72" t="n"/>
      <c r="K186" s="73" t="n"/>
      <c r="L186" s="68" t="n"/>
      <c r="M186" s="74" t="str">
        <f>IF(AND(A186="",B186="",D186=""),"",MAX(N(J186),IF(A186="",0,SUMPRODUCT(MAX((in_plan=A186)*in_prev*in_dnum)))))</f>
        <v/>
      </c>
      <c r="N186" s="75" t="str">
        <f>IF(AND(A186="",B186="",D186=""),"",MAX(N(K186),IF(A186="",0,SUMPRODUCT(MAX((in_plan=A186)*in_prev*in_cnum)))))</f>
        <v/>
      </c>
      <c r="O186" s="76" t="str">
        <f>IF(AND(OR(E186="Calendrier",E186="Au premier des deux"),N(F186)&gt;0,IF(N(M186)&gt;0,M186,IFERROR(N(INDEX(eq_start,MATCH(B186,eq_code,0))),0))&gt;0),IF(N(M186)&gt;0,M186,IFERROR(N(INDEX(eq_start,MATCH(B186,eq_code,0))),0))+F186,"")</f>
        <v/>
      </c>
      <c r="P186" s="75" t="str">
        <f>IF(AND(OR(E186="Compteur",E186="Au premier des deux"),N(G186)&gt;0),N(N186)+G186,"")</f>
        <v/>
      </c>
      <c r="Q186" s="75" t="str">
        <f>IF(B186="","",IFERROR(N(INDEX(eq_cnt,MATCH(B186,eq_code,0))),""))</f>
        <v/>
      </c>
      <c r="R186" s="77" t="str">
        <f>IF(ISNUMBER(O186),O186-p_today,"")</f>
        <v/>
      </c>
      <c r="S186" s="78" t="str">
        <f>IF(AND(ISNUMBER(P186),N(Q186)&gt;0),P186-Q186,"")</f>
        <v/>
      </c>
      <c r="T186" s="76" t="str">
        <f>IF(AND(ISNUMBER(O186),ISNUMBER(X186)),MIN(O186,X186),IF(ISNUMBER(O186),O186,X186))</f>
        <v/>
      </c>
      <c r="U186" s="79" t="str">
        <f>IF(AND(A186="",B186="",D186=""),"",IF(L186="Non","Inactif",IF(AND(NOT(ISNUMBER(R186)),NOT(ISNUMBER(S186))),"À compléter",IF(OR(AND(ISNUMBER(R186),N(R186)&lt;0),AND(ISNUMBER(S186),N(S186)&lt;0)),"En retard",IF(OR(AND(ISNUMBER(R186),N(R186)&lt;=p_soon),AND(ISNUMBER(S186),N(S186)&lt;=p_soon_pct*N(G186))),"Bientôt","À jour")))))</f>
        <v/>
      </c>
      <c r="V186" s="79" t="str">
        <f>IF(AND(A186="",B186="",D186=""),"",IF(A186="","N° de plan manquant",IF(COUNTIF($A$6:$A$505,A186)&gt;1,"N° de plan en double",IF(B186="","Équipement manquant",IF(ISNA(MATCH(B186,eq_code,0)),"Équipement inconnu",IF(D186="","Tâche manquante",IF(E186="","Déclenchement manquant",IF(AND(E186&lt;&gt;"Calendrier",E186&lt;&gt;"Compteur",E186&lt;&gt;"Au premier des deux"),"Déclenchement inconnu",IF(AND(E186&lt;&gt;"Compteur",OR(NOT(ISNUMBER(F186)),N(F186)&lt;=0)),"Périodicité en jours manquante",IF(AND(E186&lt;&gt;"Calendrier",OR(NOT(ISNUMBER(G186)),N(G186)&lt;=0)),"Périodicité compteur manquante",IF(AND(J186&lt;&gt;"",OR(NOT(ISNUMBER(J186)),N(J186)&lt;=0)),"Date de réalisation invalide",IF(AND(K186&lt;&gt;"",OR(NOT(ISNUMBER(K186)),N(K186)&lt;0)),"Compteur de réalisation invalide",IF(AND(E186&lt;&gt;"Compteur",N(M186)=0,IFERROR(N(INDEX(eq_start,MATCH(B186,eq_code,0))),0)=0),"Date de départ manquante",IF(AND(E186&lt;&gt;"Calendrier",K186="",N(N186)=0),"Compteur de départ manquant",IF(AND(E186&lt;&gt;"Calendrier",N(Q186)=0),"Relevé compteur manquant (Équipements)",IF(AND(I186&lt;&gt;"",ISNA(MATCH(I186,tech_name,0))),"Technicien inconnu",IF(AND(L186&lt;&gt;"",L186&lt;&gt;"Oui",L186&lt;&gt;"Non"),"Actif : Oui ou Non","OK")))))))))))))))))</f>
        <v/>
      </c>
      <c r="W186" s="67">
        <f>IFERROR(N(INDEX(eq_use,MATCH(B186,eq_code,0))),0)</f>
        <v>0.0</v>
      </c>
      <c r="X186" s="67" t="str">
        <f>IF(AND(ISNUMBER(S186),W186&gt;0),p_today+MAX(0,ROUNDUP(S186*7/W186,0)),"")</f>
        <v/>
      </c>
      <c r="Y186" s="67" t="str">
        <f>IF(AND(ISNUMBER(T186),OR(U186="En retard",U186="Bientôt",U186="À jour")),IF(AND(ISNUMBER(O186),ISNUMBER(X186)),MIN(F186,G186*7/W186),IF(ISNUMBER(O186),F186,G186*7/W186)),"")</f>
        <v/>
      </c>
      <c r="Z186" s="67" t="str">
        <f>IF(OR(U186="En retard",U186="Bientôt"),IF(U186="En retard",0,1)*1000000000+IF(AB186="A",0,IF(AB186="B",1,IF(AB186="C",2,3)))*100000000+IF(ISNUMBER(T186),T186,p_today)*1000+ROW()-5,"")</f>
        <v/>
      </c>
      <c r="AA186" s="67" t="str">
        <f>IF(Z186="","",COUNTIF($Z$6:$Z$505,"&lt;"&amp;Z186)+1)</f>
        <v/>
      </c>
      <c r="AB186" s="67" t="str">
        <f>IFERROR(INDEX(eq_crit,MATCH(B186,eq_code,0))&amp;"","")</f>
        <v/>
      </c>
    </row>
    <row r="187">
      <c r="A187" s="65" t="n"/>
      <c r="B187" s="66" t="n"/>
      <c r="C187" s="67" t="str">
        <f>IF(B187="","",IFERROR(INDEX(eq_des,MATCH(B187,eq_code,0))&amp;"","Équipement inconnu"))</f>
        <v/>
      </c>
      <c r="D187" s="66" t="n"/>
      <c r="E187" s="68" t="n"/>
      <c r="F187" s="69" t="n"/>
      <c r="G187" s="70" t="n"/>
      <c r="H187" s="71" t="n"/>
      <c r="I187" s="66" t="n"/>
      <c r="J187" s="72" t="n"/>
      <c r="K187" s="73" t="n"/>
      <c r="L187" s="68" t="n"/>
      <c r="M187" s="74" t="str">
        <f>IF(AND(A187="",B187="",D187=""),"",MAX(N(J187),IF(A187="",0,SUMPRODUCT(MAX((in_plan=A187)*in_prev*in_dnum)))))</f>
        <v/>
      </c>
      <c r="N187" s="75" t="str">
        <f>IF(AND(A187="",B187="",D187=""),"",MAX(N(K187),IF(A187="",0,SUMPRODUCT(MAX((in_plan=A187)*in_prev*in_cnum)))))</f>
        <v/>
      </c>
      <c r="O187" s="76" t="str">
        <f>IF(AND(OR(E187="Calendrier",E187="Au premier des deux"),N(F187)&gt;0,IF(N(M187)&gt;0,M187,IFERROR(N(INDEX(eq_start,MATCH(B187,eq_code,0))),0))&gt;0),IF(N(M187)&gt;0,M187,IFERROR(N(INDEX(eq_start,MATCH(B187,eq_code,0))),0))+F187,"")</f>
        <v/>
      </c>
      <c r="P187" s="75" t="str">
        <f>IF(AND(OR(E187="Compteur",E187="Au premier des deux"),N(G187)&gt;0),N(N187)+G187,"")</f>
        <v/>
      </c>
      <c r="Q187" s="75" t="str">
        <f>IF(B187="","",IFERROR(N(INDEX(eq_cnt,MATCH(B187,eq_code,0))),""))</f>
        <v/>
      </c>
      <c r="R187" s="77" t="str">
        <f>IF(ISNUMBER(O187),O187-p_today,"")</f>
        <v/>
      </c>
      <c r="S187" s="78" t="str">
        <f>IF(AND(ISNUMBER(P187),N(Q187)&gt;0),P187-Q187,"")</f>
        <v/>
      </c>
      <c r="T187" s="76" t="str">
        <f>IF(AND(ISNUMBER(O187),ISNUMBER(X187)),MIN(O187,X187),IF(ISNUMBER(O187),O187,X187))</f>
        <v/>
      </c>
      <c r="U187" s="79" t="str">
        <f>IF(AND(A187="",B187="",D187=""),"",IF(L187="Non","Inactif",IF(AND(NOT(ISNUMBER(R187)),NOT(ISNUMBER(S187))),"À compléter",IF(OR(AND(ISNUMBER(R187),N(R187)&lt;0),AND(ISNUMBER(S187),N(S187)&lt;0)),"En retard",IF(OR(AND(ISNUMBER(R187),N(R187)&lt;=p_soon),AND(ISNUMBER(S187),N(S187)&lt;=p_soon_pct*N(G187))),"Bientôt","À jour")))))</f>
        <v/>
      </c>
      <c r="V187" s="79" t="str">
        <f>IF(AND(A187="",B187="",D187=""),"",IF(A187="","N° de plan manquant",IF(COUNTIF($A$6:$A$505,A187)&gt;1,"N° de plan en double",IF(B187="","Équipement manquant",IF(ISNA(MATCH(B187,eq_code,0)),"Équipement inconnu",IF(D187="","Tâche manquante",IF(E187="","Déclenchement manquant",IF(AND(E187&lt;&gt;"Calendrier",E187&lt;&gt;"Compteur",E187&lt;&gt;"Au premier des deux"),"Déclenchement inconnu",IF(AND(E187&lt;&gt;"Compteur",OR(NOT(ISNUMBER(F187)),N(F187)&lt;=0)),"Périodicité en jours manquante",IF(AND(E187&lt;&gt;"Calendrier",OR(NOT(ISNUMBER(G187)),N(G187)&lt;=0)),"Périodicité compteur manquante",IF(AND(J187&lt;&gt;"",OR(NOT(ISNUMBER(J187)),N(J187)&lt;=0)),"Date de réalisation invalide",IF(AND(K187&lt;&gt;"",OR(NOT(ISNUMBER(K187)),N(K187)&lt;0)),"Compteur de réalisation invalide",IF(AND(E187&lt;&gt;"Compteur",N(M187)=0,IFERROR(N(INDEX(eq_start,MATCH(B187,eq_code,0))),0)=0),"Date de départ manquante",IF(AND(E187&lt;&gt;"Calendrier",K187="",N(N187)=0),"Compteur de départ manquant",IF(AND(E187&lt;&gt;"Calendrier",N(Q187)=0),"Relevé compteur manquant (Équipements)",IF(AND(I187&lt;&gt;"",ISNA(MATCH(I187,tech_name,0))),"Technicien inconnu",IF(AND(L187&lt;&gt;"",L187&lt;&gt;"Oui",L187&lt;&gt;"Non"),"Actif : Oui ou Non","OK")))))))))))))))))</f>
        <v/>
      </c>
      <c r="W187" s="67">
        <f>IFERROR(N(INDEX(eq_use,MATCH(B187,eq_code,0))),0)</f>
        <v>0.0</v>
      </c>
      <c r="X187" s="67" t="str">
        <f>IF(AND(ISNUMBER(S187),W187&gt;0),p_today+MAX(0,ROUNDUP(S187*7/W187,0)),"")</f>
        <v/>
      </c>
      <c r="Y187" s="67" t="str">
        <f>IF(AND(ISNUMBER(T187),OR(U187="En retard",U187="Bientôt",U187="À jour")),IF(AND(ISNUMBER(O187),ISNUMBER(X187)),MIN(F187,G187*7/W187),IF(ISNUMBER(O187),F187,G187*7/W187)),"")</f>
        <v/>
      </c>
      <c r="Z187" s="67" t="str">
        <f>IF(OR(U187="En retard",U187="Bientôt"),IF(U187="En retard",0,1)*1000000000+IF(AB187="A",0,IF(AB187="B",1,IF(AB187="C",2,3)))*100000000+IF(ISNUMBER(T187),T187,p_today)*1000+ROW()-5,"")</f>
        <v/>
      </c>
      <c r="AA187" s="67" t="str">
        <f>IF(Z187="","",COUNTIF($Z$6:$Z$505,"&lt;"&amp;Z187)+1)</f>
        <v/>
      </c>
      <c r="AB187" s="67" t="str">
        <f>IFERROR(INDEX(eq_crit,MATCH(B187,eq_code,0))&amp;"","")</f>
        <v/>
      </c>
    </row>
    <row r="188">
      <c r="A188" s="65" t="n"/>
      <c r="B188" s="66" t="n"/>
      <c r="C188" s="67" t="str">
        <f>IF(B188="","",IFERROR(INDEX(eq_des,MATCH(B188,eq_code,0))&amp;"","Équipement inconnu"))</f>
        <v/>
      </c>
      <c r="D188" s="66" t="n"/>
      <c r="E188" s="68" t="n"/>
      <c r="F188" s="69" t="n"/>
      <c r="G188" s="70" t="n"/>
      <c r="H188" s="71" t="n"/>
      <c r="I188" s="66" t="n"/>
      <c r="J188" s="72" t="n"/>
      <c r="K188" s="73" t="n"/>
      <c r="L188" s="68" t="n"/>
      <c r="M188" s="74" t="str">
        <f>IF(AND(A188="",B188="",D188=""),"",MAX(N(J188),IF(A188="",0,SUMPRODUCT(MAX((in_plan=A188)*in_prev*in_dnum)))))</f>
        <v/>
      </c>
      <c r="N188" s="75" t="str">
        <f>IF(AND(A188="",B188="",D188=""),"",MAX(N(K188),IF(A188="",0,SUMPRODUCT(MAX((in_plan=A188)*in_prev*in_cnum)))))</f>
        <v/>
      </c>
      <c r="O188" s="76" t="str">
        <f>IF(AND(OR(E188="Calendrier",E188="Au premier des deux"),N(F188)&gt;0,IF(N(M188)&gt;0,M188,IFERROR(N(INDEX(eq_start,MATCH(B188,eq_code,0))),0))&gt;0),IF(N(M188)&gt;0,M188,IFERROR(N(INDEX(eq_start,MATCH(B188,eq_code,0))),0))+F188,"")</f>
        <v/>
      </c>
      <c r="P188" s="75" t="str">
        <f>IF(AND(OR(E188="Compteur",E188="Au premier des deux"),N(G188)&gt;0),N(N188)+G188,"")</f>
        <v/>
      </c>
      <c r="Q188" s="75" t="str">
        <f>IF(B188="","",IFERROR(N(INDEX(eq_cnt,MATCH(B188,eq_code,0))),""))</f>
        <v/>
      </c>
      <c r="R188" s="77" t="str">
        <f>IF(ISNUMBER(O188),O188-p_today,"")</f>
        <v/>
      </c>
      <c r="S188" s="78" t="str">
        <f>IF(AND(ISNUMBER(P188),N(Q188)&gt;0),P188-Q188,"")</f>
        <v/>
      </c>
      <c r="T188" s="76" t="str">
        <f>IF(AND(ISNUMBER(O188),ISNUMBER(X188)),MIN(O188,X188),IF(ISNUMBER(O188),O188,X188))</f>
        <v/>
      </c>
      <c r="U188" s="79" t="str">
        <f>IF(AND(A188="",B188="",D188=""),"",IF(L188="Non","Inactif",IF(AND(NOT(ISNUMBER(R188)),NOT(ISNUMBER(S188))),"À compléter",IF(OR(AND(ISNUMBER(R188),N(R188)&lt;0),AND(ISNUMBER(S188),N(S188)&lt;0)),"En retard",IF(OR(AND(ISNUMBER(R188),N(R188)&lt;=p_soon),AND(ISNUMBER(S188),N(S188)&lt;=p_soon_pct*N(G188))),"Bientôt","À jour")))))</f>
        <v/>
      </c>
      <c r="V188" s="79" t="str">
        <f>IF(AND(A188="",B188="",D188=""),"",IF(A188="","N° de plan manquant",IF(COUNTIF($A$6:$A$505,A188)&gt;1,"N° de plan en double",IF(B188="","Équipement manquant",IF(ISNA(MATCH(B188,eq_code,0)),"Équipement inconnu",IF(D188="","Tâche manquante",IF(E188="","Déclenchement manquant",IF(AND(E188&lt;&gt;"Calendrier",E188&lt;&gt;"Compteur",E188&lt;&gt;"Au premier des deux"),"Déclenchement inconnu",IF(AND(E188&lt;&gt;"Compteur",OR(NOT(ISNUMBER(F188)),N(F188)&lt;=0)),"Périodicité en jours manquante",IF(AND(E188&lt;&gt;"Calendrier",OR(NOT(ISNUMBER(G188)),N(G188)&lt;=0)),"Périodicité compteur manquante",IF(AND(J188&lt;&gt;"",OR(NOT(ISNUMBER(J188)),N(J188)&lt;=0)),"Date de réalisation invalide",IF(AND(K188&lt;&gt;"",OR(NOT(ISNUMBER(K188)),N(K188)&lt;0)),"Compteur de réalisation invalide",IF(AND(E188&lt;&gt;"Compteur",N(M188)=0,IFERROR(N(INDEX(eq_start,MATCH(B188,eq_code,0))),0)=0),"Date de départ manquante",IF(AND(E188&lt;&gt;"Calendrier",K188="",N(N188)=0),"Compteur de départ manquant",IF(AND(E188&lt;&gt;"Calendrier",N(Q188)=0),"Relevé compteur manquant (Équipements)",IF(AND(I188&lt;&gt;"",ISNA(MATCH(I188,tech_name,0))),"Technicien inconnu",IF(AND(L188&lt;&gt;"",L188&lt;&gt;"Oui",L188&lt;&gt;"Non"),"Actif : Oui ou Non","OK")))))))))))))))))</f>
        <v/>
      </c>
      <c r="W188" s="67">
        <f>IFERROR(N(INDEX(eq_use,MATCH(B188,eq_code,0))),0)</f>
        <v>0.0</v>
      </c>
      <c r="X188" s="67" t="str">
        <f>IF(AND(ISNUMBER(S188),W188&gt;0),p_today+MAX(0,ROUNDUP(S188*7/W188,0)),"")</f>
        <v/>
      </c>
      <c r="Y188" s="67" t="str">
        <f>IF(AND(ISNUMBER(T188),OR(U188="En retard",U188="Bientôt",U188="À jour")),IF(AND(ISNUMBER(O188),ISNUMBER(X188)),MIN(F188,G188*7/W188),IF(ISNUMBER(O188),F188,G188*7/W188)),"")</f>
        <v/>
      </c>
      <c r="Z188" s="67" t="str">
        <f>IF(OR(U188="En retard",U188="Bientôt"),IF(U188="En retard",0,1)*1000000000+IF(AB188="A",0,IF(AB188="B",1,IF(AB188="C",2,3)))*100000000+IF(ISNUMBER(T188),T188,p_today)*1000+ROW()-5,"")</f>
        <v/>
      </c>
      <c r="AA188" s="67" t="str">
        <f>IF(Z188="","",COUNTIF($Z$6:$Z$505,"&lt;"&amp;Z188)+1)</f>
        <v/>
      </c>
      <c r="AB188" s="67" t="str">
        <f>IFERROR(INDEX(eq_crit,MATCH(B188,eq_code,0))&amp;"","")</f>
        <v/>
      </c>
    </row>
    <row r="189">
      <c r="A189" s="65" t="n"/>
      <c r="B189" s="66" t="n"/>
      <c r="C189" s="67" t="str">
        <f>IF(B189="","",IFERROR(INDEX(eq_des,MATCH(B189,eq_code,0))&amp;"","Équipement inconnu"))</f>
        <v/>
      </c>
      <c r="D189" s="66" t="n"/>
      <c r="E189" s="68" t="n"/>
      <c r="F189" s="69" t="n"/>
      <c r="G189" s="70" t="n"/>
      <c r="H189" s="71" t="n"/>
      <c r="I189" s="66" t="n"/>
      <c r="J189" s="72" t="n"/>
      <c r="K189" s="73" t="n"/>
      <c r="L189" s="68" t="n"/>
      <c r="M189" s="74" t="str">
        <f>IF(AND(A189="",B189="",D189=""),"",MAX(N(J189),IF(A189="",0,SUMPRODUCT(MAX((in_plan=A189)*in_prev*in_dnum)))))</f>
        <v/>
      </c>
      <c r="N189" s="75" t="str">
        <f>IF(AND(A189="",B189="",D189=""),"",MAX(N(K189),IF(A189="",0,SUMPRODUCT(MAX((in_plan=A189)*in_prev*in_cnum)))))</f>
        <v/>
      </c>
      <c r="O189" s="76" t="str">
        <f>IF(AND(OR(E189="Calendrier",E189="Au premier des deux"),N(F189)&gt;0,IF(N(M189)&gt;0,M189,IFERROR(N(INDEX(eq_start,MATCH(B189,eq_code,0))),0))&gt;0),IF(N(M189)&gt;0,M189,IFERROR(N(INDEX(eq_start,MATCH(B189,eq_code,0))),0))+F189,"")</f>
        <v/>
      </c>
      <c r="P189" s="75" t="str">
        <f>IF(AND(OR(E189="Compteur",E189="Au premier des deux"),N(G189)&gt;0),N(N189)+G189,"")</f>
        <v/>
      </c>
      <c r="Q189" s="75" t="str">
        <f>IF(B189="","",IFERROR(N(INDEX(eq_cnt,MATCH(B189,eq_code,0))),""))</f>
        <v/>
      </c>
      <c r="R189" s="77" t="str">
        <f>IF(ISNUMBER(O189),O189-p_today,"")</f>
        <v/>
      </c>
      <c r="S189" s="78" t="str">
        <f>IF(AND(ISNUMBER(P189),N(Q189)&gt;0),P189-Q189,"")</f>
        <v/>
      </c>
      <c r="T189" s="76" t="str">
        <f>IF(AND(ISNUMBER(O189),ISNUMBER(X189)),MIN(O189,X189),IF(ISNUMBER(O189),O189,X189))</f>
        <v/>
      </c>
      <c r="U189" s="79" t="str">
        <f>IF(AND(A189="",B189="",D189=""),"",IF(L189="Non","Inactif",IF(AND(NOT(ISNUMBER(R189)),NOT(ISNUMBER(S189))),"À compléter",IF(OR(AND(ISNUMBER(R189),N(R189)&lt;0),AND(ISNUMBER(S189),N(S189)&lt;0)),"En retard",IF(OR(AND(ISNUMBER(R189),N(R189)&lt;=p_soon),AND(ISNUMBER(S189),N(S189)&lt;=p_soon_pct*N(G189))),"Bientôt","À jour")))))</f>
        <v/>
      </c>
      <c r="V189" s="79" t="str">
        <f>IF(AND(A189="",B189="",D189=""),"",IF(A189="","N° de plan manquant",IF(COUNTIF($A$6:$A$505,A189)&gt;1,"N° de plan en double",IF(B189="","Équipement manquant",IF(ISNA(MATCH(B189,eq_code,0)),"Équipement inconnu",IF(D189="","Tâche manquante",IF(E189="","Déclenchement manquant",IF(AND(E189&lt;&gt;"Calendrier",E189&lt;&gt;"Compteur",E189&lt;&gt;"Au premier des deux"),"Déclenchement inconnu",IF(AND(E189&lt;&gt;"Compteur",OR(NOT(ISNUMBER(F189)),N(F189)&lt;=0)),"Périodicité en jours manquante",IF(AND(E189&lt;&gt;"Calendrier",OR(NOT(ISNUMBER(G189)),N(G189)&lt;=0)),"Périodicité compteur manquante",IF(AND(J189&lt;&gt;"",OR(NOT(ISNUMBER(J189)),N(J189)&lt;=0)),"Date de réalisation invalide",IF(AND(K189&lt;&gt;"",OR(NOT(ISNUMBER(K189)),N(K189)&lt;0)),"Compteur de réalisation invalide",IF(AND(E189&lt;&gt;"Compteur",N(M189)=0,IFERROR(N(INDEX(eq_start,MATCH(B189,eq_code,0))),0)=0),"Date de départ manquante",IF(AND(E189&lt;&gt;"Calendrier",K189="",N(N189)=0),"Compteur de départ manquant",IF(AND(E189&lt;&gt;"Calendrier",N(Q189)=0),"Relevé compteur manquant (Équipements)",IF(AND(I189&lt;&gt;"",ISNA(MATCH(I189,tech_name,0))),"Technicien inconnu",IF(AND(L189&lt;&gt;"",L189&lt;&gt;"Oui",L189&lt;&gt;"Non"),"Actif : Oui ou Non","OK")))))))))))))))))</f>
        <v/>
      </c>
      <c r="W189" s="67">
        <f>IFERROR(N(INDEX(eq_use,MATCH(B189,eq_code,0))),0)</f>
        <v>0.0</v>
      </c>
      <c r="X189" s="67" t="str">
        <f>IF(AND(ISNUMBER(S189),W189&gt;0),p_today+MAX(0,ROUNDUP(S189*7/W189,0)),"")</f>
        <v/>
      </c>
      <c r="Y189" s="67" t="str">
        <f>IF(AND(ISNUMBER(T189),OR(U189="En retard",U189="Bientôt",U189="À jour")),IF(AND(ISNUMBER(O189),ISNUMBER(X189)),MIN(F189,G189*7/W189),IF(ISNUMBER(O189),F189,G189*7/W189)),"")</f>
        <v/>
      </c>
      <c r="Z189" s="67" t="str">
        <f>IF(OR(U189="En retard",U189="Bientôt"),IF(U189="En retard",0,1)*1000000000+IF(AB189="A",0,IF(AB189="B",1,IF(AB189="C",2,3)))*100000000+IF(ISNUMBER(T189),T189,p_today)*1000+ROW()-5,"")</f>
        <v/>
      </c>
      <c r="AA189" s="67" t="str">
        <f>IF(Z189="","",COUNTIF($Z$6:$Z$505,"&lt;"&amp;Z189)+1)</f>
        <v/>
      </c>
      <c r="AB189" s="67" t="str">
        <f>IFERROR(INDEX(eq_crit,MATCH(B189,eq_code,0))&amp;"","")</f>
        <v/>
      </c>
    </row>
    <row r="190">
      <c r="A190" s="65" t="n"/>
      <c r="B190" s="66" t="n"/>
      <c r="C190" s="67" t="str">
        <f>IF(B190="","",IFERROR(INDEX(eq_des,MATCH(B190,eq_code,0))&amp;"","Équipement inconnu"))</f>
        <v/>
      </c>
      <c r="D190" s="66" t="n"/>
      <c r="E190" s="68" t="n"/>
      <c r="F190" s="69" t="n"/>
      <c r="G190" s="70" t="n"/>
      <c r="H190" s="71" t="n"/>
      <c r="I190" s="66" t="n"/>
      <c r="J190" s="72" t="n"/>
      <c r="K190" s="73" t="n"/>
      <c r="L190" s="68" t="n"/>
      <c r="M190" s="74" t="str">
        <f>IF(AND(A190="",B190="",D190=""),"",MAX(N(J190),IF(A190="",0,SUMPRODUCT(MAX((in_plan=A190)*in_prev*in_dnum)))))</f>
        <v/>
      </c>
      <c r="N190" s="75" t="str">
        <f>IF(AND(A190="",B190="",D190=""),"",MAX(N(K190),IF(A190="",0,SUMPRODUCT(MAX((in_plan=A190)*in_prev*in_cnum)))))</f>
        <v/>
      </c>
      <c r="O190" s="76" t="str">
        <f>IF(AND(OR(E190="Calendrier",E190="Au premier des deux"),N(F190)&gt;0,IF(N(M190)&gt;0,M190,IFERROR(N(INDEX(eq_start,MATCH(B190,eq_code,0))),0))&gt;0),IF(N(M190)&gt;0,M190,IFERROR(N(INDEX(eq_start,MATCH(B190,eq_code,0))),0))+F190,"")</f>
        <v/>
      </c>
      <c r="P190" s="75" t="str">
        <f>IF(AND(OR(E190="Compteur",E190="Au premier des deux"),N(G190)&gt;0),N(N190)+G190,"")</f>
        <v/>
      </c>
      <c r="Q190" s="75" t="str">
        <f>IF(B190="","",IFERROR(N(INDEX(eq_cnt,MATCH(B190,eq_code,0))),""))</f>
        <v/>
      </c>
      <c r="R190" s="77" t="str">
        <f>IF(ISNUMBER(O190),O190-p_today,"")</f>
        <v/>
      </c>
      <c r="S190" s="78" t="str">
        <f>IF(AND(ISNUMBER(P190),N(Q190)&gt;0),P190-Q190,"")</f>
        <v/>
      </c>
      <c r="T190" s="76" t="str">
        <f>IF(AND(ISNUMBER(O190),ISNUMBER(X190)),MIN(O190,X190),IF(ISNUMBER(O190),O190,X190))</f>
        <v/>
      </c>
      <c r="U190" s="79" t="str">
        <f>IF(AND(A190="",B190="",D190=""),"",IF(L190="Non","Inactif",IF(AND(NOT(ISNUMBER(R190)),NOT(ISNUMBER(S190))),"À compléter",IF(OR(AND(ISNUMBER(R190),N(R190)&lt;0),AND(ISNUMBER(S190),N(S190)&lt;0)),"En retard",IF(OR(AND(ISNUMBER(R190),N(R190)&lt;=p_soon),AND(ISNUMBER(S190),N(S190)&lt;=p_soon_pct*N(G190))),"Bientôt","À jour")))))</f>
        <v/>
      </c>
      <c r="V190" s="79" t="str">
        <f>IF(AND(A190="",B190="",D190=""),"",IF(A190="","N° de plan manquant",IF(COUNTIF($A$6:$A$505,A190)&gt;1,"N° de plan en double",IF(B190="","Équipement manquant",IF(ISNA(MATCH(B190,eq_code,0)),"Équipement inconnu",IF(D190="","Tâche manquante",IF(E190="","Déclenchement manquant",IF(AND(E190&lt;&gt;"Calendrier",E190&lt;&gt;"Compteur",E190&lt;&gt;"Au premier des deux"),"Déclenchement inconnu",IF(AND(E190&lt;&gt;"Compteur",OR(NOT(ISNUMBER(F190)),N(F190)&lt;=0)),"Périodicité en jours manquante",IF(AND(E190&lt;&gt;"Calendrier",OR(NOT(ISNUMBER(G190)),N(G190)&lt;=0)),"Périodicité compteur manquante",IF(AND(J190&lt;&gt;"",OR(NOT(ISNUMBER(J190)),N(J190)&lt;=0)),"Date de réalisation invalide",IF(AND(K190&lt;&gt;"",OR(NOT(ISNUMBER(K190)),N(K190)&lt;0)),"Compteur de réalisation invalide",IF(AND(E190&lt;&gt;"Compteur",N(M190)=0,IFERROR(N(INDEX(eq_start,MATCH(B190,eq_code,0))),0)=0),"Date de départ manquante",IF(AND(E190&lt;&gt;"Calendrier",K190="",N(N190)=0),"Compteur de départ manquant",IF(AND(E190&lt;&gt;"Calendrier",N(Q190)=0),"Relevé compteur manquant (Équipements)",IF(AND(I190&lt;&gt;"",ISNA(MATCH(I190,tech_name,0))),"Technicien inconnu",IF(AND(L190&lt;&gt;"",L190&lt;&gt;"Oui",L190&lt;&gt;"Non"),"Actif : Oui ou Non","OK")))))))))))))))))</f>
        <v/>
      </c>
      <c r="W190" s="67">
        <f>IFERROR(N(INDEX(eq_use,MATCH(B190,eq_code,0))),0)</f>
        <v>0.0</v>
      </c>
      <c r="X190" s="67" t="str">
        <f>IF(AND(ISNUMBER(S190),W190&gt;0),p_today+MAX(0,ROUNDUP(S190*7/W190,0)),"")</f>
        <v/>
      </c>
      <c r="Y190" s="67" t="str">
        <f>IF(AND(ISNUMBER(T190),OR(U190="En retard",U190="Bientôt",U190="À jour")),IF(AND(ISNUMBER(O190),ISNUMBER(X190)),MIN(F190,G190*7/W190),IF(ISNUMBER(O190),F190,G190*7/W190)),"")</f>
        <v/>
      </c>
      <c r="Z190" s="67" t="str">
        <f>IF(OR(U190="En retard",U190="Bientôt"),IF(U190="En retard",0,1)*1000000000+IF(AB190="A",0,IF(AB190="B",1,IF(AB190="C",2,3)))*100000000+IF(ISNUMBER(T190),T190,p_today)*1000+ROW()-5,"")</f>
        <v/>
      </c>
      <c r="AA190" s="67" t="str">
        <f>IF(Z190="","",COUNTIF($Z$6:$Z$505,"&lt;"&amp;Z190)+1)</f>
        <v/>
      </c>
      <c r="AB190" s="67" t="str">
        <f>IFERROR(INDEX(eq_crit,MATCH(B190,eq_code,0))&amp;"","")</f>
        <v/>
      </c>
    </row>
    <row r="191">
      <c r="A191" s="65" t="n"/>
      <c r="B191" s="66" t="n"/>
      <c r="C191" s="67" t="str">
        <f>IF(B191="","",IFERROR(INDEX(eq_des,MATCH(B191,eq_code,0))&amp;"","Équipement inconnu"))</f>
        <v/>
      </c>
      <c r="D191" s="66" t="n"/>
      <c r="E191" s="68" t="n"/>
      <c r="F191" s="69" t="n"/>
      <c r="G191" s="70" t="n"/>
      <c r="H191" s="71" t="n"/>
      <c r="I191" s="66" t="n"/>
      <c r="J191" s="72" t="n"/>
      <c r="K191" s="73" t="n"/>
      <c r="L191" s="68" t="n"/>
      <c r="M191" s="74" t="str">
        <f>IF(AND(A191="",B191="",D191=""),"",MAX(N(J191),IF(A191="",0,SUMPRODUCT(MAX((in_plan=A191)*in_prev*in_dnum)))))</f>
        <v/>
      </c>
      <c r="N191" s="75" t="str">
        <f>IF(AND(A191="",B191="",D191=""),"",MAX(N(K191),IF(A191="",0,SUMPRODUCT(MAX((in_plan=A191)*in_prev*in_cnum)))))</f>
        <v/>
      </c>
      <c r="O191" s="76" t="str">
        <f>IF(AND(OR(E191="Calendrier",E191="Au premier des deux"),N(F191)&gt;0,IF(N(M191)&gt;0,M191,IFERROR(N(INDEX(eq_start,MATCH(B191,eq_code,0))),0))&gt;0),IF(N(M191)&gt;0,M191,IFERROR(N(INDEX(eq_start,MATCH(B191,eq_code,0))),0))+F191,"")</f>
        <v/>
      </c>
      <c r="P191" s="75" t="str">
        <f>IF(AND(OR(E191="Compteur",E191="Au premier des deux"),N(G191)&gt;0),N(N191)+G191,"")</f>
        <v/>
      </c>
      <c r="Q191" s="75" t="str">
        <f>IF(B191="","",IFERROR(N(INDEX(eq_cnt,MATCH(B191,eq_code,0))),""))</f>
        <v/>
      </c>
      <c r="R191" s="77" t="str">
        <f>IF(ISNUMBER(O191),O191-p_today,"")</f>
        <v/>
      </c>
      <c r="S191" s="78" t="str">
        <f>IF(AND(ISNUMBER(P191),N(Q191)&gt;0),P191-Q191,"")</f>
        <v/>
      </c>
      <c r="T191" s="76" t="str">
        <f>IF(AND(ISNUMBER(O191),ISNUMBER(X191)),MIN(O191,X191),IF(ISNUMBER(O191),O191,X191))</f>
        <v/>
      </c>
      <c r="U191" s="79" t="str">
        <f>IF(AND(A191="",B191="",D191=""),"",IF(L191="Non","Inactif",IF(AND(NOT(ISNUMBER(R191)),NOT(ISNUMBER(S191))),"À compléter",IF(OR(AND(ISNUMBER(R191),N(R191)&lt;0),AND(ISNUMBER(S191),N(S191)&lt;0)),"En retard",IF(OR(AND(ISNUMBER(R191),N(R191)&lt;=p_soon),AND(ISNUMBER(S191),N(S191)&lt;=p_soon_pct*N(G191))),"Bientôt","À jour")))))</f>
        <v/>
      </c>
      <c r="V191" s="79" t="str">
        <f>IF(AND(A191="",B191="",D191=""),"",IF(A191="","N° de plan manquant",IF(COUNTIF($A$6:$A$505,A191)&gt;1,"N° de plan en double",IF(B191="","Équipement manquant",IF(ISNA(MATCH(B191,eq_code,0)),"Équipement inconnu",IF(D191="","Tâche manquante",IF(E191="","Déclenchement manquant",IF(AND(E191&lt;&gt;"Calendrier",E191&lt;&gt;"Compteur",E191&lt;&gt;"Au premier des deux"),"Déclenchement inconnu",IF(AND(E191&lt;&gt;"Compteur",OR(NOT(ISNUMBER(F191)),N(F191)&lt;=0)),"Périodicité en jours manquante",IF(AND(E191&lt;&gt;"Calendrier",OR(NOT(ISNUMBER(G191)),N(G191)&lt;=0)),"Périodicité compteur manquante",IF(AND(J191&lt;&gt;"",OR(NOT(ISNUMBER(J191)),N(J191)&lt;=0)),"Date de réalisation invalide",IF(AND(K191&lt;&gt;"",OR(NOT(ISNUMBER(K191)),N(K191)&lt;0)),"Compteur de réalisation invalide",IF(AND(E191&lt;&gt;"Compteur",N(M191)=0,IFERROR(N(INDEX(eq_start,MATCH(B191,eq_code,0))),0)=0),"Date de départ manquante",IF(AND(E191&lt;&gt;"Calendrier",K191="",N(N191)=0),"Compteur de départ manquant",IF(AND(E191&lt;&gt;"Calendrier",N(Q191)=0),"Relevé compteur manquant (Équipements)",IF(AND(I191&lt;&gt;"",ISNA(MATCH(I191,tech_name,0))),"Technicien inconnu",IF(AND(L191&lt;&gt;"",L191&lt;&gt;"Oui",L191&lt;&gt;"Non"),"Actif : Oui ou Non","OK")))))))))))))))))</f>
        <v/>
      </c>
      <c r="W191" s="67">
        <f>IFERROR(N(INDEX(eq_use,MATCH(B191,eq_code,0))),0)</f>
        <v>0.0</v>
      </c>
      <c r="X191" s="67" t="str">
        <f>IF(AND(ISNUMBER(S191),W191&gt;0),p_today+MAX(0,ROUNDUP(S191*7/W191,0)),"")</f>
        <v/>
      </c>
      <c r="Y191" s="67" t="str">
        <f>IF(AND(ISNUMBER(T191),OR(U191="En retard",U191="Bientôt",U191="À jour")),IF(AND(ISNUMBER(O191),ISNUMBER(X191)),MIN(F191,G191*7/W191),IF(ISNUMBER(O191),F191,G191*7/W191)),"")</f>
        <v/>
      </c>
      <c r="Z191" s="67" t="str">
        <f>IF(OR(U191="En retard",U191="Bientôt"),IF(U191="En retard",0,1)*1000000000+IF(AB191="A",0,IF(AB191="B",1,IF(AB191="C",2,3)))*100000000+IF(ISNUMBER(T191),T191,p_today)*1000+ROW()-5,"")</f>
        <v/>
      </c>
      <c r="AA191" s="67" t="str">
        <f>IF(Z191="","",COUNTIF($Z$6:$Z$505,"&lt;"&amp;Z191)+1)</f>
        <v/>
      </c>
      <c r="AB191" s="67" t="str">
        <f>IFERROR(INDEX(eq_crit,MATCH(B191,eq_code,0))&amp;"","")</f>
        <v/>
      </c>
    </row>
    <row r="192">
      <c r="A192" s="65" t="n"/>
      <c r="B192" s="66" t="n"/>
      <c r="C192" s="67" t="str">
        <f>IF(B192="","",IFERROR(INDEX(eq_des,MATCH(B192,eq_code,0))&amp;"","Équipement inconnu"))</f>
        <v/>
      </c>
      <c r="D192" s="66" t="n"/>
      <c r="E192" s="68" t="n"/>
      <c r="F192" s="69" t="n"/>
      <c r="G192" s="70" t="n"/>
      <c r="H192" s="71" t="n"/>
      <c r="I192" s="66" t="n"/>
      <c r="J192" s="72" t="n"/>
      <c r="K192" s="73" t="n"/>
      <c r="L192" s="68" t="n"/>
      <c r="M192" s="74" t="str">
        <f>IF(AND(A192="",B192="",D192=""),"",MAX(N(J192),IF(A192="",0,SUMPRODUCT(MAX((in_plan=A192)*in_prev*in_dnum)))))</f>
        <v/>
      </c>
      <c r="N192" s="75" t="str">
        <f>IF(AND(A192="",B192="",D192=""),"",MAX(N(K192),IF(A192="",0,SUMPRODUCT(MAX((in_plan=A192)*in_prev*in_cnum)))))</f>
        <v/>
      </c>
      <c r="O192" s="76" t="str">
        <f>IF(AND(OR(E192="Calendrier",E192="Au premier des deux"),N(F192)&gt;0,IF(N(M192)&gt;0,M192,IFERROR(N(INDEX(eq_start,MATCH(B192,eq_code,0))),0))&gt;0),IF(N(M192)&gt;0,M192,IFERROR(N(INDEX(eq_start,MATCH(B192,eq_code,0))),0))+F192,"")</f>
        <v/>
      </c>
      <c r="P192" s="75" t="str">
        <f>IF(AND(OR(E192="Compteur",E192="Au premier des deux"),N(G192)&gt;0),N(N192)+G192,"")</f>
        <v/>
      </c>
      <c r="Q192" s="75" t="str">
        <f>IF(B192="","",IFERROR(N(INDEX(eq_cnt,MATCH(B192,eq_code,0))),""))</f>
        <v/>
      </c>
      <c r="R192" s="77" t="str">
        <f>IF(ISNUMBER(O192),O192-p_today,"")</f>
        <v/>
      </c>
      <c r="S192" s="78" t="str">
        <f>IF(AND(ISNUMBER(P192),N(Q192)&gt;0),P192-Q192,"")</f>
        <v/>
      </c>
      <c r="T192" s="76" t="str">
        <f>IF(AND(ISNUMBER(O192),ISNUMBER(X192)),MIN(O192,X192),IF(ISNUMBER(O192),O192,X192))</f>
        <v/>
      </c>
      <c r="U192" s="79" t="str">
        <f>IF(AND(A192="",B192="",D192=""),"",IF(L192="Non","Inactif",IF(AND(NOT(ISNUMBER(R192)),NOT(ISNUMBER(S192))),"À compléter",IF(OR(AND(ISNUMBER(R192),N(R192)&lt;0),AND(ISNUMBER(S192),N(S192)&lt;0)),"En retard",IF(OR(AND(ISNUMBER(R192),N(R192)&lt;=p_soon),AND(ISNUMBER(S192),N(S192)&lt;=p_soon_pct*N(G192))),"Bientôt","À jour")))))</f>
        <v/>
      </c>
      <c r="V192" s="79" t="str">
        <f>IF(AND(A192="",B192="",D192=""),"",IF(A192="","N° de plan manquant",IF(COUNTIF($A$6:$A$505,A192)&gt;1,"N° de plan en double",IF(B192="","Équipement manquant",IF(ISNA(MATCH(B192,eq_code,0)),"Équipement inconnu",IF(D192="","Tâche manquante",IF(E192="","Déclenchement manquant",IF(AND(E192&lt;&gt;"Calendrier",E192&lt;&gt;"Compteur",E192&lt;&gt;"Au premier des deux"),"Déclenchement inconnu",IF(AND(E192&lt;&gt;"Compteur",OR(NOT(ISNUMBER(F192)),N(F192)&lt;=0)),"Périodicité en jours manquante",IF(AND(E192&lt;&gt;"Calendrier",OR(NOT(ISNUMBER(G192)),N(G192)&lt;=0)),"Périodicité compteur manquante",IF(AND(J192&lt;&gt;"",OR(NOT(ISNUMBER(J192)),N(J192)&lt;=0)),"Date de réalisation invalide",IF(AND(K192&lt;&gt;"",OR(NOT(ISNUMBER(K192)),N(K192)&lt;0)),"Compteur de réalisation invalide",IF(AND(E192&lt;&gt;"Compteur",N(M192)=0,IFERROR(N(INDEX(eq_start,MATCH(B192,eq_code,0))),0)=0),"Date de départ manquante",IF(AND(E192&lt;&gt;"Calendrier",K192="",N(N192)=0),"Compteur de départ manquant",IF(AND(E192&lt;&gt;"Calendrier",N(Q192)=0),"Relevé compteur manquant (Équipements)",IF(AND(I192&lt;&gt;"",ISNA(MATCH(I192,tech_name,0))),"Technicien inconnu",IF(AND(L192&lt;&gt;"",L192&lt;&gt;"Oui",L192&lt;&gt;"Non"),"Actif : Oui ou Non","OK")))))))))))))))))</f>
        <v/>
      </c>
      <c r="W192" s="67">
        <f>IFERROR(N(INDEX(eq_use,MATCH(B192,eq_code,0))),0)</f>
        <v>0.0</v>
      </c>
      <c r="X192" s="67" t="str">
        <f>IF(AND(ISNUMBER(S192),W192&gt;0),p_today+MAX(0,ROUNDUP(S192*7/W192,0)),"")</f>
        <v/>
      </c>
      <c r="Y192" s="67" t="str">
        <f>IF(AND(ISNUMBER(T192),OR(U192="En retard",U192="Bientôt",U192="À jour")),IF(AND(ISNUMBER(O192),ISNUMBER(X192)),MIN(F192,G192*7/W192),IF(ISNUMBER(O192),F192,G192*7/W192)),"")</f>
        <v/>
      </c>
      <c r="Z192" s="67" t="str">
        <f>IF(OR(U192="En retard",U192="Bientôt"),IF(U192="En retard",0,1)*1000000000+IF(AB192="A",0,IF(AB192="B",1,IF(AB192="C",2,3)))*100000000+IF(ISNUMBER(T192),T192,p_today)*1000+ROW()-5,"")</f>
        <v/>
      </c>
      <c r="AA192" s="67" t="str">
        <f>IF(Z192="","",COUNTIF($Z$6:$Z$505,"&lt;"&amp;Z192)+1)</f>
        <v/>
      </c>
      <c r="AB192" s="67" t="str">
        <f>IFERROR(INDEX(eq_crit,MATCH(B192,eq_code,0))&amp;"","")</f>
        <v/>
      </c>
    </row>
    <row r="193">
      <c r="A193" s="65" t="n"/>
      <c r="B193" s="66" t="n"/>
      <c r="C193" s="67" t="str">
        <f>IF(B193="","",IFERROR(INDEX(eq_des,MATCH(B193,eq_code,0))&amp;"","Équipement inconnu"))</f>
        <v/>
      </c>
      <c r="D193" s="66" t="n"/>
      <c r="E193" s="68" t="n"/>
      <c r="F193" s="69" t="n"/>
      <c r="G193" s="70" t="n"/>
      <c r="H193" s="71" t="n"/>
      <c r="I193" s="66" t="n"/>
      <c r="J193" s="72" t="n"/>
      <c r="K193" s="73" t="n"/>
      <c r="L193" s="68" t="n"/>
      <c r="M193" s="74" t="str">
        <f>IF(AND(A193="",B193="",D193=""),"",MAX(N(J193),IF(A193="",0,SUMPRODUCT(MAX((in_plan=A193)*in_prev*in_dnum)))))</f>
        <v/>
      </c>
      <c r="N193" s="75" t="str">
        <f>IF(AND(A193="",B193="",D193=""),"",MAX(N(K193),IF(A193="",0,SUMPRODUCT(MAX((in_plan=A193)*in_prev*in_cnum)))))</f>
        <v/>
      </c>
      <c r="O193" s="76" t="str">
        <f>IF(AND(OR(E193="Calendrier",E193="Au premier des deux"),N(F193)&gt;0,IF(N(M193)&gt;0,M193,IFERROR(N(INDEX(eq_start,MATCH(B193,eq_code,0))),0))&gt;0),IF(N(M193)&gt;0,M193,IFERROR(N(INDEX(eq_start,MATCH(B193,eq_code,0))),0))+F193,"")</f>
        <v/>
      </c>
      <c r="P193" s="75" t="str">
        <f>IF(AND(OR(E193="Compteur",E193="Au premier des deux"),N(G193)&gt;0),N(N193)+G193,"")</f>
        <v/>
      </c>
      <c r="Q193" s="75" t="str">
        <f>IF(B193="","",IFERROR(N(INDEX(eq_cnt,MATCH(B193,eq_code,0))),""))</f>
        <v/>
      </c>
      <c r="R193" s="77" t="str">
        <f>IF(ISNUMBER(O193),O193-p_today,"")</f>
        <v/>
      </c>
      <c r="S193" s="78" t="str">
        <f>IF(AND(ISNUMBER(P193),N(Q193)&gt;0),P193-Q193,"")</f>
        <v/>
      </c>
      <c r="T193" s="76" t="str">
        <f>IF(AND(ISNUMBER(O193),ISNUMBER(X193)),MIN(O193,X193),IF(ISNUMBER(O193),O193,X193))</f>
        <v/>
      </c>
      <c r="U193" s="79" t="str">
        <f>IF(AND(A193="",B193="",D193=""),"",IF(L193="Non","Inactif",IF(AND(NOT(ISNUMBER(R193)),NOT(ISNUMBER(S193))),"À compléter",IF(OR(AND(ISNUMBER(R193),N(R193)&lt;0),AND(ISNUMBER(S193),N(S193)&lt;0)),"En retard",IF(OR(AND(ISNUMBER(R193),N(R193)&lt;=p_soon),AND(ISNUMBER(S193),N(S193)&lt;=p_soon_pct*N(G193))),"Bientôt","À jour")))))</f>
        <v/>
      </c>
      <c r="V193" s="79" t="str">
        <f>IF(AND(A193="",B193="",D193=""),"",IF(A193="","N° de plan manquant",IF(COUNTIF($A$6:$A$505,A193)&gt;1,"N° de plan en double",IF(B193="","Équipement manquant",IF(ISNA(MATCH(B193,eq_code,0)),"Équipement inconnu",IF(D193="","Tâche manquante",IF(E193="","Déclenchement manquant",IF(AND(E193&lt;&gt;"Calendrier",E193&lt;&gt;"Compteur",E193&lt;&gt;"Au premier des deux"),"Déclenchement inconnu",IF(AND(E193&lt;&gt;"Compteur",OR(NOT(ISNUMBER(F193)),N(F193)&lt;=0)),"Périodicité en jours manquante",IF(AND(E193&lt;&gt;"Calendrier",OR(NOT(ISNUMBER(G193)),N(G193)&lt;=0)),"Périodicité compteur manquante",IF(AND(J193&lt;&gt;"",OR(NOT(ISNUMBER(J193)),N(J193)&lt;=0)),"Date de réalisation invalide",IF(AND(K193&lt;&gt;"",OR(NOT(ISNUMBER(K193)),N(K193)&lt;0)),"Compteur de réalisation invalide",IF(AND(E193&lt;&gt;"Compteur",N(M193)=0,IFERROR(N(INDEX(eq_start,MATCH(B193,eq_code,0))),0)=0),"Date de départ manquante",IF(AND(E193&lt;&gt;"Calendrier",K193="",N(N193)=0),"Compteur de départ manquant",IF(AND(E193&lt;&gt;"Calendrier",N(Q193)=0),"Relevé compteur manquant (Équipements)",IF(AND(I193&lt;&gt;"",ISNA(MATCH(I193,tech_name,0))),"Technicien inconnu",IF(AND(L193&lt;&gt;"",L193&lt;&gt;"Oui",L193&lt;&gt;"Non"),"Actif : Oui ou Non","OK")))))))))))))))))</f>
        <v/>
      </c>
      <c r="W193" s="67">
        <f>IFERROR(N(INDEX(eq_use,MATCH(B193,eq_code,0))),0)</f>
        <v>0.0</v>
      </c>
      <c r="X193" s="67" t="str">
        <f>IF(AND(ISNUMBER(S193),W193&gt;0),p_today+MAX(0,ROUNDUP(S193*7/W193,0)),"")</f>
        <v/>
      </c>
      <c r="Y193" s="67" t="str">
        <f>IF(AND(ISNUMBER(T193),OR(U193="En retard",U193="Bientôt",U193="À jour")),IF(AND(ISNUMBER(O193),ISNUMBER(X193)),MIN(F193,G193*7/W193),IF(ISNUMBER(O193),F193,G193*7/W193)),"")</f>
        <v/>
      </c>
      <c r="Z193" s="67" t="str">
        <f>IF(OR(U193="En retard",U193="Bientôt"),IF(U193="En retard",0,1)*1000000000+IF(AB193="A",0,IF(AB193="B",1,IF(AB193="C",2,3)))*100000000+IF(ISNUMBER(T193),T193,p_today)*1000+ROW()-5,"")</f>
        <v/>
      </c>
      <c r="AA193" s="67" t="str">
        <f>IF(Z193="","",COUNTIF($Z$6:$Z$505,"&lt;"&amp;Z193)+1)</f>
        <v/>
      </c>
      <c r="AB193" s="67" t="str">
        <f>IFERROR(INDEX(eq_crit,MATCH(B193,eq_code,0))&amp;"","")</f>
        <v/>
      </c>
    </row>
    <row r="194">
      <c r="A194" s="65" t="n"/>
      <c r="B194" s="66" t="n"/>
      <c r="C194" s="67" t="str">
        <f>IF(B194="","",IFERROR(INDEX(eq_des,MATCH(B194,eq_code,0))&amp;"","Équipement inconnu"))</f>
        <v/>
      </c>
      <c r="D194" s="66" t="n"/>
      <c r="E194" s="68" t="n"/>
      <c r="F194" s="69" t="n"/>
      <c r="G194" s="70" t="n"/>
      <c r="H194" s="71" t="n"/>
      <c r="I194" s="66" t="n"/>
      <c r="J194" s="72" t="n"/>
      <c r="K194" s="73" t="n"/>
      <c r="L194" s="68" t="n"/>
      <c r="M194" s="74" t="str">
        <f>IF(AND(A194="",B194="",D194=""),"",MAX(N(J194),IF(A194="",0,SUMPRODUCT(MAX((in_plan=A194)*in_prev*in_dnum)))))</f>
        <v/>
      </c>
      <c r="N194" s="75" t="str">
        <f>IF(AND(A194="",B194="",D194=""),"",MAX(N(K194),IF(A194="",0,SUMPRODUCT(MAX((in_plan=A194)*in_prev*in_cnum)))))</f>
        <v/>
      </c>
      <c r="O194" s="76" t="str">
        <f>IF(AND(OR(E194="Calendrier",E194="Au premier des deux"),N(F194)&gt;0,IF(N(M194)&gt;0,M194,IFERROR(N(INDEX(eq_start,MATCH(B194,eq_code,0))),0))&gt;0),IF(N(M194)&gt;0,M194,IFERROR(N(INDEX(eq_start,MATCH(B194,eq_code,0))),0))+F194,"")</f>
        <v/>
      </c>
      <c r="P194" s="75" t="str">
        <f>IF(AND(OR(E194="Compteur",E194="Au premier des deux"),N(G194)&gt;0),N(N194)+G194,"")</f>
        <v/>
      </c>
      <c r="Q194" s="75" t="str">
        <f>IF(B194="","",IFERROR(N(INDEX(eq_cnt,MATCH(B194,eq_code,0))),""))</f>
        <v/>
      </c>
      <c r="R194" s="77" t="str">
        <f>IF(ISNUMBER(O194),O194-p_today,"")</f>
        <v/>
      </c>
      <c r="S194" s="78" t="str">
        <f>IF(AND(ISNUMBER(P194),N(Q194)&gt;0),P194-Q194,"")</f>
        <v/>
      </c>
      <c r="T194" s="76" t="str">
        <f>IF(AND(ISNUMBER(O194),ISNUMBER(X194)),MIN(O194,X194),IF(ISNUMBER(O194),O194,X194))</f>
        <v/>
      </c>
      <c r="U194" s="79" t="str">
        <f>IF(AND(A194="",B194="",D194=""),"",IF(L194="Non","Inactif",IF(AND(NOT(ISNUMBER(R194)),NOT(ISNUMBER(S194))),"À compléter",IF(OR(AND(ISNUMBER(R194),N(R194)&lt;0),AND(ISNUMBER(S194),N(S194)&lt;0)),"En retard",IF(OR(AND(ISNUMBER(R194),N(R194)&lt;=p_soon),AND(ISNUMBER(S194),N(S194)&lt;=p_soon_pct*N(G194))),"Bientôt","À jour")))))</f>
        <v/>
      </c>
      <c r="V194" s="79" t="str">
        <f>IF(AND(A194="",B194="",D194=""),"",IF(A194="","N° de plan manquant",IF(COUNTIF($A$6:$A$505,A194)&gt;1,"N° de plan en double",IF(B194="","Équipement manquant",IF(ISNA(MATCH(B194,eq_code,0)),"Équipement inconnu",IF(D194="","Tâche manquante",IF(E194="","Déclenchement manquant",IF(AND(E194&lt;&gt;"Calendrier",E194&lt;&gt;"Compteur",E194&lt;&gt;"Au premier des deux"),"Déclenchement inconnu",IF(AND(E194&lt;&gt;"Compteur",OR(NOT(ISNUMBER(F194)),N(F194)&lt;=0)),"Périodicité en jours manquante",IF(AND(E194&lt;&gt;"Calendrier",OR(NOT(ISNUMBER(G194)),N(G194)&lt;=0)),"Périodicité compteur manquante",IF(AND(J194&lt;&gt;"",OR(NOT(ISNUMBER(J194)),N(J194)&lt;=0)),"Date de réalisation invalide",IF(AND(K194&lt;&gt;"",OR(NOT(ISNUMBER(K194)),N(K194)&lt;0)),"Compteur de réalisation invalide",IF(AND(E194&lt;&gt;"Compteur",N(M194)=0,IFERROR(N(INDEX(eq_start,MATCH(B194,eq_code,0))),0)=0),"Date de départ manquante",IF(AND(E194&lt;&gt;"Calendrier",K194="",N(N194)=0),"Compteur de départ manquant",IF(AND(E194&lt;&gt;"Calendrier",N(Q194)=0),"Relevé compteur manquant (Équipements)",IF(AND(I194&lt;&gt;"",ISNA(MATCH(I194,tech_name,0))),"Technicien inconnu",IF(AND(L194&lt;&gt;"",L194&lt;&gt;"Oui",L194&lt;&gt;"Non"),"Actif : Oui ou Non","OK")))))))))))))))))</f>
        <v/>
      </c>
      <c r="W194" s="67">
        <f>IFERROR(N(INDEX(eq_use,MATCH(B194,eq_code,0))),0)</f>
        <v>0.0</v>
      </c>
      <c r="X194" s="67" t="str">
        <f>IF(AND(ISNUMBER(S194),W194&gt;0),p_today+MAX(0,ROUNDUP(S194*7/W194,0)),"")</f>
        <v/>
      </c>
      <c r="Y194" s="67" t="str">
        <f>IF(AND(ISNUMBER(T194),OR(U194="En retard",U194="Bientôt",U194="À jour")),IF(AND(ISNUMBER(O194),ISNUMBER(X194)),MIN(F194,G194*7/W194),IF(ISNUMBER(O194),F194,G194*7/W194)),"")</f>
        <v/>
      </c>
      <c r="Z194" s="67" t="str">
        <f>IF(OR(U194="En retard",U194="Bientôt"),IF(U194="En retard",0,1)*1000000000+IF(AB194="A",0,IF(AB194="B",1,IF(AB194="C",2,3)))*100000000+IF(ISNUMBER(T194),T194,p_today)*1000+ROW()-5,"")</f>
        <v/>
      </c>
      <c r="AA194" s="67" t="str">
        <f>IF(Z194="","",COUNTIF($Z$6:$Z$505,"&lt;"&amp;Z194)+1)</f>
        <v/>
      </c>
      <c r="AB194" s="67" t="str">
        <f>IFERROR(INDEX(eq_crit,MATCH(B194,eq_code,0))&amp;"","")</f>
        <v/>
      </c>
    </row>
    <row r="195">
      <c r="A195" s="65" t="n"/>
      <c r="B195" s="66" t="n"/>
      <c r="C195" s="67" t="str">
        <f>IF(B195="","",IFERROR(INDEX(eq_des,MATCH(B195,eq_code,0))&amp;"","Équipement inconnu"))</f>
        <v/>
      </c>
      <c r="D195" s="66" t="n"/>
      <c r="E195" s="68" t="n"/>
      <c r="F195" s="69" t="n"/>
      <c r="G195" s="70" t="n"/>
      <c r="H195" s="71" t="n"/>
      <c r="I195" s="66" t="n"/>
      <c r="J195" s="72" t="n"/>
      <c r="K195" s="73" t="n"/>
      <c r="L195" s="68" t="n"/>
      <c r="M195" s="74" t="str">
        <f>IF(AND(A195="",B195="",D195=""),"",MAX(N(J195),IF(A195="",0,SUMPRODUCT(MAX((in_plan=A195)*in_prev*in_dnum)))))</f>
        <v/>
      </c>
      <c r="N195" s="75" t="str">
        <f>IF(AND(A195="",B195="",D195=""),"",MAX(N(K195),IF(A195="",0,SUMPRODUCT(MAX((in_plan=A195)*in_prev*in_cnum)))))</f>
        <v/>
      </c>
      <c r="O195" s="76" t="str">
        <f>IF(AND(OR(E195="Calendrier",E195="Au premier des deux"),N(F195)&gt;0,IF(N(M195)&gt;0,M195,IFERROR(N(INDEX(eq_start,MATCH(B195,eq_code,0))),0))&gt;0),IF(N(M195)&gt;0,M195,IFERROR(N(INDEX(eq_start,MATCH(B195,eq_code,0))),0))+F195,"")</f>
        <v/>
      </c>
      <c r="P195" s="75" t="str">
        <f>IF(AND(OR(E195="Compteur",E195="Au premier des deux"),N(G195)&gt;0),N(N195)+G195,"")</f>
        <v/>
      </c>
      <c r="Q195" s="75" t="str">
        <f>IF(B195="","",IFERROR(N(INDEX(eq_cnt,MATCH(B195,eq_code,0))),""))</f>
        <v/>
      </c>
      <c r="R195" s="77" t="str">
        <f>IF(ISNUMBER(O195),O195-p_today,"")</f>
        <v/>
      </c>
      <c r="S195" s="78" t="str">
        <f>IF(AND(ISNUMBER(P195),N(Q195)&gt;0),P195-Q195,"")</f>
        <v/>
      </c>
      <c r="T195" s="76" t="str">
        <f>IF(AND(ISNUMBER(O195),ISNUMBER(X195)),MIN(O195,X195),IF(ISNUMBER(O195),O195,X195))</f>
        <v/>
      </c>
      <c r="U195" s="79" t="str">
        <f>IF(AND(A195="",B195="",D195=""),"",IF(L195="Non","Inactif",IF(AND(NOT(ISNUMBER(R195)),NOT(ISNUMBER(S195))),"À compléter",IF(OR(AND(ISNUMBER(R195),N(R195)&lt;0),AND(ISNUMBER(S195),N(S195)&lt;0)),"En retard",IF(OR(AND(ISNUMBER(R195),N(R195)&lt;=p_soon),AND(ISNUMBER(S195),N(S195)&lt;=p_soon_pct*N(G195))),"Bientôt","À jour")))))</f>
        <v/>
      </c>
      <c r="V195" s="79" t="str">
        <f>IF(AND(A195="",B195="",D195=""),"",IF(A195="","N° de plan manquant",IF(COUNTIF($A$6:$A$505,A195)&gt;1,"N° de plan en double",IF(B195="","Équipement manquant",IF(ISNA(MATCH(B195,eq_code,0)),"Équipement inconnu",IF(D195="","Tâche manquante",IF(E195="","Déclenchement manquant",IF(AND(E195&lt;&gt;"Calendrier",E195&lt;&gt;"Compteur",E195&lt;&gt;"Au premier des deux"),"Déclenchement inconnu",IF(AND(E195&lt;&gt;"Compteur",OR(NOT(ISNUMBER(F195)),N(F195)&lt;=0)),"Périodicité en jours manquante",IF(AND(E195&lt;&gt;"Calendrier",OR(NOT(ISNUMBER(G195)),N(G195)&lt;=0)),"Périodicité compteur manquante",IF(AND(J195&lt;&gt;"",OR(NOT(ISNUMBER(J195)),N(J195)&lt;=0)),"Date de réalisation invalide",IF(AND(K195&lt;&gt;"",OR(NOT(ISNUMBER(K195)),N(K195)&lt;0)),"Compteur de réalisation invalide",IF(AND(E195&lt;&gt;"Compteur",N(M195)=0,IFERROR(N(INDEX(eq_start,MATCH(B195,eq_code,0))),0)=0),"Date de départ manquante",IF(AND(E195&lt;&gt;"Calendrier",K195="",N(N195)=0),"Compteur de départ manquant",IF(AND(E195&lt;&gt;"Calendrier",N(Q195)=0),"Relevé compteur manquant (Équipements)",IF(AND(I195&lt;&gt;"",ISNA(MATCH(I195,tech_name,0))),"Technicien inconnu",IF(AND(L195&lt;&gt;"",L195&lt;&gt;"Oui",L195&lt;&gt;"Non"),"Actif : Oui ou Non","OK")))))))))))))))))</f>
        <v/>
      </c>
      <c r="W195" s="67">
        <f>IFERROR(N(INDEX(eq_use,MATCH(B195,eq_code,0))),0)</f>
        <v>0.0</v>
      </c>
      <c r="X195" s="67" t="str">
        <f>IF(AND(ISNUMBER(S195),W195&gt;0),p_today+MAX(0,ROUNDUP(S195*7/W195,0)),"")</f>
        <v/>
      </c>
      <c r="Y195" s="67" t="str">
        <f>IF(AND(ISNUMBER(T195),OR(U195="En retard",U195="Bientôt",U195="À jour")),IF(AND(ISNUMBER(O195),ISNUMBER(X195)),MIN(F195,G195*7/W195),IF(ISNUMBER(O195),F195,G195*7/W195)),"")</f>
        <v/>
      </c>
      <c r="Z195" s="67" t="str">
        <f>IF(OR(U195="En retard",U195="Bientôt"),IF(U195="En retard",0,1)*1000000000+IF(AB195="A",0,IF(AB195="B",1,IF(AB195="C",2,3)))*100000000+IF(ISNUMBER(T195),T195,p_today)*1000+ROW()-5,"")</f>
        <v/>
      </c>
      <c r="AA195" s="67" t="str">
        <f>IF(Z195="","",COUNTIF($Z$6:$Z$505,"&lt;"&amp;Z195)+1)</f>
        <v/>
      </c>
      <c r="AB195" s="67" t="str">
        <f>IFERROR(INDEX(eq_crit,MATCH(B195,eq_code,0))&amp;"","")</f>
        <v/>
      </c>
    </row>
    <row r="196">
      <c r="A196" s="65" t="n"/>
      <c r="B196" s="66" t="n"/>
      <c r="C196" s="67" t="str">
        <f>IF(B196="","",IFERROR(INDEX(eq_des,MATCH(B196,eq_code,0))&amp;"","Équipement inconnu"))</f>
        <v/>
      </c>
      <c r="D196" s="66" t="n"/>
      <c r="E196" s="68" t="n"/>
      <c r="F196" s="69" t="n"/>
      <c r="G196" s="70" t="n"/>
      <c r="H196" s="71" t="n"/>
      <c r="I196" s="66" t="n"/>
      <c r="J196" s="72" t="n"/>
      <c r="K196" s="73" t="n"/>
      <c r="L196" s="68" t="n"/>
      <c r="M196" s="74" t="str">
        <f>IF(AND(A196="",B196="",D196=""),"",MAX(N(J196),IF(A196="",0,SUMPRODUCT(MAX((in_plan=A196)*in_prev*in_dnum)))))</f>
        <v/>
      </c>
      <c r="N196" s="75" t="str">
        <f>IF(AND(A196="",B196="",D196=""),"",MAX(N(K196),IF(A196="",0,SUMPRODUCT(MAX((in_plan=A196)*in_prev*in_cnum)))))</f>
        <v/>
      </c>
      <c r="O196" s="76" t="str">
        <f>IF(AND(OR(E196="Calendrier",E196="Au premier des deux"),N(F196)&gt;0,IF(N(M196)&gt;0,M196,IFERROR(N(INDEX(eq_start,MATCH(B196,eq_code,0))),0))&gt;0),IF(N(M196)&gt;0,M196,IFERROR(N(INDEX(eq_start,MATCH(B196,eq_code,0))),0))+F196,"")</f>
        <v/>
      </c>
      <c r="P196" s="75" t="str">
        <f>IF(AND(OR(E196="Compteur",E196="Au premier des deux"),N(G196)&gt;0),N(N196)+G196,"")</f>
        <v/>
      </c>
      <c r="Q196" s="75" t="str">
        <f>IF(B196="","",IFERROR(N(INDEX(eq_cnt,MATCH(B196,eq_code,0))),""))</f>
        <v/>
      </c>
      <c r="R196" s="77" t="str">
        <f>IF(ISNUMBER(O196),O196-p_today,"")</f>
        <v/>
      </c>
      <c r="S196" s="78" t="str">
        <f>IF(AND(ISNUMBER(P196),N(Q196)&gt;0),P196-Q196,"")</f>
        <v/>
      </c>
      <c r="T196" s="76" t="str">
        <f>IF(AND(ISNUMBER(O196),ISNUMBER(X196)),MIN(O196,X196),IF(ISNUMBER(O196),O196,X196))</f>
        <v/>
      </c>
      <c r="U196" s="79" t="str">
        <f>IF(AND(A196="",B196="",D196=""),"",IF(L196="Non","Inactif",IF(AND(NOT(ISNUMBER(R196)),NOT(ISNUMBER(S196))),"À compléter",IF(OR(AND(ISNUMBER(R196),N(R196)&lt;0),AND(ISNUMBER(S196),N(S196)&lt;0)),"En retard",IF(OR(AND(ISNUMBER(R196),N(R196)&lt;=p_soon),AND(ISNUMBER(S196),N(S196)&lt;=p_soon_pct*N(G196))),"Bientôt","À jour")))))</f>
        <v/>
      </c>
      <c r="V196" s="79" t="str">
        <f>IF(AND(A196="",B196="",D196=""),"",IF(A196="","N° de plan manquant",IF(COUNTIF($A$6:$A$505,A196)&gt;1,"N° de plan en double",IF(B196="","Équipement manquant",IF(ISNA(MATCH(B196,eq_code,0)),"Équipement inconnu",IF(D196="","Tâche manquante",IF(E196="","Déclenchement manquant",IF(AND(E196&lt;&gt;"Calendrier",E196&lt;&gt;"Compteur",E196&lt;&gt;"Au premier des deux"),"Déclenchement inconnu",IF(AND(E196&lt;&gt;"Compteur",OR(NOT(ISNUMBER(F196)),N(F196)&lt;=0)),"Périodicité en jours manquante",IF(AND(E196&lt;&gt;"Calendrier",OR(NOT(ISNUMBER(G196)),N(G196)&lt;=0)),"Périodicité compteur manquante",IF(AND(J196&lt;&gt;"",OR(NOT(ISNUMBER(J196)),N(J196)&lt;=0)),"Date de réalisation invalide",IF(AND(K196&lt;&gt;"",OR(NOT(ISNUMBER(K196)),N(K196)&lt;0)),"Compteur de réalisation invalide",IF(AND(E196&lt;&gt;"Compteur",N(M196)=0,IFERROR(N(INDEX(eq_start,MATCH(B196,eq_code,0))),0)=0),"Date de départ manquante",IF(AND(E196&lt;&gt;"Calendrier",K196="",N(N196)=0),"Compteur de départ manquant",IF(AND(E196&lt;&gt;"Calendrier",N(Q196)=0),"Relevé compteur manquant (Équipements)",IF(AND(I196&lt;&gt;"",ISNA(MATCH(I196,tech_name,0))),"Technicien inconnu",IF(AND(L196&lt;&gt;"",L196&lt;&gt;"Oui",L196&lt;&gt;"Non"),"Actif : Oui ou Non","OK")))))))))))))))))</f>
        <v/>
      </c>
      <c r="W196" s="67">
        <f>IFERROR(N(INDEX(eq_use,MATCH(B196,eq_code,0))),0)</f>
        <v>0.0</v>
      </c>
      <c r="X196" s="67" t="str">
        <f>IF(AND(ISNUMBER(S196),W196&gt;0),p_today+MAX(0,ROUNDUP(S196*7/W196,0)),"")</f>
        <v/>
      </c>
      <c r="Y196" s="67" t="str">
        <f>IF(AND(ISNUMBER(T196),OR(U196="En retard",U196="Bientôt",U196="À jour")),IF(AND(ISNUMBER(O196),ISNUMBER(X196)),MIN(F196,G196*7/W196),IF(ISNUMBER(O196),F196,G196*7/W196)),"")</f>
        <v/>
      </c>
      <c r="Z196" s="67" t="str">
        <f>IF(OR(U196="En retard",U196="Bientôt"),IF(U196="En retard",0,1)*1000000000+IF(AB196="A",0,IF(AB196="B",1,IF(AB196="C",2,3)))*100000000+IF(ISNUMBER(T196),T196,p_today)*1000+ROW()-5,"")</f>
        <v/>
      </c>
      <c r="AA196" s="67" t="str">
        <f>IF(Z196="","",COUNTIF($Z$6:$Z$505,"&lt;"&amp;Z196)+1)</f>
        <v/>
      </c>
      <c r="AB196" s="67" t="str">
        <f>IFERROR(INDEX(eq_crit,MATCH(B196,eq_code,0))&amp;"","")</f>
        <v/>
      </c>
    </row>
    <row r="197">
      <c r="A197" s="65" t="n"/>
      <c r="B197" s="66" t="n"/>
      <c r="C197" s="67" t="str">
        <f>IF(B197="","",IFERROR(INDEX(eq_des,MATCH(B197,eq_code,0))&amp;"","Équipement inconnu"))</f>
        <v/>
      </c>
      <c r="D197" s="66" t="n"/>
      <c r="E197" s="68" t="n"/>
      <c r="F197" s="69" t="n"/>
      <c r="G197" s="70" t="n"/>
      <c r="H197" s="71" t="n"/>
      <c r="I197" s="66" t="n"/>
      <c r="J197" s="72" t="n"/>
      <c r="K197" s="73" t="n"/>
      <c r="L197" s="68" t="n"/>
      <c r="M197" s="74" t="str">
        <f>IF(AND(A197="",B197="",D197=""),"",MAX(N(J197),IF(A197="",0,SUMPRODUCT(MAX((in_plan=A197)*in_prev*in_dnum)))))</f>
        <v/>
      </c>
      <c r="N197" s="75" t="str">
        <f>IF(AND(A197="",B197="",D197=""),"",MAX(N(K197),IF(A197="",0,SUMPRODUCT(MAX((in_plan=A197)*in_prev*in_cnum)))))</f>
        <v/>
      </c>
      <c r="O197" s="76" t="str">
        <f>IF(AND(OR(E197="Calendrier",E197="Au premier des deux"),N(F197)&gt;0,IF(N(M197)&gt;0,M197,IFERROR(N(INDEX(eq_start,MATCH(B197,eq_code,0))),0))&gt;0),IF(N(M197)&gt;0,M197,IFERROR(N(INDEX(eq_start,MATCH(B197,eq_code,0))),0))+F197,"")</f>
        <v/>
      </c>
      <c r="P197" s="75" t="str">
        <f>IF(AND(OR(E197="Compteur",E197="Au premier des deux"),N(G197)&gt;0),N(N197)+G197,"")</f>
        <v/>
      </c>
      <c r="Q197" s="75" t="str">
        <f>IF(B197="","",IFERROR(N(INDEX(eq_cnt,MATCH(B197,eq_code,0))),""))</f>
        <v/>
      </c>
      <c r="R197" s="77" t="str">
        <f>IF(ISNUMBER(O197),O197-p_today,"")</f>
        <v/>
      </c>
      <c r="S197" s="78" t="str">
        <f>IF(AND(ISNUMBER(P197),N(Q197)&gt;0),P197-Q197,"")</f>
        <v/>
      </c>
      <c r="T197" s="76" t="str">
        <f>IF(AND(ISNUMBER(O197),ISNUMBER(X197)),MIN(O197,X197),IF(ISNUMBER(O197),O197,X197))</f>
        <v/>
      </c>
      <c r="U197" s="79" t="str">
        <f>IF(AND(A197="",B197="",D197=""),"",IF(L197="Non","Inactif",IF(AND(NOT(ISNUMBER(R197)),NOT(ISNUMBER(S197))),"À compléter",IF(OR(AND(ISNUMBER(R197),N(R197)&lt;0),AND(ISNUMBER(S197),N(S197)&lt;0)),"En retard",IF(OR(AND(ISNUMBER(R197),N(R197)&lt;=p_soon),AND(ISNUMBER(S197),N(S197)&lt;=p_soon_pct*N(G197))),"Bientôt","À jour")))))</f>
        <v/>
      </c>
      <c r="V197" s="79" t="str">
        <f>IF(AND(A197="",B197="",D197=""),"",IF(A197="","N° de plan manquant",IF(COUNTIF($A$6:$A$505,A197)&gt;1,"N° de plan en double",IF(B197="","Équipement manquant",IF(ISNA(MATCH(B197,eq_code,0)),"Équipement inconnu",IF(D197="","Tâche manquante",IF(E197="","Déclenchement manquant",IF(AND(E197&lt;&gt;"Calendrier",E197&lt;&gt;"Compteur",E197&lt;&gt;"Au premier des deux"),"Déclenchement inconnu",IF(AND(E197&lt;&gt;"Compteur",OR(NOT(ISNUMBER(F197)),N(F197)&lt;=0)),"Périodicité en jours manquante",IF(AND(E197&lt;&gt;"Calendrier",OR(NOT(ISNUMBER(G197)),N(G197)&lt;=0)),"Périodicité compteur manquante",IF(AND(J197&lt;&gt;"",OR(NOT(ISNUMBER(J197)),N(J197)&lt;=0)),"Date de réalisation invalide",IF(AND(K197&lt;&gt;"",OR(NOT(ISNUMBER(K197)),N(K197)&lt;0)),"Compteur de réalisation invalide",IF(AND(E197&lt;&gt;"Compteur",N(M197)=0,IFERROR(N(INDEX(eq_start,MATCH(B197,eq_code,0))),0)=0),"Date de départ manquante",IF(AND(E197&lt;&gt;"Calendrier",K197="",N(N197)=0),"Compteur de départ manquant",IF(AND(E197&lt;&gt;"Calendrier",N(Q197)=0),"Relevé compteur manquant (Équipements)",IF(AND(I197&lt;&gt;"",ISNA(MATCH(I197,tech_name,0))),"Technicien inconnu",IF(AND(L197&lt;&gt;"",L197&lt;&gt;"Oui",L197&lt;&gt;"Non"),"Actif : Oui ou Non","OK")))))))))))))))))</f>
        <v/>
      </c>
      <c r="W197" s="67">
        <f>IFERROR(N(INDEX(eq_use,MATCH(B197,eq_code,0))),0)</f>
        <v>0.0</v>
      </c>
      <c r="X197" s="67" t="str">
        <f>IF(AND(ISNUMBER(S197),W197&gt;0),p_today+MAX(0,ROUNDUP(S197*7/W197,0)),"")</f>
        <v/>
      </c>
      <c r="Y197" s="67" t="str">
        <f>IF(AND(ISNUMBER(T197),OR(U197="En retard",U197="Bientôt",U197="À jour")),IF(AND(ISNUMBER(O197),ISNUMBER(X197)),MIN(F197,G197*7/W197),IF(ISNUMBER(O197),F197,G197*7/W197)),"")</f>
        <v/>
      </c>
      <c r="Z197" s="67" t="str">
        <f>IF(OR(U197="En retard",U197="Bientôt"),IF(U197="En retard",0,1)*1000000000+IF(AB197="A",0,IF(AB197="B",1,IF(AB197="C",2,3)))*100000000+IF(ISNUMBER(T197),T197,p_today)*1000+ROW()-5,"")</f>
        <v/>
      </c>
      <c r="AA197" s="67" t="str">
        <f>IF(Z197="","",COUNTIF($Z$6:$Z$505,"&lt;"&amp;Z197)+1)</f>
        <v/>
      </c>
      <c r="AB197" s="67" t="str">
        <f>IFERROR(INDEX(eq_crit,MATCH(B197,eq_code,0))&amp;"","")</f>
        <v/>
      </c>
    </row>
    <row r="198">
      <c r="A198" s="65" t="n"/>
      <c r="B198" s="66" t="n"/>
      <c r="C198" s="67" t="str">
        <f>IF(B198="","",IFERROR(INDEX(eq_des,MATCH(B198,eq_code,0))&amp;"","Équipement inconnu"))</f>
        <v/>
      </c>
      <c r="D198" s="66" t="n"/>
      <c r="E198" s="68" t="n"/>
      <c r="F198" s="69" t="n"/>
      <c r="G198" s="70" t="n"/>
      <c r="H198" s="71" t="n"/>
      <c r="I198" s="66" t="n"/>
      <c r="J198" s="72" t="n"/>
      <c r="K198" s="73" t="n"/>
      <c r="L198" s="68" t="n"/>
      <c r="M198" s="74" t="str">
        <f>IF(AND(A198="",B198="",D198=""),"",MAX(N(J198),IF(A198="",0,SUMPRODUCT(MAX((in_plan=A198)*in_prev*in_dnum)))))</f>
        <v/>
      </c>
      <c r="N198" s="75" t="str">
        <f>IF(AND(A198="",B198="",D198=""),"",MAX(N(K198),IF(A198="",0,SUMPRODUCT(MAX((in_plan=A198)*in_prev*in_cnum)))))</f>
        <v/>
      </c>
      <c r="O198" s="76" t="str">
        <f>IF(AND(OR(E198="Calendrier",E198="Au premier des deux"),N(F198)&gt;0,IF(N(M198)&gt;0,M198,IFERROR(N(INDEX(eq_start,MATCH(B198,eq_code,0))),0))&gt;0),IF(N(M198)&gt;0,M198,IFERROR(N(INDEX(eq_start,MATCH(B198,eq_code,0))),0))+F198,"")</f>
        <v/>
      </c>
      <c r="P198" s="75" t="str">
        <f>IF(AND(OR(E198="Compteur",E198="Au premier des deux"),N(G198)&gt;0),N(N198)+G198,"")</f>
        <v/>
      </c>
      <c r="Q198" s="75" t="str">
        <f>IF(B198="","",IFERROR(N(INDEX(eq_cnt,MATCH(B198,eq_code,0))),""))</f>
        <v/>
      </c>
      <c r="R198" s="77" t="str">
        <f>IF(ISNUMBER(O198),O198-p_today,"")</f>
        <v/>
      </c>
      <c r="S198" s="78" t="str">
        <f>IF(AND(ISNUMBER(P198),N(Q198)&gt;0),P198-Q198,"")</f>
        <v/>
      </c>
      <c r="T198" s="76" t="str">
        <f>IF(AND(ISNUMBER(O198),ISNUMBER(X198)),MIN(O198,X198),IF(ISNUMBER(O198),O198,X198))</f>
        <v/>
      </c>
      <c r="U198" s="79" t="str">
        <f>IF(AND(A198="",B198="",D198=""),"",IF(L198="Non","Inactif",IF(AND(NOT(ISNUMBER(R198)),NOT(ISNUMBER(S198))),"À compléter",IF(OR(AND(ISNUMBER(R198),N(R198)&lt;0),AND(ISNUMBER(S198),N(S198)&lt;0)),"En retard",IF(OR(AND(ISNUMBER(R198),N(R198)&lt;=p_soon),AND(ISNUMBER(S198),N(S198)&lt;=p_soon_pct*N(G198))),"Bientôt","À jour")))))</f>
        <v/>
      </c>
      <c r="V198" s="79" t="str">
        <f>IF(AND(A198="",B198="",D198=""),"",IF(A198="","N° de plan manquant",IF(COUNTIF($A$6:$A$505,A198)&gt;1,"N° de plan en double",IF(B198="","Équipement manquant",IF(ISNA(MATCH(B198,eq_code,0)),"Équipement inconnu",IF(D198="","Tâche manquante",IF(E198="","Déclenchement manquant",IF(AND(E198&lt;&gt;"Calendrier",E198&lt;&gt;"Compteur",E198&lt;&gt;"Au premier des deux"),"Déclenchement inconnu",IF(AND(E198&lt;&gt;"Compteur",OR(NOT(ISNUMBER(F198)),N(F198)&lt;=0)),"Périodicité en jours manquante",IF(AND(E198&lt;&gt;"Calendrier",OR(NOT(ISNUMBER(G198)),N(G198)&lt;=0)),"Périodicité compteur manquante",IF(AND(J198&lt;&gt;"",OR(NOT(ISNUMBER(J198)),N(J198)&lt;=0)),"Date de réalisation invalide",IF(AND(K198&lt;&gt;"",OR(NOT(ISNUMBER(K198)),N(K198)&lt;0)),"Compteur de réalisation invalide",IF(AND(E198&lt;&gt;"Compteur",N(M198)=0,IFERROR(N(INDEX(eq_start,MATCH(B198,eq_code,0))),0)=0),"Date de départ manquante",IF(AND(E198&lt;&gt;"Calendrier",K198="",N(N198)=0),"Compteur de départ manquant",IF(AND(E198&lt;&gt;"Calendrier",N(Q198)=0),"Relevé compteur manquant (Équipements)",IF(AND(I198&lt;&gt;"",ISNA(MATCH(I198,tech_name,0))),"Technicien inconnu",IF(AND(L198&lt;&gt;"",L198&lt;&gt;"Oui",L198&lt;&gt;"Non"),"Actif : Oui ou Non","OK")))))))))))))))))</f>
        <v/>
      </c>
      <c r="W198" s="67">
        <f>IFERROR(N(INDEX(eq_use,MATCH(B198,eq_code,0))),0)</f>
        <v>0.0</v>
      </c>
      <c r="X198" s="67" t="str">
        <f>IF(AND(ISNUMBER(S198),W198&gt;0),p_today+MAX(0,ROUNDUP(S198*7/W198,0)),"")</f>
        <v/>
      </c>
      <c r="Y198" s="67" t="str">
        <f>IF(AND(ISNUMBER(T198),OR(U198="En retard",U198="Bientôt",U198="À jour")),IF(AND(ISNUMBER(O198),ISNUMBER(X198)),MIN(F198,G198*7/W198),IF(ISNUMBER(O198),F198,G198*7/W198)),"")</f>
        <v/>
      </c>
      <c r="Z198" s="67" t="str">
        <f>IF(OR(U198="En retard",U198="Bientôt"),IF(U198="En retard",0,1)*1000000000+IF(AB198="A",0,IF(AB198="B",1,IF(AB198="C",2,3)))*100000000+IF(ISNUMBER(T198),T198,p_today)*1000+ROW()-5,"")</f>
        <v/>
      </c>
      <c r="AA198" s="67" t="str">
        <f>IF(Z198="","",COUNTIF($Z$6:$Z$505,"&lt;"&amp;Z198)+1)</f>
        <v/>
      </c>
      <c r="AB198" s="67" t="str">
        <f>IFERROR(INDEX(eq_crit,MATCH(B198,eq_code,0))&amp;"","")</f>
        <v/>
      </c>
    </row>
    <row r="199">
      <c r="A199" s="65" t="n"/>
      <c r="B199" s="66" t="n"/>
      <c r="C199" s="67" t="str">
        <f>IF(B199="","",IFERROR(INDEX(eq_des,MATCH(B199,eq_code,0))&amp;"","Équipement inconnu"))</f>
        <v/>
      </c>
      <c r="D199" s="66" t="n"/>
      <c r="E199" s="68" t="n"/>
      <c r="F199" s="69" t="n"/>
      <c r="G199" s="70" t="n"/>
      <c r="H199" s="71" t="n"/>
      <c r="I199" s="66" t="n"/>
      <c r="J199" s="72" t="n"/>
      <c r="K199" s="73" t="n"/>
      <c r="L199" s="68" t="n"/>
      <c r="M199" s="74" t="str">
        <f>IF(AND(A199="",B199="",D199=""),"",MAX(N(J199),IF(A199="",0,SUMPRODUCT(MAX((in_plan=A199)*in_prev*in_dnum)))))</f>
        <v/>
      </c>
      <c r="N199" s="75" t="str">
        <f>IF(AND(A199="",B199="",D199=""),"",MAX(N(K199),IF(A199="",0,SUMPRODUCT(MAX((in_plan=A199)*in_prev*in_cnum)))))</f>
        <v/>
      </c>
      <c r="O199" s="76" t="str">
        <f>IF(AND(OR(E199="Calendrier",E199="Au premier des deux"),N(F199)&gt;0,IF(N(M199)&gt;0,M199,IFERROR(N(INDEX(eq_start,MATCH(B199,eq_code,0))),0))&gt;0),IF(N(M199)&gt;0,M199,IFERROR(N(INDEX(eq_start,MATCH(B199,eq_code,0))),0))+F199,"")</f>
        <v/>
      </c>
      <c r="P199" s="75" t="str">
        <f>IF(AND(OR(E199="Compteur",E199="Au premier des deux"),N(G199)&gt;0),N(N199)+G199,"")</f>
        <v/>
      </c>
      <c r="Q199" s="75" t="str">
        <f>IF(B199="","",IFERROR(N(INDEX(eq_cnt,MATCH(B199,eq_code,0))),""))</f>
        <v/>
      </c>
      <c r="R199" s="77" t="str">
        <f>IF(ISNUMBER(O199),O199-p_today,"")</f>
        <v/>
      </c>
      <c r="S199" s="78" t="str">
        <f>IF(AND(ISNUMBER(P199),N(Q199)&gt;0),P199-Q199,"")</f>
        <v/>
      </c>
      <c r="T199" s="76" t="str">
        <f>IF(AND(ISNUMBER(O199),ISNUMBER(X199)),MIN(O199,X199),IF(ISNUMBER(O199),O199,X199))</f>
        <v/>
      </c>
      <c r="U199" s="79" t="str">
        <f>IF(AND(A199="",B199="",D199=""),"",IF(L199="Non","Inactif",IF(AND(NOT(ISNUMBER(R199)),NOT(ISNUMBER(S199))),"À compléter",IF(OR(AND(ISNUMBER(R199),N(R199)&lt;0),AND(ISNUMBER(S199),N(S199)&lt;0)),"En retard",IF(OR(AND(ISNUMBER(R199),N(R199)&lt;=p_soon),AND(ISNUMBER(S199),N(S199)&lt;=p_soon_pct*N(G199))),"Bientôt","À jour")))))</f>
        <v/>
      </c>
      <c r="V199" s="79" t="str">
        <f>IF(AND(A199="",B199="",D199=""),"",IF(A199="","N° de plan manquant",IF(COUNTIF($A$6:$A$505,A199)&gt;1,"N° de plan en double",IF(B199="","Équipement manquant",IF(ISNA(MATCH(B199,eq_code,0)),"Équipement inconnu",IF(D199="","Tâche manquante",IF(E199="","Déclenchement manquant",IF(AND(E199&lt;&gt;"Calendrier",E199&lt;&gt;"Compteur",E199&lt;&gt;"Au premier des deux"),"Déclenchement inconnu",IF(AND(E199&lt;&gt;"Compteur",OR(NOT(ISNUMBER(F199)),N(F199)&lt;=0)),"Périodicité en jours manquante",IF(AND(E199&lt;&gt;"Calendrier",OR(NOT(ISNUMBER(G199)),N(G199)&lt;=0)),"Périodicité compteur manquante",IF(AND(J199&lt;&gt;"",OR(NOT(ISNUMBER(J199)),N(J199)&lt;=0)),"Date de réalisation invalide",IF(AND(K199&lt;&gt;"",OR(NOT(ISNUMBER(K199)),N(K199)&lt;0)),"Compteur de réalisation invalide",IF(AND(E199&lt;&gt;"Compteur",N(M199)=0,IFERROR(N(INDEX(eq_start,MATCH(B199,eq_code,0))),0)=0),"Date de départ manquante",IF(AND(E199&lt;&gt;"Calendrier",K199="",N(N199)=0),"Compteur de départ manquant",IF(AND(E199&lt;&gt;"Calendrier",N(Q199)=0),"Relevé compteur manquant (Équipements)",IF(AND(I199&lt;&gt;"",ISNA(MATCH(I199,tech_name,0))),"Technicien inconnu",IF(AND(L199&lt;&gt;"",L199&lt;&gt;"Oui",L199&lt;&gt;"Non"),"Actif : Oui ou Non","OK")))))))))))))))))</f>
        <v/>
      </c>
      <c r="W199" s="67">
        <f>IFERROR(N(INDEX(eq_use,MATCH(B199,eq_code,0))),0)</f>
        <v>0.0</v>
      </c>
      <c r="X199" s="67" t="str">
        <f>IF(AND(ISNUMBER(S199),W199&gt;0),p_today+MAX(0,ROUNDUP(S199*7/W199,0)),"")</f>
        <v/>
      </c>
      <c r="Y199" s="67" t="str">
        <f>IF(AND(ISNUMBER(T199),OR(U199="En retard",U199="Bientôt",U199="À jour")),IF(AND(ISNUMBER(O199),ISNUMBER(X199)),MIN(F199,G199*7/W199),IF(ISNUMBER(O199),F199,G199*7/W199)),"")</f>
        <v/>
      </c>
      <c r="Z199" s="67" t="str">
        <f>IF(OR(U199="En retard",U199="Bientôt"),IF(U199="En retard",0,1)*1000000000+IF(AB199="A",0,IF(AB199="B",1,IF(AB199="C",2,3)))*100000000+IF(ISNUMBER(T199),T199,p_today)*1000+ROW()-5,"")</f>
        <v/>
      </c>
      <c r="AA199" s="67" t="str">
        <f>IF(Z199="","",COUNTIF($Z$6:$Z$505,"&lt;"&amp;Z199)+1)</f>
        <v/>
      </c>
      <c r="AB199" s="67" t="str">
        <f>IFERROR(INDEX(eq_crit,MATCH(B199,eq_code,0))&amp;"","")</f>
        <v/>
      </c>
    </row>
    <row r="200">
      <c r="A200" s="65" t="n"/>
      <c r="B200" s="66" t="n"/>
      <c r="C200" s="67" t="str">
        <f>IF(B200="","",IFERROR(INDEX(eq_des,MATCH(B200,eq_code,0))&amp;"","Équipement inconnu"))</f>
        <v/>
      </c>
      <c r="D200" s="66" t="n"/>
      <c r="E200" s="68" t="n"/>
      <c r="F200" s="69" t="n"/>
      <c r="G200" s="70" t="n"/>
      <c r="H200" s="71" t="n"/>
      <c r="I200" s="66" t="n"/>
      <c r="J200" s="72" t="n"/>
      <c r="K200" s="73" t="n"/>
      <c r="L200" s="68" t="n"/>
      <c r="M200" s="74" t="str">
        <f>IF(AND(A200="",B200="",D200=""),"",MAX(N(J200),IF(A200="",0,SUMPRODUCT(MAX((in_plan=A200)*in_prev*in_dnum)))))</f>
        <v/>
      </c>
      <c r="N200" s="75" t="str">
        <f>IF(AND(A200="",B200="",D200=""),"",MAX(N(K200),IF(A200="",0,SUMPRODUCT(MAX((in_plan=A200)*in_prev*in_cnum)))))</f>
        <v/>
      </c>
      <c r="O200" s="76" t="str">
        <f>IF(AND(OR(E200="Calendrier",E200="Au premier des deux"),N(F200)&gt;0,IF(N(M200)&gt;0,M200,IFERROR(N(INDEX(eq_start,MATCH(B200,eq_code,0))),0))&gt;0),IF(N(M200)&gt;0,M200,IFERROR(N(INDEX(eq_start,MATCH(B200,eq_code,0))),0))+F200,"")</f>
        <v/>
      </c>
      <c r="P200" s="75" t="str">
        <f>IF(AND(OR(E200="Compteur",E200="Au premier des deux"),N(G200)&gt;0),N(N200)+G200,"")</f>
        <v/>
      </c>
      <c r="Q200" s="75" t="str">
        <f>IF(B200="","",IFERROR(N(INDEX(eq_cnt,MATCH(B200,eq_code,0))),""))</f>
        <v/>
      </c>
      <c r="R200" s="77" t="str">
        <f>IF(ISNUMBER(O200),O200-p_today,"")</f>
        <v/>
      </c>
      <c r="S200" s="78" t="str">
        <f>IF(AND(ISNUMBER(P200),N(Q200)&gt;0),P200-Q200,"")</f>
        <v/>
      </c>
      <c r="T200" s="76" t="str">
        <f>IF(AND(ISNUMBER(O200),ISNUMBER(X200)),MIN(O200,X200),IF(ISNUMBER(O200),O200,X200))</f>
        <v/>
      </c>
      <c r="U200" s="79" t="str">
        <f>IF(AND(A200="",B200="",D200=""),"",IF(L200="Non","Inactif",IF(AND(NOT(ISNUMBER(R200)),NOT(ISNUMBER(S200))),"À compléter",IF(OR(AND(ISNUMBER(R200),N(R200)&lt;0),AND(ISNUMBER(S200),N(S200)&lt;0)),"En retard",IF(OR(AND(ISNUMBER(R200),N(R200)&lt;=p_soon),AND(ISNUMBER(S200),N(S200)&lt;=p_soon_pct*N(G200))),"Bientôt","À jour")))))</f>
        <v/>
      </c>
      <c r="V200" s="79" t="str">
        <f>IF(AND(A200="",B200="",D200=""),"",IF(A200="","N° de plan manquant",IF(COUNTIF($A$6:$A$505,A200)&gt;1,"N° de plan en double",IF(B200="","Équipement manquant",IF(ISNA(MATCH(B200,eq_code,0)),"Équipement inconnu",IF(D200="","Tâche manquante",IF(E200="","Déclenchement manquant",IF(AND(E200&lt;&gt;"Calendrier",E200&lt;&gt;"Compteur",E200&lt;&gt;"Au premier des deux"),"Déclenchement inconnu",IF(AND(E200&lt;&gt;"Compteur",OR(NOT(ISNUMBER(F200)),N(F200)&lt;=0)),"Périodicité en jours manquante",IF(AND(E200&lt;&gt;"Calendrier",OR(NOT(ISNUMBER(G200)),N(G200)&lt;=0)),"Périodicité compteur manquante",IF(AND(J200&lt;&gt;"",OR(NOT(ISNUMBER(J200)),N(J200)&lt;=0)),"Date de réalisation invalide",IF(AND(K200&lt;&gt;"",OR(NOT(ISNUMBER(K200)),N(K200)&lt;0)),"Compteur de réalisation invalide",IF(AND(E200&lt;&gt;"Compteur",N(M200)=0,IFERROR(N(INDEX(eq_start,MATCH(B200,eq_code,0))),0)=0),"Date de départ manquante",IF(AND(E200&lt;&gt;"Calendrier",K200="",N(N200)=0),"Compteur de départ manquant",IF(AND(E200&lt;&gt;"Calendrier",N(Q200)=0),"Relevé compteur manquant (Équipements)",IF(AND(I200&lt;&gt;"",ISNA(MATCH(I200,tech_name,0))),"Technicien inconnu",IF(AND(L200&lt;&gt;"",L200&lt;&gt;"Oui",L200&lt;&gt;"Non"),"Actif : Oui ou Non","OK")))))))))))))))))</f>
        <v/>
      </c>
      <c r="W200" s="67">
        <f>IFERROR(N(INDEX(eq_use,MATCH(B200,eq_code,0))),0)</f>
        <v>0.0</v>
      </c>
      <c r="X200" s="67" t="str">
        <f>IF(AND(ISNUMBER(S200),W200&gt;0),p_today+MAX(0,ROUNDUP(S200*7/W200,0)),"")</f>
        <v/>
      </c>
      <c r="Y200" s="67" t="str">
        <f>IF(AND(ISNUMBER(T200),OR(U200="En retard",U200="Bientôt",U200="À jour")),IF(AND(ISNUMBER(O200),ISNUMBER(X200)),MIN(F200,G200*7/W200),IF(ISNUMBER(O200),F200,G200*7/W200)),"")</f>
        <v/>
      </c>
      <c r="Z200" s="67" t="str">
        <f>IF(OR(U200="En retard",U200="Bientôt"),IF(U200="En retard",0,1)*1000000000+IF(AB200="A",0,IF(AB200="B",1,IF(AB200="C",2,3)))*100000000+IF(ISNUMBER(T200),T200,p_today)*1000+ROW()-5,"")</f>
        <v/>
      </c>
      <c r="AA200" s="67" t="str">
        <f>IF(Z200="","",COUNTIF($Z$6:$Z$505,"&lt;"&amp;Z200)+1)</f>
        <v/>
      </c>
      <c r="AB200" s="67" t="str">
        <f>IFERROR(INDEX(eq_crit,MATCH(B200,eq_code,0))&amp;"","")</f>
        <v/>
      </c>
    </row>
    <row r="201">
      <c r="A201" s="65" t="n"/>
      <c r="B201" s="66" t="n"/>
      <c r="C201" s="67" t="str">
        <f>IF(B201="","",IFERROR(INDEX(eq_des,MATCH(B201,eq_code,0))&amp;"","Équipement inconnu"))</f>
        <v/>
      </c>
      <c r="D201" s="66" t="n"/>
      <c r="E201" s="68" t="n"/>
      <c r="F201" s="69" t="n"/>
      <c r="G201" s="70" t="n"/>
      <c r="H201" s="71" t="n"/>
      <c r="I201" s="66" t="n"/>
      <c r="J201" s="72" t="n"/>
      <c r="K201" s="73" t="n"/>
      <c r="L201" s="68" t="n"/>
      <c r="M201" s="74" t="str">
        <f>IF(AND(A201="",B201="",D201=""),"",MAX(N(J201),IF(A201="",0,SUMPRODUCT(MAX((in_plan=A201)*in_prev*in_dnum)))))</f>
        <v/>
      </c>
      <c r="N201" s="75" t="str">
        <f>IF(AND(A201="",B201="",D201=""),"",MAX(N(K201),IF(A201="",0,SUMPRODUCT(MAX((in_plan=A201)*in_prev*in_cnum)))))</f>
        <v/>
      </c>
      <c r="O201" s="76" t="str">
        <f>IF(AND(OR(E201="Calendrier",E201="Au premier des deux"),N(F201)&gt;0,IF(N(M201)&gt;0,M201,IFERROR(N(INDEX(eq_start,MATCH(B201,eq_code,0))),0))&gt;0),IF(N(M201)&gt;0,M201,IFERROR(N(INDEX(eq_start,MATCH(B201,eq_code,0))),0))+F201,"")</f>
        <v/>
      </c>
      <c r="P201" s="75" t="str">
        <f>IF(AND(OR(E201="Compteur",E201="Au premier des deux"),N(G201)&gt;0),N(N201)+G201,"")</f>
        <v/>
      </c>
      <c r="Q201" s="75" t="str">
        <f>IF(B201="","",IFERROR(N(INDEX(eq_cnt,MATCH(B201,eq_code,0))),""))</f>
        <v/>
      </c>
      <c r="R201" s="77" t="str">
        <f>IF(ISNUMBER(O201),O201-p_today,"")</f>
        <v/>
      </c>
      <c r="S201" s="78" t="str">
        <f>IF(AND(ISNUMBER(P201),N(Q201)&gt;0),P201-Q201,"")</f>
        <v/>
      </c>
      <c r="T201" s="76" t="str">
        <f>IF(AND(ISNUMBER(O201),ISNUMBER(X201)),MIN(O201,X201),IF(ISNUMBER(O201),O201,X201))</f>
        <v/>
      </c>
      <c r="U201" s="79" t="str">
        <f>IF(AND(A201="",B201="",D201=""),"",IF(L201="Non","Inactif",IF(AND(NOT(ISNUMBER(R201)),NOT(ISNUMBER(S201))),"À compléter",IF(OR(AND(ISNUMBER(R201),N(R201)&lt;0),AND(ISNUMBER(S201),N(S201)&lt;0)),"En retard",IF(OR(AND(ISNUMBER(R201),N(R201)&lt;=p_soon),AND(ISNUMBER(S201),N(S201)&lt;=p_soon_pct*N(G201))),"Bientôt","À jour")))))</f>
        <v/>
      </c>
      <c r="V201" s="79" t="str">
        <f>IF(AND(A201="",B201="",D201=""),"",IF(A201="","N° de plan manquant",IF(COUNTIF($A$6:$A$505,A201)&gt;1,"N° de plan en double",IF(B201="","Équipement manquant",IF(ISNA(MATCH(B201,eq_code,0)),"Équipement inconnu",IF(D201="","Tâche manquante",IF(E201="","Déclenchement manquant",IF(AND(E201&lt;&gt;"Calendrier",E201&lt;&gt;"Compteur",E201&lt;&gt;"Au premier des deux"),"Déclenchement inconnu",IF(AND(E201&lt;&gt;"Compteur",OR(NOT(ISNUMBER(F201)),N(F201)&lt;=0)),"Périodicité en jours manquante",IF(AND(E201&lt;&gt;"Calendrier",OR(NOT(ISNUMBER(G201)),N(G201)&lt;=0)),"Périodicité compteur manquante",IF(AND(J201&lt;&gt;"",OR(NOT(ISNUMBER(J201)),N(J201)&lt;=0)),"Date de réalisation invalide",IF(AND(K201&lt;&gt;"",OR(NOT(ISNUMBER(K201)),N(K201)&lt;0)),"Compteur de réalisation invalide",IF(AND(E201&lt;&gt;"Compteur",N(M201)=0,IFERROR(N(INDEX(eq_start,MATCH(B201,eq_code,0))),0)=0),"Date de départ manquante",IF(AND(E201&lt;&gt;"Calendrier",K201="",N(N201)=0),"Compteur de départ manquant",IF(AND(E201&lt;&gt;"Calendrier",N(Q201)=0),"Relevé compteur manquant (Équipements)",IF(AND(I201&lt;&gt;"",ISNA(MATCH(I201,tech_name,0))),"Technicien inconnu",IF(AND(L201&lt;&gt;"",L201&lt;&gt;"Oui",L201&lt;&gt;"Non"),"Actif : Oui ou Non","OK")))))))))))))))))</f>
        <v/>
      </c>
      <c r="W201" s="67">
        <f>IFERROR(N(INDEX(eq_use,MATCH(B201,eq_code,0))),0)</f>
        <v>0.0</v>
      </c>
      <c r="X201" s="67" t="str">
        <f>IF(AND(ISNUMBER(S201),W201&gt;0),p_today+MAX(0,ROUNDUP(S201*7/W201,0)),"")</f>
        <v/>
      </c>
      <c r="Y201" s="67" t="str">
        <f>IF(AND(ISNUMBER(T201),OR(U201="En retard",U201="Bientôt",U201="À jour")),IF(AND(ISNUMBER(O201),ISNUMBER(X201)),MIN(F201,G201*7/W201),IF(ISNUMBER(O201),F201,G201*7/W201)),"")</f>
        <v/>
      </c>
      <c r="Z201" s="67" t="str">
        <f>IF(OR(U201="En retard",U201="Bientôt"),IF(U201="En retard",0,1)*1000000000+IF(AB201="A",0,IF(AB201="B",1,IF(AB201="C",2,3)))*100000000+IF(ISNUMBER(T201),T201,p_today)*1000+ROW()-5,"")</f>
        <v/>
      </c>
      <c r="AA201" s="67" t="str">
        <f>IF(Z201="","",COUNTIF($Z$6:$Z$505,"&lt;"&amp;Z201)+1)</f>
        <v/>
      </c>
      <c r="AB201" s="67" t="str">
        <f>IFERROR(INDEX(eq_crit,MATCH(B201,eq_code,0))&amp;"","")</f>
        <v/>
      </c>
    </row>
    <row r="202">
      <c r="A202" s="65" t="n"/>
      <c r="B202" s="66" t="n"/>
      <c r="C202" s="67" t="str">
        <f>IF(B202="","",IFERROR(INDEX(eq_des,MATCH(B202,eq_code,0))&amp;"","Équipement inconnu"))</f>
        <v/>
      </c>
      <c r="D202" s="66" t="n"/>
      <c r="E202" s="68" t="n"/>
      <c r="F202" s="69" t="n"/>
      <c r="G202" s="70" t="n"/>
      <c r="H202" s="71" t="n"/>
      <c r="I202" s="66" t="n"/>
      <c r="J202" s="72" t="n"/>
      <c r="K202" s="73" t="n"/>
      <c r="L202" s="68" t="n"/>
      <c r="M202" s="74" t="str">
        <f>IF(AND(A202="",B202="",D202=""),"",MAX(N(J202),IF(A202="",0,SUMPRODUCT(MAX((in_plan=A202)*in_prev*in_dnum)))))</f>
        <v/>
      </c>
      <c r="N202" s="75" t="str">
        <f>IF(AND(A202="",B202="",D202=""),"",MAX(N(K202),IF(A202="",0,SUMPRODUCT(MAX((in_plan=A202)*in_prev*in_cnum)))))</f>
        <v/>
      </c>
      <c r="O202" s="76" t="str">
        <f>IF(AND(OR(E202="Calendrier",E202="Au premier des deux"),N(F202)&gt;0,IF(N(M202)&gt;0,M202,IFERROR(N(INDEX(eq_start,MATCH(B202,eq_code,0))),0))&gt;0),IF(N(M202)&gt;0,M202,IFERROR(N(INDEX(eq_start,MATCH(B202,eq_code,0))),0))+F202,"")</f>
        <v/>
      </c>
      <c r="P202" s="75" t="str">
        <f>IF(AND(OR(E202="Compteur",E202="Au premier des deux"),N(G202)&gt;0),N(N202)+G202,"")</f>
        <v/>
      </c>
      <c r="Q202" s="75" t="str">
        <f>IF(B202="","",IFERROR(N(INDEX(eq_cnt,MATCH(B202,eq_code,0))),""))</f>
        <v/>
      </c>
      <c r="R202" s="77" t="str">
        <f>IF(ISNUMBER(O202),O202-p_today,"")</f>
        <v/>
      </c>
      <c r="S202" s="78" t="str">
        <f>IF(AND(ISNUMBER(P202),N(Q202)&gt;0),P202-Q202,"")</f>
        <v/>
      </c>
      <c r="T202" s="76" t="str">
        <f>IF(AND(ISNUMBER(O202),ISNUMBER(X202)),MIN(O202,X202),IF(ISNUMBER(O202),O202,X202))</f>
        <v/>
      </c>
      <c r="U202" s="79" t="str">
        <f>IF(AND(A202="",B202="",D202=""),"",IF(L202="Non","Inactif",IF(AND(NOT(ISNUMBER(R202)),NOT(ISNUMBER(S202))),"À compléter",IF(OR(AND(ISNUMBER(R202),N(R202)&lt;0),AND(ISNUMBER(S202),N(S202)&lt;0)),"En retard",IF(OR(AND(ISNUMBER(R202),N(R202)&lt;=p_soon),AND(ISNUMBER(S202),N(S202)&lt;=p_soon_pct*N(G202))),"Bientôt","À jour")))))</f>
        <v/>
      </c>
      <c r="V202" s="79" t="str">
        <f>IF(AND(A202="",B202="",D202=""),"",IF(A202="","N° de plan manquant",IF(COUNTIF($A$6:$A$505,A202)&gt;1,"N° de plan en double",IF(B202="","Équipement manquant",IF(ISNA(MATCH(B202,eq_code,0)),"Équipement inconnu",IF(D202="","Tâche manquante",IF(E202="","Déclenchement manquant",IF(AND(E202&lt;&gt;"Calendrier",E202&lt;&gt;"Compteur",E202&lt;&gt;"Au premier des deux"),"Déclenchement inconnu",IF(AND(E202&lt;&gt;"Compteur",OR(NOT(ISNUMBER(F202)),N(F202)&lt;=0)),"Périodicité en jours manquante",IF(AND(E202&lt;&gt;"Calendrier",OR(NOT(ISNUMBER(G202)),N(G202)&lt;=0)),"Périodicité compteur manquante",IF(AND(J202&lt;&gt;"",OR(NOT(ISNUMBER(J202)),N(J202)&lt;=0)),"Date de réalisation invalide",IF(AND(K202&lt;&gt;"",OR(NOT(ISNUMBER(K202)),N(K202)&lt;0)),"Compteur de réalisation invalide",IF(AND(E202&lt;&gt;"Compteur",N(M202)=0,IFERROR(N(INDEX(eq_start,MATCH(B202,eq_code,0))),0)=0),"Date de départ manquante",IF(AND(E202&lt;&gt;"Calendrier",K202="",N(N202)=0),"Compteur de départ manquant",IF(AND(E202&lt;&gt;"Calendrier",N(Q202)=0),"Relevé compteur manquant (Équipements)",IF(AND(I202&lt;&gt;"",ISNA(MATCH(I202,tech_name,0))),"Technicien inconnu",IF(AND(L202&lt;&gt;"",L202&lt;&gt;"Oui",L202&lt;&gt;"Non"),"Actif : Oui ou Non","OK")))))))))))))))))</f>
        <v/>
      </c>
      <c r="W202" s="67">
        <f>IFERROR(N(INDEX(eq_use,MATCH(B202,eq_code,0))),0)</f>
        <v>0.0</v>
      </c>
      <c r="X202" s="67" t="str">
        <f>IF(AND(ISNUMBER(S202),W202&gt;0),p_today+MAX(0,ROUNDUP(S202*7/W202,0)),"")</f>
        <v/>
      </c>
      <c r="Y202" s="67" t="str">
        <f>IF(AND(ISNUMBER(T202),OR(U202="En retard",U202="Bientôt",U202="À jour")),IF(AND(ISNUMBER(O202),ISNUMBER(X202)),MIN(F202,G202*7/W202),IF(ISNUMBER(O202),F202,G202*7/W202)),"")</f>
        <v/>
      </c>
      <c r="Z202" s="67" t="str">
        <f>IF(OR(U202="En retard",U202="Bientôt"),IF(U202="En retard",0,1)*1000000000+IF(AB202="A",0,IF(AB202="B",1,IF(AB202="C",2,3)))*100000000+IF(ISNUMBER(T202),T202,p_today)*1000+ROW()-5,"")</f>
        <v/>
      </c>
      <c r="AA202" s="67" t="str">
        <f>IF(Z202="","",COUNTIF($Z$6:$Z$505,"&lt;"&amp;Z202)+1)</f>
        <v/>
      </c>
      <c r="AB202" s="67" t="str">
        <f>IFERROR(INDEX(eq_crit,MATCH(B202,eq_code,0))&amp;"","")</f>
        <v/>
      </c>
    </row>
    <row r="203">
      <c r="A203" s="65" t="n"/>
      <c r="B203" s="66" t="n"/>
      <c r="C203" s="67" t="str">
        <f>IF(B203="","",IFERROR(INDEX(eq_des,MATCH(B203,eq_code,0))&amp;"","Équipement inconnu"))</f>
        <v/>
      </c>
      <c r="D203" s="66" t="n"/>
      <c r="E203" s="68" t="n"/>
      <c r="F203" s="69" t="n"/>
      <c r="G203" s="70" t="n"/>
      <c r="H203" s="71" t="n"/>
      <c r="I203" s="66" t="n"/>
      <c r="J203" s="72" t="n"/>
      <c r="K203" s="73" t="n"/>
      <c r="L203" s="68" t="n"/>
      <c r="M203" s="74" t="str">
        <f>IF(AND(A203="",B203="",D203=""),"",MAX(N(J203),IF(A203="",0,SUMPRODUCT(MAX((in_plan=A203)*in_prev*in_dnum)))))</f>
        <v/>
      </c>
      <c r="N203" s="75" t="str">
        <f>IF(AND(A203="",B203="",D203=""),"",MAX(N(K203),IF(A203="",0,SUMPRODUCT(MAX((in_plan=A203)*in_prev*in_cnum)))))</f>
        <v/>
      </c>
      <c r="O203" s="76" t="str">
        <f>IF(AND(OR(E203="Calendrier",E203="Au premier des deux"),N(F203)&gt;0,IF(N(M203)&gt;0,M203,IFERROR(N(INDEX(eq_start,MATCH(B203,eq_code,0))),0))&gt;0),IF(N(M203)&gt;0,M203,IFERROR(N(INDEX(eq_start,MATCH(B203,eq_code,0))),0))+F203,"")</f>
        <v/>
      </c>
      <c r="P203" s="75" t="str">
        <f>IF(AND(OR(E203="Compteur",E203="Au premier des deux"),N(G203)&gt;0),N(N203)+G203,"")</f>
        <v/>
      </c>
      <c r="Q203" s="75" t="str">
        <f>IF(B203="","",IFERROR(N(INDEX(eq_cnt,MATCH(B203,eq_code,0))),""))</f>
        <v/>
      </c>
      <c r="R203" s="77" t="str">
        <f>IF(ISNUMBER(O203),O203-p_today,"")</f>
        <v/>
      </c>
      <c r="S203" s="78" t="str">
        <f>IF(AND(ISNUMBER(P203),N(Q203)&gt;0),P203-Q203,"")</f>
        <v/>
      </c>
      <c r="T203" s="76" t="str">
        <f>IF(AND(ISNUMBER(O203),ISNUMBER(X203)),MIN(O203,X203),IF(ISNUMBER(O203),O203,X203))</f>
        <v/>
      </c>
      <c r="U203" s="79" t="str">
        <f>IF(AND(A203="",B203="",D203=""),"",IF(L203="Non","Inactif",IF(AND(NOT(ISNUMBER(R203)),NOT(ISNUMBER(S203))),"À compléter",IF(OR(AND(ISNUMBER(R203),N(R203)&lt;0),AND(ISNUMBER(S203),N(S203)&lt;0)),"En retard",IF(OR(AND(ISNUMBER(R203),N(R203)&lt;=p_soon),AND(ISNUMBER(S203),N(S203)&lt;=p_soon_pct*N(G203))),"Bientôt","À jour")))))</f>
        <v/>
      </c>
      <c r="V203" s="79" t="str">
        <f>IF(AND(A203="",B203="",D203=""),"",IF(A203="","N° de plan manquant",IF(COUNTIF($A$6:$A$505,A203)&gt;1,"N° de plan en double",IF(B203="","Équipement manquant",IF(ISNA(MATCH(B203,eq_code,0)),"Équipement inconnu",IF(D203="","Tâche manquante",IF(E203="","Déclenchement manquant",IF(AND(E203&lt;&gt;"Calendrier",E203&lt;&gt;"Compteur",E203&lt;&gt;"Au premier des deux"),"Déclenchement inconnu",IF(AND(E203&lt;&gt;"Compteur",OR(NOT(ISNUMBER(F203)),N(F203)&lt;=0)),"Périodicité en jours manquante",IF(AND(E203&lt;&gt;"Calendrier",OR(NOT(ISNUMBER(G203)),N(G203)&lt;=0)),"Périodicité compteur manquante",IF(AND(J203&lt;&gt;"",OR(NOT(ISNUMBER(J203)),N(J203)&lt;=0)),"Date de réalisation invalide",IF(AND(K203&lt;&gt;"",OR(NOT(ISNUMBER(K203)),N(K203)&lt;0)),"Compteur de réalisation invalide",IF(AND(E203&lt;&gt;"Compteur",N(M203)=0,IFERROR(N(INDEX(eq_start,MATCH(B203,eq_code,0))),0)=0),"Date de départ manquante",IF(AND(E203&lt;&gt;"Calendrier",K203="",N(N203)=0),"Compteur de départ manquant",IF(AND(E203&lt;&gt;"Calendrier",N(Q203)=0),"Relevé compteur manquant (Équipements)",IF(AND(I203&lt;&gt;"",ISNA(MATCH(I203,tech_name,0))),"Technicien inconnu",IF(AND(L203&lt;&gt;"",L203&lt;&gt;"Oui",L203&lt;&gt;"Non"),"Actif : Oui ou Non","OK")))))))))))))))))</f>
        <v/>
      </c>
      <c r="W203" s="67">
        <f>IFERROR(N(INDEX(eq_use,MATCH(B203,eq_code,0))),0)</f>
        <v>0.0</v>
      </c>
      <c r="X203" s="67" t="str">
        <f>IF(AND(ISNUMBER(S203),W203&gt;0),p_today+MAX(0,ROUNDUP(S203*7/W203,0)),"")</f>
        <v/>
      </c>
      <c r="Y203" s="67" t="str">
        <f>IF(AND(ISNUMBER(T203),OR(U203="En retard",U203="Bientôt",U203="À jour")),IF(AND(ISNUMBER(O203),ISNUMBER(X203)),MIN(F203,G203*7/W203),IF(ISNUMBER(O203),F203,G203*7/W203)),"")</f>
        <v/>
      </c>
      <c r="Z203" s="67" t="str">
        <f>IF(OR(U203="En retard",U203="Bientôt"),IF(U203="En retard",0,1)*1000000000+IF(AB203="A",0,IF(AB203="B",1,IF(AB203="C",2,3)))*100000000+IF(ISNUMBER(T203),T203,p_today)*1000+ROW()-5,"")</f>
        <v/>
      </c>
      <c r="AA203" s="67" t="str">
        <f>IF(Z203="","",COUNTIF($Z$6:$Z$505,"&lt;"&amp;Z203)+1)</f>
        <v/>
      </c>
      <c r="AB203" s="67" t="str">
        <f>IFERROR(INDEX(eq_crit,MATCH(B203,eq_code,0))&amp;"","")</f>
        <v/>
      </c>
    </row>
    <row r="204">
      <c r="A204" s="65" t="n"/>
      <c r="B204" s="66" t="n"/>
      <c r="C204" s="67" t="str">
        <f>IF(B204="","",IFERROR(INDEX(eq_des,MATCH(B204,eq_code,0))&amp;"","Équipement inconnu"))</f>
        <v/>
      </c>
      <c r="D204" s="66" t="n"/>
      <c r="E204" s="68" t="n"/>
      <c r="F204" s="69" t="n"/>
      <c r="G204" s="70" t="n"/>
      <c r="H204" s="71" t="n"/>
      <c r="I204" s="66" t="n"/>
      <c r="J204" s="72" t="n"/>
      <c r="K204" s="73" t="n"/>
      <c r="L204" s="68" t="n"/>
      <c r="M204" s="74" t="str">
        <f>IF(AND(A204="",B204="",D204=""),"",MAX(N(J204),IF(A204="",0,SUMPRODUCT(MAX((in_plan=A204)*in_prev*in_dnum)))))</f>
        <v/>
      </c>
      <c r="N204" s="75" t="str">
        <f>IF(AND(A204="",B204="",D204=""),"",MAX(N(K204),IF(A204="",0,SUMPRODUCT(MAX((in_plan=A204)*in_prev*in_cnum)))))</f>
        <v/>
      </c>
      <c r="O204" s="76" t="str">
        <f>IF(AND(OR(E204="Calendrier",E204="Au premier des deux"),N(F204)&gt;0,IF(N(M204)&gt;0,M204,IFERROR(N(INDEX(eq_start,MATCH(B204,eq_code,0))),0))&gt;0),IF(N(M204)&gt;0,M204,IFERROR(N(INDEX(eq_start,MATCH(B204,eq_code,0))),0))+F204,"")</f>
        <v/>
      </c>
      <c r="P204" s="75" t="str">
        <f>IF(AND(OR(E204="Compteur",E204="Au premier des deux"),N(G204)&gt;0),N(N204)+G204,"")</f>
        <v/>
      </c>
      <c r="Q204" s="75" t="str">
        <f>IF(B204="","",IFERROR(N(INDEX(eq_cnt,MATCH(B204,eq_code,0))),""))</f>
        <v/>
      </c>
      <c r="R204" s="77" t="str">
        <f>IF(ISNUMBER(O204),O204-p_today,"")</f>
        <v/>
      </c>
      <c r="S204" s="78" t="str">
        <f>IF(AND(ISNUMBER(P204),N(Q204)&gt;0),P204-Q204,"")</f>
        <v/>
      </c>
      <c r="T204" s="76" t="str">
        <f>IF(AND(ISNUMBER(O204),ISNUMBER(X204)),MIN(O204,X204),IF(ISNUMBER(O204),O204,X204))</f>
        <v/>
      </c>
      <c r="U204" s="79" t="str">
        <f>IF(AND(A204="",B204="",D204=""),"",IF(L204="Non","Inactif",IF(AND(NOT(ISNUMBER(R204)),NOT(ISNUMBER(S204))),"À compléter",IF(OR(AND(ISNUMBER(R204),N(R204)&lt;0),AND(ISNUMBER(S204),N(S204)&lt;0)),"En retard",IF(OR(AND(ISNUMBER(R204),N(R204)&lt;=p_soon),AND(ISNUMBER(S204),N(S204)&lt;=p_soon_pct*N(G204))),"Bientôt","À jour")))))</f>
        <v/>
      </c>
      <c r="V204" s="79" t="str">
        <f>IF(AND(A204="",B204="",D204=""),"",IF(A204="","N° de plan manquant",IF(COUNTIF($A$6:$A$505,A204)&gt;1,"N° de plan en double",IF(B204="","Équipement manquant",IF(ISNA(MATCH(B204,eq_code,0)),"Équipement inconnu",IF(D204="","Tâche manquante",IF(E204="","Déclenchement manquant",IF(AND(E204&lt;&gt;"Calendrier",E204&lt;&gt;"Compteur",E204&lt;&gt;"Au premier des deux"),"Déclenchement inconnu",IF(AND(E204&lt;&gt;"Compteur",OR(NOT(ISNUMBER(F204)),N(F204)&lt;=0)),"Périodicité en jours manquante",IF(AND(E204&lt;&gt;"Calendrier",OR(NOT(ISNUMBER(G204)),N(G204)&lt;=0)),"Périodicité compteur manquante",IF(AND(J204&lt;&gt;"",OR(NOT(ISNUMBER(J204)),N(J204)&lt;=0)),"Date de réalisation invalide",IF(AND(K204&lt;&gt;"",OR(NOT(ISNUMBER(K204)),N(K204)&lt;0)),"Compteur de réalisation invalide",IF(AND(E204&lt;&gt;"Compteur",N(M204)=0,IFERROR(N(INDEX(eq_start,MATCH(B204,eq_code,0))),0)=0),"Date de départ manquante",IF(AND(E204&lt;&gt;"Calendrier",K204="",N(N204)=0),"Compteur de départ manquant",IF(AND(E204&lt;&gt;"Calendrier",N(Q204)=0),"Relevé compteur manquant (Équipements)",IF(AND(I204&lt;&gt;"",ISNA(MATCH(I204,tech_name,0))),"Technicien inconnu",IF(AND(L204&lt;&gt;"",L204&lt;&gt;"Oui",L204&lt;&gt;"Non"),"Actif : Oui ou Non","OK")))))))))))))))))</f>
        <v/>
      </c>
      <c r="W204" s="67">
        <f>IFERROR(N(INDEX(eq_use,MATCH(B204,eq_code,0))),0)</f>
        <v>0.0</v>
      </c>
      <c r="X204" s="67" t="str">
        <f>IF(AND(ISNUMBER(S204),W204&gt;0),p_today+MAX(0,ROUNDUP(S204*7/W204,0)),"")</f>
        <v/>
      </c>
      <c r="Y204" s="67" t="str">
        <f>IF(AND(ISNUMBER(T204),OR(U204="En retard",U204="Bientôt",U204="À jour")),IF(AND(ISNUMBER(O204),ISNUMBER(X204)),MIN(F204,G204*7/W204),IF(ISNUMBER(O204),F204,G204*7/W204)),"")</f>
        <v/>
      </c>
      <c r="Z204" s="67" t="str">
        <f>IF(OR(U204="En retard",U204="Bientôt"),IF(U204="En retard",0,1)*1000000000+IF(AB204="A",0,IF(AB204="B",1,IF(AB204="C",2,3)))*100000000+IF(ISNUMBER(T204),T204,p_today)*1000+ROW()-5,"")</f>
        <v/>
      </c>
      <c r="AA204" s="67" t="str">
        <f>IF(Z204="","",COUNTIF($Z$6:$Z$505,"&lt;"&amp;Z204)+1)</f>
        <v/>
      </c>
      <c r="AB204" s="67" t="str">
        <f>IFERROR(INDEX(eq_crit,MATCH(B204,eq_code,0))&amp;"","")</f>
        <v/>
      </c>
    </row>
    <row r="205">
      <c r="A205" s="65" t="n"/>
      <c r="B205" s="66" t="n"/>
      <c r="C205" s="67" t="str">
        <f>IF(B205="","",IFERROR(INDEX(eq_des,MATCH(B205,eq_code,0))&amp;"","Équipement inconnu"))</f>
        <v/>
      </c>
      <c r="D205" s="66" t="n"/>
      <c r="E205" s="68" t="n"/>
      <c r="F205" s="69" t="n"/>
      <c r="G205" s="70" t="n"/>
      <c r="H205" s="71" t="n"/>
      <c r="I205" s="66" t="n"/>
      <c r="J205" s="72" t="n"/>
      <c r="K205" s="73" t="n"/>
      <c r="L205" s="68" t="n"/>
      <c r="M205" s="74" t="str">
        <f>IF(AND(A205="",B205="",D205=""),"",MAX(N(J205),IF(A205="",0,SUMPRODUCT(MAX((in_plan=A205)*in_prev*in_dnum)))))</f>
        <v/>
      </c>
      <c r="N205" s="75" t="str">
        <f>IF(AND(A205="",B205="",D205=""),"",MAX(N(K205),IF(A205="",0,SUMPRODUCT(MAX((in_plan=A205)*in_prev*in_cnum)))))</f>
        <v/>
      </c>
      <c r="O205" s="76" t="str">
        <f>IF(AND(OR(E205="Calendrier",E205="Au premier des deux"),N(F205)&gt;0,IF(N(M205)&gt;0,M205,IFERROR(N(INDEX(eq_start,MATCH(B205,eq_code,0))),0))&gt;0),IF(N(M205)&gt;0,M205,IFERROR(N(INDEX(eq_start,MATCH(B205,eq_code,0))),0))+F205,"")</f>
        <v/>
      </c>
      <c r="P205" s="75" t="str">
        <f>IF(AND(OR(E205="Compteur",E205="Au premier des deux"),N(G205)&gt;0),N(N205)+G205,"")</f>
        <v/>
      </c>
      <c r="Q205" s="75" t="str">
        <f>IF(B205="","",IFERROR(N(INDEX(eq_cnt,MATCH(B205,eq_code,0))),""))</f>
        <v/>
      </c>
      <c r="R205" s="77" t="str">
        <f>IF(ISNUMBER(O205),O205-p_today,"")</f>
        <v/>
      </c>
      <c r="S205" s="78" t="str">
        <f>IF(AND(ISNUMBER(P205),N(Q205)&gt;0),P205-Q205,"")</f>
        <v/>
      </c>
      <c r="T205" s="76" t="str">
        <f>IF(AND(ISNUMBER(O205),ISNUMBER(X205)),MIN(O205,X205),IF(ISNUMBER(O205),O205,X205))</f>
        <v/>
      </c>
      <c r="U205" s="79" t="str">
        <f>IF(AND(A205="",B205="",D205=""),"",IF(L205="Non","Inactif",IF(AND(NOT(ISNUMBER(R205)),NOT(ISNUMBER(S205))),"À compléter",IF(OR(AND(ISNUMBER(R205),N(R205)&lt;0),AND(ISNUMBER(S205),N(S205)&lt;0)),"En retard",IF(OR(AND(ISNUMBER(R205),N(R205)&lt;=p_soon),AND(ISNUMBER(S205),N(S205)&lt;=p_soon_pct*N(G205))),"Bientôt","À jour")))))</f>
        <v/>
      </c>
      <c r="V205" s="79" t="str">
        <f>IF(AND(A205="",B205="",D205=""),"",IF(A205="","N° de plan manquant",IF(COUNTIF($A$6:$A$505,A205)&gt;1,"N° de plan en double",IF(B205="","Équipement manquant",IF(ISNA(MATCH(B205,eq_code,0)),"Équipement inconnu",IF(D205="","Tâche manquante",IF(E205="","Déclenchement manquant",IF(AND(E205&lt;&gt;"Calendrier",E205&lt;&gt;"Compteur",E205&lt;&gt;"Au premier des deux"),"Déclenchement inconnu",IF(AND(E205&lt;&gt;"Compteur",OR(NOT(ISNUMBER(F205)),N(F205)&lt;=0)),"Périodicité en jours manquante",IF(AND(E205&lt;&gt;"Calendrier",OR(NOT(ISNUMBER(G205)),N(G205)&lt;=0)),"Périodicité compteur manquante",IF(AND(J205&lt;&gt;"",OR(NOT(ISNUMBER(J205)),N(J205)&lt;=0)),"Date de réalisation invalide",IF(AND(K205&lt;&gt;"",OR(NOT(ISNUMBER(K205)),N(K205)&lt;0)),"Compteur de réalisation invalide",IF(AND(E205&lt;&gt;"Compteur",N(M205)=0,IFERROR(N(INDEX(eq_start,MATCH(B205,eq_code,0))),0)=0),"Date de départ manquante",IF(AND(E205&lt;&gt;"Calendrier",K205="",N(N205)=0),"Compteur de départ manquant",IF(AND(E205&lt;&gt;"Calendrier",N(Q205)=0),"Relevé compteur manquant (Équipements)",IF(AND(I205&lt;&gt;"",ISNA(MATCH(I205,tech_name,0))),"Technicien inconnu",IF(AND(L205&lt;&gt;"",L205&lt;&gt;"Oui",L205&lt;&gt;"Non"),"Actif : Oui ou Non","OK")))))))))))))))))</f>
        <v/>
      </c>
      <c r="W205" s="67">
        <f>IFERROR(N(INDEX(eq_use,MATCH(B205,eq_code,0))),0)</f>
        <v>0.0</v>
      </c>
      <c r="X205" s="67" t="str">
        <f>IF(AND(ISNUMBER(S205),W205&gt;0),p_today+MAX(0,ROUNDUP(S205*7/W205,0)),"")</f>
        <v/>
      </c>
      <c r="Y205" s="67" t="str">
        <f>IF(AND(ISNUMBER(T205),OR(U205="En retard",U205="Bientôt",U205="À jour")),IF(AND(ISNUMBER(O205),ISNUMBER(X205)),MIN(F205,G205*7/W205),IF(ISNUMBER(O205),F205,G205*7/W205)),"")</f>
        <v/>
      </c>
      <c r="Z205" s="67" t="str">
        <f>IF(OR(U205="En retard",U205="Bientôt"),IF(U205="En retard",0,1)*1000000000+IF(AB205="A",0,IF(AB205="B",1,IF(AB205="C",2,3)))*100000000+IF(ISNUMBER(T205),T205,p_today)*1000+ROW()-5,"")</f>
        <v/>
      </c>
      <c r="AA205" s="67" t="str">
        <f>IF(Z205="","",COUNTIF($Z$6:$Z$505,"&lt;"&amp;Z205)+1)</f>
        <v/>
      </c>
      <c r="AB205" s="67" t="str">
        <f>IFERROR(INDEX(eq_crit,MATCH(B205,eq_code,0))&amp;"","")</f>
        <v/>
      </c>
    </row>
    <row r="206">
      <c r="A206" s="65" t="n"/>
      <c r="B206" s="66" t="n"/>
      <c r="C206" s="67" t="str">
        <f>IF(B206="","",IFERROR(INDEX(eq_des,MATCH(B206,eq_code,0))&amp;"","Équipement inconnu"))</f>
        <v/>
      </c>
      <c r="D206" s="66" t="n"/>
      <c r="E206" s="68" t="n"/>
      <c r="F206" s="69" t="n"/>
      <c r="G206" s="70" t="n"/>
      <c r="H206" s="71" t="n"/>
      <c r="I206" s="66" t="n"/>
      <c r="J206" s="72" t="n"/>
      <c r="K206" s="73" t="n"/>
      <c r="L206" s="68" t="n"/>
      <c r="M206" s="74" t="str">
        <f>IF(AND(A206="",B206="",D206=""),"",MAX(N(J206),IF(A206="",0,SUMPRODUCT(MAX((in_plan=A206)*in_prev*in_dnum)))))</f>
        <v/>
      </c>
      <c r="N206" s="75" t="str">
        <f>IF(AND(A206="",B206="",D206=""),"",MAX(N(K206),IF(A206="",0,SUMPRODUCT(MAX((in_plan=A206)*in_prev*in_cnum)))))</f>
        <v/>
      </c>
      <c r="O206" s="76" t="str">
        <f>IF(AND(OR(E206="Calendrier",E206="Au premier des deux"),N(F206)&gt;0,IF(N(M206)&gt;0,M206,IFERROR(N(INDEX(eq_start,MATCH(B206,eq_code,0))),0))&gt;0),IF(N(M206)&gt;0,M206,IFERROR(N(INDEX(eq_start,MATCH(B206,eq_code,0))),0))+F206,"")</f>
        <v/>
      </c>
      <c r="P206" s="75" t="str">
        <f>IF(AND(OR(E206="Compteur",E206="Au premier des deux"),N(G206)&gt;0),N(N206)+G206,"")</f>
        <v/>
      </c>
      <c r="Q206" s="75" t="str">
        <f>IF(B206="","",IFERROR(N(INDEX(eq_cnt,MATCH(B206,eq_code,0))),""))</f>
        <v/>
      </c>
      <c r="R206" s="77" t="str">
        <f>IF(ISNUMBER(O206),O206-p_today,"")</f>
        <v/>
      </c>
      <c r="S206" s="78" t="str">
        <f>IF(AND(ISNUMBER(P206),N(Q206)&gt;0),P206-Q206,"")</f>
        <v/>
      </c>
      <c r="T206" s="76" t="str">
        <f>IF(AND(ISNUMBER(O206),ISNUMBER(X206)),MIN(O206,X206),IF(ISNUMBER(O206),O206,X206))</f>
        <v/>
      </c>
      <c r="U206" s="79" t="str">
        <f>IF(AND(A206="",B206="",D206=""),"",IF(L206="Non","Inactif",IF(AND(NOT(ISNUMBER(R206)),NOT(ISNUMBER(S206))),"À compléter",IF(OR(AND(ISNUMBER(R206),N(R206)&lt;0),AND(ISNUMBER(S206),N(S206)&lt;0)),"En retard",IF(OR(AND(ISNUMBER(R206),N(R206)&lt;=p_soon),AND(ISNUMBER(S206),N(S206)&lt;=p_soon_pct*N(G206))),"Bientôt","À jour")))))</f>
        <v/>
      </c>
      <c r="V206" s="79" t="str">
        <f>IF(AND(A206="",B206="",D206=""),"",IF(A206="","N° de plan manquant",IF(COUNTIF($A$6:$A$505,A206)&gt;1,"N° de plan en double",IF(B206="","Équipement manquant",IF(ISNA(MATCH(B206,eq_code,0)),"Équipement inconnu",IF(D206="","Tâche manquante",IF(E206="","Déclenchement manquant",IF(AND(E206&lt;&gt;"Calendrier",E206&lt;&gt;"Compteur",E206&lt;&gt;"Au premier des deux"),"Déclenchement inconnu",IF(AND(E206&lt;&gt;"Compteur",OR(NOT(ISNUMBER(F206)),N(F206)&lt;=0)),"Périodicité en jours manquante",IF(AND(E206&lt;&gt;"Calendrier",OR(NOT(ISNUMBER(G206)),N(G206)&lt;=0)),"Périodicité compteur manquante",IF(AND(J206&lt;&gt;"",OR(NOT(ISNUMBER(J206)),N(J206)&lt;=0)),"Date de réalisation invalide",IF(AND(K206&lt;&gt;"",OR(NOT(ISNUMBER(K206)),N(K206)&lt;0)),"Compteur de réalisation invalide",IF(AND(E206&lt;&gt;"Compteur",N(M206)=0,IFERROR(N(INDEX(eq_start,MATCH(B206,eq_code,0))),0)=0),"Date de départ manquante",IF(AND(E206&lt;&gt;"Calendrier",K206="",N(N206)=0),"Compteur de départ manquant",IF(AND(E206&lt;&gt;"Calendrier",N(Q206)=0),"Relevé compteur manquant (Équipements)",IF(AND(I206&lt;&gt;"",ISNA(MATCH(I206,tech_name,0))),"Technicien inconnu",IF(AND(L206&lt;&gt;"",L206&lt;&gt;"Oui",L206&lt;&gt;"Non"),"Actif : Oui ou Non","OK")))))))))))))))))</f>
        <v/>
      </c>
      <c r="W206" s="67">
        <f>IFERROR(N(INDEX(eq_use,MATCH(B206,eq_code,0))),0)</f>
        <v>0.0</v>
      </c>
      <c r="X206" s="67" t="str">
        <f>IF(AND(ISNUMBER(S206),W206&gt;0),p_today+MAX(0,ROUNDUP(S206*7/W206,0)),"")</f>
        <v/>
      </c>
      <c r="Y206" s="67" t="str">
        <f>IF(AND(ISNUMBER(T206),OR(U206="En retard",U206="Bientôt",U206="À jour")),IF(AND(ISNUMBER(O206),ISNUMBER(X206)),MIN(F206,G206*7/W206),IF(ISNUMBER(O206),F206,G206*7/W206)),"")</f>
        <v/>
      </c>
      <c r="Z206" s="67" t="str">
        <f>IF(OR(U206="En retard",U206="Bientôt"),IF(U206="En retard",0,1)*1000000000+IF(AB206="A",0,IF(AB206="B",1,IF(AB206="C",2,3)))*100000000+IF(ISNUMBER(T206),T206,p_today)*1000+ROW()-5,"")</f>
        <v/>
      </c>
      <c r="AA206" s="67" t="str">
        <f>IF(Z206="","",COUNTIF($Z$6:$Z$505,"&lt;"&amp;Z206)+1)</f>
        <v/>
      </c>
      <c r="AB206" s="67" t="str">
        <f>IFERROR(INDEX(eq_crit,MATCH(B206,eq_code,0))&amp;"","")</f>
        <v/>
      </c>
    </row>
    <row r="207">
      <c r="A207" s="65" t="n"/>
      <c r="B207" s="66" t="n"/>
      <c r="C207" s="67" t="str">
        <f>IF(B207="","",IFERROR(INDEX(eq_des,MATCH(B207,eq_code,0))&amp;"","Équipement inconnu"))</f>
        <v/>
      </c>
      <c r="D207" s="66" t="n"/>
      <c r="E207" s="68" t="n"/>
      <c r="F207" s="69" t="n"/>
      <c r="G207" s="70" t="n"/>
      <c r="H207" s="71" t="n"/>
      <c r="I207" s="66" t="n"/>
      <c r="J207" s="72" t="n"/>
      <c r="K207" s="73" t="n"/>
      <c r="L207" s="68" t="n"/>
      <c r="M207" s="74" t="str">
        <f>IF(AND(A207="",B207="",D207=""),"",MAX(N(J207),IF(A207="",0,SUMPRODUCT(MAX((in_plan=A207)*in_prev*in_dnum)))))</f>
        <v/>
      </c>
      <c r="N207" s="75" t="str">
        <f>IF(AND(A207="",B207="",D207=""),"",MAX(N(K207),IF(A207="",0,SUMPRODUCT(MAX((in_plan=A207)*in_prev*in_cnum)))))</f>
        <v/>
      </c>
      <c r="O207" s="76" t="str">
        <f>IF(AND(OR(E207="Calendrier",E207="Au premier des deux"),N(F207)&gt;0,IF(N(M207)&gt;0,M207,IFERROR(N(INDEX(eq_start,MATCH(B207,eq_code,0))),0))&gt;0),IF(N(M207)&gt;0,M207,IFERROR(N(INDEX(eq_start,MATCH(B207,eq_code,0))),0))+F207,"")</f>
        <v/>
      </c>
      <c r="P207" s="75" t="str">
        <f>IF(AND(OR(E207="Compteur",E207="Au premier des deux"),N(G207)&gt;0),N(N207)+G207,"")</f>
        <v/>
      </c>
      <c r="Q207" s="75" t="str">
        <f>IF(B207="","",IFERROR(N(INDEX(eq_cnt,MATCH(B207,eq_code,0))),""))</f>
        <v/>
      </c>
      <c r="R207" s="77" t="str">
        <f>IF(ISNUMBER(O207),O207-p_today,"")</f>
        <v/>
      </c>
      <c r="S207" s="78" t="str">
        <f>IF(AND(ISNUMBER(P207),N(Q207)&gt;0),P207-Q207,"")</f>
        <v/>
      </c>
      <c r="T207" s="76" t="str">
        <f>IF(AND(ISNUMBER(O207),ISNUMBER(X207)),MIN(O207,X207),IF(ISNUMBER(O207),O207,X207))</f>
        <v/>
      </c>
      <c r="U207" s="79" t="str">
        <f>IF(AND(A207="",B207="",D207=""),"",IF(L207="Non","Inactif",IF(AND(NOT(ISNUMBER(R207)),NOT(ISNUMBER(S207))),"À compléter",IF(OR(AND(ISNUMBER(R207),N(R207)&lt;0),AND(ISNUMBER(S207),N(S207)&lt;0)),"En retard",IF(OR(AND(ISNUMBER(R207),N(R207)&lt;=p_soon),AND(ISNUMBER(S207),N(S207)&lt;=p_soon_pct*N(G207))),"Bientôt","À jour")))))</f>
        <v/>
      </c>
      <c r="V207" s="79" t="str">
        <f>IF(AND(A207="",B207="",D207=""),"",IF(A207="","N° de plan manquant",IF(COUNTIF($A$6:$A$505,A207)&gt;1,"N° de plan en double",IF(B207="","Équipement manquant",IF(ISNA(MATCH(B207,eq_code,0)),"Équipement inconnu",IF(D207="","Tâche manquante",IF(E207="","Déclenchement manquant",IF(AND(E207&lt;&gt;"Calendrier",E207&lt;&gt;"Compteur",E207&lt;&gt;"Au premier des deux"),"Déclenchement inconnu",IF(AND(E207&lt;&gt;"Compteur",OR(NOT(ISNUMBER(F207)),N(F207)&lt;=0)),"Périodicité en jours manquante",IF(AND(E207&lt;&gt;"Calendrier",OR(NOT(ISNUMBER(G207)),N(G207)&lt;=0)),"Périodicité compteur manquante",IF(AND(J207&lt;&gt;"",OR(NOT(ISNUMBER(J207)),N(J207)&lt;=0)),"Date de réalisation invalide",IF(AND(K207&lt;&gt;"",OR(NOT(ISNUMBER(K207)),N(K207)&lt;0)),"Compteur de réalisation invalide",IF(AND(E207&lt;&gt;"Compteur",N(M207)=0,IFERROR(N(INDEX(eq_start,MATCH(B207,eq_code,0))),0)=0),"Date de départ manquante",IF(AND(E207&lt;&gt;"Calendrier",K207="",N(N207)=0),"Compteur de départ manquant",IF(AND(E207&lt;&gt;"Calendrier",N(Q207)=0),"Relevé compteur manquant (Équipements)",IF(AND(I207&lt;&gt;"",ISNA(MATCH(I207,tech_name,0))),"Technicien inconnu",IF(AND(L207&lt;&gt;"",L207&lt;&gt;"Oui",L207&lt;&gt;"Non"),"Actif : Oui ou Non","OK")))))))))))))))))</f>
        <v/>
      </c>
      <c r="W207" s="67">
        <f>IFERROR(N(INDEX(eq_use,MATCH(B207,eq_code,0))),0)</f>
        <v>0.0</v>
      </c>
      <c r="X207" s="67" t="str">
        <f>IF(AND(ISNUMBER(S207),W207&gt;0),p_today+MAX(0,ROUNDUP(S207*7/W207,0)),"")</f>
        <v/>
      </c>
      <c r="Y207" s="67" t="str">
        <f>IF(AND(ISNUMBER(T207),OR(U207="En retard",U207="Bientôt",U207="À jour")),IF(AND(ISNUMBER(O207),ISNUMBER(X207)),MIN(F207,G207*7/W207),IF(ISNUMBER(O207),F207,G207*7/W207)),"")</f>
        <v/>
      </c>
      <c r="Z207" s="67" t="str">
        <f>IF(OR(U207="En retard",U207="Bientôt"),IF(U207="En retard",0,1)*1000000000+IF(AB207="A",0,IF(AB207="B",1,IF(AB207="C",2,3)))*100000000+IF(ISNUMBER(T207),T207,p_today)*1000+ROW()-5,"")</f>
        <v/>
      </c>
      <c r="AA207" s="67" t="str">
        <f>IF(Z207="","",COUNTIF($Z$6:$Z$505,"&lt;"&amp;Z207)+1)</f>
        <v/>
      </c>
      <c r="AB207" s="67" t="str">
        <f>IFERROR(INDEX(eq_crit,MATCH(B207,eq_code,0))&amp;"","")</f>
        <v/>
      </c>
    </row>
    <row r="208">
      <c r="A208" s="65" t="n"/>
      <c r="B208" s="66" t="n"/>
      <c r="C208" s="67" t="str">
        <f>IF(B208="","",IFERROR(INDEX(eq_des,MATCH(B208,eq_code,0))&amp;"","Équipement inconnu"))</f>
        <v/>
      </c>
      <c r="D208" s="66" t="n"/>
      <c r="E208" s="68" t="n"/>
      <c r="F208" s="69" t="n"/>
      <c r="G208" s="70" t="n"/>
      <c r="H208" s="71" t="n"/>
      <c r="I208" s="66" t="n"/>
      <c r="J208" s="72" t="n"/>
      <c r="K208" s="73" t="n"/>
      <c r="L208" s="68" t="n"/>
      <c r="M208" s="74" t="str">
        <f>IF(AND(A208="",B208="",D208=""),"",MAX(N(J208),IF(A208="",0,SUMPRODUCT(MAX((in_plan=A208)*in_prev*in_dnum)))))</f>
        <v/>
      </c>
      <c r="N208" s="75" t="str">
        <f>IF(AND(A208="",B208="",D208=""),"",MAX(N(K208),IF(A208="",0,SUMPRODUCT(MAX((in_plan=A208)*in_prev*in_cnum)))))</f>
        <v/>
      </c>
      <c r="O208" s="76" t="str">
        <f>IF(AND(OR(E208="Calendrier",E208="Au premier des deux"),N(F208)&gt;0,IF(N(M208)&gt;0,M208,IFERROR(N(INDEX(eq_start,MATCH(B208,eq_code,0))),0))&gt;0),IF(N(M208)&gt;0,M208,IFERROR(N(INDEX(eq_start,MATCH(B208,eq_code,0))),0))+F208,"")</f>
        <v/>
      </c>
      <c r="P208" s="75" t="str">
        <f>IF(AND(OR(E208="Compteur",E208="Au premier des deux"),N(G208)&gt;0),N(N208)+G208,"")</f>
        <v/>
      </c>
      <c r="Q208" s="75" t="str">
        <f>IF(B208="","",IFERROR(N(INDEX(eq_cnt,MATCH(B208,eq_code,0))),""))</f>
        <v/>
      </c>
      <c r="R208" s="77" t="str">
        <f>IF(ISNUMBER(O208),O208-p_today,"")</f>
        <v/>
      </c>
      <c r="S208" s="78" t="str">
        <f>IF(AND(ISNUMBER(P208),N(Q208)&gt;0),P208-Q208,"")</f>
        <v/>
      </c>
      <c r="T208" s="76" t="str">
        <f>IF(AND(ISNUMBER(O208),ISNUMBER(X208)),MIN(O208,X208),IF(ISNUMBER(O208),O208,X208))</f>
        <v/>
      </c>
      <c r="U208" s="79" t="str">
        <f>IF(AND(A208="",B208="",D208=""),"",IF(L208="Non","Inactif",IF(AND(NOT(ISNUMBER(R208)),NOT(ISNUMBER(S208))),"À compléter",IF(OR(AND(ISNUMBER(R208),N(R208)&lt;0),AND(ISNUMBER(S208),N(S208)&lt;0)),"En retard",IF(OR(AND(ISNUMBER(R208),N(R208)&lt;=p_soon),AND(ISNUMBER(S208),N(S208)&lt;=p_soon_pct*N(G208))),"Bientôt","À jour")))))</f>
        <v/>
      </c>
      <c r="V208" s="79" t="str">
        <f>IF(AND(A208="",B208="",D208=""),"",IF(A208="","N° de plan manquant",IF(COUNTIF($A$6:$A$505,A208)&gt;1,"N° de plan en double",IF(B208="","Équipement manquant",IF(ISNA(MATCH(B208,eq_code,0)),"Équipement inconnu",IF(D208="","Tâche manquante",IF(E208="","Déclenchement manquant",IF(AND(E208&lt;&gt;"Calendrier",E208&lt;&gt;"Compteur",E208&lt;&gt;"Au premier des deux"),"Déclenchement inconnu",IF(AND(E208&lt;&gt;"Compteur",OR(NOT(ISNUMBER(F208)),N(F208)&lt;=0)),"Périodicité en jours manquante",IF(AND(E208&lt;&gt;"Calendrier",OR(NOT(ISNUMBER(G208)),N(G208)&lt;=0)),"Périodicité compteur manquante",IF(AND(J208&lt;&gt;"",OR(NOT(ISNUMBER(J208)),N(J208)&lt;=0)),"Date de réalisation invalide",IF(AND(K208&lt;&gt;"",OR(NOT(ISNUMBER(K208)),N(K208)&lt;0)),"Compteur de réalisation invalide",IF(AND(E208&lt;&gt;"Compteur",N(M208)=0,IFERROR(N(INDEX(eq_start,MATCH(B208,eq_code,0))),0)=0),"Date de départ manquante",IF(AND(E208&lt;&gt;"Calendrier",K208="",N(N208)=0),"Compteur de départ manquant",IF(AND(E208&lt;&gt;"Calendrier",N(Q208)=0),"Relevé compteur manquant (Équipements)",IF(AND(I208&lt;&gt;"",ISNA(MATCH(I208,tech_name,0))),"Technicien inconnu",IF(AND(L208&lt;&gt;"",L208&lt;&gt;"Oui",L208&lt;&gt;"Non"),"Actif : Oui ou Non","OK")))))))))))))))))</f>
        <v/>
      </c>
      <c r="W208" s="67">
        <f>IFERROR(N(INDEX(eq_use,MATCH(B208,eq_code,0))),0)</f>
        <v>0.0</v>
      </c>
      <c r="X208" s="67" t="str">
        <f>IF(AND(ISNUMBER(S208),W208&gt;0),p_today+MAX(0,ROUNDUP(S208*7/W208,0)),"")</f>
        <v/>
      </c>
      <c r="Y208" s="67" t="str">
        <f>IF(AND(ISNUMBER(T208),OR(U208="En retard",U208="Bientôt",U208="À jour")),IF(AND(ISNUMBER(O208),ISNUMBER(X208)),MIN(F208,G208*7/W208),IF(ISNUMBER(O208),F208,G208*7/W208)),"")</f>
        <v/>
      </c>
      <c r="Z208" s="67" t="str">
        <f>IF(OR(U208="En retard",U208="Bientôt"),IF(U208="En retard",0,1)*1000000000+IF(AB208="A",0,IF(AB208="B",1,IF(AB208="C",2,3)))*100000000+IF(ISNUMBER(T208),T208,p_today)*1000+ROW()-5,"")</f>
        <v/>
      </c>
      <c r="AA208" s="67" t="str">
        <f>IF(Z208="","",COUNTIF($Z$6:$Z$505,"&lt;"&amp;Z208)+1)</f>
        <v/>
      </c>
      <c r="AB208" s="67" t="str">
        <f>IFERROR(INDEX(eq_crit,MATCH(B208,eq_code,0))&amp;"","")</f>
        <v/>
      </c>
    </row>
    <row r="209">
      <c r="A209" s="65" t="n"/>
      <c r="B209" s="66" t="n"/>
      <c r="C209" s="67" t="str">
        <f>IF(B209="","",IFERROR(INDEX(eq_des,MATCH(B209,eq_code,0))&amp;"","Équipement inconnu"))</f>
        <v/>
      </c>
      <c r="D209" s="66" t="n"/>
      <c r="E209" s="68" t="n"/>
      <c r="F209" s="69" t="n"/>
      <c r="G209" s="70" t="n"/>
      <c r="H209" s="71" t="n"/>
      <c r="I209" s="66" t="n"/>
      <c r="J209" s="72" t="n"/>
      <c r="K209" s="73" t="n"/>
      <c r="L209" s="68" t="n"/>
      <c r="M209" s="74" t="str">
        <f>IF(AND(A209="",B209="",D209=""),"",MAX(N(J209),IF(A209="",0,SUMPRODUCT(MAX((in_plan=A209)*in_prev*in_dnum)))))</f>
        <v/>
      </c>
      <c r="N209" s="75" t="str">
        <f>IF(AND(A209="",B209="",D209=""),"",MAX(N(K209),IF(A209="",0,SUMPRODUCT(MAX((in_plan=A209)*in_prev*in_cnum)))))</f>
        <v/>
      </c>
      <c r="O209" s="76" t="str">
        <f>IF(AND(OR(E209="Calendrier",E209="Au premier des deux"),N(F209)&gt;0,IF(N(M209)&gt;0,M209,IFERROR(N(INDEX(eq_start,MATCH(B209,eq_code,0))),0))&gt;0),IF(N(M209)&gt;0,M209,IFERROR(N(INDEX(eq_start,MATCH(B209,eq_code,0))),0))+F209,"")</f>
        <v/>
      </c>
      <c r="P209" s="75" t="str">
        <f>IF(AND(OR(E209="Compteur",E209="Au premier des deux"),N(G209)&gt;0),N(N209)+G209,"")</f>
        <v/>
      </c>
      <c r="Q209" s="75" t="str">
        <f>IF(B209="","",IFERROR(N(INDEX(eq_cnt,MATCH(B209,eq_code,0))),""))</f>
        <v/>
      </c>
      <c r="R209" s="77" t="str">
        <f>IF(ISNUMBER(O209),O209-p_today,"")</f>
        <v/>
      </c>
      <c r="S209" s="78" t="str">
        <f>IF(AND(ISNUMBER(P209),N(Q209)&gt;0),P209-Q209,"")</f>
        <v/>
      </c>
      <c r="T209" s="76" t="str">
        <f>IF(AND(ISNUMBER(O209),ISNUMBER(X209)),MIN(O209,X209),IF(ISNUMBER(O209),O209,X209))</f>
        <v/>
      </c>
      <c r="U209" s="79" t="str">
        <f>IF(AND(A209="",B209="",D209=""),"",IF(L209="Non","Inactif",IF(AND(NOT(ISNUMBER(R209)),NOT(ISNUMBER(S209))),"À compléter",IF(OR(AND(ISNUMBER(R209),N(R209)&lt;0),AND(ISNUMBER(S209),N(S209)&lt;0)),"En retard",IF(OR(AND(ISNUMBER(R209),N(R209)&lt;=p_soon),AND(ISNUMBER(S209),N(S209)&lt;=p_soon_pct*N(G209))),"Bientôt","À jour")))))</f>
        <v/>
      </c>
      <c r="V209" s="79" t="str">
        <f>IF(AND(A209="",B209="",D209=""),"",IF(A209="","N° de plan manquant",IF(COUNTIF($A$6:$A$505,A209)&gt;1,"N° de plan en double",IF(B209="","Équipement manquant",IF(ISNA(MATCH(B209,eq_code,0)),"Équipement inconnu",IF(D209="","Tâche manquante",IF(E209="","Déclenchement manquant",IF(AND(E209&lt;&gt;"Calendrier",E209&lt;&gt;"Compteur",E209&lt;&gt;"Au premier des deux"),"Déclenchement inconnu",IF(AND(E209&lt;&gt;"Compteur",OR(NOT(ISNUMBER(F209)),N(F209)&lt;=0)),"Périodicité en jours manquante",IF(AND(E209&lt;&gt;"Calendrier",OR(NOT(ISNUMBER(G209)),N(G209)&lt;=0)),"Périodicité compteur manquante",IF(AND(J209&lt;&gt;"",OR(NOT(ISNUMBER(J209)),N(J209)&lt;=0)),"Date de réalisation invalide",IF(AND(K209&lt;&gt;"",OR(NOT(ISNUMBER(K209)),N(K209)&lt;0)),"Compteur de réalisation invalide",IF(AND(E209&lt;&gt;"Compteur",N(M209)=0,IFERROR(N(INDEX(eq_start,MATCH(B209,eq_code,0))),0)=0),"Date de départ manquante",IF(AND(E209&lt;&gt;"Calendrier",K209="",N(N209)=0),"Compteur de départ manquant",IF(AND(E209&lt;&gt;"Calendrier",N(Q209)=0),"Relevé compteur manquant (Équipements)",IF(AND(I209&lt;&gt;"",ISNA(MATCH(I209,tech_name,0))),"Technicien inconnu",IF(AND(L209&lt;&gt;"",L209&lt;&gt;"Oui",L209&lt;&gt;"Non"),"Actif : Oui ou Non","OK")))))))))))))))))</f>
        <v/>
      </c>
      <c r="W209" s="67">
        <f>IFERROR(N(INDEX(eq_use,MATCH(B209,eq_code,0))),0)</f>
        <v>0.0</v>
      </c>
      <c r="X209" s="67" t="str">
        <f>IF(AND(ISNUMBER(S209),W209&gt;0),p_today+MAX(0,ROUNDUP(S209*7/W209,0)),"")</f>
        <v/>
      </c>
      <c r="Y209" s="67" t="str">
        <f>IF(AND(ISNUMBER(T209),OR(U209="En retard",U209="Bientôt",U209="À jour")),IF(AND(ISNUMBER(O209),ISNUMBER(X209)),MIN(F209,G209*7/W209),IF(ISNUMBER(O209),F209,G209*7/W209)),"")</f>
        <v/>
      </c>
      <c r="Z209" s="67" t="str">
        <f>IF(OR(U209="En retard",U209="Bientôt"),IF(U209="En retard",0,1)*1000000000+IF(AB209="A",0,IF(AB209="B",1,IF(AB209="C",2,3)))*100000000+IF(ISNUMBER(T209),T209,p_today)*1000+ROW()-5,"")</f>
        <v/>
      </c>
      <c r="AA209" s="67" t="str">
        <f>IF(Z209="","",COUNTIF($Z$6:$Z$505,"&lt;"&amp;Z209)+1)</f>
        <v/>
      </c>
      <c r="AB209" s="67" t="str">
        <f>IFERROR(INDEX(eq_crit,MATCH(B209,eq_code,0))&amp;"","")</f>
        <v/>
      </c>
    </row>
    <row r="210">
      <c r="A210" s="65" t="n"/>
      <c r="B210" s="66" t="n"/>
      <c r="C210" s="67" t="str">
        <f>IF(B210="","",IFERROR(INDEX(eq_des,MATCH(B210,eq_code,0))&amp;"","Équipement inconnu"))</f>
        <v/>
      </c>
      <c r="D210" s="66" t="n"/>
      <c r="E210" s="68" t="n"/>
      <c r="F210" s="69" t="n"/>
      <c r="G210" s="70" t="n"/>
      <c r="H210" s="71" t="n"/>
      <c r="I210" s="66" t="n"/>
      <c r="J210" s="72" t="n"/>
      <c r="K210" s="73" t="n"/>
      <c r="L210" s="68" t="n"/>
      <c r="M210" s="74" t="str">
        <f>IF(AND(A210="",B210="",D210=""),"",MAX(N(J210),IF(A210="",0,SUMPRODUCT(MAX((in_plan=A210)*in_prev*in_dnum)))))</f>
        <v/>
      </c>
      <c r="N210" s="75" t="str">
        <f>IF(AND(A210="",B210="",D210=""),"",MAX(N(K210),IF(A210="",0,SUMPRODUCT(MAX((in_plan=A210)*in_prev*in_cnum)))))</f>
        <v/>
      </c>
      <c r="O210" s="76" t="str">
        <f>IF(AND(OR(E210="Calendrier",E210="Au premier des deux"),N(F210)&gt;0,IF(N(M210)&gt;0,M210,IFERROR(N(INDEX(eq_start,MATCH(B210,eq_code,0))),0))&gt;0),IF(N(M210)&gt;0,M210,IFERROR(N(INDEX(eq_start,MATCH(B210,eq_code,0))),0))+F210,"")</f>
        <v/>
      </c>
      <c r="P210" s="75" t="str">
        <f>IF(AND(OR(E210="Compteur",E210="Au premier des deux"),N(G210)&gt;0),N(N210)+G210,"")</f>
        <v/>
      </c>
      <c r="Q210" s="75" t="str">
        <f>IF(B210="","",IFERROR(N(INDEX(eq_cnt,MATCH(B210,eq_code,0))),""))</f>
        <v/>
      </c>
      <c r="R210" s="77" t="str">
        <f>IF(ISNUMBER(O210),O210-p_today,"")</f>
        <v/>
      </c>
      <c r="S210" s="78" t="str">
        <f>IF(AND(ISNUMBER(P210),N(Q210)&gt;0),P210-Q210,"")</f>
        <v/>
      </c>
      <c r="T210" s="76" t="str">
        <f>IF(AND(ISNUMBER(O210),ISNUMBER(X210)),MIN(O210,X210),IF(ISNUMBER(O210),O210,X210))</f>
        <v/>
      </c>
      <c r="U210" s="79" t="str">
        <f>IF(AND(A210="",B210="",D210=""),"",IF(L210="Non","Inactif",IF(AND(NOT(ISNUMBER(R210)),NOT(ISNUMBER(S210))),"À compléter",IF(OR(AND(ISNUMBER(R210),N(R210)&lt;0),AND(ISNUMBER(S210),N(S210)&lt;0)),"En retard",IF(OR(AND(ISNUMBER(R210),N(R210)&lt;=p_soon),AND(ISNUMBER(S210),N(S210)&lt;=p_soon_pct*N(G210))),"Bientôt","À jour")))))</f>
        <v/>
      </c>
      <c r="V210" s="79" t="str">
        <f>IF(AND(A210="",B210="",D210=""),"",IF(A210="","N° de plan manquant",IF(COUNTIF($A$6:$A$505,A210)&gt;1,"N° de plan en double",IF(B210="","Équipement manquant",IF(ISNA(MATCH(B210,eq_code,0)),"Équipement inconnu",IF(D210="","Tâche manquante",IF(E210="","Déclenchement manquant",IF(AND(E210&lt;&gt;"Calendrier",E210&lt;&gt;"Compteur",E210&lt;&gt;"Au premier des deux"),"Déclenchement inconnu",IF(AND(E210&lt;&gt;"Compteur",OR(NOT(ISNUMBER(F210)),N(F210)&lt;=0)),"Périodicité en jours manquante",IF(AND(E210&lt;&gt;"Calendrier",OR(NOT(ISNUMBER(G210)),N(G210)&lt;=0)),"Périodicité compteur manquante",IF(AND(J210&lt;&gt;"",OR(NOT(ISNUMBER(J210)),N(J210)&lt;=0)),"Date de réalisation invalide",IF(AND(K210&lt;&gt;"",OR(NOT(ISNUMBER(K210)),N(K210)&lt;0)),"Compteur de réalisation invalide",IF(AND(E210&lt;&gt;"Compteur",N(M210)=0,IFERROR(N(INDEX(eq_start,MATCH(B210,eq_code,0))),0)=0),"Date de départ manquante",IF(AND(E210&lt;&gt;"Calendrier",K210="",N(N210)=0),"Compteur de départ manquant",IF(AND(E210&lt;&gt;"Calendrier",N(Q210)=0),"Relevé compteur manquant (Équipements)",IF(AND(I210&lt;&gt;"",ISNA(MATCH(I210,tech_name,0))),"Technicien inconnu",IF(AND(L210&lt;&gt;"",L210&lt;&gt;"Oui",L210&lt;&gt;"Non"),"Actif : Oui ou Non","OK")))))))))))))))))</f>
        <v/>
      </c>
      <c r="W210" s="67">
        <f>IFERROR(N(INDEX(eq_use,MATCH(B210,eq_code,0))),0)</f>
        <v>0.0</v>
      </c>
      <c r="X210" s="67" t="str">
        <f>IF(AND(ISNUMBER(S210),W210&gt;0),p_today+MAX(0,ROUNDUP(S210*7/W210,0)),"")</f>
        <v/>
      </c>
      <c r="Y210" s="67" t="str">
        <f>IF(AND(ISNUMBER(T210),OR(U210="En retard",U210="Bientôt",U210="À jour")),IF(AND(ISNUMBER(O210),ISNUMBER(X210)),MIN(F210,G210*7/W210),IF(ISNUMBER(O210),F210,G210*7/W210)),"")</f>
        <v/>
      </c>
      <c r="Z210" s="67" t="str">
        <f>IF(OR(U210="En retard",U210="Bientôt"),IF(U210="En retard",0,1)*1000000000+IF(AB210="A",0,IF(AB210="B",1,IF(AB210="C",2,3)))*100000000+IF(ISNUMBER(T210),T210,p_today)*1000+ROW()-5,"")</f>
        <v/>
      </c>
      <c r="AA210" s="67" t="str">
        <f>IF(Z210="","",COUNTIF($Z$6:$Z$505,"&lt;"&amp;Z210)+1)</f>
        <v/>
      </c>
      <c r="AB210" s="67" t="str">
        <f>IFERROR(INDEX(eq_crit,MATCH(B210,eq_code,0))&amp;"","")</f>
        <v/>
      </c>
    </row>
    <row r="211">
      <c r="A211" s="65" t="n"/>
      <c r="B211" s="66" t="n"/>
      <c r="C211" s="67" t="str">
        <f>IF(B211="","",IFERROR(INDEX(eq_des,MATCH(B211,eq_code,0))&amp;"","Équipement inconnu"))</f>
        <v/>
      </c>
      <c r="D211" s="66" t="n"/>
      <c r="E211" s="68" t="n"/>
      <c r="F211" s="69" t="n"/>
      <c r="G211" s="70" t="n"/>
      <c r="H211" s="71" t="n"/>
      <c r="I211" s="66" t="n"/>
      <c r="J211" s="72" t="n"/>
      <c r="K211" s="73" t="n"/>
      <c r="L211" s="68" t="n"/>
      <c r="M211" s="74" t="str">
        <f>IF(AND(A211="",B211="",D211=""),"",MAX(N(J211),IF(A211="",0,SUMPRODUCT(MAX((in_plan=A211)*in_prev*in_dnum)))))</f>
        <v/>
      </c>
      <c r="N211" s="75" t="str">
        <f>IF(AND(A211="",B211="",D211=""),"",MAX(N(K211),IF(A211="",0,SUMPRODUCT(MAX((in_plan=A211)*in_prev*in_cnum)))))</f>
        <v/>
      </c>
      <c r="O211" s="76" t="str">
        <f>IF(AND(OR(E211="Calendrier",E211="Au premier des deux"),N(F211)&gt;0,IF(N(M211)&gt;0,M211,IFERROR(N(INDEX(eq_start,MATCH(B211,eq_code,0))),0))&gt;0),IF(N(M211)&gt;0,M211,IFERROR(N(INDEX(eq_start,MATCH(B211,eq_code,0))),0))+F211,"")</f>
        <v/>
      </c>
      <c r="P211" s="75" t="str">
        <f>IF(AND(OR(E211="Compteur",E211="Au premier des deux"),N(G211)&gt;0),N(N211)+G211,"")</f>
        <v/>
      </c>
      <c r="Q211" s="75" t="str">
        <f>IF(B211="","",IFERROR(N(INDEX(eq_cnt,MATCH(B211,eq_code,0))),""))</f>
        <v/>
      </c>
      <c r="R211" s="77" t="str">
        <f>IF(ISNUMBER(O211),O211-p_today,"")</f>
        <v/>
      </c>
      <c r="S211" s="78" t="str">
        <f>IF(AND(ISNUMBER(P211),N(Q211)&gt;0),P211-Q211,"")</f>
        <v/>
      </c>
      <c r="T211" s="76" t="str">
        <f>IF(AND(ISNUMBER(O211),ISNUMBER(X211)),MIN(O211,X211),IF(ISNUMBER(O211),O211,X211))</f>
        <v/>
      </c>
      <c r="U211" s="79" t="str">
        <f>IF(AND(A211="",B211="",D211=""),"",IF(L211="Non","Inactif",IF(AND(NOT(ISNUMBER(R211)),NOT(ISNUMBER(S211))),"À compléter",IF(OR(AND(ISNUMBER(R211),N(R211)&lt;0),AND(ISNUMBER(S211),N(S211)&lt;0)),"En retard",IF(OR(AND(ISNUMBER(R211),N(R211)&lt;=p_soon),AND(ISNUMBER(S211),N(S211)&lt;=p_soon_pct*N(G211))),"Bientôt","À jour")))))</f>
        <v/>
      </c>
      <c r="V211" s="79" t="str">
        <f>IF(AND(A211="",B211="",D211=""),"",IF(A211="","N° de plan manquant",IF(COUNTIF($A$6:$A$505,A211)&gt;1,"N° de plan en double",IF(B211="","Équipement manquant",IF(ISNA(MATCH(B211,eq_code,0)),"Équipement inconnu",IF(D211="","Tâche manquante",IF(E211="","Déclenchement manquant",IF(AND(E211&lt;&gt;"Calendrier",E211&lt;&gt;"Compteur",E211&lt;&gt;"Au premier des deux"),"Déclenchement inconnu",IF(AND(E211&lt;&gt;"Compteur",OR(NOT(ISNUMBER(F211)),N(F211)&lt;=0)),"Périodicité en jours manquante",IF(AND(E211&lt;&gt;"Calendrier",OR(NOT(ISNUMBER(G211)),N(G211)&lt;=0)),"Périodicité compteur manquante",IF(AND(J211&lt;&gt;"",OR(NOT(ISNUMBER(J211)),N(J211)&lt;=0)),"Date de réalisation invalide",IF(AND(K211&lt;&gt;"",OR(NOT(ISNUMBER(K211)),N(K211)&lt;0)),"Compteur de réalisation invalide",IF(AND(E211&lt;&gt;"Compteur",N(M211)=0,IFERROR(N(INDEX(eq_start,MATCH(B211,eq_code,0))),0)=0),"Date de départ manquante",IF(AND(E211&lt;&gt;"Calendrier",K211="",N(N211)=0),"Compteur de départ manquant",IF(AND(E211&lt;&gt;"Calendrier",N(Q211)=0),"Relevé compteur manquant (Équipements)",IF(AND(I211&lt;&gt;"",ISNA(MATCH(I211,tech_name,0))),"Technicien inconnu",IF(AND(L211&lt;&gt;"",L211&lt;&gt;"Oui",L211&lt;&gt;"Non"),"Actif : Oui ou Non","OK")))))))))))))))))</f>
        <v/>
      </c>
      <c r="W211" s="67">
        <f>IFERROR(N(INDEX(eq_use,MATCH(B211,eq_code,0))),0)</f>
        <v>0.0</v>
      </c>
      <c r="X211" s="67" t="str">
        <f>IF(AND(ISNUMBER(S211),W211&gt;0),p_today+MAX(0,ROUNDUP(S211*7/W211,0)),"")</f>
        <v/>
      </c>
      <c r="Y211" s="67" t="str">
        <f>IF(AND(ISNUMBER(T211),OR(U211="En retard",U211="Bientôt",U211="À jour")),IF(AND(ISNUMBER(O211),ISNUMBER(X211)),MIN(F211,G211*7/W211),IF(ISNUMBER(O211),F211,G211*7/W211)),"")</f>
        <v/>
      </c>
      <c r="Z211" s="67" t="str">
        <f>IF(OR(U211="En retard",U211="Bientôt"),IF(U211="En retard",0,1)*1000000000+IF(AB211="A",0,IF(AB211="B",1,IF(AB211="C",2,3)))*100000000+IF(ISNUMBER(T211),T211,p_today)*1000+ROW()-5,"")</f>
        <v/>
      </c>
      <c r="AA211" s="67" t="str">
        <f>IF(Z211="","",COUNTIF($Z$6:$Z$505,"&lt;"&amp;Z211)+1)</f>
        <v/>
      </c>
      <c r="AB211" s="67" t="str">
        <f>IFERROR(INDEX(eq_crit,MATCH(B211,eq_code,0))&amp;"","")</f>
        <v/>
      </c>
    </row>
    <row r="212">
      <c r="A212" s="65" t="n"/>
      <c r="B212" s="66" t="n"/>
      <c r="C212" s="67" t="str">
        <f>IF(B212="","",IFERROR(INDEX(eq_des,MATCH(B212,eq_code,0))&amp;"","Équipement inconnu"))</f>
        <v/>
      </c>
      <c r="D212" s="66" t="n"/>
      <c r="E212" s="68" t="n"/>
      <c r="F212" s="69" t="n"/>
      <c r="G212" s="70" t="n"/>
      <c r="H212" s="71" t="n"/>
      <c r="I212" s="66" t="n"/>
      <c r="J212" s="72" t="n"/>
      <c r="K212" s="73" t="n"/>
      <c r="L212" s="68" t="n"/>
      <c r="M212" s="74" t="str">
        <f>IF(AND(A212="",B212="",D212=""),"",MAX(N(J212),IF(A212="",0,SUMPRODUCT(MAX((in_plan=A212)*in_prev*in_dnum)))))</f>
        <v/>
      </c>
      <c r="N212" s="75" t="str">
        <f>IF(AND(A212="",B212="",D212=""),"",MAX(N(K212),IF(A212="",0,SUMPRODUCT(MAX((in_plan=A212)*in_prev*in_cnum)))))</f>
        <v/>
      </c>
      <c r="O212" s="76" t="str">
        <f>IF(AND(OR(E212="Calendrier",E212="Au premier des deux"),N(F212)&gt;0,IF(N(M212)&gt;0,M212,IFERROR(N(INDEX(eq_start,MATCH(B212,eq_code,0))),0))&gt;0),IF(N(M212)&gt;0,M212,IFERROR(N(INDEX(eq_start,MATCH(B212,eq_code,0))),0))+F212,"")</f>
        <v/>
      </c>
      <c r="P212" s="75" t="str">
        <f>IF(AND(OR(E212="Compteur",E212="Au premier des deux"),N(G212)&gt;0),N(N212)+G212,"")</f>
        <v/>
      </c>
      <c r="Q212" s="75" t="str">
        <f>IF(B212="","",IFERROR(N(INDEX(eq_cnt,MATCH(B212,eq_code,0))),""))</f>
        <v/>
      </c>
      <c r="R212" s="77" t="str">
        <f>IF(ISNUMBER(O212),O212-p_today,"")</f>
        <v/>
      </c>
      <c r="S212" s="78" t="str">
        <f>IF(AND(ISNUMBER(P212),N(Q212)&gt;0),P212-Q212,"")</f>
        <v/>
      </c>
      <c r="T212" s="76" t="str">
        <f>IF(AND(ISNUMBER(O212),ISNUMBER(X212)),MIN(O212,X212),IF(ISNUMBER(O212),O212,X212))</f>
        <v/>
      </c>
      <c r="U212" s="79" t="str">
        <f>IF(AND(A212="",B212="",D212=""),"",IF(L212="Non","Inactif",IF(AND(NOT(ISNUMBER(R212)),NOT(ISNUMBER(S212))),"À compléter",IF(OR(AND(ISNUMBER(R212),N(R212)&lt;0),AND(ISNUMBER(S212),N(S212)&lt;0)),"En retard",IF(OR(AND(ISNUMBER(R212),N(R212)&lt;=p_soon),AND(ISNUMBER(S212),N(S212)&lt;=p_soon_pct*N(G212))),"Bientôt","À jour")))))</f>
        <v/>
      </c>
      <c r="V212" s="79" t="str">
        <f>IF(AND(A212="",B212="",D212=""),"",IF(A212="","N° de plan manquant",IF(COUNTIF($A$6:$A$505,A212)&gt;1,"N° de plan en double",IF(B212="","Équipement manquant",IF(ISNA(MATCH(B212,eq_code,0)),"Équipement inconnu",IF(D212="","Tâche manquante",IF(E212="","Déclenchement manquant",IF(AND(E212&lt;&gt;"Calendrier",E212&lt;&gt;"Compteur",E212&lt;&gt;"Au premier des deux"),"Déclenchement inconnu",IF(AND(E212&lt;&gt;"Compteur",OR(NOT(ISNUMBER(F212)),N(F212)&lt;=0)),"Périodicité en jours manquante",IF(AND(E212&lt;&gt;"Calendrier",OR(NOT(ISNUMBER(G212)),N(G212)&lt;=0)),"Périodicité compteur manquante",IF(AND(J212&lt;&gt;"",OR(NOT(ISNUMBER(J212)),N(J212)&lt;=0)),"Date de réalisation invalide",IF(AND(K212&lt;&gt;"",OR(NOT(ISNUMBER(K212)),N(K212)&lt;0)),"Compteur de réalisation invalide",IF(AND(E212&lt;&gt;"Compteur",N(M212)=0,IFERROR(N(INDEX(eq_start,MATCH(B212,eq_code,0))),0)=0),"Date de départ manquante",IF(AND(E212&lt;&gt;"Calendrier",K212="",N(N212)=0),"Compteur de départ manquant",IF(AND(E212&lt;&gt;"Calendrier",N(Q212)=0),"Relevé compteur manquant (Équipements)",IF(AND(I212&lt;&gt;"",ISNA(MATCH(I212,tech_name,0))),"Technicien inconnu",IF(AND(L212&lt;&gt;"",L212&lt;&gt;"Oui",L212&lt;&gt;"Non"),"Actif : Oui ou Non","OK")))))))))))))))))</f>
        <v/>
      </c>
      <c r="W212" s="67">
        <f>IFERROR(N(INDEX(eq_use,MATCH(B212,eq_code,0))),0)</f>
        <v>0.0</v>
      </c>
      <c r="X212" s="67" t="str">
        <f>IF(AND(ISNUMBER(S212),W212&gt;0),p_today+MAX(0,ROUNDUP(S212*7/W212,0)),"")</f>
        <v/>
      </c>
      <c r="Y212" s="67" t="str">
        <f>IF(AND(ISNUMBER(T212),OR(U212="En retard",U212="Bientôt",U212="À jour")),IF(AND(ISNUMBER(O212),ISNUMBER(X212)),MIN(F212,G212*7/W212),IF(ISNUMBER(O212),F212,G212*7/W212)),"")</f>
        <v/>
      </c>
      <c r="Z212" s="67" t="str">
        <f>IF(OR(U212="En retard",U212="Bientôt"),IF(U212="En retard",0,1)*1000000000+IF(AB212="A",0,IF(AB212="B",1,IF(AB212="C",2,3)))*100000000+IF(ISNUMBER(T212),T212,p_today)*1000+ROW()-5,"")</f>
        <v/>
      </c>
      <c r="AA212" s="67" t="str">
        <f>IF(Z212="","",COUNTIF($Z$6:$Z$505,"&lt;"&amp;Z212)+1)</f>
        <v/>
      </c>
      <c r="AB212" s="67" t="str">
        <f>IFERROR(INDEX(eq_crit,MATCH(B212,eq_code,0))&amp;"","")</f>
        <v/>
      </c>
    </row>
    <row r="213">
      <c r="A213" s="65" t="n"/>
      <c r="B213" s="66" t="n"/>
      <c r="C213" s="67" t="str">
        <f>IF(B213="","",IFERROR(INDEX(eq_des,MATCH(B213,eq_code,0))&amp;"","Équipement inconnu"))</f>
        <v/>
      </c>
      <c r="D213" s="66" t="n"/>
      <c r="E213" s="68" t="n"/>
      <c r="F213" s="69" t="n"/>
      <c r="G213" s="70" t="n"/>
      <c r="H213" s="71" t="n"/>
      <c r="I213" s="66" t="n"/>
      <c r="J213" s="72" t="n"/>
      <c r="K213" s="73" t="n"/>
      <c r="L213" s="68" t="n"/>
      <c r="M213" s="74" t="str">
        <f>IF(AND(A213="",B213="",D213=""),"",MAX(N(J213),IF(A213="",0,SUMPRODUCT(MAX((in_plan=A213)*in_prev*in_dnum)))))</f>
        <v/>
      </c>
      <c r="N213" s="75" t="str">
        <f>IF(AND(A213="",B213="",D213=""),"",MAX(N(K213),IF(A213="",0,SUMPRODUCT(MAX((in_plan=A213)*in_prev*in_cnum)))))</f>
        <v/>
      </c>
      <c r="O213" s="76" t="str">
        <f>IF(AND(OR(E213="Calendrier",E213="Au premier des deux"),N(F213)&gt;0,IF(N(M213)&gt;0,M213,IFERROR(N(INDEX(eq_start,MATCH(B213,eq_code,0))),0))&gt;0),IF(N(M213)&gt;0,M213,IFERROR(N(INDEX(eq_start,MATCH(B213,eq_code,0))),0))+F213,"")</f>
        <v/>
      </c>
      <c r="P213" s="75" t="str">
        <f>IF(AND(OR(E213="Compteur",E213="Au premier des deux"),N(G213)&gt;0),N(N213)+G213,"")</f>
        <v/>
      </c>
      <c r="Q213" s="75" t="str">
        <f>IF(B213="","",IFERROR(N(INDEX(eq_cnt,MATCH(B213,eq_code,0))),""))</f>
        <v/>
      </c>
      <c r="R213" s="77" t="str">
        <f>IF(ISNUMBER(O213),O213-p_today,"")</f>
        <v/>
      </c>
      <c r="S213" s="78" t="str">
        <f>IF(AND(ISNUMBER(P213),N(Q213)&gt;0),P213-Q213,"")</f>
        <v/>
      </c>
      <c r="T213" s="76" t="str">
        <f>IF(AND(ISNUMBER(O213),ISNUMBER(X213)),MIN(O213,X213),IF(ISNUMBER(O213),O213,X213))</f>
        <v/>
      </c>
      <c r="U213" s="79" t="str">
        <f>IF(AND(A213="",B213="",D213=""),"",IF(L213="Non","Inactif",IF(AND(NOT(ISNUMBER(R213)),NOT(ISNUMBER(S213))),"À compléter",IF(OR(AND(ISNUMBER(R213),N(R213)&lt;0),AND(ISNUMBER(S213),N(S213)&lt;0)),"En retard",IF(OR(AND(ISNUMBER(R213),N(R213)&lt;=p_soon),AND(ISNUMBER(S213),N(S213)&lt;=p_soon_pct*N(G213))),"Bientôt","À jour")))))</f>
        <v/>
      </c>
      <c r="V213" s="79" t="str">
        <f>IF(AND(A213="",B213="",D213=""),"",IF(A213="","N° de plan manquant",IF(COUNTIF($A$6:$A$505,A213)&gt;1,"N° de plan en double",IF(B213="","Équipement manquant",IF(ISNA(MATCH(B213,eq_code,0)),"Équipement inconnu",IF(D213="","Tâche manquante",IF(E213="","Déclenchement manquant",IF(AND(E213&lt;&gt;"Calendrier",E213&lt;&gt;"Compteur",E213&lt;&gt;"Au premier des deux"),"Déclenchement inconnu",IF(AND(E213&lt;&gt;"Compteur",OR(NOT(ISNUMBER(F213)),N(F213)&lt;=0)),"Périodicité en jours manquante",IF(AND(E213&lt;&gt;"Calendrier",OR(NOT(ISNUMBER(G213)),N(G213)&lt;=0)),"Périodicité compteur manquante",IF(AND(J213&lt;&gt;"",OR(NOT(ISNUMBER(J213)),N(J213)&lt;=0)),"Date de réalisation invalide",IF(AND(K213&lt;&gt;"",OR(NOT(ISNUMBER(K213)),N(K213)&lt;0)),"Compteur de réalisation invalide",IF(AND(E213&lt;&gt;"Compteur",N(M213)=0,IFERROR(N(INDEX(eq_start,MATCH(B213,eq_code,0))),0)=0),"Date de départ manquante",IF(AND(E213&lt;&gt;"Calendrier",K213="",N(N213)=0),"Compteur de départ manquant",IF(AND(E213&lt;&gt;"Calendrier",N(Q213)=0),"Relevé compteur manquant (Équipements)",IF(AND(I213&lt;&gt;"",ISNA(MATCH(I213,tech_name,0))),"Technicien inconnu",IF(AND(L213&lt;&gt;"",L213&lt;&gt;"Oui",L213&lt;&gt;"Non"),"Actif : Oui ou Non","OK")))))))))))))))))</f>
        <v/>
      </c>
      <c r="W213" s="67">
        <f>IFERROR(N(INDEX(eq_use,MATCH(B213,eq_code,0))),0)</f>
        <v>0.0</v>
      </c>
      <c r="X213" s="67" t="str">
        <f>IF(AND(ISNUMBER(S213),W213&gt;0),p_today+MAX(0,ROUNDUP(S213*7/W213,0)),"")</f>
        <v/>
      </c>
      <c r="Y213" s="67" t="str">
        <f>IF(AND(ISNUMBER(T213),OR(U213="En retard",U213="Bientôt",U213="À jour")),IF(AND(ISNUMBER(O213),ISNUMBER(X213)),MIN(F213,G213*7/W213),IF(ISNUMBER(O213),F213,G213*7/W213)),"")</f>
        <v/>
      </c>
      <c r="Z213" s="67" t="str">
        <f>IF(OR(U213="En retard",U213="Bientôt"),IF(U213="En retard",0,1)*1000000000+IF(AB213="A",0,IF(AB213="B",1,IF(AB213="C",2,3)))*100000000+IF(ISNUMBER(T213),T213,p_today)*1000+ROW()-5,"")</f>
        <v/>
      </c>
      <c r="AA213" s="67" t="str">
        <f>IF(Z213="","",COUNTIF($Z$6:$Z$505,"&lt;"&amp;Z213)+1)</f>
        <v/>
      </c>
      <c r="AB213" s="67" t="str">
        <f>IFERROR(INDEX(eq_crit,MATCH(B213,eq_code,0))&amp;"","")</f>
        <v/>
      </c>
    </row>
    <row r="214">
      <c r="A214" s="65" t="n"/>
      <c r="B214" s="66" t="n"/>
      <c r="C214" s="67" t="str">
        <f>IF(B214="","",IFERROR(INDEX(eq_des,MATCH(B214,eq_code,0))&amp;"","Équipement inconnu"))</f>
        <v/>
      </c>
      <c r="D214" s="66" t="n"/>
      <c r="E214" s="68" t="n"/>
      <c r="F214" s="69" t="n"/>
      <c r="G214" s="70" t="n"/>
      <c r="H214" s="71" t="n"/>
      <c r="I214" s="66" t="n"/>
      <c r="J214" s="72" t="n"/>
      <c r="K214" s="73" t="n"/>
      <c r="L214" s="68" t="n"/>
      <c r="M214" s="74" t="str">
        <f>IF(AND(A214="",B214="",D214=""),"",MAX(N(J214),IF(A214="",0,SUMPRODUCT(MAX((in_plan=A214)*in_prev*in_dnum)))))</f>
        <v/>
      </c>
      <c r="N214" s="75" t="str">
        <f>IF(AND(A214="",B214="",D214=""),"",MAX(N(K214),IF(A214="",0,SUMPRODUCT(MAX((in_plan=A214)*in_prev*in_cnum)))))</f>
        <v/>
      </c>
      <c r="O214" s="76" t="str">
        <f>IF(AND(OR(E214="Calendrier",E214="Au premier des deux"),N(F214)&gt;0,IF(N(M214)&gt;0,M214,IFERROR(N(INDEX(eq_start,MATCH(B214,eq_code,0))),0))&gt;0),IF(N(M214)&gt;0,M214,IFERROR(N(INDEX(eq_start,MATCH(B214,eq_code,0))),0))+F214,"")</f>
        <v/>
      </c>
      <c r="P214" s="75" t="str">
        <f>IF(AND(OR(E214="Compteur",E214="Au premier des deux"),N(G214)&gt;0),N(N214)+G214,"")</f>
        <v/>
      </c>
      <c r="Q214" s="75" t="str">
        <f>IF(B214="","",IFERROR(N(INDEX(eq_cnt,MATCH(B214,eq_code,0))),""))</f>
        <v/>
      </c>
      <c r="R214" s="77" t="str">
        <f>IF(ISNUMBER(O214),O214-p_today,"")</f>
        <v/>
      </c>
      <c r="S214" s="78" t="str">
        <f>IF(AND(ISNUMBER(P214),N(Q214)&gt;0),P214-Q214,"")</f>
        <v/>
      </c>
      <c r="T214" s="76" t="str">
        <f>IF(AND(ISNUMBER(O214),ISNUMBER(X214)),MIN(O214,X214),IF(ISNUMBER(O214),O214,X214))</f>
        <v/>
      </c>
      <c r="U214" s="79" t="str">
        <f>IF(AND(A214="",B214="",D214=""),"",IF(L214="Non","Inactif",IF(AND(NOT(ISNUMBER(R214)),NOT(ISNUMBER(S214))),"À compléter",IF(OR(AND(ISNUMBER(R214),N(R214)&lt;0),AND(ISNUMBER(S214),N(S214)&lt;0)),"En retard",IF(OR(AND(ISNUMBER(R214),N(R214)&lt;=p_soon),AND(ISNUMBER(S214),N(S214)&lt;=p_soon_pct*N(G214))),"Bientôt","À jour")))))</f>
        <v/>
      </c>
      <c r="V214" s="79" t="str">
        <f>IF(AND(A214="",B214="",D214=""),"",IF(A214="","N° de plan manquant",IF(COUNTIF($A$6:$A$505,A214)&gt;1,"N° de plan en double",IF(B214="","Équipement manquant",IF(ISNA(MATCH(B214,eq_code,0)),"Équipement inconnu",IF(D214="","Tâche manquante",IF(E214="","Déclenchement manquant",IF(AND(E214&lt;&gt;"Calendrier",E214&lt;&gt;"Compteur",E214&lt;&gt;"Au premier des deux"),"Déclenchement inconnu",IF(AND(E214&lt;&gt;"Compteur",OR(NOT(ISNUMBER(F214)),N(F214)&lt;=0)),"Périodicité en jours manquante",IF(AND(E214&lt;&gt;"Calendrier",OR(NOT(ISNUMBER(G214)),N(G214)&lt;=0)),"Périodicité compteur manquante",IF(AND(J214&lt;&gt;"",OR(NOT(ISNUMBER(J214)),N(J214)&lt;=0)),"Date de réalisation invalide",IF(AND(K214&lt;&gt;"",OR(NOT(ISNUMBER(K214)),N(K214)&lt;0)),"Compteur de réalisation invalide",IF(AND(E214&lt;&gt;"Compteur",N(M214)=0,IFERROR(N(INDEX(eq_start,MATCH(B214,eq_code,0))),0)=0),"Date de départ manquante",IF(AND(E214&lt;&gt;"Calendrier",K214="",N(N214)=0),"Compteur de départ manquant",IF(AND(E214&lt;&gt;"Calendrier",N(Q214)=0),"Relevé compteur manquant (Équipements)",IF(AND(I214&lt;&gt;"",ISNA(MATCH(I214,tech_name,0))),"Technicien inconnu",IF(AND(L214&lt;&gt;"",L214&lt;&gt;"Oui",L214&lt;&gt;"Non"),"Actif : Oui ou Non","OK")))))))))))))))))</f>
        <v/>
      </c>
      <c r="W214" s="67">
        <f>IFERROR(N(INDEX(eq_use,MATCH(B214,eq_code,0))),0)</f>
        <v>0.0</v>
      </c>
      <c r="X214" s="67" t="str">
        <f>IF(AND(ISNUMBER(S214),W214&gt;0),p_today+MAX(0,ROUNDUP(S214*7/W214,0)),"")</f>
        <v/>
      </c>
      <c r="Y214" s="67" t="str">
        <f>IF(AND(ISNUMBER(T214),OR(U214="En retard",U214="Bientôt",U214="À jour")),IF(AND(ISNUMBER(O214),ISNUMBER(X214)),MIN(F214,G214*7/W214),IF(ISNUMBER(O214),F214,G214*7/W214)),"")</f>
        <v/>
      </c>
      <c r="Z214" s="67" t="str">
        <f>IF(OR(U214="En retard",U214="Bientôt"),IF(U214="En retard",0,1)*1000000000+IF(AB214="A",0,IF(AB214="B",1,IF(AB214="C",2,3)))*100000000+IF(ISNUMBER(T214),T214,p_today)*1000+ROW()-5,"")</f>
        <v/>
      </c>
      <c r="AA214" s="67" t="str">
        <f>IF(Z214="","",COUNTIF($Z$6:$Z$505,"&lt;"&amp;Z214)+1)</f>
        <v/>
      </c>
      <c r="AB214" s="67" t="str">
        <f>IFERROR(INDEX(eq_crit,MATCH(B214,eq_code,0))&amp;"","")</f>
        <v/>
      </c>
    </row>
    <row r="215">
      <c r="A215" s="65" t="n"/>
      <c r="B215" s="66" t="n"/>
      <c r="C215" s="67" t="str">
        <f>IF(B215="","",IFERROR(INDEX(eq_des,MATCH(B215,eq_code,0))&amp;"","Équipement inconnu"))</f>
        <v/>
      </c>
      <c r="D215" s="66" t="n"/>
      <c r="E215" s="68" t="n"/>
      <c r="F215" s="69" t="n"/>
      <c r="G215" s="70" t="n"/>
      <c r="H215" s="71" t="n"/>
      <c r="I215" s="66" t="n"/>
      <c r="J215" s="72" t="n"/>
      <c r="K215" s="73" t="n"/>
      <c r="L215" s="68" t="n"/>
      <c r="M215" s="74" t="str">
        <f>IF(AND(A215="",B215="",D215=""),"",MAX(N(J215),IF(A215="",0,SUMPRODUCT(MAX((in_plan=A215)*in_prev*in_dnum)))))</f>
        <v/>
      </c>
      <c r="N215" s="75" t="str">
        <f>IF(AND(A215="",B215="",D215=""),"",MAX(N(K215),IF(A215="",0,SUMPRODUCT(MAX((in_plan=A215)*in_prev*in_cnum)))))</f>
        <v/>
      </c>
      <c r="O215" s="76" t="str">
        <f>IF(AND(OR(E215="Calendrier",E215="Au premier des deux"),N(F215)&gt;0,IF(N(M215)&gt;0,M215,IFERROR(N(INDEX(eq_start,MATCH(B215,eq_code,0))),0))&gt;0),IF(N(M215)&gt;0,M215,IFERROR(N(INDEX(eq_start,MATCH(B215,eq_code,0))),0))+F215,"")</f>
        <v/>
      </c>
      <c r="P215" s="75" t="str">
        <f>IF(AND(OR(E215="Compteur",E215="Au premier des deux"),N(G215)&gt;0),N(N215)+G215,"")</f>
        <v/>
      </c>
      <c r="Q215" s="75" t="str">
        <f>IF(B215="","",IFERROR(N(INDEX(eq_cnt,MATCH(B215,eq_code,0))),""))</f>
        <v/>
      </c>
      <c r="R215" s="77" t="str">
        <f>IF(ISNUMBER(O215),O215-p_today,"")</f>
        <v/>
      </c>
      <c r="S215" s="78" t="str">
        <f>IF(AND(ISNUMBER(P215),N(Q215)&gt;0),P215-Q215,"")</f>
        <v/>
      </c>
      <c r="T215" s="76" t="str">
        <f>IF(AND(ISNUMBER(O215),ISNUMBER(X215)),MIN(O215,X215),IF(ISNUMBER(O215),O215,X215))</f>
        <v/>
      </c>
      <c r="U215" s="79" t="str">
        <f>IF(AND(A215="",B215="",D215=""),"",IF(L215="Non","Inactif",IF(AND(NOT(ISNUMBER(R215)),NOT(ISNUMBER(S215))),"À compléter",IF(OR(AND(ISNUMBER(R215),N(R215)&lt;0),AND(ISNUMBER(S215),N(S215)&lt;0)),"En retard",IF(OR(AND(ISNUMBER(R215),N(R215)&lt;=p_soon),AND(ISNUMBER(S215),N(S215)&lt;=p_soon_pct*N(G215))),"Bientôt","À jour")))))</f>
        <v/>
      </c>
      <c r="V215" s="79" t="str">
        <f>IF(AND(A215="",B215="",D215=""),"",IF(A215="","N° de plan manquant",IF(COUNTIF($A$6:$A$505,A215)&gt;1,"N° de plan en double",IF(B215="","Équipement manquant",IF(ISNA(MATCH(B215,eq_code,0)),"Équipement inconnu",IF(D215="","Tâche manquante",IF(E215="","Déclenchement manquant",IF(AND(E215&lt;&gt;"Calendrier",E215&lt;&gt;"Compteur",E215&lt;&gt;"Au premier des deux"),"Déclenchement inconnu",IF(AND(E215&lt;&gt;"Compteur",OR(NOT(ISNUMBER(F215)),N(F215)&lt;=0)),"Périodicité en jours manquante",IF(AND(E215&lt;&gt;"Calendrier",OR(NOT(ISNUMBER(G215)),N(G215)&lt;=0)),"Périodicité compteur manquante",IF(AND(J215&lt;&gt;"",OR(NOT(ISNUMBER(J215)),N(J215)&lt;=0)),"Date de réalisation invalide",IF(AND(K215&lt;&gt;"",OR(NOT(ISNUMBER(K215)),N(K215)&lt;0)),"Compteur de réalisation invalide",IF(AND(E215&lt;&gt;"Compteur",N(M215)=0,IFERROR(N(INDEX(eq_start,MATCH(B215,eq_code,0))),0)=0),"Date de départ manquante",IF(AND(E215&lt;&gt;"Calendrier",K215="",N(N215)=0),"Compteur de départ manquant",IF(AND(E215&lt;&gt;"Calendrier",N(Q215)=0),"Relevé compteur manquant (Équipements)",IF(AND(I215&lt;&gt;"",ISNA(MATCH(I215,tech_name,0))),"Technicien inconnu",IF(AND(L215&lt;&gt;"",L215&lt;&gt;"Oui",L215&lt;&gt;"Non"),"Actif : Oui ou Non","OK")))))))))))))))))</f>
        <v/>
      </c>
      <c r="W215" s="67">
        <f>IFERROR(N(INDEX(eq_use,MATCH(B215,eq_code,0))),0)</f>
        <v>0.0</v>
      </c>
      <c r="X215" s="67" t="str">
        <f>IF(AND(ISNUMBER(S215),W215&gt;0),p_today+MAX(0,ROUNDUP(S215*7/W215,0)),"")</f>
        <v/>
      </c>
      <c r="Y215" s="67" t="str">
        <f>IF(AND(ISNUMBER(T215),OR(U215="En retard",U215="Bientôt",U215="À jour")),IF(AND(ISNUMBER(O215),ISNUMBER(X215)),MIN(F215,G215*7/W215),IF(ISNUMBER(O215),F215,G215*7/W215)),"")</f>
        <v/>
      </c>
      <c r="Z215" s="67" t="str">
        <f>IF(OR(U215="En retard",U215="Bientôt"),IF(U215="En retard",0,1)*1000000000+IF(AB215="A",0,IF(AB215="B",1,IF(AB215="C",2,3)))*100000000+IF(ISNUMBER(T215),T215,p_today)*1000+ROW()-5,"")</f>
        <v/>
      </c>
      <c r="AA215" s="67" t="str">
        <f>IF(Z215="","",COUNTIF($Z$6:$Z$505,"&lt;"&amp;Z215)+1)</f>
        <v/>
      </c>
      <c r="AB215" s="67" t="str">
        <f>IFERROR(INDEX(eq_crit,MATCH(B215,eq_code,0))&amp;"","")</f>
        <v/>
      </c>
    </row>
    <row r="216">
      <c r="A216" s="65" t="n"/>
      <c r="B216" s="66" t="n"/>
      <c r="C216" s="67" t="str">
        <f>IF(B216="","",IFERROR(INDEX(eq_des,MATCH(B216,eq_code,0))&amp;"","Équipement inconnu"))</f>
        <v/>
      </c>
      <c r="D216" s="66" t="n"/>
      <c r="E216" s="68" t="n"/>
      <c r="F216" s="69" t="n"/>
      <c r="G216" s="70" t="n"/>
      <c r="H216" s="71" t="n"/>
      <c r="I216" s="66" t="n"/>
      <c r="J216" s="72" t="n"/>
      <c r="K216" s="73" t="n"/>
      <c r="L216" s="68" t="n"/>
      <c r="M216" s="74" t="str">
        <f>IF(AND(A216="",B216="",D216=""),"",MAX(N(J216),IF(A216="",0,SUMPRODUCT(MAX((in_plan=A216)*in_prev*in_dnum)))))</f>
        <v/>
      </c>
      <c r="N216" s="75" t="str">
        <f>IF(AND(A216="",B216="",D216=""),"",MAX(N(K216),IF(A216="",0,SUMPRODUCT(MAX((in_plan=A216)*in_prev*in_cnum)))))</f>
        <v/>
      </c>
      <c r="O216" s="76" t="str">
        <f>IF(AND(OR(E216="Calendrier",E216="Au premier des deux"),N(F216)&gt;0,IF(N(M216)&gt;0,M216,IFERROR(N(INDEX(eq_start,MATCH(B216,eq_code,0))),0))&gt;0),IF(N(M216)&gt;0,M216,IFERROR(N(INDEX(eq_start,MATCH(B216,eq_code,0))),0))+F216,"")</f>
        <v/>
      </c>
      <c r="P216" s="75" t="str">
        <f>IF(AND(OR(E216="Compteur",E216="Au premier des deux"),N(G216)&gt;0),N(N216)+G216,"")</f>
        <v/>
      </c>
      <c r="Q216" s="75" t="str">
        <f>IF(B216="","",IFERROR(N(INDEX(eq_cnt,MATCH(B216,eq_code,0))),""))</f>
        <v/>
      </c>
      <c r="R216" s="77" t="str">
        <f>IF(ISNUMBER(O216),O216-p_today,"")</f>
        <v/>
      </c>
      <c r="S216" s="78" t="str">
        <f>IF(AND(ISNUMBER(P216),N(Q216)&gt;0),P216-Q216,"")</f>
        <v/>
      </c>
      <c r="T216" s="76" t="str">
        <f>IF(AND(ISNUMBER(O216),ISNUMBER(X216)),MIN(O216,X216),IF(ISNUMBER(O216),O216,X216))</f>
        <v/>
      </c>
      <c r="U216" s="79" t="str">
        <f>IF(AND(A216="",B216="",D216=""),"",IF(L216="Non","Inactif",IF(AND(NOT(ISNUMBER(R216)),NOT(ISNUMBER(S216))),"À compléter",IF(OR(AND(ISNUMBER(R216),N(R216)&lt;0),AND(ISNUMBER(S216),N(S216)&lt;0)),"En retard",IF(OR(AND(ISNUMBER(R216),N(R216)&lt;=p_soon),AND(ISNUMBER(S216),N(S216)&lt;=p_soon_pct*N(G216))),"Bientôt","À jour")))))</f>
        <v/>
      </c>
      <c r="V216" s="79" t="str">
        <f>IF(AND(A216="",B216="",D216=""),"",IF(A216="","N° de plan manquant",IF(COUNTIF($A$6:$A$505,A216)&gt;1,"N° de plan en double",IF(B216="","Équipement manquant",IF(ISNA(MATCH(B216,eq_code,0)),"Équipement inconnu",IF(D216="","Tâche manquante",IF(E216="","Déclenchement manquant",IF(AND(E216&lt;&gt;"Calendrier",E216&lt;&gt;"Compteur",E216&lt;&gt;"Au premier des deux"),"Déclenchement inconnu",IF(AND(E216&lt;&gt;"Compteur",OR(NOT(ISNUMBER(F216)),N(F216)&lt;=0)),"Périodicité en jours manquante",IF(AND(E216&lt;&gt;"Calendrier",OR(NOT(ISNUMBER(G216)),N(G216)&lt;=0)),"Périodicité compteur manquante",IF(AND(J216&lt;&gt;"",OR(NOT(ISNUMBER(J216)),N(J216)&lt;=0)),"Date de réalisation invalide",IF(AND(K216&lt;&gt;"",OR(NOT(ISNUMBER(K216)),N(K216)&lt;0)),"Compteur de réalisation invalide",IF(AND(E216&lt;&gt;"Compteur",N(M216)=0,IFERROR(N(INDEX(eq_start,MATCH(B216,eq_code,0))),0)=0),"Date de départ manquante",IF(AND(E216&lt;&gt;"Calendrier",K216="",N(N216)=0),"Compteur de départ manquant",IF(AND(E216&lt;&gt;"Calendrier",N(Q216)=0),"Relevé compteur manquant (Équipements)",IF(AND(I216&lt;&gt;"",ISNA(MATCH(I216,tech_name,0))),"Technicien inconnu",IF(AND(L216&lt;&gt;"",L216&lt;&gt;"Oui",L216&lt;&gt;"Non"),"Actif : Oui ou Non","OK")))))))))))))))))</f>
        <v/>
      </c>
      <c r="W216" s="67">
        <f>IFERROR(N(INDEX(eq_use,MATCH(B216,eq_code,0))),0)</f>
        <v>0.0</v>
      </c>
      <c r="X216" s="67" t="str">
        <f>IF(AND(ISNUMBER(S216),W216&gt;0),p_today+MAX(0,ROUNDUP(S216*7/W216,0)),"")</f>
        <v/>
      </c>
      <c r="Y216" s="67" t="str">
        <f>IF(AND(ISNUMBER(T216),OR(U216="En retard",U216="Bientôt",U216="À jour")),IF(AND(ISNUMBER(O216),ISNUMBER(X216)),MIN(F216,G216*7/W216),IF(ISNUMBER(O216),F216,G216*7/W216)),"")</f>
        <v/>
      </c>
      <c r="Z216" s="67" t="str">
        <f>IF(OR(U216="En retard",U216="Bientôt"),IF(U216="En retard",0,1)*1000000000+IF(AB216="A",0,IF(AB216="B",1,IF(AB216="C",2,3)))*100000000+IF(ISNUMBER(T216),T216,p_today)*1000+ROW()-5,"")</f>
        <v/>
      </c>
      <c r="AA216" s="67" t="str">
        <f>IF(Z216="","",COUNTIF($Z$6:$Z$505,"&lt;"&amp;Z216)+1)</f>
        <v/>
      </c>
      <c r="AB216" s="67" t="str">
        <f>IFERROR(INDEX(eq_crit,MATCH(B216,eq_code,0))&amp;"","")</f>
        <v/>
      </c>
    </row>
    <row r="217">
      <c r="A217" s="65" t="n"/>
      <c r="B217" s="66" t="n"/>
      <c r="C217" s="67" t="str">
        <f>IF(B217="","",IFERROR(INDEX(eq_des,MATCH(B217,eq_code,0))&amp;"","Équipement inconnu"))</f>
        <v/>
      </c>
      <c r="D217" s="66" t="n"/>
      <c r="E217" s="68" t="n"/>
      <c r="F217" s="69" t="n"/>
      <c r="G217" s="70" t="n"/>
      <c r="H217" s="71" t="n"/>
      <c r="I217" s="66" t="n"/>
      <c r="J217" s="72" t="n"/>
      <c r="K217" s="73" t="n"/>
      <c r="L217" s="68" t="n"/>
      <c r="M217" s="74" t="str">
        <f>IF(AND(A217="",B217="",D217=""),"",MAX(N(J217),IF(A217="",0,SUMPRODUCT(MAX((in_plan=A217)*in_prev*in_dnum)))))</f>
        <v/>
      </c>
      <c r="N217" s="75" t="str">
        <f>IF(AND(A217="",B217="",D217=""),"",MAX(N(K217),IF(A217="",0,SUMPRODUCT(MAX((in_plan=A217)*in_prev*in_cnum)))))</f>
        <v/>
      </c>
      <c r="O217" s="76" t="str">
        <f>IF(AND(OR(E217="Calendrier",E217="Au premier des deux"),N(F217)&gt;0,IF(N(M217)&gt;0,M217,IFERROR(N(INDEX(eq_start,MATCH(B217,eq_code,0))),0))&gt;0),IF(N(M217)&gt;0,M217,IFERROR(N(INDEX(eq_start,MATCH(B217,eq_code,0))),0))+F217,"")</f>
        <v/>
      </c>
      <c r="P217" s="75" t="str">
        <f>IF(AND(OR(E217="Compteur",E217="Au premier des deux"),N(G217)&gt;0),N(N217)+G217,"")</f>
        <v/>
      </c>
      <c r="Q217" s="75" t="str">
        <f>IF(B217="","",IFERROR(N(INDEX(eq_cnt,MATCH(B217,eq_code,0))),""))</f>
        <v/>
      </c>
      <c r="R217" s="77" t="str">
        <f>IF(ISNUMBER(O217),O217-p_today,"")</f>
        <v/>
      </c>
      <c r="S217" s="78" t="str">
        <f>IF(AND(ISNUMBER(P217),N(Q217)&gt;0),P217-Q217,"")</f>
        <v/>
      </c>
      <c r="T217" s="76" t="str">
        <f>IF(AND(ISNUMBER(O217),ISNUMBER(X217)),MIN(O217,X217),IF(ISNUMBER(O217),O217,X217))</f>
        <v/>
      </c>
      <c r="U217" s="79" t="str">
        <f>IF(AND(A217="",B217="",D217=""),"",IF(L217="Non","Inactif",IF(AND(NOT(ISNUMBER(R217)),NOT(ISNUMBER(S217))),"À compléter",IF(OR(AND(ISNUMBER(R217),N(R217)&lt;0),AND(ISNUMBER(S217),N(S217)&lt;0)),"En retard",IF(OR(AND(ISNUMBER(R217),N(R217)&lt;=p_soon),AND(ISNUMBER(S217),N(S217)&lt;=p_soon_pct*N(G217))),"Bientôt","À jour")))))</f>
        <v/>
      </c>
      <c r="V217" s="79" t="str">
        <f>IF(AND(A217="",B217="",D217=""),"",IF(A217="","N° de plan manquant",IF(COUNTIF($A$6:$A$505,A217)&gt;1,"N° de plan en double",IF(B217="","Équipement manquant",IF(ISNA(MATCH(B217,eq_code,0)),"Équipement inconnu",IF(D217="","Tâche manquante",IF(E217="","Déclenchement manquant",IF(AND(E217&lt;&gt;"Calendrier",E217&lt;&gt;"Compteur",E217&lt;&gt;"Au premier des deux"),"Déclenchement inconnu",IF(AND(E217&lt;&gt;"Compteur",OR(NOT(ISNUMBER(F217)),N(F217)&lt;=0)),"Périodicité en jours manquante",IF(AND(E217&lt;&gt;"Calendrier",OR(NOT(ISNUMBER(G217)),N(G217)&lt;=0)),"Périodicité compteur manquante",IF(AND(J217&lt;&gt;"",OR(NOT(ISNUMBER(J217)),N(J217)&lt;=0)),"Date de réalisation invalide",IF(AND(K217&lt;&gt;"",OR(NOT(ISNUMBER(K217)),N(K217)&lt;0)),"Compteur de réalisation invalide",IF(AND(E217&lt;&gt;"Compteur",N(M217)=0,IFERROR(N(INDEX(eq_start,MATCH(B217,eq_code,0))),0)=0),"Date de départ manquante",IF(AND(E217&lt;&gt;"Calendrier",K217="",N(N217)=0),"Compteur de départ manquant",IF(AND(E217&lt;&gt;"Calendrier",N(Q217)=0),"Relevé compteur manquant (Équipements)",IF(AND(I217&lt;&gt;"",ISNA(MATCH(I217,tech_name,0))),"Technicien inconnu",IF(AND(L217&lt;&gt;"",L217&lt;&gt;"Oui",L217&lt;&gt;"Non"),"Actif : Oui ou Non","OK")))))))))))))))))</f>
        <v/>
      </c>
      <c r="W217" s="67">
        <f>IFERROR(N(INDEX(eq_use,MATCH(B217,eq_code,0))),0)</f>
        <v>0.0</v>
      </c>
      <c r="X217" s="67" t="str">
        <f>IF(AND(ISNUMBER(S217),W217&gt;0),p_today+MAX(0,ROUNDUP(S217*7/W217,0)),"")</f>
        <v/>
      </c>
      <c r="Y217" s="67" t="str">
        <f>IF(AND(ISNUMBER(T217),OR(U217="En retard",U217="Bientôt",U217="À jour")),IF(AND(ISNUMBER(O217),ISNUMBER(X217)),MIN(F217,G217*7/W217),IF(ISNUMBER(O217),F217,G217*7/W217)),"")</f>
        <v/>
      </c>
      <c r="Z217" s="67" t="str">
        <f>IF(OR(U217="En retard",U217="Bientôt"),IF(U217="En retard",0,1)*1000000000+IF(AB217="A",0,IF(AB217="B",1,IF(AB217="C",2,3)))*100000000+IF(ISNUMBER(T217),T217,p_today)*1000+ROW()-5,"")</f>
        <v/>
      </c>
      <c r="AA217" s="67" t="str">
        <f>IF(Z217="","",COUNTIF($Z$6:$Z$505,"&lt;"&amp;Z217)+1)</f>
        <v/>
      </c>
      <c r="AB217" s="67" t="str">
        <f>IFERROR(INDEX(eq_crit,MATCH(B217,eq_code,0))&amp;"","")</f>
        <v/>
      </c>
    </row>
    <row r="218">
      <c r="A218" s="65" t="n"/>
      <c r="B218" s="66" t="n"/>
      <c r="C218" s="67" t="str">
        <f>IF(B218="","",IFERROR(INDEX(eq_des,MATCH(B218,eq_code,0))&amp;"","Équipement inconnu"))</f>
        <v/>
      </c>
      <c r="D218" s="66" t="n"/>
      <c r="E218" s="68" t="n"/>
      <c r="F218" s="69" t="n"/>
      <c r="G218" s="70" t="n"/>
      <c r="H218" s="71" t="n"/>
      <c r="I218" s="66" t="n"/>
      <c r="J218" s="72" t="n"/>
      <c r="K218" s="73" t="n"/>
      <c r="L218" s="68" t="n"/>
      <c r="M218" s="74" t="str">
        <f>IF(AND(A218="",B218="",D218=""),"",MAX(N(J218),IF(A218="",0,SUMPRODUCT(MAX((in_plan=A218)*in_prev*in_dnum)))))</f>
        <v/>
      </c>
      <c r="N218" s="75" t="str">
        <f>IF(AND(A218="",B218="",D218=""),"",MAX(N(K218),IF(A218="",0,SUMPRODUCT(MAX((in_plan=A218)*in_prev*in_cnum)))))</f>
        <v/>
      </c>
      <c r="O218" s="76" t="str">
        <f>IF(AND(OR(E218="Calendrier",E218="Au premier des deux"),N(F218)&gt;0,IF(N(M218)&gt;0,M218,IFERROR(N(INDEX(eq_start,MATCH(B218,eq_code,0))),0))&gt;0),IF(N(M218)&gt;0,M218,IFERROR(N(INDEX(eq_start,MATCH(B218,eq_code,0))),0))+F218,"")</f>
        <v/>
      </c>
      <c r="P218" s="75" t="str">
        <f>IF(AND(OR(E218="Compteur",E218="Au premier des deux"),N(G218)&gt;0),N(N218)+G218,"")</f>
        <v/>
      </c>
      <c r="Q218" s="75" t="str">
        <f>IF(B218="","",IFERROR(N(INDEX(eq_cnt,MATCH(B218,eq_code,0))),""))</f>
        <v/>
      </c>
      <c r="R218" s="77" t="str">
        <f>IF(ISNUMBER(O218),O218-p_today,"")</f>
        <v/>
      </c>
      <c r="S218" s="78" t="str">
        <f>IF(AND(ISNUMBER(P218),N(Q218)&gt;0),P218-Q218,"")</f>
        <v/>
      </c>
      <c r="T218" s="76" t="str">
        <f>IF(AND(ISNUMBER(O218),ISNUMBER(X218)),MIN(O218,X218),IF(ISNUMBER(O218),O218,X218))</f>
        <v/>
      </c>
      <c r="U218" s="79" t="str">
        <f>IF(AND(A218="",B218="",D218=""),"",IF(L218="Non","Inactif",IF(AND(NOT(ISNUMBER(R218)),NOT(ISNUMBER(S218))),"À compléter",IF(OR(AND(ISNUMBER(R218),N(R218)&lt;0),AND(ISNUMBER(S218),N(S218)&lt;0)),"En retard",IF(OR(AND(ISNUMBER(R218),N(R218)&lt;=p_soon),AND(ISNUMBER(S218),N(S218)&lt;=p_soon_pct*N(G218))),"Bientôt","À jour")))))</f>
        <v/>
      </c>
      <c r="V218" s="79" t="str">
        <f>IF(AND(A218="",B218="",D218=""),"",IF(A218="","N° de plan manquant",IF(COUNTIF($A$6:$A$505,A218)&gt;1,"N° de plan en double",IF(B218="","Équipement manquant",IF(ISNA(MATCH(B218,eq_code,0)),"Équipement inconnu",IF(D218="","Tâche manquante",IF(E218="","Déclenchement manquant",IF(AND(E218&lt;&gt;"Calendrier",E218&lt;&gt;"Compteur",E218&lt;&gt;"Au premier des deux"),"Déclenchement inconnu",IF(AND(E218&lt;&gt;"Compteur",OR(NOT(ISNUMBER(F218)),N(F218)&lt;=0)),"Périodicité en jours manquante",IF(AND(E218&lt;&gt;"Calendrier",OR(NOT(ISNUMBER(G218)),N(G218)&lt;=0)),"Périodicité compteur manquante",IF(AND(J218&lt;&gt;"",OR(NOT(ISNUMBER(J218)),N(J218)&lt;=0)),"Date de réalisation invalide",IF(AND(K218&lt;&gt;"",OR(NOT(ISNUMBER(K218)),N(K218)&lt;0)),"Compteur de réalisation invalide",IF(AND(E218&lt;&gt;"Compteur",N(M218)=0,IFERROR(N(INDEX(eq_start,MATCH(B218,eq_code,0))),0)=0),"Date de départ manquante",IF(AND(E218&lt;&gt;"Calendrier",K218="",N(N218)=0),"Compteur de départ manquant",IF(AND(E218&lt;&gt;"Calendrier",N(Q218)=0),"Relevé compteur manquant (Équipements)",IF(AND(I218&lt;&gt;"",ISNA(MATCH(I218,tech_name,0))),"Technicien inconnu",IF(AND(L218&lt;&gt;"",L218&lt;&gt;"Oui",L218&lt;&gt;"Non"),"Actif : Oui ou Non","OK")))))))))))))))))</f>
        <v/>
      </c>
      <c r="W218" s="67">
        <f>IFERROR(N(INDEX(eq_use,MATCH(B218,eq_code,0))),0)</f>
        <v>0.0</v>
      </c>
      <c r="X218" s="67" t="str">
        <f>IF(AND(ISNUMBER(S218),W218&gt;0),p_today+MAX(0,ROUNDUP(S218*7/W218,0)),"")</f>
        <v/>
      </c>
      <c r="Y218" s="67" t="str">
        <f>IF(AND(ISNUMBER(T218),OR(U218="En retard",U218="Bientôt",U218="À jour")),IF(AND(ISNUMBER(O218),ISNUMBER(X218)),MIN(F218,G218*7/W218),IF(ISNUMBER(O218),F218,G218*7/W218)),"")</f>
        <v/>
      </c>
      <c r="Z218" s="67" t="str">
        <f>IF(OR(U218="En retard",U218="Bientôt"),IF(U218="En retard",0,1)*1000000000+IF(AB218="A",0,IF(AB218="B",1,IF(AB218="C",2,3)))*100000000+IF(ISNUMBER(T218),T218,p_today)*1000+ROW()-5,"")</f>
        <v/>
      </c>
      <c r="AA218" s="67" t="str">
        <f>IF(Z218="","",COUNTIF($Z$6:$Z$505,"&lt;"&amp;Z218)+1)</f>
        <v/>
      </c>
      <c r="AB218" s="67" t="str">
        <f>IFERROR(INDEX(eq_crit,MATCH(B218,eq_code,0))&amp;"","")</f>
        <v/>
      </c>
    </row>
    <row r="219">
      <c r="A219" s="65" t="n"/>
      <c r="B219" s="66" t="n"/>
      <c r="C219" s="67" t="str">
        <f>IF(B219="","",IFERROR(INDEX(eq_des,MATCH(B219,eq_code,0))&amp;"","Équipement inconnu"))</f>
        <v/>
      </c>
      <c r="D219" s="66" t="n"/>
      <c r="E219" s="68" t="n"/>
      <c r="F219" s="69" t="n"/>
      <c r="G219" s="70" t="n"/>
      <c r="H219" s="71" t="n"/>
      <c r="I219" s="66" t="n"/>
      <c r="J219" s="72" t="n"/>
      <c r="K219" s="73" t="n"/>
      <c r="L219" s="68" t="n"/>
      <c r="M219" s="74" t="str">
        <f>IF(AND(A219="",B219="",D219=""),"",MAX(N(J219),IF(A219="",0,SUMPRODUCT(MAX((in_plan=A219)*in_prev*in_dnum)))))</f>
        <v/>
      </c>
      <c r="N219" s="75" t="str">
        <f>IF(AND(A219="",B219="",D219=""),"",MAX(N(K219),IF(A219="",0,SUMPRODUCT(MAX((in_plan=A219)*in_prev*in_cnum)))))</f>
        <v/>
      </c>
      <c r="O219" s="76" t="str">
        <f>IF(AND(OR(E219="Calendrier",E219="Au premier des deux"),N(F219)&gt;0,IF(N(M219)&gt;0,M219,IFERROR(N(INDEX(eq_start,MATCH(B219,eq_code,0))),0))&gt;0),IF(N(M219)&gt;0,M219,IFERROR(N(INDEX(eq_start,MATCH(B219,eq_code,0))),0))+F219,"")</f>
        <v/>
      </c>
      <c r="P219" s="75" t="str">
        <f>IF(AND(OR(E219="Compteur",E219="Au premier des deux"),N(G219)&gt;0),N(N219)+G219,"")</f>
        <v/>
      </c>
      <c r="Q219" s="75" t="str">
        <f>IF(B219="","",IFERROR(N(INDEX(eq_cnt,MATCH(B219,eq_code,0))),""))</f>
        <v/>
      </c>
      <c r="R219" s="77" t="str">
        <f>IF(ISNUMBER(O219),O219-p_today,"")</f>
        <v/>
      </c>
      <c r="S219" s="78" t="str">
        <f>IF(AND(ISNUMBER(P219),N(Q219)&gt;0),P219-Q219,"")</f>
        <v/>
      </c>
      <c r="T219" s="76" t="str">
        <f>IF(AND(ISNUMBER(O219),ISNUMBER(X219)),MIN(O219,X219),IF(ISNUMBER(O219),O219,X219))</f>
        <v/>
      </c>
      <c r="U219" s="79" t="str">
        <f>IF(AND(A219="",B219="",D219=""),"",IF(L219="Non","Inactif",IF(AND(NOT(ISNUMBER(R219)),NOT(ISNUMBER(S219))),"À compléter",IF(OR(AND(ISNUMBER(R219),N(R219)&lt;0),AND(ISNUMBER(S219),N(S219)&lt;0)),"En retard",IF(OR(AND(ISNUMBER(R219),N(R219)&lt;=p_soon),AND(ISNUMBER(S219),N(S219)&lt;=p_soon_pct*N(G219))),"Bientôt","À jour")))))</f>
        <v/>
      </c>
      <c r="V219" s="79" t="str">
        <f>IF(AND(A219="",B219="",D219=""),"",IF(A219="","N° de plan manquant",IF(COUNTIF($A$6:$A$505,A219)&gt;1,"N° de plan en double",IF(B219="","Équipement manquant",IF(ISNA(MATCH(B219,eq_code,0)),"Équipement inconnu",IF(D219="","Tâche manquante",IF(E219="","Déclenchement manquant",IF(AND(E219&lt;&gt;"Calendrier",E219&lt;&gt;"Compteur",E219&lt;&gt;"Au premier des deux"),"Déclenchement inconnu",IF(AND(E219&lt;&gt;"Compteur",OR(NOT(ISNUMBER(F219)),N(F219)&lt;=0)),"Périodicité en jours manquante",IF(AND(E219&lt;&gt;"Calendrier",OR(NOT(ISNUMBER(G219)),N(G219)&lt;=0)),"Périodicité compteur manquante",IF(AND(J219&lt;&gt;"",OR(NOT(ISNUMBER(J219)),N(J219)&lt;=0)),"Date de réalisation invalide",IF(AND(K219&lt;&gt;"",OR(NOT(ISNUMBER(K219)),N(K219)&lt;0)),"Compteur de réalisation invalide",IF(AND(E219&lt;&gt;"Compteur",N(M219)=0,IFERROR(N(INDEX(eq_start,MATCH(B219,eq_code,0))),0)=0),"Date de départ manquante",IF(AND(E219&lt;&gt;"Calendrier",K219="",N(N219)=0),"Compteur de départ manquant",IF(AND(E219&lt;&gt;"Calendrier",N(Q219)=0),"Relevé compteur manquant (Équipements)",IF(AND(I219&lt;&gt;"",ISNA(MATCH(I219,tech_name,0))),"Technicien inconnu",IF(AND(L219&lt;&gt;"",L219&lt;&gt;"Oui",L219&lt;&gt;"Non"),"Actif : Oui ou Non","OK")))))))))))))))))</f>
        <v/>
      </c>
      <c r="W219" s="67">
        <f>IFERROR(N(INDEX(eq_use,MATCH(B219,eq_code,0))),0)</f>
        <v>0.0</v>
      </c>
      <c r="X219" s="67" t="str">
        <f>IF(AND(ISNUMBER(S219),W219&gt;0),p_today+MAX(0,ROUNDUP(S219*7/W219,0)),"")</f>
        <v/>
      </c>
      <c r="Y219" s="67" t="str">
        <f>IF(AND(ISNUMBER(T219),OR(U219="En retard",U219="Bientôt",U219="À jour")),IF(AND(ISNUMBER(O219),ISNUMBER(X219)),MIN(F219,G219*7/W219),IF(ISNUMBER(O219),F219,G219*7/W219)),"")</f>
        <v/>
      </c>
      <c r="Z219" s="67" t="str">
        <f>IF(OR(U219="En retard",U219="Bientôt"),IF(U219="En retard",0,1)*1000000000+IF(AB219="A",0,IF(AB219="B",1,IF(AB219="C",2,3)))*100000000+IF(ISNUMBER(T219),T219,p_today)*1000+ROW()-5,"")</f>
        <v/>
      </c>
      <c r="AA219" s="67" t="str">
        <f>IF(Z219="","",COUNTIF($Z$6:$Z$505,"&lt;"&amp;Z219)+1)</f>
        <v/>
      </c>
      <c r="AB219" s="67" t="str">
        <f>IFERROR(INDEX(eq_crit,MATCH(B219,eq_code,0))&amp;"","")</f>
        <v/>
      </c>
    </row>
    <row r="220">
      <c r="A220" s="65" t="n"/>
      <c r="B220" s="66" t="n"/>
      <c r="C220" s="67" t="str">
        <f>IF(B220="","",IFERROR(INDEX(eq_des,MATCH(B220,eq_code,0))&amp;"","Équipement inconnu"))</f>
        <v/>
      </c>
      <c r="D220" s="66" t="n"/>
      <c r="E220" s="68" t="n"/>
      <c r="F220" s="69" t="n"/>
      <c r="G220" s="70" t="n"/>
      <c r="H220" s="71" t="n"/>
      <c r="I220" s="66" t="n"/>
      <c r="J220" s="72" t="n"/>
      <c r="K220" s="73" t="n"/>
      <c r="L220" s="68" t="n"/>
      <c r="M220" s="74" t="str">
        <f>IF(AND(A220="",B220="",D220=""),"",MAX(N(J220),IF(A220="",0,SUMPRODUCT(MAX((in_plan=A220)*in_prev*in_dnum)))))</f>
        <v/>
      </c>
      <c r="N220" s="75" t="str">
        <f>IF(AND(A220="",B220="",D220=""),"",MAX(N(K220),IF(A220="",0,SUMPRODUCT(MAX((in_plan=A220)*in_prev*in_cnum)))))</f>
        <v/>
      </c>
      <c r="O220" s="76" t="str">
        <f>IF(AND(OR(E220="Calendrier",E220="Au premier des deux"),N(F220)&gt;0,IF(N(M220)&gt;0,M220,IFERROR(N(INDEX(eq_start,MATCH(B220,eq_code,0))),0))&gt;0),IF(N(M220)&gt;0,M220,IFERROR(N(INDEX(eq_start,MATCH(B220,eq_code,0))),0))+F220,"")</f>
        <v/>
      </c>
      <c r="P220" s="75" t="str">
        <f>IF(AND(OR(E220="Compteur",E220="Au premier des deux"),N(G220)&gt;0),N(N220)+G220,"")</f>
        <v/>
      </c>
      <c r="Q220" s="75" t="str">
        <f>IF(B220="","",IFERROR(N(INDEX(eq_cnt,MATCH(B220,eq_code,0))),""))</f>
        <v/>
      </c>
      <c r="R220" s="77" t="str">
        <f>IF(ISNUMBER(O220),O220-p_today,"")</f>
        <v/>
      </c>
      <c r="S220" s="78" t="str">
        <f>IF(AND(ISNUMBER(P220),N(Q220)&gt;0),P220-Q220,"")</f>
        <v/>
      </c>
      <c r="T220" s="76" t="str">
        <f>IF(AND(ISNUMBER(O220),ISNUMBER(X220)),MIN(O220,X220),IF(ISNUMBER(O220),O220,X220))</f>
        <v/>
      </c>
      <c r="U220" s="79" t="str">
        <f>IF(AND(A220="",B220="",D220=""),"",IF(L220="Non","Inactif",IF(AND(NOT(ISNUMBER(R220)),NOT(ISNUMBER(S220))),"À compléter",IF(OR(AND(ISNUMBER(R220),N(R220)&lt;0),AND(ISNUMBER(S220),N(S220)&lt;0)),"En retard",IF(OR(AND(ISNUMBER(R220),N(R220)&lt;=p_soon),AND(ISNUMBER(S220),N(S220)&lt;=p_soon_pct*N(G220))),"Bientôt","À jour")))))</f>
        <v/>
      </c>
      <c r="V220" s="79" t="str">
        <f>IF(AND(A220="",B220="",D220=""),"",IF(A220="","N° de plan manquant",IF(COUNTIF($A$6:$A$505,A220)&gt;1,"N° de plan en double",IF(B220="","Équipement manquant",IF(ISNA(MATCH(B220,eq_code,0)),"Équipement inconnu",IF(D220="","Tâche manquante",IF(E220="","Déclenchement manquant",IF(AND(E220&lt;&gt;"Calendrier",E220&lt;&gt;"Compteur",E220&lt;&gt;"Au premier des deux"),"Déclenchement inconnu",IF(AND(E220&lt;&gt;"Compteur",OR(NOT(ISNUMBER(F220)),N(F220)&lt;=0)),"Périodicité en jours manquante",IF(AND(E220&lt;&gt;"Calendrier",OR(NOT(ISNUMBER(G220)),N(G220)&lt;=0)),"Périodicité compteur manquante",IF(AND(J220&lt;&gt;"",OR(NOT(ISNUMBER(J220)),N(J220)&lt;=0)),"Date de réalisation invalide",IF(AND(K220&lt;&gt;"",OR(NOT(ISNUMBER(K220)),N(K220)&lt;0)),"Compteur de réalisation invalide",IF(AND(E220&lt;&gt;"Compteur",N(M220)=0,IFERROR(N(INDEX(eq_start,MATCH(B220,eq_code,0))),0)=0),"Date de départ manquante",IF(AND(E220&lt;&gt;"Calendrier",K220="",N(N220)=0),"Compteur de départ manquant",IF(AND(E220&lt;&gt;"Calendrier",N(Q220)=0),"Relevé compteur manquant (Équipements)",IF(AND(I220&lt;&gt;"",ISNA(MATCH(I220,tech_name,0))),"Technicien inconnu",IF(AND(L220&lt;&gt;"",L220&lt;&gt;"Oui",L220&lt;&gt;"Non"),"Actif : Oui ou Non","OK")))))))))))))))))</f>
        <v/>
      </c>
      <c r="W220" s="67">
        <f>IFERROR(N(INDEX(eq_use,MATCH(B220,eq_code,0))),0)</f>
        <v>0.0</v>
      </c>
      <c r="X220" s="67" t="str">
        <f>IF(AND(ISNUMBER(S220),W220&gt;0),p_today+MAX(0,ROUNDUP(S220*7/W220,0)),"")</f>
        <v/>
      </c>
      <c r="Y220" s="67" t="str">
        <f>IF(AND(ISNUMBER(T220),OR(U220="En retard",U220="Bientôt",U220="À jour")),IF(AND(ISNUMBER(O220),ISNUMBER(X220)),MIN(F220,G220*7/W220),IF(ISNUMBER(O220),F220,G220*7/W220)),"")</f>
        <v/>
      </c>
      <c r="Z220" s="67" t="str">
        <f>IF(OR(U220="En retard",U220="Bientôt"),IF(U220="En retard",0,1)*1000000000+IF(AB220="A",0,IF(AB220="B",1,IF(AB220="C",2,3)))*100000000+IF(ISNUMBER(T220),T220,p_today)*1000+ROW()-5,"")</f>
        <v/>
      </c>
      <c r="AA220" s="67" t="str">
        <f>IF(Z220="","",COUNTIF($Z$6:$Z$505,"&lt;"&amp;Z220)+1)</f>
        <v/>
      </c>
      <c r="AB220" s="67" t="str">
        <f>IFERROR(INDEX(eq_crit,MATCH(B220,eq_code,0))&amp;"","")</f>
        <v/>
      </c>
    </row>
    <row r="221">
      <c r="A221" s="65" t="n"/>
      <c r="B221" s="66" t="n"/>
      <c r="C221" s="67" t="str">
        <f>IF(B221="","",IFERROR(INDEX(eq_des,MATCH(B221,eq_code,0))&amp;"","Équipement inconnu"))</f>
        <v/>
      </c>
      <c r="D221" s="66" t="n"/>
      <c r="E221" s="68" t="n"/>
      <c r="F221" s="69" t="n"/>
      <c r="G221" s="70" t="n"/>
      <c r="H221" s="71" t="n"/>
      <c r="I221" s="66" t="n"/>
      <c r="J221" s="72" t="n"/>
      <c r="K221" s="73" t="n"/>
      <c r="L221" s="68" t="n"/>
      <c r="M221" s="74" t="str">
        <f>IF(AND(A221="",B221="",D221=""),"",MAX(N(J221),IF(A221="",0,SUMPRODUCT(MAX((in_plan=A221)*in_prev*in_dnum)))))</f>
        <v/>
      </c>
      <c r="N221" s="75" t="str">
        <f>IF(AND(A221="",B221="",D221=""),"",MAX(N(K221),IF(A221="",0,SUMPRODUCT(MAX((in_plan=A221)*in_prev*in_cnum)))))</f>
        <v/>
      </c>
      <c r="O221" s="76" t="str">
        <f>IF(AND(OR(E221="Calendrier",E221="Au premier des deux"),N(F221)&gt;0,IF(N(M221)&gt;0,M221,IFERROR(N(INDEX(eq_start,MATCH(B221,eq_code,0))),0))&gt;0),IF(N(M221)&gt;0,M221,IFERROR(N(INDEX(eq_start,MATCH(B221,eq_code,0))),0))+F221,"")</f>
        <v/>
      </c>
      <c r="P221" s="75" t="str">
        <f>IF(AND(OR(E221="Compteur",E221="Au premier des deux"),N(G221)&gt;0),N(N221)+G221,"")</f>
        <v/>
      </c>
      <c r="Q221" s="75" t="str">
        <f>IF(B221="","",IFERROR(N(INDEX(eq_cnt,MATCH(B221,eq_code,0))),""))</f>
        <v/>
      </c>
      <c r="R221" s="77" t="str">
        <f>IF(ISNUMBER(O221),O221-p_today,"")</f>
        <v/>
      </c>
      <c r="S221" s="78" t="str">
        <f>IF(AND(ISNUMBER(P221),N(Q221)&gt;0),P221-Q221,"")</f>
        <v/>
      </c>
      <c r="T221" s="76" t="str">
        <f>IF(AND(ISNUMBER(O221),ISNUMBER(X221)),MIN(O221,X221),IF(ISNUMBER(O221),O221,X221))</f>
        <v/>
      </c>
      <c r="U221" s="79" t="str">
        <f>IF(AND(A221="",B221="",D221=""),"",IF(L221="Non","Inactif",IF(AND(NOT(ISNUMBER(R221)),NOT(ISNUMBER(S221))),"À compléter",IF(OR(AND(ISNUMBER(R221),N(R221)&lt;0),AND(ISNUMBER(S221),N(S221)&lt;0)),"En retard",IF(OR(AND(ISNUMBER(R221),N(R221)&lt;=p_soon),AND(ISNUMBER(S221),N(S221)&lt;=p_soon_pct*N(G221))),"Bientôt","À jour")))))</f>
        <v/>
      </c>
      <c r="V221" s="79" t="str">
        <f>IF(AND(A221="",B221="",D221=""),"",IF(A221="","N° de plan manquant",IF(COUNTIF($A$6:$A$505,A221)&gt;1,"N° de plan en double",IF(B221="","Équipement manquant",IF(ISNA(MATCH(B221,eq_code,0)),"Équipement inconnu",IF(D221="","Tâche manquante",IF(E221="","Déclenchement manquant",IF(AND(E221&lt;&gt;"Calendrier",E221&lt;&gt;"Compteur",E221&lt;&gt;"Au premier des deux"),"Déclenchement inconnu",IF(AND(E221&lt;&gt;"Compteur",OR(NOT(ISNUMBER(F221)),N(F221)&lt;=0)),"Périodicité en jours manquante",IF(AND(E221&lt;&gt;"Calendrier",OR(NOT(ISNUMBER(G221)),N(G221)&lt;=0)),"Périodicité compteur manquante",IF(AND(J221&lt;&gt;"",OR(NOT(ISNUMBER(J221)),N(J221)&lt;=0)),"Date de réalisation invalide",IF(AND(K221&lt;&gt;"",OR(NOT(ISNUMBER(K221)),N(K221)&lt;0)),"Compteur de réalisation invalide",IF(AND(E221&lt;&gt;"Compteur",N(M221)=0,IFERROR(N(INDEX(eq_start,MATCH(B221,eq_code,0))),0)=0),"Date de départ manquante",IF(AND(E221&lt;&gt;"Calendrier",K221="",N(N221)=0),"Compteur de départ manquant",IF(AND(E221&lt;&gt;"Calendrier",N(Q221)=0),"Relevé compteur manquant (Équipements)",IF(AND(I221&lt;&gt;"",ISNA(MATCH(I221,tech_name,0))),"Technicien inconnu",IF(AND(L221&lt;&gt;"",L221&lt;&gt;"Oui",L221&lt;&gt;"Non"),"Actif : Oui ou Non","OK")))))))))))))))))</f>
        <v/>
      </c>
      <c r="W221" s="67">
        <f>IFERROR(N(INDEX(eq_use,MATCH(B221,eq_code,0))),0)</f>
        <v>0.0</v>
      </c>
      <c r="X221" s="67" t="str">
        <f>IF(AND(ISNUMBER(S221),W221&gt;0),p_today+MAX(0,ROUNDUP(S221*7/W221,0)),"")</f>
        <v/>
      </c>
      <c r="Y221" s="67" t="str">
        <f>IF(AND(ISNUMBER(T221),OR(U221="En retard",U221="Bientôt",U221="À jour")),IF(AND(ISNUMBER(O221),ISNUMBER(X221)),MIN(F221,G221*7/W221),IF(ISNUMBER(O221),F221,G221*7/W221)),"")</f>
        <v/>
      </c>
      <c r="Z221" s="67" t="str">
        <f>IF(OR(U221="En retard",U221="Bientôt"),IF(U221="En retard",0,1)*1000000000+IF(AB221="A",0,IF(AB221="B",1,IF(AB221="C",2,3)))*100000000+IF(ISNUMBER(T221),T221,p_today)*1000+ROW()-5,"")</f>
        <v/>
      </c>
      <c r="AA221" s="67" t="str">
        <f>IF(Z221="","",COUNTIF($Z$6:$Z$505,"&lt;"&amp;Z221)+1)</f>
        <v/>
      </c>
      <c r="AB221" s="67" t="str">
        <f>IFERROR(INDEX(eq_crit,MATCH(B221,eq_code,0))&amp;"","")</f>
        <v/>
      </c>
    </row>
    <row r="222">
      <c r="A222" s="65" t="n"/>
      <c r="B222" s="66" t="n"/>
      <c r="C222" s="67" t="str">
        <f>IF(B222="","",IFERROR(INDEX(eq_des,MATCH(B222,eq_code,0))&amp;"","Équipement inconnu"))</f>
        <v/>
      </c>
      <c r="D222" s="66" t="n"/>
      <c r="E222" s="68" t="n"/>
      <c r="F222" s="69" t="n"/>
      <c r="G222" s="70" t="n"/>
      <c r="H222" s="71" t="n"/>
      <c r="I222" s="66" t="n"/>
      <c r="J222" s="72" t="n"/>
      <c r="K222" s="73" t="n"/>
      <c r="L222" s="68" t="n"/>
      <c r="M222" s="74" t="str">
        <f>IF(AND(A222="",B222="",D222=""),"",MAX(N(J222),IF(A222="",0,SUMPRODUCT(MAX((in_plan=A222)*in_prev*in_dnum)))))</f>
        <v/>
      </c>
      <c r="N222" s="75" t="str">
        <f>IF(AND(A222="",B222="",D222=""),"",MAX(N(K222),IF(A222="",0,SUMPRODUCT(MAX((in_plan=A222)*in_prev*in_cnum)))))</f>
        <v/>
      </c>
      <c r="O222" s="76" t="str">
        <f>IF(AND(OR(E222="Calendrier",E222="Au premier des deux"),N(F222)&gt;0,IF(N(M222)&gt;0,M222,IFERROR(N(INDEX(eq_start,MATCH(B222,eq_code,0))),0))&gt;0),IF(N(M222)&gt;0,M222,IFERROR(N(INDEX(eq_start,MATCH(B222,eq_code,0))),0))+F222,"")</f>
        <v/>
      </c>
      <c r="P222" s="75" t="str">
        <f>IF(AND(OR(E222="Compteur",E222="Au premier des deux"),N(G222)&gt;0),N(N222)+G222,"")</f>
        <v/>
      </c>
      <c r="Q222" s="75" t="str">
        <f>IF(B222="","",IFERROR(N(INDEX(eq_cnt,MATCH(B222,eq_code,0))),""))</f>
        <v/>
      </c>
      <c r="R222" s="77" t="str">
        <f>IF(ISNUMBER(O222),O222-p_today,"")</f>
        <v/>
      </c>
      <c r="S222" s="78" t="str">
        <f>IF(AND(ISNUMBER(P222),N(Q222)&gt;0),P222-Q222,"")</f>
        <v/>
      </c>
      <c r="T222" s="76" t="str">
        <f>IF(AND(ISNUMBER(O222),ISNUMBER(X222)),MIN(O222,X222),IF(ISNUMBER(O222),O222,X222))</f>
        <v/>
      </c>
      <c r="U222" s="79" t="str">
        <f>IF(AND(A222="",B222="",D222=""),"",IF(L222="Non","Inactif",IF(AND(NOT(ISNUMBER(R222)),NOT(ISNUMBER(S222))),"À compléter",IF(OR(AND(ISNUMBER(R222),N(R222)&lt;0),AND(ISNUMBER(S222),N(S222)&lt;0)),"En retard",IF(OR(AND(ISNUMBER(R222),N(R222)&lt;=p_soon),AND(ISNUMBER(S222),N(S222)&lt;=p_soon_pct*N(G222))),"Bientôt","À jour")))))</f>
        <v/>
      </c>
      <c r="V222" s="79" t="str">
        <f>IF(AND(A222="",B222="",D222=""),"",IF(A222="","N° de plan manquant",IF(COUNTIF($A$6:$A$505,A222)&gt;1,"N° de plan en double",IF(B222="","Équipement manquant",IF(ISNA(MATCH(B222,eq_code,0)),"Équipement inconnu",IF(D222="","Tâche manquante",IF(E222="","Déclenchement manquant",IF(AND(E222&lt;&gt;"Calendrier",E222&lt;&gt;"Compteur",E222&lt;&gt;"Au premier des deux"),"Déclenchement inconnu",IF(AND(E222&lt;&gt;"Compteur",OR(NOT(ISNUMBER(F222)),N(F222)&lt;=0)),"Périodicité en jours manquante",IF(AND(E222&lt;&gt;"Calendrier",OR(NOT(ISNUMBER(G222)),N(G222)&lt;=0)),"Périodicité compteur manquante",IF(AND(J222&lt;&gt;"",OR(NOT(ISNUMBER(J222)),N(J222)&lt;=0)),"Date de réalisation invalide",IF(AND(K222&lt;&gt;"",OR(NOT(ISNUMBER(K222)),N(K222)&lt;0)),"Compteur de réalisation invalide",IF(AND(E222&lt;&gt;"Compteur",N(M222)=0,IFERROR(N(INDEX(eq_start,MATCH(B222,eq_code,0))),0)=0),"Date de départ manquante",IF(AND(E222&lt;&gt;"Calendrier",K222="",N(N222)=0),"Compteur de départ manquant",IF(AND(E222&lt;&gt;"Calendrier",N(Q222)=0),"Relevé compteur manquant (Équipements)",IF(AND(I222&lt;&gt;"",ISNA(MATCH(I222,tech_name,0))),"Technicien inconnu",IF(AND(L222&lt;&gt;"",L222&lt;&gt;"Oui",L222&lt;&gt;"Non"),"Actif : Oui ou Non","OK")))))))))))))))))</f>
        <v/>
      </c>
      <c r="W222" s="67">
        <f>IFERROR(N(INDEX(eq_use,MATCH(B222,eq_code,0))),0)</f>
        <v>0.0</v>
      </c>
      <c r="X222" s="67" t="str">
        <f>IF(AND(ISNUMBER(S222),W222&gt;0),p_today+MAX(0,ROUNDUP(S222*7/W222,0)),"")</f>
        <v/>
      </c>
      <c r="Y222" s="67" t="str">
        <f>IF(AND(ISNUMBER(T222),OR(U222="En retard",U222="Bientôt",U222="À jour")),IF(AND(ISNUMBER(O222),ISNUMBER(X222)),MIN(F222,G222*7/W222),IF(ISNUMBER(O222),F222,G222*7/W222)),"")</f>
        <v/>
      </c>
      <c r="Z222" s="67" t="str">
        <f>IF(OR(U222="En retard",U222="Bientôt"),IF(U222="En retard",0,1)*1000000000+IF(AB222="A",0,IF(AB222="B",1,IF(AB222="C",2,3)))*100000000+IF(ISNUMBER(T222),T222,p_today)*1000+ROW()-5,"")</f>
        <v/>
      </c>
      <c r="AA222" s="67" t="str">
        <f>IF(Z222="","",COUNTIF($Z$6:$Z$505,"&lt;"&amp;Z222)+1)</f>
        <v/>
      </c>
      <c r="AB222" s="67" t="str">
        <f>IFERROR(INDEX(eq_crit,MATCH(B222,eq_code,0))&amp;"","")</f>
        <v/>
      </c>
    </row>
    <row r="223">
      <c r="A223" s="65" t="n"/>
      <c r="B223" s="66" t="n"/>
      <c r="C223" s="67" t="str">
        <f>IF(B223="","",IFERROR(INDEX(eq_des,MATCH(B223,eq_code,0))&amp;"","Équipement inconnu"))</f>
        <v/>
      </c>
      <c r="D223" s="66" t="n"/>
      <c r="E223" s="68" t="n"/>
      <c r="F223" s="69" t="n"/>
      <c r="G223" s="70" t="n"/>
      <c r="H223" s="71" t="n"/>
      <c r="I223" s="66" t="n"/>
      <c r="J223" s="72" t="n"/>
      <c r="K223" s="73" t="n"/>
      <c r="L223" s="68" t="n"/>
      <c r="M223" s="74" t="str">
        <f>IF(AND(A223="",B223="",D223=""),"",MAX(N(J223),IF(A223="",0,SUMPRODUCT(MAX((in_plan=A223)*in_prev*in_dnum)))))</f>
        <v/>
      </c>
      <c r="N223" s="75" t="str">
        <f>IF(AND(A223="",B223="",D223=""),"",MAX(N(K223),IF(A223="",0,SUMPRODUCT(MAX((in_plan=A223)*in_prev*in_cnum)))))</f>
        <v/>
      </c>
      <c r="O223" s="76" t="str">
        <f>IF(AND(OR(E223="Calendrier",E223="Au premier des deux"),N(F223)&gt;0,IF(N(M223)&gt;0,M223,IFERROR(N(INDEX(eq_start,MATCH(B223,eq_code,0))),0))&gt;0),IF(N(M223)&gt;0,M223,IFERROR(N(INDEX(eq_start,MATCH(B223,eq_code,0))),0))+F223,"")</f>
        <v/>
      </c>
      <c r="P223" s="75" t="str">
        <f>IF(AND(OR(E223="Compteur",E223="Au premier des deux"),N(G223)&gt;0),N(N223)+G223,"")</f>
        <v/>
      </c>
      <c r="Q223" s="75" t="str">
        <f>IF(B223="","",IFERROR(N(INDEX(eq_cnt,MATCH(B223,eq_code,0))),""))</f>
        <v/>
      </c>
      <c r="R223" s="77" t="str">
        <f>IF(ISNUMBER(O223),O223-p_today,"")</f>
        <v/>
      </c>
      <c r="S223" s="78" t="str">
        <f>IF(AND(ISNUMBER(P223),N(Q223)&gt;0),P223-Q223,"")</f>
        <v/>
      </c>
      <c r="T223" s="76" t="str">
        <f>IF(AND(ISNUMBER(O223),ISNUMBER(X223)),MIN(O223,X223),IF(ISNUMBER(O223),O223,X223))</f>
        <v/>
      </c>
      <c r="U223" s="79" t="str">
        <f>IF(AND(A223="",B223="",D223=""),"",IF(L223="Non","Inactif",IF(AND(NOT(ISNUMBER(R223)),NOT(ISNUMBER(S223))),"À compléter",IF(OR(AND(ISNUMBER(R223),N(R223)&lt;0),AND(ISNUMBER(S223),N(S223)&lt;0)),"En retard",IF(OR(AND(ISNUMBER(R223),N(R223)&lt;=p_soon),AND(ISNUMBER(S223),N(S223)&lt;=p_soon_pct*N(G223))),"Bientôt","À jour")))))</f>
        <v/>
      </c>
      <c r="V223" s="79" t="str">
        <f>IF(AND(A223="",B223="",D223=""),"",IF(A223="","N° de plan manquant",IF(COUNTIF($A$6:$A$505,A223)&gt;1,"N° de plan en double",IF(B223="","Équipement manquant",IF(ISNA(MATCH(B223,eq_code,0)),"Équipement inconnu",IF(D223="","Tâche manquante",IF(E223="","Déclenchement manquant",IF(AND(E223&lt;&gt;"Calendrier",E223&lt;&gt;"Compteur",E223&lt;&gt;"Au premier des deux"),"Déclenchement inconnu",IF(AND(E223&lt;&gt;"Compteur",OR(NOT(ISNUMBER(F223)),N(F223)&lt;=0)),"Périodicité en jours manquante",IF(AND(E223&lt;&gt;"Calendrier",OR(NOT(ISNUMBER(G223)),N(G223)&lt;=0)),"Périodicité compteur manquante",IF(AND(J223&lt;&gt;"",OR(NOT(ISNUMBER(J223)),N(J223)&lt;=0)),"Date de réalisation invalide",IF(AND(K223&lt;&gt;"",OR(NOT(ISNUMBER(K223)),N(K223)&lt;0)),"Compteur de réalisation invalide",IF(AND(E223&lt;&gt;"Compteur",N(M223)=0,IFERROR(N(INDEX(eq_start,MATCH(B223,eq_code,0))),0)=0),"Date de départ manquante",IF(AND(E223&lt;&gt;"Calendrier",K223="",N(N223)=0),"Compteur de départ manquant",IF(AND(E223&lt;&gt;"Calendrier",N(Q223)=0),"Relevé compteur manquant (Équipements)",IF(AND(I223&lt;&gt;"",ISNA(MATCH(I223,tech_name,0))),"Technicien inconnu",IF(AND(L223&lt;&gt;"",L223&lt;&gt;"Oui",L223&lt;&gt;"Non"),"Actif : Oui ou Non","OK")))))))))))))))))</f>
        <v/>
      </c>
      <c r="W223" s="67">
        <f>IFERROR(N(INDEX(eq_use,MATCH(B223,eq_code,0))),0)</f>
        <v>0.0</v>
      </c>
      <c r="X223" s="67" t="str">
        <f>IF(AND(ISNUMBER(S223),W223&gt;0),p_today+MAX(0,ROUNDUP(S223*7/W223,0)),"")</f>
        <v/>
      </c>
      <c r="Y223" s="67" t="str">
        <f>IF(AND(ISNUMBER(T223),OR(U223="En retard",U223="Bientôt",U223="À jour")),IF(AND(ISNUMBER(O223),ISNUMBER(X223)),MIN(F223,G223*7/W223),IF(ISNUMBER(O223),F223,G223*7/W223)),"")</f>
        <v/>
      </c>
      <c r="Z223" s="67" t="str">
        <f>IF(OR(U223="En retard",U223="Bientôt"),IF(U223="En retard",0,1)*1000000000+IF(AB223="A",0,IF(AB223="B",1,IF(AB223="C",2,3)))*100000000+IF(ISNUMBER(T223),T223,p_today)*1000+ROW()-5,"")</f>
        <v/>
      </c>
      <c r="AA223" s="67" t="str">
        <f>IF(Z223="","",COUNTIF($Z$6:$Z$505,"&lt;"&amp;Z223)+1)</f>
        <v/>
      </c>
      <c r="AB223" s="67" t="str">
        <f>IFERROR(INDEX(eq_crit,MATCH(B223,eq_code,0))&amp;"","")</f>
        <v/>
      </c>
    </row>
    <row r="224">
      <c r="A224" s="65" t="n"/>
      <c r="B224" s="66" t="n"/>
      <c r="C224" s="67" t="str">
        <f>IF(B224="","",IFERROR(INDEX(eq_des,MATCH(B224,eq_code,0))&amp;"","Équipement inconnu"))</f>
        <v/>
      </c>
      <c r="D224" s="66" t="n"/>
      <c r="E224" s="68" t="n"/>
      <c r="F224" s="69" t="n"/>
      <c r="G224" s="70" t="n"/>
      <c r="H224" s="71" t="n"/>
      <c r="I224" s="66" t="n"/>
      <c r="J224" s="72" t="n"/>
      <c r="K224" s="73" t="n"/>
      <c r="L224" s="68" t="n"/>
      <c r="M224" s="74" t="str">
        <f>IF(AND(A224="",B224="",D224=""),"",MAX(N(J224),IF(A224="",0,SUMPRODUCT(MAX((in_plan=A224)*in_prev*in_dnum)))))</f>
        <v/>
      </c>
      <c r="N224" s="75" t="str">
        <f>IF(AND(A224="",B224="",D224=""),"",MAX(N(K224),IF(A224="",0,SUMPRODUCT(MAX((in_plan=A224)*in_prev*in_cnum)))))</f>
        <v/>
      </c>
      <c r="O224" s="76" t="str">
        <f>IF(AND(OR(E224="Calendrier",E224="Au premier des deux"),N(F224)&gt;0,IF(N(M224)&gt;0,M224,IFERROR(N(INDEX(eq_start,MATCH(B224,eq_code,0))),0))&gt;0),IF(N(M224)&gt;0,M224,IFERROR(N(INDEX(eq_start,MATCH(B224,eq_code,0))),0))+F224,"")</f>
        <v/>
      </c>
      <c r="P224" s="75" t="str">
        <f>IF(AND(OR(E224="Compteur",E224="Au premier des deux"),N(G224)&gt;0),N(N224)+G224,"")</f>
        <v/>
      </c>
      <c r="Q224" s="75" t="str">
        <f>IF(B224="","",IFERROR(N(INDEX(eq_cnt,MATCH(B224,eq_code,0))),""))</f>
        <v/>
      </c>
      <c r="R224" s="77" t="str">
        <f>IF(ISNUMBER(O224),O224-p_today,"")</f>
        <v/>
      </c>
      <c r="S224" s="78" t="str">
        <f>IF(AND(ISNUMBER(P224),N(Q224)&gt;0),P224-Q224,"")</f>
        <v/>
      </c>
      <c r="T224" s="76" t="str">
        <f>IF(AND(ISNUMBER(O224),ISNUMBER(X224)),MIN(O224,X224),IF(ISNUMBER(O224),O224,X224))</f>
        <v/>
      </c>
      <c r="U224" s="79" t="str">
        <f>IF(AND(A224="",B224="",D224=""),"",IF(L224="Non","Inactif",IF(AND(NOT(ISNUMBER(R224)),NOT(ISNUMBER(S224))),"À compléter",IF(OR(AND(ISNUMBER(R224),N(R224)&lt;0),AND(ISNUMBER(S224),N(S224)&lt;0)),"En retard",IF(OR(AND(ISNUMBER(R224),N(R224)&lt;=p_soon),AND(ISNUMBER(S224),N(S224)&lt;=p_soon_pct*N(G224))),"Bientôt","À jour")))))</f>
        <v/>
      </c>
      <c r="V224" s="79" t="str">
        <f>IF(AND(A224="",B224="",D224=""),"",IF(A224="","N° de plan manquant",IF(COUNTIF($A$6:$A$505,A224)&gt;1,"N° de plan en double",IF(B224="","Équipement manquant",IF(ISNA(MATCH(B224,eq_code,0)),"Équipement inconnu",IF(D224="","Tâche manquante",IF(E224="","Déclenchement manquant",IF(AND(E224&lt;&gt;"Calendrier",E224&lt;&gt;"Compteur",E224&lt;&gt;"Au premier des deux"),"Déclenchement inconnu",IF(AND(E224&lt;&gt;"Compteur",OR(NOT(ISNUMBER(F224)),N(F224)&lt;=0)),"Périodicité en jours manquante",IF(AND(E224&lt;&gt;"Calendrier",OR(NOT(ISNUMBER(G224)),N(G224)&lt;=0)),"Périodicité compteur manquante",IF(AND(J224&lt;&gt;"",OR(NOT(ISNUMBER(J224)),N(J224)&lt;=0)),"Date de réalisation invalide",IF(AND(K224&lt;&gt;"",OR(NOT(ISNUMBER(K224)),N(K224)&lt;0)),"Compteur de réalisation invalide",IF(AND(E224&lt;&gt;"Compteur",N(M224)=0,IFERROR(N(INDEX(eq_start,MATCH(B224,eq_code,0))),0)=0),"Date de départ manquante",IF(AND(E224&lt;&gt;"Calendrier",K224="",N(N224)=0),"Compteur de départ manquant",IF(AND(E224&lt;&gt;"Calendrier",N(Q224)=0),"Relevé compteur manquant (Équipements)",IF(AND(I224&lt;&gt;"",ISNA(MATCH(I224,tech_name,0))),"Technicien inconnu",IF(AND(L224&lt;&gt;"",L224&lt;&gt;"Oui",L224&lt;&gt;"Non"),"Actif : Oui ou Non","OK")))))))))))))))))</f>
        <v/>
      </c>
      <c r="W224" s="67">
        <f>IFERROR(N(INDEX(eq_use,MATCH(B224,eq_code,0))),0)</f>
        <v>0.0</v>
      </c>
      <c r="X224" s="67" t="str">
        <f>IF(AND(ISNUMBER(S224),W224&gt;0),p_today+MAX(0,ROUNDUP(S224*7/W224,0)),"")</f>
        <v/>
      </c>
      <c r="Y224" s="67" t="str">
        <f>IF(AND(ISNUMBER(T224),OR(U224="En retard",U224="Bientôt",U224="À jour")),IF(AND(ISNUMBER(O224),ISNUMBER(X224)),MIN(F224,G224*7/W224),IF(ISNUMBER(O224),F224,G224*7/W224)),"")</f>
        <v/>
      </c>
      <c r="Z224" s="67" t="str">
        <f>IF(OR(U224="En retard",U224="Bientôt"),IF(U224="En retard",0,1)*1000000000+IF(AB224="A",0,IF(AB224="B",1,IF(AB224="C",2,3)))*100000000+IF(ISNUMBER(T224),T224,p_today)*1000+ROW()-5,"")</f>
        <v/>
      </c>
      <c r="AA224" s="67" t="str">
        <f>IF(Z224="","",COUNTIF($Z$6:$Z$505,"&lt;"&amp;Z224)+1)</f>
        <v/>
      </c>
      <c r="AB224" s="67" t="str">
        <f>IFERROR(INDEX(eq_crit,MATCH(B224,eq_code,0))&amp;"","")</f>
        <v/>
      </c>
    </row>
    <row r="225">
      <c r="A225" s="65" t="n"/>
      <c r="B225" s="66" t="n"/>
      <c r="C225" s="67" t="str">
        <f>IF(B225="","",IFERROR(INDEX(eq_des,MATCH(B225,eq_code,0))&amp;"","Équipement inconnu"))</f>
        <v/>
      </c>
      <c r="D225" s="66" t="n"/>
      <c r="E225" s="68" t="n"/>
      <c r="F225" s="69" t="n"/>
      <c r="G225" s="70" t="n"/>
      <c r="H225" s="71" t="n"/>
      <c r="I225" s="66" t="n"/>
      <c r="J225" s="72" t="n"/>
      <c r="K225" s="73" t="n"/>
      <c r="L225" s="68" t="n"/>
      <c r="M225" s="74" t="str">
        <f>IF(AND(A225="",B225="",D225=""),"",MAX(N(J225),IF(A225="",0,SUMPRODUCT(MAX((in_plan=A225)*in_prev*in_dnum)))))</f>
        <v/>
      </c>
      <c r="N225" s="75" t="str">
        <f>IF(AND(A225="",B225="",D225=""),"",MAX(N(K225),IF(A225="",0,SUMPRODUCT(MAX((in_plan=A225)*in_prev*in_cnum)))))</f>
        <v/>
      </c>
      <c r="O225" s="76" t="str">
        <f>IF(AND(OR(E225="Calendrier",E225="Au premier des deux"),N(F225)&gt;0,IF(N(M225)&gt;0,M225,IFERROR(N(INDEX(eq_start,MATCH(B225,eq_code,0))),0))&gt;0),IF(N(M225)&gt;0,M225,IFERROR(N(INDEX(eq_start,MATCH(B225,eq_code,0))),0))+F225,"")</f>
        <v/>
      </c>
      <c r="P225" s="75" t="str">
        <f>IF(AND(OR(E225="Compteur",E225="Au premier des deux"),N(G225)&gt;0),N(N225)+G225,"")</f>
        <v/>
      </c>
      <c r="Q225" s="75" t="str">
        <f>IF(B225="","",IFERROR(N(INDEX(eq_cnt,MATCH(B225,eq_code,0))),""))</f>
        <v/>
      </c>
      <c r="R225" s="77" t="str">
        <f>IF(ISNUMBER(O225),O225-p_today,"")</f>
        <v/>
      </c>
      <c r="S225" s="78" t="str">
        <f>IF(AND(ISNUMBER(P225),N(Q225)&gt;0),P225-Q225,"")</f>
        <v/>
      </c>
      <c r="T225" s="76" t="str">
        <f>IF(AND(ISNUMBER(O225),ISNUMBER(X225)),MIN(O225,X225),IF(ISNUMBER(O225),O225,X225))</f>
        <v/>
      </c>
      <c r="U225" s="79" t="str">
        <f>IF(AND(A225="",B225="",D225=""),"",IF(L225="Non","Inactif",IF(AND(NOT(ISNUMBER(R225)),NOT(ISNUMBER(S225))),"À compléter",IF(OR(AND(ISNUMBER(R225),N(R225)&lt;0),AND(ISNUMBER(S225),N(S225)&lt;0)),"En retard",IF(OR(AND(ISNUMBER(R225),N(R225)&lt;=p_soon),AND(ISNUMBER(S225),N(S225)&lt;=p_soon_pct*N(G225))),"Bientôt","À jour")))))</f>
        <v/>
      </c>
      <c r="V225" s="79" t="str">
        <f>IF(AND(A225="",B225="",D225=""),"",IF(A225="","N° de plan manquant",IF(COUNTIF($A$6:$A$505,A225)&gt;1,"N° de plan en double",IF(B225="","Équipement manquant",IF(ISNA(MATCH(B225,eq_code,0)),"Équipement inconnu",IF(D225="","Tâche manquante",IF(E225="","Déclenchement manquant",IF(AND(E225&lt;&gt;"Calendrier",E225&lt;&gt;"Compteur",E225&lt;&gt;"Au premier des deux"),"Déclenchement inconnu",IF(AND(E225&lt;&gt;"Compteur",OR(NOT(ISNUMBER(F225)),N(F225)&lt;=0)),"Périodicité en jours manquante",IF(AND(E225&lt;&gt;"Calendrier",OR(NOT(ISNUMBER(G225)),N(G225)&lt;=0)),"Périodicité compteur manquante",IF(AND(J225&lt;&gt;"",OR(NOT(ISNUMBER(J225)),N(J225)&lt;=0)),"Date de réalisation invalide",IF(AND(K225&lt;&gt;"",OR(NOT(ISNUMBER(K225)),N(K225)&lt;0)),"Compteur de réalisation invalide",IF(AND(E225&lt;&gt;"Compteur",N(M225)=0,IFERROR(N(INDEX(eq_start,MATCH(B225,eq_code,0))),0)=0),"Date de départ manquante",IF(AND(E225&lt;&gt;"Calendrier",K225="",N(N225)=0),"Compteur de départ manquant",IF(AND(E225&lt;&gt;"Calendrier",N(Q225)=0),"Relevé compteur manquant (Équipements)",IF(AND(I225&lt;&gt;"",ISNA(MATCH(I225,tech_name,0))),"Technicien inconnu",IF(AND(L225&lt;&gt;"",L225&lt;&gt;"Oui",L225&lt;&gt;"Non"),"Actif : Oui ou Non","OK")))))))))))))))))</f>
        <v/>
      </c>
      <c r="W225" s="67">
        <f>IFERROR(N(INDEX(eq_use,MATCH(B225,eq_code,0))),0)</f>
        <v>0.0</v>
      </c>
      <c r="X225" s="67" t="str">
        <f>IF(AND(ISNUMBER(S225),W225&gt;0),p_today+MAX(0,ROUNDUP(S225*7/W225,0)),"")</f>
        <v/>
      </c>
      <c r="Y225" s="67" t="str">
        <f>IF(AND(ISNUMBER(T225),OR(U225="En retard",U225="Bientôt",U225="À jour")),IF(AND(ISNUMBER(O225),ISNUMBER(X225)),MIN(F225,G225*7/W225),IF(ISNUMBER(O225),F225,G225*7/W225)),"")</f>
        <v/>
      </c>
      <c r="Z225" s="67" t="str">
        <f>IF(OR(U225="En retard",U225="Bientôt"),IF(U225="En retard",0,1)*1000000000+IF(AB225="A",0,IF(AB225="B",1,IF(AB225="C",2,3)))*100000000+IF(ISNUMBER(T225),T225,p_today)*1000+ROW()-5,"")</f>
        <v/>
      </c>
      <c r="AA225" s="67" t="str">
        <f>IF(Z225="","",COUNTIF($Z$6:$Z$505,"&lt;"&amp;Z225)+1)</f>
        <v/>
      </c>
      <c r="AB225" s="67" t="str">
        <f>IFERROR(INDEX(eq_crit,MATCH(B225,eq_code,0))&amp;"","")</f>
        <v/>
      </c>
    </row>
    <row r="226">
      <c r="A226" s="65" t="n"/>
      <c r="B226" s="66" t="n"/>
      <c r="C226" s="67" t="str">
        <f>IF(B226="","",IFERROR(INDEX(eq_des,MATCH(B226,eq_code,0))&amp;"","Équipement inconnu"))</f>
        <v/>
      </c>
      <c r="D226" s="66" t="n"/>
      <c r="E226" s="68" t="n"/>
      <c r="F226" s="69" t="n"/>
      <c r="G226" s="70" t="n"/>
      <c r="H226" s="71" t="n"/>
      <c r="I226" s="66" t="n"/>
      <c r="J226" s="72" t="n"/>
      <c r="K226" s="73" t="n"/>
      <c r="L226" s="68" t="n"/>
      <c r="M226" s="74" t="str">
        <f>IF(AND(A226="",B226="",D226=""),"",MAX(N(J226),IF(A226="",0,SUMPRODUCT(MAX((in_plan=A226)*in_prev*in_dnum)))))</f>
        <v/>
      </c>
      <c r="N226" s="75" t="str">
        <f>IF(AND(A226="",B226="",D226=""),"",MAX(N(K226),IF(A226="",0,SUMPRODUCT(MAX((in_plan=A226)*in_prev*in_cnum)))))</f>
        <v/>
      </c>
      <c r="O226" s="76" t="str">
        <f>IF(AND(OR(E226="Calendrier",E226="Au premier des deux"),N(F226)&gt;0,IF(N(M226)&gt;0,M226,IFERROR(N(INDEX(eq_start,MATCH(B226,eq_code,0))),0))&gt;0),IF(N(M226)&gt;0,M226,IFERROR(N(INDEX(eq_start,MATCH(B226,eq_code,0))),0))+F226,"")</f>
        <v/>
      </c>
      <c r="P226" s="75" t="str">
        <f>IF(AND(OR(E226="Compteur",E226="Au premier des deux"),N(G226)&gt;0),N(N226)+G226,"")</f>
        <v/>
      </c>
      <c r="Q226" s="75" t="str">
        <f>IF(B226="","",IFERROR(N(INDEX(eq_cnt,MATCH(B226,eq_code,0))),""))</f>
        <v/>
      </c>
      <c r="R226" s="77" t="str">
        <f>IF(ISNUMBER(O226),O226-p_today,"")</f>
        <v/>
      </c>
      <c r="S226" s="78" t="str">
        <f>IF(AND(ISNUMBER(P226),N(Q226)&gt;0),P226-Q226,"")</f>
        <v/>
      </c>
      <c r="T226" s="76" t="str">
        <f>IF(AND(ISNUMBER(O226),ISNUMBER(X226)),MIN(O226,X226),IF(ISNUMBER(O226),O226,X226))</f>
        <v/>
      </c>
      <c r="U226" s="79" t="str">
        <f>IF(AND(A226="",B226="",D226=""),"",IF(L226="Non","Inactif",IF(AND(NOT(ISNUMBER(R226)),NOT(ISNUMBER(S226))),"À compléter",IF(OR(AND(ISNUMBER(R226),N(R226)&lt;0),AND(ISNUMBER(S226),N(S226)&lt;0)),"En retard",IF(OR(AND(ISNUMBER(R226),N(R226)&lt;=p_soon),AND(ISNUMBER(S226),N(S226)&lt;=p_soon_pct*N(G226))),"Bientôt","À jour")))))</f>
        <v/>
      </c>
      <c r="V226" s="79" t="str">
        <f>IF(AND(A226="",B226="",D226=""),"",IF(A226="","N° de plan manquant",IF(COUNTIF($A$6:$A$505,A226)&gt;1,"N° de plan en double",IF(B226="","Équipement manquant",IF(ISNA(MATCH(B226,eq_code,0)),"Équipement inconnu",IF(D226="","Tâche manquante",IF(E226="","Déclenchement manquant",IF(AND(E226&lt;&gt;"Calendrier",E226&lt;&gt;"Compteur",E226&lt;&gt;"Au premier des deux"),"Déclenchement inconnu",IF(AND(E226&lt;&gt;"Compteur",OR(NOT(ISNUMBER(F226)),N(F226)&lt;=0)),"Périodicité en jours manquante",IF(AND(E226&lt;&gt;"Calendrier",OR(NOT(ISNUMBER(G226)),N(G226)&lt;=0)),"Périodicité compteur manquante",IF(AND(J226&lt;&gt;"",OR(NOT(ISNUMBER(J226)),N(J226)&lt;=0)),"Date de réalisation invalide",IF(AND(K226&lt;&gt;"",OR(NOT(ISNUMBER(K226)),N(K226)&lt;0)),"Compteur de réalisation invalide",IF(AND(E226&lt;&gt;"Compteur",N(M226)=0,IFERROR(N(INDEX(eq_start,MATCH(B226,eq_code,0))),0)=0),"Date de départ manquante",IF(AND(E226&lt;&gt;"Calendrier",K226="",N(N226)=0),"Compteur de départ manquant",IF(AND(E226&lt;&gt;"Calendrier",N(Q226)=0),"Relevé compteur manquant (Équipements)",IF(AND(I226&lt;&gt;"",ISNA(MATCH(I226,tech_name,0))),"Technicien inconnu",IF(AND(L226&lt;&gt;"",L226&lt;&gt;"Oui",L226&lt;&gt;"Non"),"Actif : Oui ou Non","OK")))))))))))))))))</f>
        <v/>
      </c>
      <c r="W226" s="67">
        <f>IFERROR(N(INDEX(eq_use,MATCH(B226,eq_code,0))),0)</f>
        <v>0.0</v>
      </c>
      <c r="X226" s="67" t="str">
        <f>IF(AND(ISNUMBER(S226),W226&gt;0),p_today+MAX(0,ROUNDUP(S226*7/W226,0)),"")</f>
        <v/>
      </c>
      <c r="Y226" s="67" t="str">
        <f>IF(AND(ISNUMBER(T226),OR(U226="En retard",U226="Bientôt",U226="À jour")),IF(AND(ISNUMBER(O226),ISNUMBER(X226)),MIN(F226,G226*7/W226),IF(ISNUMBER(O226),F226,G226*7/W226)),"")</f>
        <v/>
      </c>
      <c r="Z226" s="67" t="str">
        <f>IF(OR(U226="En retard",U226="Bientôt"),IF(U226="En retard",0,1)*1000000000+IF(AB226="A",0,IF(AB226="B",1,IF(AB226="C",2,3)))*100000000+IF(ISNUMBER(T226),T226,p_today)*1000+ROW()-5,"")</f>
        <v/>
      </c>
      <c r="AA226" s="67" t="str">
        <f>IF(Z226="","",COUNTIF($Z$6:$Z$505,"&lt;"&amp;Z226)+1)</f>
        <v/>
      </c>
      <c r="AB226" s="67" t="str">
        <f>IFERROR(INDEX(eq_crit,MATCH(B226,eq_code,0))&amp;"","")</f>
        <v/>
      </c>
    </row>
    <row r="227">
      <c r="A227" s="65" t="n"/>
      <c r="B227" s="66" t="n"/>
      <c r="C227" s="67" t="str">
        <f>IF(B227="","",IFERROR(INDEX(eq_des,MATCH(B227,eq_code,0))&amp;"","Équipement inconnu"))</f>
        <v/>
      </c>
      <c r="D227" s="66" t="n"/>
      <c r="E227" s="68" t="n"/>
      <c r="F227" s="69" t="n"/>
      <c r="G227" s="70" t="n"/>
      <c r="H227" s="71" t="n"/>
      <c r="I227" s="66" t="n"/>
      <c r="J227" s="72" t="n"/>
      <c r="K227" s="73" t="n"/>
      <c r="L227" s="68" t="n"/>
      <c r="M227" s="74" t="str">
        <f>IF(AND(A227="",B227="",D227=""),"",MAX(N(J227),IF(A227="",0,SUMPRODUCT(MAX((in_plan=A227)*in_prev*in_dnum)))))</f>
        <v/>
      </c>
      <c r="N227" s="75" t="str">
        <f>IF(AND(A227="",B227="",D227=""),"",MAX(N(K227),IF(A227="",0,SUMPRODUCT(MAX((in_plan=A227)*in_prev*in_cnum)))))</f>
        <v/>
      </c>
      <c r="O227" s="76" t="str">
        <f>IF(AND(OR(E227="Calendrier",E227="Au premier des deux"),N(F227)&gt;0,IF(N(M227)&gt;0,M227,IFERROR(N(INDEX(eq_start,MATCH(B227,eq_code,0))),0))&gt;0),IF(N(M227)&gt;0,M227,IFERROR(N(INDEX(eq_start,MATCH(B227,eq_code,0))),0))+F227,"")</f>
        <v/>
      </c>
      <c r="P227" s="75" t="str">
        <f>IF(AND(OR(E227="Compteur",E227="Au premier des deux"),N(G227)&gt;0),N(N227)+G227,"")</f>
        <v/>
      </c>
      <c r="Q227" s="75" t="str">
        <f>IF(B227="","",IFERROR(N(INDEX(eq_cnt,MATCH(B227,eq_code,0))),""))</f>
        <v/>
      </c>
      <c r="R227" s="77" t="str">
        <f>IF(ISNUMBER(O227),O227-p_today,"")</f>
        <v/>
      </c>
      <c r="S227" s="78" t="str">
        <f>IF(AND(ISNUMBER(P227),N(Q227)&gt;0),P227-Q227,"")</f>
        <v/>
      </c>
      <c r="T227" s="76" t="str">
        <f>IF(AND(ISNUMBER(O227),ISNUMBER(X227)),MIN(O227,X227),IF(ISNUMBER(O227),O227,X227))</f>
        <v/>
      </c>
      <c r="U227" s="79" t="str">
        <f>IF(AND(A227="",B227="",D227=""),"",IF(L227="Non","Inactif",IF(AND(NOT(ISNUMBER(R227)),NOT(ISNUMBER(S227))),"À compléter",IF(OR(AND(ISNUMBER(R227),N(R227)&lt;0),AND(ISNUMBER(S227),N(S227)&lt;0)),"En retard",IF(OR(AND(ISNUMBER(R227),N(R227)&lt;=p_soon),AND(ISNUMBER(S227),N(S227)&lt;=p_soon_pct*N(G227))),"Bientôt","À jour")))))</f>
        <v/>
      </c>
      <c r="V227" s="79" t="str">
        <f>IF(AND(A227="",B227="",D227=""),"",IF(A227="","N° de plan manquant",IF(COUNTIF($A$6:$A$505,A227)&gt;1,"N° de plan en double",IF(B227="","Équipement manquant",IF(ISNA(MATCH(B227,eq_code,0)),"Équipement inconnu",IF(D227="","Tâche manquante",IF(E227="","Déclenchement manquant",IF(AND(E227&lt;&gt;"Calendrier",E227&lt;&gt;"Compteur",E227&lt;&gt;"Au premier des deux"),"Déclenchement inconnu",IF(AND(E227&lt;&gt;"Compteur",OR(NOT(ISNUMBER(F227)),N(F227)&lt;=0)),"Périodicité en jours manquante",IF(AND(E227&lt;&gt;"Calendrier",OR(NOT(ISNUMBER(G227)),N(G227)&lt;=0)),"Périodicité compteur manquante",IF(AND(J227&lt;&gt;"",OR(NOT(ISNUMBER(J227)),N(J227)&lt;=0)),"Date de réalisation invalide",IF(AND(K227&lt;&gt;"",OR(NOT(ISNUMBER(K227)),N(K227)&lt;0)),"Compteur de réalisation invalide",IF(AND(E227&lt;&gt;"Compteur",N(M227)=0,IFERROR(N(INDEX(eq_start,MATCH(B227,eq_code,0))),0)=0),"Date de départ manquante",IF(AND(E227&lt;&gt;"Calendrier",K227="",N(N227)=0),"Compteur de départ manquant",IF(AND(E227&lt;&gt;"Calendrier",N(Q227)=0),"Relevé compteur manquant (Équipements)",IF(AND(I227&lt;&gt;"",ISNA(MATCH(I227,tech_name,0))),"Technicien inconnu",IF(AND(L227&lt;&gt;"",L227&lt;&gt;"Oui",L227&lt;&gt;"Non"),"Actif : Oui ou Non","OK")))))))))))))))))</f>
        <v/>
      </c>
      <c r="W227" s="67">
        <f>IFERROR(N(INDEX(eq_use,MATCH(B227,eq_code,0))),0)</f>
        <v>0.0</v>
      </c>
      <c r="X227" s="67" t="str">
        <f>IF(AND(ISNUMBER(S227),W227&gt;0),p_today+MAX(0,ROUNDUP(S227*7/W227,0)),"")</f>
        <v/>
      </c>
      <c r="Y227" s="67" t="str">
        <f>IF(AND(ISNUMBER(T227),OR(U227="En retard",U227="Bientôt",U227="À jour")),IF(AND(ISNUMBER(O227),ISNUMBER(X227)),MIN(F227,G227*7/W227),IF(ISNUMBER(O227),F227,G227*7/W227)),"")</f>
        <v/>
      </c>
      <c r="Z227" s="67" t="str">
        <f>IF(OR(U227="En retard",U227="Bientôt"),IF(U227="En retard",0,1)*1000000000+IF(AB227="A",0,IF(AB227="B",1,IF(AB227="C",2,3)))*100000000+IF(ISNUMBER(T227),T227,p_today)*1000+ROW()-5,"")</f>
        <v/>
      </c>
      <c r="AA227" s="67" t="str">
        <f>IF(Z227="","",COUNTIF($Z$6:$Z$505,"&lt;"&amp;Z227)+1)</f>
        <v/>
      </c>
      <c r="AB227" s="67" t="str">
        <f>IFERROR(INDEX(eq_crit,MATCH(B227,eq_code,0))&amp;"","")</f>
        <v/>
      </c>
    </row>
    <row r="228">
      <c r="A228" s="65" t="n"/>
      <c r="B228" s="66" t="n"/>
      <c r="C228" s="67" t="str">
        <f>IF(B228="","",IFERROR(INDEX(eq_des,MATCH(B228,eq_code,0))&amp;"","Équipement inconnu"))</f>
        <v/>
      </c>
      <c r="D228" s="66" t="n"/>
      <c r="E228" s="68" t="n"/>
      <c r="F228" s="69" t="n"/>
      <c r="G228" s="70" t="n"/>
      <c r="H228" s="71" t="n"/>
      <c r="I228" s="66" t="n"/>
      <c r="J228" s="72" t="n"/>
      <c r="K228" s="73" t="n"/>
      <c r="L228" s="68" t="n"/>
      <c r="M228" s="74" t="str">
        <f>IF(AND(A228="",B228="",D228=""),"",MAX(N(J228),IF(A228="",0,SUMPRODUCT(MAX((in_plan=A228)*in_prev*in_dnum)))))</f>
        <v/>
      </c>
      <c r="N228" s="75" t="str">
        <f>IF(AND(A228="",B228="",D228=""),"",MAX(N(K228),IF(A228="",0,SUMPRODUCT(MAX((in_plan=A228)*in_prev*in_cnum)))))</f>
        <v/>
      </c>
      <c r="O228" s="76" t="str">
        <f>IF(AND(OR(E228="Calendrier",E228="Au premier des deux"),N(F228)&gt;0,IF(N(M228)&gt;0,M228,IFERROR(N(INDEX(eq_start,MATCH(B228,eq_code,0))),0))&gt;0),IF(N(M228)&gt;0,M228,IFERROR(N(INDEX(eq_start,MATCH(B228,eq_code,0))),0))+F228,"")</f>
        <v/>
      </c>
      <c r="P228" s="75" t="str">
        <f>IF(AND(OR(E228="Compteur",E228="Au premier des deux"),N(G228)&gt;0),N(N228)+G228,"")</f>
        <v/>
      </c>
      <c r="Q228" s="75" t="str">
        <f>IF(B228="","",IFERROR(N(INDEX(eq_cnt,MATCH(B228,eq_code,0))),""))</f>
        <v/>
      </c>
      <c r="R228" s="77" t="str">
        <f>IF(ISNUMBER(O228),O228-p_today,"")</f>
        <v/>
      </c>
      <c r="S228" s="78" t="str">
        <f>IF(AND(ISNUMBER(P228),N(Q228)&gt;0),P228-Q228,"")</f>
        <v/>
      </c>
      <c r="T228" s="76" t="str">
        <f>IF(AND(ISNUMBER(O228),ISNUMBER(X228)),MIN(O228,X228),IF(ISNUMBER(O228),O228,X228))</f>
        <v/>
      </c>
      <c r="U228" s="79" t="str">
        <f>IF(AND(A228="",B228="",D228=""),"",IF(L228="Non","Inactif",IF(AND(NOT(ISNUMBER(R228)),NOT(ISNUMBER(S228))),"À compléter",IF(OR(AND(ISNUMBER(R228),N(R228)&lt;0),AND(ISNUMBER(S228),N(S228)&lt;0)),"En retard",IF(OR(AND(ISNUMBER(R228),N(R228)&lt;=p_soon),AND(ISNUMBER(S228),N(S228)&lt;=p_soon_pct*N(G228))),"Bientôt","À jour")))))</f>
        <v/>
      </c>
      <c r="V228" s="79" t="str">
        <f>IF(AND(A228="",B228="",D228=""),"",IF(A228="","N° de plan manquant",IF(COUNTIF($A$6:$A$505,A228)&gt;1,"N° de plan en double",IF(B228="","Équipement manquant",IF(ISNA(MATCH(B228,eq_code,0)),"Équipement inconnu",IF(D228="","Tâche manquante",IF(E228="","Déclenchement manquant",IF(AND(E228&lt;&gt;"Calendrier",E228&lt;&gt;"Compteur",E228&lt;&gt;"Au premier des deux"),"Déclenchement inconnu",IF(AND(E228&lt;&gt;"Compteur",OR(NOT(ISNUMBER(F228)),N(F228)&lt;=0)),"Périodicité en jours manquante",IF(AND(E228&lt;&gt;"Calendrier",OR(NOT(ISNUMBER(G228)),N(G228)&lt;=0)),"Périodicité compteur manquante",IF(AND(J228&lt;&gt;"",OR(NOT(ISNUMBER(J228)),N(J228)&lt;=0)),"Date de réalisation invalide",IF(AND(K228&lt;&gt;"",OR(NOT(ISNUMBER(K228)),N(K228)&lt;0)),"Compteur de réalisation invalide",IF(AND(E228&lt;&gt;"Compteur",N(M228)=0,IFERROR(N(INDEX(eq_start,MATCH(B228,eq_code,0))),0)=0),"Date de départ manquante",IF(AND(E228&lt;&gt;"Calendrier",K228="",N(N228)=0),"Compteur de départ manquant",IF(AND(E228&lt;&gt;"Calendrier",N(Q228)=0),"Relevé compteur manquant (Équipements)",IF(AND(I228&lt;&gt;"",ISNA(MATCH(I228,tech_name,0))),"Technicien inconnu",IF(AND(L228&lt;&gt;"",L228&lt;&gt;"Oui",L228&lt;&gt;"Non"),"Actif : Oui ou Non","OK")))))))))))))))))</f>
        <v/>
      </c>
      <c r="W228" s="67">
        <f>IFERROR(N(INDEX(eq_use,MATCH(B228,eq_code,0))),0)</f>
        <v>0.0</v>
      </c>
      <c r="X228" s="67" t="str">
        <f>IF(AND(ISNUMBER(S228),W228&gt;0),p_today+MAX(0,ROUNDUP(S228*7/W228,0)),"")</f>
        <v/>
      </c>
      <c r="Y228" s="67" t="str">
        <f>IF(AND(ISNUMBER(T228),OR(U228="En retard",U228="Bientôt",U228="À jour")),IF(AND(ISNUMBER(O228),ISNUMBER(X228)),MIN(F228,G228*7/W228),IF(ISNUMBER(O228),F228,G228*7/W228)),"")</f>
        <v/>
      </c>
      <c r="Z228" s="67" t="str">
        <f>IF(OR(U228="En retard",U228="Bientôt"),IF(U228="En retard",0,1)*1000000000+IF(AB228="A",0,IF(AB228="B",1,IF(AB228="C",2,3)))*100000000+IF(ISNUMBER(T228),T228,p_today)*1000+ROW()-5,"")</f>
        <v/>
      </c>
      <c r="AA228" s="67" t="str">
        <f>IF(Z228="","",COUNTIF($Z$6:$Z$505,"&lt;"&amp;Z228)+1)</f>
        <v/>
      </c>
      <c r="AB228" s="67" t="str">
        <f>IFERROR(INDEX(eq_crit,MATCH(B228,eq_code,0))&amp;"","")</f>
        <v/>
      </c>
    </row>
    <row r="229">
      <c r="A229" s="65" t="n"/>
      <c r="B229" s="66" t="n"/>
      <c r="C229" s="67" t="str">
        <f>IF(B229="","",IFERROR(INDEX(eq_des,MATCH(B229,eq_code,0))&amp;"","Équipement inconnu"))</f>
        <v/>
      </c>
      <c r="D229" s="66" t="n"/>
      <c r="E229" s="68" t="n"/>
      <c r="F229" s="69" t="n"/>
      <c r="G229" s="70" t="n"/>
      <c r="H229" s="71" t="n"/>
      <c r="I229" s="66" t="n"/>
      <c r="J229" s="72" t="n"/>
      <c r="K229" s="73" t="n"/>
      <c r="L229" s="68" t="n"/>
      <c r="M229" s="74" t="str">
        <f>IF(AND(A229="",B229="",D229=""),"",MAX(N(J229),IF(A229="",0,SUMPRODUCT(MAX((in_plan=A229)*in_prev*in_dnum)))))</f>
        <v/>
      </c>
      <c r="N229" s="75" t="str">
        <f>IF(AND(A229="",B229="",D229=""),"",MAX(N(K229),IF(A229="",0,SUMPRODUCT(MAX((in_plan=A229)*in_prev*in_cnum)))))</f>
        <v/>
      </c>
      <c r="O229" s="76" t="str">
        <f>IF(AND(OR(E229="Calendrier",E229="Au premier des deux"),N(F229)&gt;0,IF(N(M229)&gt;0,M229,IFERROR(N(INDEX(eq_start,MATCH(B229,eq_code,0))),0))&gt;0),IF(N(M229)&gt;0,M229,IFERROR(N(INDEX(eq_start,MATCH(B229,eq_code,0))),0))+F229,"")</f>
        <v/>
      </c>
      <c r="P229" s="75" t="str">
        <f>IF(AND(OR(E229="Compteur",E229="Au premier des deux"),N(G229)&gt;0),N(N229)+G229,"")</f>
        <v/>
      </c>
      <c r="Q229" s="75" t="str">
        <f>IF(B229="","",IFERROR(N(INDEX(eq_cnt,MATCH(B229,eq_code,0))),""))</f>
        <v/>
      </c>
      <c r="R229" s="77" t="str">
        <f>IF(ISNUMBER(O229),O229-p_today,"")</f>
        <v/>
      </c>
      <c r="S229" s="78" t="str">
        <f>IF(AND(ISNUMBER(P229),N(Q229)&gt;0),P229-Q229,"")</f>
        <v/>
      </c>
      <c r="T229" s="76" t="str">
        <f>IF(AND(ISNUMBER(O229),ISNUMBER(X229)),MIN(O229,X229),IF(ISNUMBER(O229),O229,X229))</f>
        <v/>
      </c>
      <c r="U229" s="79" t="str">
        <f>IF(AND(A229="",B229="",D229=""),"",IF(L229="Non","Inactif",IF(AND(NOT(ISNUMBER(R229)),NOT(ISNUMBER(S229))),"À compléter",IF(OR(AND(ISNUMBER(R229),N(R229)&lt;0),AND(ISNUMBER(S229),N(S229)&lt;0)),"En retard",IF(OR(AND(ISNUMBER(R229),N(R229)&lt;=p_soon),AND(ISNUMBER(S229),N(S229)&lt;=p_soon_pct*N(G229))),"Bientôt","À jour")))))</f>
        <v/>
      </c>
      <c r="V229" s="79" t="str">
        <f>IF(AND(A229="",B229="",D229=""),"",IF(A229="","N° de plan manquant",IF(COUNTIF($A$6:$A$505,A229)&gt;1,"N° de plan en double",IF(B229="","Équipement manquant",IF(ISNA(MATCH(B229,eq_code,0)),"Équipement inconnu",IF(D229="","Tâche manquante",IF(E229="","Déclenchement manquant",IF(AND(E229&lt;&gt;"Calendrier",E229&lt;&gt;"Compteur",E229&lt;&gt;"Au premier des deux"),"Déclenchement inconnu",IF(AND(E229&lt;&gt;"Compteur",OR(NOT(ISNUMBER(F229)),N(F229)&lt;=0)),"Périodicité en jours manquante",IF(AND(E229&lt;&gt;"Calendrier",OR(NOT(ISNUMBER(G229)),N(G229)&lt;=0)),"Périodicité compteur manquante",IF(AND(J229&lt;&gt;"",OR(NOT(ISNUMBER(J229)),N(J229)&lt;=0)),"Date de réalisation invalide",IF(AND(K229&lt;&gt;"",OR(NOT(ISNUMBER(K229)),N(K229)&lt;0)),"Compteur de réalisation invalide",IF(AND(E229&lt;&gt;"Compteur",N(M229)=0,IFERROR(N(INDEX(eq_start,MATCH(B229,eq_code,0))),0)=0),"Date de départ manquante",IF(AND(E229&lt;&gt;"Calendrier",K229="",N(N229)=0),"Compteur de départ manquant",IF(AND(E229&lt;&gt;"Calendrier",N(Q229)=0),"Relevé compteur manquant (Équipements)",IF(AND(I229&lt;&gt;"",ISNA(MATCH(I229,tech_name,0))),"Technicien inconnu",IF(AND(L229&lt;&gt;"",L229&lt;&gt;"Oui",L229&lt;&gt;"Non"),"Actif : Oui ou Non","OK")))))))))))))))))</f>
        <v/>
      </c>
      <c r="W229" s="67">
        <f>IFERROR(N(INDEX(eq_use,MATCH(B229,eq_code,0))),0)</f>
        <v>0.0</v>
      </c>
      <c r="X229" s="67" t="str">
        <f>IF(AND(ISNUMBER(S229),W229&gt;0),p_today+MAX(0,ROUNDUP(S229*7/W229,0)),"")</f>
        <v/>
      </c>
      <c r="Y229" s="67" t="str">
        <f>IF(AND(ISNUMBER(T229),OR(U229="En retard",U229="Bientôt",U229="À jour")),IF(AND(ISNUMBER(O229),ISNUMBER(X229)),MIN(F229,G229*7/W229),IF(ISNUMBER(O229),F229,G229*7/W229)),"")</f>
        <v/>
      </c>
      <c r="Z229" s="67" t="str">
        <f>IF(OR(U229="En retard",U229="Bientôt"),IF(U229="En retard",0,1)*1000000000+IF(AB229="A",0,IF(AB229="B",1,IF(AB229="C",2,3)))*100000000+IF(ISNUMBER(T229),T229,p_today)*1000+ROW()-5,"")</f>
        <v/>
      </c>
      <c r="AA229" s="67" t="str">
        <f>IF(Z229="","",COUNTIF($Z$6:$Z$505,"&lt;"&amp;Z229)+1)</f>
        <v/>
      </c>
      <c r="AB229" s="67" t="str">
        <f>IFERROR(INDEX(eq_crit,MATCH(B229,eq_code,0))&amp;"","")</f>
        <v/>
      </c>
    </row>
    <row r="230">
      <c r="A230" s="65" t="n"/>
      <c r="B230" s="66" t="n"/>
      <c r="C230" s="67" t="str">
        <f>IF(B230="","",IFERROR(INDEX(eq_des,MATCH(B230,eq_code,0))&amp;"","Équipement inconnu"))</f>
        <v/>
      </c>
      <c r="D230" s="66" t="n"/>
      <c r="E230" s="68" t="n"/>
      <c r="F230" s="69" t="n"/>
      <c r="G230" s="70" t="n"/>
      <c r="H230" s="71" t="n"/>
      <c r="I230" s="66" t="n"/>
      <c r="J230" s="72" t="n"/>
      <c r="K230" s="73" t="n"/>
      <c r="L230" s="68" t="n"/>
      <c r="M230" s="74" t="str">
        <f>IF(AND(A230="",B230="",D230=""),"",MAX(N(J230),IF(A230="",0,SUMPRODUCT(MAX((in_plan=A230)*in_prev*in_dnum)))))</f>
        <v/>
      </c>
      <c r="N230" s="75" t="str">
        <f>IF(AND(A230="",B230="",D230=""),"",MAX(N(K230),IF(A230="",0,SUMPRODUCT(MAX((in_plan=A230)*in_prev*in_cnum)))))</f>
        <v/>
      </c>
      <c r="O230" s="76" t="str">
        <f>IF(AND(OR(E230="Calendrier",E230="Au premier des deux"),N(F230)&gt;0,IF(N(M230)&gt;0,M230,IFERROR(N(INDEX(eq_start,MATCH(B230,eq_code,0))),0))&gt;0),IF(N(M230)&gt;0,M230,IFERROR(N(INDEX(eq_start,MATCH(B230,eq_code,0))),0))+F230,"")</f>
        <v/>
      </c>
      <c r="P230" s="75" t="str">
        <f>IF(AND(OR(E230="Compteur",E230="Au premier des deux"),N(G230)&gt;0),N(N230)+G230,"")</f>
        <v/>
      </c>
      <c r="Q230" s="75" t="str">
        <f>IF(B230="","",IFERROR(N(INDEX(eq_cnt,MATCH(B230,eq_code,0))),""))</f>
        <v/>
      </c>
      <c r="R230" s="77" t="str">
        <f>IF(ISNUMBER(O230),O230-p_today,"")</f>
        <v/>
      </c>
      <c r="S230" s="78" t="str">
        <f>IF(AND(ISNUMBER(P230),N(Q230)&gt;0),P230-Q230,"")</f>
        <v/>
      </c>
      <c r="T230" s="76" t="str">
        <f>IF(AND(ISNUMBER(O230),ISNUMBER(X230)),MIN(O230,X230),IF(ISNUMBER(O230),O230,X230))</f>
        <v/>
      </c>
      <c r="U230" s="79" t="str">
        <f>IF(AND(A230="",B230="",D230=""),"",IF(L230="Non","Inactif",IF(AND(NOT(ISNUMBER(R230)),NOT(ISNUMBER(S230))),"À compléter",IF(OR(AND(ISNUMBER(R230),N(R230)&lt;0),AND(ISNUMBER(S230),N(S230)&lt;0)),"En retard",IF(OR(AND(ISNUMBER(R230),N(R230)&lt;=p_soon),AND(ISNUMBER(S230),N(S230)&lt;=p_soon_pct*N(G230))),"Bientôt","À jour")))))</f>
        <v/>
      </c>
      <c r="V230" s="79" t="str">
        <f>IF(AND(A230="",B230="",D230=""),"",IF(A230="","N° de plan manquant",IF(COUNTIF($A$6:$A$505,A230)&gt;1,"N° de plan en double",IF(B230="","Équipement manquant",IF(ISNA(MATCH(B230,eq_code,0)),"Équipement inconnu",IF(D230="","Tâche manquante",IF(E230="","Déclenchement manquant",IF(AND(E230&lt;&gt;"Calendrier",E230&lt;&gt;"Compteur",E230&lt;&gt;"Au premier des deux"),"Déclenchement inconnu",IF(AND(E230&lt;&gt;"Compteur",OR(NOT(ISNUMBER(F230)),N(F230)&lt;=0)),"Périodicité en jours manquante",IF(AND(E230&lt;&gt;"Calendrier",OR(NOT(ISNUMBER(G230)),N(G230)&lt;=0)),"Périodicité compteur manquante",IF(AND(J230&lt;&gt;"",OR(NOT(ISNUMBER(J230)),N(J230)&lt;=0)),"Date de réalisation invalide",IF(AND(K230&lt;&gt;"",OR(NOT(ISNUMBER(K230)),N(K230)&lt;0)),"Compteur de réalisation invalide",IF(AND(E230&lt;&gt;"Compteur",N(M230)=0,IFERROR(N(INDEX(eq_start,MATCH(B230,eq_code,0))),0)=0),"Date de départ manquante",IF(AND(E230&lt;&gt;"Calendrier",K230="",N(N230)=0),"Compteur de départ manquant",IF(AND(E230&lt;&gt;"Calendrier",N(Q230)=0),"Relevé compteur manquant (Équipements)",IF(AND(I230&lt;&gt;"",ISNA(MATCH(I230,tech_name,0))),"Technicien inconnu",IF(AND(L230&lt;&gt;"",L230&lt;&gt;"Oui",L230&lt;&gt;"Non"),"Actif : Oui ou Non","OK")))))))))))))))))</f>
        <v/>
      </c>
      <c r="W230" s="67">
        <f>IFERROR(N(INDEX(eq_use,MATCH(B230,eq_code,0))),0)</f>
        <v>0.0</v>
      </c>
      <c r="X230" s="67" t="str">
        <f>IF(AND(ISNUMBER(S230),W230&gt;0),p_today+MAX(0,ROUNDUP(S230*7/W230,0)),"")</f>
        <v/>
      </c>
      <c r="Y230" s="67" t="str">
        <f>IF(AND(ISNUMBER(T230),OR(U230="En retard",U230="Bientôt",U230="À jour")),IF(AND(ISNUMBER(O230),ISNUMBER(X230)),MIN(F230,G230*7/W230),IF(ISNUMBER(O230),F230,G230*7/W230)),"")</f>
        <v/>
      </c>
      <c r="Z230" s="67" t="str">
        <f>IF(OR(U230="En retard",U230="Bientôt"),IF(U230="En retard",0,1)*1000000000+IF(AB230="A",0,IF(AB230="B",1,IF(AB230="C",2,3)))*100000000+IF(ISNUMBER(T230),T230,p_today)*1000+ROW()-5,"")</f>
        <v/>
      </c>
      <c r="AA230" s="67" t="str">
        <f>IF(Z230="","",COUNTIF($Z$6:$Z$505,"&lt;"&amp;Z230)+1)</f>
        <v/>
      </c>
      <c r="AB230" s="67" t="str">
        <f>IFERROR(INDEX(eq_crit,MATCH(B230,eq_code,0))&amp;"","")</f>
        <v/>
      </c>
    </row>
    <row r="231">
      <c r="A231" s="65" t="n"/>
      <c r="B231" s="66" t="n"/>
      <c r="C231" s="67" t="str">
        <f>IF(B231="","",IFERROR(INDEX(eq_des,MATCH(B231,eq_code,0))&amp;"","Équipement inconnu"))</f>
        <v/>
      </c>
      <c r="D231" s="66" t="n"/>
      <c r="E231" s="68" t="n"/>
      <c r="F231" s="69" t="n"/>
      <c r="G231" s="70" t="n"/>
      <c r="H231" s="71" t="n"/>
      <c r="I231" s="66" t="n"/>
      <c r="J231" s="72" t="n"/>
      <c r="K231" s="73" t="n"/>
      <c r="L231" s="68" t="n"/>
      <c r="M231" s="74" t="str">
        <f>IF(AND(A231="",B231="",D231=""),"",MAX(N(J231),IF(A231="",0,SUMPRODUCT(MAX((in_plan=A231)*in_prev*in_dnum)))))</f>
        <v/>
      </c>
      <c r="N231" s="75" t="str">
        <f>IF(AND(A231="",B231="",D231=""),"",MAX(N(K231),IF(A231="",0,SUMPRODUCT(MAX((in_plan=A231)*in_prev*in_cnum)))))</f>
        <v/>
      </c>
      <c r="O231" s="76" t="str">
        <f>IF(AND(OR(E231="Calendrier",E231="Au premier des deux"),N(F231)&gt;0,IF(N(M231)&gt;0,M231,IFERROR(N(INDEX(eq_start,MATCH(B231,eq_code,0))),0))&gt;0),IF(N(M231)&gt;0,M231,IFERROR(N(INDEX(eq_start,MATCH(B231,eq_code,0))),0))+F231,"")</f>
        <v/>
      </c>
      <c r="P231" s="75" t="str">
        <f>IF(AND(OR(E231="Compteur",E231="Au premier des deux"),N(G231)&gt;0),N(N231)+G231,"")</f>
        <v/>
      </c>
      <c r="Q231" s="75" t="str">
        <f>IF(B231="","",IFERROR(N(INDEX(eq_cnt,MATCH(B231,eq_code,0))),""))</f>
        <v/>
      </c>
      <c r="R231" s="77" t="str">
        <f>IF(ISNUMBER(O231),O231-p_today,"")</f>
        <v/>
      </c>
      <c r="S231" s="78" t="str">
        <f>IF(AND(ISNUMBER(P231),N(Q231)&gt;0),P231-Q231,"")</f>
        <v/>
      </c>
      <c r="T231" s="76" t="str">
        <f>IF(AND(ISNUMBER(O231),ISNUMBER(X231)),MIN(O231,X231),IF(ISNUMBER(O231),O231,X231))</f>
        <v/>
      </c>
      <c r="U231" s="79" t="str">
        <f>IF(AND(A231="",B231="",D231=""),"",IF(L231="Non","Inactif",IF(AND(NOT(ISNUMBER(R231)),NOT(ISNUMBER(S231))),"À compléter",IF(OR(AND(ISNUMBER(R231),N(R231)&lt;0),AND(ISNUMBER(S231),N(S231)&lt;0)),"En retard",IF(OR(AND(ISNUMBER(R231),N(R231)&lt;=p_soon),AND(ISNUMBER(S231),N(S231)&lt;=p_soon_pct*N(G231))),"Bientôt","À jour")))))</f>
        <v/>
      </c>
      <c r="V231" s="79" t="str">
        <f>IF(AND(A231="",B231="",D231=""),"",IF(A231="","N° de plan manquant",IF(COUNTIF($A$6:$A$505,A231)&gt;1,"N° de plan en double",IF(B231="","Équipement manquant",IF(ISNA(MATCH(B231,eq_code,0)),"Équipement inconnu",IF(D231="","Tâche manquante",IF(E231="","Déclenchement manquant",IF(AND(E231&lt;&gt;"Calendrier",E231&lt;&gt;"Compteur",E231&lt;&gt;"Au premier des deux"),"Déclenchement inconnu",IF(AND(E231&lt;&gt;"Compteur",OR(NOT(ISNUMBER(F231)),N(F231)&lt;=0)),"Périodicité en jours manquante",IF(AND(E231&lt;&gt;"Calendrier",OR(NOT(ISNUMBER(G231)),N(G231)&lt;=0)),"Périodicité compteur manquante",IF(AND(J231&lt;&gt;"",OR(NOT(ISNUMBER(J231)),N(J231)&lt;=0)),"Date de réalisation invalide",IF(AND(K231&lt;&gt;"",OR(NOT(ISNUMBER(K231)),N(K231)&lt;0)),"Compteur de réalisation invalide",IF(AND(E231&lt;&gt;"Compteur",N(M231)=0,IFERROR(N(INDEX(eq_start,MATCH(B231,eq_code,0))),0)=0),"Date de départ manquante",IF(AND(E231&lt;&gt;"Calendrier",K231="",N(N231)=0),"Compteur de départ manquant",IF(AND(E231&lt;&gt;"Calendrier",N(Q231)=0),"Relevé compteur manquant (Équipements)",IF(AND(I231&lt;&gt;"",ISNA(MATCH(I231,tech_name,0))),"Technicien inconnu",IF(AND(L231&lt;&gt;"",L231&lt;&gt;"Oui",L231&lt;&gt;"Non"),"Actif : Oui ou Non","OK")))))))))))))))))</f>
        <v/>
      </c>
      <c r="W231" s="67">
        <f>IFERROR(N(INDEX(eq_use,MATCH(B231,eq_code,0))),0)</f>
        <v>0.0</v>
      </c>
      <c r="X231" s="67" t="str">
        <f>IF(AND(ISNUMBER(S231),W231&gt;0),p_today+MAX(0,ROUNDUP(S231*7/W231,0)),"")</f>
        <v/>
      </c>
      <c r="Y231" s="67" t="str">
        <f>IF(AND(ISNUMBER(T231),OR(U231="En retard",U231="Bientôt",U231="À jour")),IF(AND(ISNUMBER(O231),ISNUMBER(X231)),MIN(F231,G231*7/W231),IF(ISNUMBER(O231),F231,G231*7/W231)),"")</f>
        <v/>
      </c>
      <c r="Z231" s="67" t="str">
        <f>IF(OR(U231="En retard",U231="Bientôt"),IF(U231="En retard",0,1)*1000000000+IF(AB231="A",0,IF(AB231="B",1,IF(AB231="C",2,3)))*100000000+IF(ISNUMBER(T231),T231,p_today)*1000+ROW()-5,"")</f>
        <v/>
      </c>
      <c r="AA231" s="67" t="str">
        <f>IF(Z231="","",COUNTIF($Z$6:$Z$505,"&lt;"&amp;Z231)+1)</f>
        <v/>
      </c>
      <c r="AB231" s="67" t="str">
        <f>IFERROR(INDEX(eq_crit,MATCH(B231,eq_code,0))&amp;"","")</f>
        <v/>
      </c>
    </row>
    <row r="232">
      <c r="A232" s="65" t="n"/>
      <c r="B232" s="66" t="n"/>
      <c r="C232" s="67" t="str">
        <f>IF(B232="","",IFERROR(INDEX(eq_des,MATCH(B232,eq_code,0))&amp;"","Équipement inconnu"))</f>
        <v/>
      </c>
      <c r="D232" s="66" t="n"/>
      <c r="E232" s="68" t="n"/>
      <c r="F232" s="69" t="n"/>
      <c r="G232" s="70" t="n"/>
      <c r="H232" s="71" t="n"/>
      <c r="I232" s="66" t="n"/>
      <c r="J232" s="72" t="n"/>
      <c r="K232" s="73" t="n"/>
      <c r="L232" s="68" t="n"/>
      <c r="M232" s="74" t="str">
        <f>IF(AND(A232="",B232="",D232=""),"",MAX(N(J232),IF(A232="",0,SUMPRODUCT(MAX((in_plan=A232)*in_prev*in_dnum)))))</f>
        <v/>
      </c>
      <c r="N232" s="75" t="str">
        <f>IF(AND(A232="",B232="",D232=""),"",MAX(N(K232),IF(A232="",0,SUMPRODUCT(MAX((in_plan=A232)*in_prev*in_cnum)))))</f>
        <v/>
      </c>
      <c r="O232" s="76" t="str">
        <f>IF(AND(OR(E232="Calendrier",E232="Au premier des deux"),N(F232)&gt;0,IF(N(M232)&gt;0,M232,IFERROR(N(INDEX(eq_start,MATCH(B232,eq_code,0))),0))&gt;0),IF(N(M232)&gt;0,M232,IFERROR(N(INDEX(eq_start,MATCH(B232,eq_code,0))),0))+F232,"")</f>
        <v/>
      </c>
      <c r="P232" s="75" t="str">
        <f>IF(AND(OR(E232="Compteur",E232="Au premier des deux"),N(G232)&gt;0),N(N232)+G232,"")</f>
        <v/>
      </c>
      <c r="Q232" s="75" t="str">
        <f>IF(B232="","",IFERROR(N(INDEX(eq_cnt,MATCH(B232,eq_code,0))),""))</f>
        <v/>
      </c>
      <c r="R232" s="77" t="str">
        <f>IF(ISNUMBER(O232),O232-p_today,"")</f>
        <v/>
      </c>
      <c r="S232" s="78" t="str">
        <f>IF(AND(ISNUMBER(P232),N(Q232)&gt;0),P232-Q232,"")</f>
        <v/>
      </c>
      <c r="T232" s="76" t="str">
        <f>IF(AND(ISNUMBER(O232),ISNUMBER(X232)),MIN(O232,X232),IF(ISNUMBER(O232),O232,X232))</f>
        <v/>
      </c>
      <c r="U232" s="79" t="str">
        <f>IF(AND(A232="",B232="",D232=""),"",IF(L232="Non","Inactif",IF(AND(NOT(ISNUMBER(R232)),NOT(ISNUMBER(S232))),"À compléter",IF(OR(AND(ISNUMBER(R232),N(R232)&lt;0),AND(ISNUMBER(S232),N(S232)&lt;0)),"En retard",IF(OR(AND(ISNUMBER(R232),N(R232)&lt;=p_soon),AND(ISNUMBER(S232),N(S232)&lt;=p_soon_pct*N(G232))),"Bientôt","À jour")))))</f>
        <v/>
      </c>
      <c r="V232" s="79" t="str">
        <f>IF(AND(A232="",B232="",D232=""),"",IF(A232="","N° de plan manquant",IF(COUNTIF($A$6:$A$505,A232)&gt;1,"N° de plan en double",IF(B232="","Équipement manquant",IF(ISNA(MATCH(B232,eq_code,0)),"Équipement inconnu",IF(D232="","Tâche manquante",IF(E232="","Déclenchement manquant",IF(AND(E232&lt;&gt;"Calendrier",E232&lt;&gt;"Compteur",E232&lt;&gt;"Au premier des deux"),"Déclenchement inconnu",IF(AND(E232&lt;&gt;"Compteur",OR(NOT(ISNUMBER(F232)),N(F232)&lt;=0)),"Périodicité en jours manquante",IF(AND(E232&lt;&gt;"Calendrier",OR(NOT(ISNUMBER(G232)),N(G232)&lt;=0)),"Périodicité compteur manquante",IF(AND(J232&lt;&gt;"",OR(NOT(ISNUMBER(J232)),N(J232)&lt;=0)),"Date de réalisation invalide",IF(AND(K232&lt;&gt;"",OR(NOT(ISNUMBER(K232)),N(K232)&lt;0)),"Compteur de réalisation invalide",IF(AND(E232&lt;&gt;"Compteur",N(M232)=0,IFERROR(N(INDEX(eq_start,MATCH(B232,eq_code,0))),0)=0),"Date de départ manquante",IF(AND(E232&lt;&gt;"Calendrier",K232="",N(N232)=0),"Compteur de départ manquant",IF(AND(E232&lt;&gt;"Calendrier",N(Q232)=0),"Relevé compteur manquant (Équipements)",IF(AND(I232&lt;&gt;"",ISNA(MATCH(I232,tech_name,0))),"Technicien inconnu",IF(AND(L232&lt;&gt;"",L232&lt;&gt;"Oui",L232&lt;&gt;"Non"),"Actif : Oui ou Non","OK")))))))))))))))))</f>
        <v/>
      </c>
      <c r="W232" s="67">
        <f>IFERROR(N(INDEX(eq_use,MATCH(B232,eq_code,0))),0)</f>
        <v>0.0</v>
      </c>
      <c r="X232" s="67" t="str">
        <f>IF(AND(ISNUMBER(S232),W232&gt;0),p_today+MAX(0,ROUNDUP(S232*7/W232,0)),"")</f>
        <v/>
      </c>
      <c r="Y232" s="67" t="str">
        <f>IF(AND(ISNUMBER(T232),OR(U232="En retard",U232="Bientôt",U232="À jour")),IF(AND(ISNUMBER(O232),ISNUMBER(X232)),MIN(F232,G232*7/W232),IF(ISNUMBER(O232),F232,G232*7/W232)),"")</f>
        <v/>
      </c>
      <c r="Z232" s="67" t="str">
        <f>IF(OR(U232="En retard",U232="Bientôt"),IF(U232="En retard",0,1)*1000000000+IF(AB232="A",0,IF(AB232="B",1,IF(AB232="C",2,3)))*100000000+IF(ISNUMBER(T232),T232,p_today)*1000+ROW()-5,"")</f>
        <v/>
      </c>
      <c r="AA232" s="67" t="str">
        <f>IF(Z232="","",COUNTIF($Z$6:$Z$505,"&lt;"&amp;Z232)+1)</f>
        <v/>
      </c>
      <c r="AB232" s="67" t="str">
        <f>IFERROR(INDEX(eq_crit,MATCH(B232,eq_code,0))&amp;"","")</f>
        <v/>
      </c>
    </row>
    <row r="233">
      <c r="A233" s="65" t="n"/>
      <c r="B233" s="66" t="n"/>
      <c r="C233" s="67" t="str">
        <f>IF(B233="","",IFERROR(INDEX(eq_des,MATCH(B233,eq_code,0))&amp;"","Équipement inconnu"))</f>
        <v/>
      </c>
      <c r="D233" s="66" t="n"/>
      <c r="E233" s="68" t="n"/>
      <c r="F233" s="69" t="n"/>
      <c r="G233" s="70" t="n"/>
      <c r="H233" s="71" t="n"/>
      <c r="I233" s="66" t="n"/>
      <c r="J233" s="72" t="n"/>
      <c r="K233" s="73" t="n"/>
      <c r="L233" s="68" t="n"/>
      <c r="M233" s="74" t="str">
        <f>IF(AND(A233="",B233="",D233=""),"",MAX(N(J233),IF(A233="",0,SUMPRODUCT(MAX((in_plan=A233)*in_prev*in_dnum)))))</f>
        <v/>
      </c>
      <c r="N233" s="75" t="str">
        <f>IF(AND(A233="",B233="",D233=""),"",MAX(N(K233),IF(A233="",0,SUMPRODUCT(MAX((in_plan=A233)*in_prev*in_cnum)))))</f>
        <v/>
      </c>
      <c r="O233" s="76" t="str">
        <f>IF(AND(OR(E233="Calendrier",E233="Au premier des deux"),N(F233)&gt;0,IF(N(M233)&gt;0,M233,IFERROR(N(INDEX(eq_start,MATCH(B233,eq_code,0))),0))&gt;0),IF(N(M233)&gt;0,M233,IFERROR(N(INDEX(eq_start,MATCH(B233,eq_code,0))),0))+F233,"")</f>
        <v/>
      </c>
      <c r="P233" s="75" t="str">
        <f>IF(AND(OR(E233="Compteur",E233="Au premier des deux"),N(G233)&gt;0),N(N233)+G233,"")</f>
        <v/>
      </c>
      <c r="Q233" s="75" t="str">
        <f>IF(B233="","",IFERROR(N(INDEX(eq_cnt,MATCH(B233,eq_code,0))),""))</f>
        <v/>
      </c>
      <c r="R233" s="77" t="str">
        <f>IF(ISNUMBER(O233),O233-p_today,"")</f>
        <v/>
      </c>
      <c r="S233" s="78" t="str">
        <f>IF(AND(ISNUMBER(P233),N(Q233)&gt;0),P233-Q233,"")</f>
        <v/>
      </c>
      <c r="T233" s="76" t="str">
        <f>IF(AND(ISNUMBER(O233),ISNUMBER(X233)),MIN(O233,X233),IF(ISNUMBER(O233),O233,X233))</f>
        <v/>
      </c>
      <c r="U233" s="79" t="str">
        <f>IF(AND(A233="",B233="",D233=""),"",IF(L233="Non","Inactif",IF(AND(NOT(ISNUMBER(R233)),NOT(ISNUMBER(S233))),"À compléter",IF(OR(AND(ISNUMBER(R233),N(R233)&lt;0),AND(ISNUMBER(S233),N(S233)&lt;0)),"En retard",IF(OR(AND(ISNUMBER(R233),N(R233)&lt;=p_soon),AND(ISNUMBER(S233),N(S233)&lt;=p_soon_pct*N(G233))),"Bientôt","À jour")))))</f>
        <v/>
      </c>
      <c r="V233" s="79" t="str">
        <f>IF(AND(A233="",B233="",D233=""),"",IF(A233="","N° de plan manquant",IF(COUNTIF($A$6:$A$505,A233)&gt;1,"N° de plan en double",IF(B233="","Équipement manquant",IF(ISNA(MATCH(B233,eq_code,0)),"Équipement inconnu",IF(D233="","Tâche manquante",IF(E233="","Déclenchement manquant",IF(AND(E233&lt;&gt;"Calendrier",E233&lt;&gt;"Compteur",E233&lt;&gt;"Au premier des deux"),"Déclenchement inconnu",IF(AND(E233&lt;&gt;"Compteur",OR(NOT(ISNUMBER(F233)),N(F233)&lt;=0)),"Périodicité en jours manquante",IF(AND(E233&lt;&gt;"Calendrier",OR(NOT(ISNUMBER(G233)),N(G233)&lt;=0)),"Périodicité compteur manquante",IF(AND(J233&lt;&gt;"",OR(NOT(ISNUMBER(J233)),N(J233)&lt;=0)),"Date de réalisation invalide",IF(AND(K233&lt;&gt;"",OR(NOT(ISNUMBER(K233)),N(K233)&lt;0)),"Compteur de réalisation invalide",IF(AND(E233&lt;&gt;"Compteur",N(M233)=0,IFERROR(N(INDEX(eq_start,MATCH(B233,eq_code,0))),0)=0),"Date de départ manquante",IF(AND(E233&lt;&gt;"Calendrier",K233="",N(N233)=0),"Compteur de départ manquant",IF(AND(E233&lt;&gt;"Calendrier",N(Q233)=0),"Relevé compteur manquant (Équipements)",IF(AND(I233&lt;&gt;"",ISNA(MATCH(I233,tech_name,0))),"Technicien inconnu",IF(AND(L233&lt;&gt;"",L233&lt;&gt;"Oui",L233&lt;&gt;"Non"),"Actif : Oui ou Non","OK")))))))))))))))))</f>
        <v/>
      </c>
      <c r="W233" s="67">
        <f>IFERROR(N(INDEX(eq_use,MATCH(B233,eq_code,0))),0)</f>
        <v>0.0</v>
      </c>
      <c r="X233" s="67" t="str">
        <f>IF(AND(ISNUMBER(S233),W233&gt;0),p_today+MAX(0,ROUNDUP(S233*7/W233,0)),"")</f>
        <v/>
      </c>
      <c r="Y233" s="67" t="str">
        <f>IF(AND(ISNUMBER(T233),OR(U233="En retard",U233="Bientôt",U233="À jour")),IF(AND(ISNUMBER(O233),ISNUMBER(X233)),MIN(F233,G233*7/W233),IF(ISNUMBER(O233),F233,G233*7/W233)),"")</f>
        <v/>
      </c>
      <c r="Z233" s="67" t="str">
        <f>IF(OR(U233="En retard",U233="Bientôt"),IF(U233="En retard",0,1)*1000000000+IF(AB233="A",0,IF(AB233="B",1,IF(AB233="C",2,3)))*100000000+IF(ISNUMBER(T233),T233,p_today)*1000+ROW()-5,"")</f>
        <v/>
      </c>
      <c r="AA233" s="67" t="str">
        <f>IF(Z233="","",COUNTIF($Z$6:$Z$505,"&lt;"&amp;Z233)+1)</f>
        <v/>
      </c>
      <c r="AB233" s="67" t="str">
        <f>IFERROR(INDEX(eq_crit,MATCH(B233,eq_code,0))&amp;"","")</f>
        <v/>
      </c>
    </row>
    <row r="234">
      <c r="A234" s="65" t="n"/>
      <c r="B234" s="66" t="n"/>
      <c r="C234" s="67" t="str">
        <f>IF(B234="","",IFERROR(INDEX(eq_des,MATCH(B234,eq_code,0))&amp;"","Équipement inconnu"))</f>
        <v/>
      </c>
      <c r="D234" s="66" t="n"/>
      <c r="E234" s="68" t="n"/>
      <c r="F234" s="69" t="n"/>
      <c r="G234" s="70" t="n"/>
      <c r="H234" s="71" t="n"/>
      <c r="I234" s="66" t="n"/>
      <c r="J234" s="72" t="n"/>
      <c r="K234" s="73" t="n"/>
      <c r="L234" s="68" t="n"/>
      <c r="M234" s="74" t="str">
        <f>IF(AND(A234="",B234="",D234=""),"",MAX(N(J234),IF(A234="",0,SUMPRODUCT(MAX((in_plan=A234)*in_prev*in_dnum)))))</f>
        <v/>
      </c>
      <c r="N234" s="75" t="str">
        <f>IF(AND(A234="",B234="",D234=""),"",MAX(N(K234),IF(A234="",0,SUMPRODUCT(MAX((in_plan=A234)*in_prev*in_cnum)))))</f>
        <v/>
      </c>
      <c r="O234" s="76" t="str">
        <f>IF(AND(OR(E234="Calendrier",E234="Au premier des deux"),N(F234)&gt;0,IF(N(M234)&gt;0,M234,IFERROR(N(INDEX(eq_start,MATCH(B234,eq_code,0))),0))&gt;0),IF(N(M234)&gt;0,M234,IFERROR(N(INDEX(eq_start,MATCH(B234,eq_code,0))),0))+F234,"")</f>
        <v/>
      </c>
      <c r="P234" s="75" t="str">
        <f>IF(AND(OR(E234="Compteur",E234="Au premier des deux"),N(G234)&gt;0),N(N234)+G234,"")</f>
        <v/>
      </c>
      <c r="Q234" s="75" t="str">
        <f>IF(B234="","",IFERROR(N(INDEX(eq_cnt,MATCH(B234,eq_code,0))),""))</f>
        <v/>
      </c>
      <c r="R234" s="77" t="str">
        <f>IF(ISNUMBER(O234),O234-p_today,"")</f>
        <v/>
      </c>
      <c r="S234" s="78" t="str">
        <f>IF(AND(ISNUMBER(P234),N(Q234)&gt;0),P234-Q234,"")</f>
        <v/>
      </c>
      <c r="T234" s="76" t="str">
        <f>IF(AND(ISNUMBER(O234),ISNUMBER(X234)),MIN(O234,X234),IF(ISNUMBER(O234),O234,X234))</f>
        <v/>
      </c>
      <c r="U234" s="79" t="str">
        <f>IF(AND(A234="",B234="",D234=""),"",IF(L234="Non","Inactif",IF(AND(NOT(ISNUMBER(R234)),NOT(ISNUMBER(S234))),"À compléter",IF(OR(AND(ISNUMBER(R234),N(R234)&lt;0),AND(ISNUMBER(S234),N(S234)&lt;0)),"En retard",IF(OR(AND(ISNUMBER(R234),N(R234)&lt;=p_soon),AND(ISNUMBER(S234),N(S234)&lt;=p_soon_pct*N(G234))),"Bientôt","À jour")))))</f>
        <v/>
      </c>
      <c r="V234" s="79" t="str">
        <f>IF(AND(A234="",B234="",D234=""),"",IF(A234="","N° de plan manquant",IF(COUNTIF($A$6:$A$505,A234)&gt;1,"N° de plan en double",IF(B234="","Équipement manquant",IF(ISNA(MATCH(B234,eq_code,0)),"Équipement inconnu",IF(D234="","Tâche manquante",IF(E234="","Déclenchement manquant",IF(AND(E234&lt;&gt;"Calendrier",E234&lt;&gt;"Compteur",E234&lt;&gt;"Au premier des deux"),"Déclenchement inconnu",IF(AND(E234&lt;&gt;"Compteur",OR(NOT(ISNUMBER(F234)),N(F234)&lt;=0)),"Périodicité en jours manquante",IF(AND(E234&lt;&gt;"Calendrier",OR(NOT(ISNUMBER(G234)),N(G234)&lt;=0)),"Périodicité compteur manquante",IF(AND(J234&lt;&gt;"",OR(NOT(ISNUMBER(J234)),N(J234)&lt;=0)),"Date de réalisation invalide",IF(AND(K234&lt;&gt;"",OR(NOT(ISNUMBER(K234)),N(K234)&lt;0)),"Compteur de réalisation invalide",IF(AND(E234&lt;&gt;"Compteur",N(M234)=0,IFERROR(N(INDEX(eq_start,MATCH(B234,eq_code,0))),0)=0),"Date de départ manquante",IF(AND(E234&lt;&gt;"Calendrier",K234="",N(N234)=0),"Compteur de départ manquant",IF(AND(E234&lt;&gt;"Calendrier",N(Q234)=0),"Relevé compteur manquant (Équipements)",IF(AND(I234&lt;&gt;"",ISNA(MATCH(I234,tech_name,0))),"Technicien inconnu",IF(AND(L234&lt;&gt;"",L234&lt;&gt;"Oui",L234&lt;&gt;"Non"),"Actif : Oui ou Non","OK")))))))))))))))))</f>
        <v/>
      </c>
      <c r="W234" s="67">
        <f>IFERROR(N(INDEX(eq_use,MATCH(B234,eq_code,0))),0)</f>
        <v>0.0</v>
      </c>
      <c r="X234" s="67" t="str">
        <f>IF(AND(ISNUMBER(S234),W234&gt;0),p_today+MAX(0,ROUNDUP(S234*7/W234,0)),"")</f>
        <v/>
      </c>
      <c r="Y234" s="67" t="str">
        <f>IF(AND(ISNUMBER(T234),OR(U234="En retard",U234="Bientôt",U234="À jour")),IF(AND(ISNUMBER(O234),ISNUMBER(X234)),MIN(F234,G234*7/W234),IF(ISNUMBER(O234),F234,G234*7/W234)),"")</f>
        <v/>
      </c>
      <c r="Z234" s="67" t="str">
        <f>IF(OR(U234="En retard",U234="Bientôt"),IF(U234="En retard",0,1)*1000000000+IF(AB234="A",0,IF(AB234="B",1,IF(AB234="C",2,3)))*100000000+IF(ISNUMBER(T234),T234,p_today)*1000+ROW()-5,"")</f>
        <v/>
      </c>
      <c r="AA234" s="67" t="str">
        <f>IF(Z234="","",COUNTIF($Z$6:$Z$505,"&lt;"&amp;Z234)+1)</f>
        <v/>
      </c>
      <c r="AB234" s="67" t="str">
        <f>IFERROR(INDEX(eq_crit,MATCH(B234,eq_code,0))&amp;"","")</f>
        <v/>
      </c>
    </row>
    <row r="235">
      <c r="A235" s="65" t="n"/>
      <c r="B235" s="66" t="n"/>
      <c r="C235" s="67" t="str">
        <f>IF(B235="","",IFERROR(INDEX(eq_des,MATCH(B235,eq_code,0))&amp;"","Équipement inconnu"))</f>
        <v/>
      </c>
      <c r="D235" s="66" t="n"/>
      <c r="E235" s="68" t="n"/>
      <c r="F235" s="69" t="n"/>
      <c r="G235" s="70" t="n"/>
      <c r="H235" s="71" t="n"/>
      <c r="I235" s="66" t="n"/>
      <c r="J235" s="72" t="n"/>
      <c r="K235" s="73" t="n"/>
      <c r="L235" s="68" t="n"/>
      <c r="M235" s="74" t="str">
        <f>IF(AND(A235="",B235="",D235=""),"",MAX(N(J235),IF(A235="",0,SUMPRODUCT(MAX((in_plan=A235)*in_prev*in_dnum)))))</f>
        <v/>
      </c>
      <c r="N235" s="75" t="str">
        <f>IF(AND(A235="",B235="",D235=""),"",MAX(N(K235),IF(A235="",0,SUMPRODUCT(MAX((in_plan=A235)*in_prev*in_cnum)))))</f>
        <v/>
      </c>
      <c r="O235" s="76" t="str">
        <f>IF(AND(OR(E235="Calendrier",E235="Au premier des deux"),N(F235)&gt;0,IF(N(M235)&gt;0,M235,IFERROR(N(INDEX(eq_start,MATCH(B235,eq_code,0))),0))&gt;0),IF(N(M235)&gt;0,M235,IFERROR(N(INDEX(eq_start,MATCH(B235,eq_code,0))),0))+F235,"")</f>
        <v/>
      </c>
      <c r="P235" s="75" t="str">
        <f>IF(AND(OR(E235="Compteur",E235="Au premier des deux"),N(G235)&gt;0),N(N235)+G235,"")</f>
        <v/>
      </c>
      <c r="Q235" s="75" t="str">
        <f>IF(B235="","",IFERROR(N(INDEX(eq_cnt,MATCH(B235,eq_code,0))),""))</f>
        <v/>
      </c>
      <c r="R235" s="77" t="str">
        <f>IF(ISNUMBER(O235),O235-p_today,"")</f>
        <v/>
      </c>
      <c r="S235" s="78" t="str">
        <f>IF(AND(ISNUMBER(P235),N(Q235)&gt;0),P235-Q235,"")</f>
        <v/>
      </c>
      <c r="T235" s="76" t="str">
        <f>IF(AND(ISNUMBER(O235),ISNUMBER(X235)),MIN(O235,X235),IF(ISNUMBER(O235),O235,X235))</f>
        <v/>
      </c>
      <c r="U235" s="79" t="str">
        <f>IF(AND(A235="",B235="",D235=""),"",IF(L235="Non","Inactif",IF(AND(NOT(ISNUMBER(R235)),NOT(ISNUMBER(S235))),"À compléter",IF(OR(AND(ISNUMBER(R235),N(R235)&lt;0),AND(ISNUMBER(S235),N(S235)&lt;0)),"En retard",IF(OR(AND(ISNUMBER(R235),N(R235)&lt;=p_soon),AND(ISNUMBER(S235),N(S235)&lt;=p_soon_pct*N(G235))),"Bientôt","À jour")))))</f>
        <v/>
      </c>
      <c r="V235" s="79" t="str">
        <f>IF(AND(A235="",B235="",D235=""),"",IF(A235="","N° de plan manquant",IF(COUNTIF($A$6:$A$505,A235)&gt;1,"N° de plan en double",IF(B235="","Équipement manquant",IF(ISNA(MATCH(B235,eq_code,0)),"Équipement inconnu",IF(D235="","Tâche manquante",IF(E235="","Déclenchement manquant",IF(AND(E235&lt;&gt;"Calendrier",E235&lt;&gt;"Compteur",E235&lt;&gt;"Au premier des deux"),"Déclenchement inconnu",IF(AND(E235&lt;&gt;"Compteur",OR(NOT(ISNUMBER(F235)),N(F235)&lt;=0)),"Périodicité en jours manquante",IF(AND(E235&lt;&gt;"Calendrier",OR(NOT(ISNUMBER(G235)),N(G235)&lt;=0)),"Périodicité compteur manquante",IF(AND(J235&lt;&gt;"",OR(NOT(ISNUMBER(J235)),N(J235)&lt;=0)),"Date de réalisation invalide",IF(AND(K235&lt;&gt;"",OR(NOT(ISNUMBER(K235)),N(K235)&lt;0)),"Compteur de réalisation invalide",IF(AND(E235&lt;&gt;"Compteur",N(M235)=0,IFERROR(N(INDEX(eq_start,MATCH(B235,eq_code,0))),0)=0),"Date de départ manquante",IF(AND(E235&lt;&gt;"Calendrier",K235="",N(N235)=0),"Compteur de départ manquant",IF(AND(E235&lt;&gt;"Calendrier",N(Q235)=0),"Relevé compteur manquant (Équipements)",IF(AND(I235&lt;&gt;"",ISNA(MATCH(I235,tech_name,0))),"Technicien inconnu",IF(AND(L235&lt;&gt;"",L235&lt;&gt;"Oui",L235&lt;&gt;"Non"),"Actif : Oui ou Non","OK")))))))))))))))))</f>
        <v/>
      </c>
      <c r="W235" s="67">
        <f>IFERROR(N(INDEX(eq_use,MATCH(B235,eq_code,0))),0)</f>
        <v>0.0</v>
      </c>
      <c r="X235" s="67" t="str">
        <f>IF(AND(ISNUMBER(S235),W235&gt;0),p_today+MAX(0,ROUNDUP(S235*7/W235,0)),"")</f>
        <v/>
      </c>
      <c r="Y235" s="67" t="str">
        <f>IF(AND(ISNUMBER(T235),OR(U235="En retard",U235="Bientôt",U235="À jour")),IF(AND(ISNUMBER(O235),ISNUMBER(X235)),MIN(F235,G235*7/W235),IF(ISNUMBER(O235),F235,G235*7/W235)),"")</f>
        <v/>
      </c>
      <c r="Z235" s="67" t="str">
        <f>IF(OR(U235="En retard",U235="Bientôt"),IF(U235="En retard",0,1)*1000000000+IF(AB235="A",0,IF(AB235="B",1,IF(AB235="C",2,3)))*100000000+IF(ISNUMBER(T235),T235,p_today)*1000+ROW()-5,"")</f>
        <v/>
      </c>
      <c r="AA235" s="67" t="str">
        <f>IF(Z235="","",COUNTIF($Z$6:$Z$505,"&lt;"&amp;Z235)+1)</f>
        <v/>
      </c>
      <c r="AB235" s="67" t="str">
        <f>IFERROR(INDEX(eq_crit,MATCH(B235,eq_code,0))&amp;"","")</f>
        <v/>
      </c>
    </row>
    <row r="236">
      <c r="A236" s="65" t="n"/>
      <c r="B236" s="66" t="n"/>
      <c r="C236" s="67" t="str">
        <f>IF(B236="","",IFERROR(INDEX(eq_des,MATCH(B236,eq_code,0))&amp;"","Équipement inconnu"))</f>
        <v/>
      </c>
      <c r="D236" s="66" t="n"/>
      <c r="E236" s="68" t="n"/>
      <c r="F236" s="69" t="n"/>
      <c r="G236" s="70" t="n"/>
      <c r="H236" s="71" t="n"/>
      <c r="I236" s="66" t="n"/>
      <c r="J236" s="72" t="n"/>
      <c r="K236" s="73" t="n"/>
      <c r="L236" s="68" t="n"/>
      <c r="M236" s="74" t="str">
        <f>IF(AND(A236="",B236="",D236=""),"",MAX(N(J236),IF(A236="",0,SUMPRODUCT(MAX((in_plan=A236)*in_prev*in_dnum)))))</f>
        <v/>
      </c>
      <c r="N236" s="75" t="str">
        <f>IF(AND(A236="",B236="",D236=""),"",MAX(N(K236),IF(A236="",0,SUMPRODUCT(MAX((in_plan=A236)*in_prev*in_cnum)))))</f>
        <v/>
      </c>
      <c r="O236" s="76" t="str">
        <f>IF(AND(OR(E236="Calendrier",E236="Au premier des deux"),N(F236)&gt;0,IF(N(M236)&gt;0,M236,IFERROR(N(INDEX(eq_start,MATCH(B236,eq_code,0))),0))&gt;0),IF(N(M236)&gt;0,M236,IFERROR(N(INDEX(eq_start,MATCH(B236,eq_code,0))),0))+F236,"")</f>
        <v/>
      </c>
      <c r="P236" s="75" t="str">
        <f>IF(AND(OR(E236="Compteur",E236="Au premier des deux"),N(G236)&gt;0),N(N236)+G236,"")</f>
        <v/>
      </c>
      <c r="Q236" s="75" t="str">
        <f>IF(B236="","",IFERROR(N(INDEX(eq_cnt,MATCH(B236,eq_code,0))),""))</f>
        <v/>
      </c>
      <c r="R236" s="77" t="str">
        <f>IF(ISNUMBER(O236),O236-p_today,"")</f>
        <v/>
      </c>
      <c r="S236" s="78" t="str">
        <f>IF(AND(ISNUMBER(P236),N(Q236)&gt;0),P236-Q236,"")</f>
        <v/>
      </c>
      <c r="T236" s="76" t="str">
        <f>IF(AND(ISNUMBER(O236),ISNUMBER(X236)),MIN(O236,X236),IF(ISNUMBER(O236),O236,X236))</f>
        <v/>
      </c>
      <c r="U236" s="79" t="str">
        <f>IF(AND(A236="",B236="",D236=""),"",IF(L236="Non","Inactif",IF(AND(NOT(ISNUMBER(R236)),NOT(ISNUMBER(S236))),"À compléter",IF(OR(AND(ISNUMBER(R236),N(R236)&lt;0),AND(ISNUMBER(S236),N(S236)&lt;0)),"En retard",IF(OR(AND(ISNUMBER(R236),N(R236)&lt;=p_soon),AND(ISNUMBER(S236),N(S236)&lt;=p_soon_pct*N(G236))),"Bientôt","À jour")))))</f>
        <v/>
      </c>
      <c r="V236" s="79" t="str">
        <f>IF(AND(A236="",B236="",D236=""),"",IF(A236="","N° de plan manquant",IF(COUNTIF($A$6:$A$505,A236)&gt;1,"N° de plan en double",IF(B236="","Équipement manquant",IF(ISNA(MATCH(B236,eq_code,0)),"Équipement inconnu",IF(D236="","Tâche manquante",IF(E236="","Déclenchement manquant",IF(AND(E236&lt;&gt;"Calendrier",E236&lt;&gt;"Compteur",E236&lt;&gt;"Au premier des deux"),"Déclenchement inconnu",IF(AND(E236&lt;&gt;"Compteur",OR(NOT(ISNUMBER(F236)),N(F236)&lt;=0)),"Périodicité en jours manquante",IF(AND(E236&lt;&gt;"Calendrier",OR(NOT(ISNUMBER(G236)),N(G236)&lt;=0)),"Périodicité compteur manquante",IF(AND(J236&lt;&gt;"",OR(NOT(ISNUMBER(J236)),N(J236)&lt;=0)),"Date de réalisation invalide",IF(AND(K236&lt;&gt;"",OR(NOT(ISNUMBER(K236)),N(K236)&lt;0)),"Compteur de réalisation invalide",IF(AND(E236&lt;&gt;"Compteur",N(M236)=0,IFERROR(N(INDEX(eq_start,MATCH(B236,eq_code,0))),0)=0),"Date de départ manquante",IF(AND(E236&lt;&gt;"Calendrier",K236="",N(N236)=0),"Compteur de départ manquant",IF(AND(E236&lt;&gt;"Calendrier",N(Q236)=0),"Relevé compteur manquant (Équipements)",IF(AND(I236&lt;&gt;"",ISNA(MATCH(I236,tech_name,0))),"Technicien inconnu",IF(AND(L236&lt;&gt;"",L236&lt;&gt;"Oui",L236&lt;&gt;"Non"),"Actif : Oui ou Non","OK")))))))))))))))))</f>
        <v/>
      </c>
      <c r="W236" s="67">
        <f>IFERROR(N(INDEX(eq_use,MATCH(B236,eq_code,0))),0)</f>
        <v>0.0</v>
      </c>
      <c r="X236" s="67" t="str">
        <f>IF(AND(ISNUMBER(S236),W236&gt;0),p_today+MAX(0,ROUNDUP(S236*7/W236,0)),"")</f>
        <v/>
      </c>
      <c r="Y236" s="67" t="str">
        <f>IF(AND(ISNUMBER(T236),OR(U236="En retard",U236="Bientôt",U236="À jour")),IF(AND(ISNUMBER(O236),ISNUMBER(X236)),MIN(F236,G236*7/W236),IF(ISNUMBER(O236),F236,G236*7/W236)),"")</f>
        <v/>
      </c>
      <c r="Z236" s="67" t="str">
        <f>IF(OR(U236="En retard",U236="Bientôt"),IF(U236="En retard",0,1)*1000000000+IF(AB236="A",0,IF(AB236="B",1,IF(AB236="C",2,3)))*100000000+IF(ISNUMBER(T236),T236,p_today)*1000+ROW()-5,"")</f>
        <v/>
      </c>
      <c r="AA236" s="67" t="str">
        <f>IF(Z236="","",COUNTIF($Z$6:$Z$505,"&lt;"&amp;Z236)+1)</f>
        <v/>
      </c>
      <c r="AB236" s="67" t="str">
        <f>IFERROR(INDEX(eq_crit,MATCH(B236,eq_code,0))&amp;"","")</f>
        <v/>
      </c>
    </row>
    <row r="237">
      <c r="A237" s="65" t="n"/>
      <c r="B237" s="66" t="n"/>
      <c r="C237" s="67" t="str">
        <f>IF(B237="","",IFERROR(INDEX(eq_des,MATCH(B237,eq_code,0))&amp;"","Équipement inconnu"))</f>
        <v/>
      </c>
      <c r="D237" s="66" t="n"/>
      <c r="E237" s="68" t="n"/>
      <c r="F237" s="69" t="n"/>
      <c r="G237" s="70" t="n"/>
      <c r="H237" s="71" t="n"/>
      <c r="I237" s="66" t="n"/>
      <c r="J237" s="72" t="n"/>
      <c r="K237" s="73" t="n"/>
      <c r="L237" s="68" t="n"/>
      <c r="M237" s="74" t="str">
        <f>IF(AND(A237="",B237="",D237=""),"",MAX(N(J237),IF(A237="",0,SUMPRODUCT(MAX((in_plan=A237)*in_prev*in_dnum)))))</f>
        <v/>
      </c>
      <c r="N237" s="75" t="str">
        <f>IF(AND(A237="",B237="",D237=""),"",MAX(N(K237),IF(A237="",0,SUMPRODUCT(MAX((in_plan=A237)*in_prev*in_cnum)))))</f>
        <v/>
      </c>
      <c r="O237" s="76" t="str">
        <f>IF(AND(OR(E237="Calendrier",E237="Au premier des deux"),N(F237)&gt;0,IF(N(M237)&gt;0,M237,IFERROR(N(INDEX(eq_start,MATCH(B237,eq_code,0))),0))&gt;0),IF(N(M237)&gt;0,M237,IFERROR(N(INDEX(eq_start,MATCH(B237,eq_code,0))),0))+F237,"")</f>
        <v/>
      </c>
      <c r="P237" s="75" t="str">
        <f>IF(AND(OR(E237="Compteur",E237="Au premier des deux"),N(G237)&gt;0),N(N237)+G237,"")</f>
        <v/>
      </c>
      <c r="Q237" s="75" t="str">
        <f>IF(B237="","",IFERROR(N(INDEX(eq_cnt,MATCH(B237,eq_code,0))),""))</f>
        <v/>
      </c>
      <c r="R237" s="77" t="str">
        <f>IF(ISNUMBER(O237),O237-p_today,"")</f>
        <v/>
      </c>
      <c r="S237" s="78" t="str">
        <f>IF(AND(ISNUMBER(P237),N(Q237)&gt;0),P237-Q237,"")</f>
        <v/>
      </c>
      <c r="T237" s="76" t="str">
        <f>IF(AND(ISNUMBER(O237),ISNUMBER(X237)),MIN(O237,X237),IF(ISNUMBER(O237),O237,X237))</f>
        <v/>
      </c>
      <c r="U237" s="79" t="str">
        <f>IF(AND(A237="",B237="",D237=""),"",IF(L237="Non","Inactif",IF(AND(NOT(ISNUMBER(R237)),NOT(ISNUMBER(S237))),"À compléter",IF(OR(AND(ISNUMBER(R237),N(R237)&lt;0),AND(ISNUMBER(S237),N(S237)&lt;0)),"En retard",IF(OR(AND(ISNUMBER(R237),N(R237)&lt;=p_soon),AND(ISNUMBER(S237),N(S237)&lt;=p_soon_pct*N(G237))),"Bientôt","À jour")))))</f>
        <v/>
      </c>
      <c r="V237" s="79" t="str">
        <f>IF(AND(A237="",B237="",D237=""),"",IF(A237="","N° de plan manquant",IF(COUNTIF($A$6:$A$505,A237)&gt;1,"N° de plan en double",IF(B237="","Équipement manquant",IF(ISNA(MATCH(B237,eq_code,0)),"Équipement inconnu",IF(D237="","Tâche manquante",IF(E237="","Déclenchement manquant",IF(AND(E237&lt;&gt;"Calendrier",E237&lt;&gt;"Compteur",E237&lt;&gt;"Au premier des deux"),"Déclenchement inconnu",IF(AND(E237&lt;&gt;"Compteur",OR(NOT(ISNUMBER(F237)),N(F237)&lt;=0)),"Périodicité en jours manquante",IF(AND(E237&lt;&gt;"Calendrier",OR(NOT(ISNUMBER(G237)),N(G237)&lt;=0)),"Périodicité compteur manquante",IF(AND(J237&lt;&gt;"",OR(NOT(ISNUMBER(J237)),N(J237)&lt;=0)),"Date de réalisation invalide",IF(AND(K237&lt;&gt;"",OR(NOT(ISNUMBER(K237)),N(K237)&lt;0)),"Compteur de réalisation invalide",IF(AND(E237&lt;&gt;"Compteur",N(M237)=0,IFERROR(N(INDEX(eq_start,MATCH(B237,eq_code,0))),0)=0),"Date de départ manquante",IF(AND(E237&lt;&gt;"Calendrier",K237="",N(N237)=0),"Compteur de départ manquant",IF(AND(E237&lt;&gt;"Calendrier",N(Q237)=0),"Relevé compteur manquant (Équipements)",IF(AND(I237&lt;&gt;"",ISNA(MATCH(I237,tech_name,0))),"Technicien inconnu",IF(AND(L237&lt;&gt;"",L237&lt;&gt;"Oui",L237&lt;&gt;"Non"),"Actif : Oui ou Non","OK")))))))))))))))))</f>
        <v/>
      </c>
      <c r="W237" s="67">
        <f>IFERROR(N(INDEX(eq_use,MATCH(B237,eq_code,0))),0)</f>
        <v>0.0</v>
      </c>
      <c r="X237" s="67" t="str">
        <f>IF(AND(ISNUMBER(S237),W237&gt;0),p_today+MAX(0,ROUNDUP(S237*7/W237,0)),"")</f>
        <v/>
      </c>
      <c r="Y237" s="67" t="str">
        <f>IF(AND(ISNUMBER(T237),OR(U237="En retard",U237="Bientôt",U237="À jour")),IF(AND(ISNUMBER(O237),ISNUMBER(X237)),MIN(F237,G237*7/W237),IF(ISNUMBER(O237),F237,G237*7/W237)),"")</f>
        <v/>
      </c>
      <c r="Z237" s="67" t="str">
        <f>IF(OR(U237="En retard",U237="Bientôt"),IF(U237="En retard",0,1)*1000000000+IF(AB237="A",0,IF(AB237="B",1,IF(AB237="C",2,3)))*100000000+IF(ISNUMBER(T237),T237,p_today)*1000+ROW()-5,"")</f>
        <v/>
      </c>
      <c r="AA237" s="67" t="str">
        <f>IF(Z237="","",COUNTIF($Z$6:$Z$505,"&lt;"&amp;Z237)+1)</f>
        <v/>
      </c>
      <c r="AB237" s="67" t="str">
        <f>IFERROR(INDEX(eq_crit,MATCH(B237,eq_code,0))&amp;"","")</f>
        <v/>
      </c>
    </row>
    <row r="238">
      <c r="A238" s="65" t="n"/>
      <c r="B238" s="66" t="n"/>
      <c r="C238" s="67" t="str">
        <f>IF(B238="","",IFERROR(INDEX(eq_des,MATCH(B238,eq_code,0))&amp;"","Équipement inconnu"))</f>
        <v/>
      </c>
      <c r="D238" s="66" t="n"/>
      <c r="E238" s="68" t="n"/>
      <c r="F238" s="69" t="n"/>
      <c r="G238" s="70" t="n"/>
      <c r="H238" s="71" t="n"/>
      <c r="I238" s="66" t="n"/>
      <c r="J238" s="72" t="n"/>
      <c r="K238" s="73" t="n"/>
      <c r="L238" s="68" t="n"/>
      <c r="M238" s="74" t="str">
        <f>IF(AND(A238="",B238="",D238=""),"",MAX(N(J238),IF(A238="",0,SUMPRODUCT(MAX((in_plan=A238)*in_prev*in_dnum)))))</f>
        <v/>
      </c>
      <c r="N238" s="75" t="str">
        <f>IF(AND(A238="",B238="",D238=""),"",MAX(N(K238),IF(A238="",0,SUMPRODUCT(MAX((in_plan=A238)*in_prev*in_cnum)))))</f>
        <v/>
      </c>
      <c r="O238" s="76" t="str">
        <f>IF(AND(OR(E238="Calendrier",E238="Au premier des deux"),N(F238)&gt;0,IF(N(M238)&gt;0,M238,IFERROR(N(INDEX(eq_start,MATCH(B238,eq_code,0))),0))&gt;0),IF(N(M238)&gt;0,M238,IFERROR(N(INDEX(eq_start,MATCH(B238,eq_code,0))),0))+F238,"")</f>
        <v/>
      </c>
      <c r="P238" s="75" t="str">
        <f>IF(AND(OR(E238="Compteur",E238="Au premier des deux"),N(G238)&gt;0),N(N238)+G238,"")</f>
        <v/>
      </c>
      <c r="Q238" s="75" t="str">
        <f>IF(B238="","",IFERROR(N(INDEX(eq_cnt,MATCH(B238,eq_code,0))),""))</f>
        <v/>
      </c>
      <c r="R238" s="77" t="str">
        <f>IF(ISNUMBER(O238),O238-p_today,"")</f>
        <v/>
      </c>
      <c r="S238" s="78" t="str">
        <f>IF(AND(ISNUMBER(P238),N(Q238)&gt;0),P238-Q238,"")</f>
        <v/>
      </c>
      <c r="T238" s="76" t="str">
        <f>IF(AND(ISNUMBER(O238),ISNUMBER(X238)),MIN(O238,X238),IF(ISNUMBER(O238),O238,X238))</f>
        <v/>
      </c>
      <c r="U238" s="79" t="str">
        <f>IF(AND(A238="",B238="",D238=""),"",IF(L238="Non","Inactif",IF(AND(NOT(ISNUMBER(R238)),NOT(ISNUMBER(S238))),"À compléter",IF(OR(AND(ISNUMBER(R238),N(R238)&lt;0),AND(ISNUMBER(S238),N(S238)&lt;0)),"En retard",IF(OR(AND(ISNUMBER(R238),N(R238)&lt;=p_soon),AND(ISNUMBER(S238),N(S238)&lt;=p_soon_pct*N(G238))),"Bientôt","À jour")))))</f>
        <v/>
      </c>
      <c r="V238" s="79" t="str">
        <f>IF(AND(A238="",B238="",D238=""),"",IF(A238="","N° de plan manquant",IF(COUNTIF($A$6:$A$505,A238)&gt;1,"N° de plan en double",IF(B238="","Équipement manquant",IF(ISNA(MATCH(B238,eq_code,0)),"Équipement inconnu",IF(D238="","Tâche manquante",IF(E238="","Déclenchement manquant",IF(AND(E238&lt;&gt;"Calendrier",E238&lt;&gt;"Compteur",E238&lt;&gt;"Au premier des deux"),"Déclenchement inconnu",IF(AND(E238&lt;&gt;"Compteur",OR(NOT(ISNUMBER(F238)),N(F238)&lt;=0)),"Périodicité en jours manquante",IF(AND(E238&lt;&gt;"Calendrier",OR(NOT(ISNUMBER(G238)),N(G238)&lt;=0)),"Périodicité compteur manquante",IF(AND(J238&lt;&gt;"",OR(NOT(ISNUMBER(J238)),N(J238)&lt;=0)),"Date de réalisation invalide",IF(AND(K238&lt;&gt;"",OR(NOT(ISNUMBER(K238)),N(K238)&lt;0)),"Compteur de réalisation invalide",IF(AND(E238&lt;&gt;"Compteur",N(M238)=0,IFERROR(N(INDEX(eq_start,MATCH(B238,eq_code,0))),0)=0),"Date de départ manquante",IF(AND(E238&lt;&gt;"Calendrier",K238="",N(N238)=0),"Compteur de départ manquant",IF(AND(E238&lt;&gt;"Calendrier",N(Q238)=0),"Relevé compteur manquant (Équipements)",IF(AND(I238&lt;&gt;"",ISNA(MATCH(I238,tech_name,0))),"Technicien inconnu",IF(AND(L238&lt;&gt;"",L238&lt;&gt;"Oui",L238&lt;&gt;"Non"),"Actif : Oui ou Non","OK")))))))))))))))))</f>
        <v/>
      </c>
      <c r="W238" s="67">
        <f>IFERROR(N(INDEX(eq_use,MATCH(B238,eq_code,0))),0)</f>
        <v>0.0</v>
      </c>
      <c r="X238" s="67" t="str">
        <f>IF(AND(ISNUMBER(S238),W238&gt;0),p_today+MAX(0,ROUNDUP(S238*7/W238,0)),"")</f>
        <v/>
      </c>
      <c r="Y238" s="67" t="str">
        <f>IF(AND(ISNUMBER(T238),OR(U238="En retard",U238="Bientôt",U238="À jour")),IF(AND(ISNUMBER(O238),ISNUMBER(X238)),MIN(F238,G238*7/W238),IF(ISNUMBER(O238),F238,G238*7/W238)),"")</f>
        <v/>
      </c>
      <c r="Z238" s="67" t="str">
        <f>IF(OR(U238="En retard",U238="Bientôt"),IF(U238="En retard",0,1)*1000000000+IF(AB238="A",0,IF(AB238="B",1,IF(AB238="C",2,3)))*100000000+IF(ISNUMBER(T238),T238,p_today)*1000+ROW()-5,"")</f>
        <v/>
      </c>
      <c r="AA238" s="67" t="str">
        <f>IF(Z238="","",COUNTIF($Z$6:$Z$505,"&lt;"&amp;Z238)+1)</f>
        <v/>
      </c>
      <c r="AB238" s="67" t="str">
        <f>IFERROR(INDEX(eq_crit,MATCH(B238,eq_code,0))&amp;"","")</f>
        <v/>
      </c>
    </row>
    <row r="239">
      <c r="A239" s="65" t="n"/>
      <c r="B239" s="66" t="n"/>
      <c r="C239" s="67" t="str">
        <f>IF(B239="","",IFERROR(INDEX(eq_des,MATCH(B239,eq_code,0))&amp;"","Équipement inconnu"))</f>
        <v/>
      </c>
      <c r="D239" s="66" t="n"/>
      <c r="E239" s="68" t="n"/>
      <c r="F239" s="69" t="n"/>
      <c r="G239" s="70" t="n"/>
      <c r="H239" s="71" t="n"/>
      <c r="I239" s="66" t="n"/>
      <c r="J239" s="72" t="n"/>
      <c r="K239" s="73" t="n"/>
      <c r="L239" s="68" t="n"/>
      <c r="M239" s="74" t="str">
        <f>IF(AND(A239="",B239="",D239=""),"",MAX(N(J239),IF(A239="",0,SUMPRODUCT(MAX((in_plan=A239)*in_prev*in_dnum)))))</f>
        <v/>
      </c>
      <c r="N239" s="75" t="str">
        <f>IF(AND(A239="",B239="",D239=""),"",MAX(N(K239),IF(A239="",0,SUMPRODUCT(MAX((in_plan=A239)*in_prev*in_cnum)))))</f>
        <v/>
      </c>
      <c r="O239" s="76" t="str">
        <f>IF(AND(OR(E239="Calendrier",E239="Au premier des deux"),N(F239)&gt;0,IF(N(M239)&gt;0,M239,IFERROR(N(INDEX(eq_start,MATCH(B239,eq_code,0))),0))&gt;0),IF(N(M239)&gt;0,M239,IFERROR(N(INDEX(eq_start,MATCH(B239,eq_code,0))),0))+F239,"")</f>
        <v/>
      </c>
      <c r="P239" s="75" t="str">
        <f>IF(AND(OR(E239="Compteur",E239="Au premier des deux"),N(G239)&gt;0),N(N239)+G239,"")</f>
        <v/>
      </c>
      <c r="Q239" s="75" t="str">
        <f>IF(B239="","",IFERROR(N(INDEX(eq_cnt,MATCH(B239,eq_code,0))),""))</f>
        <v/>
      </c>
      <c r="R239" s="77" t="str">
        <f>IF(ISNUMBER(O239),O239-p_today,"")</f>
        <v/>
      </c>
      <c r="S239" s="78" t="str">
        <f>IF(AND(ISNUMBER(P239),N(Q239)&gt;0),P239-Q239,"")</f>
        <v/>
      </c>
      <c r="T239" s="76" t="str">
        <f>IF(AND(ISNUMBER(O239),ISNUMBER(X239)),MIN(O239,X239),IF(ISNUMBER(O239),O239,X239))</f>
        <v/>
      </c>
      <c r="U239" s="79" t="str">
        <f>IF(AND(A239="",B239="",D239=""),"",IF(L239="Non","Inactif",IF(AND(NOT(ISNUMBER(R239)),NOT(ISNUMBER(S239))),"À compléter",IF(OR(AND(ISNUMBER(R239),N(R239)&lt;0),AND(ISNUMBER(S239),N(S239)&lt;0)),"En retard",IF(OR(AND(ISNUMBER(R239),N(R239)&lt;=p_soon),AND(ISNUMBER(S239),N(S239)&lt;=p_soon_pct*N(G239))),"Bientôt","À jour")))))</f>
        <v/>
      </c>
      <c r="V239" s="79" t="str">
        <f>IF(AND(A239="",B239="",D239=""),"",IF(A239="","N° de plan manquant",IF(COUNTIF($A$6:$A$505,A239)&gt;1,"N° de plan en double",IF(B239="","Équipement manquant",IF(ISNA(MATCH(B239,eq_code,0)),"Équipement inconnu",IF(D239="","Tâche manquante",IF(E239="","Déclenchement manquant",IF(AND(E239&lt;&gt;"Calendrier",E239&lt;&gt;"Compteur",E239&lt;&gt;"Au premier des deux"),"Déclenchement inconnu",IF(AND(E239&lt;&gt;"Compteur",OR(NOT(ISNUMBER(F239)),N(F239)&lt;=0)),"Périodicité en jours manquante",IF(AND(E239&lt;&gt;"Calendrier",OR(NOT(ISNUMBER(G239)),N(G239)&lt;=0)),"Périodicité compteur manquante",IF(AND(J239&lt;&gt;"",OR(NOT(ISNUMBER(J239)),N(J239)&lt;=0)),"Date de réalisation invalide",IF(AND(K239&lt;&gt;"",OR(NOT(ISNUMBER(K239)),N(K239)&lt;0)),"Compteur de réalisation invalide",IF(AND(E239&lt;&gt;"Compteur",N(M239)=0,IFERROR(N(INDEX(eq_start,MATCH(B239,eq_code,0))),0)=0),"Date de départ manquante",IF(AND(E239&lt;&gt;"Calendrier",K239="",N(N239)=0),"Compteur de départ manquant",IF(AND(E239&lt;&gt;"Calendrier",N(Q239)=0),"Relevé compteur manquant (Équipements)",IF(AND(I239&lt;&gt;"",ISNA(MATCH(I239,tech_name,0))),"Technicien inconnu",IF(AND(L239&lt;&gt;"",L239&lt;&gt;"Oui",L239&lt;&gt;"Non"),"Actif : Oui ou Non","OK")))))))))))))))))</f>
        <v/>
      </c>
      <c r="W239" s="67">
        <f>IFERROR(N(INDEX(eq_use,MATCH(B239,eq_code,0))),0)</f>
        <v>0.0</v>
      </c>
      <c r="X239" s="67" t="str">
        <f>IF(AND(ISNUMBER(S239),W239&gt;0),p_today+MAX(0,ROUNDUP(S239*7/W239,0)),"")</f>
        <v/>
      </c>
      <c r="Y239" s="67" t="str">
        <f>IF(AND(ISNUMBER(T239),OR(U239="En retard",U239="Bientôt",U239="À jour")),IF(AND(ISNUMBER(O239),ISNUMBER(X239)),MIN(F239,G239*7/W239),IF(ISNUMBER(O239),F239,G239*7/W239)),"")</f>
        <v/>
      </c>
      <c r="Z239" s="67" t="str">
        <f>IF(OR(U239="En retard",U239="Bientôt"),IF(U239="En retard",0,1)*1000000000+IF(AB239="A",0,IF(AB239="B",1,IF(AB239="C",2,3)))*100000000+IF(ISNUMBER(T239),T239,p_today)*1000+ROW()-5,"")</f>
        <v/>
      </c>
      <c r="AA239" s="67" t="str">
        <f>IF(Z239="","",COUNTIF($Z$6:$Z$505,"&lt;"&amp;Z239)+1)</f>
        <v/>
      </c>
      <c r="AB239" s="67" t="str">
        <f>IFERROR(INDEX(eq_crit,MATCH(B239,eq_code,0))&amp;"","")</f>
        <v/>
      </c>
    </row>
    <row r="240">
      <c r="A240" s="65" t="n"/>
      <c r="B240" s="66" t="n"/>
      <c r="C240" s="67" t="str">
        <f>IF(B240="","",IFERROR(INDEX(eq_des,MATCH(B240,eq_code,0))&amp;"","Équipement inconnu"))</f>
        <v/>
      </c>
      <c r="D240" s="66" t="n"/>
      <c r="E240" s="68" t="n"/>
      <c r="F240" s="69" t="n"/>
      <c r="G240" s="70" t="n"/>
      <c r="H240" s="71" t="n"/>
      <c r="I240" s="66" t="n"/>
      <c r="J240" s="72" t="n"/>
      <c r="K240" s="73" t="n"/>
      <c r="L240" s="68" t="n"/>
      <c r="M240" s="74" t="str">
        <f>IF(AND(A240="",B240="",D240=""),"",MAX(N(J240),IF(A240="",0,SUMPRODUCT(MAX((in_plan=A240)*in_prev*in_dnum)))))</f>
        <v/>
      </c>
      <c r="N240" s="75" t="str">
        <f>IF(AND(A240="",B240="",D240=""),"",MAX(N(K240),IF(A240="",0,SUMPRODUCT(MAX((in_plan=A240)*in_prev*in_cnum)))))</f>
        <v/>
      </c>
      <c r="O240" s="76" t="str">
        <f>IF(AND(OR(E240="Calendrier",E240="Au premier des deux"),N(F240)&gt;0,IF(N(M240)&gt;0,M240,IFERROR(N(INDEX(eq_start,MATCH(B240,eq_code,0))),0))&gt;0),IF(N(M240)&gt;0,M240,IFERROR(N(INDEX(eq_start,MATCH(B240,eq_code,0))),0))+F240,"")</f>
        <v/>
      </c>
      <c r="P240" s="75" t="str">
        <f>IF(AND(OR(E240="Compteur",E240="Au premier des deux"),N(G240)&gt;0),N(N240)+G240,"")</f>
        <v/>
      </c>
      <c r="Q240" s="75" t="str">
        <f>IF(B240="","",IFERROR(N(INDEX(eq_cnt,MATCH(B240,eq_code,0))),""))</f>
        <v/>
      </c>
      <c r="R240" s="77" t="str">
        <f>IF(ISNUMBER(O240),O240-p_today,"")</f>
        <v/>
      </c>
      <c r="S240" s="78" t="str">
        <f>IF(AND(ISNUMBER(P240),N(Q240)&gt;0),P240-Q240,"")</f>
        <v/>
      </c>
      <c r="T240" s="76" t="str">
        <f>IF(AND(ISNUMBER(O240),ISNUMBER(X240)),MIN(O240,X240),IF(ISNUMBER(O240),O240,X240))</f>
        <v/>
      </c>
      <c r="U240" s="79" t="str">
        <f>IF(AND(A240="",B240="",D240=""),"",IF(L240="Non","Inactif",IF(AND(NOT(ISNUMBER(R240)),NOT(ISNUMBER(S240))),"À compléter",IF(OR(AND(ISNUMBER(R240),N(R240)&lt;0),AND(ISNUMBER(S240),N(S240)&lt;0)),"En retard",IF(OR(AND(ISNUMBER(R240),N(R240)&lt;=p_soon),AND(ISNUMBER(S240),N(S240)&lt;=p_soon_pct*N(G240))),"Bientôt","À jour")))))</f>
        <v/>
      </c>
      <c r="V240" s="79" t="str">
        <f>IF(AND(A240="",B240="",D240=""),"",IF(A240="","N° de plan manquant",IF(COUNTIF($A$6:$A$505,A240)&gt;1,"N° de plan en double",IF(B240="","Équipement manquant",IF(ISNA(MATCH(B240,eq_code,0)),"Équipement inconnu",IF(D240="","Tâche manquante",IF(E240="","Déclenchement manquant",IF(AND(E240&lt;&gt;"Calendrier",E240&lt;&gt;"Compteur",E240&lt;&gt;"Au premier des deux"),"Déclenchement inconnu",IF(AND(E240&lt;&gt;"Compteur",OR(NOT(ISNUMBER(F240)),N(F240)&lt;=0)),"Périodicité en jours manquante",IF(AND(E240&lt;&gt;"Calendrier",OR(NOT(ISNUMBER(G240)),N(G240)&lt;=0)),"Périodicité compteur manquante",IF(AND(J240&lt;&gt;"",OR(NOT(ISNUMBER(J240)),N(J240)&lt;=0)),"Date de réalisation invalide",IF(AND(K240&lt;&gt;"",OR(NOT(ISNUMBER(K240)),N(K240)&lt;0)),"Compteur de réalisation invalide",IF(AND(E240&lt;&gt;"Compteur",N(M240)=0,IFERROR(N(INDEX(eq_start,MATCH(B240,eq_code,0))),0)=0),"Date de départ manquante",IF(AND(E240&lt;&gt;"Calendrier",K240="",N(N240)=0),"Compteur de départ manquant",IF(AND(E240&lt;&gt;"Calendrier",N(Q240)=0),"Relevé compteur manquant (Équipements)",IF(AND(I240&lt;&gt;"",ISNA(MATCH(I240,tech_name,0))),"Technicien inconnu",IF(AND(L240&lt;&gt;"",L240&lt;&gt;"Oui",L240&lt;&gt;"Non"),"Actif : Oui ou Non","OK")))))))))))))))))</f>
        <v/>
      </c>
      <c r="W240" s="67">
        <f>IFERROR(N(INDEX(eq_use,MATCH(B240,eq_code,0))),0)</f>
        <v>0.0</v>
      </c>
      <c r="X240" s="67" t="str">
        <f>IF(AND(ISNUMBER(S240),W240&gt;0),p_today+MAX(0,ROUNDUP(S240*7/W240,0)),"")</f>
        <v/>
      </c>
      <c r="Y240" s="67" t="str">
        <f>IF(AND(ISNUMBER(T240),OR(U240="En retard",U240="Bientôt",U240="À jour")),IF(AND(ISNUMBER(O240),ISNUMBER(X240)),MIN(F240,G240*7/W240),IF(ISNUMBER(O240),F240,G240*7/W240)),"")</f>
        <v/>
      </c>
      <c r="Z240" s="67" t="str">
        <f>IF(OR(U240="En retard",U240="Bientôt"),IF(U240="En retard",0,1)*1000000000+IF(AB240="A",0,IF(AB240="B",1,IF(AB240="C",2,3)))*100000000+IF(ISNUMBER(T240),T240,p_today)*1000+ROW()-5,"")</f>
        <v/>
      </c>
      <c r="AA240" s="67" t="str">
        <f>IF(Z240="","",COUNTIF($Z$6:$Z$505,"&lt;"&amp;Z240)+1)</f>
        <v/>
      </c>
      <c r="AB240" s="67" t="str">
        <f>IFERROR(INDEX(eq_crit,MATCH(B240,eq_code,0))&amp;"","")</f>
        <v/>
      </c>
    </row>
    <row r="241">
      <c r="A241" s="65" t="n"/>
      <c r="B241" s="66" t="n"/>
      <c r="C241" s="67" t="str">
        <f>IF(B241="","",IFERROR(INDEX(eq_des,MATCH(B241,eq_code,0))&amp;"","Équipement inconnu"))</f>
        <v/>
      </c>
      <c r="D241" s="66" t="n"/>
      <c r="E241" s="68" t="n"/>
      <c r="F241" s="69" t="n"/>
      <c r="G241" s="70" t="n"/>
      <c r="H241" s="71" t="n"/>
      <c r="I241" s="66" t="n"/>
      <c r="J241" s="72" t="n"/>
      <c r="K241" s="73" t="n"/>
      <c r="L241" s="68" t="n"/>
      <c r="M241" s="74" t="str">
        <f>IF(AND(A241="",B241="",D241=""),"",MAX(N(J241),IF(A241="",0,SUMPRODUCT(MAX((in_plan=A241)*in_prev*in_dnum)))))</f>
        <v/>
      </c>
      <c r="N241" s="75" t="str">
        <f>IF(AND(A241="",B241="",D241=""),"",MAX(N(K241),IF(A241="",0,SUMPRODUCT(MAX((in_plan=A241)*in_prev*in_cnum)))))</f>
        <v/>
      </c>
      <c r="O241" s="76" t="str">
        <f>IF(AND(OR(E241="Calendrier",E241="Au premier des deux"),N(F241)&gt;0,IF(N(M241)&gt;0,M241,IFERROR(N(INDEX(eq_start,MATCH(B241,eq_code,0))),0))&gt;0),IF(N(M241)&gt;0,M241,IFERROR(N(INDEX(eq_start,MATCH(B241,eq_code,0))),0))+F241,"")</f>
        <v/>
      </c>
      <c r="P241" s="75" t="str">
        <f>IF(AND(OR(E241="Compteur",E241="Au premier des deux"),N(G241)&gt;0),N(N241)+G241,"")</f>
        <v/>
      </c>
      <c r="Q241" s="75" t="str">
        <f>IF(B241="","",IFERROR(N(INDEX(eq_cnt,MATCH(B241,eq_code,0))),""))</f>
        <v/>
      </c>
      <c r="R241" s="77" t="str">
        <f>IF(ISNUMBER(O241),O241-p_today,"")</f>
        <v/>
      </c>
      <c r="S241" s="78" t="str">
        <f>IF(AND(ISNUMBER(P241),N(Q241)&gt;0),P241-Q241,"")</f>
        <v/>
      </c>
      <c r="T241" s="76" t="str">
        <f>IF(AND(ISNUMBER(O241),ISNUMBER(X241)),MIN(O241,X241),IF(ISNUMBER(O241),O241,X241))</f>
        <v/>
      </c>
      <c r="U241" s="79" t="str">
        <f>IF(AND(A241="",B241="",D241=""),"",IF(L241="Non","Inactif",IF(AND(NOT(ISNUMBER(R241)),NOT(ISNUMBER(S241))),"À compléter",IF(OR(AND(ISNUMBER(R241),N(R241)&lt;0),AND(ISNUMBER(S241),N(S241)&lt;0)),"En retard",IF(OR(AND(ISNUMBER(R241),N(R241)&lt;=p_soon),AND(ISNUMBER(S241),N(S241)&lt;=p_soon_pct*N(G241))),"Bientôt","À jour")))))</f>
        <v/>
      </c>
      <c r="V241" s="79" t="str">
        <f>IF(AND(A241="",B241="",D241=""),"",IF(A241="","N° de plan manquant",IF(COUNTIF($A$6:$A$505,A241)&gt;1,"N° de plan en double",IF(B241="","Équipement manquant",IF(ISNA(MATCH(B241,eq_code,0)),"Équipement inconnu",IF(D241="","Tâche manquante",IF(E241="","Déclenchement manquant",IF(AND(E241&lt;&gt;"Calendrier",E241&lt;&gt;"Compteur",E241&lt;&gt;"Au premier des deux"),"Déclenchement inconnu",IF(AND(E241&lt;&gt;"Compteur",OR(NOT(ISNUMBER(F241)),N(F241)&lt;=0)),"Périodicité en jours manquante",IF(AND(E241&lt;&gt;"Calendrier",OR(NOT(ISNUMBER(G241)),N(G241)&lt;=0)),"Périodicité compteur manquante",IF(AND(J241&lt;&gt;"",OR(NOT(ISNUMBER(J241)),N(J241)&lt;=0)),"Date de réalisation invalide",IF(AND(K241&lt;&gt;"",OR(NOT(ISNUMBER(K241)),N(K241)&lt;0)),"Compteur de réalisation invalide",IF(AND(E241&lt;&gt;"Compteur",N(M241)=0,IFERROR(N(INDEX(eq_start,MATCH(B241,eq_code,0))),0)=0),"Date de départ manquante",IF(AND(E241&lt;&gt;"Calendrier",K241="",N(N241)=0),"Compteur de départ manquant",IF(AND(E241&lt;&gt;"Calendrier",N(Q241)=0),"Relevé compteur manquant (Équipements)",IF(AND(I241&lt;&gt;"",ISNA(MATCH(I241,tech_name,0))),"Technicien inconnu",IF(AND(L241&lt;&gt;"",L241&lt;&gt;"Oui",L241&lt;&gt;"Non"),"Actif : Oui ou Non","OK")))))))))))))))))</f>
        <v/>
      </c>
      <c r="W241" s="67">
        <f>IFERROR(N(INDEX(eq_use,MATCH(B241,eq_code,0))),0)</f>
        <v>0.0</v>
      </c>
      <c r="X241" s="67" t="str">
        <f>IF(AND(ISNUMBER(S241),W241&gt;0),p_today+MAX(0,ROUNDUP(S241*7/W241,0)),"")</f>
        <v/>
      </c>
      <c r="Y241" s="67" t="str">
        <f>IF(AND(ISNUMBER(T241),OR(U241="En retard",U241="Bientôt",U241="À jour")),IF(AND(ISNUMBER(O241),ISNUMBER(X241)),MIN(F241,G241*7/W241),IF(ISNUMBER(O241),F241,G241*7/W241)),"")</f>
        <v/>
      </c>
      <c r="Z241" s="67" t="str">
        <f>IF(OR(U241="En retard",U241="Bientôt"),IF(U241="En retard",0,1)*1000000000+IF(AB241="A",0,IF(AB241="B",1,IF(AB241="C",2,3)))*100000000+IF(ISNUMBER(T241),T241,p_today)*1000+ROW()-5,"")</f>
        <v/>
      </c>
      <c r="AA241" s="67" t="str">
        <f>IF(Z241="","",COUNTIF($Z$6:$Z$505,"&lt;"&amp;Z241)+1)</f>
        <v/>
      </c>
      <c r="AB241" s="67" t="str">
        <f>IFERROR(INDEX(eq_crit,MATCH(B241,eq_code,0))&amp;"","")</f>
        <v/>
      </c>
    </row>
    <row r="242">
      <c r="A242" s="65" t="n"/>
      <c r="B242" s="66" t="n"/>
      <c r="C242" s="67" t="str">
        <f>IF(B242="","",IFERROR(INDEX(eq_des,MATCH(B242,eq_code,0))&amp;"","Équipement inconnu"))</f>
        <v/>
      </c>
      <c r="D242" s="66" t="n"/>
      <c r="E242" s="68" t="n"/>
      <c r="F242" s="69" t="n"/>
      <c r="G242" s="70" t="n"/>
      <c r="H242" s="71" t="n"/>
      <c r="I242" s="66" t="n"/>
      <c r="J242" s="72" t="n"/>
      <c r="K242" s="73" t="n"/>
      <c r="L242" s="68" t="n"/>
      <c r="M242" s="74" t="str">
        <f>IF(AND(A242="",B242="",D242=""),"",MAX(N(J242),IF(A242="",0,SUMPRODUCT(MAX((in_plan=A242)*in_prev*in_dnum)))))</f>
        <v/>
      </c>
      <c r="N242" s="75" t="str">
        <f>IF(AND(A242="",B242="",D242=""),"",MAX(N(K242),IF(A242="",0,SUMPRODUCT(MAX((in_plan=A242)*in_prev*in_cnum)))))</f>
        <v/>
      </c>
      <c r="O242" s="76" t="str">
        <f>IF(AND(OR(E242="Calendrier",E242="Au premier des deux"),N(F242)&gt;0,IF(N(M242)&gt;0,M242,IFERROR(N(INDEX(eq_start,MATCH(B242,eq_code,0))),0))&gt;0),IF(N(M242)&gt;0,M242,IFERROR(N(INDEX(eq_start,MATCH(B242,eq_code,0))),0))+F242,"")</f>
        <v/>
      </c>
      <c r="P242" s="75" t="str">
        <f>IF(AND(OR(E242="Compteur",E242="Au premier des deux"),N(G242)&gt;0),N(N242)+G242,"")</f>
        <v/>
      </c>
      <c r="Q242" s="75" t="str">
        <f>IF(B242="","",IFERROR(N(INDEX(eq_cnt,MATCH(B242,eq_code,0))),""))</f>
        <v/>
      </c>
      <c r="R242" s="77" t="str">
        <f>IF(ISNUMBER(O242),O242-p_today,"")</f>
        <v/>
      </c>
      <c r="S242" s="78" t="str">
        <f>IF(AND(ISNUMBER(P242),N(Q242)&gt;0),P242-Q242,"")</f>
        <v/>
      </c>
      <c r="T242" s="76" t="str">
        <f>IF(AND(ISNUMBER(O242),ISNUMBER(X242)),MIN(O242,X242),IF(ISNUMBER(O242),O242,X242))</f>
        <v/>
      </c>
      <c r="U242" s="79" t="str">
        <f>IF(AND(A242="",B242="",D242=""),"",IF(L242="Non","Inactif",IF(AND(NOT(ISNUMBER(R242)),NOT(ISNUMBER(S242))),"À compléter",IF(OR(AND(ISNUMBER(R242),N(R242)&lt;0),AND(ISNUMBER(S242),N(S242)&lt;0)),"En retard",IF(OR(AND(ISNUMBER(R242),N(R242)&lt;=p_soon),AND(ISNUMBER(S242),N(S242)&lt;=p_soon_pct*N(G242))),"Bientôt","À jour")))))</f>
        <v/>
      </c>
      <c r="V242" s="79" t="str">
        <f>IF(AND(A242="",B242="",D242=""),"",IF(A242="","N° de plan manquant",IF(COUNTIF($A$6:$A$505,A242)&gt;1,"N° de plan en double",IF(B242="","Équipement manquant",IF(ISNA(MATCH(B242,eq_code,0)),"Équipement inconnu",IF(D242="","Tâche manquante",IF(E242="","Déclenchement manquant",IF(AND(E242&lt;&gt;"Calendrier",E242&lt;&gt;"Compteur",E242&lt;&gt;"Au premier des deux"),"Déclenchement inconnu",IF(AND(E242&lt;&gt;"Compteur",OR(NOT(ISNUMBER(F242)),N(F242)&lt;=0)),"Périodicité en jours manquante",IF(AND(E242&lt;&gt;"Calendrier",OR(NOT(ISNUMBER(G242)),N(G242)&lt;=0)),"Périodicité compteur manquante",IF(AND(J242&lt;&gt;"",OR(NOT(ISNUMBER(J242)),N(J242)&lt;=0)),"Date de réalisation invalide",IF(AND(K242&lt;&gt;"",OR(NOT(ISNUMBER(K242)),N(K242)&lt;0)),"Compteur de réalisation invalide",IF(AND(E242&lt;&gt;"Compteur",N(M242)=0,IFERROR(N(INDEX(eq_start,MATCH(B242,eq_code,0))),0)=0),"Date de départ manquante",IF(AND(E242&lt;&gt;"Calendrier",K242="",N(N242)=0),"Compteur de départ manquant",IF(AND(E242&lt;&gt;"Calendrier",N(Q242)=0),"Relevé compteur manquant (Équipements)",IF(AND(I242&lt;&gt;"",ISNA(MATCH(I242,tech_name,0))),"Technicien inconnu",IF(AND(L242&lt;&gt;"",L242&lt;&gt;"Oui",L242&lt;&gt;"Non"),"Actif : Oui ou Non","OK")))))))))))))))))</f>
        <v/>
      </c>
      <c r="W242" s="67">
        <f>IFERROR(N(INDEX(eq_use,MATCH(B242,eq_code,0))),0)</f>
        <v>0.0</v>
      </c>
      <c r="X242" s="67" t="str">
        <f>IF(AND(ISNUMBER(S242),W242&gt;0),p_today+MAX(0,ROUNDUP(S242*7/W242,0)),"")</f>
        <v/>
      </c>
      <c r="Y242" s="67" t="str">
        <f>IF(AND(ISNUMBER(T242),OR(U242="En retard",U242="Bientôt",U242="À jour")),IF(AND(ISNUMBER(O242),ISNUMBER(X242)),MIN(F242,G242*7/W242),IF(ISNUMBER(O242),F242,G242*7/W242)),"")</f>
        <v/>
      </c>
      <c r="Z242" s="67" t="str">
        <f>IF(OR(U242="En retard",U242="Bientôt"),IF(U242="En retard",0,1)*1000000000+IF(AB242="A",0,IF(AB242="B",1,IF(AB242="C",2,3)))*100000000+IF(ISNUMBER(T242),T242,p_today)*1000+ROW()-5,"")</f>
        <v/>
      </c>
      <c r="AA242" s="67" t="str">
        <f>IF(Z242="","",COUNTIF($Z$6:$Z$505,"&lt;"&amp;Z242)+1)</f>
        <v/>
      </c>
      <c r="AB242" s="67" t="str">
        <f>IFERROR(INDEX(eq_crit,MATCH(B242,eq_code,0))&amp;"","")</f>
        <v/>
      </c>
    </row>
    <row r="243">
      <c r="A243" s="65" t="n"/>
      <c r="B243" s="66" t="n"/>
      <c r="C243" s="67" t="str">
        <f>IF(B243="","",IFERROR(INDEX(eq_des,MATCH(B243,eq_code,0))&amp;"","Équipement inconnu"))</f>
        <v/>
      </c>
      <c r="D243" s="66" t="n"/>
      <c r="E243" s="68" t="n"/>
      <c r="F243" s="69" t="n"/>
      <c r="G243" s="70" t="n"/>
      <c r="H243" s="71" t="n"/>
      <c r="I243" s="66" t="n"/>
      <c r="J243" s="72" t="n"/>
      <c r="K243" s="73" t="n"/>
      <c r="L243" s="68" t="n"/>
      <c r="M243" s="74" t="str">
        <f>IF(AND(A243="",B243="",D243=""),"",MAX(N(J243),IF(A243="",0,SUMPRODUCT(MAX((in_plan=A243)*in_prev*in_dnum)))))</f>
        <v/>
      </c>
      <c r="N243" s="75" t="str">
        <f>IF(AND(A243="",B243="",D243=""),"",MAX(N(K243),IF(A243="",0,SUMPRODUCT(MAX((in_plan=A243)*in_prev*in_cnum)))))</f>
        <v/>
      </c>
      <c r="O243" s="76" t="str">
        <f>IF(AND(OR(E243="Calendrier",E243="Au premier des deux"),N(F243)&gt;0,IF(N(M243)&gt;0,M243,IFERROR(N(INDEX(eq_start,MATCH(B243,eq_code,0))),0))&gt;0),IF(N(M243)&gt;0,M243,IFERROR(N(INDEX(eq_start,MATCH(B243,eq_code,0))),0))+F243,"")</f>
        <v/>
      </c>
      <c r="P243" s="75" t="str">
        <f>IF(AND(OR(E243="Compteur",E243="Au premier des deux"),N(G243)&gt;0),N(N243)+G243,"")</f>
        <v/>
      </c>
      <c r="Q243" s="75" t="str">
        <f>IF(B243="","",IFERROR(N(INDEX(eq_cnt,MATCH(B243,eq_code,0))),""))</f>
        <v/>
      </c>
      <c r="R243" s="77" t="str">
        <f>IF(ISNUMBER(O243),O243-p_today,"")</f>
        <v/>
      </c>
      <c r="S243" s="78" t="str">
        <f>IF(AND(ISNUMBER(P243),N(Q243)&gt;0),P243-Q243,"")</f>
        <v/>
      </c>
      <c r="T243" s="76" t="str">
        <f>IF(AND(ISNUMBER(O243),ISNUMBER(X243)),MIN(O243,X243),IF(ISNUMBER(O243),O243,X243))</f>
        <v/>
      </c>
      <c r="U243" s="79" t="str">
        <f>IF(AND(A243="",B243="",D243=""),"",IF(L243="Non","Inactif",IF(AND(NOT(ISNUMBER(R243)),NOT(ISNUMBER(S243))),"À compléter",IF(OR(AND(ISNUMBER(R243),N(R243)&lt;0),AND(ISNUMBER(S243),N(S243)&lt;0)),"En retard",IF(OR(AND(ISNUMBER(R243),N(R243)&lt;=p_soon),AND(ISNUMBER(S243),N(S243)&lt;=p_soon_pct*N(G243))),"Bientôt","À jour")))))</f>
        <v/>
      </c>
      <c r="V243" s="79" t="str">
        <f>IF(AND(A243="",B243="",D243=""),"",IF(A243="","N° de plan manquant",IF(COUNTIF($A$6:$A$505,A243)&gt;1,"N° de plan en double",IF(B243="","Équipement manquant",IF(ISNA(MATCH(B243,eq_code,0)),"Équipement inconnu",IF(D243="","Tâche manquante",IF(E243="","Déclenchement manquant",IF(AND(E243&lt;&gt;"Calendrier",E243&lt;&gt;"Compteur",E243&lt;&gt;"Au premier des deux"),"Déclenchement inconnu",IF(AND(E243&lt;&gt;"Compteur",OR(NOT(ISNUMBER(F243)),N(F243)&lt;=0)),"Périodicité en jours manquante",IF(AND(E243&lt;&gt;"Calendrier",OR(NOT(ISNUMBER(G243)),N(G243)&lt;=0)),"Périodicité compteur manquante",IF(AND(J243&lt;&gt;"",OR(NOT(ISNUMBER(J243)),N(J243)&lt;=0)),"Date de réalisation invalide",IF(AND(K243&lt;&gt;"",OR(NOT(ISNUMBER(K243)),N(K243)&lt;0)),"Compteur de réalisation invalide",IF(AND(E243&lt;&gt;"Compteur",N(M243)=0,IFERROR(N(INDEX(eq_start,MATCH(B243,eq_code,0))),0)=0),"Date de départ manquante",IF(AND(E243&lt;&gt;"Calendrier",K243="",N(N243)=0),"Compteur de départ manquant",IF(AND(E243&lt;&gt;"Calendrier",N(Q243)=0),"Relevé compteur manquant (Équipements)",IF(AND(I243&lt;&gt;"",ISNA(MATCH(I243,tech_name,0))),"Technicien inconnu",IF(AND(L243&lt;&gt;"",L243&lt;&gt;"Oui",L243&lt;&gt;"Non"),"Actif : Oui ou Non","OK")))))))))))))))))</f>
        <v/>
      </c>
      <c r="W243" s="67">
        <f>IFERROR(N(INDEX(eq_use,MATCH(B243,eq_code,0))),0)</f>
        <v>0.0</v>
      </c>
      <c r="X243" s="67" t="str">
        <f>IF(AND(ISNUMBER(S243),W243&gt;0),p_today+MAX(0,ROUNDUP(S243*7/W243,0)),"")</f>
        <v/>
      </c>
      <c r="Y243" s="67" t="str">
        <f>IF(AND(ISNUMBER(T243),OR(U243="En retard",U243="Bientôt",U243="À jour")),IF(AND(ISNUMBER(O243),ISNUMBER(X243)),MIN(F243,G243*7/W243),IF(ISNUMBER(O243),F243,G243*7/W243)),"")</f>
        <v/>
      </c>
      <c r="Z243" s="67" t="str">
        <f>IF(OR(U243="En retard",U243="Bientôt"),IF(U243="En retard",0,1)*1000000000+IF(AB243="A",0,IF(AB243="B",1,IF(AB243="C",2,3)))*100000000+IF(ISNUMBER(T243),T243,p_today)*1000+ROW()-5,"")</f>
        <v/>
      </c>
      <c r="AA243" s="67" t="str">
        <f>IF(Z243="","",COUNTIF($Z$6:$Z$505,"&lt;"&amp;Z243)+1)</f>
        <v/>
      </c>
      <c r="AB243" s="67" t="str">
        <f>IFERROR(INDEX(eq_crit,MATCH(B243,eq_code,0))&amp;"","")</f>
        <v/>
      </c>
    </row>
    <row r="244">
      <c r="A244" s="65" t="n"/>
      <c r="B244" s="66" t="n"/>
      <c r="C244" s="67" t="str">
        <f>IF(B244="","",IFERROR(INDEX(eq_des,MATCH(B244,eq_code,0))&amp;"","Équipement inconnu"))</f>
        <v/>
      </c>
      <c r="D244" s="66" t="n"/>
      <c r="E244" s="68" t="n"/>
      <c r="F244" s="69" t="n"/>
      <c r="G244" s="70" t="n"/>
      <c r="H244" s="71" t="n"/>
      <c r="I244" s="66" t="n"/>
      <c r="J244" s="72" t="n"/>
      <c r="K244" s="73" t="n"/>
      <c r="L244" s="68" t="n"/>
      <c r="M244" s="74" t="str">
        <f>IF(AND(A244="",B244="",D244=""),"",MAX(N(J244),IF(A244="",0,SUMPRODUCT(MAX((in_plan=A244)*in_prev*in_dnum)))))</f>
        <v/>
      </c>
      <c r="N244" s="75" t="str">
        <f>IF(AND(A244="",B244="",D244=""),"",MAX(N(K244),IF(A244="",0,SUMPRODUCT(MAX((in_plan=A244)*in_prev*in_cnum)))))</f>
        <v/>
      </c>
      <c r="O244" s="76" t="str">
        <f>IF(AND(OR(E244="Calendrier",E244="Au premier des deux"),N(F244)&gt;0,IF(N(M244)&gt;0,M244,IFERROR(N(INDEX(eq_start,MATCH(B244,eq_code,0))),0))&gt;0),IF(N(M244)&gt;0,M244,IFERROR(N(INDEX(eq_start,MATCH(B244,eq_code,0))),0))+F244,"")</f>
        <v/>
      </c>
      <c r="P244" s="75" t="str">
        <f>IF(AND(OR(E244="Compteur",E244="Au premier des deux"),N(G244)&gt;0),N(N244)+G244,"")</f>
        <v/>
      </c>
      <c r="Q244" s="75" t="str">
        <f>IF(B244="","",IFERROR(N(INDEX(eq_cnt,MATCH(B244,eq_code,0))),""))</f>
        <v/>
      </c>
      <c r="R244" s="77" t="str">
        <f>IF(ISNUMBER(O244),O244-p_today,"")</f>
        <v/>
      </c>
      <c r="S244" s="78" t="str">
        <f>IF(AND(ISNUMBER(P244),N(Q244)&gt;0),P244-Q244,"")</f>
        <v/>
      </c>
      <c r="T244" s="76" t="str">
        <f>IF(AND(ISNUMBER(O244),ISNUMBER(X244)),MIN(O244,X244),IF(ISNUMBER(O244),O244,X244))</f>
        <v/>
      </c>
      <c r="U244" s="79" t="str">
        <f>IF(AND(A244="",B244="",D244=""),"",IF(L244="Non","Inactif",IF(AND(NOT(ISNUMBER(R244)),NOT(ISNUMBER(S244))),"À compléter",IF(OR(AND(ISNUMBER(R244),N(R244)&lt;0),AND(ISNUMBER(S244),N(S244)&lt;0)),"En retard",IF(OR(AND(ISNUMBER(R244),N(R244)&lt;=p_soon),AND(ISNUMBER(S244),N(S244)&lt;=p_soon_pct*N(G244))),"Bientôt","À jour")))))</f>
        <v/>
      </c>
      <c r="V244" s="79" t="str">
        <f>IF(AND(A244="",B244="",D244=""),"",IF(A244="","N° de plan manquant",IF(COUNTIF($A$6:$A$505,A244)&gt;1,"N° de plan en double",IF(B244="","Équipement manquant",IF(ISNA(MATCH(B244,eq_code,0)),"Équipement inconnu",IF(D244="","Tâche manquante",IF(E244="","Déclenchement manquant",IF(AND(E244&lt;&gt;"Calendrier",E244&lt;&gt;"Compteur",E244&lt;&gt;"Au premier des deux"),"Déclenchement inconnu",IF(AND(E244&lt;&gt;"Compteur",OR(NOT(ISNUMBER(F244)),N(F244)&lt;=0)),"Périodicité en jours manquante",IF(AND(E244&lt;&gt;"Calendrier",OR(NOT(ISNUMBER(G244)),N(G244)&lt;=0)),"Périodicité compteur manquante",IF(AND(J244&lt;&gt;"",OR(NOT(ISNUMBER(J244)),N(J244)&lt;=0)),"Date de réalisation invalide",IF(AND(K244&lt;&gt;"",OR(NOT(ISNUMBER(K244)),N(K244)&lt;0)),"Compteur de réalisation invalide",IF(AND(E244&lt;&gt;"Compteur",N(M244)=0,IFERROR(N(INDEX(eq_start,MATCH(B244,eq_code,0))),0)=0),"Date de départ manquante",IF(AND(E244&lt;&gt;"Calendrier",K244="",N(N244)=0),"Compteur de départ manquant",IF(AND(E244&lt;&gt;"Calendrier",N(Q244)=0),"Relevé compteur manquant (Équipements)",IF(AND(I244&lt;&gt;"",ISNA(MATCH(I244,tech_name,0))),"Technicien inconnu",IF(AND(L244&lt;&gt;"",L244&lt;&gt;"Oui",L244&lt;&gt;"Non"),"Actif : Oui ou Non","OK")))))))))))))))))</f>
        <v/>
      </c>
      <c r="W244" s="67">
        <f>IFERROR(N(INDEX(eq_use,MATCH(B244,eq_code,0))),0)</f>
        <v>0.0</v>
      </c>
      <c r="X244" s="67" t="str">
        <f>IF(AND(ISNUMBER(S244),W244&gt;0),p_today+MAX(0,ROUNDUP(S244*7/W244,0)),"")</f>
        <v/>
      </c>
      <c r="Y244" s="67" t="str">
        <f>IF(AND(ISNUMBER(T244),OR(U244="En retard",U244="Bientôt",U244="À jour")),IF(AND(ISNUMBER(O244),ISNUMBER(X244)),MIN(F244,G244*7/W244),IF(ISNUMBER(O244),F244,G244*7/W244)),"")</f>
        <v/>
      </c>
      <c r="Z244" s="67" t="str">
        <f>IF(OR(U244="En retard",U244="Bientôt"),IF(U244="En retard",0,1)*1000000000+IF(AB244="A",0,IF(AB244="B",1,IF(AB244="C",2,3)))*100000000+IF(ISNUMBER(T244),T244,p_today)*1000+ROW()-5,"")</f>
        <v/>
      </c>
      <c r="AA244" s="67" t="str">
        <f>IF(Z244="","",COUNTIF($Z$6:$Z$505,"&lt;"&amp;Z244)+1)</f>
        <v/>
      </c>
      <c r="AB244" s="67" t="str">
        <f>IFERROR(INDEX(eq_crit,MATCH(B244,eq_code,0))&amp;"","")</f>
        <v/>
      </c>
    </row>
    <row r="245">
      <c r="A245" s="65" t="n"/>
      <c r="B245" s="66" t="n"/>
      <c r="C245" s="67" t="str">
        <f>IF(B245="","",IFERROR(INDEX(eq_des,MATCH(B245,eq_code,0))&amp;"","Équipement inconnu"))</f>
        <v/>
      </c>
      <c r="D245" s="66" t="n"/>
      <c r="E245" s="68" t="n"/>
      <c r="F245" s="69" t="n"/>
      <c r="G245" s="70" t="n"/>
      <c r="H245" s="71" t="n"/>
      <c r="I245" s="66" t="n"/>
      <c r="J245" s="72" t="n"/>
      <c r="K245" s="73" t="n"/>
      <c r="L245" s="68" t="n"/>
      <c r="M245" s="74" t="str">
        <f>IF(AND(A245="",B245="",D245=""),"",MAX(N(J245),IF(A245="",0,SUMPRODUCT(MAX((in_plan=A245)*in_prev*in_dnum)))))</f>
        <v/>
      </c>
      <c r="N245" s="75" t="str">
        <f>IF(AND(A245="",B245="",D245=""),"",MAX(N(K245),IF(A245="",0,SUMPRODUCT(MAX((in_plan=A245)*in_prev*in_cnum)))))</f>
        <v/>
      </c>
      <c r="O245" s="76" t="str">
        <f>IF(AND(OR(E245="Calendrier",E245="Au premier des deux"),N(F245)&gt;0,IF(N(M245)&gt;0,M245,IFERROR(N(INDEX(eq_start,MATCH(B245,eq_code,0))),0))&gt;0),IF(N(M245)&gt;0,M245,IFERROR(N(INDEX(eq_start,MATCH(B245,eq_code,0))),0))+F245,"")</f>
        <v/>
      </c>
      <c r="P245" s="75" t="str">
        <f>IF(AND(OR(E245="Compteur",E245="Au premier des deux"),N(G245)&gt;0),N(N245)+G245,"")</f>
        <v/>
      </c>
      <c r="Q245" s="75" t="str">
        <f>IF(B245="","",IFERROR(N(INDEX(eq_cnt,MATCH(B245,eq_code,0))),""))</f>
        <v/>
      </c>
      <c r="R245" s="77" t="str">
        <f>IF(ISNUMBER(O245),O245-p_today,"")</f>
        <v/>
      </c>
      <c r="S245" s="78" t="str">
        <f>IF(AND(ISNUMBER(P245),N(Q245)&gt;0),P245-Q245,"")</f>
        <v/>
      </c>
      <c r="T245" s="76" t="str">
        <f>IF(AND(ISNUMBER(O245),ISNUMBER(X245)),MIN(O245,X245),IF(ISNUMBER(O245),O245,X245))</f>
        <v/>
      </c>
      <c r="U245" s="79" t="str">
        <f>IF(AND(A245="",B245="",D245=""),"",IF(L245="Non","Inactif",IF(AND(NOT(ISNUMBER(R245)),NOT(ISNUMBER(S245))),"À compléter",IF(OR(AND(ISNUMBER(R245),N(R245)&lt;0),AND(ISNUMBER(S245),N(S245)&lt;0)),"En retard",IF(OR(AND(ISNUMBER(R245),N(R245)&lt;=p_soon),AND(ISNUMBER(S245),N(S245)&lt;=p_soon_pct*N(G245))),"Bientôt","À jour")))))</f>
        <v/>
      </c>
      <c r="V245" s="79" t="str">
        <f>IF(AND(A245="",B245="",D245=""),"",IF(A245="","N° de plan manquant",IF(COUNTIF($A$6:$A$505,A245)&gt;1,"N° de plan en double",IF(B245="","Équipement manquant",IF(ISNA(MATCH(B245,eq_code,0)),"Équipement inconnu",IF(D245="","Tâche manquante",IF(E245="","Déclenchement manquant",IF(AND(E245&lt;&gt;"Calendrier",E245&lt;&gt;"Compteur",E245&lt;&gt;"Au premier des deux"),"Déclenchement inconnu",IF(AND(E245&lt;&gt;"Compteur",OR(NOT(ISNUMBER(F245)),N(F245)&lt;=0)),"Périodicité en jours manquante",IF(AND(E245&lt;&gt;"Calendrier",OR(NOT(ISNUMBER(G245)),N(G245)&lt;=0)),"Périodicité compteur manquante",IF(AND(J245&lt;&gt;"",OR(NOT(ISNUMBER(J245)),N(J245)&lt;=0)),"Date de réalisation invalide",IF(AND(K245&lt;&gt;"",OR(NOT(ISNUMBER(K245)),N(K245)&lt;0)),"Compteur de réalisation invalide",IF(AND(E245&lt;&gt;"Compteur",N(M245)=0,IFERROR(N(INDEX(eq_start,MATCH(B245,eq_code,0))),0)=0),"Date de départ manquante",IF(AND(E245&lt;&gt;"Calendrier",K245="",N(N245)=0),"Compteur de départ manquant",IF(AND(E245&lt;&gt;"Calendrier",N(Q245)=0),"Relevé compteur manquant (Équipements)",IF(AND(I245&lt;&gt;"",ISNA(MATCH(I245,tech_name,0))),"Technicien inconnu",IF(AND(L245&lt;&gt;"",L245&lt;&gt;"Oui",L245&lt;&gt;"Non"),"Actif : Oui ou Non","OK")))))))))))))))))</f>
        <v/>
      </c>
      <c r="W245" s="67">
        <f>IFERROR(N(INDEX(eq_use,MATCH(B245,eq_code,0))),0)</f>
        <v>0.0</v>
      </c>
      <c r="X245" s="67" t="str">
        <f>IF(AND(ISNUMBER(S245),W245&gt;0),p_today+MAX(0,ROUNDUP(S245*7/W245,0)),"")</f>
        <v/>
      </c>
      <c r="Y245" s="67" t="str">
        <f>IF(AND(ISNUMBER(T245),OR(U245="En retard",U245="Bientôt",U245="À jour")),IF(AND(ISNUMBER(O245),ISNUMBER(X245)),MIN(F245,G245*7/W245),IF(ISNUMBER(O245),F245,G245*7/W245)),"")</f>
        <v/>
      </c>
      <c r="Z245" s="67" t="str">
        <f>IF(OR(U245="En retard",U245="Bientôt"),IF(U245="En retard",0,1)*1000000000+IF(AB245="A",0,IF(AB245="B",1,IF(AB245="C",2,3)))*100000000+IF(ISNUMBER(T245),T245,p_today)*1000+ROW()-5,"")</f>
        <v/>
      </c>
      <c r="AA245" s="67" t="str">
        <f>IF(Z245="","",COUNTIF($Z$6:$Z$505,"&lt;"&amp;Z245)+1)</f>
        <v/>
      </c>
      <c r="AB245" s="67" t="str">
        <f>IFERROR(INDEX(eq_crit,MATCH(B245,eq_code,0))&amp;"","")</f>
        <v/>
      </c>
    </row>
    <row r="246">
      <c r="A246" s="65" t="n"/>
      <c r="B246" s="66" t="n"/>
      <c r="C246" s="67" t="str">
        <f>IF(B246="","",IFERROR(INDEX(eq_des,MATCH(B246,eq_code,0))&amp;"","Équipement inconnu"))</f>
        <v/>
      </c>
      <c r="D246" s="66" t="n"/>
      <c r="E246" s="68" t="n"/>
      <c r="F246" s="69" t="n"/>
      <c r="G246" s="70" t="n"/>
      <c r="H246" s="71" t="n"/>
      <c r="I246" s="66" t="n"/>
      <c r="J246" s="72" t="n"/>
      <c r="K246" s="73" t="n"/>
      <c r="L246" s="68" t="n"/>
      <c r="M246" s="74" t="str">
        <f>IF(AND(A246="",B246="",D246=""),"",MAX(N(J246),IF(A246="",0,SUMPRODUCT(MAX((in_plan=A246)*in_prev*in_dnum)))))</f>
        <v/>
      </c>
      <c r="N246" s="75" t="str">
        <f>IF(AND(A246="",B246="",D246=""),"",MAX(N(K246),IF(A246="",0,SUMPRODUCT(MAX((in_plan=A246)*in_prev*in_cnum)))))</f>
        <v/>
      </c>
      <c r="O246" s="76" t="str">
        <f>IF(AND(OR(E246="Calendrier",E246="Au premier des deux"),N(F246)&gt;0,IF(N(M246)&gt;0,M246,IFERROR(N(INDEX(eq_start,MATCH(B246,eq_code,0))),0))&gt;0),IF(N(M246)&gt;0,M246,IFERROR(N(INDEX(eq_start,MATCH(B246,eq_code,0))),0))+F246,"")</f>
        <v/>
      </c>
      <c r="P246" s="75" t="str">
        <f>IF(AND(OR(E246="Compteur",E246="Au premier des deux"),N(G246)&gt;0),N(N246)+G246,"")</f>
        <v/>
      </c>
      <c r="Q246" s="75" t="str">
        <f>IF(B246="","",IFERROR(N(INDEX(eq_cnt,MATCH(B246,eq_code,0))),""))</f>
        <v/>
      </c>
      <c r="R246" s="77" t="str">
        <f>IF(ISNUMBER(O246),O246-p_today,"")</f>
        <v/>
      </c>
      <c r="S246" s="78" t="str">
        <f>IF(AND(ISNUMBER(P246),N(Q246)&gt;0),P246-Q246,"")</f>
        <v/>
      </c>
      <c r="T246" s="76" t="str">
        <f>IF(AND(ISNUMBER(O246),ISNUMBER(X246)),MIN(O246,X246),IF(ISNUMBER(O246),O246,X246))</f>
        <v/>
      </c>
      <c r="U246" s="79" t="str">
        <f>IF(AND(A246="",B246="",D246=""),"",IF(L246="Non","Inactif",IF(AND(NOT(ISNUMBER(R246)),NOT(ISNUMBER(S246))),"À compléter",IF(OR(AND(ISNUMBER(R246),N(R246)&lt;0),AND(ISNUMBER(S246),N(S246)&lt;0)),"En retard",IF(OR(AND(ISNUMBER(R246),N(R246)&lt;=p_soon),AND(ISNUMBER(S246),N(S246)&lt;=p_soon_pct*N(G246))),"Bientôt","À jour")))))</f>
        <v/>
      </c>
      <c r="V246" s="79" t="str">
        <f>IF(AND(A246="",B246="",D246=""),"",IF(A246="","N° de plan manquant",IF(COUNTIF($A$6:$A$505,A246)&gt;1,"N° de plan en double",IF(B246="","Équipement manquant",IF(ISNA(MATCH(B246,eq_code,0)),"Équipement inconnu",IF(D246="","Tâche manquante",IF(E246="","Déclenchement manquant",IF(AND(E246&lt;&gt;"Calendrier",E246&lt;&gt;"Compteur",E246&lt;&gt;"Au premier des deux"),"Déclenchement inconnu",IF(AND(E246&lt;&gt;"Compteur",OR(NOT(ISNUMBER(F246)),N(F246)&lt;=0)),"Périodicité en jours manquante",IF(AND(E246&lt;&gt;"Calendrier",OR(NOT(ISNUMBER(G246)),N(G246)&lt;=0)),"Périodicité compteur manquante",IF(AND(J246&lt;&gt;"",OR(NOT(ISNUMBER(J246)),N(J246)&lt;=0)),"Date de réalisation invalide",IF(AND(K246&lt;&gt;"",OR(NOT(ISNUMBER(K246)),N(K246)&lt;0)),"Compteur de réalisation invalide",IF(AND(E246&lt;&gt;"Compteur",N(M246)=0,IFERROR(N(INDEX(eq_start,MATCH(B246,eq_code,0))),0)=0),"Date de départ manquante",IF(AND(E246&lt;&gt;"Calendrier",K246="",N(N246)=0),"Compteur de départ manquant",IF(AND(E246&lt;&gt;"Calendrier",N(Q246)=0),"Relevé compteur manquant (Équipements)",IF(AND(I246&lt;&gt;"",ISNA(MATCH(I246,tech_name,0))),"Technicien inconnu",IF(AND(L246&lt;&gt;"",L246&lt;&gt;"Oui",L246&lt;&gt;"Non"),"Actif : Oui ou Non","OK")))))))))))))))))</f>
        <v/>
      </c>
      <c r="W246" s="67">
        <f>IFERROR(N(INDEX(eq_use,MATCH(B246,eq_code,0))),0)</f>
        <v>0.0</v>
      </c>
      <c r="X246" s="67" t="str">
        <f>IF(AND(ISNUMBER(S246),W246&gt;0),p_today+MAX(0,ROUNDUP(S246*7/W246,0)),"")</f>
        <v/>
      </c>
      <c r="Y246" s="67" t="str">
        <f>IF(AND(ISNUMBER(T246),OR(U246="En retard",U246="Bientôt",U246="À jour")),IF(AND(ISNUMBER(O246),ISNUMBER(X246)),MIN(F246,G246*7/W246),IF(ISNUMBER(O246),F246,G246*7/W246)),"")</f>
        <v/>
      </c>
      <c r="Z246" s="67" t="str">
        <f>IF(OR(U246="En retard",U246="Bientôt"),IF(U246="En retard",0,1)*1000000000+IF(AB246="A",0,IF(AB246="B",1,IF(AB246="C",2,3)))*100000000+IF(ISNUMBER(T246),T246,p_today)*1000+ROW()-5,"")</f>
        <v/>
      </c>
      <c r="AA246" s="67" t="str">
        <f>IF(Z246="","",COUNTIF($Z$6:$Z$505,"&lt;"&amp;Z246)+1)</f>
        <v/>
      </c>
      <c r="AB246" s="67" t="str">
        <f>IFERROR(INDEX(eq_crit,MATCH(B246,eq_code,0))&amp;"","")</f>
        <v/>
      </c>
    </row>
    <row r="247">
      <c r="A247" s="65" t="n"/>
      <c r="B247" s="66" t="n"/>
      <c r="C247" s="67" t="str">
        <f>IF(B247="","",IFERROR(INDEX(eq_des,MATCH(B247,eq_code,0))&amp;"","Équipement inconnu"))</f>
        <v/>
      </c>
      <c r="D247" s="66" t="n"/>
      <c r="E247" s="68" t="n"/>
      <c r="F247" s="69" t="n"/>
      <c r="G247" s="70" t="n"/>
      <c r="H247" s="71" t="n"/>
      <c r="I247" s="66" t="n"/>
      <c r="J247" s="72" t="n"/>
      <c r="K247" s="73" t="n"/>
      <c r="L247" s="68" t="n"/>
      <c r="M247" s="74" t="str">
        <f>IF(AND(A247="",B247="",D247=""),"",MAX(N(J247),IF(A247="",0,SUMPRODUCT(MAX((in_plan=A247)*in_prev*in_dnum)))))</f>
        <v/>
      </c>
      <c r="N247" s="75" t="str">
        <f>IF(AND(A247="",B247="",D247=""),"",MAX(N(K247),IF(A247="",0,SUMPRODUCT(MAX((in_plan=A247)*in_prev*in_cnum)))))</f>
        <v/>
      </c>
      <c r="O247" s="76" t="str">
        <f>IF(AND(OR(E247="Calendrier",E247="Au premier des deux"),N(F247)&gt;0,IF(N(M247)&gt;0,M247,IFERROR(N(INDEX(eq_start,MATCH(B247,eq_code,0))),0))&gt;0),IF(N(M247)&gt;0,M247,IFERROR(N(INDEX(eq_start,MATCH(B247,eq_code,0))),0))+F247,"")</f>
        <v/>
      </c>
      <c r="P247" s="75" t="str">
        <f>IF(AND(OR(E247="Compteur",E247="Au premier des deux"),N(G247)&gt;0),N(N247)+G247,"")</f>
        <v/>
      </c>
      <c r="Q247" s="75" t="str">
        <f>IF(B247="","",IFERROR(N(INDEX(eq_cnt,MATCH(B247,eq_code,0))),""))</f>
        <v/>
      </c>
      <c r="R247" s="77" t="str">
        <f>IF(ISNUMBER(O247),O247-p_today,"")</f>
        <v/>
      </c>
      <c r="S247" s="78" t="str">
        <f>IF(AND(ISNUMBER(P247),N(Q247)&gt;0),P247-Q247,"")</f>
        <v/>
      </c>
      <c r="T247" s="76" t="str">
        <f>IF(AND(ISNUMBER(O247),ISNUMBER(X247)),MIN(O247,X247),IF(ISNUMBER(O247),O247,X247))</f>
        <v/>
      </c>
      <c r="U247" s="79" t="str">
        <f>IF(AND(A247="",B247="",D247=""),"",IF(L247="Non","Inactif",IF(AND(NOT(ISNUMBER(R247)),NOT(ISNUMBER(S247))),"À compléter",IF(OR(AND(ISNUMBER(R247),N(R247)&lt;0),AND(ISNUMBER(S247),N(S247)&lt;0)),"En retard",IF(OR(AND(ISNUMBER(R247),N(R247)&lt;=p_soon),AND(ISNUMBER(S247),N(S247)&lt;=p_soon_pct*N(G247))),"Bientôt","À jour")))))</f>
        <v/>
      </c>
      <c r="V247" s="79" t="str">
        <f>IF(AND(A247="",B247="",D247=""),"",IF(A247="","N° de plan manquant",IF(COUNTIF($A$6:$A$505,A247)&gt;1,"N° de plan en double",IF(B247="","Équipement manquant",IF(ISNA(MATCH(B247,eq_code,0)),"Équipement inconnu",IF(D247="","Tâche manquante",IF(E247="","Déclenchement manquant",IF(AND(E247&lt;&gt;"Calendrier",E247&lt;&gt;"Compteur",E247&lt;&gt;"Au premier des deux"),"Déclenchement inconnu",IF(AND(E247&lt;&gt;"Compteur",OR(NOT(ISNUMBER(F247)),N(F247)&lt;=0)),"Périodicité en jours manquante",IF(AND(E247&lt;&gt;"Calendrier",OR(NOT(ISNUMBER(G247)),N(G247)&lt;=0)),"Périodicité compteur manquante",IF(AND(J247&lt;&gt;"",OR(NOT(ISNUMBER(J247)),N(J247)&lt;=0)),"Date de réalisation invalide",IF(AND(K247&lt;&gt;"",OR(NOT(ISNUMBER(K247)),N(K247)&lt;0)),"Compteur de réalisation invalide",IF(AND(E247&lt;&gt;"Compteur",N(M247)=0,IFERROR(N(INDEX(eq_start,MATCH(B247,eq_code,0))),0)=0),"Date de départ manquante",IF(AND(E247&lt;&gt;"Calendrier",K247="",N(N247)=0),"Compteur de départ manquant",IF(AND(E247&lt;&gt;"Calendrier",N(Q247)=0),"Relevé compteur manquant (Équipements)",IF(AND(I247&lt;&gt;"",ISNA(MATCH(I247,tech_name,0))),"Technicien inconnu",IF(AND(L247&lt;&gt;"",L247&lt;&gt;"Oui",L247&lt;&gt;"Non"),"Actif : Oui ou Non","OK")))))))))))))))))</f>
        <v/>
      </c>
      <c r="W247" s="67">
        <f>IFERROR(N(INDEX(eq_use,MATCH(B247,eq_code,0))),0)</f>
        <v>0.0</v>
      </c>
      <c r="X247" s="67" t="str">
        <f>IF(AND(ISNUMBER(S247),W247&gt;0),p_today+MAX(0,ROUNDUP(S247*7/W247,0)),"")</f>
        <v/>
      </c>
      <c r="Y247" s="67" t="str">
        <f>IF(AND(ISNUMBER(T247),OR(U247="En retard",U247="Bientôt",U247="À jour")),IF(AND(ISNUMBER(O247),ISNUMBER(X247)),MIN(F247,G247*7/W247),IF(ISNUMBER(O247),F247,G247*7/W247)),"")</f>
        <v/>
      </c>
      <c r="Z247" s="67" t="str">
        <f>IF(OR(U247="En retard",U247="Bientôt"),IF(U247="En retard",0,1)*1000000000+IF(AB247="A",0,IF(AB247="B",1,IF(AB247="C",2,3)))*100000000+IF(ISNUMBER(T247),T247,p_today)*1000+ROW()-5,"")</f>
        <v/>
      </c>
      <c r="AA247" s="67" t="str">
        <f>IF(Z247="","",COUNTIF($Z$6:$Z$505,"&lt;"&amp;Z247)+1)</f>
        <v/>
      </c>
      <c r="AB247" s="67" t="str">
        <f>IFERROR(INDEX(eq_crit,MATCH(B247,eq_code,0))&amp;"","")</f>
        <v/>
      </c>
    </row>
    <row r="248">
      <c r="A248" s="65" t="n"/>
      <c r="B248" s="66" t="n"/>
      <c r="C248" s="67" t="str">
        <f>IF(B248="","",IFERROR(INDEX(eq_des,MATCH(B248,eq_code,0))&amp;"","Équipement inconnu"))</f>
        <v/>
      </c>
      <c r="D248" s="66" t="n"/>
      <c r="E248" s="68" t="n"/>
      <c r="F248" s="69" t="n"/>
      <c r="G248" s="70" t="n"/>
      <c r="H248" s="71" t="n"/>
      <c r="I248" s="66" t="n"/>
      <c r="J248" s="72" t="n"/>
      <c r="K248" s="73" t="n"/>
      <c r="L248" s="68" t="n"/>
      <c r="M248" s="74" t="str">
        <f>IF(AND(A248="",B248="",D248=""),"",MAX(N(J248),IF(A248="",0,SUMPRODUCT(MAX((in_plan=A248)*in_prev*in_dnum)))))</f>
        <v/>
      </c>
      <c r="N248" s="75" t="str">
        <f>IF(AND(A248="",B248="",D248=""),"",MAX(N(K248),IF(A248="",0,SUMPRODUCT(MAX((in_plan=A248)*in_prev*in_cnum)))))</f>
        <v/>
      </c>
      <c r="O248" s="76" t="str">
        <f>IF(AND(OR(E248="Calendrier",E248="Au premier des deux"),N(F248)&gt;0,IF(N(M248)&gt;0,M248,IFERROR(N(INDEX(eq_start,MATCH(B248,eq_code,0))),0))&gt;0),IF(N(M248)&gt;0,M248,IFERROR(N(INDEX(eq_start,MATCH(B248,eq_code,0))),0))+F248,"")</f>
        <v/>
      </c>
      <c r="P248" s="75" t="str">
        <f>IF(AND(OR(E248="Compteur",E248="Au premier des deux"),N(G248)&gt;0),N(N248)+G248,"")</f>
        <v/>
      </c>
      <c r="Q248" s="75" t="str">
        <f>IF(B248="","",IFERROR(N(INDEX(eq_cnt,MATCH(B248,eq_code,0))),""))</f>
        <v/>
      </c>
      <c r="R248" s="77" t="str">
        <f>IF(ISNUMBER(O248),O248-p_today,"")</f>
        <v/>
      </c>
      <c r="S248" s="78" t="str">
        <f>IF(AND(ISNUMBER(P248),N(Q248)&gt;0),P248-Q248,"")</f>
        <v/>
      </c>
      <c r="T248" s="76" t="str">
        <f>IF(AND(ISNUMBER(O248),ISNUMBER(X248)),MIN(O248,X248),IF(ISNUMBER(O248),O248,X248))</f>
        <v/>
      </c>
      <c r="U248" s="79" t="str">
        <f>IF(AND(A248="",B248="",D248=""),"",IF(L248="Non","Inactif",IF(AND(NOT(ISNUMBER(R248)),NOT(ISNUMBER(S248))),"À compléter",IF(OR(AND(ISNUMBER(R248),N(R248)&lt;0),AND(ISNUMBER(S248),N(S248)&lt;0)),"En retard",IF(OR(AND(ISNUMBER(R248),N(R248)&lt;=p_soon),AND(ISNUMBER(S248),N(S248)&lt;=p_soon_pct*N(G248))),"Bientôt","À jour")))))</f>
        <v/>
      </c>
      <c r="V248" s="79" t="str">
        <f>IF(AND(A248="",B248="",D248=""),"",IF(A248="","N° de plan manquant",IF(COUNTIF($A$6:$A$505,A248)&gt;1,"N° de plan en double",IF(B248="","Équipement manquant",IF(ISNA(MATCH(B248,eq_code,0)),"Équipement inconnu",IF(D248="","Tâche manquante",IF(E248="","Déclenchement manquant",IF(AND(E248&lt;&gt;"Calendrier",E248&lt;&gt;"Compteur",E248&lt;&gt;"Au premier des deux"),"Déclenchement inconnu",IF(AND(E248&lt;&gt;"Compteur",OR(NOT(ISNUMBER(F248)),N(F248)&lt;=0)),"Périodicité en jours manquante",IF(AND(E248&lt;&gt;"Calendrier",OR(NOT(ISNUMBER(G248)),N(G248)&lt;=0)),"Périodicité compteur manquante",IF(AND(J248&lt;&gt;"",OR(NOT(ISNUMBER(J248)),N(J248)&lt;=0)),"Date de réalisation invalide",IF(AND(K248&lt;&gt;"",OR(NOT(ISNUMBER(K248)),N(K248)&lt;0)),"Compteur de réalisation invalide",IF(AND(E248&lt;&gt;"Compteur",N(M248)=0,IFERROR(N(INDEX(eq_start,MATCH(B248,eq_code,0))),0)=0),"Date de départ manquante",IF(AND(E248&lt;&gt;"Calendrier",K248="",N(N248)=0),"Compteur de départ manquant",IF(AND(E248&lt;&gt;"Calendrier",N(Q248)=0),"Relevé compteur manquant (Équipements)",IF(AND(I248&lt;&gt;"",ISNA(MATCH(I248,tech_name,0))),"Technicien inconnu",IF(AND(L248&lt;&gt;"",L248&lt;&gt;"Oui",L248&lt;&gt;"Non"),"Actif : Oui ou Non","OK")))))))))))))))))</f>
        <v/>
      </c>
      <c r="W248" s="67">
        <f>IFERROR(N(INDEX(eq_use,MATCH(B248,eq_code,0))),0)</f>
        <v>0.0</v>
      </c>
      <c r="X248" s="67" t="str">
        <f>IF(AND(ISNUMBER(S248),W248&gt;0),p_today+MAX(0,ROUNDUP(S248*7/W248,0)),"")</f>
        <v/>
      </c>
      <c r="Y248" s="67" t="str">
        <f>IF(AND(ISNUMBER(T248),OR(U248="En retard",U248="Bientôt",U248="À jour")),IF(AND(ISNUMBER(O248),ISNUMBER(X248)),MIN(F248,G248*7/W248),IF(ISNUMBER(O248),F248,G248*7/W248)),"")</f>
        <v/>
      </c>
      <c r="Z248" s="67" t="str">
        <f>IF(OR(U248="En retard",U248="Bientôt"),IF(U248="En retard",0,1)*1000000000+IF(AB248="A",0,IF(AB248="B",1,IF(AB248="C",2,3)))*100000000+IF(ISNUMBER(T248),T248,p_today)*1000+ROW()-5,"")</f>
        <v/>
      </c>
      <c r="AA248" s="67" t="str">
        <f>IF(Z248="","",COUNTIF($Z$6:$Z$505,"&lt;"&amp;Z248)+1)</f>
        <v/>
      </c>
      <c r="AB248" s="67" t="str">
        <f>IFERROR(INDEX(eq_crit,MATCH(B248,eq_code,0))&amp;"","")</f>
        <v/>
      </c>
    </row>
    <row r="249">
      <c r="A249" s="65" t="n"/>
      <c r="B249" s="66" t="n"/>
      <c r="C249" s="67" t="str">
        <f>IF(B249="","",IFERROR(INDEX(eq_des,MATCH(B249,eq_code,0))&amp;"","Équipement inconnu"))</f>
        <v/>
      </c>
      <c r="D249" s="66" t="n"/>
      <c r="E249" s="68" t="n"/>
      <c r="F249" s="69" t="n"/>
      <c r="G249" s="70" t="n"/>
      <c r="H249" s="71" t="n"/>
      <c r="I249" s="66" t="n"/>
      <c r="J249" s="72" t="n"/>
      <c r="K249" s="73" t="n"/>
      <c r="L249" s="68" t="n"/>
      <c r="M249" s="74" t="str">
        <f>IF(AND(A249="",B249="",D249=""),"",MAX(N(J249),IF(A249="",0,SUMPRODUCT(MAX((in_plan=A249)*in_prev*in_dnum)))))</f>
        <v/>
      </c>
      <c r="N249" s="75" t="str">
        <f>IF(AND(A249="",B249="",D249=""),"",MAX(N(K249),IF(A249="",0,SUMPRODUCT(MAX((in_plan=A249)*in_prev*in_cnum)))))</f>
        <v/>
      </c>
      <c r="O249" s="76" t="str">
        <f>IF(AND(OR(E249="Calendrier",E249="Au premier des deux"),N(F249)&gt;0,IF(N(M249)&gt;0,M249,IFERROR(N(INDEX(eq_start,MATCH(B249,eq_code,0))),0))&gt;0),IF(N(M249)&gt;0,M249,IFERROR(N(INDEX(eq_start,MATCH(B249,eq_code,0))),0))+F249,"")</f>
        <v/>
      </c>
      <c r="P249" s="75" t="str">
        <f>IF(AND(OR(E249="Compteur",E249="Au premier des deux"),N(G249)&gt;0),N(N249)+G249,"")</f>
        <v/>
      </c>
      <c r="Q249" s="75" t="str">
        <f>IF(B249="","",IFERROR(N(INDEX(eq_cnt,MATCH(B249,eq_code,0))),""))</f>
        <v/>
      </c>
      <c r="R249" s="77" t="str">
        <f>IF(ISNUMBER(O249),O249-p_today,"")</f>
        <v/>
      </c>
      <c r="S249" s="78" t="str">
        <f>IF(AND(ISNUMBER(P249),N(Q249)&gt;0),P249-Q249,"")</f>
        <v/>
      </c>
      <c r="T249" s="76" t="str">
        <f>IF(AND(ISNUMBER(O249),ISNUMBER(X249)),MIN(O249,X249),IF(ISNUMBER(O249),O249,X249))</f>
        <v/>
      </c>
      <c r="U249" s="79" t="str">
        <f>IF(AND(A249="",B249="",D249=""),"",IF(L249="Non","Inactif",IF(AND(NOT(ISNUMBER(R249)),NOT(ISNUMBER(S249))),"À compléter",IF(OR(AND(ISNUMBER(R249),N(R249)&lt;0),AND(ISNUMBER(S249),N(S249)&lt;0)),"En retard",IF(OR(AND(ISNUMBER(R249),N(R249)&lt;=p_soon),AND(ISNUMBER(S249),N(S249)&lt;=p_soon_pct*N(G249))),"Bientôt","À jour")))))</f>
        <v/>
      </c>
      <c r="V249" s="79" t="str">
        <f>IF(AND(A249="",B249="",D249=""),"",IF(A249="","N° de plan manquant",IF(COUNTIF($A$6:$A$505,A249)&gt;1,"N° de plan en double",IF(B249="","Équipement manquant",IF(ISNA(MATCH(B249,eq_code,0)),"Équipement inconnu",IF(D249="","Tâche manquante",IF(E249="","Déclenchement manquant",IF(AND(E249&lt;&gt;"Calendrier",E249&lt;&gt;"Compteur",E249&lt;&gt;"Au premier des deux"),"Déclenchement inconnu",IF(AND(E249&lt;&gt;"Compteur",OR(NOT(ISNUMBER(F249)),N(F249)&lt;=0)),"Périodicité en jours manquante",IF(AND(E249&lt;&gt;"Calendrier",OR(NOT(ISNUMBER(G249)),N(G249)&lt;=0)),"Périodicité compteur manquante",IF(AND(J249&lt;&gt;"",OR(NOT(ISNUMBER(J249)),N(J249)&lt;=0)),"Date de réalisation invalide",IF(AND(K249&lt;&gt;"",OR(NOT(ISNUMBER(K249)),N(K249)&lt;0)),"Compteur de réalisation invalide",IF(AND(E249&lt;&gt;"Compteur",N(M249)=0,IFERROR(N(INDEX(eq_start,MATCH(B249,eq_code,0))),0)=0),"Date de départ manquante",IF(AND(E249&lt;&gt;"Calendrier",K249="",N(N249)=0),"Compteur de départ manquant",IF(AND(E249&lt;&gt;"Calendrier",N(Q249)=0),"Relevé compteur manquant (Équipements)",IF(AND(I249&lt;&gt;"",ISNA(MATCH(I249,tech_name,0))),"Technicien inconnu",IF(AND(L249&lt;&gt;"",L249&lt;&gt;"Oui",L249&lt;&gt;"Non"),"Actif : Oui ou Non","OK")))))))))))))))))</f>
        <v/>
      </c>
      <c r="W249" s="67">
        <f>IFERROR(N(INDEX(eq_use,MATCH(B249,eq_code,0))),0)</f>
        <v>0.0</v>
      </c>
      <c r="X249" s="67" t="str">
        <f>IF(AND(ISNUMBER(S249),W249&gt;0),p_today+MAX(0,ROUNDUP(S249*7/W249,0)),"")</f>
        <v/>
      </c>
      <c r="Y249" s="67" t="str">
        <f>IF(AND(ISNUMBER(T249),OR(U249="En retard",U249="Bientôt",U249="À jour")),IF(AND(ISNUMBER(O249),ISNUMBER(X249)),MIN(F249,G249*7/W249),IF(ISNUMBER(O249),F249,G249*7/W249)),"")</f>
        <v/>
      </c>
      <c r="Z249" s="67" t="str">
        <f>IF(OR(U249="En retard",U249="Bientôt"),IF(U249="En retard",0,1)*1000000000+IF(AB249="A",0,IF(AB249="B",1,IF(AB249="C",2,3)))*100000000+IF(ISNUMBER(T249),T249,p_today)*1000+ROW()-5,"")</f>
        <v/>
      </c>
      <c r="AA249" s="67" t="str">
        <f>IF(Z249="","",COUNTIF($Z$6:$Z$505,"&lt;"&amp;Z249)+1)</f>
        <v/>
      </c>
      <c r="AB249" s="67" t="str">
        <f>IFERROR(INDEX(eq_crit,MATCH(B249,eq_code,0))&amp;"","")</f>
        <v/>
      </c>
    </row>
    <row r="250">
      <c r="A250" s="65" t="n"/>
      <c r="B250" s="66" t="n"/>
      <c r="C250" s="67" t="str">
        <f>IF(B250="","",IFERROR(INDEX(eq_des,MATCH(B250,eq_code,0))&amp;"","Équipement inconnu"))</f>
        <v/>
      </c>
      <c r="D250" s="66" t="n"/>
      <c r="E250" s="68" t="n"/>
      <c r="F250" s="69" t="n"/>
      <c r="G250" s="70" t="n"/>
      <c r="H250" s="71" t="n"/>
      <c r="I250" s="66" t="n"/>
      <c r="J250" s="72" t="n"/>
      <c r="K250" s="73" t="n"/>
      <c r="L250" s="68" t="n"/>
      <c r="M250" s="74" t="str">
        <f>IF(AND(A250="",B250="",D250=""),"",MAX(N(J250),IF(A250="",0,SUMPRODUCT(MAX((in_plan=A250)*in_prev*in_dnum)))))</f>
        <v/>
      </c>
      <c r="N250" s="75" t="str">
        <f>IF(AND(A250="",B250="",D250=""),"",MAX(N(K250),IF(A250="",0,SUMPRODUCT(MAX((in_plan=A250)*in_prev*in_cnum)))))</f>
        <v/>
      </c>
      <c r="O250" s="76" t="str">
        <f>IF(AND(OR(E250="Calendrier",E250="Au premier des deux"),N(F250)&gt;0,IF(N(M250)&gt;0,M250,IFERROR(N(INDEX(eq_start,MATCH(B250,eq_code,0))),0))&gt;0),IF(N(M250)&gt;0,M250,IFERROR(N(INDEX(eq_start,MATCH(B250,eq_code,0))),0))+F250,"")</f>
        <v/>
      </c>
      <c r="P250" s="75" t="str">
        <f>IF(AND(OR(E250="Compteur",E250="Au premier des deux"),N(G250)&gt;0),N(N250)+G250,"")</f>
        <v/>
      </c>
      <c r="Q250" s="75" t="str">
        <f>IF(B250="","",IFERROR(N(INDEX(eq_cnt,MATCH(B250,eq_code,0))),""))</f>
        <v/>
      </c>
      <c r="R250" s="77" t="str">
        <f>IF(ISNUMBER(O250),O250-p_today,"")</f>
        <v/>
      </c>
      <c r="S250" s="78" t="str">
        <f>IF(AND(ISNUMBER(P250),N(Q250)&gt;0),P250-Q250,"")</f>
        <v/>
      </c>
      <c r="T250" s="76" t="str">
        <f>IF(AND(ISNUMBER(O250),ISNUMBER(X250)),MIN(O250,X250),IF(ISNUMBER(O250),O250,X250))</f>
        <v/>
      </c>
      <c r="U250" s="79" t="str">
        <f>IF(AND(A250="",B250="",D250=""),"",IF(L250="Non","Inactif",IF(AND(NOT(ISNUMBER(R250)),NOT(ISNUMBER(S250))),"À compléter",IF(OR(AND(ISNUMBER(R250),N(R250)&lt;0),AND(ISNUMBER(S250),N(S250)&lt;0)),"En retard",IF(OR(AND(ISNUMBER(R250),N(R250)&lt;=p_soon),AND(ISNUMBER(S250),N(S250)&lt;=p_soon_pct*N(G250))),"Bientôt","À jour")))))</f>
        <v/>
      </c>
      <c r="V250" s="79" t="str">
        <f>IF(AND(A250="",B250="",D250=""),"",IF(A250="","N° de plan manquant",IF(COUNTIF($A$6:$A$505,A250)&gt;1,"N° de plan en double",IF(B250="","Équipement manquant",IF(ISNA(MATCH(B250,eq_code,0)),"Équipement inconnu",IF(D250="","Tâche manquante",IF(E250="","Déclenchement manquant",IF(AND(E250&lt;&gt;"Calendrier",E250&lt;&gt;"Compteur",E250&lt;&gt;"Au premier des deux"),"Déclenchement inconnu",IF(AND(E250&lt;&gt;"Compteur",OR(NOT(ISNUMBER(F250)),N(F250)&lt;=0)),"Périodicité en jours manquante",IF(AND(E250&lt;&gt;"Calendrier",OR(NOT(ISNUMBER(G250)),N(G250)&lt;=0)),"Périodicité compteur manquante",IF(AND(J250&lt;&gt;"",OR(NOT(ISNUMBER(J250)),N(J250)&lt;=0)),"Date de réalisation invalide",IF(AND(K250&lt;&gt;"",OR(NOT(ISNUMBER(K250)),N(K250)&lt;0)),"Compteur de réalisation invalide",IF(AND(E250&lt;&gt;"Compteur",N(M250)=0,IFERROR(N(INDEX(eq_start,MATCH(B250,eq_code,0))),0)=0),"Date de départ manquante",IF(AND(E250&lt;&gt;"Calendrier",K250="",N(N250)=0),"Compteur de départ manquant",IF(AND(E250&lt;&gt;"Calendrier",N(Q250)=0),"Relevé compteur manquant (Équipements)",IF(AND(I250&lt;&gt;"",ISNA(MATCH(I250,tech_name,0))),"Technicien inconnu",IF(AND(L250&lt;&gt;"",L250&lt;&gt;"Oui",L250&lt;&gt;"Non"),"Actif : Oui ou Non","OK")))))))))))))))))</f>
        <v/>
      </c>
      <c r="W250" s="67">
        <f>IFERROR(N(INDEX(eq_use,MATCH(B250,eq_code,0))),0)</f>
        <v>0.0</v>
      </c>
      <c r="X250" s="67" t="str">
        <f>IF(AND(ISNUMBER(S250),W250&gt;0),p_today+MAX(0,ROUNDUP(S250*7/W250,0)),"")</f>
        <v/>
      </c>
      <c r="Y250" s="67" t="str">
        <f>IF(AND(ISNUMBER(T250),OR(U250="En retard",U250="Bientôt",U250="À jour")),IF(AND(ISNUMBER(O250),ISNUMBER(X250)),MIN(F250,G250*7/W250),IF(ISNUMBER(O250),F250,G250*7/W250)),"")</f>
        <v/>
      </c>
      <c r="Z250" s="67" t="str">
        <f>IF(OR(U250="En retard",U250="Bientôt"),IF(U250="En retard",0,1)*1000000000+IF(AB250="A",0,IF(AB250="B",1,IF(AB250="C",2,3)))*100000000+IF(ISNUMBER(T250),T250,p_today)*1000+ROW()-5,"")</f>
        <v/>
      </c>
      <c r="AA250" s="67" t="str">
        <f>IF(Z250="","",COUNTIF($Z$6:$Z$505,"&lt;"&amp;Z250)+1)</f>
        <v/>
      </c>
      <c r="AB250" s="67" t="str">
        <f>IFERROR(INDEX(eq_crit,MATCH(B250,eq_code,0))&amp;"","")</f>
        <v/>
      </c>
    </row>
    <row r="251">
      <c r="A251" s="65" t="n"/>
      <c r="B251" s="66" t="n"/>
      <c r="C251" s="67" t="str">
        <f>IF(B251="","",IFERROR(INDEX(eq_des,MATCH(B251,eq_code,0))&amp;"","Équipement inconnu"))</f>
        <v/>
      </c>
      <c r="D251" s="66" t="n"/>
      <c r="E251" s="68" t="n"/>
      <c r="F251" s="69" t="n"/>
      <c r="G251" s="70" t="n"/>
      <c r="H251" s="71" t="n"/>
      <c r="I251" s="66" t="n"/>
      <c r="J251" s="72" t="n"/>
      <c r="K251" s="73" t="n"/>
      <c r="L251" s="68" t="n"/>
      <c r="M251" s="74" t="str">
        <f>IF(AND(A251="",B251="",D251=""),"",MAX(N(J251),IF(A251="",0,SUMPRODUCT(MAX((in_plan=A251)*in_prev*in_dnum)))))</f>
        <v/>
      </c>
      <c r="N251" s="75" t="str">
        <f>IF(AND(A251="",B251="",D251=""),"",MAX(N(K251),IF(A251="",0,SUMPRODUCT(MAX((in_plan=A251)*in_prev*in_cnum)))))</f>
        <v/>
      </c>
      <c r="O251" s="76" t="str">
        <f>IF(AND(OR(E251="Calendrier",E251="Au premier des deux"),N(F251)&gt;0,IF(N(M251)&gt;0,M251,IFERROR(N(INDEX(eq_start,MATCH(B251,eq_code,0))),0))&gt;0),IF(N(M251)&gt;0,M251,IFERROR(N(INDEX(eq_start,MATCH(B251,eq_code,0))),0))+F251,"")</f>
        <v/>
      </c>
      <c r="P251" s="75" t="str">
        <f>IF(AND(OR(E251="Compteur",E251="Au premier des deux"),N(G251)&gt;0),N(N251)+G251,"")</f>
        <v/>
      </c>
      <c r="Q251" s="75" t="str">
        <f>IF(B251="","",IFERROR(N(INDEX(eq_cnt,MATCH(B251,eq_code,0))),""))</f>
        <v/>
      </c>
      <c r="R251" s="77" t="str">
        <f>IF(ISNUMBER(O251),O251-p_today,"")</f>
        <v/>
      </c>
      <c r="S251" s="78" t="str">
        <f>IF(AND(ISNUMBER(P251),N(Q251)&gt;0),P251-Q251,"")</f>
        <v/>
      </c>
      <c r="T251" s="76" t="str">
        <f>IF(AND(ISNUMBER(O251),ISNUMBER(X251)),MIN(O251,X251),IF(ISNUMBER(O251),O251,X251))</f>
        <v/>
      </c>
      <c r="U251" s="79" t="str">
        <f>IF(AND(A251="",B251="",D251=""),"",IF(L251="Non","Inactif",IF(AND(NOT(ISNUMBER(R251)),NOT(ISNUMBER(S251))),"À compléter",IF(OR(AND(ISNUMBER(R251),N(R251)&lt;0),AND(ISNUMBER(S251),N(S251)&lt;0)),"En retard",IF(OR(AND(ISNUMBER(R251),N(R251)&lt;=p_soon),AND(ISNUMBER(S251),N(S251)&lt;=p_soon_pct*N(G251))),"Bientôt","À jour")))))</f>
        <v/>
      </c>
      <c r="V251" s="79" t="str">
        <f>IF(AND(A251="",B251="",D251=""),"",IF(A251="","N° de plan manquant",IF(COUNTIF($A$6:$A$505,A251)&gt;1,"N° de plan en double",IF(B251="","Équipement manquant",IF(ISNA(MATCH(B251,eq_code,0)),"Équipement inconnu",IF(D251="","Tâche manquante",IF(E251="","Déclenchement manquant",IF(AND(E251&lt;&gt;"Calendrier",E251&lt;&gt;"Compteur",E251&lt;&gt;"Au premier des deux"),"Déclenchement inconnu",IF(AND(E251&lt;&gt;"Compteur",OR(NOT(ISNUMBER(F251)),N(F251)&lt;=0)),"Périodicité en jours manquante",IF(AND(E251&lt;&gt;"Calendrier",OR(NOT(ISNUMBER(G251)),N(G251)&lt;=0)),"Périodicité compteur manquante",IF(AND(J251&lt;&gt;"",OR(NOT(ISNUMBER(J251)),N(J251)&lt;=0)),"Date de réalisation invalide",IF(AND(K251&lt;&gt;"",OR(NOT(ISNUMBER(K251)),N(K251)&lt;0)),"Compteur de réalisation invalide",IF(AND(E251&lt;&gt;"Compteur",N(M251)=0,IFERROR(N(INDEX(eq_start,MATCH(B251,eq_code,0))),0)=0),"Date de départ manquante",IF(AND(E251&lt;&gt;"Calendrier",K251="",N(N251)=0),"Compteur de départ manquant",IF(AND(E251&lt;&gt;"Calendrier",N(Q251)=0),"Relevé compteur manquant (Équipements)",IF(AND(I251&lt;&gt;"",ISNA(MATCH(I251,tech_name,0))),"Technicien inconnu",IF(AND(L251&lt;&gt;"",L251&lt;&gt;"Oui",L251&lt;&gt;"Non"),"Actif : Oui ou Non","OK")))))))))))))))))</f>
        <v/>
      </c>
      <c r="W251" s="67">
        <f>IFERROR(N(INDEX(eq_use,MATCH(B251,eq_code,0))),0)</f>
        <v>0.0</v>
      </c>
      <c r="X251" s="67" t="str">
        <f>IF(AND(ISNUMBER(S251),W251&gt;0),p_today+MAX(0,ROUNDUP(S251*7/W251,0)),"")</f>
        <v/>
      </c>
      <c r="Y251" s="67" t="str">
        <f>IF(AND(ISNUMBER(T251),OR(U251="En retard",U251="Bientôt",U251="À jour")),IF(AND(ISNUMBER(O251),ISNUMBER(X251)),MIN(F251,G251*7/W251),IF(ISNUMBER(O251),F251,G251*7/W251)),"")</f>
        <v/>
      </c>
      <c r="Z251" s="67" t="str">
        <f>IF(OR(U251="En retard",U251="Bientôt"),IF(U251="En retard",0,1)*1000000000+IF(AB251="A",0,IF(AB251="B",1,IF(AB251="C",2,3)))*100000000+IF(ISNUMBER(T251),T251,p_today)*1000+ROW()-5,"")</f>
        <v/>
      </c>
      <c r="AA251" s="67" t="str">
        <f>IF(Z251="","",COUNTIF($Z$6:$Z$505,"&lt;"&amp;Z251)+1)</f>
        <v/>
      </c>
      <c r="AB251" s="67" t="str">
        <f>IFERROR(INDEX(eq_crit,MATCH(B251,eq_code,0))&amp;"","")</f>
        <v/>
      </c>
    </row>
    <row r="252">
      <c r="A252" s="65" t="n"/>
      <c r="B252" s="66" t="n"/>
      <c r="C252" s="67" t="str">
        <f>IF(B252="","",IFERROR(INDEX(eq_des,MATCH(B252,eq_code,0))&amp;"","Équipement inconnu"))</f>
        <v/>
      </c>
      <c r="D252" s="66" t="n"/>
      <c r="E252" s="68" t="n"/>
      <c r="F252" s="69" t="n"/>
      <c r="G252" s="70" t="n"/>
      <c r="H252" s="71" t="n"/>
      <c r="I252" s="66" t="n"/>
      <c r="J252" s="72" t="n"/>
      <c r="K252" s="73" t="n"/>
      <c r="L252" s="68" t="n"/>
      <c r="M252" s="74" t="str">
        <f>IF(AND(A252="",B252="",D252=""),"",MAX(N(J252),IF(A252="",0,SUMPRODUCT(MAX((in_plan=A252)*in_prev*in_dnum)))))</f>
        <v/>
      </c>
      <c r="N252" s="75" t="str">
        <f>IF(AND(A252="",B252="",D252=""),"",MAX(N(K252),IF(A252="",0,SUMPRODUCT(MAX((in_plan=A252)*in_prev*in_cnum)))))</f>
        <v/>
      </c>
      <c r="O252" s="76" t="str">
        <f>IF(AND(OR(E252="Calendrier",E252="Au premier des deux"),N(F252)&gt;0,IF(N(M252)&gt;0,M252,IFERROR(N(INDEX(eq_start,MATCH(B252,eq_code,0))),0))&gt;0),IF(N(M252)&gt;0,M252,IFERROR(N(INDEX(eq_start,MATCH(B252,eq_code,0))),0))+F252,"")</f>
        <v/>
      </c>
      <c r="P252" s="75" t="str">
        <f>IF(AND(OR(E252="Compteur",E252="Au premier des deux"),N(G252)&gt;0),N(N252)+G252,"")</f>
        <v/>
      </c>
      <c r="Q252" s="75" t="str">
        <f>IF(B252="","",IFERROR(N(INDEX(eq_cnt,MATCH(B252,eq_code,0))),""))</f>
        <v/>
      </c>
      <c r="R252" s="77" t="str">
        <f>IF(ISNUMBER(O252),O252-p_today,"")</f>
        <v/>
      </c>
      <c r="S252" s="78" t="str">
        <f>IF(AND(ISNUMBER(P252),N(Q252)&gt;0),P252-Q252,"")</f>
        <v/>
      </c>
      <c r="T252" s="76" t="str">
        <f>IF(AND(ISNUMBER(O252),ISNUMBER(X252)),MIN(O252,X252),IF(ISNUMBER(O252),O252,X252))</f>
        <v/>
      </c>
      <c r="U252" s="79" t="str">
        <f>IF(AND(A252="",B252="",D252=""),"",IF(L252="Non","Inactif",IF(AND(NOT(ISNUMBER(R252)),NOT(ISNUMBER(S252))),"À compléter",IF(OR(AND(ISNUMBER(R252),N(R252)&lt;0),AND(ISNUMBER(S252),N(S252)&lt;0)),"En retard",IF(OR(AND(ISNUMBER(R252),N(R252)&lt;=p_soon),AND(ISNUMBER(S252),N(S252)&lt;=p_soon_pct*N(G252))),"Bientôt","À jour")))))</f>
        <v/>
      </c>
      <c r="V252" s="79" t="str">
        <f>IF(AND(A252="",B252="",D252=""),"",IF(A252="","N° de plan manquant",IF(COUNTIF($A$6:$A$505,A252)&gt;1,"N° de plan en double",IF(B252="","Équipement manquant",IF(ISNA(MATCH(B252,eq_code,0)),"Équipement inconnu",IF(D252="","Tâche manquante",IF(E252="","Déclenchement manquant",IF(AND(E252&lt;&gt;"Calendrier",E252&lt;&gt;"Compteur",E252&lt;&gt;"Au premier des deux"),"Déclenchement inconnu",IF(AND(E252&lt;&gt;"Compteur",OR(NOT(ISNUMBER(F252)),N(F252)&lt;=0)),"Périodicité en jours manquante",IF(AND(E252&lt;&gt;"Calendrier",OR(NOT(ISNUMBER(G252)),N(G252)&lt;=0)),"Périodicité compteur manquante",IF(AND(J252&lt;&gt;"",OR(NOT(ISNUMBER(J252)),N(J252)&lt;=0)),"Date de réalisation invalide",IF(AND(K252&lt;&gt;"",OR(NOT(ISNUMBER(K252)),N(K252)&lt;0)),"Compteur de réalisation invalide",IF(AND(E252&lt;&gt;"Compteur",N(M252)=0,IFERROR(N(INDEX(eq_start,MATCH(B252,eq_code,0))),0)=0),"Date de départ manquante",IF(AND(E252&lt;&gt;"Calendrier",K252="",N(N252)=0),"Compteur de départ manquant",IF(AND(E252&lt;&gt;"Calendrier",N(Q252)=0),"Relevé compteur manquant (Équipements)",IF(AND(I252&lt;&gt;"",ISNA(MATCH(I252,tech_name,0))),"Technicien inconnu",IF(AND(L252&lt;&gt;"",L252&lt;&gt;"Oui",L252&lt;&gt;"Non"),"Actif : Oui ou Non","OK")))))))))))))))))</f>
        <v/>
      </c>
      <c r="W252" s="67">
        <f>IFERROR(N(INDEX(eq_use,MATCH(B252,eq_code,0))),0)</f>
        <v>0.0</v>
      </c>
      <c r="X252" s="67" t="str">
        <f>IF(AND(ISNUMBER(S252),W252&gt;0),p_today+MAX(0,ROUNDUP(S252*7/W252,0)),"")</f>
        <v/>
      </c>
      <c r="Y252" s="67" t="str">
        <f>IF(AND(ISNUMBER(T252),OR(U252="En retard",U252="Bientôt",U252="À jour")),IF(AND(ISNUMBER(O252),ISNUMBER(X252)),MIN(F252,G252*7/W252),IF(ISNUMBER(O252),F252,G252*7/W252)),"")</f>
        <v/>
      </c>
      <c r="Z252" s="67" t="str">
        <f>IF(OR(U252="En retard",U252="Bientôt"),IF(U252="En retard",0,1)*1000000000+IF(AB252="A",0,IF(AB252="B",1,IF(AB252="C",2,3)))*100000000+IF(ISNUMBER(T252),T252,p_today)*1000+ROW()-5,"")</f>
        <v/>
      </c>
      <c r="AA252" s="67" t="str">
        <f>IF(Z252="","",COUNTIF($Z$6:$Z$505,"&lt;"&amp;Z252)+1)</f>
        <v/>
      </c>
      <c r="AB252" s="67" t="str">
        <f>IFERROR(INDEX(eq_crit,MATCH(B252,eq_code,0))&amp;"","")</f>
        <v/>
      </c>
    </row>
    <row r="253">
      <c r="A253" s="65" t="n"/>
      <c r="B253" s="66" t="n"/>
      <c r="C253" s="67" t="str">
        <f>IF(B253="","",IFERROR(INDEX(eq_des,MATCH(B253,eq_code,0))&amp;"","Équipement inconnu"))</f>
        <v/>
      </c>
      <c r="D253" s="66" t="n"/>
      <c r="E253" s="68" t="n"/>
      <c r="F253" s="69" t="n"/>
      <c r="G253" s="70" t="n"/>
      <c r="H253" s="71" t="n"/>
      <c r="I253" s="66" t="n"/>
      <c r="J253" s="72" t="n"/>
      <c r="K253" s="73" t="n"/>
      <c r="L253" s="68" t="n"/>
      <c r="M253" s="74" t="str">
        <f>IF(AND(A253="",B253="",D253=""),"",MAX(N(J253),IF(A253="",0,SUMPRODUCT(MAX((in_plan=A253)*in_prev*in_dnum)))))</f>
        <v/>
      </c>
      <c r="N253" s="75" t="str">
        <f>IF(AND(A253="",B253="",D253=""),"",MAX(N(K253),IF(A253="",0,SUMPRODUCT(MAX((in_plan=A253)*in_prev*in_cnum)))))</f>
        <v/>
      </c>
      <c r="O253" s="76" t="str">
        <f>IF(AND(OR(E253="Calendrier",E253="Au premier des deux"),N(F253)&gt;0,IF(N(M253)&gt;0,M253,IFERROR(N(INDEX(eq_start,MATCH(B253,eq_code,0))),0))&gt;0),IF(N(M253)&gt;0,M253,IFERROR(N(INDEX(eq_start,MATCH(B253,eq_code,0))),0))+F253,"")</f>
        <v/>
      </c>
      <c r="P253" s="75" t="str">
        <f>IF(AND(OR(E253="Compteur",E253="Au premier des deux"),N(G253)&gt;0),N(N253)+G253,"")</f>
        <v/>
      </c>
      <c r="Q253" s="75" t="str">
        <f>IF(B253="","",IFERROR(N(INDEX(eq_cnt,MATCH(B253,eq_code,0))),""))</f>
        <v/>
      </c>
      <c r="R253" s="77" t="str">
        <f>IF(ISNUMBER(O253),O253-p_today,"")</f>
        <v/>
      </c>
      <c r="S253" s="78" t="str">
        <f>IF(AND(ISNUMBER(P253),N(Q253)&gt;0),P253-Q253,"")</f>
        <v/>
      </c>
      <c r="T253" s="76" t="str">
        <f>IF(AND(ISNUMBER(O253),ISNUMBER(X253)),MIN(O253,X253),IF(ISNUMBER(O253),O253,X253))</f>
        <v/>
      </c>
      <c r="U253" s="79" t="str">
        <f>IF(AND(A253="",B253="",D253=""),"",IF(L253="Non","Inactif",IF(AND(NOT(ISNUMBER(R253)),NOT(ISNUMBER(S253))),"À compléter",IF(OR(AND(ISNUMBER(R253),N(R253)&lt;0),AND(ISNUMBER(S253),N(S253)&lt;0)),"En retard",IF(OR(AND(ISNUMBER(R253),N(R253)&lt;=p_soon),AND(ISNUMBER(S253),N(S253)&lt;=p_soon_pct*N(G253))),"Bientôt","À jour")))))</f>
        <v/>
      </c>
      <c r="V253" s="79" t="str">
        <f>IF(AND(A253="",B253="",D253=""),"",IF(A253="","N° de plan manquant",IF(COUNTIF($A$6:$A$505,A253)&gt;1,"N° de plan en double",IF(B253="","Équipement manquant",IF(ISNA(MATCH(B253,eq_code,0)),"Équipement inconnu",IF(D253="","Tâche manquante",IF(E253="","Déclenchement manquant",IF(AND(E253&lt;&gt;"Calendrier",E253&lt;&gt;"Compteur",E253&lt;&gt;"Au premier des deux"),"Déclenchement inconnu",IF(AND(E253&lt;&gt;"Compteur",OR(NOT(ISNUMBER(F253)),N(F253)&lt;=0)),"Périodicité en jours manquante",IF(AND(E253&lt;&gt;"Calendrier",OR(NOT(ISNUMBER(G253)),N(G253)&lt;=0)),"Périodicité compteur manquante",IF(AND(J253&lt;&gt;"",OR(NOT(ISNUMBER(J253)),N(J253)&lt;=0)),"Date de réalisation invalide",IF(AND(K253&lt;&gt;"",OR(NOT(ISNUMBER(K253)),N(K253)&lt;0)),"Compteur de réalisation invalide",IF(AND(E253&lt;&gt;"Compteur",N(M253)=0,IFERROR(N(INDEX(eq_start,MATCH(B253,eq_code,0))),0)=0),"Date de départ manquante",IF(AND(E253&lt;&gt;"Calendrier",K253="",N(N253)=0),"Compteur de départ manquant",IF(AND(E253&lt;&gt;"Calendrier",N(Q253)=0),"Relevé compteur manquant (Équipements)",IF(AND(I253&lt;&gt;"",ISNA(MATCH(I253,tech_name,0))),"Technicien inconnu",IF(AND(L253&lt;&gt;"",L253&lt;&gt;"Oui",L253&lt;&gt;"Non"),"Actif : Oui ou Non","OK")))))))))))))))))</f>
        <v/>
      </c>
      <c r="W253" s="67">
        <f>IFERROR(N(INDEX(eq_use,MATCH(B253,eq_code,0))),0)</f>
        <v>0.0</v>
      </c>
      <c r="X253" s="67" t="str">
        <f>IF(AND(ISNUMBER(S253),W253&gt;0),p_today+MAX(0,ROUNDUP(S253*7/W253,0)),"")</f>
        <v/>
      </c>
      <c r="Y253" s="67" t="str">
        <f>IF(AND(ISNUMBER(T253),OR(U253="En retard",U253="Bientôt",U253="À jour")),IF(AND(ISNUMBER(O253),ISNUMBER(X253)),MIN(F253,G253*7/W253),IF(ISNUMBER(O253),F253,G253*7/W253)),"")</f>
        <v/>
      </c>
      <c r="Z253" s="67" t="str">
        <f>IF(OR(U253="En retard",U253="Bientôt"),IF(U253="En retard",0,1)*1000000000+IF(AB253="A",0,IF(AB253="B",1,IF(AB253="C",2,3)))*100000000+IF(ISNUMBER(T253),T253,p_today)*1000+ROW()-5,"")</f>
        <v/>
      </c>
      <c r="AA253" s="67" t="str">
        <f>IF(Z253="","",COUNTIF($Z$6:$Z$505,"&lt;"&amp;Z253)+1)</f>
        <v/>
      </c>
      <c r="AB253" s="67" t="str">
        <f>IFERROR(INDEX(eq_crit,MATCH(B253,eq_code,0))&amp;"","")</f>
        <v/>
      </c>
    </row>
    <row r="254">
      <c r="A254" s="65" t="n"/>
      <c r="B254" s="66" t="n"/>
      <c r="C254" s="67" t="str">
        <f>IF(B254="","",IFERROR(INDEX(eq_des,MATCH(B254,eq_code,0))&amp;"","Équipement inconnu"))</f>
        <v/>
      </c>
      <c r="D254" s="66" t="n"/>
      <c r="E254" s="68" t="n"/>
      <c r="F254" s="69" t="n"/>
      <c r="G254" s="70" t="n"/>
      <c r="H254" s="71" t="n"/>
      <c r="I254" s="66" t="n"/>
      <c r="J254" s="72" t="n"/>
      <c r="K254" s="73" t="n"/>
      <c r="L254" s="68" t="n"/>
      <c r="M254" s="74" t="str">
        <f>IF(AND(A254="",B254="",D254=""),"",MAX(N(J254),IF(A254="",0,SUMPRODUCT(MAX((in_plan=A254)*in_prev*in_dnum)))))</f>
        <v/>
      </c>
      <c r="N254" s="75" t="str">
        <f>IF(AND(A254="",B254="",D254=""),"",MAX(N(K254),IF(A254="",0,SUMPRODUCT(MAX((in_plan=A254)*in_prev*in_cnum)))))</f>
        <v/>
      </c>
      <c r="O254" s="76" t="str">
        <f>IF(AND(OR(E254="Calendrier",E254="Au premier des deux"),N(F254)&gt;0,IF(N(M254)&gt;0,M254,IFERROR(N(INDEX(eq_start,MATCH(B254,eq_code,0))),0))&gt;0),IF(N(M254)&gt;0,M254,IFERROR(N(INDEX(eq_start,MATCH(B254,eq_code,0))),0))+F254,"")</f>
        <v/>
      </c>
      <c r="P254" s="75" t="str">
        <f>IF(AND(OR(E254="Compteur",E254="Au premier des deux"),N(G254)&gt;0),N(N254)+G254,"")</f>
        <v/>
      </c>
      <c r="Q254" s="75" t="str">
        <f>IF(B254="","",IFERROR(N(INDEX(eq_cnt,MATCH(B254,eq_code,0))),""))</f>
        <v/>
      </c>
      <c r="R254" s="77" t="str">
        <f>IF(ISNUMBER(O254),O254-p_today,"")</f>
        <v/>
      </c>
      <c r="S254" s="78" t="str">
        <f>IF(AND(ISNUMBER(P254),N(Q254)&gt;0),P254-Q254,"")</f>
        <v/>
      </c>
      <c r="T254" s="76" t="str">
        <f>IF(AND(ISNUMBER(O254),ISNUMBER(X254)),MIN(O254,X254),IF(ISNUMBER(O254),O254,X254))</f>
        <v/>
      </c>
      <c r="U254" s="79" t="str">
        <f>IF(AND(A254="",B254="",D254=""),"",IF(L254="Non","Inactif",IF(AND(NOT(ISNUMBER(R254)),NOT(ISNUMBER(S254))),"À compléter",IF(OR(AND(ISNUMBER(R254),N(R254)&lt;0),AND(ISNUMBER(S254),N(S254)&lt;0)),"En retard",IF(OR(AND(ISNUMBER(R254),N(R254)&lt;=p_soon),AND(ISNUMBER(S254),N(S254)&lt;=p_soon_pct*N(G254))),"Bientôt","À jour")))))</f>
        <v/>
      </c>
      <c r="V254" s="79" t="str">
        <f>IF(AND(A254="",B254="",D254=""),"",IF(A254="","N° de plan manquant",IF(COUNTIF($A$6:$A$505,A254)&gt;1,"N° de plan en double",IF(B254="","Équipement manquant",IF(ISNA(MATCH(B254,eq_code,0)),"Équipement inconnu",IF(D254="","Tâche manquante",IF(E254="","Déclenchement manquant",IF(AND(E254&lt;&gt;"Calendrier",E254&lt;&gt;"Compteur",E254&lt;&gt;"Au premier des deux"),"Déclenchement inconnu",IF(AND(E254&lt;&gt;"Compteur",OR(NOT(ISNUMBER(F254)),N(F254)&lt;=0)),"Périodicité en jours manquante",IF(AND(E254&lt;&gt;"Calendrier",OR(NOT(ISNUMBER(G254)),N(G254)&lt;=0)),"Périodicité compteur manquante",IF(AND(J254&lt;&gt;"",OR(NOT(ISNUMBER(J254)),N(J254)&lt;=0)),"Date de réalisation invalide",IF(AND(K254&lt;&gt;"",OR(NOT(ISNUMBER(K254)),N(K254)&lt;0)),"Compteur de réalisation invalide",IF(AND(E254&lt;&gt;"Compteur",N(M254)=0,IFERROR(N(INDEX(eq_start,MATCH(B254,eq_code,0))),0)=0),"Date de départ manquante",IF(AND(E254&lt;&gt;"Calendrier",K254="",N(N254)=0),"Compteur de départ manquant",IF(AND(E254&lt;&gt;"Calendrier",N(Q254)=0),"Relevé compteur manquant (Équipements)",IF(AND(I254&lt;&gt;"",ISNA(MATCH(I254,tech_name,0))),"Technicien inconnu",IF(AND(L254&lt;&gt;"",L254&lt;&gt;"Oui",L254&lt;&gt;"Non"),"Actif : Oui ou Non","OK")))))))))))))))))</f>
        <v/>
      </c>
      <c r="W254" s="67">
        <f>IFERROR(N(INDEX(eq_use,MATCH(B254,eq_code,0))),0)</f>
        <v>0.0</v>
      </c>
      <c r="X254" s="67" t="str">
        <f>IF(AND(ISNUMBER(S254),W254&gt;0),p_today+MAX(0,ROUNDUP(S254*7/W254,0)),"")</f>
        <v/>
      </c>
      <c r="Y254" s="67" t="str">
        <f>IF(AND(ISNUMBER(T254),OR(U254="En retard",U254="Bientôt",U254="À jour")),IF(AND(ISNUMBER(O254),ISNUMBER(X254)),MIN(F254,G254*7/W254),IF(ISNUMBER(O254),F254,G254*7/W254)),"")</f>
        <v/>
      </c>
      <c r="Z254" s="67" t="str">
        <f>IF(OR(U254="En retard",U254="Bientôt"),IF(U254="En retard",0,1)*1000000000+IF(AB254="A",0,IF(AB254="B",1,IF(AB254="C",2,3)))*100000000+IF(ISNUMBER(T254),T254,p_today)*1000+ROW()-5,"")</f>
        <v/>
      </c>
      <c r="AA254" s="67" t="str">
        <f>IF(Z254="","",COUNTIF($Z$6:$Z$505,"&lt;"&amp;Z254)+1)</f>
        <v/>
      </c>
      <c r="AB254" s="67" t="str">
        <f>IFERROR(INDEX(eq_crit,MATCH(B254,eq_code,0))&amp;"","")</f>
        <v/>
      </c>
    </row>
    <row r="255">
      <c r="A255" s="65" t="n"/>
      <c r="B255" s="66" t="n"/>
      <c r="C255" s="67" t="str">
        <f>IF(B255="","",IFERROR(INDEX(eq_des,MATCH(B255,eq_code,0))&amp;"","Équipement inconnu"))</f>
        <v/>
      </c>
      <c r="D255" s="66" t="n"/>
      <c r="E255" s="68" t="n"/>
      <c r="F255" s="69" t="n"/>
      <c r="G255" s="70" t="n"/>
      <c r="H255" s="71" t="n"/>
      <c r="I255" s="66" t="n"/>
      <c r="J255" s="72" t="n"/>
      <c r="K255" s="73" t="n"/>
      <c r="L255" s="68" t="n"/>
      <c r="M255" s="74" t="str">
        <f>IF(AND(A255="",B255="",D255=""),"",MAX(N(J255),IF(A255="",0,SUMPRODUCT(MAX((in_plan=A255)*in_prev*in_dnum)))))</f>
        <v/>
      </c>
      <c r="N255" s="75" t="str">
        <f>IF(AND(A255="",B255="",D255=""),"",MAX(N(K255),IF(A255="",0,SUMPRODUCT(MAX((in_plan=A255)*in_prev*in_cnum)))))</f>
        <v/>
      </c>
      <c r="O255" s="76" t="str">
        <f>IF(AND(OR(E255="Calendrier",E255="Au premier des deux"),N(F255)&gt;0,IF(N(M255)&gt;0,M255,IFERROR(N(INDEX(eq_start,MATCH(B255,eq_code,0))),0))&gt;0),IF(N(M255)&gt;0,M255,IFERROR(N(INDEX(eq_start,MATCH(B255,eq_code,0))),0))+F255,"")</f>
        <v/>
      </c>
      <c r="P255" s="75" t="str">
        <f>IF(AND(OR(E255="Compteur",E255="Au premier des deux"),N(G255)&gt;0),N(N255)+G255,"")</f>
        <v/>
      </c>
      <c r="Q255" s="75" t="str">
        <f>IF(B255="","",IFERROR(N(INDEX(eq_cnt,MATCH(B255,eq_code,0))),""))</f>
        <v/>
      </c>
      <c r="R255" s="77" t="str">
        <f>IF(ISNUMBER(O255),O255-p_today,"")</f>
        <v/>
      </c>
      <c r="S255" s="78" t="str">
        <f>IF(AND(ISNUMBER(P255),N(Q255)&gt;0),P255-Q255,"")</f>
        <v/>
      </c>
      <c r="T255" s="76" t="str">
        <f>IF(AND(ISNUMBER(O255),ISNUMBER(X255)),MIN(O255,X255),IF(ISNUMBER(O255),O255,X255))</f>
        <v/>
      </c>
      <c r="U255" s="79" t="str">
        <f>IF(AND(A255="",B255="",D255=""),"",IF(L255="Non","Inactif",IF(AND(NOT(ISNUMBER(R255)),NOT(ISNUMBER(S255))),"À compléter",IF(OR(AND(ISNUMBER(R255),N(R255)&lt;0),AND(ISNUMBER(S255),N(S255)&lt;0)),"En retard",IF(OR(AND(ISNUMBER(R255),N(R255)&lt;=p_soon),AND(ISNUMBER(S255),N(S255)&lt;=p_soon_pct*N(G255))),"Bientôt","À jour")))))</f>
        <v/>
      </c>
      <c r="V255" s="79" t="str">
        <f>IF(AND(A255="",B255="",D255=""),"",IF(A255="","N° de plan manquant",IF(COUNTIF($A$6:$A$505,A255)&gt;1,"N° de plan en double",IF(B255="","Équipement manquant",IF(ISNA(MATCH(B255,eq_code,0)),"Équipement inconnu",IF(D255="","Tâche manquante",IF(E255="","Déclenchement manquant",IF(AND(E255&lt;&gt;"Calendrier",E255&lt;&gt;"Compteur",E255&lt;&gt;"Au premier des deux"),"Déclenchement inconnu",IF(AND(E255&lt;&gt;"Compteur",OR(NOT(ISNUMBER(F255)),N(F255)&lt;=0)),"Périodicité en jours manquante",IF(AND(E255&lt;&gt;"Calendrier",OR(NOT(ISNUMBER(G255)),N(G255)&lt;=0)),"Périodicité compteur manquante",IF(AND(J255&lt;&gt;"",OR(NOT(ISNUMBER(J255)),N(J255)&lt;=0)),"Date de réalisation invalide",IF(AND(K255&lt;&gt;"",OR(NOT(ISNUMBER(K255)),N(K255)&lt;0)),"Compteur de réalisation invalide",IF(AND(E255&lt;&gt;"Compteur",N(M255)=0,IFERROR(N(INDEX(eq_start,MATCH(B255,eq_code,0))),0)=0),"Date de départ manquante",IF(AND(E255&lt;&gt;"Calendrier",K255="",N(N255)=0),"Compteur de départ manquant",IF(AND(E255&lt;&gt;"Calendrier",N(Q255)=0),"Relevé compteur manquant (Équipements)",IF(AND(I255&lt;&gt;"",ISNA(MATCH(I255,tech_name,0))),"Technicien inconnu",IF(AND(L255&lt;&gt;"",L255&lt;&gt;"Oui",L255&lt;&gt;"Non"),"Actif : Oui ou Non","OK")))))))))))))))))</f>
        <v/>
      </c>
      <c r="W255" s="67">
        <f>IFERROR(N(INDEX(eq_use,MATCH(B255,eq_code,0))),0)</f>
        <v>0.0</v>
      </c>
      <c r="X255" s="67" t="str">
        <f>IF(AND(ISNUMBER(S255),W255&gt;0),p_today+MAX(0,ROUNDUP(S255*7/W255,0)),"")</f>
        <v/>
      </c>
      <c r="Y255" s="67" t="str">
        <f>IF(AND(ISNUMBER(T255),OR(U255="En retard",U255="Bientôt",U255="À jour")),IF(AND(ISNUMBER(O255),ISNUMBER(X255)),MIN(F255,G255*7/W255),IF(ISNUMBER(O255),F255,G255*7/W255)),"")</f>
        <v/>
      </c>
      <c r="Z255" s="67" t="str">
        <f>IF(OR(U255="En retard",U255="Bientôt"),IF(U255="En retard",0,1)*1000000000+IF(AB255="A",0,IF(AB255="B",1,IF(AB255="C",2,3)))*100000000+IF(ISNUMBER(T255),T255,p_today)*1000+ROW()-5,"")</f>
        <v/>
      </c>
      <c r="AA255" s="67" t="str">
        <f>IF(Z255="","",COUNTIF($Z$6:$Z$505,"&lt;"&amp;Z255)+1)</f>
        <v/>
      </c>
      <c r="AB255" s="67" t="str">
        <f>IFERROR(INDEX(eq_crit,MATCH(B255,eq_code,0))&amp;"","")</f>
        <v/>
      </c>
    </row>
    <row r="256">
      <c r="A256" s="65" t="n"/>
      <c r="B256" s="66" t="n"/>
      <c r="C256" s="67" t="str">
        <f>IF(B256="","",IFERROR(INDEX(eq_des,MATCH(B256,eq_code,0))&amp;"","Équipement inconnu"))</f>
        <v/>
      </c>
      <c r="D256" s="66" t="n"/>
      <c r="E256" s="68" t="n"/>
      <c r="F256" s="69" t="n"/>
      <c r="G256" s="70" t="n"/>
      <c r="H256" s="71" t="n"/>
      <c r="I256" s="66" t="n"/>
      <c r="J256" s="72" t="n"/>
      <c r="K256" s="73" t="n"/>
      <c r="L256" s="68" t="n"/>
      <c r="M256" s="74" t="str">
        <f>IF(AND(A256="",B256="",D256=""),"",MAX(N(J256),IF(A256="",0,SUMPRODUCT(MAX((in_plan=A256)*in_prev*in_dnum)))))</f>
        <v/>
      </c>
      <c r="N256" s="75" t="str">
        <f>IF(AND(A256="",B256="",D256=""),"",MAX(N(K256),IF(A256="",0,SUMPRODUCT(MAX((in_plan=A256)*in_prev*in_cnum)))))</f>
        <v/>
      </c>
      <c r="O256" s="76" t="str">
        <f>IF(AND(OR(E256="Calendrier",E256="Au premier des deux"),N(F256)&gt;0,IF(N(M256)&gt;0,M256,IFERROR(N(INDEX(eq_start,MATCH(B256,eq_code,0))),0))&gt;0),IF(N(M256)&gt;0,M256,IFERROR(N(INDEX(eq_start,MATCH(B256,eq_code,0))),0))+F256,"")</f>
        <v/>
      </c>
      <c r="P256" s="75" t="str">
        <f>IF(AND(OR(E256="Compteur",E256="Au premier des deux"),N(G256)&gt;0),N(N256)+G256,"")</f>
        <v/>
      </c>
      <c r="Q256" s="75" t="str">
        <f>IF(B256="","",IFERROR(N(INDEX(eq_cnt,MATCH(B256,eq_code,0))),""))</f>
        <v/>
      </c>
      <c r="R256" s="77" t="str">
        <f>IF(ISNUMBER(O256),O256-p_today,"")</f>
        <v/>
      </c>
      <c r="S256" s="78" t="str">
        <f>IF(AND(ISNUMBER(P256),N(Q256)&gt;0),P256-Q256,"")</f>
        <v/>
      </c>
      <c r="T256" s="76" t="str">
        <f>IF(AND(ISNUMBER(O256),ISNUMBER(X256)),MIN(O256,X256),IF(ISNUMBER(O256),O256,X256))</f>
        <v/>
      </c>
      <c r="U256" s="79" t="str">
        <f>IF(AND(A256="",B256="",D256=""),"",IF(L256="Non","Inactif",IF(AND(NOT(ISNUMBER(R256)),NOT(ISNUMBER(S256))),"À compléter",IF(OR(AND(ISNUMBER(R256),N(R256)&lt;0),AND(ISNUMBER(S256),N(S256)&lt;0)),"En retard",IF(OR(AND(ISNUMBER(R256),N(R256)&lt;=p_soon),AND(ISNUMBER(S256),N(S256)&lt;=p_soon_pct*N(G256))),"Bientôt","À jour")))))</f>
        <v/>
      </c>
      <c r="V256" s="79" t="str">
        <f>IF(AND(A256="",B256="",D256=""),"",IF(A256="","N° de plan manquant",IF(COUNTIF($A$6:$A$505,A256)&gt;1,"N° de plan en double",IF(B256="","Équipement manquant",IF(ISNA(MATCH(B256,eq_code,0)),"Équipement inconnu",IF(D256="","Tâche manquante",IF(E256="","Déclenchement manquant",IF(AND(E256&lt;&gt;"Calendrier",E256&lt;&gt;"Compteur",E256&lt;&gt;"Au premier des deux"),"Déclenchement inconnu",IF(AND(E256&lt;&gt;"Compteur",OR(NOT(ISNUMBER(F256)),N(F256)&lt;=0)),"Périodicité en jours manquante",IF(AND(E256&lt;&gt;"Calendrier",OR(NOT(ISNUMBER(G256)),N(G256)&lt;=0)),"Périodicité compteur manquante",IF(AND(J256&lt;&gt;"",OR(NOT(ISNUMBER(J256)),N(J256)&lt;=0)),"Date de réalisation invalide",IF(AND(K256&lt;&gt;"",OR(NOT(ISNUMBER(K256)),N(K256)&lt;0)),"Compteur de réalisation invalide",IF(AND(E256&lt;&gt;"Compteur",N(M256)=0,IFERROR(N(INDEX(eq_start,MATCH(B256,eq_code,0))),0)=0),"Date de départ manquante",IF(AND(E256&lt;&gt;"Calendrier",K256="",N(N256)=0),"Compteur de départ manquant",IF(AND(E256&lt;&gt;"Calendrier",N(Q256)=0),"Relevé compteur manquant (Équipements)",IF(AND(I256&lt;&gt;"",ISNA(MATCH(I256,tech_name,0))),"Technicien inconnu",IF(AND(L256&lt;&gt;"",L256&lt;&gt;"Oui",L256&lt;&gt;"Non"),"Actif : Oui ou Non","OK")))))))))))))))))</f>
        <v/>
      </c>
      <c r="W256" s="67">
        <f>IFERROR(N(INDEX(eq_use,MATCH(B256,eq_code,0))),0)</f>
        <v>0.0</v>
      </c>
      <c r="X256" s="67" t="str">
        <f>IF(AND(ISNUMBER(S256),W256&gt;0),p_today+MAX(0,ROUNDUP(S256*7/W256,0)),"")</f>
        <v/>
      </c>
      <c r="Y256" s="67" t="str">
        <f>IF(AND(ISNUMBER(T256),OR(U256="En retard",U256="Bientôt",U256="À jour")),IF(AND(ISNUMBER(O256),ISNUMBER(X256)),MIN(F256,G256*7/W256),IF(ISNUMBER(O256),F256,G256*7/W256)),"")</f>
        <v/>
      </c>
      <c r="Z256" s="67" t="str">
        <f>IF(OR(U256="En retard",U256="Bientôt"),IF(U256="En retard",0,1)*1000000000+IF(AB256="A",0,IF(AB256="B",1,IF(AB256="C",2,3)))*100000000+IF(ISNUMBER(T256),T256,p_today)*1000+ROW()-5,"")</f>
        <v/>
      </c>
      <c r="AA256" s="67" t="str">
        <f>IF(Z256="","",COUNTIF($Z$6:$Z$505,"&lt;"&amp;Z256)+1)</f>
        <v/>
      </c>
      <c r="AB256" s="67" t="str">
        <f>IFERROR(INDEX(eq_crit,MATCH(B256,eq_code,0))&amp;"","")</f>
        <v/>
      </c>
    </row>
    <row r="257">
      <c r="A257" s="65" t="n"/>
      <c r="B257" s="66" t="n"/>
      <c r="C257" s="67" t="str">
        <f>IF(B257="","",IFERROR(INDEX(eq_des,MATCH(B257,eq_code,0))&amp;"","Équipement inconnu"))</f>
        <v/>
      </c>
      <c r="D257" s="66" t="n"/>
      <c r="E257" s="68" t="n"/>
      <c r="F257" s="69" t="n"/>
      <c r="G257" s="70" t="n"/>
      <c r="H257" s="71" t="n"/>
      <c r="I257" s="66" t="n"/>
      <c r="J257" s="72" t="n"/>
      <c r="K257" s="73" t="n"/>
      <c r="L257" s="68" t="n"/>
      <c r="M257" s="74" t="str">
        <f>IF(AND(A257="",B257="",D257=""),"",MAX(N(J257),IF(A257="",0,SUMPRODUCT(MAX((in_plan=A257)*in_prev*in_dnum)))))</f>
        <v/>
      </c>
      <c r="N257" s="75" t="str">
        <f>IF(AND(A257="",B257="",D257=""),"",MAX(N(K257),IF(A257="",0,SUMPRODUCT(MAX((in_plan=A257)*in_prev*in_cnum)))))</f>
        <v/>
      </c>
      <c r="O257" s="76" t="str">
        <f>IF(AND(OR(E257="Calendrier",E257="Au premier des deux"),N(F257)&gt;0,IF(N(M257)&gt;0,M257,IFERROR(N(INDEX(eq_start,MATCH(B257,eq_code,0))),0))&gt;0),IF(N(M257)&gt;0,M257,IFERROR(N(INDEX(eq_start,MATCH(B257,eq_code,0))),0))+F257,"")</f>
        <v/>
      </c>
      <c r="P257" s="75" t="str">
        <f>IF(AND(OR(E257="Compteur",E257="Au premier des deux"),N(G257)&gt;0),N(N257)+G257,"")</f>
        <v/>
      </c>
      <c r="Q257" s="75" t="str">
        <f>IF(B257="","",IFERROR(N(INDEX(eq_cnt,MATCH(B257,eq_code,0))),""))</f>
        <v/>
      </c>
      <c r="R257" s="77" t="str">
        <f>IF(ISNUMBER(O257),O257-p_today,"")</f>
        <v/>
      </c>
      <c r="S257" s="78" t="str">
        <f>IF(AND(ISNUMBER(P257),N(Q257)&gt;0),P257-Q257,"")</f>
        <v/>
      </c>
      <c r="T257" s="76" t="str">
        <f>IF(AND(ISNUMBER(O257),ISNUMBER(X257)),MIN(O257,X257),IF(ISNUMBER(O257),O257,X257))</f>
        <v/>
      </c>
      <c r="U257" s="79" t="str">
        <f>IF(AND(A257="",B257="",D257=""),"",IF(L257="Non","Inactif",IF(AND(NOT(ISNUMBER(R257)),NOT(ISNUMBER(S257))),"À compléter",IF(OR(AND(ISNUMBER(R257),N(R257)&lt;0),AND(ISNUMBER(S257),N(S257)&lt;0)),"En retard",IF(OR(AND(ISNUMBER(R257),N(R257)&lt;=p_soon),AND(ISNUMBER(S257),N(S257)&lt;=p_soon_pct*N(G257))),"Bientôt","À jour")))))</f>
        <v/>
      </c>
      <c r="V257" s="79" t="str">
        <f>IF(AND(A257="",B257="",D257=""),"",IF(A257="","N° de plan manquant",IF(COUNTIF($A$6:$A$505,A257)&gt;1,"N° de plan en double",IF(B257="","Équipement manquant",IF(ISNA(MATCH(B257,eq_code,0)),"Équipement inconnu",IF(D257="","Tâche manquante",IF(E257="","Déclenchement manquant",IF(AND(E257&lt;&gt;"Calendrier",E257&lt;&gt;"Compteur",E257&lt;&gt;"Au premier des deux"),"Déclenchement inconnu",IF(AND(E257&lt;&gt;"Compteur",OR(NOT(ISNUMBER(F257)),N(F257)&lt;=0)),"Périodicité en jours manquante",IF(AND(E257&lt;&gt;"Calendrier",OR(NOT(ISNUMBER(G257)),N(G257)&lt;=0)),"Périodicité compteur manquante",IF(AND(J257&lt;&gt;"",OR(NOT(ISNUMBER(J257)),N(J257)&lt;=0)),"Date de réalisation invalide",IF(AND(K257&lt;&gt;"",OR(NOT(ISNUMBER(K257)),N(K257)&lt;0)),"Compteur de réalisation invalide",IF(AND(E257&lt;&gt;"Compteur",N(M257)=0,IFERROR(N(INDEX(eq_start,MATCH(B257,eq_code,0))),0)=0),"Date de départ manquante",IF(AND(E257&lt;&gt;"Calendrier",K257="",N(N257)=0),"Compteur de départ manquant",IF(AND(E257&lt;&gt;"Calendrier",N(Q257)=0),"Relevé compteur manquant (Équipements)",IF(AND(I257&lt;&gt;"",ISNA(MATCH(I257,tech_name,0))),"Technicien inconnu",IF(AND(L257&lt;&gt;"",L257&lt;&gt;"Oui",L257&lt;&gt;"Non"),"Actif : Oui ou Non","OK")))))))))))))))))</f>
        <v/>
      </c>
      <c r="W257" s="67">
        <f>IFERROR(N(INDEX(eq_use,MATCH(B257,eq_code,0))),0)</f>
        <v>0.0</v>
      </c>
      <c r="X257" s="67" t="str">
        <f>IF(AND(ISNUMBER(S257),W257&gt;0),p_today+MAX(0,ROUNDUP(S257*7/W257,0)),"")</f>
        <v/>
      </c>
      <c r="Y257" s="67" t="str">
        <f>IF(AND(ISNUMBER(T257),OR(U257="En retard",U257="Bientôt",U257="À jour")),IF(AND(ISNUMBER(O257),ISNUMBER(X257)),MIN(F257,G257*7/W257),IF(ISNUMBER(O257),F257,G257*7/W257)),"")</f>
        <v/>
      </c>
      <c r="Z257" s="67" t="str">
        <f>IF(OR(U257="En retard",U257="Bientôt"),IF(U257="En retard",0,1)*1000000000+IF(AB257="A",0,IF(AB257="B",1,IF(AB257="C",2,3)))*100000000+IF(ISNUMBER(T257),T257,p_today)*1000+ROW()-5,"")</f>
        <v/>
      </c>
      <c r="AA257" s="67" t="str">
        <f>IF(Z257="","",COUNTIF($Z$6:$Z$505,"&lt;"&amp;Z257)+1)</f>
        <v/>
      </c>
      <c r="AB257" s="67" t="str">
        <f>IFERROR(INDEX(eq_crit,MATCH(B257,eq_code,0))&amp;"","")</f>
        <v/>
      </c>
    </row>
    <row r="258">
      <c r="A258" s="65" t="n"/>
      <c r="B258" s="66" t="n"/>
      <c r="C258" s="67" t="str">
        <f>IF(B258="","",IFERROR(INDEX(eq_des,MATCH(B258,eq_code,0))&amp;"","Équipement inconnu"))</f>
        <v/>
      </c>
      <c r="D258" s="66" t="n"/>
      <c r="E258" s="68" t="n"/>
      <c r="F258" s="69" t="n"/>
      <c r="G258" s="70" t="n"/>
      <c r="H258" s="71" t="n"/>
      <c r="I258" s="66" t="n"/>
      <c r="J258" s="72" t="n"/>
      <c r="K258" s="73" t="n"/>
      <c r="L258" s="68" t="n"/>
      <c r="M258" s="74" t="str">
        <f>IF(AND(A258="",B258="",D258=""),"",MAX(N(J258),IF(A258="",0,SUMPRODUCT(MAX((in_plan=A258)*in_prev*in_dnum)))))</f>
        <v/>
      </c>
      <c r="N258" s="75" t="str">
        <f>IF(AND(A258="",B258="",D258=""),"",MAX(N(K258),IF(A258="",0,SUMPRODUCT(MAX((in_plan=A258)*in_prev*in_cnum)))))</f>
        <v/>
      </c>
      <c r="O258" s="76" t="str">
        <f>IF(AND(OR(E258="Calendrier",E258="Au premier des deux"),N(F258)&gt;0,IF(N(M258)&gt;0,M258,IFERROR(N(INDEX(eq_start,MATCH(B258,eq_code,0))),0))&gt;0),IF(N(M258)&gt;0,M258,IFERROR(N(INDEX(eq_start,MATCH(B258,eq_code,0))),0))+F258,"")</f>
        <v/>
      </c>
      <c r="P258" s="75" t="str">
        <f>IF(AND(OR(E258="Compteur",E258="Au premier des deux"),N(G258)&gt;0),N(N258)+G258,"")</f>
        <v/>
      </c>
      <c r="Q258" s="75" t="str">
        <f>IF(B258="","",IFERROR(N(INDEX(eq_cnt,MATCH(B258,eq_code,0))),""))</f>
        <v/>
      </c>
      <c r="R258" s="77" t="str">
        <f>IF(ISNUMBER(O258),O258-p_today,"")</f>
        <v/>
      </c>
      <c r="S258" s="78" t="str">
        <f>IF(AND(ISNUMBER(P258),N(Q258)&gt;0),P258-Q258,"")</f>
        <v/>
      </c>
      <c r="T258" s="76" t="str">
        <f>IF(AND(ISNUMBER(O258),ISNUMBER(X258)),MIN(O258,X258),IF(ISNUMBER(O258),O258,X258))</f>
        <v/>
      </c>
      <c r="U258" s="79" t="str">
        <f>IF(AND(A258="",B258="",D258=""),"",IF(L258="Non","Inactif",IF(AND(NOT(ISNUMBER(R258)),NOT(ISNUMBER(S258))),"À compléter",IF(OR(AND(ISNUMBER(R258),N(R258)&lt;0),AND(ISNUMBER(S258),N(S258)&lt;0)),"En retard",IF(OR(AND(ISNUMBER(R258),N(R258)&lt;=p_soon),AND(ISNUMBER(S258),N(S258)&lt;=p_soon_pct*N(G258))),"Bientôt","À jour")))))</f>
        <v/>
      </c>
      <c r="V258" s="79" t="str">
        <f>IF(AND(A258="",B258="",D258=""),"",IF(A258="","N° de plan manquant",IF(COUNTIF($A$6:$A$505,A258)&gt;1,"N° de plan en double",IF(B258="","Équipement manquant",IF(ISNA(MATCH(B258,eq_code,0)),"Équipement inconnu",IF(D258="","Tâche manquante",IF(E258="","Déclenchement manquant",IF(AND(E258&lt;&gt;"Calendrier",E258&lt;&gt;"Compteur",E258&lt;&gt;"Au premier des deux"),"Déclenchement inconnu",IF(AND(E258&lt;&gt;"Compteur",OR(NOT(ISNUMBER(F258)),N(F258)&lt;=0)),"Périodicité en jours manquante",IF(AND(E258&lt;&gt;"Calendrier",OR(NOT(ISNUMBER(G258)),N(G258)&lt;=0)),"Périodicité compteur manquante",IF(AND(J258&lt;&gt;"",OR(NOT(ISNUMBER(J258)),N(J258)&lt;=0)),"Date de réalisation invalide",IF(AND(K258&lt;&gt;"",OR(NOT(ISNUMBER(K258)),N(K258)&lt;0)),"Compteur de réalisation invalide",IF(AND(E258&lt;&gt;"Compteur",N(M258)=0,IFERROR(N(INDEX(eq_start,MATCH(B258,eq_code,0))),0)=0),"Date de départ manquante",IF(AND(E258&lt;&gt;"Calendrier",K258="",N(N258)=0),"Compteur de départ manquant",IF(AND(E258&lt;&gt;"Calendrier",N(Q258)=0),"Relevé compteur manquant (Équipements)",IF(AND(I258&lt;&gt;"",ISNA(MATCH(I258,tech_name,0))),"Technicien inconnu",IF(AND(L258&lt;&gt;"",L258&lt;&gt;"Oui",L258&lt;&gt;"Non"),"Actif : Oui ou Non","OK")))))))))))))))))</f>
        <v/>
      </c>
      <c r="W258" s="67">
        <f>IFERROR(N(INDEX(eq_use,MATCH(B258,eq_code,0))),0)</f>
        <v>0.0</v>
      </c>
      <c r="X258" s="67" t="str">
        <f>IF(AND(ISNUMBER(S258),W258&gt;0),p_today+MAX(0,ROUNDUP(S258*7/W258,0)),"")</f>
        <v/>
      </c>
      <c r="Y258" s="67" t="str">
        <f>IF(AND(ISNUMBER(T258),OR(U258="En retard",U258="Bientôt",U258="À jour")),IF(AND(ISNUMBER(O258),ISNUMBER(X258)),MIN(F258,G258*7/W258),IF(ISNUMBER(O258),F258,G258*7/W258)),"")</f>
        <v/>
      </c>
      <c r="Z258" s="67" t="str">
        <f>IF(OR(U258="En retard",U258="Bientôt"),IF(U258="En retard",0,1)*1000000000+IF(AB258="A",0,IF(AB258="B",1,IF(AB258="C",2,3)))*100000000+IF(ISNUMBER(T258),T258,p_today)*1000+ROW()-5,"")</f>
        <v/>
      </c>
      <c r="AA258" s="67" t="str">
        <f>IF(Z258="","",COUNTIF($Z$6:$Z$505,"&lt;"&amp;Z258)+1)</f>
        <v/>
      </c>
      <c r="AB258" s="67" t="str">
        <f>IFERROR(INDEX(eq_crit,MATCH(B258,eq_code,0))&amp;"","")</f>
        <v/>
      </c>
    </row>
    <row r="259">
      <c r="A259" s="65" t="n"/>
      <c r="B259" s="66" t="n"/>
      <c r="C259" s="67" t="str">
        <f>IF(B259="","",IFERROR(INDEX(eq_des,MATCH(B259,eq_code,0))&amp;"","Équipement inconnu"))</f>
        <v/>
      </c>
      <c r="D259" s="66" t="n"/>
      <c r="E259" s="68" t="n"/>
      <c r="F259" s="69" t="n"/>
      <c r="G259" s="70" t="n"/>
      <c r="H259" s="71" t="n"/>
      <c r="I259" s="66" t="n"/>
      <c r="J259" s="72" t="n"/>
      <c r="K259" s="73" t="n"/>
      <c r="L259" s="68" t="n"/>
      <c r="M259" s="74" t="str">
        <f>IF(AND(A259="",B259="",D259=""),"",MAX(N(J259),IF(A259="",0,SUMPRODUCT(MAX((in_plan=A259)*in_prev*in_dnum)))))</f>
        <v/>
      </c>
      <c r="N259" s="75" t="str">
        <f>IF(AND(A259="",B259="",D259=""),"",MAX(N(K259),IF(A259="",0,SUMPRODUCT(MAX((in_plan=A259)*in_prev*in_cnum)))))</f>
        <v/>
      </c>
      <c r="O259" s="76" t="str">
        <f>IF(AND(OR(E259="Calendrier",E259="Au premier des deux"),N(F259)&gt;0,IF(N(M259)&gt;0,M259,IFERROR(N(INDEX(eq_start,MATCH(B259,eq_code,0))),0))&gt;0),IF(N(M259)&gt;0,M259,IFERROR(N(INDEX(eq_start,MATCH(B259,eq_code,0))),0))+F259,"")</f>
        <v/>
      </c>
      <c r="P259" s="75" t="str">
        <f>IF(AND(OR(E259="Compteur",E259="Au premier des deux"),N(G259)&gt;0),N(N259)+G259,"")</f>
        <v/>
      </c>
      <c r="Q259" s="75" t="str">
        <f>IF(B259="","",IFERROR(N(INDEX(eq_cnt,MATCH(B259,eq_code,0))),""))</f>
        <v/>
      </c>
      <c r="R259" s="77" t="str">
        <f>IF(ISNUMBER(O259),O259-p_today,"")</f>
        <v/>
      </c>
      <c r="S259" s="78" t="str">
        <f>IF(AND(ISNUMBER(P259),N(Q259)&gt;0),P259-Q259,"")</f>
        <v/>
      </c>
      <c r="T259" s="76" t="str">
        <f>IF(AND(ISNUMBER(O259),ISNUMBER(X259)),MIN(O259,X259),IF(ISNUMBER(O259),O259,X259))</f>
        <v/>
      </c>
      <c r="U259" s="79" t="str">
        <f>IF(AND(A259="",B259="",D259=""),"",IF(L259="Non","Inactif",IF(AND(NOT(ISNUMBER(R259)),NOT(ISNUMBER(S259))),"À compléter",IF(OR(AND(ISNUMBER(R259),N(R259)&lt;0),AND(ISNUMBER(S259),N(S259)&lt;0)),"En retard",IF(OR(AND(ISNUMBER(R259),N(R259)&lt;=p_soon),AND(ISNUMBER(S259),N(S259)&lt;=p_soon_pct*N(G259))),"Bientôt","À jour")))))</f>
        <v/>
      </c>
      <c r="V259" s="79" t="str">
        <f>IF(AND(A259="",B259="",D259=""),"",IF(A259="","N° de plan manquant",IF(COUNTIF($A$6:$A$505,A259)&gt;1,"N° de plan en double",IF(B259="","Équipement manquant",IF(ISNA(MATCH(B259,eq_code,0)),"Équipement inconnu",IF(D259="","Tâche manquante",IF(E259="","Déclenchement manquant",IF(AND(E259&lt;&gt;"Calendrier",E259&lt;&gt;"Compteur",E259&lt;&gt;"Au premier des deux"),"Déclenchement inconnu",IF(AND(E259&lt;&gt;"Compteur",OR(NOT(ISNUMBER(F259)),N(F259)&lt;=0)),"Périodicité en jours manquante",IF(AND(E259&lt;&gt;"Calendrier",OR(NOT(ISNUMBER(G259)),N(G259)&lt;=0)),"Périodicité compteur manquante",IF(AND(J259&lt;&gt;"",OR(NOT(ISNUMBER(J259)),N(J259)&lt;=0)),"Date de réalisation invalide",IF(AND(K259&lt;&gt;"",OR(NOT(ISNUMBER(K259)),N(K259)&lt;0)),"Compteur de réalisation invalide",IF(AND(E259&lt;&gt;"Compteur",N(M259)=0,IFERROR(N(INDEX(eq_start,MATCH(B259,eq_code,0))),0)=0),"Date de départ manquante",IF(AND(E259&lt;&gt;"Calendrier",K259="",N(N259)=0),"Compteur de départ manquant",IF(AND(E259&lt;&gt;"Calendrier",N(Q259)=0),"Relevé compteur manquant (Équipements)",IF(AND(I259&lt;&gt;"",ISNA(MATCH(I259,tech_name,0))),"Technicien inconnu",IF(AND(L259&lt;&gt;"",L259&lt;&gt;"Oui",L259&lt;&gt;"Non"),"Actif : Oui ou Non","OK")))))))))))))))))</f>
        <v/>
      </c>
      <c r="W259" s="67">
        <f>IFERROR(N(INDEX(eq_use,MATCH(B259,eq_code,0))),0)</f>
        <v>0.0</v>
      </c>
      <c r="X259" s="67" t="str">
        <f>IF(AND(ISNUMBER(S259),W259&gt;0),p_today+MAX(0,ROUNDUP(S259*7/W259,0)),"")</f>
        <v/>
      </c>
      <c r="Y259" s="67" t="str">
        <f>IF(AND(ISNUMBER(T259),OR(U259="En retard",U259="Bientôt",U259="À jour")),IF(AND(ISNUMBER(O259),ISNUMBER(X259)),MIN(F259,G259*7/W259),IF(ISNUMBER(O259),F259,G259*7/W259)),"")</f>
        <v/>
      </c>
      <c r="Z259" s="67" t="str">
        <f>IF(OR(U259="En retard",U259="Bientôt"),IF(U259="En retard",0,1)*1000000000+IF(AB259="A",0,IF(AB259="B",1,IF(AB259="C",2,3)))*100000000+IF(ISNUMBER(T259),T259,p_today)*1000+ROW()-5,"")</f>
        <v/>
      </c>
      <c r="AA259" s="67" t="str">
        <f>IF(Z259="","",COUNTIF($Z$6:$Z$505,"&lt;"&amp;Z259)+1)</f>
        <v/>
      </c>
      <c r="AB259" s="67" t="str">
        <f>IFERROR(INDEX(eq_crit,MATCH(B259,eq_code,0))&amp;"","")</f>
        <v/>
      </c>
    </row>
    <row r="260">
      <c r="A260" s="65" t="n"/>
      <c r="B260" s="66" t="n"/>
      <c r="C260" s="67" t="str">
        <f>IF(B260="","",IFERROR(INDEX(eq_des,MATCH(B260,eq_code,0))&amp;"","Équipement inconnu"))</f>
        <v/>
      </c>
      <c r="D260" s="66" t="n"/>
      <c r="E260" s="68" t="n"/>
      <c r="F260" s="69" t="n"/>
      <c r="G260" s="70" t="n"/>
      <c r="H260" s="71" t="n"/>
      <c r="I260" s="66" t="n"/>
      <c r="J260" s="72" t="n"/>
      <c r="K260" s="73" t="n"/>
      <c r="L260" s="68" t="n"/>
      <c r="M260" s="74" t="str">
        <f>IF(AND(A260="",B260="",D260=""),"",MAX(N(J260),IF(A260="",0,SUMPRODUCT(MAX((in_plan=A260)*in_prev*in_dnum)))))</f>
        <v/>
      </c>
      <c r="N260" s="75" t="str">
        <f>IF(AND(A260="",B260="",D260=""),"",MAX(N(K260),IF(A260="",0,SUMPRODUCT(MAX((in_plan=A260)*in_prev*in_cnum)))))</f>
        <v/>
      </c>
      <c r="O260" s="76" t="str">
        <f>IF(AND(OR(E260="Calendrier",E260="Au premier des deux"),N(F260)&gt;0,IF(N(M260)&gt;0,M260,IFERROR(N(INDEX(eq_start,MATCH(B260,eq_code,0))),0))&gt;0),IF(N(M260)&gt;0,M260,IFERROR(N(INDEX(eq_start,MATCH(B260,eq_code,0))),0))+F260,"")</f>
        <v/>
      </c>
      <c r="P260" s="75" t="str">
        <f>IF(AND(OR(E260="Compteur",E260="Au premier des deux"),N(G260)&gt;0),N(N260)+G260,"")</f>
        <v/>
      </c>
      <c r="Q260" s="75" t="str">
        <f>IF(B260="","",IFERROR(N(INDEX(eq_cnt,MATCH(B260,eq_code,0))),""))</f>
        <v/>
      </c>
      <c r="R260" s="77" t="str">
        <f>IF(ISNUMBER(O260),O260-p_today,"")</f>
        <v/>
      </c>
      <c r="S260" s="78" t="str">
        <f>IF(AND(ISNUMBER(P260),N(Q260)&gt;0),P260-Q260,"")</f>
        <v/>
      </c>
      <c r="T260" s="76" t="str">
        <f>IF(AND(ISNUMBER(O260),ISNUMBER(X260)),MIN(O260,X260),IF(ISNUMBER(O260),O260,X260))</f>
        <v/>
      </c>
      <c r="U260" s="79" t="str">
        <f>IF(AND(A260="",B260="",D260=""),"",IF(L260="Non","Inactif",IF(AND(NOT(ISNUMBER(R260)),NOT(ISNUMBER(S260))),"À compléter",IF(OR(AND(ISNUMBER(R260),N(R260)&lt;0),AND(ISNUMBER(S260),N(S260)&lt;0)),"En retard",IF(OR(AND(ISNUMBER(R260),N(R260)&lt;=p_soon),AND(ISNUMBER(S260),N(S260)&lt;=p_soon_pct*N(G260))),"Bientôt","À jour")))))</f>
        <v/>
      </c>
      <c r="V260" s="79" t="str">
        <f>IF(AND(A260="",B260="",D260=""),"",IF(A260="","N° de plan manquant",IF(COUNTIF($A$6:$A$505,A260)&gt;1,"N° de plan en double",IF(B260="","Équipement manquant",IF(ISNA(MATCH(B260,eq_code,0)),"Équipement inconnu",IF(D260="","Tâche manquante",IF(E260="","Déclenchement manquant",IF(AND(E260&lt;&gt;"Calendrier",E260&lt;&gt;"Compteur",E260&lt;&gt;"Au premier des deux"),"Déclenchement inconnu",IF(AND(E260&lt;&gt;"Compteur",OR(NOT(ISNUMBER(F260)),N(F260)&lt;=0)),"Périodicité en jours manquante",IF(AND(E260&lt;&gt;"Calendrier",OR(NOT(ISNUMBER(G260)),N(G260)&lt;=0)),"Périodicité compteur manquante",IF(AND(J260&lt;&gt;"",OR(NOT(ISNUMBER(J260)),N(J260)&lt;=0)),"Date de réalisation invalide",IF(AND(K260&lt;&gt;"",OR(NOT(ISNUMBER(K260)),N(K260)&lt;0)),"Compteur de réalisation invalide",IF(AND(E260&lt;&gt;"Compteur",N(M260)=0,IFERROR(N(INDEX(eq_start,MATCH(B260,eq_code,0))),0)=0),"Date de départ manquante",IF(AND(E260&lt;&gt;"Calendrier",K260="",N(N260)=0),"Compteur de départ manquant",IF(AND(E260&lt;&gt;"Calendrier",N(Q260)=0),"Relevé compteur manquant (Équipements)",IF(AND(I260&lt;&gt;"",ISNA(MATCH(I260,tech_name,0))),"Technicien inconnu",IF(AND(L260&lt;&gt;"",L260&lt;&gt;"Oui",L260&lt;&gt;"Non"),"Actif : Oui ou Non","OK")))))))))))))))))</f>
        <v/>
      </c>
      <c r="W260" s="67">
        <f>IFERROR(N(INDEX(eq_use,MATCH(B260,eq_code,0))),0)</f>
        <v>0.0</v>
      </c>
      <c r="X260" s="67" t="str">
        <f>IF(AND(ISNUMBER(S260),W260&gt;0),p_today+MAX(0,ROUNDUP(S260*7/W260,0)),"")</f>
        <v/>
      </c>
      <c r="Y260" s="67" t="str">
        <f>IF(AND(ISNUMBER(T260),OR(U260="En retard",U260="Bientôt",U260="À jour")),IF(AND(ISNUMBER(O260),ISNUMBER(X260)),MIN(F260,G260*7/W260),IF(ISNUMBER(O260),F260,G260*7/W260)),"")</f>
        <v/>
      </c>
      <c r="Z260" s="67" t="str">
        <f>IF(OR(U260="En retard",U260="Bientôt"),IF(U260="En retard",0,1)*1000000000+IF(AB260="A",0,IF(AB260="B",1,IF(AB260="C",2,3)))*100000000+IF(ISNUMBER(T260),T260,p_today)*1000+ROW()-5,"")</f>
        <v/>
      </c>
      <c r="AA260" s="67" t="str">
        <f>IF(Z260="","",COUNTIF($Z$6:$Z$505,"&lt;"&amp;Z260)+1)</f>
        <v/>
      </c>
      <c r="AB260" s="67" t="str">
        <f>IFERROR(INDEX(eq_crit,MATCH(B260,eq_code,0))&amp;"","")</f>
        <v/>
      </c>
    </row>
    <row r="261">
      <c r="A261" s="65" t="n"/>
      <c r="B261" s="66" t="n"/>
      <c r="C261" s="67" t="str">
        <f>IF(B261="","",IFERROR(INDEX(eq_des,MATCH(B261,eq_code,0))&amp;"","Équipement inconnu"))</f>
        <v/>
      </c>
      <c r="D261" s="66" t="n"/>
      <c r="E261" s="68" t="n"/>
      <c r="F261" s="69" t="n"/>
      <c r="G261" s="70" t="n"/>
      <c r="H261" s="71" t="n"/>
      <c r="I261" s="66" t="n"/>
      <c r="J261" s="72" t="n"/>
      <c r="K261" s="73" t="n"/>
      <c r="L261" s="68" t="n"/>
      <c r="M261" s="74" t="str">
        <f>IF(AND(A261="",B261="",D261=""),"",MAX(N(J261),IF(A261="",0,SUMPRODUCT(MAX((in_plan=A261)*in_prev*in_dnum)))))</f>
        <v/>
      </c>
      <c r="N261" s="75" t="str">
        <f>IF(AND(A261="",B261="",D261=""),"",MAX(N(K261),IF(A261="",0,SUMPRODUCT(MAX((in_plan=A261)*in_prev*in_cnum)))))</f>
        <v/>
      </c>
      <c r="O261" s="76" t="str">
        <f>IF(AND(OR(E261="Calendrier",E261="Au premier des deux"),N(F261)&gt;0,IF(N(M261)&gt;0,M261,IFERROR(N(INDEX(eq_start,MATCH(B261,eq_code,0))),0))&gt;0),IF(N(M261)&gt;0,M261,IFERROR(N(INDEX(eq_start,MATCH(B261,eq_code,0))),0))+F261,"")</f>
        <v/>
      </c>
      <c r="P261" s="75" t="str">
        <f>IF(AND(OR(E261="Compteur",E261="Au premier des deux"),N(G261)&gt;0),N(N261)+G261,"")</f>
        <v/>
      </c>
      <c r="Q261" s="75" t="str">
        <f>IF(B261="","",IFERROR(N(INDEX(eq_cnt,MATCH(B261,eq_code,0))),""))</f>
        <v/>
      </c>
      <c r="R261" s="77" t="str">
        <f>IF(ISNUMBER(O261),O261-p_today,"")</f>
        <v/>
      </c>
      <c r="S261" s="78" t="str">
        <f>IF(AND(ISNUMBER(P261),N(Q261)&gt;0),P261-Q261,"")</f>
        <v/>
      </c>
      <c r="T261" s="76" t="str">
        <f>IF(AND(ISNUMBER(O261),ISNUMBER(X261)),MIN(O261,X261),IF(ISNUMBER(O261),O261,X261))</f>
        <v/>
      </c>
      <c r="U261" s="79" t="str">
        <f>IF(AND(A261="",B261="",D261=""),"",IF(L261="Non","Inactif",IF(AND(NOT(ISNUMBER(R261)),NOT(ISNUMBER(S261))),"À compléter",IF(OR(AND(ISNUMBER(R261),N(R261)&lt;0),AND(ISNUMBER(S261),N(S261)&lt;0)),"En retard",IF(OR(AND(ISNUMBER(R261),N(R261)&lt;=p_soon),AND(ISNUMBER(S261),N(S261)&lt;=p_soon_pct*N(G261))),"Bientôt","À jour")))))</f>
        <v/>
      </c>
      <c r="V261" s="79" t="str">
        <f>IF(AND(A261="",B261="",D261=""),"",IF(A261="","N° de plan manquant",IF(COUNTIF($A$6:$A$505,A261)&gt;1,"N° de plan en double",IF(B261="","Équipement manquant",IF(ISNA(MATCH(B261,eq_code,0)),"Équipement inconnu",IF(D261="","Tâche manquante",IF(E261="","Déclenchement manquant",IF(AND(E261&lt;&gt;"Calendrier",E261&lt;&gt;"Compteur",E261&lt;&gt;"Au premier des deux"),"Déclenchement inconnu",IF(AND(E261&lt;&gt;"Compteur",OR(NOT(ISNUMBER(F261)),N(F261)&lt;=0)),"Périodicité en jours manquante",IF(AND(E261&lt;&gt;"Calendrier",OR(NOT(ISNUMBER(G261)),N(G261)&lt;=0)),"Périodicité compteur manquante",IF(AND(J261&lt;&gt;"",OR(NOT(ISNUMBER(J261)),N(J261)&lt;=0)),"Date de réalisation invalide",IF(AND(K261&lt;&gt;"",OR(NOT(ISNUMBER(K261)),N(K261)&lt;0)),"Compteur de réalisation invalide",IF(AND(E261&lt;&gt;"Compteur",N(M261)=0,IFERROR(N(INDEX(eq_start,MATCH(B261,eq_code,0))),0)=0),"Date de départ manquante",IF(AND(E261&lt;&gt;"Calendrier",K261="",N(N261)=0),"Compteur de départ manquant",IF(AND(E261&lt;&gt;"Calendrier",N(Q261)=0),"Relevé compteur manquant (Équipements)",IF(AND(I261&lt;&gt;"",ISNA(MATCH(I261,tech_name,0))),"Technicien inconnu",IF(AND(L261&lt;&gt;"",L261&lt;&gt;"Oui",L261&lt;&gt;"Non"),"Actif : Oui ou Non","OK")))))))))))))))))</f>
        <v/>
      </c>
      <c r="W261" s="67">
        <f>IFERROR(N(INDEX(eq_use,MATCH(B261,eq_code,0))),0)</f>
        <v>0.0</v>
      </c>
      <c r="X261" s="67" t="str">
        <f>IF(AND(ISNUMBER(S261),W261&gt;0),p_today+MAX(0,ROUNDUP(S261*7/W261,0)),"")</f>
        <v/>
      </c>
      <c r="Y261" s="67" t="str">
        <f>IF(AND(ISNUMBER(T261),OR(U261="En retard",U261="Bientôt",U261="À jour")),IF(AND(ISNUMBER(O261),ISNUMBER(X261)),MIN(F261,G261*7/W261),IF(ISNUMBER(O261),F261,G261*7/W261)),"")</f>
        <v/>
      </c>
      <c r="Z261" s="67" t="str">
        <f>IF(OR(U261="En retard",U261="Bientôt"),IF(U261="En retard",0,1)*1000000000+IF(AB261="A",0,IF(AB261="B",1,IF(AB261="C",2,3)))*100000000+IF(ISNUMBER(T261),T261,p_today)*1000+ROW()-5,"")</f>
        <v/>
      </c>
      <c r="AA261" s="67" t="str">
        <f>IF(Z261="","",COUNTIF($Z$6:$Z$505,"&lt;"&amp;Z261)+1)</f>
        <v/>
      </c>
      <c r="AB261" s="67" t="str">
        <f>IFERROR(INDEX(eq_crit,MATCH(B261,eq_code,0))&amp;"","")</f>
        <v/>
      </c>
    </row>
    <row r="262">
      <c r="A262" s="65" t="n"/>
      <c r="B262" s="66" t="n"/>
      <c r="C262" s="67" t="str">
        <f>IF(B262="","",IFERROR(INDEX(eq_des,MATCH(B262,eq_code,0))&amp;"","Équipement inconnu"))</f>
        <v/>
      </c>
      <c r="D262" s="66" t="n"/>
      <c r="E262" s="68" t="n"/>
      <c r="F262" s="69" t="n"/>
      <c r="G262" s="70" t="n"/>
      <c r="H262" s="71" t="n"/>
      <c r="I262" s="66" t="n"/>
      <c r="J262" s="72" t="n"/>
      <c r="K262" s="73" t="n"/>
      <c r="L262" s="68" t="n"/>
      <c r="M262" s="74" t="str">
        <f>IF(AND(A262="",B262="",D262=""),"",MAX(N(J262),IF(A262="",0,SUMPRODUCT(MAX((in_plan=A262)*in_prev*in_dnum)))))</f>
        <v/>
      </c>
      <c r="N262" s="75" t="str">
        <f>IF(AND(A262="",B262="",D262=""),"",MAX(N(K262),IF(A262="",0,SUMPRODUCT(MAX((in_plan=A262)*in_prev*in_cnum)))))</f>
        <v/>
      </c>
      <c r="O262" s="76" t="str">
        <f>IF(AND(OR(E262="Calendrier",E262="Au premier des deux"),N(F262)&gt;0,IF(N(M262)&gt;0,M262,IFERROR(N(INDEX(eq_start,MATCH(B262,eq_code,0))),0))&gt;0),IF(N(M262)&gt;0,M262,IFERROR(N(INDEX(eq_start,MATCH(B262,eq_code,0))),0))+F262,"")</f>
        <v/>
      </c>
      <c r="P262" s="75" t="str">
        <f>IF(AND(OR(E262="Compteur",E262="Au premier des deux"),N(G262)&gt;0),N(N262)+G262,"")</f>
        <v/>
      </c>
      <c r="Q262" s="75" t="str">
        <f>IF(B262="","",IFERROR(N(INDEX(eq_cnt,MATCH(B262,eq_code,0))),""))</f>
        <v/>
      </c>
      <c r="R262" s="77" t="str">
        <f>IF(ISNUMBER(O262),O262-p_today,"")</f>
        <v/>
      </c>
      <c r="S262" s="78" t="str">
        <f>IF(AND(ISNUMBER(P262),N(Q262)&gt;0),P262-Q262,"")</f>
        <v/>
      </c>
      <c r="T262" s="76" t="str">
        <f>IF(AND(ISNUMBER(O262),ISNUMBER(X262)),MIN(O262,X262),IF(ISNUMBER(O262),O262,X262))</f>
        <v/>
      </c>
      <c r="U262" s="79" t="str">
        <f>IF(AND(A262="",B262="",D262=""),"",IF(L262="Non","Inactif",IF(AND(NOT(ISNUMBER(R262)),NOT(ISNUMBER(S262))),"À compléter",IF(OR(AND(ISNUMBER(R262),N(R262)&lt;0),AND(ISNUMBER(S262),N(S262)&lt;0)),"En retard",IF(OR(AND(ISNUMBER(R262),N(R262)&lt;=p_soon),AND(ISNUMBER(S262),N(S262)&lt;=p_soon_pct*N(G262))),"Bientôt","À jour")))))</f>
        <v/>
      </c>
      <c r="V262" s="79" t="str">
        <f>IF(AND(A262="",B262="",D262=""),"",IF(A262="","N° de plan manquant",IF(COUNTIF($A$6:$A$505,A262)&gt;1,"N° de plan en double",IF(B262="","Équipement manquant",IF(ISNA(MATCH(B262,eq_code,0)),"Équipement inconnu",IF(D262="","Tâche manquante",IF(E262="","Déclenchement manquant",IF(AND(E262&lt;&gt;"Calendrier",E262&lt;&gt;"Compteur",E262&lt;&gt;"Au premier des deux"),"Déclenchement inconnu",IF(AND(E262&lt;&gt;"Compteur",OR(NOT(ISNUMBER(F262)),N(F262)&lt;=0)),"Périodicité en jours manquante",IF(AND(E262&lt;&gt;"Calendrier",OR(NOT(ISNUMBER(G262)),N(G262)&lt;=0)),"Périodicité compteur manquante",IF(AND(J262&lt;&gt;"",OR(NOT(ISNUMBER(J262)),N(J262)&lt;=0)),"Date de réalisation invalide",IF(AND(K262&lt;&gt;"",OR(NOT(ISNUMBER(K262)),N(K262)&lt;0)),"Compteur de réalisation invalide",IF(AND(E262&lt;&gt;"Compteur",N(M262)=0,IFERROR(N(INDEX(eq_start,MATCH(B262,eq_code,0))),0)=0),"Date de départ manquante",IF(AND(E262&lt;&gt;"Calendrier",K262="",N(N262)=0),"Compteur de départ manquant",IF(AND(E262&lt;&gt;"Calendrier",N(Q262)=0),"Relevé compteur manquant (Équipements)",IF(AND(I262&lt;&gt;"",ISNA(MATCH(I262,tech_name,0))),"Technicien inconnu",IF(AND(L262&lt;&gt;"",L262&lt;&gt;"Oui",L262&lt;&gt;"Non"),"Actif : Oui ou Non","OK")))))))))))))))))</f>
        <v/>
      </c>
      <c r="W262" s="67">
        <f>IFERROR(N(INDEX(eq_use,MATCH(B262,eq_code,0))),0)</f>
        <v>0.0</v>
      </c>
      <c r="X262" s="67" t="str">
        <f>IF(AND(ISNUMBER(S262),W262&gt;0),p_today+MAX(0,ROUNDUP(S262*7/W262,0)),"")</f>
        <v/>
      </c>
      <c r="Y262" s="67" t="str">
        <f>IF(AND(ISNUMBER(T262),OR(U262="En retard",U262="Bientôt",U262="À jour")),IF(AND(ISNUMBER(O262),ISNUMBER(X262)),MIN(F262,G262*7/W262),IF(ISNUMBER(O262),F262,G262*7/W262)),"")</f>
        <v/>
      </c>
      <c r="Z262" s="67" t="str">
        <f>IF(OR(U262="En retard",U262="Bientôt"),IF(U262="En retard",0,1)*1000000000+IF(AB262="A",0,IF(AB262="B",1,IF(AB262="C",2,3)))*100000000+IF(ISNUMBER(T262),T262,p_today)*1000+ROW()-5,"")</f>
        <v/>
      </c>
      <c r="AA262" s="67" t="str">
        <f>IF(Z262="","",COUNTIF($Z$6:$Z$505,"&lt;"&amp;Z262)+1)</f>
        <v/>
      </c>
      <c r="AB262" s="67" t="str">
        <f>IFERROR(INDEX(eq_crit,MATCH(B262,eq_code,0))&amp;"","")</f>
        <v/>
      </c>
    </row>
    <row r="263">
      <c r="A263" s="65" t="n"/>
      <c r="B263" s="66" t="n"/>
      <c r="C263" s="67" t="str">
        <f>IF(B263="","",IFERROR(INDEX(eq_des,MATCH(B263,eq_code,0))&amp;"","Équipement inconnu"))</f>
        <v/>
      </c>
      <c r="D263" s="66" t="n"/>
      <c r="E263" s="68" t="n"/>
      <c r="F263" s="69" t="n"/>
      <c r="G263" s="70" t="n"/>
      <c r="H263" s="71" t="n"/>
      <c r="I263" s="66" t="n"/>
      <c r="J263" s="72" t="n"/>
      <c r="K263" s="73" t="n"/>
      <c r="L263" s="68" t="n"/>
      <c r="M263" s="74" t="str">
        <f>IF(AND(A263="",B263="",D263=""),"",MAX(N(J263),IF(A263="",0,SUMPRODUCT(MAX((in_plan=A263)*in_prev*in_dnum)))))</f>
        <v/>
      </c>
      <c r="N263" s="75" t="str">
        <f>IF(AND(A263="",B263="",D263=""),"",MAX(N(K263),IF(A263="",0,SUMPRODUCT(MAX((in_plan=A263)*in_prev*in_cnum)))))</f>
        <v/>
      </c>
      <c r="O263" s="76" t="str">
        <f>IF(AND(OR(E263="Calendrier",E263="Au premier des deux"),N(F263)&gt;0,IF(N(M263)&gt;0,M263,IFERROR(N(INDEX(eq_start,MATCH(B263,eq_code,0))),0))&gt;0),IF(N(M263)&gt;0,M263,IFERROR(N(INDEX(eq_start,MATCH(B263,eq_code,0))),0))+F263,"")</f>
        <v/>
      </c>
      <c r="P263" s="75" t="str">
        <f>IF(AND(OR(E263="Compteur",E263="Au premier des deux"),N(G263)&gt;0),N(N263)+G263,"")</f>
        <v/>
      </c>
      <c r="Q263" s="75" t="str">
        <f>IF(B263="","",IFERROR(N(INDEX(eq_cnt,MATCH(B263,eq_code,0))),""))</f>
        <v/>
      </c>
      <c r="R263" s="77" t="str">
        <f>IF(ISNUMBER(O263),O263-p_today,"")</f>
        <v/>
      </c>
      <c r="S263" s="78" t="str">
        <f>IF(AND(ISNUMBER(P263),N(Q263)&gt;0),P263-Q263,"")</f>
        <v/>
      </c>
      <c r="T263" s="76" t="str">
        <f>IF(AND(ISNUMBER(O263),ISNUMBER(X263)),MIN(O263,X263),IF(ISNUMBER(O263),O263,X263))</f>
        <v/>
      </c>
      <c r="U263" s="79" t="str">
        <f>IF(AND(A263="",B263="",D263=""),"",IF(L263="Non","Inactif",IF(AND(NOT(ISNUMBER(R263)),NOT(ISNUMBER(S263))),"À compléter",IF(OR(AND(ISNUMBER(R263),N(R263)&lt;0),AND(ISNUMBER(S263),N(S263)&lt;0)),"En retard",IF(OR(AND(ISNUMBER(R263),N(R263)&lt;=p_soon),AND(ISNUMBER(S263),N(S263)&lt;=p_soon_pct*N(G263))),"Bientôt","À jour")))))</f>
        <v/>
      </c>
      <c r="V263" s="79" t="str">
        <f>IF(AND(A263="",B263="",D263=""),"",IF(A263="","N° de plan manquant",IF(COUNTIF($A$6:$A$505,A263)&gt;1,"N° de plan en double",IF(B263="","Équipement manquant",IF(ISNA(MATCH(B263,eq_code,0)),"Équipement inconnu",IF(D263="","Tâche manquante",IF(E263="","Déclenchement manquant",IF(AND(E263&lt;&gt;"Calendrier",E263&lt;&gt;"Compteur",E263&lt;&gt;"Au premier des deux"),"Déclenchement inconnu",IF(AND(E263&lt;&gt;"Compteur",OR(NOT(ISNUMBER(F263)),N(F263)&lt;=0)),"Périodicité en jours manquante",IF(AND(E263&lt;&gt;"Calendrier",OR(NOT(ISNUMBER(G263)),N(G263)&lt;=0)),"Périodicité compteur manquante",IF(AND(J263&lt;&gt;"",OR(NOT(ISNUMBER(J263)),N(J263)&lt;=0)),"Date de réalisation invalide",IF(AND(K263&lt;&gt;"",OR(NOT(ISNUMBER(K263)),N(K263)&lt;0)),"Compteur de réalisation invalide",IF(AND(E263&lt;&gt;"Compteur",N(M263)=0,IFERROR(N(INDEX(eq_start,MATCH(B263,eq_code,0))),0)=0),"Date de départ manquante",IF(AND(E263&lt;&gt;"Calendrier",K263="",N(N263)=0),"Compteur de départ manquant",IF(AND(E263&lt;&gt;"Calendrier",N(Q263)=0),"Relevé compteur manquant (Équipements)",IF(AND(I263&lt;&gt;"",ISNA(MATCH(I263,tech_name,0))),"Technicien inconnu",IF(AND(L263&lt;&gt;"",L263&lt;&gt;"Oui",L263&lt;&gt;"Non"),"Actif : Oui ou Non","OK")))))))))))))))))</f>
        <v/>
      </c>
      <c r="W263" s="67">
        <f>IFERROR(N(INDEX(eq_use,MATCH(B263,eq_code,0))),0)</f>
        <v>0.0</v>
      </c>
      <c r="X263" s="67" t="str">
        <f>IF(AND(ISNUMBER(S263),W263&gt;0),p_today+MAX(0,ROUNDUP(S263*7/W263,0)),"")</f>
        <v/>
      </c>
      <c r="Y263" s="67" t="str">
        <f>IF(AND(ISNUMBER(T263),OR(U263="En retard",U263="Bientôt",U263="À jour")),IF(AND(ISNUMBER(O263),ISNUMBER(X263)),MIN(F263,G263*7/W263),IF(ISNUMBER(O263),F263,G263*7/W263)),"")</f>
        <v/>
      </c>
      <c r="Z263" s="67" t="str">
        <f>IF(OR(U263="En retard",U263="Bientôt"),IF(U263="En retard",0,1)*1000000000+IF(AB263="A",0,IF(AB263="B",1,IF(AB263="C",2,3)))*100000000+IF(ISNUMBER(T263),T263,p_today)*1000+ROW()-5,"")</f>
        <v/>
      </c>
      <c r="AA263" s="67" t="str">
        <f>IF(Z263="","",COUNTIF($Z$6:$Z$505,"&lt;"&amp;Z263)+1)</f>
        <v/>
      </c>
      <c r="AB263" s="67" t="str">
        <f>IFERROR(INDEX(eq_crit,MATCH(B263,eq_code,0))&amp;"","")</f>
        <v/>
      </c>
    </row>
    <row r="264">
      <c r="A264" s="65" t="n"/>
      <c r="B264" s="66" t="n"/>
      <c r="C264" s="67" t="str">
        <f>IF(B264="","",IFERROR(INDEX(eq_des,MATCH(B264,eq_code,0))&amp;"","Équipement inconnu"))</f>
        <v/>
      </c>
      <c r="D264" s="66" t="n"/>
      <c r="E264" s="68" t="n"/>
      <c r="F264" s="69" t="n"/>
      <c r="G264" s="70" t="n"/>
      <c r="H264" s="71" t="n"/>
      <c r="I264" s="66" t="n"/>
      <c r="J264" s="72" t="n"/>
      <c r="K264" s="73" t="n"/>
      <c r="L264" s="68" t="n"/>
      <c r="M264" s="74" t="str">
        <f>IF(AND(A264="",B264="",D264=""),"",MAX(N(J264),IF(A264="",0,SUMPRODUCT(MAX((in_plan=A264)*in_prev*in_dnum)))))</f>
        <v/>
      </c>
      <c r="N264" s="75" t="str">
        <f>IF(AND(A264="",B264="",D264=""),"",MAX(N(K264),IF(A264="",0,SUMPRODUCT(MAX((in_plan=A264)*in_prev*in_cnum)))))</f>
        <v/>
      </c>
      <c r="O264" s="76" t="str">
        <f>IF(AND(OR(E264="Calendrier",E264="Au premier des deux"),N(F264)&gt;0,IF(N(M264)&gt;0,M264,IFERROR(N(INDEX(eq_start,MATCH(B264,eq_code,0))),0))&gt;0),IF(N(M264)&gt;0,M264,IFERROR(N(INDEX(eq_start,MATCH(B264,eq_code,0))),0))+F264,"")</f>
        <v/>
      </c>
      <c r="P264" s="75" t="str">
        <f>IF(AND(OR(E264="Compteur",E264="Au premier des deux"),N(G264)&gt;0),N(N264)+G264,"")</f>
        <v/>
      </c>
      <c r="Q264" s="75" t="str">
        <f>IF(B264="","",IFERROR(N(INDEX(eq_cnt,MATCH(B264,eq_code,0))),""))</f>
        <v/>
      </c>
      <c r="R264" s="77" t="str">
        <f>IF(ISNUMBER(O264),O264-p_today,"")</f>
        <v/>
      </c>
      <c r="S264" s="78" t="str">
        <f>IF(AND(ISNUMBER(P264),N(Q264)&gt;0),P264-Q264,"")</f>
        <v/>
      </c>
      <c r="T264" s="76" t="str">
        <f>IF(AND(ISNUMBER(O264),ISNUMBER(X264)),MIN(O264,X264),IF(ISNUMBER(O264),O264,X264))</f>
        <v/>
      </c>
      <c r="U264" s="79" t="str">
        <f>IF(AND(A264="",B264="",D264=""),"",IF(L264="Non","Inactif",IF(AND(NOT(ISNUMBER(R264)),NOT(ISNUMBER(S264))),"À compléter",IF(OR(AND(ISNUMBER(R264),N(R264)&lt;0),AND(ISNUMBER(S264),N(S264)&lt;0)),"En retard",IF(OR(AND(ISNUMBER(R264),N(R264)&lt;=p_soon),AND(ISNUMBER(S264),N(S264)&lt;=p_soon_pct*N(G264))),"Bientôt","À jour")))))</f>
        <v/>
      </c>
      <c r="V264" s="79" t="str">
        <f>IF(AND(A264="",B264="",D264=""),"",IF(A264="","N° de plan manquant",IF(COUNTIF($A$6:$A$505,A264)&gt;1,"N° de plan en double",IF(B264="","Équipement manquant",IF(ISNA(MATCH(B264,eq_code,0)),"Équipement inconnu",IF(D264="","Tâche manquante",IF(E264="","Déclenchement manquant",IF(AND(E264&lt;&gt;"Calendrier",E264&lt;&gt;"Compteur",E264&lt;&gt;"Au premier des deux"),"Déclenchement inconnu",IF(AND(E264&lt;&gt;"Compteur",OR(NOT(ISNUMBER(F264)),N(F264)&lt;=0)),"Périodicité en jours manquante",IF(AND(E264&lt;&gt;"Calendrier",OR(NOT(ISNUMBER(G264)),N(G264)&lt;=0)),"Périodicité compteur manquante",IF(AND(J264&lt;&gt;"",OR(NOT(ISNUMBER(J264)),N(J264)&lt;=0)),"Date de réalisation invalide",IF(AND(K264&lt;&gt;"",OR(NOT(ISNUMBER(K264)),N(K264)&lt;0)),"Compteur de réalisation invalide",IF(AND(E264&lt;&gt;"Compteur",N(M264)=0,IFERROR(N(INDEX(eq_start,MATCH(B264,eq_code,0))),0)=0),"Date de départ manquante",IF(AND(E264&lt;&gt;"Calendrier",K264="",N(N264)=0),"Compteur de départ manquant",IF(AND(E264&lt;&gt;"Calendrier",N(Q264)=0),"Relevé compteur manquant (Équipements)",IF(AND(I264&lt;&gt;"",ISNA(MATCH(I264,tech_name,0))),"Technicien inconnu",IF(AND(L264&lt;&gt;"",L264&lt;&gt;"Oui",L264&lt;&gt;"Non"),"Actif : Oui ou Non","OK")))))))))))))))))</f>
        <v/>
      </c>
      <c r="W264" s="67">
        <f>IFERROR(N(INDEX(eq_use,MATCH(B264,eq_code,0))),0)</f>
        <v>0.0</v>
      </c>
      <c r="X264" s="67" t="str">
        <f>IF(AND(ISNUMBER(S264),W264&gt;0),p_today+MAX(0,ROUNDUP(S264*7/W264,0)),"")</f>
        <v/>
      </c>
      <c r="Y264" s="67" t="str">
        <f>IF(AND(ISNUMBER(T264),OR(U264="En retard",U264="Bientôt",U264="À jour")),IF(AND(ISNUMBER(O264),ISNUMBER(X264)),MIN(F264,G264*7/W264),IF(ISNUMBER(O264),F264,G264*7/W264)),"")</f>
        <v/>
      </c>
      <c r="Z264" s="67" t="str">
        <f>IF(OR(U264="En retard",U264="Bientôt"),IF(U264="En retard",0,1)*1000000000+IF(AB264="A",0,IF(AB264="B",1,IF(AB264="C",2,3)))*100000000+IF(ISNUMBER(T264),T264,p_today)*1000+ROW()-5,"")</f>
        <v/>
      </c>
      <c r="AA264" s="67" t="str">
        <f>IF(Z264="","",COUNTIF($Z$6:$Z$505,"&lt;"&amp;Z264)+1)</f>
        <v/>
      </c>
      <c r="AB264" s="67" t="str">
        <f>IFERROR(INDEX(eq_crit,MATCH(B264,eq_code,0))&amp;"","")</f>
        <v/>
      </c>
    </row>
    <row r="265">
      <c r="A265" s="65" t="n"/>
      <c r="B265" s="66" t="n"/>
      <c r="C265" s="67" t="str">
        <f>IF(B265="","",IFERROR(INDEX(eq_des,MATCH(B265,eq_code,0))&amp;"","Équipement inconnu"))</f>
        <v/>
      </c>
      <c r="D265" s="66" t="n"/>
      <c r="E265" s="68" t="n"/>
      <c r="F265" s="69" t="n"/>
      <c r="G265" s="70" t="n"/>
      <c r="H265" s="71" t="n"/>
      <c r="I265" s="66" t="n"/>
      <c r="J265" s="72" t="n"/>
      <c r="K265" s="73" t="n"/>
      <c r="L265" s="68" t="n"/>
      <c r="M265" s="74" t="str">
        <f>IF(AND(A265="",B265="",D265=""),"",MAX(N(J265),IF(A265="",0,SUMPRODUCT(MAX((in_plan=A265)*in_prev*in_dnum)))))</f>
        <v/>
      </c>
      <c r="N265" s="75" t="str">
        <f>IF(AND(A265="",B265="",D265=""),"",MAX(N(K265),IF(A265="",0,SUMPRODUCT(MAX((in_plan=A265)*in_prev*in_cnum)))))</f>
        <v/>
      </c>
      <c r="O265" s="76" t="str">
        <f>IF(AND(OR(E265="Calendrier",E265="Au premier des deux"),N(F265)&gt;0,IF(N(M265)&gt;0,M265,IFERROR(N(INDEX(eq_start,MATCH(B265,eq_code,0))),0))&gt;0),IF(N(M265)&gt;0,M265,IFERROR(N(INDEX(eq_start,MATCH(B265,eq_code,0))),0))+F265,"")</f>
        <v/>
      </c>
      <c r="P265" s="75" t="str">
        <f>IF(AND(OR(E265="Compteur",E265="Au premier des deux"),N(G265)&gt;0),N(N265)+G265,"")</f>
        <v/>
      </c>
      <c r="Q265" s="75" t="str">
        <f>IF(B265="","",IFERROR(N(INDEX(eq_cnt,MATCH(B265,eq_code,0))),""))</f>
        <v/>
      </c>
      <c r="R265" s="77" t="str">
        <f>IF(ISNUMBER(O265),O265-p_today,"")</f>
        <v/>
      </c>
      <c r="S265" s="78" t="str">
        <f>IF(AND(ISNUMBER(P265),N(Q265)&gt;0),P265-Q265,"")</f>
        <v/>
      </c>
      <c r="T265" s="76" t="str">
        <f>IF(AND(ISNUMBER(O265),ISNUMBER(X265)),MIN(O265,X265),IF(ISNUMBER(O265),O265,X265))</f>
        <v/>
      </c>
      <c r="U265" s="79" t="str">
        <f>IF(AND(A265="",B265="",D265=""),"",IF(L265="Non","Inactif",IF(AND(NOT(ISNUMBER(R265)),NOT(ISNUMBER(S265))),"À compléter",IF(OR(AND(ISNUMBER(R265),N(R265)&lt;0),AND(ISNUMBER(S265),N(S265)&lt;0)),"En retard",IF(OR(AND(ISNUMBER(R265),N(R265)&lt;=p_soon),AND(ISNUMBER(S265),N(S265)&lt;=p_soon_pct*N(G265))),"Bientôt","À jour")))))</f>
        <v/>
      </c>
      <c r="V265" s="79" t="str">
        <f>IF(AND(A265="",B265="",D265=""),"",IF(A265="","N° de plan manquant",IF(COUNTIF($A$6:$A$505,A265)&gt;1,"N° de plan en double",IF(B265="","Équipement manquant",IF(ISNA(MATCH(B265,eq_code,0)),"Équipement inconnu",IF(D265="","Tâche manquante",IF(E265="","Déclenchement manquant",IF(AND(E265&lt;&gt;"Calendrier",E265&lt;&gt;"Compteur",E265&lt;&gt;"Au premier des deux"),"Déclenchement inconnu",IF(AND(E265&lt;&gt;"Compteur",OR(NOT(ISNUMBER(F265)),N(F265)&lt;=0)),"Périodicité en jours manquante",IF(AND(E265&lt;&gt;"Calendrier",OR(NOT(ISNUMBER(G265)),N(G265)&lt;=0)),"Périodicité compteur manquante",IF(AND(J265&lt;&gt;"",OR(NOT(ISNUMBER(J265)),N(J265)&lt;=0)),"Date de réalisation invalide",IF(AND(K265&lt;&gt;"",OR(NOT(ISNUMBER(K265)),N(K265)&lt;0)),"Compteur de réalisation invalide",IF(AND(E265&lt;&gt;"Compteur",N(M265)=0,IFERROR(N(INDEX(eq_start,MATCH(B265,eq_code,0))),0)=0),"Date de départ manquante",IF(AND(E265&lt;&gt;"Calendrier",K265="",N(N265)=0),"Compteur de départ manquant",IF(AND(E265&lt;&gt;"Calendrier",N(Q265)=0),"Relevé compteur manquant (Équipements)",IF(AND(I265&lt;&gt;"",ISNA(MATCH(I265,tech_name,0))),"Technicien inconnu",IF(AND(L265&lt;&gt;"",L265&lt;&gt;"Oui",L265&lt;&gt;"Non"),"Actif : Oui ou Non","OK")))))))))))))))))</f>
        <v/>
      </c>
      <c r="W265" s="67">
        <f>IFERROR(N(INDEX(eq_use,MATCH(B265,eq_code,0))),0)</f>
        <v>0.0</v>
      </c>
      <c r="X265" s="67" t="str">
        <f>IF(AND(ISNUMBER(S265),W265&gt;0),p_today+MAX(0,ROUNDUP(S265*7/W265,0)),"")</f>
        <v/>
      </c>
      <c r="Y265" s="67" t="str">
        <f>IF(AND(ISNUMBER(T265),OR(U265="En retard",U265="Bientôt",U265="À jour")),IF(AND(ISNUMBER(O265),ISNUMBER(X265)),MIN(F265,G265*7/W265),IF(ISNUMBER(O265),F265,G265*7/W265)),"")</f>
        <v/>
      </c>
      <c r="Z265" s="67" t="str">
        <f>IF(OR(U265="En retard",U265="Bientôt"),IF(U265="En retard",0,1)*1000000000+IF(AB265="A",0,IF(AB265="B",1,IF(AB265="C",2,3)))*100000000+IF(ISNUMBER(T265),T265,p_today)*1000+ROW()-5,"")</f>
        <v/>
      </c>
      <c r="AA265" s="67" t="str">
        <f>IF(Z265="","",COUNTIF($Z$6:$Z$505,"&lt;"&amp;Z265)+1)</f>
        <v/>
      </c>
      <c r="AB265" s="67" t="str">
        <f>IFERROR(INDEX(eq_crit,MATCH(B265,eq_code,0))&amp;"","")</f>
        <v/>
      </c>
    </row>
    <row r="266">
      <c r="A266" s="65" t="n"/>
      <c r="B266" s="66" t="n"/>
      <c r="C266" s="67" t="str">
        <f>IF(B266="","",IFERROR(INDEX(eq_des,MATCH(B266,eq_code,0))&amp;"","Équipement inconnu"))</f>
        <v/>
      </c>
      <c r="D266" s="66" t="n"/>
      <c r="E266" s="68" t="n"/>
      <c r="F266" s="69" t="n"/>
      <c r="G266" s="70" t="n"/>
      <c r="H266" s="71" t="n"/>
      <c r="I266" s="66" t="n"/>
      <c r="J266" s="72" t="n"/>
      <c r="K266" s="73" t="n"/>
      <c r="L266" s="68" t="n"/>
      <c r="M266" s="74" t="str">
        <f>IF(AND(A266="",B266="",D266=""),"",MAX(N(J266),IF(A266="",0,SUMPRODUCT(MAX((in_plan=A266)*in_prev*in_dnum)))))</f>
        <v/>
      </c>
      <c r="N266" s="75" t="str">
        <f>IF(AND(A266="",B266="",D266=""),"",MAX(N(K266),IF(A266="",0,SUMPRODUCT(MAX((in_plan=A266)*in_prev*in_cnum)))))</f>
        <v/>
      </c>
      <c r="O266" s="76" t="str">
        <f>IF(AND(OR(E266="Calendrier",E266="Au premier des deux"),N(F266)&gt;0,IF(N(M266)&gt;0,M266,IFERROR(N(INDEX(eq_start,MATCH(B266,eq_code,0))),0))&gt;0),IF(N(M266)&gt;0,M266,IFERROR(N(INDEX(eq_start,MATCH(B266,eq_code,0))),0))+F266,"")</f>
        <v/>
      </c>
      <c r="P266" s="75" t="str">
        <f>IF(AND(OR(E266="Compteur",E266="Au premier des deux"),N(G266)&gt;0),N(N266)+G266,"")</f>
        <v/>
      </c>
      <c r="Q266" s="75" t="str">
        <f>IF(B266="","",IFERROR(N(INDEX(eq_cnt,MATCH(B266,eq_code,0))),""))</f>
        <v/>
      </c>
      <c r="R266" s="77" t="str">
        <f>IF(ISNUMBER(O266),O266-p_today,"")</f>
        <v/>
      </c>
      <c r="S266" s="78" t="str">
        <f>IF(AND(ISNUMBER(P266),N(Q266)&gt;0),P266-Q266,"")</f>
        <v/>
      </c>
      <c r="T266" s="76" t="str">
        <f>IF(AND(ISNUMBER(O266),ISNUMBER(X266)),MIN(O266,X266),IF(ISNUMBER(O266),O266,X266))</f>
        <v/>
      </c>
      <c r="U266" s="79" t="str">
        <f>IF(AND(A266="",B266="",D266=""),"",IF(L266="Non","Inactif",IF(AND(NOT(ISNUMBER(R266)),NOT(ISNUMBER(S266))),"À compléter",IF(OR(AND(ISNUMBER(R266),N(R266)&lt;0),AND(ISNUMBER(S266),N(S266)&lt;0)),"En retard",IF(OR(AND(ISNUMBER(R266),N(R266)&lt;=p_soon),AND(ISNUMBER(S266),N(S266)&lt;=p_soon_pct*N(G266))),"Bientôt","À jour")))))</f>
        <v/>
      </c>
      <c r="V266" s="79" t="str">
        <f>IF(AND(A266="",B266="",D266=""),"",IF(A266="","N° de plan manquant",IF(COUNTIF($A$6:$A$505,A266)&gt;1,"N° de plan en double",IF(B266="","Équipement manquant",IF(ISNA(MATCH(B266,eq_code,0)),"Équipement inconnu",IF(D266="","Tâche manquante",IF(E266="","Déclenchement manquant",IF(AND(E266&lt;&gt;"Calendrier",E266&lt;&gt;"Compteur",E266&lt;&gt;"Au premier des deux"),"Déclenchement inconnu",IF(AND(E266&lt;&gt;"Compteur",OR(NOT(ISNUMBER(F266)),N(F266)&lt;=0)),"Périodicité en jours manquante",IF(AND(E266&lt;&gt;"Calendrier",OR(NOT(ISNUMBER(G266)),N(G266)&lt;=0)),"Périodicité compteur manquante",IF(AND(J266&lt;&gt;"",OR(NOT(ISNUMBER(J266)),N(J266)&lt;=0)),"Date de réalisation invalide",IF(AND(K266&lt;&gt;"",OR(NOT(ISNUMBER(K266)),N(K266)&lt;0)),"Compteur de réalisation invalide",IF(AND(E266&lt;&gt;"Compteur",N(M266)=0,IFERROR(N(INDEX(eq_start,MATCH(B266,eq_code,0))),0)=0),"Date de départ manquante",IF(AND(E266&lt;&gt;"Calendrier",K266="",N(N266)=0),"Compteur de départ manquant",IF(AND(E266&lt;&gt;"Calendrier",N(Q266)=0),"Relevé compteur manquant (Équipements)",IF(AND(I266&lt;&gt;"",ISNA(MATCH(I266,tech_name,0))),"Technicien inconnu",IF(AND(L266&lt;&gt;"",L266&lt;&gt;"Oui",L266&lt;&gt;"Non"),"Actif : Oui ou Non","OK")))))))))))))))))</f>
        <v/>
      </c>
      <c r="W266" s="67">
        <f>IFERROR(N(INDEX(eq_use,MATCH(B266,eq_code,0))),0)</f>
        <v>0.0</v>
      </c>
      <c r="X266" s="67" t="str">
        <f>IF(AND(ISNUMBER(S266),W266&gt;0),p_today+MAX(0,ROUNDUP(S266*7/W266,0)),"")</f>
        <v/>
      </c>
      <c r="Y266" s="67" t="str">
        <f>IF(AND(ISNUMBER(T266),OR(U266="En retard",U266="Bientôt",U266="À jour")),IF(AND(ISNUMBER(O266),ISNUMBER(X266)),MIN(F266,G266*7/W266),IF(ISNUMBER(O266),F266,G266*7/W266)),"")</f>
        <v/>
      </c>
      <c r="Z266" s="67" t="str">
        <f>IF(OR(U266="En retard",U266="Bientôt"),IF(U266="En retard",0,1)*1000000000+IF(AB266="A",0,IF(AB266="B",1,IF(AB266="C",2,3)))*100000000+IF(ISNUMBER(T266),T266,p_today)*1000+ROW()-5,"")</f>
        <v/>
      </c>
      <c r="AA266" s="67" t="str">
        <f>IF(Z266="","",COUNTIF($Z$6:$Z$505,"&lt;"&amp;Z266)+1)</f>
        <v/>
      </c>
      <c r="AB266" s="67" t="str">
        <f>IFERROR(INDEX(eq_crit,MATCH(B266,eq_code,0))&amp;"","")</f>
        <v/>
      </c>
    </row>
    <row r="267">
      <c r="A267" s="65" t="n"/>
      <c r="B267" s="66" t="n"/>
      <c r="C267" s="67" t="str">
        <f>IF(B267="","",IFERROR(INDEX(eq_des,MATCH(B267,eq_code,0))&amp;"","Équipement inconnu"))</f>
        <v/>
      </c>
      <c r="D267" s="66" t="n"/>
      <c r="E267" s="68" t="n"/>
      <c r="F267" s="69" t="n"/>
      <c r="G267" s="70" t="n"/>
      <c r="H267" s="71" t="n"/>
      <c r="I267" s="66" t="n"/>
      <c r="J267" s="72" t="n"/>
      <c r="K267" s="73" t="n"/>
      <c r="L267" s="68" t="n"/>
      <c r="M267" s="74" t="str">
        <f>IF(AND(A267="",B267="",D267=""),"",MAX(N(J267),IF(A267="",0,SUMPRODUCT(MAX((in_plan=A267)*in_prev*in_dnum)))))</f>
        <v/>
      </c>
      <c r="N267" s="75" t="str">
        <f>IF(AND(A267="",B267="",D267=""),"",MAX(N(K267),IF(A267="",0,SUMPRODUCT(MAX((in_plan=A267)*in_prev*in_cnum)))))</f>
        <v/>
      </c>
      <c r="O267" s="76" t="str">
        <f>IF(AND(OR(E267="Calendrier",E267="Au premier des deux"),N(F267)&gt;0,IF(N(M267)&gt;0,M267,IFERROR(N(INDEX(eq_start,MATCH(B267,eq_code,0))),0))&gt;0),IF(N(M267)&gt;0,M267,IFERROR(N(INDEX(eq_start,MATCH(B267,eq_code,0))),0))+F267,"")</f>
        <v/>
      </c>
      <c r="P267" s="75" t="str">
        <f>IF(AND(OR(E267="Compteur",E267="Au premier des deux"),N(G267)&gt;0),N(N267)+G267,"")</f>
        <v/>
      </c>
      <c r="Q267" s="75" t="str">
        <f>IF(B267="","",IFERROR(N(INDEX(eq_cnt,MATCH(B267,eq_code,0))),""))</f>
        <v/>
      </c>
      <c r="R267" s="77" t="str">
        <f>IF(ISNUMBER(O267),O267-p_today,"")</f>
        <v/>
      </c>
      <c r="S267" s="78" t="str">
        <f>IF(AND(ISNUMBER(P267),N(Q267)&gt;0),P267-Q267,"")</f>
        <v/>
      </c>
      <c r="T267" s="76" t="str">
        <f>IF(AND(ISNUMBER(O267),ISNUMBER(X267)),MIN(O267,X267),IF(ISNUMBER(O267),O267,X267))</f>
        <v/>
      </c>
      <c r="U267" s="79" t="str">
        <f>IF(AND(A267="",B267="",D267=""),"",IF(L267="Non","Inactif",IF(AND(NOT(ISNUMBER(R267)),NOT(ISNUMBER(S267))),"À compléter",IF(OR(AND(ISNUMBER(R267),N(R267)&lt;0),AND(ISNUMBER(S267),N(S267)&lt;0)),"En retard",IF(OR(AND(ISNUMBER(R267),N(R267)&lt;=p_soon),AND(ISNUMBER(S267),N(S267)&lt;=p_soon_pct*N(G267))),"Bientôt","À jour")))))</f>
        <v/>
      </c>
      <c r="V267" s="79" t="str">
        <f>IF(AND(A267="",B267="",D267=""),"",IF(A267="","N° de plan manquant",IF(COUNTIF($A$6:$A$505,A267)&gt;1,"N° de plan en double",IF(B267="","Équipement manquant",IF(ISNA(MATCH(B267,eq_code,0)),"Équipement inconnu",IF(D267="","Tâche manquante",IF(E267="","Déclenchement manquant",IF(AND(E267&lt;&gt;"Calendrier",E267&lt;&gt;"Compteur",E267&lt;&gt;"Au premier des deux"),"Déclenchement inconnu",IF(AND(E267&lt;&gt;"Compteur",OR(NOT(ISNUMBER(F267)),N(F267)&lt;=0)),"Périodicité en jours manquante",IF(AND(E267&lt;&gt;"Calendrier",OR(NOT(ISNUMBER(G267)),N(G267)&lt;=0)),"Périodicité compteur manquante",IF(AND(J267&lt;&gt;"",OR(NOT(ISNUMBER(J267)),N(J267)&lt;=0)),"Date de réalisation invalide",IF(AND(K267&lt;&gt;"",OR(NOT(ISNUMBER(K267)),N(K267)&lt;0)),"Compteur de réalisation invalide",IF(AND(E267&lt;&gt;"Compteur",N(M267)=0,IFERROR(N(INDEX(eq_start,MATCH(B267,eq_code,0))),0)=0),"Date de départ manquante",IF(AND(E267&lt;&gt;"Calendrier",K267="",N(N267)=0),"Compteur de départ manquant",IF(AND(E267&lt;&gt;"Calendrier",N(Q267)=0),"Relevé compteur manquant (Équipements)",IF(AND(I267&lt;&gt;"",ISNA(MATCH(I267,tech_name,0))),"Technicien inconnu",IF(AND(L267&lt;&gt;"",L267&lt;&gt;"Oui",L267&lt;&gt;"Non"),"Actif : Oui ou Non","OK")))))))))))))))))</f>
        <v/>
      </c>
      <c r="W267" s="67">
        <f>IFERROR(N(INDEX(eq_use,MATCH(B267,eq_code,0))),0)</f>
        <v>0.0</v>
      </c>
      <c r="X267" s="67" t="str">
        <f>IF(AND(ISNUMBER(S267),W267&gt;0),p_today+MAX(0,ROUNDUP(S267*7/W267,0)),"")</f>
        <v/>
      </c>
      <c r="Y267" s="67" t="str">
        <f>IF(AND(ISNUMBER(T267),OR(U267="En retard",U267="Bientôt",U267="À jour")),IF(AND(ISNUMBER(O267),ISNUMBER(X267)),MIN(F267,G267*7/W267),IF(ISNUMBER(O267),F267,G267*7/W267)),"")</f>
        <v/>
      </c>
      <c r="Z267" s="67" t="str">
        <f>IF(OR(U267="En retard",U267="Bientôt"),IF(U267="En retard",0,1)*1000000000+IF(AB267="A",0,IF(AB267="B",1,IF(AB267="C",2,3)))*100000000+IF(ISNUMBER(T267),T267,p_today)*1000+ROW()-5,"")</f>
        <v/>
      </c>
      <c r="AA267" s="67" t="str">
        <f>IF(Z267="","",COUNTIF($Z$6:$Z$505,"&lt;"&amp;Z267)+1)</f>
        <v/>
      </c>
      <c r="AB267" s="67" t="str">
        <f>IFERROR(INDEX(eq_crit,MATCH(B267,eq_code,0))&amp;"","")</f>
        <v/>
      </c>
    </row>
    <row r="268">
      <c r="A268" s="65" t="n"/>
      <c r="B268" s="66" t="n"/>
      <c r="C268" s="67" t="str">
        <f>IF(B268="","",IFERROR(INDEX(eq_des,MATCH(B268,eq_code,0))&amp;"","Équipement inconnu"))</f>
        <v/>
      </c>
      <c r="D268" s="66" t="n"/>
      <c r="E268" s="68" t="n"/>
      <c r="F268" s="69" t="n"/>
      <c r="G268" s="70" t="n"/>
      <c r="H268" s="71" t="n"/>
      <c r="I268" s="66" t="n"/>
      <c r="J268" s="72" t="n"/>
      <c r="K268" s="73" t="n"/>
      <c r="L268" s="68" t="n"/>
      <c r="M268" s="74" t="str">
        <f>IF(AND(A268="",B268="",D268=""),"",MAX(N(J268),IF(A268="",0,SUMPRODUCT(MAX((in_plan=A268)*in_prev*in_dnum)))))</f>
        <v/>
      </c>
      <c r="N268" s="75" t="str">
        <f>IF(AND(A268="",B268="",D268=""),"",MAX(N(K268),IF(A268="",0,SUMPRODUCT(MAX((in_plan=A268)*in_prev*in_cnum)))))</f>
        <v/>
      </c>
      <c r="O268" s="76" t="str">
        <f>IF(AND(OR(E268="Calendrier",E268="Au premier des deux"),N(F268)&gt;0,IF(N(M268)&gt;0,M268,IFERROR(N(INDEX(eq_start,MATCH(B268,eq_code,0))),0))&gt;0),IF(N(M268)&gt;0,M268,IFERROR(N(INDEX(eq_start,MATCH(B268,eq_code,0))),0))+F268,"")</f>
        <v/>
      </c>
      <c r="P268" s="75" t="str">
        <f>IF(AND(OR(E268="Compteur",E268="Au premier des deux"),N(G268)&gt;0),N(N268)+G268,"")</f>
        <v/>
      </c>
      <c r="Q268" s="75" t="str">
        <f>IF(B268="","",IFERROR(N(INDEX(eq_cnt,MATCH(B268,eq_code,0))),""))</f>
        <v/>
      </c>
      <c r="R268" s="77" t="str">
        <f>IF(ISNUMBER(O268),O268-p_today,"")</f>
        <v/>
      </c>
      <c r="S268" s="78" t="str">
        <f>IF(AND(ISNUMBER(P268),N(Q268)&gt;0),P268-Q268,"")</f>
        <v/>
      </c>
      <c r="T268" s="76" t="str">
        <f>IF(AND(ISNUMBER(O268),ISNUMBER(X268)),MIN(O268,X268),IF(ISNUMBER(O268),O268,X268))</f>
        <v/>
      </c>
      <c r="U268" s="79" t="str">
        <f>IF(AND(A268="",B268="",D268=""),"",IF(L268="Non","Inactif",IF(AND(NOT(ISNUMBER(R268)),NOT(ISNUMBER(S268))),"À compléter",IF(OR(AND(ISNUMBER(R268),N(R268)&lt;0),AND(ISNUMBER(S268),N(S268)&lt;0)),"En retard",IF(OR(AND(ISNUMBER(R268),N(R268)&lt;=p_soon),AND(ISNUMBER(S268),N(S268)&lt;=p_soon_pct*N(G268))),"Bientôt","À jour")))))</f>
        <v/>
      </c>
      <c r="V268" s="79" t="str">
        <f>IF(AND(A268="",B268="",D268=""),"",IF(A268="","N° de plan manquant",IF(COUNTIF($A$6:$A$505,A268)&gt;1,"N° de plan en double",IF(B268="","Équipement manquant",IF(ISNA(MATCH(B268,eq_code,0)),"Équipement inconnu",IF(D268="","Tâche manquante",IF(E268="","Déclenchement manquant",IF(AND(E268&lt;&gt;"Calendrier",E268&lt;&gt;"Compteur",E268&lt;&gt;"Au premier des deux"),"Déclenchement inconnu",IF(AND(E268&lt;&gt;"Compteur",OR(NOT(ISNUMBER(F268)),N(F268)&lt;=0)),"Périodicité en jours manquante",IF(AND(E268&lt;&gt;"Calendrier",OR(NOT(ISNUMBER(G268)),N(G268)&lt;=0)),"Périodicité compteur manquante",IF(AND(J268&lt;&gt;"",OR(NOT(ISNUMBER(J268)),N(J268)&lt;=0)),"Date de réalisation invalide",IF(AND(K268&lt;&gt;"",OR(NOT(ISNUMBER(K268)),N(K268)&lt;0)),"Compteur de réalisation invalide",IF(AND(E268&lt;&gt;"Compteur",N(M268)=0,IFERROR(N(INDEX(eq_start,MATCH(B268,eq_code,0))),0)=0),"Date de départ manquante",IF(AND(E268&lt;&gt;"Calendrier",K268="",N(N268)=0),"Compteur de départ manquant",IF(AND(E268&lt;&gt;"Calendrier",N(Q268)=0),"Relevé compteur manquant (Équipements)",IF(AND(I268&lt;&gt;"",ISNA(MATCH(I268,tech_name,0))),"Technicien inconnu",IF(AND(L268&lt;&gt;"",L268&lt;&gt;"Oui",L268&lt;&gt;"Non"),"Actif : Oui ou Non","OK")))))))))))))))))</f>
        <v/>
      </c>
      <c r="W268" s="67">
        <f>IFERROR(N(INDEX(eq_use,MATCH(B268,eq_code,0))),0)</f>
        <v>0.0</v>
      </c>
      <c r="X268" s="67" t="str">
        <f>IF(AND(ISNUMBER(S268),W268&gt;0),p_today+MAX(0,ROUNDUP(S268*7/W268,0)),"")</f>
        <v/>
      </c>
      <c r="Y268" s="67" t="str">
        <f>IF(AND(ISNUMBER(T268),OR(U268="En retard",U268="Bientôt",U268="À jour")),IF(AND(ISNUMBER(O268),ISNUMBER(X268)),MIN(F268,G268*7/W268),IF(ISNUMBER(O268),F268,G268*7/W268)),"")</f>
        <v/>
      </c>
      <c r="Z268" s="67" t="str">
        <f>IF(OR(U268="En retard",U268="Bientôt"),IF(U268="En retard",0,1)*1000000000+IF(AB268="A",0,IF(AB268="B",1,IF(AB268="C",2,3)))*100000000+IF(ISNUMBER(T268),T268,p_today)*1000+ROW()-5,"")</f>
        <v/>
      </c>
      <c r="AA268" s="67" t="str">
        <f>IF(Z268="","",COUNTIF($Z$6:$Z$505,"&lt;"&amp;Z268)+1)</f>
        <v/>
      </c>
      <c r="AB268" s="67" t="str">
        <f>IFERROR(INDEX(eq_crit,MATCH(B268,eq_code,0))&amp;"","")</f>
        <v/>
      </c>
    </row>
    <row r="269">
      <c r="A269" s="65" t="n"/>
      <c r="B269" s="66" t="n"/>
      <c r="C269" s="67" t="str">
        <f>IF(B269="","",IFERROR(INDEX(eq_des,MATCH(B269,eq_code,0))&amp;"","Équipement inconnu"))</f>
        <v/>
      </c>
      <c r="D269" s="66" t="n"/>
      <c r="E269" s="68" t="n"/>
      <c r="F269" s="69" t="n"/>
      <c r="G269" s="70" t="n"/>
      <c r="H269" s="71" t="n"/>
      <c r="I269" s="66" t="n"/>
      <c r="J269" s="72" t="n"/>
      <c r="K269" s="73" t="n"/>
      <c r="L269" s="68" t="n"/>
      <c r="M269" s="74" t="str">
        <f>IF(AND(A269="",B269="",D269=""),"",MAX(N(J269),IF(A269="",0,SUMPRODUCT(MAX((in_plan=A269)*in_prev*in_dnum)))))</f>
        <v/>
      </c>
      <c r="N269" s="75" t="str">
        <f>IF(AND(A269="",B269="",D269=""),"",MAX(N(K269),IF(A269="",0,SUMPRODUCT(MAX((in_plan=A269)*in_prev*in_cnum)))))</f>
        <v/>
      </c>
      <c r="O269" s="76" t="str">
        <f>IF(AND(OR(E269="Calendrier",E269="Au premier des deux"),N(F269)&gt;0,IF(N(M269)&gt;0,M269,IFERROR(N(INDEX(eq_start,MATCH(B269,eq_code,0))),0))&gt;0),IF(N(M269)&gt;0,M269,IFERROR(N(INDEX(eq_start,MATCH(B269,eq_code,0))),0))+F269,"")</f>
        <v/>
      </c>
      <c r="P269" s="75" t="str">
        <f>IF(AND(OR(E269="Compteur",E269="Au premier des deux"),N(G269)&gt;0),N(N269)+G269,"")</f>
        <v/>
      </c>
      <c r="Q269" s="75" t="str">
        <f>IF(B269="","",IFERROR(N(INDEX(eq_cnt,MATCH(B269,eq_code,0))),""))</f>
        <v/>
      </c>
      <c r="R269" s="77" t="str">
        <f>IF(ISNUMBER(O269),O269-p_today,"")</f>
        <v/>
      </c>
      <c r="S269" s="78" t="str">
        <f>IF(AND(ISNUMBER(P269),N(Q269)&gt;0),P269-Q269,"")</f>
        <v/>
      </c>
      <c r="T269" s="76" t="str">
        <f>IF(AND(ISNUMBER(O269),ISNUMBER(X269)),MIN(O269,X269),IF(ISNUMBER(O269),O269,X269))</f>
        <v/>
      </c>
      <c r="U269" s="79" t="str">
        <f>IF(AND(A269="",B269="",D269=""),"",IF(L269="Non","Inactif",IF(AND(NOT(ISNUMBER(R269)),NOT(ISNUMBER(S269))),"À compléter",IF(OR(AND(ISNUMBER(R269),N(R269)&lt;0),AND(ISNUMBER(S269),N(S269)&lt;0)),"En retard",IF(OR(AND(ISNUMBER(R269),N(R269)&lt;=p_soon),AND(ISNUMBER(S269),N(S269)&lt;=p_soon_pct*N(G269))),"Bientôt","À jour")))))</f>
        <v/>
      </c>
      <c r="V269" s="79" t="str">
        <f>IF(AND(A269="",B269="",D269=""),"",IF(A269="","N° de plan manquant",IF(COUNTIF($A$6:$A$505,A269)&gt;1,"N° de plan en double",IF(B269="","Équipement manquant",IF(ISNA(MATCH(B269,eq_code,0)),"Équipement inconnu",IF(D269="","Tâche manquante",IF(E269="","Déclenchement manquant",IF(AND(E269&lt;&gt;"Calendrier",E269&lt;&gt;"Compteur",E269&lt;&gt;"Au premier des deux"),"Déclenchement inconnu",IF(AND(E269&lt;&gt;"Compteur",OR(NOT(ISNUMBER(F269)),N(F269)&lt;=0)),"Périodicité en jours manquante",IF(AND(E269&lt;&gt;"Calendrier",OR(NOT(ISNUMBER(G269)),N(G269)&lt;=0)),"Périodicité compteur manquante",IF(AND(J269&lt;&gt;"",OR(NOT(ISNUMBER(J269)),N(J269)&lt;=0)),"Date de réalisation invalide",IF(AND(K269&lt;&gt;"",OR(NOT(ISNUMBER(K269)),N(K269)&lt;0)),"Compteur de réalisation invalide",IF(AND(E269&lt;&gt;"Compteur",N(M269)=0,IFERROR(N(INDEX(eq_start,MATCH(B269,eq_code,0))),0)=0),"Date de départ manquante",IF(AND(E269&lt;&gt;"Calendrier",K269="",N(N269)=0),"Compteur de départ manquant",IF(AND(E269&lt;&gt;"Calendrier",N(Q269)=0),"Relevé compteur manquant (Équipements)",IF(AND(I269&lt;&gt;"",ISNA(MATCH(I269,tech_name,0))),"Technicien inconnu",IF(AND(L269&lt;&gt;"",L269&lt;&gt;"Oui",L269&lt;&gt;"Non"),"Actif : Oui ou Non","OK")))))))))))))))))</f>
        <v/>
      </c>
      <c r="W269" s="67">
        <f>IFERROR(N(INDEX(eq_use,MATCH(B269,eq_code,0))),0)</f>
        <v>0.0</v>
      </c>
      <c r="X269" s="67" t="str">
        <f>IF(AND(ISNUMBER(S269),W269&gt;0),p_today+MAX(0,ROUNDUP(S269*7/W269,0)),"")</f>
        <v/>
      </c>
      <c r="Y269" s="67" t="str">
        <f>IF(AND(ISNUMBER(T269),OR(U269="En retard",U269="Bientôt",U269="À jour")),IF(AND(ISNUMBER(O269),ISNUMBER(X269)),MIN(F269,G269*7/W269),IF(ISNUMBER(O269),F269,G269*7/W269)),"")</f>
        <v/>
      </c>
      <c r="Z269" s="67" t="str">
        <f>IF(OR(U269="En retard",U269="Bientôt"),IF(U269="En retard",0,1)*1000000000+IF(AB269="A",0,IF(AB269="B",1,IF(AB269="C",2,3)))*100000000+IF(ISNUMBER(T269),T269,p_today)*1000+ROW()-5,"")</f>
        <v/>
      </c>
      <c r="AA269" s="67" t="str">
        <f>IF(Z269="","",COUNTIF($Z$6:$Z$505,"&lt;"&amp;Z269)+1)</f>
        <v/>
      </c>
      <c r="AB269" s="67" t="str">
        <f>IFERROR(INDEX(eq_crit,MATCH(B269,eq_code,0))&amp;"","")</f>
        <v/>
      </c>
    </row>
    <row r="270">
      <c r="A270" s="65" t="n"/>
      <c r="B270" s="66" t="n"/>
      <c r="C270" s="67" t="str">
        <f>IF(B270="","",IFERROR(INDEX(eq_des,MATCH(B270,eq_code,0))&amp;"","Équipement inconnu"))</f>
        <v/>
      </c>
      <c r="D270" s="66" t="n"/>
      <c r="E270" s="68" t="n"/>
      <c r="F270" s="69" t="n"/>
      <c r="G270" s="70" t="n"/>
      <c r="H270" s="71" t="n"/>
      <c r="I270" s="66" t="n"/>
      <c r="J270" s="72" t="n"/>
      <c r="K270" s="73" t="n"/>
      <c r="L270" s="68" t="n"/>
      <c r="M270" s="74" t="str">
        <f>IF(AND(A270="",B270="",D270=""),"",MAX(N(J270),IF(A270="",0,SUMPRODUCT(MAX((in_plan=A270)*in_prev*in_dnum)))))</f>
        <v/>
      </c>
      <c r="N270" s="75" t="str">
        <f>IF(AND(A270="",B270="",D270=""),"",MAX(N(K270),IF(A270="",0,SUMPRODUCT(MAX((in_plan=A270)*in_prev*in_cnum)))))</f>
        <v/>
      </c>
      <c r="O270" s="76" t="str">
        <f>IF(AND(OR(E270="Calendrier",E270="Au premier des deux"),N(F270)&gt;0,IF(N(M270)&gt;0,M270,IFERROR(N(INDEX(eq_start,MATCH(B270,eq_code,0))),0))&gt;0),IF(N(M270)&gt;0,M270,IFERROR(N(INDEX(eq_start,MATCH(B270,eq_code,0))),0))+F270,"")</f>
        <v/>
      </c>
      <c r="P270" s="75" t="str">
        <f>IF(AND(OR(E270="Compteur",E270="Au premier des deux"),N(G270)&gt;0),N(N270)+G270,"")</f>
        <v/>
      </c>
      <c r="Q270" s="75" t="str">
        <f>IF(B270="","",IFERROR(N(INDEX(eq_cnt,MATCH(B270,eq_code,0))),""))</f>
        <v/>
      </c>
      <c r="R270" s="77" t="str">
        <f>IF(ISNUMBER(O270),O270-p_today,"")</f>
        <v/>
      </c>
      <c r="S270" s="78" t="str">
        <f>IF(AND(ISNUMBER(P270),N(Q270)&gt;0),P270-Q270,"")</f>
        <v/>
      </c>
      <c r="T270" s="76" t="str">
        <f>IF(AND(ISNUMBER(O270),ISNUMBER(X270)),MIN(O270,X270),IF(ISNUMBER(O270),O270,X270))</f>
        <v/>
      </c>
      <c r="U270" s="79" t="str">
        <f>IF(AND(A270="",B270="",D270=""),"",IF(L270="Non","Inactif",IF(AND(NOT(ISNUMBER(R270)),NOT(ISNUMBER(S270))),"À compléter",IF(OR(AND(ISNUMBER(R270),N(R270)&lt;0),AND(ISNUMBER(S270),N(S270)&lt;0)),"En retard",IF(OR(AND(ISNUMBER(R270),N(R270)&lt;=p_soon),AND(ISNUMBER(S270),N(S270)&lt;=p_soon_pct*N(G270))),"Bientôt","À jour")))))</f>
        <v/>
      </c>
      <c r="V270" s="79" t="str">
        <f>IF(AND(A270="",B270="",D270=""),"",IF(A270="","N° de plan manquant",IF(COUNTIF($A$6:$A$505,A270)&gt;1,"N° de plan en double",IF(B270="","Équipement manquant",IF(ISNA(MATCH(B270,eq_code,0)),"Équipement inconnu",IF(D270="","Tâche manquante",IF(E270="","Déclenchement manquant",IF(AND(E270&lt;&gt;"Calendrier",E270&lt;&gt;"Compteur",E270&lt;&gt;"Au premier des deux"),"Déclenchement inconnu",IF(AND(E270&lt;&gt;"Compteur",OR(NOT(ISNUMBER(F270)),N(F270)&lt;=0)),"Périodicité en jours manquante",IF(AND(E270&lt;&gt;"Calendrier",OR(NOT(ISNUMBER(G270)),N(G270)&lt;=0)),"Périodicité compteur manquante",IF(AND(J270&lt;&gt;"",OR(NOT(ISNUMBER(J270)),N(J270)&lt;=0)),"Date de réalisation invalide",IF(AND(K270&lt;&gt;"",OR(NOT(ISNUMBER(K270)),N(K270)&lt;0)),"Compteur de réalisation invalide",IF(AND(E270&lt;&gt;"Compteur",N(M270)=0,IFERROR(N(INDEX(eq_start,MATCH(B270,eq_code,0))),0)=0),"Date de départ manquante",IF(AND(E270&lt;&gt;"Calendrier",K270="",N(N270)=0),"Compteur de départ manquant",IF(AND(E270&lt;&gt;"Calendrier",N(Q270)=0),"Relevé compteur manquant (Équipements)",IF(AND(I270&lt;&gt;"",ISNA(MATCH(I270,tech_name,0))),"Technicien inconnu",IF(AND(L270&lt;&gt;"",L270&lt;&gt;"Oui",L270&lt;&gt;"Non"),"Actif : Oui ou Non","OK")))))))))))))))))</f>
        <v/>
      </c>
      <c r="W270" s="67">
        <f>IFERROR(N(INDEX(eq_use,MATCH(B270,eq_code,0))),0)</f>
        <v>0.0</v>
      </c>
      <c r="X270" s="67" t="str">
        <f>IF(AND(ISNUMBER(S270),W270&gt;0),p_today+MAX(0,ROUNDUP(S270*7/W270,0)),"")</f>
        <v/>
      </c>
      <c r="Y270" s="67" t="str">
        <f>IF(AND(ISNUMBER(T270),OR(U270="En retard",U270="Bientôt",U270="À jour")),IF(AND(ISNUMBER(O270),ISNUMBER(X270)),MIN(F270,G270*7/W270),IF(ISNUMBER(O270),F270,G270*7/W270)),"")</f>
        <v/>
      </c>
      <c r="Z270" s="67" t="str">
        <f>IF(OR(U270="En retard",U270="Bientôt"),IF(U270="En retard",0,1)*1000000000+IF(AB270="A",0,IF(AB270="B",1,IF(AB270="C",2,3)))*100000000+IF(ISNUMBER(T270),T270,p_today)*1000+ROW()-5,"")</f>
        <v/>
      </c>
      <c r="AA270" s="67" t="str">
        <f>IF(Z270="","",COUNTIF($Z$6:$Z$505,"&lt;"&amp;Z270)+1)</f>
        <v/>
      </c>
      <c r="AB270" s="67" t="str">
        <f>IFERROR(INDEX(eq_crit,MATCH(B270,eq_code,0))&amp;"","")</f>
        <v/>
      </c>
    </row>
    <row r="271">
      <c r="A271" s="65" t="n"/>
      <c r="B271" s="66" t="n"/>
      <c r="C271" s="67" t="str">
        <f>IF(B271="","",IFERROR(INDEX(eq_des,MATCH(B271,eq_code,0))&amp;"","Équipement inconnu"))</f>
        <v/>
      </c>
      <c r="D271" s="66" t="n"/>
      <c r="E271" s="68" t="n"/>
      <c r="F271" s="69" t="n"/>
      <c r="G271" s="70" t="n"/>
      <c r="H271" s="71" t="n"/>
      <c r="I271" s="66" t="n"/>
      <c r="J271" s="72" t="n"/>
      <c r="K271" s="73" t="n"/>
      <c r="L271" s="68" t="n"/>
      <c r="M271" s="74" t="str">
        <f>IF(AND(A271="",B271="",D271=""),"",MAX(N(J271),IF(A271="",0,SUMPRODUCT(MAX((in_plan=A271)*in_prev*in_dnum)))))</f>
        <v/>
      </c>
      <c r="N271" s="75" t="str">
        <f>IF(AND(A271="",B271="",D271=""),"",MAX(N(K271),IF(A271="",0,SUMPRODUCT(MAX((in_plan=A271)*in_prev*in_cnum)))))</f>
        <v/>
      </c>
      <c r="O271" s="76" t="str">
        <f>IF(AND(OR(E271="Calendrier",E271="Au premier des deux"),N(F271)&gt;0,IF(N(M271)&gt;0,M271,IFERROR(N(INDEX(eq_start,MATCH(B271,eq_code,0))),0))&gt;0),IF(N(M271)&gt;0,M271,IFERROR(N(INDEX(eq_start,MATCH(B271,eq_code,0))),0))+F271,"")</f>
        <v/>
      </c>
      <c r="P271" s="75" t="str">
        <f>IF(AND(OR(E271="Compteur",E271="Au premier des deux"),N(G271)&gt;0),N(N271)+G271,"")</f>
        <v/>
      </c>
      <c r="Q271" s="75" t="str">
        <f>IF(B271="","",IFERROR(N(INDEX(eq_cnt,MATCH(B271,eq_code,0))),""))</f>
        <v/>
      </c>
      <c r="R271" s="77" t="str">
        <f>IF(ISNUMBER(O271),O271-p_today,"")</f>
        <v/>
      </c>
      <c r="S271" s="78" t="str">
        <f>IF(AND(ISNUMBER(P271),N(Q271)&gt;0),P271-Q271,"")</f>
        <v/>
      </c>
      <c r="T271" s="76" t="str">
        <f>IF(AND(ISNUMBER(O271),ISNUMBER(X271)),MIN(O271,X271),IF(ISNUMBER(O271),O271,X271))</f>
        <v/>
      </c>
      <c r="U271" s="79" t="str">
        <f>IF(AND(A271="",B271="",D271=""),"",IF(L271="Non","Inactif",IF(AND(NOT(ISNUMBER(R271)),NOT(ISNUMBER(S271))),"À compléter",IF(OR(AND(ISNUMBER(R271),N(R271)&lt;0),AND(ISNUMBER(S271),N(S271)&lt;0)),"En retard",IF(OR(AND(ISNUMBER(R271),N(R271)&lt;=p_soon),AND(ISNUMBER(S271),N(S271)&lt;=p_soon_pct*N(G271))),"Bientôt","À jour")))))</f>
        <v/>
      </c>
      <c r="V271" s="79" t="str">
        <f>IF(AND(A271="",B271="",D271=""),"",IF(A271="","N° de plan manquant",IF(COUNTIF($A$6:$A$505,A271)&gt;1,"N° de plan en double",IF(B271="","Équipement manquant",IF(ISNA(MATCH(B271,eq_code,0)),"Équipement inconnu",IF(D271="","Tâche manquante",IF(E271="","Déclenchement manquant",IF(AND(E271&lt;&gt;"Calendrier",E271&lt;&gt;"Compteur",E271&lt;&gt;"Au premier des deux"),"Déclenchement inconnu",IF(AND(E271&lt;&gt;"Compteur",OR(NOT(ISNUMBER(F271)),N(F271)&lt;=0)),"Périodicité en jours manquante",IF(AND(E271&lt;&gt;"Calendrier",OR(NOT(ISNUMBER(G271)),N(G271)&lt;=0)),"Périodicité compteur manquante",IF(AND(J271&lt;&gt;"",OR(NOT(ISNUMBER(J271)),N(J271)&lt;=0)),"Date de réalisation invalide",IF(AND(K271&lt;&gt;"",OR(NOT(ISNUMBER(K271)),N(K271)&lt;0)),"Compteur de réalisation invalide",IF(AND(E271&lt;&gt;"Compteur",N(M271)=0,IFERROR(N(INDEX(eq_start,MATCH(B271,eq_code,0))),0)=0),"Date de départ manquante",IF(AND(E271&lt;&gt;"Calendrier",K271="",N(N271)=0),"Compteur de départ manquant",IF(AND(E271&lt;&gt;"Calendrier",N(Q271)=0),"Relevé compteur manquant (Équipements)",IF(AND(I271&lt;&gt;"",ISNA(MATCH(I271,tech_name,0))),"Technicien inconnu",IF(AND(L271&lt;&gt;"",L271&lt;&gt;"Oui",L271&lt;&gt;"Non"),"Actif : Oui ou Non","OK")))))))))))))))))</f>
        <v/>
      </c>
      <c r="W271" s="67">
        <f>IFERROR(N(INDEX(eq_use,MATCH(B271,eq_code,0))),0)</f>
        <v>0.0</v>
      </c>
      <c r="X271" s="67" t="str">
        <f>IF(AND(ISNUMBER(S271),W271&gt;0),p_today+MAX(0,ROUNDUP(S271*7/W271,0)),"")</f>
        <v/>
      </c>
      <c r="Y271" s="67" t="str">
        <f>IF(AND(ISNUMBER(T271),OR(U271="En retard",U271="Bientôt",U271="À jour")),IF(AND(ISNUMBER(O271),ISNUMBER(X271)),MIN(F271,G271*7/W271),IF(ISNUMBER(O271),F271,G271*7/W271)),"")</f>
        <v/>
      </c>
      <c r="Z271" s="67" t="str">
        <f>IF(OR(U271="En retard",U271="Bientôt"),IF(U271="En retard",0,1)*1000000000+IF(AB271="A",0,IF(AB271="B",1,IF(AB271="C",2,3)))*100000000+IF(ISNUMBER(T271),T271,p_today)*1000+ROW()-5,"")</f>
        <v/>
      </c>
      <c r="AA271" s="67" t="str">
        <f>IF(Z271="","",COUNTIF($Z$6:$Z$505,"&lt;"&amp;Z271)+1)</f>
        <v/>
      </c>
      <c r="AB271" s="67" t="str">
        <f>IFERROR(INDEX(eq_crit,MATCH(B271,eq_code,0))&amp;"","")</f>
        <v/>
      </c>
    </row>
    <row r="272">
      <c r="A272" s="65" t="n"/>
      <c r="B272" s="66" t="n"/>
      <c r="C272" s="67" t="str">
        <f>IF(B272="","",IFERROR(INDEX(eq_des,MATCH(B272,eq_code,0))&amp;"","Équipement inconnu"))</f>
        <v/>
      </c>
      <c r="D272" s="66" t="n"/>
      <c r="E272" s="68" t="n"/>
      <c r="F272" s="69" t="n"/>
      <c r="G272" s="70" t="n"/>
      <c r="H272" s="71" t="n"/>
      <c r="I272" s="66" t="n"/>
      <c r="J272" s="72" t="n"/>
      <c r="K272" s="73" t="n"/>
      <c r="L272" s="68" t="n"/>
      <c r="M272" s="74" t="str">
        <f>IF(AND(A272="",B272="",D272=""),"",MAX(N(J272),IF(A272="",0,SUMPRODUCT(MAX((in_plan=A272)*in_prev*in_dnum)))))</f>
        <v/>
      </c>
      <c r="N272" s="75" t="str">
        <f>IF(AND(A272="",B272="",D272=""),"",MAX(N(K272),IF(A272="",0,SUMPRODUCT(MAX((in_plan=A272)*in_prev*in_cnum)))))</f>
        <v/>
      </c>
      <c r="O272" s="76" t="str">
        <f>IF(AND(OR(E272="Calendrier",E272="Au premier des deux"),N(F272)&gt;0,IF(N(M272)&gt;0,M272,IFERROR(N(INDEX(eq_start,MATCH(B272,eq_code,0))),0))&gt;0),IF(N(M272)&gt;0,M272,IFERROR(N(INDEX(eq_start,MATCH(B272,eq_code,0))),0))+F272,"")</f>
        <v/>
      </c>
      <c r="P272" s="75" t="str">
        <f>IF(AND(OR(E272="Compteur",E272="Au premier des deux"),N(G272)&gt;0),N(N272)+G272,"")</f>
        <v/>
      </c>
      <c r="Q272" s="75" t="str">
        <f>IF(B272="","",IFERROR(N(INDEX(eq_cnt,MATCH(B272,eq_code,0))),""))</f>
        <v/>
      </c>
      <c r="R272" s="77" t="str">
        <f>IF(ISNUMBER(O272),O272-p_today,"")</f>
        <v/>
      </c>
      <c r="S272" s="78" t="str">
        <f>IF(AND(ISNUMBER(P272),N(Q272)&gt;0),P272-Q272,"")</f>
        <v/>
      </c>
      <c r="T272" s="76" t="str">
        <f>IF(AND(ISNUMBER(O272),ISNUMBER(X272)),MIN(O272,X272),IF(ISNUMBER(O272),O272,X272))</f>
        <v/>
      </c>
      <c r="U272" s="79" t="str">
        <f>IF(AND(A272="",B272="",D272=""),"",IF(L272="Non","Inactif",IF(AND(NOT(ISNUMBER(R272)),NOT(ISNUMBER(S272))),"À compléter",IF(OR(AND(ISNUMBER(R272),N(R272)&lt;0),AND(ISNUMBER(S272),N(S272)&lt;0)),"En retard",IF(OR(AND(ISNUMBER(R272),N(R272)&lt;=p_soon),AND(ISNUMBER(S272),N(S272)&lt;=p_soon_pct*N(G272))),"Bientôt","À jour")))))</f>
        <v/>
      </c>
      <c r="V272" s="79" t="str">
        <f>IF(AND(A272="",B272="",D272=""),"",IF(A272="","N° de plan manquant",IF(COUNTIF($A$6:$A$505,A272)&gt;1,"N° de plan en double",IF(B272="","Équipement manquant",IF(ISNA(MATCH(B272,eq_code,0)),"Équipement inconnu",IF(D272="","Tâche manquante",IF(E272="","Déclenchement manquant",IF(AND(E272&lt;&gt;"Calendrier",E272&lt;&gt;"Compteur",E272&lt;&gt;"Au premier des deux"),"Déclenchement inconnu",IF(AND(E272&lt;&gt;"Compteur",OR(NOT(ISNUMBER(F272)),N(F272)&lt;=0)),"Périodicité en jours manquante",IF(AND(E272&lt;&gt;"Calendrier",OR(NOT(ISNUMBER(G272)),N(G272)&lt;=0)),"Périodicité compteur manquante",IF(AND(J272&lt;&gt;"",OR(NOT(ISNUMBER(J272)),N(J272)&lt;=0)),"Date de réalisation invalide",IF(AND(K272&lt;&gt;"",OR(NOT(ISNUMBER(K272)),N(K272)&lt;0)),"Compteur de réalisation invalide",IF(AND(E272&lt;&gt;"Compteur",N(M272)=0,IFERROR(N(INDEX(eq_start,MATCH(B272,eq_code,0))),0)=0),"Date de départ manquante",IF(AND(E272&lt;&gt;"Calendrier",K272="",N(N272)=0),"Compteur de départ manquant",IF(AND(E272&lt;&gt;"Calendrier",N(Q272)=0),"Relevé compteur manquant (Équipements)",IF(AND(I272&lt;&gt;"",ISNA(MATCH(I272,tech_name,0))),"Technicien inconnu",IF(AND(L272&lt;&gt;"",L272&lt;&gt;"Oui",L272&lt;&gt;"Non"),"Actif : Oui ou Non","OK")))))))))))))))))</f>
        <v/>
      </c>
      <c r="W272" s="67">
        <f>IFERROR(N(INDEX(eq_use,MATCH(B272,eq_code,0))),0)</f>
        <v>0.0</v>
      </c>
      <c r="X272" s="67" t="str">
        <f>IF(AND(ISNUMBER(S272),W272&gt;0),p_today+MAX(0,ROUNDUP(S272*7/W272,0)),"")</f>
        <v/>
      </c>
      <c r="Y272" s="67" t="str">
        <f>IF(AND(ISNUMBER(T272),OR(U272="En retard",U272="Bientôt",U272="À jour")),IF(AND(ISNUMBER(O272),ISNUMBER(X272)),MIN(F272,G272*7/W272),IF(ISNUMBER(O272),F272,G272*7/W272)),"")</f>
        <v/>
      </c>
      <c r="Z272" s="67" t="str">
        <f>IF(OR(U272="En retard",U272="Bientôt"),IF(U272="En retard",0,1)*1000000000+IF(AB272="A",0,IF(AB272="B",1,IF(AB272="C",2,3)))*100000000+IF(ISNUMBER(T272),T272,p_today)*1000+ROW()-5,"")</f>
        <v/>
      </c>
      <c r="AA272" s="67" t="str">
        <f>IF(Z272="","",COUNTIF($Z$6:$Z$505,"&lt;"&amp;Z272)+1)</f>
        <v/>
      </c>
      <c r="AB272" s="67" t="str">
        <f>IFERROR(INDEX(eq_crit,MATCH(B272,eq_code,0))&amp;"","")</f>
        <v/>
      </c>
    </row>
    <row r="273">
      <c r="A273" s="65" t="n"/>
      <c r="B273" s="66" t="n"/>
      <c r="C273" s="67" t="str">
        <f>IF(B273="","",IFERROR(INDEX(eq_des,MATCH(B273,eq_code,0))&amp;"","Équipement inconnu"))</f>
        <v/>
      </c>
      <c r="D273" s="66" t="n"/>
      <c r="E273" s="68" t="n"/>
      <c r="F273" s="69" t="n"/>
      <c r="G273" s="70" t="n"/>
      <c r="H273" s="71" t="n"/>
      <c r="I273" s="66" t="n"/>
      <c r="J273" s="72" t="n"/>
      <c r="K273" s="73" t="n"/>
      <c r="L273" s="68" t="n"/>
      <c r="M273" s="74" t="str">
        <f>IF(AND(A273="",B273="",D273=""),"",MAX(N(J273),IF(A273="",0,SUMPRODUCT(MAX((in_plan=A273)*in_prev*in_dnum)))))</f>
        <v/>
      </c>
      <c r="N273" s="75" t="str">
        <f>IF(AND(A273="",B273="",D273=""),"",MAX(N(K273),IF(A273="",0,SUMPRODUCT(MAX((in_plan=A273)*in_prev*in_cnum)))))</f>
        <v/>
      </c>
      <c r="O273" s="76" t="str">
        <f>IF(AND(OR(E273="Calendrier",E273="Au premier des deux"),N(F273)&gt;0,IF(N(M273)&gt;0,M273,IFERROR(N(INDEX(eq_start,MATCH(B273,eq_code,0))),0))&gt;0),IF(N(M273)&gt;0,M273,IFERROR(N(INDEX(eq_start,MATCH(B273,eq_code,0))),0))+F273,"")</f>
        <v/>
      </c>
      <c r="P273" s="75" t="str">
        <f>IF(AND(OR(E273="Compteur",E273="Au premier des deux"),N(G273)&gt;0),N(N273)+G273,"")</f>
        <v/>
      </c>
      <c r="Q273" s="75" t="str">
        <f>IF(B273="","",IFERROR(N(INDEX(eq_cnt,MATCH(B273,eq_code,0))),""))</f>
        <v/>
      </c>
      <c r="R273" s="77" t="str">
        <f>IF(ISNUMBER(O273),O273-p_today,"")</f>
        <v/>
      </c>
      <c r="S273" s="78" t="str">
        <f>IF(AND(ISNUMBER(P273),N(Q273)&gt;0),P273-Q273,"")</f>
        <v/>
      </c>
      <c r="T273" s="76" t="str">
        <f>IF(AND(ISNUMBER(O273),ISNUMBER(X273)),MIN(O273,X273),IF(ISNUMBER(O273),O273,X273))</f>
        <v/>
      </c>
      <c r="U273" s="79" t="str">
        <f>IF(AND(A273="",B273="",D273=""),"",IF(L273="Non","Inactif",IF(AND(NOT(ISNUMBER(R273)),NOT(ISNUMBER(S273))),"À compléter",IF(OR(AND(ISNUMBER(R273),N(R273)&lt;0),AND(ISNUMBER(S273),N(S273)&lt;0)),"En retard",IF(OR(AND(ISNUMBER(R273),N(R273)&lt;=p_soon),AND(ISNUMBER(S273),N(S273)&lt;=p_soon_pct*N(G273))),"Bientôt","À jour")))))</f>
        <v/>
      </c>
      <c r="V273" s="79" t="str">
        <f>IF(AND(A273="",B273="",D273=""),"",IF(A273="","N° de plan manquant",IF(COUNTIF($A$6:$A$505,A273)&gt;1,"N° de plan en double",IF(B273="","Équipement manquant",IF(ISNA(MATCH(B273,eq_code,0)),"Équipement inconnu",IF(D273="","Tâche manquante",IF(E273="","Déclenchement manquant",IF(AND(E273&lt;&gt;"Calendrier",E273&lt;&gt;"Compteur",E273&lt;&gt;"Au premier des deux"),"Déclenchement inconnu",IF(AND(E273&lt;&gt;"Compteur",OR(NOT(ISNUMBER(F273)),N(F273)&lt;=0)),"Périodicité en jours manquante",IF(AND(E273&lt;&gt;"Calendrier",OR(NOT(ISNUMBER(G273)),N(G273)&lt;=0)),"Périodicité compteur manquante",IF(AND(J273&lt;&gt;"",OR(NOT(ISNUMBER(J273)),N(J273)&lt;=0)),"Date de réalisation invalide",IF(AND(K273&lt;&gt;"",OR(NOT(ISNUMBER(K273)),N(K273)&lt;0)),"Compteur de réalisation invalide",IF(AND(E273&lt;&gt;"Compteur",N(M273)=0,IFERROR(N(INDEX(eq_start,MATCH(B273,eq_code,0))),0)=0),"Date de départ manquante",IF(AND(E273&lt;&gt;"Calendrier",K273="",N(N273)=0),"Compteur de départ manquant",IF(AND(E273&lt;&gt;"Calendrier",N(Q273)=0),"Relevé compteur manquant (Équipements)",IF(AND(I273&lt;&gt;"",ISNA(MATCH(I273,tech_name,0))),"Technicien inconnu",IF(AND(L273&lt;&gt;"",L273&lt;&gt;"Oui",L273&lt;&gt;"Non"),"Actif : Oui ou Non","OK")))))))))))))))))</f>
        <v/>
      </c>
      <c r="W273" s="67">
        <f>IFERROR(N(INDEX(eq_use,MATCH(B273,eq_code,0))),0)</f>
        <v>0.0</v>
      </c>
      <c r="X273" s="67" t="str">
        <f>IF(AND(ISNUMBER(S273),W273&gt;0),p_today+MAX(0,ROUNDUP(S273*7/W273,0)),"")</f>
        <v/>
      </c>
      <c r="Y273" s="67" t="str">
        <f>IF(AND(ISNUMBER(T273),OR(U273="En retard",U273="Bientôt",U273="À jour")),IF(AND(ISNUMBER(O273),ISNUMBER(X273)),MIN(F273,G273*7/W273),IF(ISNUMBER(O273),F273,G273*7/W273)),"")</f>
        <v/>
      </c>
      <c r="Z273" s="67" t="str">
        <f>IF(OR(U273="En retard",U273="Bientôt"),IF(U273="En retard",0,1)*1000000000+IF(AB273="A",0,IF(AB273="B",1,IF(AB273="C",2,3)))*100000000+IF(ISNUMBER(T273),T273,p_today)*1000+ROW()-5,"")</f>
        <v/>
      </c>
      <c r="AA273" s="67" t="str">
        <f>IF(Z273="","",COUNTIF($Z$6:$Z$505,"&lt;"&amp;Z273)+1)</f>
        <v/>
      </c>
      <c r="AB273" s="67" t="str">
        <f>IFERROR(INDEX(eq_crit,MATCH(B273,eq_code,0))&amp;"","")</f>
        <v/>
      </c>
    </row>
    <row r="274">
      <c r="A274" s="65" t="n"/>
      <c r="B274" s="66" t="n"/>
      <c r="C274" s="67" t="str">
        <f>IF(B274="","",IFERROR(INDEX(eq_des,MATCH(B274,eq_code,0))&amp;"","Équipement inconnu"))</f>
        <v/>
      </c>
      <c r="D274" s="66" t="n"/>
      <c r="E274" s="68" t="n"/>
      <c r="F274" s="69" t="n"/>
      <c r="G274" s="70" t="n"/>
      <c r="H274" s="71" t="n"/>
      <c r="I274" s="66" t="n"/>
      <c r="J274" s="72" t="n"/>
      <c r="K274" s="73" t="n"/>
      <c r="L274" s="68" t="n"/>
      <c r="M274" s="74" t="str">
        <f>IF(AND(A274="",B274="",D274=""),"",MAX(N(J274),IF(A274="",0,SUMPRODUCT(MAX((in_plan=A274)*in_prev*in_dnum)))))</f>
        <v/>
      </c>
      <c r="N274" s="75" t="str">
        <f>IF(AND(A274="",B274="",D274=""),"",MAX(N(K274),IF(A274="",0,SUMPRODUCT(MAX((in_plan=A274)*in_prev*in_cnum)))))</f>
        <v/>
      </c>
      <c r="O274" s="76" t="str">
        <f>IF(AND(OR(E274="Calendrier",E274="Au premier des deux"),N(F274)&gt;0,IF(N(M274)&gt;0,M274,IFERROR(N(INDEX(eq_start,MATCH(B274,eq_code,0))),0))&gt;0),IF(N(M274)&gt;0,M274,IFERROR(N(INDEX(eq_start,MATCH(B274,eq_code,0))),0))+F274,"")</f>
        <v/>
      </c>
      <c r="P274" s="75" t="str">
        <f>IF(AND(OR(E274="Compteur",E274="Au premier des deux"),N(G274)&gt;0),N(N274)+G274,"")</f>
        <v/>
      </c>
      <c r="Q274" s="75" t="str">
        <f>IF(B274="","",IFERROR(N(INDEX(eq_cnt,MATCH(B274,eq_code,0))),""))</f>
        <v/>
      </c>
      <c r="R274" s="77" t="str">
        <f>IF(ISNUMBER(O274),O274-p_today,"")</f>
        <v/>
      </c>
      <c r="S274" s="78" t="str">
        <f>IF(AND(ISNUMBER(P274),N(Q274)&gt;0),P274-Q274,"")</f>
        <v/>
      </c>
      <c r="T274" s="76" t="str">
        <f>IF(AND(ISNUMBER(O274),ISNUMBER(X274)),MIN(O274,X274),IF(ISNUMBER(O274),O274,X274))</f>
        <v/>
      </c>
      <c r="U274" s="79" t="str">
        <f>IF(AND(A274="",B274="",D274=""),"",IF(L274="Non","Inactif",IF(AND(NOT(ISNUMBER(R274)),NOT(ISNUMBER(S274))),"À compléter",IF(OR(AND(ISNUMBER(R274),N(R274)&lt;0),AND(ISNUMBER(S274),N(S274)&lt;0)),"En retard",IF(OR(AND(ISNUMBER(R274),N(R274)&lt;=p_soon),AND(ISNUMBER(S274),N(S274)&lt;=p_soon_pct*N(G274))),"Bientôt","À jour")))))</f>
        <v/>
      </c>
      <c r="V274" s="79" t="str">
        <f>IF(AND(A274="",B274="",D274=""),"",IF(A274="","N° de plan manquant",IF(COUNTIF($A$6:$A$505,A274)&gt;1,"N° de plan en double",IF(B274="","Équipement manquant",IF(ISNA(MATCH(B274,eq_code,0)),"Équipement inconnu",IF(D274="","Tâche manquante",IF(E274="","Déclenchement manquant",IF(AND(E274&lt;&gt;"Calendrier",E274&lt;&gt;"Compteur",E274&lt;&gt;"Au premier des deux"),"Déclenchement inconnu",IF(AND(E274&lt;&gt;"Compteur",OR(NOT(ISNUMBER(F274)),N(F274)&lt;=0)),"Périodicité en jours manquante",IF(AND(E274&lt;&gt;"Calendrier",OR(NOT(ISNUMBER(G274)),N(G274)&lt;=0)),"Périodicité compteur manquante",IF(AND(J274&lt;&gt;"",OR(NOT(ISNUMBER(J274)),N(J274)&lt;=0)),"Date de réalisation invalide",IF(AND(K274&lt;&gt;"",OR(NOT(ISNUMBER(K274)),N(K274)&lt;0)),"Compteur de réalisation invalide",IF(AND(E274&lt;&gt;"Compteur",N(M274)=0,IFERROR(N(INDEX(eq_start,MATCH(B274,eq_code,0))),0)=0),"Date de départ manquante",IF(AND(E274&lt;&gt;"Calendrier",K274="",N(N274)=0),"Compteur de départ manquant",IF(AND(E274&lt;&gt;"Calendrier",N(Q274)=0),"Relevé compteur manquant (Équipements)",IF(AND(I274&lt;&gt;"",ISNA(MATCH(I274,tech_name,0))),"Technicien inconnu",IF(AND(L274&lt;&gt;"",L274&lt;&gt;"Oui",L274&lt;&gt;"Non"),"Actif : Oui ou Non","OK")))))))))))))))))</f>
        <v/>
      </c>
      <c r="W274" s="67">
        <f>IFERROR(N(INDEX(eq_use,MATCH(B274,eq_code,0))),0)</f>
        <v>0.0</v>
      </c>
      <c r="X274" s="67" t="str">
        <f>IF(AND(ISNUMBER(S274),W274&gt;0),p_today+MAX(0,ROUNDUP(S274*7/W274,0)),"")</f>
        <v/>
      </c>
      <c r="Y274" s="67" t="str">
        <f>IF(AND(ISNUMBER(T274),OR(U274="En retard",U274="Bientôt",U274="À jour")),IF(AND(ISNUMBER(O274),ISNUMBER(X274)),MIN(F274,G274*7/W274),IF(ISNUMBER(O274),F274,G274*7/W274)),"")</f>
        <v/>
      </c>
      <c r="Z274" s="67" t="str">
        <f>IF(OR(U274="En retard",U274="Bientôt"),IF(U274="En retard",0,1)*1000000000+IF(AB274="A",0,IF(AB274="B",1,IF(AB274="C",2,3)))*100000000+IF(ISNUMBER(T274),T274,p_today)*1000+ROW()-5,"")</f>
        <v/>
      </c>
      <c r="AA274" s="67" t="str">
        <f>IF(Z274="","",COUNTIF($Z$6:$Z$505,"&lt;"&amp;Z274)+1)</f>
        <v/>
      </c>
      <c r="AB274" s="67" t="str">
        <f>IFERROR(INDEX(eq_crit,MATCH(B274,eq_code,0))&amp;"","")</f>
        <v/>
      </c>
    </row>
    <row r="275">
      <c r="A275" s="65" t="n"/>
      <c r="B275" s="66" t="n"/>
      <c r="C275" s="67" t="str">
        <f>IF(B275="","",IFERROR(INDEX(eq_des,MATCH(B275,eq_code,0))&amp;"","Équipement inconnu"))</f>
        <v/>
      </c>
      <c r="D275" s="66" t="n"/>
      <c r="E275" s="68" t="n"/>
      <c r="F275" s="69" t="n"/>
      <c r="G275" s="70" t="n"/>
      <c r="H275" s="71" t="n"/>
      <c r="I275" s="66" t="n"/>
      <c r="J275" s="72" t="n"/>
      <c r="K275" s="73" t="n"/>
      <c r="L275" s="68" t="n"/>
      <c r="M275" s="74" t="str">
        <f>IF(AND(A275="",B275="",D275=""),"",MAX(N(J275),IF(A275="",0,SUMPRODUCT(MAX((in_plan=A275)*in_prev*in_dnum)))))</f>
        <v/>
      </c>
      <c r="N275" s="75" t="str">
        <f>IF(AND(A275="",B275="",D275=""),"",MAX(N(K275),IF(A275="",0,SUMPRODUCT(MAX((in_plan=A275)*in_prev*in_cnum)))))</f>
        <v/>
      </c>
      <c r="O275" s="76" t="str">
        <f>IF(AND(OR(E275="Calendrier",E275="Au premier des deux"),N(F275)&gt;0,IF(N(M275)&gt;0,M275,IFERROR(N(INDEX(eq_start,MATCH(B275,eq_code,0))),0))&gt;0),IF(N(M275)&gt;0,M275,IFERROR(N(INDEX(eq_start,MATCH(B275,eq_code,0))),0))+F275,"")</f>
        <v/>
      </c>
      <c r="P275" s="75" t="str">
        <f>IF(AND(OR(E275="Compteur",E275="Au premier des deux"),N(G275)&gt;0),N(N275)+G275,"")</f>
        <v/>
      </c>
      <c r="Q275" s="75" t="str">
        <f>IF(B275="","",IFERROR(N(INDEX(eq_cnt,MATCH(B275,eq_code,0))),""))</f>
        <v/>
      </c>
      <c r="R275" s="77" t="str">
        <f>IF(ISNUMBER(O275),O275-p_today,"")</f>
        <v/>
      </c>
      <c r="S275" s="78" t="str">
        <f>IF(AND(ISNUMBER(P275),N(Q275)&gt;0),P275-Q275,"")</f>
        <v/>
      </c>
      <c r="T275" s="76" t="str">
        <f>IF(AND(ISNUMBER(O275),ISNUMBER(X275)),MIN(O275,X275),IF(ISNUMBER(O275),O275,X275))</f>
        <v/>
      </c>
      <c r="U275" s="79" t="str">
        <f>IF(AND(A275="",B275="",D275=""),"",IF(L275="Non","Inactif",IF(AND(NOT(ISNUMBER(R275)),NOT(ISNUMBER(S275))),"À compléter",IF(OR(AND(ISNUMBER(R275),N(R275)&lt;0),AND(ISNUMBER(S275),N(S275)&lt;0)),"En retard",IF(OR(AND(ISNUMBER(R275),N(R275)&lt;=p_soon),AND(ISNUMBER(S275),N(S275)&lt;=p_soon_pct*N(G275))),"Bientôt","À jour")))))</f>
        <v/>
      </c>
      <c r="V275" s="79" t="str">
        <f>IF(AND(A275="",B275="",D275=""),"",IF(A275="","N° de plan manquant",IF(COUNTIF($A$6:$A$505,A275)&gt;1,"N° de plan en double",IF(B275="","Équipement manquant",IF(ISNA(MATCH(B275,eq_code,0)),"Équipement inconnu",IF(D275="","Tâche manquante",IF(E275="","Déclenchement manquant",IF(AND(E275&lt;&gt;"Calendrier",E275&lt;&gt;"Compteur",E275&lt;&gt;"Au premier des deux"),"Déclenchement inconnu",IF(AND(E275&lt;&gt;"Compteur",OR(NOT(ISNUMBER(F275)),N(F275)&lt;=0)),"Périodicité en jours manquante",IF(AND(E275&lt;&gt;"Calendrier",OR(NOT(ISNUMBER(G275)),N(G275)&lt;=0)),"Périodicité compteur manquante",IF(AND(J275&lt;&gt;"",OR(NOT(ISNUMBER(J275)),N(J275)&lt;=0)),"Date de réalisation invalide",IF(AND(K275&lt;&gt;"",OR(NOT(ISNUMBER(K275)),N(K275)&lt;0)),"Compteur de réalisation invalide",IF(AND(E275&lt;&gt;"Compteur",N(M275)=0,IFERROR(N(INDEX(eq_start,MATCH(B275,eq_code,0))),0)=0),"Date de départ manquante",IF(AND(E275&lt;&gt;"Calendrier",K275="",N(N275)=0),"Compteur de départ manquant",IF(AND(E275&lt;&gt;"Calendrier",N(Q275)=0),"Relevé compteur manquant (Équipements)",IF(AND(I275&lt;&gt;"",ISNA(MATCH(I275,tech_name,0))),"Technicien inconnu",IF(AND(L275&lt;&gt;"",L275&lt;&gt;"Oui",L275&lt;&gt;"Non"),"Actif : Oui ou Non","OK")))))))))))))))))</f>
        <v/>
      </c>
      <c r="W275" s="67">
        <f>IFERROR(N(INDEX(eq_use,MATCH(B275,eq_code,0))),0)</f>
        <v>0.0</v>
      </c>
      <c r="X275" s="67" t="str">
        <f>IF(AND(ISNUMBER(S275),W275&gt;0),p_today+MAX(0,ROUNDUP(S275*7/W275,0)),"")</f>
        <v/>
      </c>
      <c r="Y275" s="67" t="str">
        <f>IF(AND(ISNUMBER(T275),OR(U275="En retard",U275="Bientôt",U275="À jour")),IF(AND(ISNUMBER(O275),ISNUMBER(X275)),MIN(F275,G275*7/W275),IF(ISNUMBER(O275),F275,G275*7/W275)),"")</f>
        <v/>
      </c>
      <c r="Z275" s="67" t="str">
        <f>IF(OR(U275="En retard",U275="Bientôt"),IF(U275="En retard",0,1)*1000000000+IF(AB275="A",0,IF(AB275="B",1,IF(AB275="C",2,3)))*100000000+IF(ISNUMBER(T275),T275,p_today)*1000+ROW()-5,"")</f>
        <v/>
      </c>
      <c r="AA275" s="67" t="str">
        <f>IF(Z275="","",COUNTIF($Z$6:$Z$505,"&lt;"&amp;Z275)+1)</f>
        <v/>
      </c>
      <c r="AB275" s="67" t="str">
        <f>IFERROR(INDEX(eq_crit,MATCH(B275,eq_code,0))&amp;"","")</f>
        <v/>
      </c>
    </row>
    <row r="276">
      <c r="A276" s="65" t="n"/>
      <c r="B276" s="66" t="n"/>
      <c r="C276" s="67" t="str">
        <f>IF(B276="","",IFERROR(INDEX(eq_des,MATCH(B276,eq_code,0))&amp;"","Équipement inconnu"))</f>
        <v/>
      </c>
      <c r="D276" s="66" t="n"/>
      <c r="E276" s="68" t="n"/>
      <c r="F276" s="69" t="n"/>
      <c r="G276" s="70" t="n"/>
      <c r="H276" s="71" t="n"/>
      <c r="I276" s="66" t="n"/>
      <c r="J276" s="72" t="n"/>
      <c r="K276" s="73" t="n"/>
      <c r="L276" s="68" t="n"/>
      <c r="M276" s="74" t="str">
        <f>IF(AND(A276="",B276="",D276=""),"",MAX(N(J276),IF(A276="",0,SUMPRODUCT(MAX((in_plan=A276)*in_prev*in_dnum)))))</f>
        <v/>
      </c>
      <c r="N276" s="75" t="str">
        <f>IF(AND(A276="",B276="",D276=""),"",MAX(N(K276),IF(A276="",0,SUMPRODUCT(MAX((in_plan=A276)*in_prev*in_cnum)))))</f>
        <v/>
      </c>
      <c r="O276" s="76" t="str">
        <f>IF(AND(OR(E276="Calendrier",E276="Au premier des deux"),N(F276)&gt;0,IF(N(M276)&gt;0,M276,IFERROR(N(INDEX(eq_start,MATCH(B276,eq_code,0))),0))&gt;0),IF(N(M276)&gt;0,M276,IFERROR(N(INDEX(eq_start,MATCH(B276,eq_code,0))),0))+F276,"")</f>
        <v/>
      </c>
      <c r="P276" s="75" t="str">
        <f>IF(AND(OR(E276="Compteur",E276="Au premier des deux"),N(G276)&gt;0),N(N276)+G276,"")</f>
        <v/>
      </c>
      <c r="Q276" s="75" t="str">
        <f>IF(B276="","",IFERROR(N(INDEX(eq_cnt,MATCH(B276,eq_code,0))),""))</f>
        <v/>
      </c>
      <c r="R276" s="77" t="str">
        <f>IF(ISNUMBER(O276),O276-p_today,"")</f>
        <v/>
      </c>
      <c r="S276" s="78" t="str">
        <f>IF(AND(ISNUMBER(P276),N(Q276)&gt;0),P276-Q276,"")</f>
        <v/>
      </c>
      <c r="T276" s="76" t="str">
        <f>IF(AND(ISNUMBER(O276),ISNUMBER(X276)),MIN(O276,X276),IF(ISNUMBER(O276),O276,X276))</f>
        <v/>
      </c>
      <c r="U276" s="79" t="str">
        <f>IF(AND(A276="",B276="",D276=""),"",IF(L276="Non","Inactif",IF(AND(NOT(ISNUMBER(R276)),NOT(ISNUMBER(S276))),"À compléter",IF(OR(AND(ISNUMBER(R276),N(R276)&lt;0),AND(ISNUMBER(S276),N(S276)&lt;0)),"En retard",IF(OR(AND(ISNUMBER(R276),N(R276)&lt;=p_soon),AND(ISNUMBER(S276),N(S276)&lt;=p_soon_pct*N(G276))),"Bientôt","À jour")))))</f>
        <v/>
      </c>
      <c r="V276" s="79" t="str">
        <f>IF(AND(A276="",B276="",D276=""),"",IF(A276="","N° de plan manquant",IF(COUNTIF($A$6:$A$505,A276)&gt;1,"N° de plan en double",IF(B276="","Équipement manquant",IF(ISNA(MATCH(B276,eq_code,0)),"Équipement inconnu",IF(D276="","Tâche manquante",IF(E276="","Déclenchement manquant",IF(AND(E276&lt;&gt;"Calendrier",E276&lt;&gt;"Compteur",E276&lt;&gt;"Au premier des deux"),"Déclenchement inconnu",IF(AND(E276&lt;&gt;"Compteur",OR(NOT(ISNUMBER(F276)),N(F276)&lt;=0)),"Périodicité en jours manquante",IF(AND(E276&lt;&gt;"Calendrier",OR(NOT(ISNUMBER(G276)),N(G276)&lt;=0)),"Périodicité compteur manquante",IF(AND(J276&lt;&gt;"",OR(NOT(ISNUMBER(J276)),N(J276)&lt;=0)),"Date de réalisation invalide",IF(AND(K276&lt;&gt;"",OR(NOT(ISNUMBER(K276)),N(K276)&lt;0)),"Compteur de réalisation invalide",IF(AND(E276&lt;&gt;"Compteur",N(M276)=0,IFERROR(N(INDEX(eq_start,MATCH(B276,eq_code,0))),0)=0),"Date de départ manquante",IF(AND(E276&lt;&gt;"Calendrier",K276="",N(N276)=0),"Compteur de départ manquant",IF(AND(E276&lt;&gt;"Calendrier",N(Q276)=0),"Relevé compteur manquant (Équipements)",IF(AND(I276&lt;&gt;"",ISNA(MATCH(I276,tech_name,0))),"Technicien inconnu",IF(AND(L276&lt;&gt;"",L276&lt;&gt;"Oui",L276&lt;&gt;"Non"),"Actif : Oui ou Non","OK")))))))))))))))))</f>
        <v/>
      </c>
      <c r="W276" s="67">
        <f>IFERROR(N(INDEX(eq_use,MATCH(B276,eq_code,0))),0)</f>
        <v>0.0</v>
      </c>
      <c r="X276" s="67" t="str">
        <f>IF(AND(ISNUMBER(S276),W276&gt;0),p_today+MAX(0,ROUNDUP(S276*7/W276,0)),"")</f>
        <v/>
      </c>
      <c r="Y276" s="67" t="str">
        <f>IF(AND(ISNUMBER(T276),OR(U276="En retard",U276="Bientôt",U276="À jour")),IF(AND(ISNUMBER(O276),ISNUMBER(X276)),MIN(F276,G276*7/W276),IF(ISNUMBER(O276),F276,G276*7/W276)),"")</f>
        <v/>
      </c>
      <c r="Z276" s="67" t="str">
        <f>IF(OR(U276="En retard",U276="Bientôt"),IF(U276="En retard",0,1)*1000000000+IF(AB276="A",0,IF(AB276="B",1,IF(AB276="C",2,3)))*100000000+IF(ISNUMBER(T276),T276,p_today)*1000+ROW()-5,"")</f>
        <v/>
      </c>
      <c r="AA276" s="67" t="str">
        <f>IF(Z276="","",COUNTIF($Z$6:$Z$505,"&lt;"&amp;Z276)+1)</f>
        <v/>
      </c>
      <c r="AB276" s="67" t="str">
        <f>IFERROR(INDEX(eq_crit,MATCH(B276,eq_code,0))&amp;"","")</f>
        <v/>
      </c>
    </row>
    <row r="277">
      <c r="A277" s="65" t="n"/>
      <c r="B277" s="66" t="n"/>
      <c r="C277" s="67" t="str">
        <f>IF(B277="","",IFERROR(INDEX(eq_des,MATCH(B277,eq_code,0))&amp;"","Équipement inconnu"))</f>
        <v/>
      </c>
      <c r="D277" s="66" t="n"/>
      <c r="E277" s="68" t="n"/>
      <c r="F277" s="69" t="n"/>
      <c r="G277" s="70" t="n"/>
      <c r="H277" s="71" t="n"/>
      <c r="I277" s="66" t="n"/>
      <c r="J277" s="72" t="n"/>
      <c r="K277" s="73" t="n"/>
      <c r="L277" s="68" t="n"/>
      <c r="M277" s="74" t="str">
        <f>IF(AND(A277="",B277="",D277=""),"",MAX(N(J277),IF(A277="",0,SUMPRODUCT(MAX((in_plan=A277)*in_prev*in_dnum)))))</f>
        <v/>
      </c>
      <c r="N277" s="75" t="str">
        <f>IF(AND(A277="",B277="",D277=""),"",MAX(N(K277),IF(A277="",0,SUMPRODUCT(MAX((in_plan=A277)*in_prev*in_cnum)))))</f>
        <v/>
      </c>
      <c r="O277" s="76" t="str">
        <f>IF(AND(OR(E277="Calendrier",E277="Au premier des deux"),N(F277)&gt;0,IF(N(M277)&gt;0,M277,IFERROR(N(INDEX(eq_start,MATCH(B277,eq_code,0))),0))&gt;0),IF(N(M277)&gt;0,M277,IFERROR(N(INDEX(eq_start,MATCH(B277,eq_code,0))),0))+F277,"")</f>
        <v/>
      </c>
      <c r="P277" s="75" t="str">
        <f>IF(AND(OR(E277="Compteur",E277="Au premier des deux"),N(G277)&gt;0),N(N277)+G277,"")</f>
        <v/>
      </c>
      <c r="Q277" s="75" t="str">
        <f>IF(B277="","",IFERROR(N(INDEX(eq_cnt,MATCH(B277,eq_code,0))),""))</f>
        <v/>
      </c>
      <c r="R277" s="77" t="str">
        <f>IF(ISNUMBER(O277),O277-p_today,"")</f>
        <v/>
      </c>
      <c r="S277" s="78" t="str">
        <f>IF(AND(ISNUMBER(P277),N(Q277)&gt;0),P277-Q277,"")</f>
        <v/>
      </c>
      <c r="T277" s="76" t="str">
        <f>IF(AND(ISNUMBER(O277),ISNUMBER(X277)),MIN(O277,X277),IF(ISNUMBER(O277),O277,X277))</f>
        <v/>
      </c>
      <c r="U277" s="79" t="str">
        <f>IF(AND(A277="",B277="",D277=""),"",IF(L277="Non","Inactif",IF(AND(NOT(ISNUMBER(R277)),NOT(ISNUMBER(S277))),"À compléter",IF(OR(AND(ISNUMBER(R277),N(R277)&lt;0),AND(ISNUMBER(S277),N(S277)&lt;0)),"En retard",IF(OR(AND(ISNUMBER(R277),N(R277)&lt;=p_soon),AND(ISNUMBER(S277),N(S277)&lt;=p_soon_pct*N(G277))),"Bientôt","À jour")))))</f>
        <v/>
      </c>
      <c r="V277" s="79" t="str">
        <f>IF(AND(A277="",B277="",D277=""),"",IF(A277="","N° de plan manquant",IF(COUNTIF($A$6:$A$505,A277)&gt;1,"N° de plan en double",IF(B277="","Équipement manquant",IF(ISNA(MATCH(B277,eq_code,0)),"Équipement inconnu",IF(D277="","Tâche manquante",IF(E277="","Déclenchement manquant",IF(AND(E277&lt;&gt;"Calendrier",E277&lt;&gt;"Compteur",E277&lt;&gt;"Au premier des deux"),"Déclenchement inconnu",IF(AND(E277&lt;&gt;"Compteur",OR(NOT(ISNUMBER(F277)),N(F277)&lt;=0)),"Périodicité en jours manquante",IF(AND(E277&lt;&gt;"Calendrier",OR(NOT(ISNUMBER(G277)),N(G277)&lt;=0)),"Périodicité compteur manquante",IF(AND(J277&lt;&gt;"",OR(NOT(ISNUMBER(J277)),N(J277)&lt;=0)),"Date de réalisation invalide",IF(AND(K277&lt;&gt;"",OR(NOT(ISNUMBER(K277)),N(K277)&lt;0)),"Compteur de réalisation invalide",IF(AND(E277&lt;&gt;"Compteur",N(M277)=0,IFERROR(N(INDEX(eq_start,MATCH(B277,eq_code,0))),0)=0),"Date de départ manquante",IF(AND(E277&lt;&gt;"Calendrier",K277="",N(N277)=0),"Compteur de départ manquant",IF(AND(E277&lt;&gt;"Calendrier",N(Q277)=0),"Relevé compteur manquant (Équipements)",IF(AND(I277&lt;&gt;"",ISNA(MATCH(I277,tech_name,0))),"Technicien inconnu",IF(AND(L277&lt;&gt;"",L277&lt;&gt;"Oui",L277&lt;&gt;"Non"),"Actif : Oui ou Non","OK")))))))))))))))))</f>
        <v/>
      </c>
      <c r="W277" s="67">
        <f>IFERROR(N(INDEX(eq_use,MATCH(B277,eq_code,0))),0)</f>
        <v>0.0</v>
      </c>
      <c r="X277" s="67" t="str">
        <f>IF(AND(ISNUMBER(S277),W277&gt;0),p_today+MAX(0,ROUNDUP(S277*7/W277,0)),"")</f>
        <v/>
      </c>
      <c r="Y277" s="67" t="str">
        <f>IF(AND(ISNUMBER(T277),OR(U277="En retard",U277="Bientôt",U277="À jour")),IF(AND(ISNUMBER(O277),ISNUMBER(X277)),MIN(F277,G277*7/W277),IF(ISNUMBER(O277),F277,G277*7/W277)),"")</f>
        <v/>
      </c>
      <c r="Z277" s="67" t="str">
        <f>IF(OR(U277="En retard",U277="Bientôt"),IF(U277="En retard",0,1)*1000000000+IF(AB277="A",0,IF(AB277="B",1,IF(AB277="C",2,3)))*100000000+IF(ISNUMBER(T277),T277,p_today)*1000+ROW()-5,"")</f>
        <v/>
      </c>
      <c r="AA277" s="67" t="str">
        <f>IF(Z277="","",COUNTIF($Z$6:$Z$505,"&lt;"&amp;Z277)+1)</f>
        <v/>
      </c>
      <c r="AB277" s="67" t="str">
        <f>IFERROR(INDEX(eq_crit,MATCH(B277,eq_code,0))&amp;"","")</f>
        <v/>
      </c>
    </row>
    <row r="278">
      <c r="A278" s="65" t="n"/>
      <c r="B278" s="66" t="n"/>
      <c r="C278" s="67" t="str">
        <f>IF(B278="","",IFERROR(INDEX(eq_des,MATCH(B278,eq_code,0))&amp;"","Équipement inconnu"))</f>
        <v/>
      </c>
      <c r="D278" s="66" t="n"/>
      <c r="E278" s="68" t="n"/>
      <c r="F278" s="69" t="n"/>
      <c r="G278" s="70" t="n"/>
      <c r="H278" s="71" t="n"/>
      <c r="I278" s="66" t="n"/>
      <c r="J278" s="72" t="n"/>
      <c r="K278" s="73" t="n"/>
      <c r="L278" s="68" t="n"/>
      <c r="M278" s="74" t="str">
        <f>IF(AND(A278="",B278="",D278=""),"",MAX(N(J278),IF(A278="",0,SUMPRODUCT(MAX((in_plan=A278)*in_prev*in_dnum)))))</f>
        <v/>
      </c>
      <c r="N278" s="75" t="str">
        <f>IF(AND(A278="",B278="",D278=""),"",MAX(N(K278),IF(A278="",0,SUMPRODUCT(MAX((in_plan=A278)*in_prev*in_cnum)))))</f>
        <v/>
      </c>
      <c r="O278" s="76" t="str">
        <f>IF(AND(OR(E278="Calendrier",E278="Au premier des deux"),N(F278)&gt;0,IF(N(M278)&gt;0,M278,IFERROR(N(INDEX(eq_start,MATCH(B278,eq_code,0))),0))&gt;0),IF(N(M278)&gt;0,M278,IFERROR(N(INDEX(eq_start,MATCH(B278,eq_code,0))),0))+F278,"")</f>
        <v/>
      </c>
      <c r="P278" s="75" t="str">
        <f>IF(AND(OR(E278="Compteur",E278="Au premier des deux"),N(G278)&gt;0),N(N278)+G278,"")</f>
        <v/>
      </c>
      <c r="Q278" s="75" t="str">
        <f>IF(B278="","",IFERROR(N(INDEX(eq_cnt,MATCH(B278,eq_code,0))),""))</f>
        <v/>
      </c>
      <c r="R278" s="77" t="str">
        <f>IF(ISNUMBER(O278),O278-p_today,"")</f>
        <v/>
      </c>
      <c r="S278" s="78" t="str">
        <f>IF(AND(ISNUMBER(P278),N(Q278)&gt;0),P278-Q278,"")</f>
        <v/>
      </c>
      <c r="T278" s="76" t="str">
        <f>IF(AND(ISNUMBER(O278),ISNUMBER(X278)),MIN(O278,X278),IF(ISNUMBER(O278),O278,X278))</f>
        <v/>
      </c>
      <c r="U278" s="79" t="str">
        <f>IF(AND(A278="",B278="",D278=""),"",IF(L278="Non","Inactif",IF(AND(NOT(ISNUMBER(R278)),NOT(ISNUMBER(S278))),"À compléter",IF(OR(AND(ISNUMBER(R278),N(R278)&lt;0),AND(ISNUMBER(S278),N(S278)&lt;0)),"En retard",IF(OR(AND(ISNUMBER(R278),N(R278)&lt;=p_soon),AND(ISNUMBER(S278),N(S278)&lt;=p_soon_pct*N(G278))),"Bientôt","À jour")))))</f>
        <v/>
      </c>
      <c r="V278" s="79" t="str">
        <f>IF(AND(A278="",B278="",D278=""),"",IF(A278="","N° de plan manquant",IF(COUNTIF($A$6:$A$505,A278)&gt;1,"N° de plan en double",IF(B278="","Équipement manquant",IF(ISNA(MATCH(B278,eq_code,0)),"Équipement inconnu",IF(D278="","Tâche manquante",IF(E278="","Déclenchement manquant",IF(AND(E278&lt;&gt;"Calendrier",E278&lt;&gt;"Compteur",E278&lt;&gt;"Au premier des deux"),"Déclenchement inconnu",IF(AND(E278&lt;&gt;"Compteur",OR(NOT(ISNUMBER(F278)),N(F278)&lt;=0)),"Périodicité en jours manquante",IF(AND(E278&lt;&gt;"Calendrier",OR(NOT(ISNUMBER(G278)),N(G278)&lt;=0)),"Périodicité compteur manquante",IF(AND(J278&lt;&gt;"",OR(NOT(ISNUMBER(J278)),N(J278)&lt;=0)),"Date de réalisation invalide",IF(AND(K278&lt;&gt;"",OR(NOT(ISNUMBER(K278)),N(K278)&lt;0)),"Compteur de réalisation invalide",IF(AND(E278&lt;&gt;"Compteur",N(M278)=0,IFERROR(N(INDEX(eq_start,MATCH(B278,eq_code,0))),0)=0),"Date de départ manquante",IF(AND(E278&lt;&gt;"Calendrier",K278="",N(N278)=0),"Compteur de départ manquant",IF(AND(E278&lt;&gt;"Calendrier",N(Q278)=0),"Relevé compteur manquant (Équipements)",IF(AND(I278&lt;&gt;"",ISNA(MATCH(I278,tech_name,0))),"Technicien inconnu",IF(AND(L278&lt;&gt;"",L278&lt;&gt;"Oui",L278&lt;&gt;"Non"),"Actif : Oui ou Non","OK")))))))))))))))))</f>
        <v/>
      </c>
      <c r="W278" s="67">
        <f>IFERROR(N(INDEX(eq_use,MATCH(B278,eq_code,0))),0)</f>
        <v>0.0</v>
      </c>
      <c r="X278" s="67" t="str">
        <f>IF(AND(ISNUMBER(S278),W278&gt;0),p_today+MAX(0,ROUNDUP(S278*7/W278,0)),"")</f>
        <v/>
      </c>
      <c r="Y278" s="67" t="str">
        <f>IF(AND(ISNUMBER(T278),OR(U278="En retard",U278="Bientôt",U278="À jour")),IF(AND(ISNUMBER(O278),ISNUMBER(X278)),MIN(F278,G278*7/W278),IF(ISNUMBER(O278),F278,G278*7/W278)),"")</f>
        <v/>
      </c>
      <c r="Z278" s="67" t="str">
        <f>IF(OR(U278="En retard",U278="Bientôt"),IF(U278="En retard",0,1)*1000000000+IF(AB278="A",0,IF(AB278="B",1,IF(AB278="C",2,3)))*100000000+IF(ISNUMBER(T278),T278,p_today)*1000+ROW()-5,"")</f>
        <v/>
      </c>
      <c r="AA278" s="67" t="str">
        <f>IF(Z278="","",COUNTIF($Z$6:$Z$505,"&lt;"&amp;Z278)+1)</f>
        <v/>
      </c>
      <c r="AB278" s="67" t="str">
        <f>IFERROR(INDEX(eq_crit,MATCH(B278,eq_code,0))&amp;"","")</f>
        <v/>
      </c>
    </row>
    <row r="279">
      <c r="A279" s="65" t="n"/>
      <c r="B279" s="66" t="n"/>
      <c r="C279" s="67" t="str">
        <f>IF(B279="","",IFERROR(INDEX(eq_des,MATCH(B279,eq_code,0))&amp;"","Équipement inconnu"))</f>
        <v/>
      </c>
      <c r="D279" s="66" t="n"/>
      <c r="E279" s="68" t="n"/>
      <c r="F279" s="69" t="n"/>
      <c r="G279" s="70" t="n"/>
      <c r="H279" s="71" t="n"/>
      <c r="I279" s="66" t="n"/>
      <c r="J279" s="72" t="n"/>
      <c r="K279" s="73" t="n"/>
      <c r="L279" s="68" t="n"/>
      <c r="M279" s="74" t="str">
        <f>IF(AND(A279="",B279="",D279=""),"",MAX(N(J279),IF(A279="",0,SUMPRODUCT(MAX((in_plan=A279)*in_prev*in_dnum)))))</f>
        <v/>
      </c>
      <c r="N279" s="75" t="str">
        <f>IF(AND(A279="",B279="",D279=""),"",MAX(N(K279),IF(A279="",0,SUMPRODUCT(MAX((in_plan=A279)*in_prev*in_cnum)))))</f>
        <v/>
      </c>
      <c r="O279" s="76" t="str">
        <f>IF(AND(OR(E279="Calendrier",E279="Au premier des deux"),N(F279)&gt;0,IF(N(M279)&gt;0,M279,IFERROR(N(INDEX(eq_start,MATCH(B279,eq_code,0))),0))&gt;0),IF(N(M279)&gt;0,M279,IFERROR(N(INDEX(eq_start,MATCH(B279,eq_code,0))),0))+F279,"")</f>
        <v/>
      </c>
      <c r="P279" s="75" t="str">
        <f>IF(AND(OR(E279="Compteur",E279="Au premier des deux"),N(G279)&gt;0),N(N279)+G279,"")</f>
        <v/>
      </c>
      <c r="Q279" s="75" t="str">
        <f>IF(B279="","",IFERROR(N(INDEX(eq_cnt,MATCH(B279,eq_code,0))),""))</f>
        <v/>
      </c>
      <c r="R279" s="77" t="str">
        <f>IF(ISNUMBER(O279),O279-p_today,"")</f>
        <v/>
      </c>
      <c r="S279" s="78" t="str">
        <f>IF(AND(ISNUMBER(P279),N(Q279)&gt;0),P279-Q279,"")</f>
        <v/>
      </c>
      <c r="T279" s="76" t="str">
        <f>IF(AND(ISNUMBER(O279),ISNUMBER(X279)),MIN(O279,X279),IF(ISNUMBER(O279),O279,X279))</f>
        <v/>
      </c>
      <c r="U279" s="79" t="str">
        <f>IF(AND(A279="",B279="",D279=""),"",IF(L279="Non","Inactif",IF(AND(NOT(ISNUMBER(R279)),NOT(ISNUMBER(S279))),"À compléter",IF(OR(AND(ISNUMBER(R279),N(R279)&lt;0),AND(ISNUMBER(S279),N(S279)&lt;0)),"En retard",IF(OR(AND(ISNUMBER(R279),N(R279)&lt;=p_soon),AND(ISNUMBER(S279),N(S279)&lt;=p_soon_pct*N(G279))),"Bientôt","À jour")))))</f>
        <v/>
      </c>
      <c r="V279" s="79" t="str">
        <f>IF(AND(A279="",B279="",D279=""),"",IF(A279="","N° de plan manquant",IF(COUNTIF($A$6:$A$505,A279)&gt;1,"N° de plan en double",IF(B279="","Équipement manquant",IF(ISNA(MATCH(B279,eq_code,0)),"Équipement inconnu",IF(D279="","Tâche manquante",IF(E279="","Déclenchement manquant",IF(AND(E279&lt;&gt;"Calendrier",E279&lt;&gt;"Compteur",E279&lt;&gt;"Au premier des deux"),"Déclenchement inconnu",IF(AND(E279&lt;&gt;"Compteur",OR(NOT(ISNUMBER(F279)),N(F279)&lt;=0)),"Périodicité en jours manquante",IF(AND(E279&lt;&gt;"Calendrier",OR(NOT(ISNUMBER(G279)),N(G279)&lt;=0)),"Périodicité compteur manquante",IF(AND(J279&lt;&gt;"",OR(NOT(ISNUMBER(J279)),N(J279)&lt;=0)),"Date de réalisation invalide",IF(AND(K279&lt;&gt;"",OR(NOT(ISNUMBER(K279)),N(K279)&lt;0)),"Compteur de réalisation invalide",IF(AND(E279&lt;&gt;"Compteur",N(M279)=0,IFERROR(N(INDEX(eq_start,MATCH(B279,eq_code,0))),0)=0),"Date de départ manquante",IF(AND(E279&lt;&gt;"Calendrier",K279="",N(N279)=0),"Compteur de départ manquant",IF(AND(E279&lt;&gt;"Calendrier",N(Q279)=0),"Relevé compteur manquant (Équipements)",IF(AND(I279&lt;&gt;"",ISNA(MATCH(I279,tech_name,0))),"Technicien inconnu",IF(AND(L279&lt;&gt;"",L279&lt;&gt;"Oui",L279&lt;&gt;"Non"),"Actif : Oui ou Non","OK")))))))))))))))))</f>
        <v/>
      </c>
      <c r="W279" s="67">
        <f>IFERROR(N(INDEX(eq_use,MATCH(B279,eq_code,0))),0)</f>
        <v>0.0</v>
      </c>
      <c r="X279" s="67" t="str">
        <f>IF(AND(ISNUMBER(S279),W279&gt;0),p_today+MAX(0,ROUNDUP(S279*7/W279,0)),"")</f>
        <v/>
      </c>
      <c r="Y279" s="67" t="str">
        <f>IF(AND(ISNUMBER(T279),OR(U279="En retard",U279="Bientôt",U279="À jour")),IF(AND(ISNUMBER(O279),ISNUMBER(X279)),MIN(F279,G279*7/W279),IF(ISNUMBER(O279),F279,G279*7/W279)),"")</f>
        <v/>
      </c>
      <c r="Z279" s="67" t="str">
        <f>IF(OR(U279="En retard",U279="Bientôt"),IF(U279="En retard",0,1)*1000000000+IF(AB279="A",0,IF(AB279="B",1,IF(AB279="C",2,3)))*100000000+IF(ISNUMBER(T279),T279,p_today)*1000+ROW()-5,"")</f>
        <v/>
      </c>
      <c r="AA279" s="67" t="str">
        <f>IF(Z279="","",COUNTIF($Z$6:$Z$505,"&lt;"&amp;Z279)+1)</f>
        <v/>
      </c>
      <c r="AB279" s="67" t="str">
        <f>IFERROR(INDEX(eq_crit,MATCH(B279,eq_code,0))&amp;"","")</f>
        <v/>
      </c>
    </row>
    <row r="280">
      <c r="A280" s="65" t="n"/>
      <c r="B280" s="66" t="n"/>
      <c r="C280" s="67" t="str">
        <f>IF(B280="","",IFERROR(INDEX(eq_des,MATCH(B280,eq_code,0))&amp;"","Équipement inconnu"))</f>
        <v/>
      </c>
      <c r="D280" s="66" t="n"/>
      <c r="E280" s="68" t="n"/>
      <c r="F280" s="69" t="n"/>
      <c r="G280" s="70" t="n"/>
      <c r="H280" s="71" t="n"/>
      <c r="I280" s="66" t="n"/>
      <c r="J280" s="72" t="n"/>
      <c r="K280" s="73" t="n"/>
      <c r="L280" s="68" t="n"/>
      <c r="M280" s="74" t="str">
        <f>IF(AND(A280="",B280="",D280=""),"",MAX(N(J280),IF(A280="",0,SUMPRODUCT(MAX((in_plan=A280)*in_prev*in_dnum)))))</f>
        <v/>
      </c>
      <c r="N280" s="75" t="str">
        <f>IF(AND(A280="",B280="",D280=""),"",MAX(N(K280),IF(A280="",0,SUMPRODUCT(MAX((in_plan=A280)*in_prev*in_cnum)))))</f>
        <v/>
      </c>
      <c r="O280" s="76" t="str">
        <f>IF(AND(OR(E280="Calendrier",E280="Au premier des deux"),N(F280)&gt;0,IF(N(M280)&gt;0,M280,IFERROR(N(INDEX(eq_start,MATCH(B280,eq_code,0))),0))&gt;0),IF(N(M280)&gt;0,M280,IFERROR(N(INDEX(eq_start,MATCH(B280,eq_code,0))),0))+F280,"")</f>
        <v/>
      </c>
      <c r="P280" s="75" t="str">
        <f>IF(AND(OR(E280="Compteur",E280="Au premier des deux"),N(G280)&gt;0),N(N280)+G280,"")</f>
        <v/>
      </c>
      <c r="Q280" s="75" t="str">
        <f>IF(B280="","",IFERROR(N(INDEX(eq_cnt,MATCH(B280,eq_code,0))),""))</f>
        <v/>
      </c>
      <c r="R280" s="77" t="str">
        <f>IF(ISNUMBER(O280),O280-p_today,"")</f>
        <v/>
      </c>
      <c r="S280" s="78" t="str">
        <f>IF(AND(ISNUMBER(P280),N(Q280)&gt;0),P280-Q280,"")</f>
        <v/>
      </c>
      <c r="T280" s="76" t="str">
        <f>IF(AND(ISNUMBER(O280),ISNUMBER(X280)),MIN(O280,X280),IF(ISNUMBER(O280),O280,X280))</f>
        <v/>
      </c>
      <c r="U280" s="79" t="str">
        <f>IF(AND(A280="",B280="",D280=""),"",IF(L280="Non","Inactif",IF(AND(NOT(ISNUMBER(R280)),NOT(ISNUMBER(S280))),"À compléter",IF(OR(AND(ISNUMBER(R280),N(R280)&lt;0),AND(ISNUMBER(S280),N(S280)&lt;0)),"En retard",IF(OR(AND(ISNUMBER(R280),N(R280)&lt;=p_soon),AND(ISNUMBER(S280),N(S280)&lt;=p_soon_pct*N(G280))),"Bientôt","À jour")))))</f>
        <v/>
      </c>
      <c r="V280" s="79" t="str">
        <f>IF(AND(A280="",B280="",D280=""),"",IF(A280="","N° de plan manquant",IF(COUNTIF($A$6:$A$505,A280)&gt;1,"N° de plan en double",IF(B280="","Équipement manquant",IF(ISNA(MATCH(B280,eq_code,0)),"Équipement inconnu",IF(D280="","Tâche manquante",IF(E280="","Déclenchement manquant",IF(AND(E280&lt;&gt;"Calendrier",E280&lt;&gt;"Compteur",E280&lt;&gt;"Au premier des deux"),"Déclenchement inconnu",IF(AND(E280&lt;&gt;"Compteur",OR(NOT(ISNUMBER(F280)),N(F280)&lt;=0)),"Périodicité en jours manquante",IF(AND(E280&lt;&gt;"Calendrier",OR(NOT(ISNUMBER(G280)),N(G280)&lt;=0)),"Périodicité compteur manquante",IF(AND(J280&lt;&gt;"",OR(NOT(ISNUMBER(J280)),N(J280)&lt;=0)),"Date de réalisation invalide",IF(AND(K280&lt;&gt;"",OR(NOT(ISNUMBER(K280)),N(K280)&lt;0)),"Compteur de réalisation invalide",IF(AND(E280&lt;&gt;"Compteur",N(M280)=0,IFERROR(N(INDEX(eq_start,MATCH(B280,eq_code,0))),0)=0),"Date de départ manquante",IF(AND(E280&lt;&gt;"Calendrier",K280="",N(N280)=0),"Compteur de départ manquant",IF(AND(E280&lt;&gt;"Calendrier",N(Q280)=0),"Relevé compteur manquant (Équipements)",IF(AND(I280&lt;&gt;"",ISNA(MATCH(I280,tech_name,0))),"Technicien inconnu",IF(AND(L280&lt;&gt;"",L280&lt;&gt;"Oui",L280&lt;&gt;"Non"),"Actif : Oui ou Non","OK")))))))))))))))))</f>
        <v/>
      </c>
      <c r="W280" s="67">
        <f>IFERROR(N(INDEX(eq_use,MATCH(B280,eq_code,0))),0)</f>
        <v>0.0</v>
      </c>
      <c r="X280" s="67" t="str">
        <f>IF(AND(ISNUMBER(S280),W280&gt;0),p_today+MAX(0,ROUNDUP(S280*7/W280,0)),"")</f>
        <v/>
      </c>
      <c r="Y280" s="67" t="str">
        <f>IF(AND(ISNUMBER(T280),OR(U280="En retard",U280="Bientôt",U280="À jour")),IF(AND(ISNUMBER(O280),ISNUMBER(X280)),MIN(F280,G280*7/W280),IF(ISNUMBER(O280),F280,G280*7/W280)),"")</f>
        <v/>
      </c>
      <c r="Z280" s="67" t="str">
        <f>IF(OR(U280="En retard",U280="Bientôt"),IF(U280="En retard",0,1)*1000000000+IF(AB280="A",0,IF(AB280="B",1,IF(AB280="C",2,3)))*100000000+IF(ISNUMBER(T280),T280,p_today)*1000+ROW()-5,"")</f>
        <v/>
      </c>
      <c r="AA280" s="67" t="str">
        <f>IF(Z280="","",COUNTIF($Z$6:$Z$505,"&lt;"&amp;Z280)+1)</f>
        <v/>
      </c>
      <c r="AB280" s="67" t="str">
        <f>IFERROR(INDEX(eq_crit,MATCH(B280,eq_code,0))&amp;"","")</f>
        <v/>
      </c>
    </row>
    <row r="281">
      <c r="A281" s="65" t="n"/>
      <c r="B281" s="66" t="n"/>
      <c r="C281" s="67" t="str">
        <f>IF(B281="","",IFERROR(INDEX(eq_des,MATCH(B281,eq_code,0))&amp;"","Équipement inconnu"))</f>
        <v/>
      </c>
      <c r="D281" s="66" t="n"/>
      <c r="E281" s="68" t="n"/>
      <c r="F281" s="69" t="n"/>
      <c r="G281" s="70" t="n"/>
      <c r="H281" s="71" t="n"/>
      <c r="I281" s="66" t="n"/>
      <c r="J281" s="72" t="n"/>
      <c r="K281" s="73" t="n"/>
      <c r="L281" s="68" t="n"/>
      <c r="M281" s="74" t="str">
        <f>IF(AND(A281="",B281="",D281=""),"",MAX(N(J281),IF(A281="",0,SUMPRODUCT(MAX((in_plan=A281)*in_prev*in_dnum)))))</f>
        <v/>
      </c>
      <c r="N281" s="75" t="str">
        <f>IF(AND(A281="",B281="",D281=""),"",MAX(N(K281),IF(A281="",0,SUMPRODUCT(MAX((in_plan=A281)*in_prev*in_cnum)))))</f>
        <v/>
      </c>
      <c r="O281" s="76" t="str">
        <f>IF(AND(OR(E281="Calendrier",E281="Au premier des deux"),N(F281)&gt;0,IF(N(M281)&gt;0,M281,IFERROR(N(INDEX(eq_start,MATCH(B281,eq_code,0))),0))&gt;0),IF(N(M281)&gt;0,M281,IFERROR(N(INDEX(eq_start,MATCH(B281,eq_code,0))),0))+F281,"")</f>
        <v/>
      </c>
      <c r="P281" s="75" t="str">
        <f>IF(AND(OR(E281="Compteur",E281="Au premier des deux"),N(G281)&gt;0),N(N281)+G281,"")</f>
        <v/>
      </c>
      <c r="Q281" s="75" t="str">
        <f>IF(B281="","",IFERROR(N(INDEX(eq_cnt,MATCH(B281,eq_code,0))),""))</f>
        <v/>
      </c>
      <c r="R281" s="77" t="str">
        <f>IF(ISNUMBER(O281),O281-p_today,"")</f>
        <v/>
      </c>
      <c r="S281" s="78" t="str">
        <f>IF(AND(ISNUMBER(P281),N(Q281)&gt;0),P281-Q281,"")</f>
        <v/>
      </c>
      <c r="T281" s="76" t="str">
        <f>IF(AND(ISNUMBER(O281),ISNUMBER(X281)),MIN(O281,X281),IF(ISNUMBER(O281),O281,X281))</f>
        <v/>
      </c>
      <c r="U281" s="79" t="str">
        <f>IF(AND(A281="",B281="",D281=""),"",IF(L281="Non","Inactif",IF(AND(NOT(ISNUMBER(R281)),NOT(ISNUMBER(S281))),"À compléter",IF(OR(AND(ISNUMBER(R281),N(R281)&lt;0),AND(ISNUMBER(S281),N(S281)&lt;0)),"En retard",IF(OR(AND(ISNUMBER(R281),N(R281)&lt;=p_soon),AND(ISNUMBER(S281),N(S281)&lt;=p_soon_pct*N(G281))),"Bientôt","À jour")))))</f>
        <v/>
      </c>
      <c r="V281" s="79" t="str">
        <f>IF(AND(A281="",B281="",D281=""),"",IF(A281="","N° de plan manquant",IF(COUNTIF($A$6:$A$505,A281)&gt;1,"N° de plan en double",IF(B281="","Équipement manquant",IF(ISNA(MATCH(B281,eq_code,0)),"Équipement inconnu",IF(D281="","Tâche manquante",IF(E281="","Déclenchement manquant",IF(AND(E281&lt;&gt;"Calendrier",E281&lt;&gt;"Compteur",E281&lt;&gt;"Au premier des deux"),"Déclenchement inconnu",IF(AND(E281&lt;&gt;"Compteur",OR(NOT(ISNUMBER(F281)),N(F281)&lt;=0)),"Périodicité en jours manquante",IF(AND(E281&lt;&gt;"Calendrier",OR(NOT(ISNUMBER(G281)),N(G281)&lt;=0)),"Périodicité compteur manquante",IF(AND(J281&lt;&gt;"",OR(NOT(ISNUMBER(J281)),N(J281)&lt;=0)),"Date de réalisation invalide",IF(AND(K281&lt;&gt;"",OR(NOT(ISNUMBER(K281)),N(K281)&lt;0)),"Compteur de réalisation invalide",IF(AND(E281&lt;&gt;"Compteur",N(M281)=0,IFERROR(N(INDEX(eq_start,MATCH(B281,eq_code,0))),0)=0),"Date de départ manquante",IF(AND(E281&lt;&gt;"Calendrier",K281="",N(N281)=0),"Compteur de départ manquant",IF(AND(E281&lt;&gt;"Calendrier",N(Q281)=0),"Relevé compteur manquant (Équipements)",IF(AND(I281&lt;&gt;"",ISNA(MATCH(I281,tech_name,0))),"Technicien inconnu",IF(AND(L281&lt;&gt;"",L281&lt;&gt;"Oui",L281&lt;&gt;"Non"),"Actif : Oui ou Non","OK")))))))))))))))))</f>
        <v/>
      </c>
      <c r="W281" s="67">
        <f>IFERROR(N(INDEX(eq_use,MATCH(B281,eq_code,0))),0)</f>
        <v>0.0</v>
      </c>
      <c r="X281" s="67" t="str">
        <f>IF(AND(ISNUMBER(S281),W281&gt;0),p_today+MAX(0,ROUNDUP(S281*7/W281,0)),"")</f>
        <v/>
      </c>
      <c r="Y281" s="67" t="str">
        <f>IF(AND(ISNUMBER(T281),OR(U281="En retard",U281="Bientôt",U281="À jour")),IF(AND(ISNUMBER(O281),ISNUMBER(X281)),MIN(F281,G281*7/W281),IF(ISNUMBER(O281),F281,G281*7/W281)),"")</f>
        <v/>
      </c>
      <c r="Z281" s="67" t="str">
        <f>IF(OR(U281="En retard",U281="Bientôt"),IF(U281="En retard",0,1)*1000000000+IF(AB281="A",0,IF(AB281="B",1,IF(AB281="C",2,3)))*100000000+IF(ISNUMBER(T281),T281,p_today)*1000+ROW()-5,"")</f>
        <v/>
      </c>
      <c r="AA281" s="67" t="str">
        <f>IF(Z281="","",COUNTIF($Z$6:$Z$505,"&lt;"&amp;Z281)+1)</f>
        <v/>
      </c>
      <c r="AB281" s="67" t="str">
        <f>IFERROR(INDEX(eq_crit,MATCH(B281,eq_code,0))&amp;"","")</f>
        <v/>
      </c>
    </row>
    <row r="282">
      <c r="A282" s="65" t="n"/>
      <c r="B282" s="66" t="n"/>
      <c r="C282" s="67" t="str">
        <f>IF(B282="","",IFERROR(INDEX(eq_des,MATCH(B282,eq_code,0))&amp;"","Équipement inconnu"))</f>
        <v/>
      </c>
      <c r="D282" s="66" t="n"/>
      <c r="E282" s="68" t="n"/>
      <c r="F282" s="69" t="n"/>
      <c r="G282" s="70" t="n"/>
      <c r="H282" s="71" t="n"/>
      <c r="I282" s="66" t="n"/>
      <c r="J282" s="72" t="n"/>
      <c r="K282" s="73" t="n"/>
      <c r="L282" s="68" t="n"/>
      <c r="M282" s="74" t="str">
        <f>IF(AND(A282="",B282="",D282=""),"",MAX(N(J282),IF(A282="",0,SUMPRODUCT(MAX((in_plan=A282)*in_prev*in_dnum)))))</f>
        <v/>
      </c>
      <c r="N282" s="75" t="str">
        <f>IF(AND(A282="",B282="",D282=""),"",MAX(N(K282),IF(A282="",0,SUMPRODUCT(MAX((in_plan=A282)*in_prev*in_cnum)))))</f>
        <v/>
      </c>
      <c r="O282" s="76" t="str">
        <f>IF(AND(OR(E282="Calendrier",E282="Au premier des deux"),N(F282)&gt;0,IF(N(M282)&gt;0,M282,IFERROR(N(INDEX(eq_start,MATCH(B282,eq_code,0))),0))&gt;0),IF(N(M282)&gt;0,M282,IFERROR(N(INDEX(eq_start,MATCH(B282,eq_code,0))),0))+F282,"")</f>
        <v/>
      </c>
      <c r="P282" s="75" t="str">
        <f>IF(AND(OR(E282="Compteur",E282="Au premier des deux"),N(G282)&gt;0),N(N282)+G282,"")</f>
        <v/>
      </c>
      <c r="Q282" s="75" t="str">
        <f>IF(B282="","",IFERROR(N(INDEX(eq_cnt,MATCH(B282,eq_code,0))),""))</f>
        <v/>
      </c>
      <c r="R282" s="77" t="str">
        <f>IF(ISNUMBER(O282),O282-p_today,"")</f>
        <v/>
      </c>
      <c r="S282" s="78" t="str">
        <f>IF(AND(ISNUMBER(P282),N(Q282)&gt;0),P282-Q282,"")</f>
        <v/>
      </c>
      <c r="T282" s="76" t="str">
        <f>IF(AND(ISNUMBER(O282),ISNUMBER(X282)),MIN(O282,X282),IF(ISNUMBER(O282),O282,X282))</f>
        <v/>
      </c>
      <c r="U282" s="79" t="str">
        <f>IF(AND(A282="",B282="",D282=""),"",IF(L282="Non","Inactif",IF(AND(NOT(ISNUMBER(R282)),NOT(ISNUMBER(S282))),"À compléter",IF(OR(AND(ISNUMBER(R282),N(R282)&lt;0),AND(ISNUMBER(S282),N(S282)&lt;0)),"En retard",IF(OR(AND(ISNUMBER(R282),N(R282)&lt;=p_soon),AND(ISNUMBER(S282),N(S282)&lt;=p_soon_pct*N(G282))),"Bientôt","À jour")))))</f>
        <v/>
      </c>
      <c r="V282" s="79" t="str">
        <f>IF(AND(A282="",B282="",D282=""),"",IF(A282="","N° de plan manquant",IF(COUNTIF($A$6:$A$505,A282)&gt;1,"N° de plan en double",IF(B282="","Équipement manquant",IF(ISNA(MATCH(B282,eq_code,0)),"Équipement inconnu",IF(D282="","Tâche manquante",IF(E282="","Déclenchement manquant",IF(AND(E282&lt;&gt;"Calendrier",E282&lt;&gt;"Compteur",E282&lt;&gt;"Au premier des deux"),"Déclenchement inconnu",IF(AND(E282&lt;&gt;"Compteur",OR(NOT(ISNUMBER(F282)),N(F282)&lt;=0)),"Périodicité en jours manquante",IF(AND(E282&lt;&gt;"Calendrier",OR(NOT(ISNUMBER(G282)),N(G282)&lt;=0)),"Périodicité compteur manquante",IF(AND(J282&lt;&gt;"",OR(NOT(ISNUMBER(J282)),N(J282)&lt;=0)),"Date de réalisation invalide",IF(AND(K282&lt;&gt;"",OR(NOT(ISNUMBER(K282)),N(K282)&lt;0)),"Compteur de réalisation invalide",IF(AND(E282&lt;&gt;"Compteur",N(M282)=0,IFERROR(N(INDEX(eq_start,MATCH(B282,eq_code,0))),0)=0),"Date de départ manquante",IF(AND(E282&lt;&gt;"Calendrier",K282="",N(N282)=0),"Compteur de départ manquant",IF(AND(E282&lt;&gt;"Calendrier",N(Q282)=0),"Relevé compteur manquant (Équipements)",IF(AND(I282&lt;&gt;"",ISNA(MATCH(I282,tech_name,0))),"Technicien inconnu",IF(AND(L282&lt;&gt;"",L282&lt;&gt;"Oui",L282&lt;&gt;"Non"),"Actif : Oui ou Non","OK")))))))))))))))))</f>
        <v/>
      </c>
      <c r="W282" s="67">
        <f>IFERROR(N(INDEX(eq_use,MATCH(B282,eq_code,0))),0)</f>
        <v>0.0</v>
      </c>
      <c r="X282" s="67" t="str">
        <f>IF(AND(ISNUMBER(S282),W282&gt;0),p_today+MAX(0,ROUNDUP(S282*7/W282,0)),"")</f>
        <v/>
      </c>
      <c r="Y282" s="67" t="str">
        <f>IF(AND(ISNUMBER(T282),OR(U282="En retard",U282="Bientôt",U282="À jour")),IF(AND(ISNUMBER(O282),ISNUMBER(X282)),MIN(F282,G282*7/W282),IF(ISNUMBER(O282),F282,G282*7/W282)),"")</f>
        <v/>
      </c>
      <c r="Z282" s="67" t="str">
        <f>IF(OR(U282="En retard",U282="Bientôt"),IF(U282="En retard",0,1)*1000000000+IF(AB282="A",0,IF(AB282="B",1,IF(AB282="C",2,3)))*100000000+IF(ISNUMBER(T282),T282,p_today)*1000+ROW()-5,"")</f>
        <v/>
      </c>
      <c r="AA282" s="67" t="str">
        <f>IF(Z282="","",COUNTIF($Z$6:$Z$505,"&lt;"&amp;Z282)+1)</f>
        <v/>
      </c>
      <c r="AB282" s="67" t="str">
        <f>IFERROR(INDEX(eq_crit,MATCH(B282,eq_code,0))&amp;"","")</f>
        <v/>
      </c>
    </row>
    <row r="283">
      <c r="A283" s="65" t="n"/>
      <c r="B283" s="66" t="n"/>
      <c r="C283" s="67" t="str">
        <f>IF(B283="","",IFERROR(INDEX(eq_des,MATCH(B283,eq_code,0))&amp;"","Équipement inconnu"))</f>
        <v/>
      </c>
      <c r="D283" s="66" t="n"/>
      <c r="E283" s="68" t="n"/>
      <c r="F283" s="69" t="n"/>
      <c r="G283" s="70" t="n"/>
      <c r="H283" s="71" t="n"/>
      <c r="I283" s="66" t="n"/>
      <c r="J283" s="72" t="n"/>
      <c r="K283" s="73" t="n"/>
      <c r="L283" s="68" t="n"/>
      <c r="M283" s="74" t="str">
        <f>IF(AND(A283="",B283="",D283=""),"",MAX(N(J283),IF(A283="",0,SUMPRODUCT(MAX((in_plan=A283)*in_prev*in_dnum)))))</f>
        <v/>
      </c>
      <c r="N283" s="75" t="str">
        <f>IF(AND(A283="",B283="",D283=""),"",MAX(N(K283),IF(A283="",0,SUMPRODUCT(MAX((in_plan=A283)*in_prev*in_cnum)))))</f>
        <v/>
      </c>
      <c r="O283" s="76" t="str">
        <f>IF(AND(OR(E283="Calendrier",E283="Au premier des deux"),N(F283)&gt;0,IF(N(M283)&gt;0,M283,IFERROR(N(INDEX(eq_start,MATCH(B283,eq_code,0))),0))&gt;0),IF(N(M283)&gt;0,M283,IFERROR(N(INDEX(eq_start,MATCH(B283,eq_code,0))),0))+F283,"")</f>
        <v/>
      </c>
      <c r="P283" s="75" t="str">
        <f>IF(AND(OR(E283="Compteur",E283="Au premier des deux"),N(G283)&gt;0),N(N283)+G283,"")</f>
        <v/>
      </c>
      <c r="Q283" s="75" t="str">
        <f>IF(B283="","",IFERROR(N(INDEX(eq_cnt,MATCH(B283,eq_code,0))),""))</f>
        <v/>
      </c>
      <c r="R283" s="77" t="str">
        <f>IF(ISNUMBER(O283),O283-p_today,"")</f>
        <v/>
      </c>
      <c r="S283" s="78" t="str">
        <f>IF(AND(ISNUMBER(P283),N(Q283)&gt;0),P283-Q283,"")</f>
        <v/>
      </c>
      <c r="T283" s="76" t="str">
        <f>IF(AND(ISNUMBER(O283),ISNUMBER(X283)),MIN(O283,X283),IF(ISNUMBER(O283),O283,X283))</f>
        <v/>
      </c>
      <c r="U283" s="79" t="str">
        <f>IF(AND(A283="",B283="",D283=""),"",IF(L283="Non","Inactif",IF(AND(NOT(ISNUMBER(R283)),NOT(ISNUMBER(S283))),"À compléter",IF(OR(AND(ISNUMBER(R283),N(R283)&lt;0),AND(ISNUMBER(S283),N(S283)&lt;0)),"En retard",IF(OR(AND(ISNUMBER(R283),N(R283)&lt;=p_soon),AND(ISNUMBER(S283),N(S283)&lt;=p_soon_pct*N(G283))),"Bientôt","À jour")))))</f>
        <v/>
      </c>
      <c r="V283" s="79" t="str">
        <f>IF(AND(A283="",B283="",D283=""),"",IF(A283="","N° de plan manquant",IF(COUNTIF($A$6:$A$505,A283)&gt;1,"N° de plan en double",IF(B283="","Équipement manquant",IF(ISNA(MATCH(B283,eq_code,0)),"Équipement inconnu",IF(D283="","Tâche manquante",IF(E283="","Déclenchement manquant",IF(AND(E283&lt;&gt;"Calendrier",E283&lt;&gt;"Compteur",E283&lt;&gt;"Au premier des deux"),"Déclenchement inconnu",IF(AND(E283&lt;&gt;"Compteur",OR(NOT(ISNUMBER(F283)),N(F283)&lt;=0)),"Périodicité en jours manquante",IF(AND(E283&lt;&gt;"Calendrier",OR(NOT(ISNUMBER(G283)),N(G283)&lt;=0)),"Périodicité compteur manquante",IF(AND(J283&lt;&gt;"",OR(NOT(ISNUMBER(J283)),N(J283)&lt;=0)),"Date de réalisation invalide",IF(AND(K283&lt;&gt;"",OR(NOT(ISNUMBER(K283)),N(K283)&lt;0)),"Compteur de réalisation invalide",IF(AND(E283&lt;&gt;"Compteur",N(M283)=0,IFERROR(N(INDEX(eq_start,MATCH(B283,eq_code,0))),0)=0),"Date de départ manquante",IF(AND(E283&lt;&gt;"Calendrier",K283="",N(N283)=0),"Compteur de départ manquant",IF(AND(E283&lt;&gt;"Calendrier",N(Q283)=0),"Relevé compteur manquant (Équipements)",IF(AND(I283&lt;&gt;"",ISNA(MATCH(I283,tech_name,0))),"Technicien inconnu",IF(AND(L283&lt;&gt;"",L283&lt;&gt;"Oui",L283&lt;&gt;"Non"),"Actif : Oui ou Non","OK")))))))))))))))))</f>
        <v/>
      </c>
      <c r="W283" s="67">
        <f>IFERROR(N(INDEX(eq_use,MATCH(B283,eq_code,0))),0)</f>
        <v>0.0</v>
      </c>
      <c r="X283" s="67" t="str">
        <f>IF(AND(ISNUMBER(S283),W283&gt;0),p_today+MAX(0,ROUNDUP(S283*7/W283,0)),"")</f>
        <v/>
      </c>
      <c r="Y283" s="67" t="str">
        <f>IF(AND(ISNUMBER(T283),OR(U283="En retard",U283="Bientôt",U283="À jour")),IF(AND(ISNUMBER(O283),ISNUMBER(X283)),MIN(F283,G283*7/W283),IF(ISNUMBER(O283),F283,G283*7/W283)),"")</f>
        <v/>
      </c>
      <c r="Z283" s="67" t="str">
        <f>IF(OR(U283="En retard",U283="Bientôt"),IF(U283="En retard",0,1)*1000000000+IF(AB283="A",0,IF(AB283="B",1,IF(AB283="C",2,3)))*100000000+IF(ISNUMBER(T283),T283,p_today)*1000+ROW()-5,"")</f>
        <v/>
      </c>
      <c r="AA283" s="67" t="str">
        <f>IF(Z283="","",COUNTIF($Z$6:$Z$505,"&lt;"&amp;Z283)+1)</f>
        <v/>
      </c>
      <c r="AB283" s="67" t="str">
        <f>IFERROR(INDEX(eq_crit,MATCH(B283,eq_code,0))&amp;"","")</f>
        <v/>
      </c>
    </row>
    <row r="284">
      <c r="A284" s="65" t="n"/>
      <c r="B284" s="66" t="n"/>
      <c r="C284" s="67" t="str">
        <f>IF(B284="","",IFERROR(INDEX(eq_des,MATCH(B284,eq_code,0))&amp;"","Équipement inconnu"))</f>
        <v/>
      </c>
      <c r="D284" s="66" t="n"/>
      <c r="E284" s="68" t="n"/>
      <c r="F284" s="69" t="n"/>
      <c r="G284" s="70" t="n"/>
      <c r="H284" s="71" t="n"/>
      <c r="I284" s="66" t="n"/>
      <c r="J284" s="72" t="n"/>
      <c r="K284" s="73" t="n"/>
      <c r="L284" s="68" t="n"/>
      <c r="M284" s="74" t="str">
        <f>IF(AND(A284="",B284="",D284=""),"",MAX(N(J284),IF(A284="",0,SUMPRODUCT(MAX((in_plan=A284)*in_prev*in_dnum)))))</f>
        <v/>
      </c>
      <c r="N284" s="75" t="str">
        <f>IF(AND(A284="",B284="",D284=""),"",MAX(N(K284),IF(A284="",0,SUMPRODUCT(MAX((in_plan=A284)*in_prev*in_cnum)))))</f>
        <v/>
      </c>
      <c r="O284" s="76" t="str">
        <f>IF(AND(OR(E284="Calendrier",E284="Au premier des deux"),N(F284)&gt;0,IF(N(M284)&gt;0,M284,IFERROR(N(INDEX(eq_start,MATCH(B284,eq_code,0))),0))&gt;0),IF(N(M284)&gt;0,M284,IFERROR(N(INDEX(eq_start,MATCH(B284,eq_code,0))),0))+F284,"")</f>
        <v/>
      </c>
      <c r="P284" s="75" t="str">
        <f>IF(AND(OR(E284="Compteur",E284="Au premier des deux"),N(G284)&gt;0),N(N284)+G284,"")</f>
        <v/>
      </c>
      <c r="Q284" s="75" t="str">
        <f>IF(B284="","",IFERROR(N(INDEX(eq_cnt,MATCH(B284,eq_code,0))),""))</f>
        <v/>
      </c>
      <c r="R284" s="77" t="str">
        <f>IF(ISNUMBER(O284),O284-p_today,"")</f>
        <v/>
      </c>
      <c r="S284" s="78" t="str">
        <f>IF(AND(ISNUMBER(P284),N(Q284)&gt;0),P284-Q284,"")</f>
        <v/>
      </c>
      <c r="T284" s="76" t="str">
        <f>IF(AND(ISNUMBER(O284),ISNUMBER(X284)),MIN(O284,X284),IF(ISNUMBER(O284),O284,X284))</f>
        <v/>
      </c>
      <c r="U284" s="79" t="str">
        <f>IF(AND(A284="",B284="",D284=""),"",IF(L284="Non","Inactif",IF(AND(NOT(ISNUMBER(R284)),NOT(ISNUMBER(S284))),"À compléter",IF(OR(AND(ISNUMBER(R284),N(R284)&lt;0),AND(ISNUMBER(S284),N(S284)&lt;0)),"En retard",IF(OR(AND(ISNUMBER(R284),N(R284)&lt;=p_soon),AND(ISNUMBER(S284),N(S284)&lt;=p_soon_pct*N(G284))),"Bientôt","À jour")))))</f>
        <v/>
      </c>
      <c r="V284" s="79" t="str">
        <f>IF(AND(A284="",B284="",D284=""),"",IF(A284="","N° de plan manquant",IF(COUNTIF($A$6:$A$505,A284)&gt;1,"N° de plan en double",IF(B284="","Équipement manquant",IF(ISNA(MATCH(B284,eq_code,0)),"Équipement inconnu",IF(D284="","Tâche manquante",IF(E284="","Déclenchement manquant",IF(AND(E284&lt;&gt;"Calendrier",E284&lt;&gt;"Compteur",E284&lt;&gt;"Au premier des deux"),"Déclenchement inconnu",IF(AND(E284&lt;&gt;"Compteur",OR(NOT(ISNUMBER(F284)),N(F284)&lt;=0)),"Périodicité en jours manquante",IF(AND(E284&lt;&gt;"Calendrier",OR(NOT(ISNUMBER(G284)),N(G284)&lt;=0)),"Périodicité compteur manquante",IF(AND(J284&lt;&gt;"",OR(NOT(ISNUMBER(J284)),N(J284)&lt;=0)),"Date de réalisation invalide",IF(AND(K284&lt;&gt;"",OR(NOT(ISNUMBER(K284)),N(K284)&lt;0)),"Compteur de réalisation invalide",IF(AND(E284&lt;&gt;"Compteur",N(M284)=0,IFERROR(N(INDEX(eq_start,MATCH(B284,eq_code,0))),0)=0),"Date de départ manquante",IF(AND(E284&lt;&gt;"Calendrier",K284="",N(N284)=0),"Compteur de départ manquant",IF(AND(E284&lt;&gt;"Calendrier",N(Q284)=0),"Relevé compteur manquant (Équipements)",IF(AND(I284&lt;&gt;"",ISNA(MATCH(I284,tech_name,0))),"Technicien inconnu",IF(AND(L284&lt;&gt;"",L284&lt;&gt;"Oui",L284&lt;&gt;"Non"),"Actif : Oui ou Non","OK")))))))))))))))))</f>
        <v/>
      </c>
      <c r="W284" s="67">
        <f>IFERROR(N(INDEX(eq_use,MATCH(B284,eq_code,0))),0)</f>
        <v>0.0</v>
      </c>
      <c r="X284" s="67" t="str">
        <f>IF(AND(ISNUMBER(S284),W284&gt;0),p_today+MAX(0,ROUNDUP(S284*7/W284,0)),"")</f>
        <v/>
      </c>
      <c r="Y284" s="67" t="str">
        <f>IF(AND(ISNUMBER(T284),OR(U284="En retard",U284="Bientôt",U284="À jour")),IF(AND(ISNUMBER(O284),ISNUMBER(X284)),MIN(F284,G284*7/W284),IF(ISNUMBER(O284),F284,G284*7/W284)),"")</f>
        <v/>
      </c>
      <c r="Z284" s="67" t="str">
        <f>IF(OR(U284="En retard",U284="Bientôt"),IF(U284="En retard",0,1)*1000000000+IF(AB284="A",0,IF(AB284="B",1,IF(AB284="C",2,3)))*100000000+IF(ISNUMBER(T284),T284,p_today)*1000+ROW()-5,"")</f>
        <v/>
      </c>
      <c r="AA284" s="67" t="str">
        <f>IF(Z284="","",COUNTIF($Z$6:$Z$505,"&lt;"&amp;Z284)+1)</f>
        <v/>
      </c>
      <c r="AB284" s="67" t="str">
        <f>IFERROR(INDEX(eq_crit,MATCH(B284,eq_code,0))&amp;"","")</f>
        <v/>
      </c>
    </row>
    <row r="285">
      <c r="A285" s="65" t="n"/>
      <c r="B285" s="66" t="n"/>
      <c r="C285" s="67" t="str">
        <f>IF(B285="","",IFERROR(INDEX(eq_des,MATCH(B285,eq_code,0))&amp;"","Équipement inconnu"))</f>
        <v/>
      </c>
      <c r="D285" s="66" t="n"/>
      <c r="E285" s="68" t="n"/>
      <c r="F285" s="69" t="n"/>
      <c r="G285" s="70" t="n"/>
      <c r="H285" s="71" t="n"/>
      <c r="I285" s="66" t="n"/>
      <c r="J285" s="72" t="n"/>
      <c r="K285" s="73" t="n"/>
      <c r="L285" s="68" t="n"/>
      <c r="M285" s="74" t="str">
        <f>IF(AND(A285="",B285="",D285=""),"",MAX(N(J285),IF(A285="",0,SUMPRODUCT(MAX((in_plan=A285)*in_prev*in_dnum)))))</f>
        <v/>
      </c>
      <c r="N285" s="75" t="str">
        <f>IF(AND(A285="",B285="",D285=""),"",MAX(N(K285),IF(A285="",0,SUMPRODUCT(MAX((in_plan=A285)*in_prev*in_cnum)))))</f>
        <v/>
      </c>
      <c r="O285" s="76" t="str">
        <f>IF(AND(OR(E285="Calendrier",E285="Au premier des deux"),N(F285)&gt;0,IF(N(M285)&gt;0,M285,IFERROR(N(INDEX(eq_start,MATCH(B285,eq_code,0))),0))&gt;0),IF(N(M285)&gt;0,M285,IFERROR(N(INDEX(eq_start,MATCH(B285,eq_code,0))),0))+F285,"")</f>
        <v/>
      </c>
      <c r="P285" s="75" t="str">
        <f>IF(AND(OR(E285="Compteur",E285="Au premier des deux"),N(G285)&gt;0),N(N285)+G285,"")</f>
        <v/>
      </c>
      <c r="Q285" s="75" t="str">
        <f>IF(B285="","",IFERROR(N(INDEX(eq_cnt,MATCH(B285,eq_code,0))),""))</f>
        <v/>
      </c>
      <c r="R285" s="77" t="str">
        <f>IF(ISNUMBER(O285),O285-p_today,"")</f>
        <v/>
      </c>
      <c r="S285" s="78" t="str">
        <f>IF(AND(ISNUMBER(P285),N(Q285)&gt;0),P285-Q285,"")</f>
        <v/>
      </c>
      <c r="T285" s="76" t="str">
        <f>IF(AND(ISNUMBER(O285),ISNUMBER(X285)),MIN(O285,X285),IF(ISNUMBER(O285),O285,X285))</f>
        <v/>
      </c>
      <c r="U285" s="79" t="str">
        <f>IF(AND(A285="",B285="",D285=""),"",IF(L285="Non","Inactif",IF(AND(NOT(ISNUMBER(R285)),NOT(ISNUMBER(S285))),"À compléter",IF(OR(AND(ISNUMBER(R285),N(R285)&lt;0),AND(ISNUMBER(S285),N(S285)&lt;0)),"En retard",IF(OR(AND(ISNUMBER(R285),N(R285)&lt;=p_soon),AND(ISNUMBER(S285),N(S285)&lt;=p_soon_pct*N(G285))),"Bientôt","À jour")))))</f>
        <v/>
      </c>
      <c r="V285" s="79" t="str">
        <f>IF(AND(A285="",B285="",D285=""),"",IF(A285="","N° de plan manquant",IF(COUNTIF($A$6:$A$505,A285)&gt;1,"N° de plan en double",IF(B285="","Équipement manquant",IF(ISNA(MATCH(B285,eq_code,0)),"Équipement inconnu",IF(D285="","Tâche manquante",IF(E285="","Déclenchement manquant",IF(AND(E285&lt;&gt;"Calendrier",E285&lt;&gt;"Compteur",E285&lt;&gt;"Au premier des deux"),"Déclenchement inconnu",IF(AND(E285&lt;&gt;"Compteur",OR(NOT(ISNUMBER(F285)),N(F285)&lt;=0)),"Périodicité en jours manquante",IF(AND(E285&lt;&gt;"Calendrier",OR(NOT(ISNUMBER(G285)),N(G285)&lt;=0)),"Périodicité compteur manquante",IF(AND(J285&lt;&gt;"",OR(NOT(ISNUMBER(J285)),N(J285)&lt;=0)),"Date de réalisation invalide",IF(AND(K285&lt;&gt;"",OR(NOT(ISNUMBER(K285)),N(K285)&lt;0)),"Compteur de réalisation invalide",IF(AND(E285&lt;&gt;"Compteur",N(M285)=0,IFERROR(N(INDEX(eq_start,MATCH(B285,eq_code,0))),0)=0),"Date de départ manquante",IF(AND(E285&lt;&gt;"Calendrier",K285="",N(N285)=0),"Compteur de départ manquant",IF(AND(E285&lt;&gt;"Calendrier",N(Q285)=0),"Relevé compteur manquant (Équipements)",IF(AND(I285&lt;&gt;"",ISNA(MATCH(I285,tech_name,0))),"Technicien inconnu",IF(AND(L285&lt;&gt;"",L285&lt;&gt;"Oui",L285&lt;&gt;"Non"),"Actif : Oui ou Non","OK")))))))))))))))))</f>
        <v/>
      </c>
      <c r="W285" s="67">
        <f>IFERROR(N(INDEX(eq_use,MATCH(B285,eq_code,0))),0)</f>
        <v>0.0</v>
      </c>
      <c r="X285" s="67" t="str">
        <f>IF(AND(ISNUMBER(S285),W285&gt;0),p_today+MAX(0,ROUNDUP(S285*7/W285,0)),"")</f>
        <v/>
      </c>
      <c r="Y285" s="67" t="str">
        <f>IF(AND(ISNUMBER(T285),OR(U285="En retard",U285="Bientôt",U285="À jour")),IF(AND(ISNUMBER(O285),ISNUMBER(X285)),MIN(F285,G285*7/W285),IF(ISNUMBER(O285),F285,G285*7/W285)),"")</f>
        <v/>
      </c>
      <c r="Z285" s="67" t="str">
        <f>IF(OR(U285="En retard",U285="Bientôt"),IF(U285="En retard",0,1)*1000000000+IF(AB285="A",0,IF(AB285="B",1,IF(AB285="C",2,3)))*100000000+IF(ISNUMBER(T285),T285,p_today)*1000+ROW()-5,"")</f>
        <v/>
      </c>
      <c r="AA285" s="67" t="str">
        <f>IF(Z285="","",COUNTIF($Z$6:$Z$505,"&lt;"&amp;Z285)+1)</f>
        <v/>
      </c>
      <c r="AB285" s="67" t="str">
        <f>IFERROR(INDEX(eq_crit,MATCH(B285,eq_code,0))&amp;"","")</f>
        <v/>
      </c>
    </row>
    <row r="286">
      <c r="A286" s="65" t="n"/>
      <c r="B286" s="66" t="n"/>
      <c r="C286" s="67" t="str">
        <f>IF(B286="","",IFERROR(INDEX(eq_des,MATCH(B286,eq_code,0))&amp;"","Équipement inconnu"))</f>
        <v/>
      </c>
      <c r="D286" s="66" t="n"/>
      <c r="E286" s="68" t="n"/>
      <c r="F286" s="69" t="n"/>
      <c r="G286" s="70" t="n"/>
      <c r="H286" s="71" t="n"/>
      <c r="I286" s="66" t="n"/>
      <c r="J286" s="72" t="n"/>
      <c r="K286" s="73" t="n"/>
      <c r="L286" s="68" t="n"/>
      <c r="M286" s="74" t="str">
        <f>IF(AND(A286="",B286="",D286=""),"",MAX(N(J286),IF(A286="",0,SUMPRODUCT(MAX((in_plan=A286)*in_prev*in_dnum)))))</f>
        <v/>
      </c>
      <c r="N286" s="75" t="str">
        <f>IF(AND(A286="",B286="",D286=""),"",MAX(N(K286),IF(A286="",0,SUMPRODUCT(MAX((in_plan=A286)*in_prev*in_cnum)))))</f>
        <v/>
      </c>
      <c r="O286" s="76" t="str">
        <f>IF(AND(OR(E286="Calendrier",E286="Au premier des deux"),N(F286)&gt;0,IF(N(M286)&gt;0,M286,IFERROR(N(INDEX(eq_start,MATCH(B286,eq_code,0))),0))&gt;0),IF(N(M286)&gt;0,M286,IFERROR(N(INDEX(eq_start,MATCH(B286,eq_code,0))),0))+F286,"")</f>
        <v/>
      </c>
      <c r="P286" s="75" t="str">
        <f>IF(AND(OR(E286="Compteur",E286="Au premier des deux"),N(G286)&gt;0),N(N286)+G286,"")</f>
        <v/>
      </c>
      <c r="Q286" s="75" t="str">
        <f>IF(B286="","",IFERROR(N(INDEX(eq_cnt,MATCH(B286,eq_code,0))),""))</f>
        <v/>
      </c>
      <c r="R286" s="77" t="str">
        <f>IF(ISNUMBER(O286),O286-p_today,"")</f>
        <v/>
      </c>
      <c r="S286" s="78" t="str">
        <f>IF(AND(ISNUMBER(P286),N(Q286)&gt;0),P286-Q286,"")</f>
        <v/>
      </c>
      <c r="T286" s="76" t="str">
        <f>IF(AND(ISNUMBER(O286),ISNUMBER(X286)),MIN(O286,X286),IF(ISNUMBER(O286),O286,X286))</f>
        <v/>
      </c>
      <c r="U286" s="79" t="str">
        <f>IF(AND(A286="",B286="",D286=""),"",IF(L286="Non","Inactif",IF(AND(NOT(ISNUMBER(R286)),NOT(ISNUMBER(S286))),"À compléter",IF(OR(AND(ISNUMBER(R286),N(R286)&lt;0),AND(ISNUMBER(S286),N(S286)&lt;0)),"En retard",IF(OR(AND(ISNUMBER(R286),N(R286)&lt;=p_soon),AND(ISNUMBER(S286),N(S286)&lt;=p_soon_pct*N(G286))),"Bientôt","À jour")))))</f>
        <v/>
      </c>
      <c r="V286" s="79" t="str">
        <f>IF(AND(A286="",B286="",D286=""),"",IF(A286="","N° de plan manquant",IF(COUNTIF($A$6:$A$505,A286)&gt;1,"N° de plan en double",IF(B286="","Équipement manquant",IF(ISNA(MATCH(B286,eq_code,0)),"Équipement inconnu",IF(D286="","Tâche manquante",IF(E286="","Déclenchement manquant",IF(AND(E286&lt;&gt;"Calendrier",E286&lt;&gt;"Compteur",E286&lt;&gt;"Au premier des deux"),"Déclenchement inconnu",IF(AND(E286&lt;&gt;"Compteur",OR(NOT(ISNUMBER(F286)),N(F286)&lt;=0)),"Périodicité en jours manquante",IF(AND(E286&lt;&gt;"Calendrier",OR(NOT(ISNUMBER(G286)),N(G286)&lt;=0)),"Périodicité compteur manquante",IF(AND(J286&lt;&gt;"",OR(NOT(ISNUMBER(J286)),N(J286)&lt;=0)),"Date de réalisation invalide",IF(AND(K286&lt;&gt;"",OR(NOT(ISNUMBER(K286)),N(K286)&lt;0)),"Compteur de réalisation invalide",IF(AND(E286&lt;&gt;"Compteur",N(M286)=0,IFERROR(N(INDEX(eq_start,MATCH(B286,eq_code,0))),0)=0),"Date de départ manquante",IF(AND(E286&lt;&gt;"Calendrier",K286="",N(N286)=0),"Compteur de départ manquant",IF(AND(E286&lt;&gt;"Calendrier",N(Q286)=0),"Relevé compteur manquant (Équipements)",IF(AND(I286&lt;&gt;"",ISNA(MATCH(I286,tech_name,0))),"Technicien inconnu",IF(AND(L286&lt;&gt;"",L286&lt;&gt;"Oui",L286&lt;&gt;"Non"),"Actif : Oui ou Non","OK")))))))))))))))))</f>
        <v/>
      </c>
      <c r="W286" s="67">
        <f>IFERROR(N(INDEX(eq_use,MATCH(B286,eq_code,0))),0)</f>
        <v>0.0</v>
      </c>
      <c r="X286" s="67" t="str">
        <f>IF(AND(ISNUMBER(S286),W286&gt;0),p_today+MAX(0,ROUNDUP(S286*7/W286,0)),"")</f>
        <v/>
      </c>
      <c r="Y286" s="67" t="str">
        <f>IF(AND(ISNUMBER(T286),OR(U286="En retard",U286="Bientôt",U286="À jour")),IF(AND(ISNUMBER(O286),ISNUMBER(X286)),MIN(F286,G286*7/W286),IF(ISNUMBER(O286),F286,G286*7/W286)),"")</f>
        <v/>
      </c>
      <c r="Z286" s="67" t="str">
        <f>IF(OR(U286="En retard",U286="Bientôt"),IF(U286="En retard",0,1)*1000000000+IF(AB286="A",0,IF(AB286="B",1,IF(AB286="C",2,3)))*100000000+IF(ISNUMBER(T286),T286,p_today)*1000+ROW()-5,"")</f>
        <v/>
      </c>
      <c r="AA286" s="67" t="str">
        <f>IF(Z286="","",COUNTIF($Z$6:$Z$505,"&lt;"&amp;Z286)+1)</f>
        <v/>
      </c>
      <c r="AB286" s="67" t="str">
        <f>IFERROR(INDEX(eq_crit,MATCH(B286,eq_code,0))&amp;"","")</f>
        <v/>
      </c>
    </row>
    <row r="287">
      <c r="A287" s="65" t="n"/>
      <c r="B287" s="66" t="n"/>
      <c r="C287" s="67" t="str">
        <f>IF(B287="","",IFERROR(INDEX(eq_des,MATCH(B287,eq_code,0))&amp;"","Équipement inconnu"))</f>
        <v/>
      </c>
      <c r="D287" s="66" t="n"/>
      <c r="E287" s="68" t="n"/>
      <c r="F287" s="69" t="n"/>
      <c r="G287" s="70" t="n"/>
      <c r="H287" s="71" t="n"/>
      <c r="I287" s="66" t="n"/>
      <c r="J287" s="72" t="n"/>
      <c r="K287" s="73" t="n"/>
      <c r="L287" s="68" t="n"/>
      <c r="M287" s="74" t="str">
        <f>IF(AND(A287="",B287="",D287=""),"",MAX(N(J287),IF(A287="",0,SUMPRODUCT(MAX((in_plan=A287)*in_prev*in_dnum)))))</f>
        <v/>
      </c>
      <c r="N287" s="75" t="str">
        <f>IF(AND(A287="",B287="",D287=""),"",MAX(N(K287),IF(A287="",0,SUMPRODUCT(MAX((in_plan=A287)*in_prev*in_cnum)))))</f>
        <v/>
      </c>
      <c r="O287" s="76" t="str">
        <f>IF(AND(OR(E287="Calendrier",E287="Au premier des deux"),N(F287)&gt;0,IF(N(M287)&gt;0,M287,IFERROR(N(INDEX(eq_start,MATCH(B287,eq_code,0))),0))&gt;0),IF(N(M287)&gt;0,M287,IFERROR(N(INDEX(eq_start,MATCH(B287,eq_code,0))),0))+F287,"")</f>
        <v/>
      </c>
      <c r="P287" s="75" t="str">
        <f>IF(AND(OR(E287="Compteur",E287="Au premier des deux"),N(G287)&gt;0),N(N287)+G287,"")</f>
        <v/>
      </c>
      <c r="Q287" s="75" t="str">
        <f>IF(B287="","",IFERROR(N(INDEX(eq_cnt,MATCH(B287,eq_code,0))),""))</f>
        <v/>
      </c>
      <c r="R287" s="77" t="str">
        <f>IF(ISNUMBER(O287),O287-p_today,"")</f>
        <v/>
      </c>
      <c r="S287" s="78" t="str">
        <f>IF(AND(ISNUMBER(P287),N(Q287)&gt;0),P287-Q287,"")</f>
        <v/>
      </c>
      <c r="T287" s="76" t="str">
        <f>IF(AND(ISNUMBER(O287),ISNUMBER(X287)),MIN(O287,X287),IF(ISNUMBER(O287),O287,X287))</f>
        <v/>
      </c>
      <c r="U287" s="79" t="str">
        <f>IF(AND(A287="",B287="",D287=""),"",IF(L287="Non","Inactif",IF(AND(NOT(ISNUMBER(R287)),NOT(ISNUMBER(S287))),"À compléter",IF(OR(AND(ISNUMBER(R287),N(R287)&lt;0),AND(ISNUMBER(S287),N(S287)&lt;0)),"En retard",IF(OR(AND(ISNUMBER(R287),N(R287)&lt;=p_soon),AND(ISNUMBER(S287),N(S287)&lt;=p_soon_pct*N(G287))),"Bientôt","À jour")))))</f>
        <v/>
      </c>
      <c r="V287" s="79" t="str">
        <f>IF(AND(A287="",B287="",D287=""),"",IF(A287="","N° de plan manquant",IF(COUNTIF($A$6:$A$505,A287)&gt;1,"N° de plan en double",IF(B287="","Équipement manquant",IF(ISNA(MATCH(B287,eq_code,0)),"Équipement inconnu",IF(D287="","Tâche manquante",IF(E287="","Déclenchement manquant",IF(AND(E287&lt;&gt;"Calendrier",E287&lt;&gt;"Compteur",E287&lt;&gt;"Au premier des deux"),"Déclenchement inconnu",IF(AND(E287&lt;&gt;"Compteur",OR(NOT(ISNUMBER(F287)),N(F287)&lt;=0)),"Périodicité en jours manquante",IF(AND(E287&lt;&gt;"Calendrier",OR(NOT(ISNUMBER(G287)),N(G287)&lt;=0)),"Périodicité compteur manquante",IF(AND(J287&lt;&gt;"",OR(NOT(ISNUMBER(J287)),N(J287)&lt;=0)),"Date de réalisation invalide",IF(AND(K287&lt;&gt;"",OR(NOT(ISNUMBER(K287)),N(K287)&lt;0)),"Compteur de réalisation invalide",IF(AND(E287&lt;&gt;"Compteur",N(M287)=0,IFERROR(N(INDEX(eq_start,MATCH(B287,eq_code,0))),0)=0),"Date de départ manquante",IF(AND(E287&lt;&gt;"Calendrier",K287="",N(N287)=0),"Compteur de départ manquant",IF(AND(E287&lt;&gt;"Calendrier",N(Q287)=0),"Relevé compteur manquant (Équipements)",IF(AND(I287&lt;&gt;"",ISNA(MATCH(I287,tech_name,0))),"Technicien inconnu",IF(AND(L287&lt;&gt;"",L287&lt;&gt;"Oui",L287&lt;&gt;"Non"),"Actif : Oui ou Non","OK")))))))))))))))))</f>
        <v/>
      </c>
      <c r="W287" s="67">
        <f>IFERROR(N(INDEX(eq_use,MATCH(B287,eq_code,0))),0)</f>
        <v>0.0</v>
      </c>
      <c r="X287" s="67" t="str">
        <f>IF(AND(ISNUMBER(S287),W287&gt;0),p_today+MAX(0,ROUNDUP(S287*7/W287,0)),"")</f>
        <v/>
      </c>
      <c r="Y287" s="67" t="str">
        <f>IF(AND(ISNUMBER(T287),OR(U287="En retard",U287="Bientôt",U287="À jour")),IF(AND(ISNUMBER(O287),ISNUMBER(X287)),MIN(F287,G287*7/W287),IF(ISNUMBER(O287),F287,G287*7/W287)),"")</f>
        <v/>
      </c>
      <c r="Z287" s="67" t="str">
        <f>IF(OR(U287="En retard",U287="Bientôt"),IF(U287="En retard",0,1)*1000000000+IF(AB287="A",0,IF(AB287="B",1,IF(AB287="C",2,3)))*100000000+IF(ISNUMBER(T287),T287,p_today)*1000+ROW()-5,"")</f>
        <v/>
      </c>
      <c r="AA287" s="67" t="str">
        <f>IF(Z287="","",COUNTIF($Z$6:$Z$505,"&lt;"&amp;Z287)+1)</f>
        <v/>
      </c>
      <c r="AB287" s="67" t="str">
        <f>IFERROR(INDEX(eq_crit,MATCH(B287,eq_code,0))&amp;"","")</f>
        <v/>
      </c>
    </row>
    <row r="288">
      <c r="A288" s="65" t="n"/>
      <c r="B288" s="66" t="n"/>
      <c r="C288" s="67" t="str">
        <f>IF(B288="","",IFERROR(INDEX(eq_des,MATCH(B288,eq_code,0))&amp;"","Équipement inconnu"))</f>
        <v/>
      </c>
      <c r="D288" s="66" t="n"/>
      <c r="E288" s="68" t="n"/>
      <c r="F288" s="69" t="n"/>
      <c r="G288" s="70" t="n"/>
      <c r="H288" s="71" t="n"/>
      <c r="I288" s="66" t="n"/>
      <c r="J288" s="72" t="n"/>
      <c r="K288" s="73" t="n"/>
      <c r="L288" s="68" t="n"/>
      <c r="M288" s="74" t="str">
        <f>IF(AND(A288="",B288="",D288=""),"",MAX(N(J288),IF(A288="",0,SUMPRODUCT(MAX((in_plan=A288)*in_prev*in_dnum)))))</f>
        <v/>
      </c>
      <c r="N288" s="75" t="str">
        <f>IF(AND(A288="",B288="",D288=""),"",MAX(N(K288),IF(A288="",0,SUMPRODUCT(MAX((in_plan=A288)*in_prev*in_cnum)))))</f>
        <v/>
      </c>
      <c r="O288" s="76" t="str">
        <f>IF(AND(OR(E288="Calendrier",E288="Au premier des deux"),N(F288)&gt;0,IF(N(M288)&gt;0,M288,IFERROR(N(INDEX(eq_start,MATCH(B288,eq_code,0))),0))&gt;0),IF(N(M288)&gt;0,M288,IFERROR(N(INDEX(eq_start,MATCH(B288,eq_code,0))),0))+F288,"")</f>
        <v/>
      </c>
      <c r="P288" s="75" t="str">
        <f>IF(AND(OR(E288="Compteur",E288="Au premier des deux"),N(G288)&gt;0),N(N288)+G288,"")</f>
        <v/>
      </c>
      <c r="Q288" s="75" t="str">
        <f>IF(B288="","",IFERROR(N(INDEX(eq_cnt,MATCH(B288,eq_code,0))),""))</f>
        <v/>
      </c>
      <c r="R288" s="77" t="str">
        <f>IF(ISNUMBER(O288),O288-p_today,"")</f>
        <v/>
      </c>
      <c r="S288" s="78" t="str">
        <f>IF(AND(ISNUMBER(P288),N(Q288)&gt;0),P288-Q288,"")</f>
        <v/>
      </c>
      <c r="T288" s="76" t="str">
        <f>IF(AND(ISNUMBER(O288),ISNUMBER(X288)),MIN(O288,X288),IF(ISNUMBER(O288),O288,X288))</f>
        <v/>
      </c>
      <c r="U288" s="79" t="str">
        <f>IF(AND(A288="",B288="",D288=""),"",IF(L288="Non","Inactif",IF(AND(NOT(ISNUMBER(R288)),NOT(ISNUMBER(S288))),"À compléter",IF(OR(AND(ISNUMBER(R288),N(R288)&lt;0),AND(ISNUMBER(S288),N(S288)&lt;0)),"En retard",IF(OR(AND(ISNUMBER(R288),N(R288)&lt;=p_soon),AND(ISNUMBER(S288),N(S288)&lt;=p_soon_pct*N(G288))),"Bientôt","À jour")))))</f>
        <v/>
      </c>
      <c r="V288" s="79" t="str">
        <f>IF(AND(A288="",B288="",D288=""),"",IF(A288="","N° de plan manquant",IF(COUNTIF($A$6:$A$505,A288)&gt;1,"N° de plan en double",IF(B288="","Équipement manquant",IF(ISNA(MATCH(B288,eq_code,0)),"Équipement inconnu",IF(D288="","Tâche manquante",IF(E288="","Déclenchement manquant",IF(AND(E288&lt;&gt;"Calendrier",E288&lt;&gt;"Compteur",E288&lt;&gt;"Au premier des deux"),"Déclenchement inconnu",IF(AND(E288&lt;&gt;"Compteur",OR(NOT(ISNUMBER(F288)),N(F288)&lt;=0)),"Périodicité en jours manquante",IF(AND(E288&lt;&gt;"Calendrier",OR(NOT(ISNUMBER(G288)),N(G288)&lt;=0)),"Périodicité compteur manquante",IF(AND(J288&lt;&gt;"",OR(NOT(ISNUMBER(J288)),N(J288)&lt;=0)),"Date de réalisation invalide",IF(AND(K288&lt;&gt;"",OR(NOT(ISNUMBER(K288)),N(K288)&lt;0)),"Compteur de réalisation invalide",IF(AND(E288&lt;&gt;"Compteur",N(M288)=0,IFERROR(N(INDEX(eq_start,MATCH(B288,eq_code,0))),0)=0),"Date de départ manquante",IF(AND(E288&lt;&gt;"Calendrier",K288="",N(N288)=0),"Compteur de départ manquant",IF(AND(E288&lt;&gt;"Calendrier",N(Q288)=0),"Relevé compteur manquant (Équipements)",IF(AND(I288&lt;&gt;"",ISNA(MATCH(I288,tech_name,0))),"Technicien inconnu",IF(AND(L288&lt;&gt;"",L288&lt;&gt;"Oui",L288&lt;&gt;"Non"),"Actif : Oui ou Non","OK")))))))))))))))))</f>
        <v/>
      </c>
      <c r="W288" s="67">
        <f>IFERROR(N(INDEX(eq_use,MATCH(B288,eq_code,0))),0)</f>
        <v>0.0</v>
      </c>
      <c r="X288" s="67" t="str">
        <f>IF(AND(ISNUMBER(S288),W288&gt;0),p_today+MAX(0,ROUNDUP(S288*7/W288,0)),"")</f>
        <v/>
      </c>
      <c r="Y288" s="67" t="str">
        <f>IF(AND(ISNUMBER(T288),OR(U288="En retard",U288="Bientôt",U288="À jour")),IF(AND(ISNUMBER(O288),ISNUMBER(X288)),MIN(F288,G288*7/W288),IF(ISNUMBER(O288),F288,G288*7/W288)),"")</f>
        <v/>
      </c>
      <c r="Z288" s="67" t="str">
        <f>IF(OR(U288="En retard",U288="Bientôt"),IF(U288="En retard",0,1)*1000000000+IF(AB288="A",0,IF(AB288="B",1,IF(AB288="C",2,3)))*100000000+IF(ISNUMBER(T288),T288,p_today)*1000+ROW()-5,"")</f>
        <v/>
      </c>
      <c r="AA288" s="67" t="str">
        <f>IF(Z288="","",COUNTIF($Z$6:$Z$505,"&lt;"&amp;Z288)+1)</f>
        <v/>
      </c>
      <c r="AB288" s="67" t="str">
        <f>IFERROR(INDEX(eq_crit,MATCH(B288,eq_code,0))&amp;"","")</f>
        <v/>
      </c>
    </row>
    <row r="289">
      <c r="A289" s="65" t="n"/>
      <c r="B289" s="66" t="n"/>
      <c r="C289" s="67" t="str">
        <f>IF(B289="","",IFERROR(INDEX(eq_des,MATCH(B289,eq_code,0))&amp;"","Équipement inconnu"))</f>
        <v/>
      </c>
      <c r="D289" s="66" t="n"/>
      <c r="E289" s="68" t="n"/>
      <c r="F289" s="69" t="n"/>
      <c r="G289" s="70" t="n"/>
      <c r="H289" s="71" t="n"/>
      <c r="I289" s="66" t="n"/>
      <c r="J289" s="72" t="n"/>
      <c r="K289" s="73" t="n"/>
      <c r="L289" s="68" t="n"/>
      <c r="M289" s="74" t="str">
        <f>IF(AND(A289="",B289="",D289=""),"",MAX(N(J289),IF(A289="",0,SUMPRODUCT(MAX((in_plan=A289)*in_prev*in_dnum)))))</f>
        <v/>
      </c>
      <c r="N289" s="75" t="str">
        <f>IF(AND(A289="",B289="",D289=""),"",MAX(N(K289),IF(A289="",0,SUMPRODUCT(MAX((in_plan=A289)*in_prev*in_cnum)))))</f>
        <v/>
      </c>
      <c r="O289" s="76" t="str">
        <f>IF(AND(OR(E289="Calendrier",E289="Au premier des deux"),N(F289)&gt;0,IF(N(M289)&gt;0,M289,IFERROR(N(INDEX(eq_start,MATCH(B289,eq_code,0))),0))&gt;0),IF(N(M289)&gt;0,M289,IFERROR(N(INDEX(eq_start,MATCH(B289,eq_code,0))),0))+F289,"")</f>
        <v/>
      </c>
      <c r="P289" s="75" t="str">
        <f>IF(AND(OR(E289="Compteur",E289="Au premier des deux"),N(G289)&gt;0),N(N289)+G289,"")</f>
        <v/>
      </c>
      <c r="Q289" s="75" t="str">
        <f>IF(B289="","",IFERROR(N(INDEX(eq_cnt,MATCH(B289,eq_code,0))),""))</f>
        <v/>
      </c>
      <c r="R289" s="77" t="str">
        <f>IF(ISNUMBER(O289),O289-p_today,"")</f>
        <v/>
      </c>
      <c r="S289" s="78" t="str">
        <f>IF(AND(ISNUMBER(P289),N(Q289)&gt;0),P289-Q289,"")</f>
        <v/>
      </c>
      <c r="T289" s="76" t="str">
        <f>IF(AND(ISNUMBER(O289),ISNUMBER(X289)),MIN(O289,X289),IF(ISNUMBER(O289),O289,X289))</f>
        <v/>
      </c>
      <c r="U289" s="79" t="str">
        <f>IF(AND(A289="",B289="",D289=""),"",IF(L289="Non","Inactif",IF(AND(NOT(ISNUMBER(R289)),NOT(ISNUMBER(S289))),"À compléter",IF(OR(AND(ISNUMBER(R289),N(R289)&lt;0),AND(ISNUMBER(S289),N(S289)&lt;0)),"En retard",IF(OR(AND(ISNUMBER(R289),N(R289)&lt;=p_soon),AND(ISNUMBER(S289),N(S289)&lt;=p_soon_pct*N(G289))),"Bientôt","À jour")))))</f>
        <v/>
      </c>
      <c r="V289" s="79" t="str">
        <f>IF(AND(A289="",B289="",D289=""),"",IF(A289="","N° de plan manquant",IF(COUNTIF($A$6:$A$505,A289)&gt;1,"N° de plan en double",IF(B289="","Équipement manquant",IF(ISNA(MATCH(B289,eq_code,0)),"Équipement inconnu",IF(D289="","Tâche manquante",IF(E289="","Déclenchement manquant",IF(AND(E289&lt;&gt;"Calendrier",E289&lt;&gt;"Compteur",E289&lt;&gt;"Au premier des deux"),"Déclenchement inconnu",IF(AND(E289&lt;&gt;"Compteur",OR(NOT(ISNUMBER(F289)),N(F289)&lt;=0)),"Périodicité en jours manquante",IF(AND(E289&lt;&gt;"Calendrier",OR(NOT(ISNUMBER(G289)),N(G289)&lt;=0)),"Périodicité compteur manquante",IF(AND(J289&lt;&gt;"",OR(NOT(ISNUMBER(J289)),N(J289)&lt;=0)),"Date de réalisation invalide",IF(AND(K289&lt;&gt;"",OR(NOT(ISNUMBER(K289)),N(K289)&lt;0)),"Compteur de réalisation invalide",IF(AND(E289&lt;&gt;"Compteur",N(M289)=0,IFERROR(N(INDEX(eq_start,MATCH(B289,eq_code,0))),0)=0),"Date de départ manquante",IF(AND(E289&lt;&gt;"Calendrier",K289="",N(N289)=0),"Compteur de départ manquant",IF(AND(E289&lt;&gt;"Calendrier",N(Q289)=0),"Relevé compteur manquant (Équipements)",IF(AND(I289&lt;&gt;"",ISNA(MATCH(I289,tech_name,0))),"Technicien inconnu",IF(AND(L289&lt;&gt;"",L289&lt;&gt;"Oui",L289&lt;&gt;"Non"),"Actif : Oui ou Non","OK")))))))))))))))))</f>
        <v/>
      </c>
      <c r="W289" s="67">
        <f>IFERROR(N(INDEX(eq_use,MATCH(B289,eq_code,0))),0)</f>
        <v>0.0</v>
      </c>
      <c r="X289" s="67" t="str">
        <f>IF(AND(ISNUMBER(S289),W289&gt;0),p_today+MAX(0,ROUNDUP(S289*7/W289,0)),"")</f>
        <v/>
      </c>
      <c r="Y289" s="67" t="str">
        <f>IF(AND(ISNUMBER(T289),OR(U289="En retard",U289="Bientôt",U289="À jour")),IF(AND(ISNUMBER(O289),ISNUMBER(X289)),MIN(F289,G289*7/W289),IF(ISNUMBER(O289),F289,G289*7/W289)),"")</f>
        <v/>
      </c>
      <c r="Z289" s="67" t="str">
        <f>IF(OR(U289="En retard",U289="Bientôt"),IF(U289="En retard",0,1)*1000000000+IF(AB289="A",0,IF(AB289="B",1,IF(AB289="C",2,3)))*100000000+IF(ISNUMBER(T289),T289,p_today)*1000+ROW()-5,"")</f>
        <v/>
      </c>
      <c r="AA289" s="67" t="str">
        <f>IF(Z289="","",COUNTIF($Z$6:$Z$505,"&lt;"&amp;Z289)+1)</f>
        <v/>
      </c>
      <c r="AB289" s="67" t="str">
        <f>IFERROR(INDEX(eq_crit,MATCH(B289,eq_code,0))&amp;"","")</f>
        <v/>
      </c>
    </row>
    <row r="290">
      <c r="A290" s="65" t="n"/>
      <c r="B290" s="66" t="n"/>
      <c r="C290" s="67" t="str">
        <f>IF(B290="","",IFERROR(INDEX(eq_des,MATCH(B290,eq_code,0))&amp;"","Équipement inconnu"))</f>
        <v/>
      </c>
      <c r="D290" s="66" t="n"/>
      <c r="E290" s="68" t="n"/>
      <c r="F290" s="69" t="n"/>
      <c r="G290" s="70" t="n"/>
      <c r="H290" s="71" t="n"/>
      <c r="I290" s="66" t="n"/>
      <c r="J290" s="72" t="n"/>
      <c r="K290" s="73" t="n"/>
      <c r="L290" s="68" t="n"/>
      <c r="M290" s="74" t="str">
        <f>IF(AND(A290="",B290="",D290=""),"",MAX(N(J290),IF(A290="",0,SUMPRODUCT(MAX((in_plan=A290)*in_prev*in_dnum)))))</f>
        <v/>
      </c>
      <c r="N290" s="75" t="str">
        <f>IF(AND(A290="",B290="",D290=""),"",MAX(N(K290),IF(A290="",0,SUMPRODUCT(MAX((in_plan=A290)*in_prev*in_cnum)))))</f>
        <v/>
      </c>
      <c r="O290" s="76" t="str">
        <f>IF(AND(OR(E290="Calendrier",E290="Au premier des deux"),N(F290)&gt;0,IF(N(M290)&gt;0,M290,IFERROR(N(INDEX(eq_start,MATCH(B290,eq_code,0))),0))&gt;0),IF(N(M290)&gt;0,M290,IFERROR(N(INDEX(eq_start,MATCH(B290,eq_code,0))),0))+F290,"")</f>
        <v/>
      </c>
      <c r="P290" s="75" t="str">
        <f>IF(AND(OR(E290="Compteur",E290="Au premier des deux"),N(G290)&gt;0),N(N290)+G290,"")</f>
        <v/>
      </c>
      <c r="Q290" s="75" t="str">
        <f>IF(B290="","",IFERROR(N(INDEX(eq_cnt,MATCH(B290,eq_code,0))),""))</f>
        <v/>
      </c>
      <c r="R290" s="77" t="str">
        <f>IF(ISNUMBER(O290),O290-p_today,"")</f>
        <v/>
      </c>
      <c r="S290" s="78" t="str">
        <f>IF(AND(ISNUMBER(P290),N(Q290)&gt;0),P290-Q290,"")</f>
        <v/>
      </c>
      <c r="T290" s="76" t="str">
        <f>IF(AND(ISNUMBER(O290),ISNUMBER(X290)),MIN(O290,X290),IF(ISNUMBER(O290),O290,X290))</f>
        <v/>
      </c>
      <c r="U290" s="79" t="str">
        <f>IF(AND(A290="",B290="",D290=""),"",IF(L290="Non","Inactif",IF(AND(NOT(ISNUMBER(R290)),NOT(ISNUMBER(S290))),"À compléter",IF(OR(AND(ISNUMBER(R290),N(R290)&lt;0),AND(ISNUMBER(S290),N(S290)&lt;0)),"En retard",IF(OR(AND(ISNUMBER(R290),N(R290)&lt;=p_soon),AND(ISNUMBER(S290),N(S290)&lt;=p_soon_pct*N(G290))),"Bientôt","À jour")))))</f>
        <v/>
      </c>
      <c r="V290" s="79" t="str">
        <f>IF(AND(A290="",B290="",D290=""),"",IF(A290="","N° de plan manquant",IF(COUNTIF($A$6:$A$505,A290)&gt;1,"N° de plan en double",IF(B290="","Équipement manquant",IF(ISNA(MATCH(B290,eq_code,0)),"Équipement inconnu",IF(D290="","Tâche manquante",IF(E290="","Déclenchement manquant",IF(AND(E290&lt;&gt;"Calendrier",E290&lt;&gt;"Compteur",E290&lt;&gt;"Au premier des deux"),"Déclenchement inconnu",IF(AND(E290&lt;&gt;"Compteur",OR(NOT(ISNUMBER(F290)),N(F290)&lt;=0)),"Périodicité en jours manquante",IF(AND(E290&lt;&gt;"Calendrier",OR(NOT(ISNUMBER(G290)),N(G290)&lt;=0)),"Périodicité compteur manquante",IF(AND(J290&lt;&gt;"",OR(NOT(ISNUMBER(J290)),N(J290)&lt;=0)),"Date de réalisation invalide",IF(AND(K290&lt;&gt;"",OR(NOT(ISNUMBER(K290)),N(K290)&lt;0)),"Compteur de réalisation invalide",IF(AND(E290&lt;&gt;"Compteur",N(M290)=0,IFERROR(N(INDEX(eq_start,MATCH(B290,eq_code,0))),0)=0),"Date de départ manquante",IF(AND(E290&lt;&gt;"Calendrier",K290="",N(N290)=0),"Compteur de départ manquant",IF(AND(E290&lt;&gt;"Calendrier",N(Q290)=0),"Relevé compteur manquant (Équipements)",IF(AND(I290&lt;&gt;"",ISNA(MATCH(I290,tech_name,0))),"Technicien inconnu",IF(AND(L290&lt;&gt;"",L290&lt;&gt;"Oui",L290&lt;&gt;"Non"),"Actif : Oui ou Non","OK")))))))))))))))))</f>
        <v/>
      </c>
      <c r="W290" s="67">
        <f>IFERROR(N(INDEX(eq_use,MATCH(B290,eq_code,0))),0)</f>
        <v>0.0</v>
      </c>
      <c r="X290" s="67" t="str">
        <f>IF(AND(ISNUMBER(S290),W290&gt;0),p_today+MAX(0,ROUNDUP(S290*7/W290,0)),"")</f>
        <v/>
      </c>
      <c r="Y290" s="67" t="str">
        <f>IF(AND(ISNUMBER(T290),OR(U290="En retard",U290="Bientôt",U290="À jour")),IF(AND(ISNUMBER(O290),ISNUMBER(X290)),MIN(F290,G290*7/W290),IF(ISNUMBER(O290),F290,G290*7/W290)),"")</f>
        <v/>
      </c>
      <c r="Z290" s="67" t="str">
        <f>IF(OR(U290="En retard",U290="Bientôt"),IF(U290="En retard",0,1)*1000000000+IF(AB290="A",0,IF(AB290="B",1,IF(AB290="C",2,3)))*100000000+IF(ISNUMBER(T290),T290,p_today)*1000+ROW()-5,"")</f>
        <v/>
      </c>
      <c r="AA290" s="67" t="str">
        <f>IF(Z290="","",COUNTIF($Z$6:$Z$505,"&lt;"&amp;Z290)+1)</f>
        <v/>
      </c>
      <c r="AB290" s="67" t="str">
        <f>IFERROR(INDEX(eq_crit,MATCH(B290,eq_code,0))&amp;"","")</f>
        <v/>
      </c>
    </row>
    <row r="291">
      <c r="A291" s="65" t="n"/>
      <c r="B291" s="66" t="n"/>
      <c r="C291" s="67" t="str">
        <f>IF(B291="","",IFERROR(INDEX(eq_des,MATCH(B291,eq_code,0))&amp;"","Équipement inconnu"))</f>
        <v/>
      </c>
      <c r="D291" s="66" t="n"/>
      <c r="E291" s="68" t="n"/>
      <c r="F291" s="69" t="n"/>
      <c r="G291" s="70" t="n"/>
      <c r="H291" s="71" t="n"/>
      <c r="I291" s="66" t="n"/>
      <c r="J291" s="72" t="n"/>
      <c r="K291" s="73" t="n"/>
      <c r="L291" s="68" t="n"/>
      <c r="M291" s="74" t="str">
        <f>IF(AND(A291="",B291="",D291=""),"",MAX(N(J291),IF(A291="",0,SUMPRODUCT(MAX((in_plan=A291)*in_prev*in_dnum)))))</f>
        <v/>
      </c>
      <c r="N291" s="75" t="str">
        <f>IF(AND(A291="",B291="",D291=""),"",MAX(N(K291),IF(A291="",0,SUMPRODUCT(MAX((in_plan=A291)*in_prev*in_cnum)))))</f>
        <v/>
      </c>
      <c r="O291" s="76" t="str">
        <f>IF(AND(OR(E291="Calendrier",E291="Au premier des deux"),N(F291)&gt;0,IF(N(M291)&gt;0,M291,IFERROR(N(INDEX(eq_start,MATCH(B291,eq_code,0))),0))&gt;0),IF(N(M291)&gt;0,M291,IFERROR(N(INDEX(eq_start,MATCH(B291,eq_code,0))),0))+F291,"")</f>
        <v/>
      </c>
      <c r="P291" s="75" t="str">
        <f>IF(AND(OR(E291="Compteur",E291="Au premier des deux"),N(G291)&gt;0),N(N291)+G291,"")</f>
        <v/>
      </c>
      <c r="Q291" s="75" t="str">
        <f>IF(B291="","",IFERROR(N(INDEX(eq_cnt,MATCH(B291,eq_code,0))),""))</f>
        <v/>
      </c>
      <c r="R291" s="77" t="str">
        <f>IF(ISNUMBER(O291),O291-p_today,"")</f>
        <v/>
      </c>
      <c r="S291" s="78" t="str">
        <f>IF(AND(ISNUMBER(P291),N(Q291)&gt;0),P291-Q291,"")</f>
        <v/>
      </c>
      <c r="T291" s="76" t="str">
        <f>IF(AND(ISNUMBER(O291),ISNUMBER(X291)),MIN(O291,X291),IF(ISNUMBER(O291),O291,X291))</f>
        <v/>
      </c>
      <c r="U291" s="79" t="str">
        <f>IF(AND(A291="",B291="",D291=""),"",IF(L291="Non","Inactif",IF(AND(NOT(ISNUMBER(R291)),NOT(ISNUMBER(S291))),"À compléter",IF(OR(AND(ISNUMBER(R291),N(R291)&lt;0),AND(ISNUMBER(S291),N(S291)&lt;0)),"En retard",IF(OR(AND(ISNUMBER(R291),N(R291)&lt;=p_soon),AND(ISNUMBER(S291),N(S291)&lt;=p_soon_pct*N(G291))),"Bientôt","À jour")))))</f>
        <v/>
      </c>
      <c r="V291" s="79" t="str">
        <f>IF(AND(A291="",B291="",D291=""),"",IF(A291="","N° de plan manquant",IF(COUNTIF($A$6:$A$505,A291)&gt;1,"N° de plan en double",IF(B291="","Équipement manquant",IF(ISNA(MATCH(B291,eq_code,0)),"Équipement inconnu",IF(D291="","Tâche manquante",IF(E291="","Déclenchement manquant",IF(AND(E291&lt;&gt;"Calendrier",E291&lt;&gt;"Compteur",E291&lt;&gt;"Au premier des deux"),"Déclenchement inconnu",IF(AND(E291&lt;&gt;"Compteur",OR(NOT(ISNUMBER(F291)),N(F291)&lt;=0)),"Périodicité en jours manquante",IF(AND(E291&lt;&gt;"Calendrier",OR(NOT(ISNUMBER(G291)),N(G291)&lt;=0)),"Périodicité compteur manquante",IF(AND(J291&lt;&gt;"",OR(NOT(ISNUMBER(J291)),N(J291)&lt;=0)),"Date de réalisation invalide",IF(AND(K291&lt;&gt;"",OR(NOT(ISNUMBER(K291)),N(K291)&lt;0)),"Compteur de réalisation invalide",IF(AND(E291&lt;&gt;"Compteur",N(M291)=0,IFERROR(N(INDEX(eq_start,MATCH(B291,eq_code,0))),0)=0),"Date de départ manquante",IF(AND(E291&lt;&gt;"Calendrier",K291="",N(N291)=0),"Compteur de départ manquant",IF(AND(E291&lt;&gt;"Calendrier",N(Q291)=0),"Relevé compteur manquant (Équipements)",IF(AND(I291&lt;&gt;"",ISNA(MATCH(I291,tech_name,0))),"Technicien inconnu",IF(AND(L291&lt;&gt;"",L291&lt;&gt;"Oui",L291&lt;&gt;"Non"),"Actif : Oui ou Non","OK")))))))))))))))))</f>
        <v/>
      </c>
      <c r="W291" s="67">
        <f>IFERROR(N(INDEX(eq_use,MATCH(B291,eq_code,0))),0)</f>
        <v>0.0</v>
      </c>
      <c r="X291" s="67" t="str">
        <f>IF(AND(ISNUMBER(S291),W291&gt;0),p_today+MAX(0,ROUNDUP(S291*7/W291,0)),"")</f>
        <v/>
      </c>
      <c r="Y291" s="67" t="str">
        <f>IF(AND(ISNUMBER(T291),OR(U291="En retard",U291="Bientôt",U291="À jour")),IF(AND(ISNUMBER(O291),ISNUMBER(X291)),MIN(F291,G291*7/W291),IF(ISNUMBER(O291),F291,G291*7/W291)),"")</f>
        <v/>
      </c>
      <c r="Z291" s="67" t="str">
        <f>IF(OR(U291="En retard",U291="Bientôt"),IF(U291="En retard",0,1)*1000000000+IF(AB291="A",0,IF(AB291="B",1,IF(AB291="C",2,3)))*100000000+IF(ISNUMBER(T291),T291,p_today)*1000+ROW()-5,"")</f>
        <v/>
      </c>
      <c r="AA291" s="67" t="str">
        <f>IF(Z291="","",COUNTIF($Z$6:$Z$505,"&lt;"&amp;Z291)+1)</f>
        <v/>
      </c>
      <c r="AB291" s="67" t="str">
        <f>IFERROR(INDEX(eq_crit,MATCH(B291,eq_code,0))&amp;"","")</f>
        <v/>
      </c>
    </row>
    <row r="292">
      <c r="A292" s="65" t="n"/>
      <c r="B292" s="66" t="n"/>
      <c r="C292" s="67" t="str">
        <f>IF(B292="","",IFERROR(INDEX(eq_des,MATCH(B292,eq_code,0))&amp;"","Équipement inconnu"))</f>
        <v/>
      </c>
      <c r="D292" s="66" t="n"/>
      <c r="E292" s="68" t="n"/>
      <c r="F292" s="69" t="n"/>
      <c r="G292" s="70" t="n"/>
      <c r="H292" s="71" t="n"/>
      <c r="I292" s="66" t="n"/>
      <c r="J292" s="72" t="n"/>
      <c r="K292" s="73" t="n"/>
      <c r="L292" s="68" t="n"/>
      <c r="M292" s="74" t="str">
        <f>IF(AND(A292="",B292="",D292=""),"",MAX(N(J292),IF(A292="",0,SUMPRODUCT(MAX((in_plan=A292)*in_prev*in_dnum)))))</f>
        <v/>
      </c>
      <c r="N292" s="75" t="str">
        <f>IF(AND(A292="",B292="",D292=""),"",MAX(N(K292),IF(A292="",0,SUMPRODUCT(MAX((in_plan=A292)*in_prev*in_cnum)))))</f>
        <v/>
      </c>
      <c r="O292" s="76" t="str">
        <f>IF(AND(OR(E292="Calendrier",E292="Au premier des deux"),N(F292)&gt;0,IF(N(M292)&gt;0,M292,IFERROR(N(INDEX(eq_start,MATCH(B292,eq_code,0))),0))&gt;0),IF(N(M292)&gt;0,M292,IFERROR(N(INDEX(eq_start,MATCH(B292,eq_code,0))),0))+F292,"")</f>
        <v/>
      </c>
      <c r="P292" s="75" t="str">
        <f>IF(AND(OR(E292="Compteur",E292="Au premier des deux"),N(G292)&gt;0),N(N292)+G292,"")</f>
        <v/>
      </c>
      <c r="Q292" s="75" t="str">
        <f>IF(B292="","",IFERROR(N(INDEX(eq_cnt,MATCH(B292,eq_code,0))),""))</f>
        <v/>
      </c>
      <c r="R292" s="77" t="str">
        <f>IF(ISNUMBER(O292),O292-p_today,"")</f>
        <v/>
      </c>
      <c r="S292" s="78" t="str">
        <f>IF(AND(ISNUMBER(P292),N(Q292)&gt;0),P292-Q292,"")</f>
        <v/>
      </c>
      <c r="T292" s="76" t="str">
        <f>IF(AND(ISNUMBER(O292),ISNUMBER(X292)),MIN(O292,X292),IF(ISNUMBER(O292),O292,X292))</f>
        <v/>
      </c>
      <c r="U292" s="79" t="str">
        <f>IF(AND(A292="",B292="",D292=""),"",IF(L292="Non","Inactif",IF(AND(NOT(ISNUMBER(R292)),NOT(ISNUMBER(S292))),"À compléter",IF(OR(AND(ISNUMBER(R292),N(R292)&lt;0),AND(ISNUMBER(S292),N(S292)&lt;0)),"En retard",IF(OR(AND(ISNUMBER(R292),N(R292)&lt;=p_soon),AND(ISNUMBER(S292),N(S292)&lt;=p_soon_pct*N(G292))),"Bientôt","À jour")))))</f>
        <v/>
      </c>
      <c r="V292" s="79" t="str">
        <f>IF(AND(A292="",B292="",D292=""),"",IF(A292="","N° de plan manquant",IF(COUNTIF($A$6:$A$505,A292)&gt;1,"N° de plan en double",IF(B292="","Équipement manquant",IF(ISNA(MATCH(B292,eq_code,0)),"Équipement inconnu",IF(D292="","Tâche manquante",IF(E292="","Déclenchement manquant",IF(AND(E292&lt;&gt;"Calendrier",E292&lt;&gt;"Compteur",E292&lt;&gt;"Au premier des deux"),"Déclenchement inconnu",IF(AND(E292&lt;&gt;"Compteur",OR(NOT(ISNUMBER(F292)),N(F292)&lt;=0)),"Périodicité en jours manquante",IF(AND(E292&lt;&gt;"Calendrier",OR(NOT(ISNUMBER(G292)),N(G292)&lt;=0)),"Périodicité compteur manquante",IF(AND(J292&lt;&gt;"",OR(NOT(ISNUMBER(J292)),N(J292)&lt;=0)),"Date de réalisation invalide",IF(AND(K292&lt;&gt;"",OR(NOT(ISNUMBER(K292)),N(K292)&lt;0)),"Compteur de réalisation invalide",IF(AND(E292&lt;&gt;"Compteur",N(M292)=0,IFERROR(N(INDEX(eq_start,MATCH(B292,eq_code,0))),0)=0),"Date de départ manquante",IF(AND(E292&lt;&gt;"Calendrier",K292="",N(N292)=0),"Compteur de départ manquant",IF(AND(E292&lt;&gt;"Calendrier",N(Q292)=0),"Relevé compteur manquant (Équipements)",IF(AND(I292&lt;&gt;"",ISNA(MATCH(I292,tech_name,0))),"Technicien inconnu",IF(AND(L292&lt;&gt;"",L292&lt;&gt;"Oui",L292&lt;&gt;"Non"),"Actif : Oui ou Non","OK")))))))))))))))))</f>
        <v/>
      </c>
      <c r="W292" s="67">
        <f>IFERROR(N(INDEX(eq_use,MATCH(B292,eq_code,0))),0)</f>
        <v>0.0</v>
      </c>
      <c r="X292" s="67" t="str">
        <f>IF(AND(ISNUMBER(S292),W292&gt;0),p_today+MAX(0,ROUNDUP(S292*7/W292,0)),"")</f>
        <v/>
      </c>
      <c r="Y292" s="67" t="str">
        <f>IF(AND(ISNUMBER(T292),OR(U292="En retard",U292="Bientôt",U292="À jour")),IF(AND(ISNUMBER(O292),ISNUMBER(X292)),MIN(F292,G292*7/W292),IF(ISNUMBER(O292),F292,G292*7/W292)),"")</f>
        <v/>
      </c>
      <c r="Z292" s="67" t="str">
        <f>IF(OR(U292="En retard",U292="Bientôt"),IF(U292="En retard",0,1)*1000000000+IF(AB292="A",0,IF(AB292="B",1,IF(AB292="C",2,3)))*100000000+IF(ISNUMBER(T292),T292,p_today)*1000+ROW()-5,"")</f>
        <v/>
      </c>
      <c r="AA292" s="67" t="str">
        <f>IF(Z292="","",COUNTIF($Z$6:$Z$505,"&lt;"&amp;Z292)+1)</f>
        <v/>
      </c>
      <c r="AB292" s="67" t="str">
        <f>IFERROR(INDEX(eq_crit,MATCH(B292,eq_code,0))&amp;"","")</f>
        <v/>
      </c>
    </row>
    <row r="293">
      <c r="A293" s="65" t="n"/>
      <c r="B293" s="66" t="n"/>
      <c r="C293" s="67" t="str">
        <f>IF(B293="","",IFERROR(INDEX(eq_des,MATCH(B293,eq_code,0))&amp;"","Équipement inconnu"))</f>
        <v/>
      </c>
      <c r="D293" s="66" t="n"/>
      <c r="E293" s="68" t="n"/>
      <c r="F293" s="69" t="n"/>
      <c r="G293" s="70" t="n"/>
      <c r="H293" s="71" t="n"/>
      <c r="I293" s="66" t="n"/>
      <c r="J293" s="72" t="n"/>
      <c r="K293" s="73" t="n"/>
      <c r="L293" s="68" t="n"/>
      <c r="M293" s="74" t="str">
        <f>IF(AND(A293="",B293="",D293=""),"",MAX(N(J293),IF(A293="",0,SUMPRODUCT(MAX((in_plan=A293)*in_prev*in_dnum)))))</f>
        <v/>
      </c>
      <c r="N293" s="75" t="str">
        <f>IF(AND(A293="",B293="",D293=""),"",MAX(N(K293),IF(A293="",0,SUMPRODUCT(MAX((in_plan=A293)*in_prev*in_cnum)))))</f>
        <v/>
      </c>
      <c r="O293" s="76" t="str">
        <f>IF(AND(OR(E293="Calendrier",E293="Au premier des deux"),N(F293)&gt;0,IF(N(M293)&gt;0,M293,IFERROR(N(INDEX(eq_start,MATCH(B293,eq_code,0))),0))&gt;0),IF(N(M293)&gt;0,M293,IFERROR(N(INDEX(eq_start,MATCH(B293,eq_code,0))),0))+F293,"")</f>
        <v/>
      </c>
      <c r="P293" s="75" t="str">
        <f>IF(AND(OR(E293="Compteur",E293="Au premier des deux"),N(G293)&gt;0),N(N293)+G293,"")</f>
        <v/>
      </c>
      <c r="Q293" s="75" t="str">
        <f>IF(B293="","",IFERROR(N(INDEX(eq_cnt,MATCH(B293,eq_code,0))),""))</f>
        <v/>
      </c>
      <c r="R293" s="77" t="str">
        <f>IF(ISNUMBER(O293),O293-p_today,"")</f>
        <v/>
      </c>
      <c r="S293" s="78" t="str">
        <f>IF(AND(ISNUMBER(P293),N(Q293)&gt;0),P293-Q293,"")</f>
        <v/>
      </c>
      <c r="T293" s="76" t="str">
        <f>IF(AND(ISNUMBER(O293),ISNUMBER(X293)),MIN(O293,X293),IF(ISNUMBER(O293),O293,X293))</f>
        <v/>
      </c>
      <c r="U293" s="79" t="str">
        <f>IF(AND(A293="",B293="",D293=""),"",IF(L293="Non","Inactif",IF(AND(NOT(ISNUMBER(R293)),NOT(ISNUMBER(S293))),"À compléter",IF(OR(AND(ISNUMBER(R293),N(R293)&lt;0),AND(ISNUMBER(S293),N(S293)&lt;0)),"En retard",IF(OR(AND(ISNUMBER(R293),N(R293)&lt;=p_soon),AND(ISNUMBER(S293),N(S293)&lt;=p_soon_pct*N(G293))),"Bientôt","À jour")))))</f>
        <v/>
      </c>
      <c r="V293" s="79" t="str">
        <f>IF(AND(A293="",B293="",D293=""),"",IF(A293="","N° de plan manquant",IF(COUNTIF($A$6:$A$505,A293)&gt;1,"N° de plan en double",IF(B293="","Équipement manquant",IF(ISNA(MATCH(B293,eq_code,0)),"Équipement inconnu",IF(D293="","Tâche manquante",IF(E293="","Déclenchement manquant",IF(AND(E293&lt;&gt;"Calendrier",E293&lt;&gt;"Compteur",E293&lt;&gt;"Au premier des deux"),"Déclenchement inconnu",IF(AND(E293&lt;&gt;"Compteur",OR(NOT(ISNUMBER(F293)),N(F293)&lt;=0)),"Périodicité en jours manquante",IF(AND(E293&lt;&gt;"Calendrier",OR(NOT(ISNUMBER(G293)),N(G293)&lt;=0)),"Périodicité compteur manquante",IF(AND(J293&lt;&gt;"",OR(NOT(ISNUMBER(J293)),N(J293)&lt;=0)),"Date de réalisation invalide",IF(AND(K293&lt;&gt;"",OR(NOT(ISNUMBER(K293)),N(K293)&lt;0)),"Compteur de réalisation invalide",IF(AND(E293&lt;&gt;"Compteur",N(M293)=0,IFERROR(N(INDEX(eq_start,MATCH(B293,eq_code,0))),0)=0),"Date de départ manquante",IF(AND(E293&lt;&gt;"Calendrier",K293="",N(N293)=0),"Compteur de départ manquant",IF(AND(E293&lt;&gt;"Calendrier",N(Q293)=0),"Relevé compteur manquant (Équipements)",IF(AND(I293&lt;&gt;"",ISNA(MATCH(I293,tech_name,0))),"Technicien inconnu",IF(AND(L293&lt;&gt;"",L293&lt;&gt;"Oui",L293&lt;&gt;"Non"),"Actif : Oui ou Non","OK")))))))))))))))))</f>
        <v/>
      </c>
      <c r="W293" s="67">
        <f>IFERROR(N(INDEX(eq_use,MATCH(B293,eq_code,0))),0)</f>
        <v>0.0</v>
      </c>
      <c r="X293" s="67" t="str">
        <f>IF(AND(ISNUMBER(S293),W293&gt;0),p_today+MAX(0,ROUNDUP(S293*7/W293,0)),"")</f>
        <v/>
      </c>
      <c r="Y293" s="67" t="str">
        <f>IF(AND(ISNUMBER(T293),OR(U293="En retard",U293="Bientôt",U293="À jour")),IF(AND(ISNUMBER(O293),ISNUMBER(X293)),MIN(F293,G293*7/W293),IF(ISNUMBER(O293),F293,G293*7/W293)),"")</f>
        <v/>
      </c>
      <c r="Z293" s="67" t="str">
        <f>IF(OR(U293="En retard",U293="Bientôt"),IF(U293="En retard",0,1)*1000000000+IF(AB293="A",0,IF(AB293="B",1,IF(AB293="C",2,3)))*100000000+IF(ISNUMBER(T293),T293,p_today)*1000+ROW()-5,"")</f>
        <v/>
      </c>
      <c r="AA293" s="67" t="str">
        <f>IF(Z293="","",COUNTIF($Z$6:$Z$505,"&lt;"&amp;Z293)+1)</f>
        <v/>
      </c>
      <c r="AB293" s="67" t="str">
        <f>IFERROR(INDEX(eq_crit,MATCH(B293,eq_code,0))&amp;"","")</f>
        <v/>
      </c>
    </row>
    <row r="294">
      <c r="A294" s="65" t="n"/>
      <c r="B294" s="66" t="n"/>
      <c r="C294" s="67" t="str">
        <f>IF(B294="","",IFERROR(INDEX(eq_des,MATCH(B294,eq_code,0))&amp;"","Équipement inconnu"))</f>
        <v/>
      </c>
      <c r="D294" s="66" t="n"/>
      <c r="E294" s="68" t="n"/>
      <c r="F294" s="69" t="n"/>
      <c r="G294" s="70" t="n"/>
      <c r="H294" s="71" t="n"/>
      <c r="I294" s="66" t="n"/>
      <c r="J294" s="72" t="n"/>
      <c r="K294" s="73" t="n"/>
      <c r="L294" s="68" t="n"/>
      <c r="M294" s="74" t="str">
        <f>IF(AND(A294="",B294="",D294=""),"",MAX(N(J294),IF(A294="",0,SUMPRODUCT(MAX((in_plan=A294)*in_prev*in_dnum)))))</f>
        <v/>
      </c>
      <c r="N294" s="75" t="str">
        <f>IF(AND(A294="",B294="",D294=""),"",MAX(N(K294),IF(A294="",0,SUMPRODUCT(MAX((in_plan=A294)*in_prev*in_cnum)))))</f>
        <v/>
      </c>
      <c r="O294" s="76" t="str">
        <f>IF(AND(OR(E294="Calendrier",E294="Au premier des deux"),N(F294)&gt;0,IF(N(M294)&gt;0,M294,IFERROR(N(INDEX(eq_start,MATCH(B294,eq_code,0))),0))&gt;0),IF(N(M294)&gt;0,M294,IFERROR(N(INDEX(eq_start,MATCH(B294,eq_code,0))),0))+F294,"")</f>
        <v/>
      </c>
      <c r="P294" s="75" t="str">
        <f>IF(AND(OR(E294="Compteur",E294="Au premier des deux"),N(G294)&gt;0),N(N294)+G294,"")</f>
        <v/>
      </c>
      <c r="Q294" s="75" t="str">
        <f>IF(B294="","",IFERROR(N(INDEX(eq_cnt,MATCH(B294,eq_code,0))),""))</f>
        <v/>
      </c>
      <c r="R294" s="77" t="str">
        <f>IF(ISNUMBER(O294),O294-p_today,"")</f>
        <v/>
      </c>
      <c r="S294" s="78" t="str">
        <f>IF(AND(ISNUMBER(P294),N(Q294)&gt;0),P294-Q294,"")</f>
        <v/>
      </c>
      <c r="T294" s="76" t="str">
        <f>IF(AND(ISNUMBER(O294),ISNUMBER(X294)),MIN(O294,X294),IF(ISNUMBER(O294),O294,X294))</f>
        <v/>
      </c>
      <c r="U294" s="79" t="str">
        <f>IF(AND(A294="",B294="",D294=""),"",IF(L294="Non","Inactif",IF(AND(NOT(ISNUMBER(R294)),NOT(ISNUMBER(S294))),"À compléter",IF(OR(AND(ISNUMBER(R294),N(R294)&lt;0),AND(ISNUMBER(S294),N(S294)&lt;0)),"En retard",IF(OR(AND(ISNUMBER(R294),N(R294)&lt;=p_soon),AND(ISNUMBER(S294),N(S294)&lt;=p_soon_pct*N(G294))),"Bientôt","À jour")))))</f>
        <v/>
      </c>
      <c r="V294" s="79" t="str">
        <f>IF(AND(A294="",B294="",D294=""),"",IF(A294="","N° de plan manquant",IF(COUNTIF($A$6:$A$505,A294)&gt;1,"N° de plan en double",IF(B294="","Équipement manquant",IF(ISNA(MATCH(B294,eq_code,0)),"Équipement inconnu",IF(D294="","Tâche manquante",IF(E294="","Déclenchement manquant",IF(AND(E294&lt;&gt;"Calendrier",E294&lt;&gt;"Compteur",E294&lt;&gt;"Au premier des deux"),"Déclenchement inconnu",IF(AND(E294&lt;&gt;"Compteur",OR(NOT(ISNUMBER(F294)),N(F294)&lt;=0)),"Périodicité en jours manquante",IF(AND(E294&lt;&gt;"Calendrier",OR(NOT(ISNUMBER(G294)),N(G294)&lt;=0)),"Périodicité compteur manquante",IF(AND(J294&lt;&gt;"",OR(NOT(ISNUMBER(J294)),N(J294)&lt;=0)),"Date de réalisation invalide",IF(AND(K294&lt;&gt;"",OR(NOT(ISNUMBER(K294)),N(K294)&lt;0)),"Compteur de réalisation invalide",IF(AND(E294&lt;&gt;"Compteur",N(M294)=0,IFERROR(N(INDEX(eq_start,MATCH(B294,eq_code,0))),0)=0),"Date de départ manquante",IF(AND(E294&lt;&gt;"Calendrier",K294="",N(N294)=0),"Compteur de départ manquant",IF(AND(E294&lt;&gt;"Calendrier",N(Q294)=0),"Relevé compteur manquant (Équipements)",IF(AND(I294&lt;&gt;"",ISNA(MATCH(I294,tech_name,0))),"Technicien inconnu",IF(AND(L294&lt;&gt;"",L294&lt;&gt;"Oui",L294&lt;&gt;"Non"),"Actif : Oui ou Non","OK")))))))))))))))))</f>
        <v/>
      </c>
      <c r="W294" s="67">
        <f>IFERROR(N(INDEX(eq_use,MATCH(B294,eq_code,0))),0)</f>
        <v>0.0</v>
      </c>
      <c r="X294" s="67" t="str">
        <f>IF(AND(ISNUMBER(S294),W294&gt;0),p_today+MAX(0,ROUNDUP(S294*7/W294,0)),"")</f>
        <v/>
      </c>
      <c r="Y294" s="67" t="str">
        <f>IF(AND(ISNUMBER(T294),OR(U294="En retard",U294="Bientôt",U294="À jour")),IF(AND(ISNUMBER(O294),ISNUMBER(X294)),MIN(F294,G294*7/W294),IF(ISNUMBER(O294),F294,G294*7/W294)),"")</f>
        <v/>
      </c>
      <c r="Z294" s="67" t="str">
        <f>IF(OR(U294="En retard",U294="Bientôt"),IF(U294="En retard",0,1)*1000000000+IF(AB294="A",0,IF(AB294="B",1,IF(AB294="C",2,3)))*100000000+IF(ISNUMBER(T294),T294,p_today)*1000+ROW()-5,"")</f>
        <v/>
      </c>
      <c r="AA294" s="67" t="str">
        <f>IF(Z294="","",COUNTIF($Z$6:$Z$505,"&lt;"&amp;Z294)+1)</f>
        <v/>
      </c>
      <c r="AB294" s="67" t="str">
        <f>IFERROR(INDEX(eq_crit,MATCH(B294,eq_code,0))&amp;"","")</f>
        <v/>
      </c>
    </row>
    <row r="295">
      <c r="A295" s="65" t="n"/>
      <c r="B295" s="66" t="n"/>
      <c r="C295" s="67" t="str">
        <f>IF(B295="","",IFERROR(INDEX(eq_des,MATCH(B295,eq_code,0))&amp;"","Équipement inconnu"))</f>
        <v/>
      </c>
      <c r="D295" s="66" t="n"/>
      <c r="E295" s="68" t="n"/>
      <c r="F295" s="69" t="n"/>
      <c r="G295" s="70" t="n"/>
      <c r="H295" s="71" t="n"/>
      <c r="I295" s="66" t="n"/>
      <c r="J295" s="72" t="n"/>
      <c r="K295" s="73" t="n"/>
      <c r="L295" s="68" t="n"/>
      <c r="M295" s="74" t="str">
        <f>IF(AND(A295="",B295="",D295=""),"",MAX(N(J295),IF(A295="",0,SUMPRODUCT(MAX((in_plan=A295)*in_prev*in_dnum)))))</f>
        <v/>
      </c>
      <c r="N295" s="75" t="str">
        <f>IF(AND(A295="",B295="",D295=""),"",MAX(N(K295),IF(A295="",0,SUMPRODUCT(MAX((in_plan=A295)*in_prev*in_cnum)))))</f>
        <v/>
      </c>
      <c r="O295" s="76" t="str">
        <f>IF(AND(OR(E295="Calendrier",E295="Au premier des deux"),N(F295)&gt;0,IF(N(M295)&gt;0,M295,IFERROR(N(INDEX(eq_start,MATCH(B295,eq_code,0))),0))&gt;0),IF(N(M295)&gt;0,M295,IFERROR(N(INDEX(eq_start,MATCH(B295,eq_code,0))),0))+F295,"")</f>
        <v/>
      </c>
      <c r="P295" s="75" t="str">
        <f>IF(AND(OR(E295="Compteur",E295="Au premier des deux"),N(G295)&gt;0),N(N295)+G295,"")</f>
        <v/>
      </c>
      <c r="Q295" s="75" t="str">
        <f>IF(B295="","",IFERROR(N(INDEX(eq_cnt,MATCH(B295,eq_code,0))),""))</f>
        <v/>
      </c>
      <c r="R295" s="77" t="str">
        <f>IF(ISNUMBER(O295),O295-p_today,"")</f>
        <v/>
      </c>
      <c r="S295" s="78" t="str">
        <f>IF(AND(ISNUMBER(P295),N(Q295)&gt;0),P295-Q295,"")</f>
        <v/>
      </c>
      <c r="T295" s="76" t="str">
        <f>IF(AND(ISNUMBER(O295),ISNUMBER(X295)),MIN(O295,X295),IF(ISNUMBER(O295),O295,X295))</f>
        <v/>
      </c>
      <c r="U295" s="79" t="str">
        <f>IF(AND(A295="",B295="",D295=""),"",IF(L295="Non","Inactif",IF(AND(NOT(ISNUMBER(R295)),NOT(ISNUMBER(S295))),"À compléter",IF(OR(AND(ISNUMBER(R295),N(R295)&lt;0),AND(ISNUMBER(S295),N(S295)&lt;0)),"En retard",IF(OR(AND(ISNUMBER(R295),N(R295)&lt;=p_soon),AND(ISNUMBER(S295),N(S295)&lt;=p_soon_pct*N(G295))),"Bientôt","À jour")))))</f>
        <v/>
      </c>
      <c r="V295" s="79" t="str">
        <f>IF(AND(A295="",B295="",D295=""),"",IF(A295="","N° de plan manquant",IF(COUNTIF($A$6:$A$505,A295)&gt;1,"N° de plan en double",IF(B295="","Équipement manquant",IF(ISNA(MATCH(B295,eq_code,0)),"Équipement inconnu",IF(D295="","Tâche manquante",IF(E295="","Déclenchement manquant",IF(AND(E295&lt;&gt;"Calendrier",E295&lt;&gt;"Compteur",E295&lt;&gt;"Au premier des deux"),"Déclenchement inconnu",IF(AND(E295&lt;&gt;"Compteur",OR(NOT(ISNUMBER(F295)),N(F295)&lt;=0)),"Périodicité en jours manquante",IF(AND(E295&lt;&gt;"Calendrier",OR(NOT(ISNUMBER(G295)),N(G295)&lt;=0)),"Périodicité compteur manquante",IF(AND(J295&lt;&gt;"",OR(NOT(ISNUMBER(J295)),N(J295)&lt;=0)),"Date de réalisation invalide",IF(AND(K295&lt;&gt;"",OR(NOT(ISNUMBER(K295)),N(K295)&lt;0)),"Compteur de réalisation invalide",IF(AND(E295&lt;&gt;"Compteur",N(M295)=0,IFERROR(N(INDEX(eq_start,MATCH(B295,eq_code,0))),0)=0),"Date de départ manquante",IF(AND(E295&lt;&gt;"Calendrier",K295="",N(N295)=0),"Compteur de départ manquant",IF(AND(E295&lt;&gt;"Calendrier",N(Q295)=0),"Relevé compteur manquant (Équipements)",IF(AND(I295&lt;&gt;"",ISNA(MATCH(I295,tech_name,0))),"Technicien inconnu",IF(AND(L295&lt;&gt;"",L295&lt;&gt;"Oui",L295&lt;&gt;"Non"),"Actif : Oui ou Non","OK")))))))))))))))))</f>
        <v/>
      </c>
      <c r="W295" s="67">
        <f>IFERROR(N(INDEX(eq_use,MATCH(B295,eq_code,0))),0)</f>
        <v>0.0</v>
      </c>
      <c r="X295" s="67" t="str">
        <f>IF(AND(ISNUMBER(S295),W295&gt;0),p_today+MAX(0,ROUNDUP(S295*7/W295,0)),"")</f>
        <v/>
      </c>
      <c r="Y295" s="67" t="str">
        <f>IF(AND(ISNUMBER(T295),OR(U295="En retard",U295="Bientôt",U295="À jour")),IF(AND(ISNUMBER(O295),ISNUMBER(X295)),MIN(F295,G295*7/W295),IF(ISNUMBER(O295),F295,G295*7/W295)),"")</f>
        <v/>
      </c>
      <c r="Z295" s="67" t="str">
        <f>IF(OR(U295="En retard",U295="Bientôt"),IF(U295="En retard",0,1)*1000000000+IF(AB295="A",0,IF(AB295="B",1,IF(AB295="C",2,3)))*100000000+IF(ISNUMBER(T295),T295,p_today)*1000+ROW()-5,"")</f>
        <v/>
      </c>
      <c r="AA295" s="67" t="str">
        <f>IF(Z295="","",COUNTIF($Z$6:$Z$505,"&lt;"&amp;Z295)+1)</f>
        <v/>
      </c>
      <c r="AB295" s="67" t="str">
        <f>IFERROR(INDEX(eq_crit,MATCH(B295,eq_code,0))&amp;"","")</f>
        <v/>
      </c>
    </row>
    <row r="296">
      <c r="A296" s="65" t="n"/>
      <c r="B296" s="66" t="n"/>
      <c r="C296" s="67" t="str">
        <f>IF(B296="","",IFERROR(INDEX(eq_des,MATCH(B296,eq_code,0))&amp;"","Équipement inconnu"))</f>
        <v/>
      </c>
      <c r="D296" s="66" t="n"/>
      <c r="E296" s="68" t="n"/>
      <c r="F296" s="69" t="n"/>
      <c r="G296" s="70" t="n"/>
      <c r="H296" s="71" t="n"/>
      <c r="I296" s="66" t="n"/>
      <c r="J296" s="72" t="n"/>
      <c r="K296" s="73" t="n"/>
      <c r="L296" s="68" t="n"/>
      <c r="M296" s="74" t="str">
        <f>IF(AND(A296="",B296="",D296=""),"",MAX(N(J296),IF(A296="",0,SUMPRODUCT(MAX((in_plan=A296)*in_prev*in_dnum)))))</f>
        <v/>
      </c>
      <c r="N296" s="75" t="str">
        <f>IF(AND(A296="",B296="",D296=""),"",MAX(N(K296),IF(A296="",0,SUMPRODUCT(MAX((in_plan=A296)*in_prev*in_cnum)))))</f>
        <v/>
      </c>
      <c r="O296" s="76" t="str">
        <f>IF(AND(OR(E296="Calendrier",E296="Au premier des deux"),N(F296)&gt;0,IF(N(M296)&gt;0,M296,IFERROR(N(INDEX(eq_start,MATCH(B296,eq_code,0))),0))&gt;0),IF(N(M296)&gt;0,M296,IFERROR(N(INDEX(eq_start,MATCH(B296,eq_code,0))),0))+F296,"")</f>
        <v/>
      </c>
      <c r="P296" s="75" t="str">
        <f>IF(AND(OR(E296="Compteur",E296="Au premier des deux"),N(G296)&gt;0),N(N296)+G296,"")</f>
        <v/>
      </c>
      <c r="Q296" s="75" t="str">
        <f>IF(B296="","",IFERROR(N(INDEX(eq_cnt,MATCH(B296,eq_code,0))),""))</f>
        <v/>
      </c>
      <c r="R296" s="77" t="str">
        <f>IF(ISNUMBER(O296),O296-p_today,"")</f>
        <v/>
      </c>
      <c r="S296" s="78" t="str">
        <f>IF(AND(ISNUMBER(P296),N(Q296)&gt;0),P296-Q296,"")</f>
        <v/>
      </c>
      <c r="T296" s="76" t="str">
        <f>IF(AND(ISNUMBER(O296),ISNUMBER(X296)),MIN(O296,X296),IF(ISNUMBER(O296),O296,X296))</f>
        <v/>
      </c>
      <c r="U296" s="79" t="str">
        <f>IF(AND(A296="",B296="",D296=""),"",IF(L296="Non","Inactif",IF(AND(NOT(ISNUMBER(R296)),NOT(ISNUMBER(S296))),"À compléter",IF(OR(AND(ISNUMBER(R296),N(R296)&lt;0),AND(ISNUMBER(S296),N(S296)&lt;0)),"En retard",IF(OR(AND(ISNUMBER(R296),N(R296)&lt;=p_soon),AND(ISNUMBER(S296),N(S296)&lt;=p_soon_pct*N(G296))),"Bientôt","À jour")))))</f>
        <v/>
      </c>
      <c r="V296" s="79" t="str">
        <f>IF(AND(A296="",B296="",D296=""),"",IF(A296="","N° de plan manquant",IF(COUNTIF($A$6:$A$505,A296)&gt;1,"N° de plan en double",IF(B296="","Équipement manquant",IF(ISNA(MATCH(B296,eq_code,0)),"Équipement inconnu",IF(D296="","Tâche manquante",IF(E296="","Déclenchement manquant",IF(AND(E296&lt;&gt;"Calendrier",E296&lt;&gt;"Compteur",E296&lt;&gt;"Au premier des deux"),"Déclenchement inconnu",IF(AND(E296&lt;&gt;"Compteur",OR(NOT(ISNUMBER(F296)),N(F296)&lt;=0)),"Périodicité en jours manquante",IF(AND(E296&lt;&gt;"Calendrier",OR(NOT(ISNUMBER(G296)),N(G296)&lt;=0)),"Périodicité compteur manquante",IF(AND(J296&lt;&gt;"",OR(NOT(ISNUMBER(J296)),N(J296)&lt;=0)),"Date de réalisation invalide",IF(AND(K296&lt;&gt;"",OR(NOT(ISNUMBER(K296)),N(K296)&lt;0)),"Compteur de réalisation invalide",IF(AND(E296&lt;&gt;"Compteur",N(M296)=0,IFERROR(N(INDEX(eq_start,MATCH(B296,eq_code,0))),0)=0),"Date de départ manquante",IF(AND(E296&lt;&gt;"Calendrier",K296="",N(N296)=0),"Compteur de départ manquant",IF(AND(E296&lt;&gt;"Calendrier",N(Q296)=0),"Relevé compteur manquant (Équipements)",IF(AND(I296&lt;&gt;"",ISNA(MATCH(I296,tech_name,0))),"Technicien inconnu",IF(AND(L296&lt;&gt;"",L296&lt;&gt;"Oui",L296&lt;&gt;"Non"),"Actif : Oui ou Non","OK")))))))))))))))))</f>
        <v/>
      </c>
      <c r="W296" s="67">
        <f>IFERROR(N(INDEX(eq_use,MATCH(B296,eq_code,0))),0)</f>
        <v>0.0</v>
      </c>
      <c r="X296" s="67" t="str">
        <f>IF(AND(ISNUMBER(S296),W296&gt;0),p_today+MAX(0,ROUNDUP(S296*7/W296,0)),"")</f>
        <v/>
      </c>
      <c r="Y296" s="67" t="str">
        <f>IF(AND(ISNUMBER(T296),OR(U296="En retard",U296="Bientôt",U296="À jour")),IF(AND(ISNUMBER(O296),ISNUMBER(X296)),MIN(F296,G296*7/W296),IF(ISNUMBER(O296),F296,G296*7/W296)),"")</f>
        <v/>
      </c>
      <c r="Z296" s="67" t="str">
        <f>IF(OR(U296="En retard",U296="Bientôt"),IF(U296="En retard",0,1)*1000000000+IF(AB296="A",0,IF(AB296="B",1,IF(AB296="C",2,3)))*100000000+IF(ISNUMBER(T296),T296,p_today)*1000+ROW()-5,"")</f>
        <v/>
      </c>
      <c r="AA296" s="67" t="str">
        <f>IF(Z296="","",COUNTIF($Z$6:$Z$505,"&lt;"&amp;Z296)+1)</f>
        <v/>
      </c>
      <c r="AB296" s="67" t="str">
        <f>IFERROR(INDEX(eq_crit,MATCH(B296,eq_code,0))&amp;"","")</f>
        <v/>
      </c>
    </row>
    <row r="297">
      <c r="A297" s="65" t="n"/>
      <c r="B297" s="66" t="n"/>
      <c r="C297" s="67" t="str">
        <f>IF(B297="","",IFERROR(INDEX(eq_des,MATCH(B297,eq_code,0))&amp;"","Équipement inconnu"))</f>
        <v/>
      </c>
      <c r="D297" s="66" t="n"/>
      <c r="E297" s="68" t="n"/>
      <c r="F297" s="69" t="n"/>
      <c r="G297" s="70" t="n"/>
      <c r="H297" s="71" t="n"/>
      <c r="I297" s="66" t="n"/>
      <c r="J297" s="72" t="n"/>
      <c r="K297" s="73" t="n"/>
      <c r="L297" s="68" t="n"/>
      <c r="M297" s="74" t="str">
        <f>IF(AND(A297="",B297="",D297=""),"",MAX(N(J297),IF(A297="",0,SUMPRODUCT(MAX((in_plan=A297)*in_prev*in_dnum)))))</f>
        <v/>
      </c>
      <c r="N297" s="75" t="str">
        <f>IF(AND(A297="",B297="",D297=""),"",MAX(N(K297),IF(A297="",0,SUMPRODUCT(MAX((in_plan=A297)*in_prev*in_cnum)))))</f>
        <v/>
      </c>
      <c r="O297" s="76" t="str">
        <f>IF(AND(OR(E297="Calendrier",E297="Au premier des deux"),N(F297)&gt;0,IF(N(M297)&gt;0,M297,IFERROR(N(INDEX(eq_start,MATCH(B297,eq_code,0))),0))&gt;0),IF(N(M297)&gt;0,M297,IFERROR(N(INDEX(eq_start,MATCH(B297,eq_code,0))),0))+F297,"")</f>
        <v/>
      </c>
      <c r="P297" s="75" t="str">
        <f>IF(AND(OR(E297="Compteur",E297="Au premier des deux"),N(G297)&gt;0),N(N297)+G297,"")</f>
        <v/>
      </c>
      <c r="Q297" s="75" t="str">
        <f>IF(B297="","",IFERROR(N(INDEX(eq_cnt,MATCH(B297,eq_code,0))),""))</f>
        <v/>
      </c>
      <c r="R297" s="77" t="str">
        <f>IF(ISNUMBER(O297),O297-p_today,"")</f>
        <v/>
      </c>
      <c r="S297" s="78" t="str">
        <f>IF(AND(ISNUMBER(P297),N(Q297)&gt;0),P297-Q297,"")</f>
        <v/>
      </c>
      <c r="T297" s="76" t="str">
        <f>IF(AND(ISNUMBER(O297),ISNUMBER(X297)),MIN(O297,X297),IF(ISNUMBER(O297),O297,X297))</f>
        <v/>
      </c>
      <c r="U297" s="79" t="str">
        <f>IF(AND(A297="",B297="",D297=""),"",IF(L297="Non","Inactif",IF(AND(NOT(ISNUMBER(R297)),NOT(ISNUMBER(S297))),"À compléter",IF(OR(AND(ISNUMBER(R297),N(R297)&lt;0),AND(ISNUMBER(S297),N(S297)&lt;0)),"En retard",IF(OR(AND(ISNUMBER(R297),N(R297)&lt;=p_soon),AND(ISNUMBER(S297),N(S297)&lt;=p_soon_pct*N(G297))),"Bientôt","À jour")))))</f>
        <v/>
      </c>
      <c r="V297" s="79" t="str">
        <f>IF(AND(A297="",B297="",D297=""),"",IF(A297="","N° de plan manquant",IF(COUNTIF($A$6:$A$505,A297)&gt;1,"N° de plan en double",IF(B297="","Équipement manquant",IF(ISNA(MATCH(B297,eq_code,0)),"Équipement inconnu",IF(D297="","Tâche manquante",IF(E297="","Déclenchement manquant",IF(AND(E297&lt;&gt;"Calendrier",E297&lt;&gt;"Compteur",E297&lt;&gt;"Au premier des deux"),"Déclenchement inconnu",IF(AND(E297&lt;&gt;"Compteur",OR(NOT(ISNUMBER(F297)),N(F297)&lt;=0)),"Périodicité en jours manquante",IF(AND(E297&lt;&gt;"Calendrier",OR(NOT(ISNUMBER(G297)),N(G297)&lt;=0)),"Périodicité compteur manquante",IF(AND(J297&lt;&gt;"",OR(NOT(ISNUMBER(J297)),N(J297)&lt;=0)),"Date de réalisation invalide",IF(AND(K297&lt;&gt;"",OR(NOT(ISNUMBER(K297)),N(K297)&lt;0)),"Compteur de réalisation invalide",IF(AND(E297&lt;&gt;"Compteur",N(M297)=0,IFERROR(N(INDEX(eq_start,MATCH(B297,eq_code,0))),0)=0),"Date de départ manquante",IF(AND(E297&lt;&gt;"Calendrier",K297="",N(N297)=0),"Compteur de départ manquant",IF(AND(E297&lt;&gt;"Calendrier",N(Q297)=0),"Relevé compteur manquant (Équipements)",IF(AND(I297&lt;&gt;"",ISNA(MATCH(I297,tech_name,0))),"Technicien inconnu",IF(AND(L297&lt;&gt;"",L297&lt;&gt;"Oui",L297&lt;&gt;"Non"),"Actif : Oui ou Non","OK")))))))))))))))))</f>
        <v/>
      </c>
      <c r="W297" s="67">
        <f>IFERROR(N(INDEX(eq_use,MATCH(B297,eq_code,0))),0)</f>
        <v>0.0</v>
      </c>
      <c r="X297" s="67" t="str">
        <f>IF(AND(ISNUMBER(S297),W297&gt;0),p_today+MAX(0,ROUNDUP(S297*7/W297,0)),"")</f>
        <v/>
      </c>
      <c r="Y297" s="67" t="str">
        <f>IF(AND(ISNUMBER(T297),OR(U297="En retard",U297="Bientôt",U297="À jour")),IF(AND(ISNUMBER(O297),ISNUMBER(X297)),MIN(F297,G297*7/W297),IF(ISNUMBER(O297),F297,G297*7/W297)),"")</f>
        <v/>
      </c>
      <c r="Z297" s="67" t="str">
        <f>IF(OR(U297="En retard",U297="Bientôt"),IF(U297="En retard",0,1)*1000000000+IF(AB297="A",0,IF(AB297="B",1,IF(AB297="C",2,3)))*100000000+IF(ISNUMBER(T297),T297,p_today)*1000+ROW()-5,"")</f>
        <v/>
      </c>
      <c r="AA297" s="67" t="str">
        <f>IF(Z297="","",COUNTIF($Z$6:$Z$505,"&lt;"&amp;Z297)+1)</f>
        <v/>
      </c>
      <c r="AB297" s="67" t="str">
        <f>IFERROR(INDEX(eq_crit,MATCH(B297,eq_code,0))&amp;"","")</f>
        <v/>
      </c>
    </row>
    <row r="298">
      <c r="A298" s="65" t="n"/>
      <c r="B298" s="66" t="n"/>
      <c r="C298" s="67" t="str">
        <f>IF(B298="","",IFERROR(INDEX(eq_des,MATCH(B298,eq_code,0))&amp;"","Équipement inconnu"))</f>
        <v/>
      </c>
      <c r="D298" s="66" t="n"/>
      <c r="E298" s="68" t="n"/>
      <c r="F298" s="69" t="n"/>
      <c r="G298" s="70" t="n"/>
      <c r="H298" s="71" t="n"/>
      <c r="I298" s="66" t="n"/>
      <c r="J298" s="72" t="n"/>
      <c r="K298" s="73" t="n"/>
      <c r="L298" s="68" t="n"/>
      <c r="M298" s="74" t="str">
        <f>IF(AND(A298="",B298="",D298=""),"",MAX(N(J298),IF(A298="",0,SUMPRODUCT(MAX((in_plan=A298)*in_prev*in_dnum)))))</f>
        <v/>
      </c>
      <c r="N298" s="75" t="str">
        <f>IF(AND(A298="",B298="",D298=""),"",MAX(N(K298),IF(A298="",0,SUMPRODUCT(MAX((in_plan=A298)*in_prev*in_cnum)))))</f>
        <v/>
      </c>
      <c r="O298" s="76" t="str">
        <f>IF(AND(OR(E298="Calendrier",E298="Au premier des deux"),N(F298)&gt;0,IF(N(M298)&gt;0,M298,IFERROR(N(INDEX(eq_start,MATCH(B298,eq_code,0))),0))&gt;0),IF(N(M298)&gt;0,M298,IFERROR(N(INDEX(eq_start,MATCH(B298,eq_code,0))),0))+F298,"")</f>
        <v/>
      </c>
      <c r="P298" s="75" t="str">
        <f>IF(AND(OR(E298="Compteur",E298="Au premier des deux"),N(G298)&gt;0),N(N298)+G298,"")</f>
        <v/>
      </c>
      <c r="Q298" s="75" t="str">
        <f>IF(B298="","",IFERROR(N(INDEX(eq_cnt,MATCH(B298,eq_code,0))),""))</f>
        <v/>
      </c>
      <c r="R298" s="77" t="str">
        <f>IF(ISNUMBER(O298),O298-p_today,"")</f>
        <v/>
      </c>
      <c r="S298" s="78" t="str">
        <f>IF(AND(ISNUMBER(P298),N(Q298)&gt;0),P298-Q298,"")</f>
        <v/>
      </c>
      <c r="T298" s="76" t="str">
        <f>IF(AND(ISNUMBER(O298),ISNUMBER(X298)),MIN(O298,X298),IF(ISNUMBER(O298),O298,X298))</f>
        <v/>
      </c>
      <c r="U298" s="79" t="str">
        <f>IF(AND(A298="",B298="",D298=""),"",IF(L298="Non","Inactif",IF(AND(NOT(ISNUMBER(R298)),NOT(ISNUMBER(S298))),"À compléter",IF(OR(AND(ISNUMBER(R298),N(R298)&lt;0),AND(ISNUMBER(S298),N(S298)&lt;0)),"En retard",IF(OR(AND(ISNUMBER(R298),N(R298)&lt;=p_soon),AND(ISNUMBER(S298),N(S298)&lt;=p_soon_pct*N(G298))),"Bientôt","À jour")))))</f>
        <v/>
      </c>
      <c r="V298" s="79" t="str">
        <f>IF(AND(A298="",B298="",D298=""),"",IF(A298="","N° de plan manquant",IF(COUNTIF($A$6:$A$505,A298)&gt;1,"N° de plan en double",IF(B298="","Équipement manquant",IF(ISNA(MATCH(B298,eq_code,0)),"Équipement inconnu",IF(D298="","Tâche manquante",IF(E298="","Déclenchement manquant",IF(AND(E298&lt;&gt;"Calendrier",E298&lt;&gt;"Compteur",E298&lt;&gt;"Au premier des deux"),"Déclenchement inconnu",IF(AND(E298&lt;&gt;"Compteur",OR(NOT(ISNUMBER(F298)),N(F298)&lt;=0)),"Périodicité en jours manquante",IF(AND(E298&lt;&gt;"Calendrier",OR(NOT(ISNUMBER(G298)),N(G298)&lt;=0)),"Périodicité compteur manquante",IF(AND(J298&lt;&gt;"",OR(NOT(ISNUMBER(J298)),N(J298)&lt;=0)),"Date de réalisation invalide",IF(AND(K298&lt;&gt;"",OR(NOT(ISNUMBER(K298)),N(K298)&lt;0)),"Compteur de réalisation invalide",IF(AND(E298&lt;&gt;"Compteur",N(M298)=0,IFERROR(N(INDEX(eq_start,MATCH(B298,eq_code,0))),0)=0),"Date de départ manquante",IF(AND(E298&lt;&gt;"Calendrier",K298="",N(N298)=0),"Compteur de départ manquant",IF(AND(E298&lt;&gt;"Calendrier",N(Q298)=0),"Relevé compteur manquant (Équipements)",IF(AND(I298&lt;&gt;"",ISNA(MATCH(I298,tech_name,0))),"Technicien inconnu",IF(AND(L298&lt;&gt;"",L298&lt;&gt;"Oui",L298&lt;&gt;"Non"),"Actif : Oui ou Non","OK")))))))))))))))))</f>
        <v/>
      </c>
      <c r="W298" s="67">
        <f>IFERROR(N(INDEX(eq_use,MATCH(B298,eq_code,0))),0)</f>
        <v>0.0</v>
      </c>
      <c r="X298" s="67" t="str">
        <f>IF(AND(ISNUMBER(S298),W298&gt;0),p_today+MAX(0,ROUNDUP(S298*7/W298,0)),"")</f>
        <v/>
      </c>
      <c r="Y298" s="67" t="str">
        <f>IF(AND(ISNUMBER(T298),OR(U298="En retard",U298="Bientôt",U298="À jour")),IF(AND(ISNUMBER(O298),ISNUMBER(X298)),MIN(F298,G298*7/W298),IF(ISNUMBER(O298),F298,G298*7/W298)),"")</f>
        <v/>
      </c>
      <c r="Z298" s="67" t="str">
        <f>IF(OR(U298="En retard",U298="Bientôt"),IF(U298="En retard",0,1)*1000000000+IF(AB298="A",0,IF(AB298="B",1,IF(AB298="C",2,3)))*100000000+IF(ISNUMBER(T298),T298,p_today)*1000+ROW()-5,"")</f>
        <v/>
      </c>
      <c r="AA298" s="67" t="str">
        <f>IF(Z298="","",COUNTIF($Z$6:$Z$505,"&lt;"&amp;Z298)+1)</f>
        <v/>
      </c>
      <c r="AB298" s="67" t="str">
        <f>IFERROR(INDEX(eq_crit,MATCH(B298,eq_code,0))&amp;"","")</f>
        <v/>
      </c>
    </row>
    <row r="299">
      <c r="A299" s="65" t="n"/>
      <c r="B299" s="66" t="n"/>
      <c r="C299" s="67" t="str">
        <f>IF(B299="","",IFERROR(INDEX(eq_des,MATCH(B299,eq_code,0))&amp;"","Équipement inconnu"))</f>
        <v/>
      </c>
      <c r="D299" s="66" t="n"/>
      <c r="E299" s="68" t="n"/>
      <c r="F299" s="69" t="n"/>
      <c r="G299" s="70" t="n"/>
      <c r="H299" s="71" t="n"/>
      <c r="I299" s="66" t="n"/>
      <c r="J299" s="72" t="n"/>
      <c r="K299" s="73" t="n"/>
      <c r="L299" s="68" t="n"/>
      <c r="M299" s="74" t="str">
        <f>IF(AND(A299="",B299="",D299=""),"",MAX(N(J299),IF(A299="",0,SUMPRODUCT(MAX((in_plan=A299)*in_prev*in_dnum)))))</f>
        <v/>
      </c>
      <c r="N299" s="75" t="str">
        <f>IF(AND(A299="",B299="",D299=""),"",MAX(N(K299),IF(A299="",0,SUMPRODUCT(MAX((in_plan=A299)*in_prev*in_cnum)))))</f>
        <v/>
      </c>
      <c r="O299" s="76" t="str">
        <f>IF(AND(OR(E299="Calendrier",E299="Au premier des deux"),N(F299)&gt;0,IF(N(M299)&gt;0,M299,IFERROR(N(INDEX(eq_start,MATCH(B299,eq_code,0))),0))&gt;0),IF(N(M299)&gt;0,M299,IFERROR(N(INDEX(eq_start,MATCH(B299,eq_code,0))),0))+F299,"")</f>
        <v/>
      </c>
      <c r="P299" s="75" t="str">
        <f>IF(AND(OR(E299="Compteur",E299="Au premier des deux"),N(G299)&gt;0),N(N299)+G299,"")</f>
        <v/>
      </c>
      <c r="Q299" s="75" t="str">
        <f>IF(B299="","",IFERROR(N(INDEX(eq_cnt,MATCH(B299,eq_code,0))),""))</f>
        <v/>
      </c>
      <c r="R299" s="77" t="str">
        <f>IF(ISNUMBER(O299),O299-p_today,"")</f>
        <v/>
      </c>
      <c r="S299" s="78" t="str">
        <f>IF(AND(ISNUMBER(P299),N(Q299)&gt;0),P299-Q299,"")</f>
        <v/>
      </c>
      <c r="T299" s="76" t="str">
        <f>IF(AND(ISNUMBER(O299),ISNUMBER(X299)),MIN(O299,X299),IF(ISNUMBER(O299),O299,X299))</f>
        <v/>
      </c>
      <c r="U299" s="79" t="str">
        <f>IF(AND(A299="",B299="",D299=""),"",IF(L299="Non","Inactif",IF(AND(NOT(ISNUMBER(R299)),NOT(ISNUMBER(S299))),"À compléter",IF(OR(AND(ISNUMBER(R299),N(R299)&lt;0),AND(ISNUMBER(S299),N(S299)&lt;0)),"En retard",IF(OR(AND(ISNUMBER(R299),N(R299)&lt;=p_soon),AND(ISNUMBER(S299),N(S299)&lt;=p_soon_pct*N(G299))),"Bientôt","À jour")))))</f>
        <v/>
      </c>
      <c r="V299" s="79" t="str">
        <f>IF(AND(A299="",B299="",D299=""),"",IF(A299="","N° de plan manquant",IF(COUNTIF($A$6:$A$505,A299)&gt;1,"N° de plan en double",IF(B299="","Équipement manquant",IF(ISNA(MATCH(B299,eq_code,0)),"Équipement inconnu",IF(D299="","Tâche manquante",IF(E299="","Déclenchement manquant",IF(AND(E299&lt;&gt;"Calendrier",E299&lt;&gt;"Compteur",E299&lt;&gt;"Au premier des deux"),"Déclenchement inconnu",IF(AND(E299&lt;&gt;"Compteur",OR(NOT(ISNUMBER(F299)),N(F299)&lt;=0)),"Périodicité en jours manquante",IF(AND(E299&lt;&gt;"Calendrier",OR(NOT(ISNUMBER(G299)),N(G299)&lt;=0)),"Périodicité compteur manquante",IF(AND(J299&lt;&gt;"",OR(NOT(ISNUMBER(J299)),N(J299)&lt;=0)),"Date de réalisation invalide",IF(AND(K299&lt;&gt;"",OR(NOT(ISNUMBER(K299)),N(K299)&lt;0)),"Compteur de réalisation invalide",IF(AND(E299&lt;&gt;"Compteur",N(M299)=0,IFERROR(N(INDEX(eq_start,MATCH(B299,eq_code,0))),0)=0),"Date de départ manquante",IF(AND(E299&lt;&gt;"Calendrier",K299="",N(N299)=0),"Compteur de départ manquant",IF(AND(E299&lt;&gt;"Calendrier",N(Q299)=0),"Relevé compteur manquant (Équipements)",IF(AND(I299&lt;&gt;"",ISNA(MATCH(I299,tech_name,0))),"Technicien inconnu",IF(AND(L299&lt;&gt;"",L299&lt;&gt;"Oui",L299&lt;&gt;"Non"),"Actif : Oui ou Non","OK")))))))))))))))))</f>
        <v/>
      </c>
      <c r="W299" s="67">
        <f>IFERROR(N(INDEX(eq_use,MATCH(B299,eq_code,0))),0)</f>
        <v>0.0</v>
      </c>
      <c r="X299" s="67" t="str">
        <f>IF(AND(ISNUMBER(S299),W299&gt;0),p_today+MAX(0,ROUNDUP(S299*7/W299,0)),"")</f>
        <v/>
      </c>
      <c r="Y299" s="67" t="str">
        <f>IF(AND(ISNUMBER(T299),OR(U299="En retard",U299="Bientôt",U299="À jour")),IF(AND(ISNUMBER(O299),ISNUMBER(X299)),MIN(F299,G299*7/W299),IF(ISNUMBER(O299),F299,G299*7/W299)),"")</f>
        <v/>
      </c>
      <c r="Z299" s="67" t="str">
        <f>IF(OR(U299="En retard",U299="Bientôt"),IF(U299="En retard",0,1)*1000000000+IF(AB299="A",0,IF(AB299="B",1,IF(AB299="C",2,3)))*100000000+IF(ISNUMBER(T299),T299,p_today)*1000+ROW()-5,"")</f>
        <v/>
      </c>
      <c r="AA299" s="67" t="str">
        <f>IF(Z299="","",COUNTIF($Z$6:$Z$505,"&lt;"&amp;Z299)+1)</f>
        <v/>
      </c>
      <c r="AB299" s="67" t="str">
        <f>IFERROR(INDEX(eq_crit,MATCH(B299,eq_code,0))&amp;"","")</f>
        <v/>
      </c>
    </row>
    <row r="300">
      <c r="A300" s="65" t="n"/>
      <c r="B300" s="66" t="n"/>
      <c r="C300" s="67" t="str">
        <f>IF(B300="","",IFERROR(INDEX(eq_des,MATCH(B300,eq_code,0))&amp;"","Équipement inconnu"))</f>
        <v/>
      </c>
      <c r="D300" s="66" t="n"/>
      <c r="E300" s="68" t="n"/>
      <c r="F300" s="69" t="n"/>
      <c r="G300" s="70" t="n"/>
      <c r="H300" s="71" t="n"/>
      <c r="I300" s="66" t="n"/>
      <c r="J300" s="72" t="n"/>
      <c r="K300" s="73" t="n"/>
      <c r="L300" s="68" t="n"/>
      <c r="M300" s="74" t="str">
        <f>IF(AND(A300="",B300="",D300=""),"",MAX(N(J300),IF(A300="",0,SUMPRODUCT(MAX((in_plan=A300)*in_prev*in_dnum)))))</f>
        <v/>
      </c>
      <c r="N300" s="75" t="str">
        <f>IF(AND(A300="",B300="",D300=""),"",MAX(N(K300),IF(A300="",0,SUMPRODUCT(MAX((in_plan=A300)*in_prev*in_cnum)))))</f>
        <v/>
      </c>
      <c r="O300" s="76" t="str">
        <f>IF(AND(OR(E300="Calendrier",E300="Au premier des deux"),N(F300)&gt;0,IF(N(M300)&gt;0,M300,IFERROR(N(INDEX(eq_start,MATCH(B300,eq_code,0))),0))&gt;0),IF(N(M300)&gt;0,M300,IFERROR(N(INDEX(eq_start,MATCH(B300,eq_code,0))),0))+F300,"")</f>
        <v/>
      </c>
      <c r="P300" s="75" t="str">
        <f>IF(AND(OR(E300="Compteur",E300="Au premier des deux"),N(G300)&gt;0),N(N300)+G300,"")</f>
        <v/>
      </c>
      <c r="Q300" s="75" t="str">
        <f>IF(B300="","",IFERROR(N(INDEX(eq_cnt,MATCH(B300,eq_code,0))),""))</f>
        <v/>
      </c>
      <c r="R300" s="77" t="str">
        <f>IF(ISNUMBER(O300),O300-p_today,"")</f>
        <v/>
      </c>
      <c r="S300" s="78" t="str">
        <f>IF(AND(ISNUMBER(P300),N(Q300)&gt;0),P300-Q300,"")</f>
        <v/>
      </c>
      <c r="T300" s="76" t="str">
        <f>IF(AND(ISNUMBER(O300),ISNUMBER(X300)),MIN(O300,X300),IF(ISNUMBER(O300),O300,X300))</f>
        <v/>
      </c>
      <c r="U300" s="79" t="str">
        <f>IF(AND(A300="",B300="",D300=""),"",IF(L300="Non","Inactif",IF(AND(NOT(ISNUMBER(R300)),NOT(ISNUMBER(S300))),"À compléter",IF(OR(AND(ISNUMBER(R300),N(R300)&lt;0),AND(ISNUMBER(S300),N(S300)&lt;0)),"En retard",IF(OR(AND(ISNUMBER(R300),N(R300)&lt;=p_soon),AND(ISNUMBER(S300),N(S300)&lt;=p_soon_pct*N(G300))),"Bientôt","À jour")))))</f>
        <v/>
      </c>
      <c r="V300" s="79" t="str">
        <f>IF(AND(A300="",B300="",D300=""),"",IF(A300="","N° de plan manquant",IF(COUNTIF($A$6:$A$505,A300)&gt;1,"N° de plan en double",IF(B300="","Équipement manquant",IF(ISNA(MATCH(B300,eq_code,0)),"Équipement inconnu",IF(D300="","Tâche manquante",IF(E300="","Déclenchement manquant",IF(AND(E300&lt;&gt;"Calendrier",E300&lt;&gt;"Compteur",E300&lt;&gt;"Au premier des deux"),"Déclenchement inconnu",IF(AND(E300&lt;&gt;"Compteur",OR(NOT(ISNUMBER(F300)),N(F300)&lt;=0)),"Périodicité en jours manquante",IF(AND(E300&lt;&gt;"Calendrier",OR(NOT(ISNUMBER(G300)),N(G300)&lt;=0)),"Périodicité compteur manquante",IF(AND(J300&lt;&gt;"",OR(NOT(ISNUMBER(J300)),N(J300)&lt;=0)),"Date de réalisation invalide",IF(AND(K300&lt;&gt;"",OR(NOT(ISNUMBER(K300)),N(K300)&lt;0)),"Compteur de réalisation invalide",IF(AND(E300&lt;&gt;"Compteur",N(M300)=0,IFERROR(N(INDEX(eq_start,MATCH(B300,eq_code,0))),0)=0),"Date de départ manquante",IF(AND(E300&lt;&gt;"Calendrier",K300="",N(N300)=0),"Compteur de départ manquant",IF(AND(E300&lt;&gt;"Calendrier",N(Q300)=0),"Relevé compteur manquant (Équipements)",IF(AND(I300&lt;&gt;"",ISNA(MATCH(I300,tech_name,0))),"Technicien inconnu",IF(AND(L300&lt;&gt;"",L300&lt;&gt;"Oui",L300&lt;&gt;"Non"),"Actif : Oui ou Non","OK")))))))))))))))))</f>
        <v/>
      </c>
      <c r="W300" s="67">
        <f>IFERROR(N(INDEX(eq_use,MATCH(B300,eq_code,0))),0)</f>
        <v>0.0</v>
      </c>
      <c r="X300" s="67" t="str">
        <f>IF(AND(ISNUMBER(S300),W300&gt;0),p_today+MAX(0,ROUNDUP(S300*7/W300,0)),"")</f>
        <v/>
      </c>
      <c r="Y300" s="67" t="str">
        <f>IF(AND(ISNUMBER(T300),OR(U300="En retard",U300="Bientôt",U300="À jour")),IF(AND(ISNUMBER(O300),ISNUMBER(X300)),MIN(F300,G300*7/W300),IF(ISNUMBER(O300),F300,G300*7/W300)),"")</f>
        <v/>
      </c>
      <c r="Z300" s="67" t="str">
        <f>IF(OR(U300="En retard",U300="Bientôt"),IF(U300="En retard",0,1)*1000000000+IF(AB300="A",0,IF(AB300="B",1,IF(AB300="C",2,3)))*100000000+IF(ISNUMBER(T300),T300,p_today)*1000+ROW()-5,"")</f>
        <v/>
      </c>
      <c r="AA300" s="67" t="str">
        <f>IF(Z300="","",COUNTIF($Z$6:$Z$505,"&lt;"&amp;Z300)+1)</f>
        <v/>
      </c>
      <c r="AB300" s="67" t="str">
        <f>IFERROR(INDEX(eq_crit,MATCH(B300,eq_code,0))&amp;"","")</f>
        <v/>
      </c>
    </row>
    <row r="301">
      <c r="A301" s="65" t="n"/>
      <c r="B301" s="66" t="n"/>
      <c r="C301" s="67" t="str">
        <f>IF(B301="","",IFERROR(INDEX(eq_des,MATCH(B301,eq_code,0))&amp;"","Équipement inconnu"))</f>
        <v/>
      </c>
      <c r="D301" s="66" t="n"/>
      <c r="E301" s="68" t="n"/>
      <c r="F301" s="69" t="n"/>
      <c r="G301" s="70" t="n"/>
      <c r="H301" s="71" t="n"/>
      <c r="I301" s="66" t="n"/>
      <c r="J301" s="72" t="n"/>
      <c r="K301" s="73" t="n"/>
      <c r="L301" s="68" t="n"/>
      <c r="M301" s="74" t="str">
        <f>IF(AND(A301="",B301="",D301=""),"",MAX(N(J301),IF(A301="",0,SUMPRODUCT(MAX((in_plan=A301)*in_prev*in_dnum)))))</f>
        <v/>
      </c>
      <c r="N301" s="75" t="str">
        <f>IF(AND(A301="",B301="",D301=""),"",MAX(N(K301),IF(A301="",0,SUMPRODUCT(MAX((in_plan=A301)*in_prev*in_cnum)))))</f>
        <v/>
      </c>
      <c r="O301" s="76" t="str">
        <f>IF(AND(OR(E301="Calendrier",E301="Au premier des deux"),N(F301)&gt;0,IF(N(M301)&gt;0,M301,IFERROR(N(INDEX(eq_start,MATCH(B301,eq_code,0))),0))&gt;0),IF(N(M301)&gt;0,M301,IFERROR(N(INDEX(eq_start,MATCH(B301,eq_code,0))),0))+F301,"")</f>
        <v/>
      </c>
      <c r="P301" s="75" t="str">
        <f>IF(AND(OR(E301="Compteur",E301="Au premier des deux"),N(G301)&gt;0),N(N301)+G301,"")</f>
        <v/>
      </c>
      <c r="Q301" s="75" t="str">
        <f>IF(B301="","",IFERROR(N(INDEX(eq_cnt,MATCH(B301,eq_code,0))),""))</f>
        <v/>
      </c>
      <c r="R301" s="77" t="str">
        <f>IF(ISNUMBER(O301),O301-p_today,"")</f>
        <v/>
      </c>
      <c r="S301" s="78" t="str">
        <f>IF(AND(ISNUMBER(P301),N(Q301)&gt;0),P301-Q301,"")</f>
        <v/>
      </c>
      <c r="T301" s="76" t="str">
        <f>IF(AND(ISNUMBER(O301),ISNUMBER(X301)),MIN(O301,X301),IF(ISNUMBER(O301),O301,X301))</f>
        <v/>
      </c>
      <c r="U301" s="79" t="str">
        <f>IF(AND(A301="",B301="",D301=""),"",IF(L301="Non","Inactif",IF(AND(NOT(ISNUMBER(R301)),NOT(ISNUMBER(S301))),"À compléter",IF(OR(AND(ISNUMBER(R301),N(R301)&lt;0),AND(ISNUMBER(S301),N(S301)&lt;0)),"En retard",IF(OR(AND(ISNUMBER(R301),N(R301)&lt;=p_soon),AND(ISNUMBER(S301),N(S301)&lt;=p_soon_pct*N(G301))),"Bientôt","À jour")))))</f>
        <v/>
      </c>
      <c r="V301" s="79" t="str">
        <f>IF(AND(A301="",B301="",D301=""),"",IF(A301="","N° de plan manquant",IF(COUNTIF($A$6:$A$505,A301)&gt;1,"N° de plan en double",IF(B301="","Équipement manquant",IF(ISNA(MATCH(B301,eq_code,0)),"Équipement inconnu",IF(D301="","Tâche manquante",IF(E301="","Déclenchement manquant",IF(AND(E301&lt;&gt;"Calendrier",E301&lt;&gt;"Compteur",E301&lt;&gt;"Au premier des deux"),"Déclenchement inconnu",IF(AND(E301&lt;&gt;"Compteur",OR(NOT(ISNUMBER(F301)),N(F301)&lt;=0)),"Périodicité en jours manquante",IF(AND(E301&lt;&gt;"Calendrier",OR(NOT(ISNUMBER(G301)),N(G301)&lt;=0)),"Périodicité compteur manquante",IF(AND(J301&lt;&gt;"",OR(NOT(ISNUMBER(J301)),N(J301)&lt;=0)),"Date de réalisation invalide",IF(AND(K301&lt;&gt;"",OR(NOT(ISNUMBER(K301)),N(K301)&lt;0)),"Compteur de réalisation invalide",IF(AND(E301&lt;&gt;"Compteur",N(M301)=0,IFERROR(N(INDEX(eq_start,MATCH(B301,eq_code,0))),0)=0),"Date de départ manquante",IF(AND(E301&lt;&gt;"Calendrier",K301="",N(N301)=0),"Compteur de départ manquant",IF(AND(E301&lt;&gt;"Calendrier",N(Q301)=0),"Relevé compteur manquant (Équipements)",IF(AND(I301&lt;&gt;"",ISNA(MATCH(I301,tech_name,0))),"Technicien inconnu",IF(AND(L301&lt;&gt;"",L301&lt;&gt;"Oui",L301&lt;&gt;"Non"),"Actif : Oui ou Non","OK")))))))))))))))))</f>
        <v/>
      </c>
      <c r="W301" s="67">
        <f>IFERROR(N(INDEX(eq_use,MATCH(B301,eq_code,0))),0)</f>
        <v>0.0</v>
      </c>
      <c r="X301" s="67" t="str">
        <f>IF(AND(ISNUMBER(S301),W301&gt;0),p_today+MAX(0,ROUNDUP(S301*7/W301,0)),"")</f>
        <v/>
      </c>
      <c r="Y301" s="67" t="str">
        <f>IF(AND(ISNUMBER(T301),OR(U301="En retard",U301="Bientôt",U301="À jour")),IF(AND(ISNUMBER(O301),ISNUMBER(X301)),MIN(F301,G301*7/W301),IF(ISNUMBER(O301),F301,G301*7/W301)),"")</f>
        <v/>
      </c>
      <c r="Z301" s="67" t="str">
        <f>IF(OR(U301="En retard",U301="Bientôt"),IF(U301="En retard",0,1)*1000000000+IF(AB301="A",0,IF(AB301="B",1,IF(AB301="C",2,3)))*100000000+IF(ISNUMBER(T301),T301,p_today)*1000+ROW()-5,"")</f>
        <v/>
      </c>
      <c r="AA301" s="67" t="str">
        <f>IF(Z301="","",COUNTIF($Z$6:$Z$505,"&lt;"&amp;Z301)+1)</f>
        <v/>
      </c>
      <c r="AB301" s="67" t="str">
        <f>IFERROR(INDEX(eq_crit,MATCH(B301,eq_code,0))&amp;"","")</f>
        <v/>
      </c>
    </row>
    <row r="302">
      <c r="A302" s="65" t="n"/>
      <c r="B302" s="66" t="n"/>
      <c r="C302" s="67" t="str">
        <f>IF(B302="","",IFERROR(INDEX(eq_des,MATCH(B302,eq_code,0))&amp;"","Équipement inconnu"))</f>
        <v/>
      </c>
      <c r="D302" s="66" t="n"/>
      <c r="E302" s="68" t="n"/>
      <c r="F302" s="69" t="n"/>
      <c r="G302" s="70" t="n"/>
      <c r="H302" s="71" t="n"/>
      <c r="I302" s="66" t="n"/>
      <c r="J302" s="72" t="n"/>
      <c r="K302" s="73" t="n"/>
      <c r="L302" s="68" t="n"/>
      <c r="M302" s="74" t="str">
        <f>IF(AND(A302="",B302="",D302=""),"",MAX(N(J302),IF(A302="",0,SUMPRODUCT(MAX((in_plan=A302)*in_prev*in_dnum)))))</f>
        <v/>
      </c>
      <c r="N302" s="75" t="str">
        <f>IF(AND(A302="",B302="",D302=""),"",MAX(N(K302),IF(A302="",0,SUMPRODUCT(MAX((in_plan=A302)*in_prev*in_cnum)))))</f>
        <v/>
      </c>
      <c r="O302" s="76" t="str">
        <f>IF(AND(OR(E302="Calendrier",E302="Au premier des deux"),N(F302)&gt;0,IF(N(M302)&gt;0,M302,IFERROR(N(INDEX(eq_start,MATCH(B302,eq_code,0))),0))&gt;0),IF(N(M302)&gt;0,M302,IFERROR(N(INDEX(eq_start,MATCH(B302,eq_code,0))),0))+F302,"")</f>
        <v/>
      </c>
      <c r="P302" s="75" t="str">
        <f>IF(AND(OR(E302="Compteur",E302="Au premier des deux"),N(G302)&gt;0),N(N302)+G302,"")</f>
        <v/>
      </c>
      <c r="Q302" s="75" t="str">
        <f>IF(B302="","",IFERROR(N(INDEX(eq_cnt,MATCH(B302,eq_code,0))),""))</f>
        <v/>
      </c>
      <c r="R302" s="77" t="str">
        <f>IF(ISNUMBER(O302),O302-p_today,"")</f>
        <v/>
      </c>
      <c r="S302" s="78" t="str">
        <f>IF(AND(ISNUMBER(P302),N(Q302)&gt;0),P302-Q302,"")</f>
        <v/>
      </c>
      <c r="T302" s="76" t="str">
        <f>IF(AND(ISNUMBER(O302),ISNUMBER(X302)),MIN(O302,X302),IF(ISNUMBER(O302),O302,X302))</f>
        <v/>
      </c>
      <c r="U302" s="79" t="str">
        <f>IF(AND(A302="",B302="",D302=""),"",IF(L302="Non","Inactif",IF(AND(NOT(ISNUMBER(R302)),NOT(ISNUMBER(S302))),"À compléter",IF(OR(AND(ISNUMBER(R302),N(R302)&lt;0),AND(ISNUMBER(S302),N(S302)&lt;0)),"En retard",IF(OR(AND(ISNUMBER(R302),N(R302)&lt;=p_soon),AND(ISNUMBER(S302),N(S302)&lt;=p_soon_pct*N(G302))),"Bientôt","À jour")))))</f>
        <v/>
      </c>
      <c r="V302" s="79" t="str">
        <f>IF(AND(A302="",B302="",D302=""),"",IF(A302="","N° de plan manquant",IF(COUNTIF($A$6:$A$505,A302)&gt;1,"N° de plan en double",IF(B302="","Équipement manquant",IF(ISNA(MATCH(B302,eq_code,0)),"Équipement inconnu",IF(D302="","Tâche manquante",IF(E302="","Déclenchement manquant",IF(AND(E302&lt;&gt;"Calendrier",E302&lt;&gt;"Compteur",E302&lt;&gt;"Au premier des deux"),"Déclenchement inconnu",IF(AND(E302&lt;&gt;"Compteur",OR(NOT(ISNUMBER(F302)),N(F302)&lt;=0)),"Périodicité en jours manquante",IF(AND(E302&lt;&gt;"Calendrier",OR(NOT(ISNUMBER(G302)),N(G302)&lt;=0)),"Périodicité compteur manquante",IF(AND(J302&lt;&gt;"",OR(NOT(ISNUMBER(J302)),N(J302)&lt;=0)),"Date de réalisation invalide",IF(AND(K302&lt;&gt;"",OR(NOT(ISNUMBER(K302)),N(K302)&lt;0)),"Compteur de réalisation invalide",IF(AND(E302&lt;&gt;"Compteur",N(M302)=0,IFERROR(N(INDEX(eq_start,MATCH(B302,eq_code,0))),0)=0),"Date de départ manquante",IF(AND(E302&lt;&gt;"Calendrier",K302="",N(N302)=0),"Compteur de départ manquant",IF(AND(E302&lt;&gt;"Calendrier",N(Q302)=0),"Relevé compteur manquant (Équipements)",IF(AND(I302&lt;&gt;"",ISNA(MATCH(I302,tech_name,0))),"Technicien inconnu",IF(AND(L302&lt;&gt;"",L302&lt;&gt;"Oui",L302&lt;&gt;"Non"),"Actif : Oui ou Non","OK")))))))))))))))))</f>
        <v/>
      </c>
      <c r="W302" s="67">
        <f>IFERROR(N(INDEX(eq_use,MATCH(B302,eq_code,0))),0)</f>
        <v>0.0</v>
      </c>
      <c r="X302" s="67" t="str">
        <f>IF(AND(ISNUMBER(S302),W302&gt;0),p_today+MAX(0,ROUNDUP(S302*7/W302,0)),"")</f>
        <v/>
      </c>
      <c r="Y302" s="67" t="str">
        <f>IF(AND(ISNUMBER(T302),OR(U302="En retard",U302="Bientôt",U302="À jour")),IF(AND(ISNUMBER(O302),ISNUMBER(X302)),MIN(F302,G302*7/W302),IF(ISNUMBER(O302),F302,G302*7/W302)),"")</f>
        <v/>
      </c>
      <c r="Z302" s="67" t="str">
        <f>IF(OR(U302="En retard",U302="Bientôt"),IF(U302="En retard",0,1)*1000000000+IF(AB302="A",0,IF(AB302="B",1,IF(AB302="C",2,3)))*100000000+IF(ISNUMBER(T302),T302,p_today)*1000+ROW()-5,"")</f>
        <v/>
      </c>
      <c r="AA302" s="67" t="str">
        <f>IF(Z302="","",COUNTIF($Z$6:$Z$505,"&lt;"&amp;Z302)+1)</f>
        <v/>
      </c>
      <c r="AB302" s="67" t="str">
        <f>IFERROR(INDEX(eq_crit,MATCH(B302,eq_code,0))&amp;"","")</f>
        <v/>
      </c>
    </row>
    <row r="303">
      <c r="A303" s="65" t="n"/>
      <c r="B303" s="66" t="n"/>
      <c r="C303" s="67" t="str">
        <f>IF(B303="","",IFERROR(INDEX(eq_des,MATCH(B303,eq_code,0))&amp;"","Équipement inconnu"))</f>
        <v/>
      </c>
      <c r="D303" s="66" t="n"/>
      <c r="E303" s="68" t="n"/>
      <c r="F303" s="69" t="n"/>
      <c r="G303" s="70" t="n"/>
      <c r="H303" s="71" t="n"/>
      <c r="I303" s="66" t="n"/>
      <c r="J303" s="72" t="n"/>
      <c r="K303" s="73" t="n"/>
      <c r="L303" s="68" t="n"/>
      <c r="M303" s="74" t="str">
        <f>IF(AND(A303="",B303="",D303=""),"",MAX(N(J303),IF(A303="",0,SUMPRODUCT(MAX((in_plan=A303)*in_prev*in_dnum)))))</f>
        <v/>
      </c>
      <c r="N303" s="75" t="str">
        <f>IF(AND(A303="",B303="",D303=""),"",MAX(N(K303),IF(A303="",0,SUMPRODUCT(MAX((in_plan=A303)*in_prev*in_cnum)))))</f>
        <v/>
      </c>
      <c r="O303" s="76" t="str">
        <f>IF(AND(OR(E303="Calendrier",E303="Au premier des deux"),N(F303)&gt;0,IF(N(M303)&gt;0,M303,IFERROR(N(INDEX(eq_start,MATCH(B303,eq_code,0))),0))&gt;0),IF(N(M303)&gt;0,M303,IFERROR(N(INDEX(eq_start,MATCH(B303,eq_code,0))),0))+F303,"")</f>
        <v/>
      </c>
      <c r="P303" s="75" t="str">
        <f>IF(AND(OR(E303="Compteur",E303="Au premier des deux"),N(G303)&gt;0),N(N303)+G303,"")</f>
        <v/>
      </c>
      <c r="Q303" s="75" t="str">
        <f>IF(B303="","",IFERROR(N(INDEX(eq_cnt,MATCH(B303,eq_code,0))),""))</f>
        <v/>
      </c>
      <c r="R303" s="77" t="str">
        <f>IF(ISNUMBER(O303),O303-p_today,"")</f>
        <v/>
      </c>
      <c r="S303" s="78" t="str">
        <f>IF(AND(ISNUMBER(P303),N(Q303)&gt;0),P303-Q303,"")</f>
        <v/>
      </c>
      <c r="T303" s="76" t="str">
        <f>IF(AND(ISNUMBER(O303),ISNUMBER(X303)),MIN(O303,X303),IF(ISNUMBER(O303),O303,X303))</f>
        <v/>
      </c>
      <c r="U303" s="79" t="str">
        <f>IF(AND(A303="",B303="",D303=""),"",IF(L303="Non","Inactif",IF(AND(NOT(ISNUMBER(R303)),NOT(ISNUMBER(S303))),"À compléter",IF(OR(AND(ISNUMBER(R303),N(R303)&lt;0),AND(ISNUMBER(S303),N(S303)&lt;0)),"En retard",IF(OR(AND(ISNUMBER(R303),N(R303)&lt;=p_soon),AND(ISNUMBER(S303),N(S303)&lt;=p_soon_pct*N(G303))),"Bientôt","À jour")))))</f>
        <v/>
      </c>
      <c r="V303" s="79" t="str">
        <f>IF(AND(A303="",B303="",D303=""),"",IF(A303="","N° de plan manquant",IF(COUNTIF($A$6:$A$505,A303)&gt;1,"N° de plan en double",IF(B303="","Équipement manquant",IF(ISNA(MATCH(B303,eq_code,0)),"Équipement inconnu",IF(D303="","Tâche manquante",IF(E303="","Déclenchement manquant",IF(AND(E303&lt;&gt;"Calendrier",E303&lt;&gt;"Compteur",E303&lt;&gt;"Au premier des deux"),"Déclenchement inconnu",IF(AND(E303&lt;&gt;"Compteur",OR(NOT(ISNUMBER(F303)),N(F303)&lt;=0)),"Périodicité en jours manquante",IF(AND(E303&lt;&gt;"Calendrier",OR(NOT(ISNUMBER(G303)),N(G303)&lt;=0)),"Périodicité compteur manquante",IF(AND(J303&lt;&gt;"",OR(NOT(ISNUMBER(J303)),N(J303)&lt;=0)),"Date de réalisation invalide",IF(AND(K303&lt;&gt;"",OR(NOT(ISNUMBER(K303)),N(K303)&lt;0)),"Compteur de réalisation invalide",IF(AND(E303&lt;&gt;"Compteur",N(M303)=0,IFERROR(N(INDEX(eq_start,MATCH(B303,eq_code,0))),0)=0),"Date de départ manquante",IF(AND(E303&lt;&gt;"Calendrier",K303="",N(N303)=0),"Compteur de départ manquant",IF(AND(E303&lt;&gt;"Calendrier",N(Q303)=0),"Relevé compteur manquant (Équipements)",IF(AND(I303&lt;&gt;"",ISNA(MATCH(I303,tech_name,0))),"Technicien inconnu",IF(AND(L303&lt;&gt;"",L303&lt;&gt;"Oui",L303&lt;&gt;"Non"),"Actif : Oui ou Non","OK")))))))))))))))))</f>
        <v/>
      </c>
      <c r="W303" s="67">
        <f>IFERROR(N(INDEX(eq_use,MATCH(B303,eq_code,0))),0)</f>
        <v>0.0</v>
      </c>
      <c r="X303" s="67" t="str">
        <f>IF(AND(ISNUMBER(S303),W303&gt;0),p_today+MAX(0,ROUNDUP(S303*7/W303,0)),"")</f>
        <v/>
      </c>
      <c r="Y303" s="67" t="str">
        <f>IF(AND(ISNUMBER(T303),OR(U303="En retard",U303="Bientôt",U303="À jour")),IF(AND(ISNUMBER(O303),ISNUMBER(X303)),MIN(F303,G303*7/W303),IF(ISNUMBER(O303),F303,G303*7/W303)),"")</f>
        <v/>
      </c>
      <c r="Z303" s="67" t="str">
        <f>IF(OR(U303="En retard",U303="Bientôt"),IF(U303="En retard",0,1)*1000000000+IF(AB303="A",0,IF(AB303="B",1,IF(AB303="C",2,3)))*100000000+IF(ISNUMBER(T303),T303,p_today)*1000+ROW()-5,"")</f>
        <v/>
      </c>
      <c r="AA303" s="67" t="str">
        <f>IF(Z303="","",COUNTIF($Z$6:$Z$505,"&lt;"&amp;Z303)+1)</f>
        <v/>
      </c>
      <c r="AB303" s="67" t="str">
        <f>IFERROR(INDEX(eq_crit,MATCH(B303,eq_code,0))&amp;"","")</f>
        <v/>
      </c>
    </row>
    <row r="304">
      <c r="A304" s="65" t="n"/>
      <c r="B304" s="66" t="n"/>
      <c r="C304" s="67" t="str">
        <f>IF(B304="","",IFERROR(INDEX(eq_des,MATCH(B304,eq_code,0))&amp;"","Équipement inconnu"))</f>
        <v/>
      </c>
      <c r="D304" s="66" t="n"/>
      <c r="E304" s="68" t="n"/>
      <c r="F304" s="69" t="n"/>
      <c r="G304" s="70" t="n"/>
      <c r="H304" s="71" t="n"/>
      <c r="I304" s="66" t="n"/>
      <c r="J304" s="72" t="n"/>
      <c r="K304" s="73" t="n"/>
      <c r="L304" s="68" t="n"/>
      <c r="M304" s="74" t="str">
        <f>IF(AND(A304="",B304="",D304=""),"",MAX(N(J304),IF(A304="",0,SUMPRODUCT(MAX((in_plan=A304)*in_prev*in_dnum)))))</f>
        <v/>
      </c>
      <c r="N304" s="75" t="str">
        <f>IF(AND(A304="",B304="",D304=""),"",MAX(N(K304),IF(A304="",0,SUMPRODUCT(MAX((in_plan=A304)*in_prev*in_cnum)))))</f>
        <v/>
      </c>
      <c r="O304" s="76" t="str">
        <f>IF(AND(OR(E304="Calendrier",E304="Au premier des deux"),N(F304)&gt;0,IF(N(M304)&gt;0,M304,IFERROR(N(INDEX(eq_start,MATCH(B304,eq_code,0))),0))&gt;0),IF(N(M304)&gt;0,M304,IFERROR(N(INDEX(eq_start,MATCH(B304,eq_code,0))),0))+F304,"")</f>
        <v/>
      </c>
      <c r="P304" s="75" t="str">
        <f>IF(AND(OR(E304="Compteur",E304="Au premier des deux"),N(G304)&gt;0),N(N304)+G304,"")</f>
        <v/>
      </c>
      <c r="Q304" s="75" t="str">
        <f>IF(B304="","",IFERROR(N(INDEX(eq_cnt,MATCH(B304,eq_code,0))),""))</f>
        <v/>
      </c>
      <c r="R304" s="77" t="str">
        <f>IF(ISNUMBER(O304),O304-p_today,"")</f>
        <v/>
      </c>
      <c r="S304" s="78" t="str">
        <f>IF(AND(ISNUMBER(P304),N(Q304)&gt;0),P304-Q304,"")</f>
        <v/>
      </c>
      <c r="T304" s="76" t="str">
        <f>IF(AND(ISNUMBER(O304),ISNUMBER(X304)),MIN(O304,X304),IF(ISNUMBER(O304),O304,X304))</f>
        <v/>
      </c>
      <c r="U304" s="79" t="str">
        <f>IF(AND(A304="",B304="",D304=""),"",IF(L304="Non","Inactif",IF(AND(NOT(ISNUMBER(R304)),NOT(ISNUMBER(S304))),"À compléter",IF(OR(AND(ISNUMBER(R304),N(R304)&lt;0),AND(ISNUMBER(S304),N(S304)&lt;0)),"En retard",IF(OR(AND(ISNUMBER(R304),N(R304)&lt;=p_soon),AND(ISNUMBER(S304),N(S304)&lt;=p_soon_pct*N(G304))),"Bientôt","À jour")))))</f>
        <v/>
      </c>
      <c r="V304" s="79" t="str">
        <f>IF(AND(A304="",B304="",D304=""),"",IF(A304="","N° de plan manquant",IF(COUNTIF($A$6:$A$505,A304)&gt;1,"N° de plan en double",IF(B304="","Équipement manquant",IF(ISNA(MATCH(B304,eq_code,0)),"Équipement inconnu",IF(D304="","Tâche manquante",IF(E304="","Déclenchement manquant",IF(AND(E304&lt;&gt;"Calendrier",E304&lt;&gt;"Compteur",E304&lt;&gt;"Au premier des deux"),"Déclenchement inconnu",IF(AND(E304&lt;&gt;"Compteur",OR(NOT(ISNUMBER(F304)),N(F304)&lt;=0)),"Périodicité en jours manquante",IF(AND(E304&lt;&gt;"Calendrier",OR(NOT(ISNUMBER(G304)),N(G304)&lt;=0)),"Périodicité compteur manquante",IF(AND(J304&lt;&gt;"",OR(NOT(ISNUMBER(J304)),N(J304)&lt;=0)),"Date de réalisation invalide",IF(AND(K304&lt;&gt;"",OR(NOT(ISNUMBER(K304)),N(K304)&lt;0)),"Compteur de réalisation invalide",IF(AND(E304&lt;&gt;"Compteur",N(M304)=0,IFERROR(N(INDEX(eq_start,MATCH(B304,eq_code,0))),0)=0),"Date de départ manquante",IF(AND(E304&lt;&gt;"Calendrier",K304="",N(N304)=0),"Compteur de départ manquant",IF(AND(E304&lt;&gt;"Calendrier",N(Q304)=0),"Relevé compteur manquant (Équipements)",IF(AND(I304&lt;&gt;"",ISNA(MATCH(I304,tech_name,0))),"Technicien inconnu",IF(AND(L304&lt;&gt;"",L304&lt;&gt;"Oui",L304&lt;&gt;"Non"),"Actif : Oui ou Non","OK")))))))))))))))))</f>
        <v/>
      </c>
      <c r="W304" s="67">
        <f>IFERROR(N(INDEX(eq_use,MATCH(B304,eq_code,0))),0)</f>
        <v>0.0</v>
      </c>
      <c r="X304" s="67" t="str">
        <f>IF(AND(ISNUMBER(S304),W304&gt;0),p_today+MAX(0,ROUNDUP(S304*7/W304,0)),"")</f>
        <v/>
      </c>
      <c r="Y304" s="67" t="str">
        <f>IF(AND(ISNUMBER(T304),OR(U304="En retard",U304="Bientôt",U304="À jour")),IF(AND(ISNUMBER(O304),ISNUMBER(X304)),MIN(F304,G304*7/W304),IF(ISNUMBER(O304),F304,G304*7/W304)),"")</f>
        <v/>
      </c>
      <c r="Z304" s="67" t="str">
        <f>IF(OR(U304="En retard",U304="Bientôt"),IF(U304="En retard",0,1)*1000000000+IF(AB304="A",0,IF(AB304="B",1,IF(AB304="C",2,3)))*100000000+IF(ISNUMBER(T304),T304,p_today)*1000+ROW()-5,"")</f>
        <v/>
      </c>
      <c r="AA304" s="67" t="str">
        <f>IF(Z304="","",COUNTIF($Z$6:$Z$505,"&lt;"&amp;Z304)+1)</f>
        <v/>
      </c>
      <c r="AB304" s="67" t="str">
        <f>IFERROR(INDEX(eq_crit,MATCH(B304,eq_code,0))&amp;"","")</f>
        <v/>
      </c>
    </row>
    <row r="305">
      <c r="A305" s="65" t="n"/>
      <c r="B305" s="66" t="n"/>
      <c r="C305" s="67" t="str">
        <f>IF(B305="","",IFERROR(INDEX(eq_des,MATCH(B305,eq_code,0))&amp;"","Équipement inconnu"))</f>
        <v/>
      </c>
      <c r="D305" s="66" t="n"/>
      <c r="E305" s="68" t="n"/>
      <c r="F305" s="69" t="n"/>
      <c r="G305" s="70" t="n"/>
      <c r="H305" s="71" t="n"/>
      <c r="I305" s="66" t="n"/>
      <c r="J305" s="72" t="n"/>
      <c r="K305" s="73" t="n"/>
      <c r="L305" s="68" t="n"/>
      <c r="M305" s="74" t="str">
        <f>IF(AND(A305="",B305="",D305=""),"",MAX(N(J305),IF(A305="",0,SUMPRODUCT(MAX((in_plan=A305)*in_prev*in_dnum)))))</f>
        <v/>
      </c>
      <c r="N305" s="75" t="str">
        <f>IF(AND(A305="",B305="",D305=""),"",MAX(N(K305),IF(A305="",0,SUMPRODUCT(MAX((in_plan=A305)*in_prev*in_cnum)))))</f>
        <v/>
      </c>
      <c r="O305" s="76" t="str">
        <f>IF(AND(OR(E305="Calendrier",E305="Au premier des deux"),N(F305)&gt;0,IF(N(M305)&gt;0,M305,IFERROR(N(INDEX(eq_start,MATCH(B305,eq_code,0))),0))&gt;0),IF(N(M305)&gt;0,M305,IFERROR(N(INDEX(eq_start,MATCH(B305,eq_code,0))),0))+F305,"")</f>
        <v/>
      </c>
      <c r="P305" s="75" t="str">
        <f>IF(AND(OR(E305="Compteur",E305="Au premier des deux"),N(G305)&gt;0),N(N305)+G305,"")</f>
        <v/>
      </c>
      <c r="Q305" s="75" t="str">
        <f>IF(B305="","",IFERROR(N(INDEX(eq_cnt,MATCH(B305,eq_code,0))),""))</f>
        <v/>
      </c>
      <c r="R305" s="77" t="str">
        <f>IF(ISNUMBER(O305),O305-p_today,"")</f>
        <v/>
      </c>
      <c r="S305" s="78" t="str">
        <f>IF(AND(ISNUMBER(P305),N(Q305)&gt;0),P305-Q305,"")</f>
        <v/>
      </c>
      <c r="T305" s="76" t="str">
        <f>IF(AND(ISNUMBER(O305),ISNUMBER(X305)),MIN(O305,X305),IF(ISNUMBER(O305),O305,X305))</f>
        <v/>
      </c>
      <c r="U305" s="79" t="str">
        <f>IF(AND(A305="",B305="",D305=""),"",IF(L305="Non","Inactif",IF(AND(NOT(ISNUMBER(R305)),NOT(ISNUMBER(S305))),"À compléter",IF(OR(AND(ISNUMBER(R305),N(R305)&lt;0),AND(ISNUMBER(S305),N(S305)&lt;0)),"En retard",IF(OR(AND(ISNUMBER(R305),N(R305)&lt;=p_soon),AND(ISNUMBER(S305),N(S305)&lt;=p_soon_pct*N(G305))),"Bientôt","À jour")))))</f>
        <v/>
      </c>
      <c r="V305" s="79" t="str">
        <f>IF(AND(A305="",B305="",D305=""),"",IF(A305="","N° de plan manquant",IF(COUNTIF($A$6:$A$505,A305)&gt;1,"N° de plan en double",IF(B305="","Équipement manquant",IF(ISNA(MATCH(B305,eq_code,0)),"Équipement inconnu",IF(D305="","Tâche manquante",IF(E305="","Déclenchement manquant",IF(AND(E305&lt;&gt;"Calendrier",E305&lt;&gt;"Compteur",E305&lt;&gt;"Au premier des deux"),"Déclenchement inconnu",IF(AND(E305&lt;&gt;"Compteur",OR(NOT(ISNUMBER(F305)),N(F305)&lt;=0)),"Périodicité en jours manquante",IF(AND(E305&lt;&gt;"Calendrier",OR(NOT(ISNUMBER(G305)),N(G305)&lt;=0)),"Périodicité compteur manquante",IF(AND(J305&lt;&gt;"",OR(NOT(ISNUMBER(J305)),N(J305)&lt;=0)),"Date de réalisation invalide",IF(AND(K305&lt;&gt;"",OR(NOT(ISNUMBER(K305)),N(K305)&lt;0)),"Compteur de réalisation invalide",IF(AND(E305&lt;&gt;"Compteur",N(M305)=0,IFERROR(N(INDEX(eq_start,MATCH(B305,eq_code,0))),0)=0),"Date de départ manquante",IF(AND(E305&lt;&gt;"Calendrier",K305="",N(N305)=0),"Compteur de départ manquant",IF(AND(E305&lt;&gt;"Calendrier",N(Q305)=0),"Relevé compteur manquant (Équipements)",IF(AND(I305&lt;&gt;"",ISNA(MATCH(I305,tech_name,0))),"Technicien inconnu",IF(AND(L305&lt;&gt;"",L305&lt;&gt;"Oui",L305&lt;&gt;"Non"),"Actif : Oui ou Non","OK")))))))))))))))))</f>
        <v/>
      </c>
      <c r="W305" s="67">
        <f>IFERROR(N(INDEX(eq_use,MATCH(B305,eq_code,0))),0)</f>
        <v>0.0</v>
      </c>
      <c r="X305" s="67" t="str">
        <f>IF(AND(ISNUMBER(S305),W305&gt;0),p_today+MAX(0,ROUNDUP(S305*7/W305,0)),"")</f>
        <v/>
      </c>
      <c r="Y305" s="67" t="str">
        <f>IF(AND(ISNUMBER(T305),OR(U305="En retard",U305="Bientôt",U305="À jour")),IF(AND(ISNUMBER(O305),ISNUMBER(X305)),MIN(F305,G305*7/W305),IF(ISNUMBER(O305),F305,G305*7/W305)),"")</f>
        <v/>
      </c>
      <c r="Z305" s="67" t="str">
        <f>IF(OR(U305="En retard",U305="Bientôt"),IF(U305="En retard",0,1)*1000000000+IF(AB305="A",0,IF(AB305="B",1,IF(AB305="C",2,3)))*100000000+IF(ISNUMBER(T305),T305,p_today)*1000+ROW()-5,"")</f>
        <v/>
      </c>
      <c r="AA305" s="67" t="str">
        <f>IF(Z305="","",COUNTIF($Z$6:$Z$505,"&lt;"&amp;Z305)+1)</f>
        <v/>
      </c>
      <c r="AB305" s="67" t="str">
        <f>IFERROR(INDEX(eq_crit,MATCH(B305,eq_code,0))&amp;"","")</f>
        <v/>
      </c>
    </row>
    <row r="306">
      <c r="A306" s="65" t="n"/>
      <c r="B306" s="66" t="n"/>
      <c r="C306" s="67" t="str">
        <f>IF(B306="","",IFERROR(INDEX(eq_des,MATCH(B306,eq_code,0))&amp;"","Équipement inconnu"))</f>
        <v/>
      </c>
      <c r="D306" s="66" t="n"/>
      <c r="E306" s="68" t="n"/>
      <c r="F306" s="69" t="n"/>
      <c r="G306" s="70" t="n"/>
      <c r="H306" s="71" t="n"/>
      <c r="I306" s="66" t="n"/>
      <c r="J306" s="72" t="n"/>
      <c r="K306" s="73" t="n"/>
      <c r="L306" s="68" t="n"/>
      <c r="M306" s="74" t="str">
        <f>IF(AND(A306="",B306="",D306=""),"",MAX(N(J306),IF(A306="",0,SUMPRODUCT(MAX((in_plan=A306)*in_prev*in_dnum)))))</f>
        <v/>
      </c>
      <c r="N306" s="75" t="str">
        <f>IF(AND(A306="",B306="",D306=""),"",MAX(N(K306),IF(A306="",0,SUMPRODUCT(MAX((in_plan=A306)*in_prev*in_cnum)))))</f>
        <v/>
      </c>
      <c r="O306" s="76" t="str">
        <f>IF(AND(OR(E306="Calendrier",E306="Au premier des deux"),N(F306)&gt;0,IF(N(M306)&gt;0,M306,IFERROR(N(INDEX(eq_start,MATCH(B306,eq_code,0))),0))&gt;0),IF(N(M306)&gt;0,M306,IFERROR(N(INDEX(eq_start,MATCH(B306,eq_code,0))),0))+F306,"")</f>
        <v/>
      </c>
      <c r="P306" s="75" t="str">
        <f>IF(AND(OR(E306="Compteur",E306="Au premier des deux"),N(G306)&gt;0),N(N306)+G306,"")</f>
        <v/>
      </c>
      <c r="Q306" s="75" t="str">
        <f>IF(B306="","",IFERROR(N(INDEX(eq_cnt,MATCH(B306,eq_code,0))),""))</f>
        <v/>
      </c>
      <c r="R306" s="77" t="str">
        <f>IF(ISNUMBER(O306),O306-p_today,"")</f>
        <v/>
      </c>
      <c r="S306" s="78" t="str">
        <f>IF(AND(ISNUMBER(P306),N(Q306)&gt;0),P306-Q306,"")</f>
        <v/>
      </c>
      <c r="T306" s="76" t="str">
        <f>IF(AND(ISNUMBER(O306),ISNUMBER(X306)),MIN(O306,X306),IF(ISNUMBER(O306),O306,X306))</f>
        <v/>
      </c>
      <c r="U306" s="79" t="str">
        <f>IF(AND(A306="",B306="",D306=""),"",IF(L306="Non","Inactif",IF(AND(NOT(ISNUMBER(R306)),NOT(ISNUMBER(S306))),"À compléter",IF(OR(AND(ISNUMBER(R306),N(R306)&lt;0),AND(ISNUMBER(S306),N(S306)&lt;0)),"En retard",IF(OR(AND(ISNUMBER(R306),N(R306)&lt;=p_soon),AND(ISNUMBER(S306),N(S306)&lt;=p_soon_pct*N(G306))),"Bientôt","À jour")))))</f>
        <v/>
      </c>
      <c r="V306" s="79" t="str">
        <f>IF(AND(A306="",B306="",D306=""),"",IF(A306="","N° de plan manquant",IF(COUNTIF($A$6:$A$505,A306)&gt;1,"N° de plan en double",IF(B306="","Équipement manquant",IF(ISNA(MATCH(B306,eq_code,0)),"Équipement inconnu",IF(D306="","Tâche manquante",IF(E306="","Déclenchement manquant",IF(AND(E306&lt;&gt;"Calendrier",E306&lt;&gt;"Compteur",E306&lt;&gt;"Au premier des deux"),"Déclenchement inconnu",IF(AND(E306&lt;&gt;"Compteur",OR(NOT(ISNUMBER(F306)),N(F306)&lt;=0)),"Périodicité en jours manquante",IF(AND(E306&lt;&gt;"Calendrier",OR(NOT(ISNUMBER(G306)),N(G306)&lt;=0)),"Périodicité compteur manquante",IF(AND(J306&lt;&gt;"",OR(NOT(ISNUMBER(J306)),N(J306)&lt;=0)),"Date de réalisation invalide",IF(AND(K306&lt;&gt;"",OR(NOT(ISNUMBER(K306)),N(K306)&lt;0)),"Compteur de réalisation invalide",IF(AND(E306&lt;&gt;"Compteur",N(M306)=0,IFERROR(N(INDEX(eq_start,MATCH(B306,eq_code,0))),0)=0),"Date de départ manquante",IF(AND(E306&lt;&gt;"Calendrier",K306="",N(N306)=0),"Compteur de départ manquant",IF(AND(E306&lt;&gt;"Calendrier",N(Q306)=0),"Relevé compteur manquant (Équipements)",IF(AND(I306&lt;&gt;"",ISNA(MATCH(I306,tech_name,0))),"Technicien inconnu",IF(AND(L306&lt;&gt;"",L306&lt;&gt;"Oui",L306&lt;&gt;"Non"),"Actif : Oui ou Non","OK")))))))))))))))))</f>
        <v/>
      </c>
      <c r="W306" s="67">
        <f>IFERROR(N(INDEX(eq_use,MATCH(B306,eq_code,0))),0)</f>
        <v>0.0</v>
      </c>
      <c r="X306" s="67" t="str">
        <f>IF(AND(ISNUMBER(S306),W306&gt;0),p_today+MAX(0,ROUNDUP(S306*7/W306,0)),"")</f>
        <v/>
      </c>
      <c r="Y306" s="67" t="str">
        <f>IF(AND(ISNUMBER(T306),OR(U306="En retard",U306="Bientôt",U306="À jour")),IF(AND(ISNUMBER(O306),ISNUMBER(X306)),MIN(F306,G306*7/W306),IF(ISNUMBER(O306),F306,G306*7/W306)),"")</f>
        <v/>
      </c>
      <c r="Z306" s="67" t="str">
        <f>IF(OR(U306="En retard",U306="Bientôt"),IF(U306="En retard",0,1)*1000000000+IF(AB306="A",0,IF(AB306="B",1,IF(AB306="C",2,3)))*100000000+IF(ISNUMBER(T306),T306,p_today)*1000+ROW()-5,"")</f>
        <v/>
      </c>
      <c r="AA306" s="67" t="str">
        <f>IF(Z306="","",COUNTIF($Z$6:$Z$505,"&lt;"&amp;Z306)+1)</f>
        <v/>
      </c>
      <c r="AB306" s="67" t="str">
        <f>IFERROR(INDEX(eq_crit,MATCH(B306,eq_code,0))&amp;"","")</f>
        <v/>
      </c>
    </row>
    <row r="307">
      <c r="A307" s="65" t="n"/>
      <c r="B307" s="66" t="n"/>
      <c r="C307" s="67" t="str">
        <f>IF(B307="","",IFERROR(INDEX(eq_des,MATCH(B307,eq_code,0))&amp;"","Équipement inconnu"))</f>
        <v/>
      </c>
      <c r="D307" s="66" t="n"/>
      <c r="E307" s="68" t="n"/>
      <c r="F307" s="69" t="n"/>
      <c r="G307" s="70" t="n"/>
      <c r="H307" s="71" t="n"/>
      <c r="I307" s="66" t="n"/>
      <c r="J307" s="72" t="n"/>
      <c r="K307" s="73" t="n"/>
      <c r="L307" s="68" t="n"/>
      <c r="M307" s="74" t="str">
        <f>IF(AND(A307="",B307="",D307=""),"",MAX(N(J307),IF(A307="",0,SUMPRODUCT(MAX((in_plan=A307)*in_prev*in_dnum)))))</f>
        <v/>
      </c>
      <c r="N307" s="75" t="str">
        <f>IF(AND(A307="",B307="",D307=""),"",MAX(N(K307),IF(A307="",0,SUMPRODUCT(MAX((in_plan=A307)*in_prev*in_cnum)))))</f>
        <v/>
      </c>
      <c r="O307" s="76" t="str">
        <f>IF(AND(OR(E307="Calendrier",E307="Au premier des deux"),N(F307)&gt;0,IF(N(M307)&gt;0,M307,IFERROR(N(INDEX(eq_start,MATCH(B307,eq_code,0))),0))&gt;0),IF(N(M307)&gt;0,M307,IFERROR(N(INDEX(eq_start,MATCH(B307,eq_code,0))),0))+F307,"")</f>
        <v/>
      </c>
      <c r="P307" s="75" t="str">
        <f>IF(AND(OR(E307="Compteur",E307="Au premier des deux"),N(G307)&gt;0),N(N307)+G307,"")</f>
        <v/>
      </c>
      <c r="Q307" s="75" t="str">
        <f>IF(B307="","",IFERROR(N(INDEX(eq_cnt,MATCH(B307,eq_code,0))),""))</f>
        <v/>
      </c>
      <c r="R307" s="77" t="str">
        <f>IF(ISNUMBER(O307),O307-p_today,"")</f>
        <v/>
      </c>
      <c r="S307" s="78" t="str">
        <f>IF(AND(ISNUMBER(P307),N(Q307)&gt;0),P307-Q307,"")</f>
        <v/>
      </c>
      <c r="T307" s="76" t="str">
        <f>IF(AND(ISNUMBER(O307),ISNUMBER(X307)),MIN(O307,X307),IF(ISNUMBER(O307),O307,X307))</f>
        <v/>
      </c>
      <c r="U307" s="79" t="str">
        <f>IF(AND(A307="",B307="",D307=""),"",IF(L307="Non","Inactif",IF(AND(NOT(ISNUMBER(R307)),NOT(ISNUMBER(S307))),"À compléter",IF(OR(AND(ISNUMBER(R307),N(R307)&lt;0),AND(ISNUMBER(S307),N(S307)&lt;0)),"En retard",IF(OR(AND(ISNUMBER(R307),N(R307)&lt;=p_soon),AND(ISNUMBER(S307),N(S307)&lt;=p_soon_pct*N(G307))),"Bientôt","À jour")))))</f>
        <v/>
      </c>
      <c r="V307" s="79" t="str">
        <f>IF(AND(A307="",B307="",D307=""),"",IF(A307="","N° de plan manquant",IF(COUNTIF($A$6:$A$505,A307)&gt;1,"N° de plan en double",IF(B307="","Équipement manquant",IF(ISNA(MATCH(B307,eq_code,0)),"Équipement inconnu",IF(D307="","Tâche manquante",IF(E307="","Déclenchement manquant",IF(AND(E307&lt;&gt;"Calendrier",E307&lt;&gt;"Compteur",E307&lt;&gt;"Au premier des deux"),"Déclenchement inconnu",IF(AND(E307&lt;&gt;"Compteur",OR(NOT(ISNUMBER(F307)),N(F307)&lt;=0)),"Périodicité en jours manquante",IF(AND(E307&lt;&gt;"Calendrier",OR(NOT(ISNUMBER(G307)),N(G307)&lt;=0)),"Périodicité compteur manquante",IF(AND(J307&lt;&gt;"",OR(NOT(ISNUMBER(J307)),N(J307)&lt;=0)),"Date de réalisation invalide",IF(AND(K307&lt;&gt;"",OR(NOT(ISNUMBER(K307)),N(K307)&lt;0)),"Compteur de réalisation invalide",IF(AND(E307&lt;&gt;"Compteur",N(M307)=0,IFERROR(N(INDEX(eq_start,MATCH(B307,eq_code,0))),0)=0),"Date de départ manquante",IF(AND(E307&lt;&gt;"Calendrier",K307="",N(N307)=0),"Compteur de départ manquant",IF(AND(E307&lt;&gt;"Calendrier",N(Q307)=0),"Relevé compteur manquant (Équipements)",IF(AND(I307&lt;&gt;"",ISNA(MATCH(I307,tech_name,0))),"Technicien inconnu",IF(AND(L307&lt;&gt;"",L307&lt;&gt;"Oui",L307&lt;&gt;"Non"),"Actif : Oui ou Non","OK")))))))))))))))))</f>
        <v/>
      </c>
      <c r="W307" s="67">
        <f>IFERROR(N(INDEX(eq_use,MATCH(B307,eq_code,0))),0)</f>
        <v>0.0</v>
      </c>
      <c r="X307" s="67" t="str">
        <f>IF(AND(ISNUMBER(S307),W307&gt;0),p_today+MAX(0,ROUNDUP(S307*7/W307,0)),"")</f>
        <v/>
      </c>
      <c r="Y307" s="67" t="str">
        <f>IF(AND(ISNUMBER(T307),OR(U307="En retard",U307="Bientôt",U307="À jour")),IF(AND(ISNUMBER(O307),ISNUMBER(X307)),MIN(F307,G307*7/W307),IF(ISNUMBER(O307),F307,G307*7/W307)),"")</f>
        <v/>
      </c>
      <c r="Z307" s="67" t="str">
        <f>IF(OR(U307="En retard",U307="Bientôt"),IF(U307="En retard",0,1)*1000000000+IF(AB307="A",0,IF(AB307="B",1,IF(AB307="C",2,3)))*100000000+IF(ISNUMBER(T307),T307,p_today)*1000+ROW()-5,"")</f>
        <v/>
      </c>
      <c r="AA307" s="67" t="str">
        <f>IF(Z307="","",COUNTIF($Z$6:$Z$505,"&lt;"&amp;Z307)+1)</f>
        <v/>
      </c>
      <c r="AB307" s="67" t="str">
        <f>IFERROR(INDEX(eq_crit,MATCH(B307,eq_code,0))&amp;"","")</f>
        <v/>
      </c>
    </row>
    <row r="308">
      <c r="A308" s="65" t="n"/>
      <c r="B308" s="66" t="n"/>
      <c r="C308" s="67" t="str">
        <f>IF(B308="","",IFERROR(INDEX(eq_des,MATCH(B308,eq_code,0))&amp;"","Équipement inconnu"))</f>
        <v/>
      </c>
      <c r="D308" s="66" t="n"/>
      <c r="E308" s="68" t="n"/>
      <c r="F308" s="69" t="n"/>
      <c r="G308" s="70" t="n"/>
      <c r="H308" s="71" t="n"/>
      <c r="I308" s="66" t="n"/>
      <c r="J308" s="72" t="n"/>
      <c r="K308" s="73" t="n"/>
      <c r="L308" s="68" t="n"/>
      <c r="M308" s="74" t="str">
        <f>IF(AND(A308="",B308="",D308=""),"",MAX(N(J308),IF(A308="",0,SUMPRODUCT(MAX((in_plan=A308)*in_prev*in_dnum)))))</f>
        <v/>
      </c>
      <c r="N308" s="75" t="str">
        <f>IF(AND(A308="",B308="",D308=""),"",MAX(N(K308),IF(A308="",0,SUMPRODUCT(MAX((in_plan=A308)*in_prev*in_cnum)))))</f>
        <v/>
      </c>
      <c r="O308" s="76" t="str">
        <f>IF(AND(OR(E308="Calendrier",E308="Au premier des deux"),N(F308)&gt;0,IF(N(M308)&gt;0,M308,IFERROR(N(INDEX(eq_start,MATCH(B308,eq_code,0))),0))&gt;0),IF(N(M308)&gt;0,M308,IFERROR(N(INDEX(eq_start,MATCH(B308,eq_code,0))),0))+F308,"")</f>
        <v/>
      </c>
      <c r="P308" s="75" t="str">
        <f>IF(AND(OR(E308="Compteur",E308="Au premier des deux"),N(G308)&gt;0),N(N308)+G308,"")</f>
        <v/>
      </c>
      <c r="Q308" s="75" t="str">
        <f>IF(B308="","",IFERROR(N(INDEX(eq_cnt,MATCH(B308,eq_code,0))),""))</f>
        <v/>
      </c>
      <c r="R308" s="77" t="str">
        <f>IF(ISNUMBER(O308),O308-p_today,"")</f>
        <v/>
      </c>
      <c r="S308" s="78" t="str">
        <f>IF(AND(ISNUMBER(P308),N(Q308)&gt;0),P308-Q308,"")</f>
        <v/>
      </c>
      <c r="T308" s="76" t="str">
        <f>IF(AND(ISNUMBER(O308),ISNUMBER(X308)),MIN(O308,X308),IF(ISNUMBER(O308),O308,X308))</f>
        <v/>
      </c>
      <c r="U308" s="79" t="str">
        <f>IF(AND(A308="",B308="",D308=""),"",IF(L308="Non","Inactif",IF(AND(NOT(ISNUMBER(R308)),NOT(ISNUMBER(S308))),"À compléter",IF(OR(AND(ISNUMBER(R308),N(R308)&lt;0),AND(ISNUMBER(S308),N(S308)&lt;0)),"En retard",IF(OR(AND(ISNUMBER(R308),N(R308)&lt;=p_soon),AND(ISNUMBER(S308),N(S308)&lt;=p_soon_pct*N(G308))),"Bientôt","À jour")))))</f>
        <v/>
      </c>
      <c r="V308" s="79" t="str">
        <f>IF(AND(A308="",B308="",D308=""),"",IF(A308="","N° de plan manquant",IF(COUNTIF($A$6:$A$505,A308)&gt;1,"N° de plan en double",IF(B308="","Équipement manquant",IF(ISNA(MATCH(B308,eq_code,0)),"Équipement inconnu",IF(D308="","Tâche manquante",IF(E308="","Déclenchement manquant",IF(AND(E308&lt;&gt;"Calendrier",E308&lt;&gt;"Compteur",E308&lt;&gt;"Au premier des deux"),"Déclenchement inconnu",IF(AND(E308&lt;&gt;"Compteur",OR(NOT(ISNUMBER(F308)),N(F308)&lt;=0)),"Périodicité en jours manquante",IF(AND(E308&lt;&gt;"Calendrier",OR(NOT(ISNUMBER(G308)),N(G308)&lt;=0)),"Périodicité compteur manquante",IF(AND(J308&lt;&gt;"",OR(NOT(ISNUMBER(J308)),N(J308)&lt;=0)),"Date de réalisation invalide",IF(AND(K308&lt;&gt;"",OR(NOT(ISNUMBER(K308)),N(K308)&lt;0)),"Compteur de réalisation invalide",IF(AND(E308&lt;&gt;"Compteur",N(M308)=0,IFERROR(N(INDEX(eq_start,MATCH(B308,eq_code,0))),0)=0),"Date de départ manquante",IF(AND(E308&lt;&gt;"Calendrier",K308="",N(N308)=0),"Compteur de départ manquant",IF(AND(E308&lt;&gt;"Calendrier",N(Q308)=0),"Relevé compteur manquant (Équipements)",IF(AND(I308&lt;&gt;"",ISNA(MATCH(I308,tech_name,0))),"Technicien inconnu",IF(AND(L308&lt;&gt;"",L308&lt;&gt;"Oui",L308&lt;&gt;"Non"),"Actif : Oui ou Non","OK")))))))))))))))))</f>
        <v/>
      </c>
      <c r="W308" s="67">
        <f>IFERROR(N(INDEX(eq_use,MATCH(B308,eq_code,0))),0)</f>
        <v>0.0</v>
      </c>
      <c r="X308" s="67" t="str">
        <f>IF(AND(ISNUMBER(S308),W308&gt;0),p_today+MAX(0,ROUNDUP(S308*7/W308,0)),"")</f>
        <v/>
      </c>
      <c r="Y308" s="67" t="str">
        <f>IF(AND(ISNUMBER(T308),OR(U308="En retard",U308="Bientôt",U308="À jour")),IF(AND(ISNUMBER(O308),ISNUMBER(X308)),MIN(F308,G308*7/W308),IF(ISNUMBER(O308),F308,G308*7/W308)),"")</f>
        <v/>
      </c>
      <c r="Z308" s="67" t="str">
        <f>IF(OR(U308="En retard",U308="Bientôt"),IF(U308="En retard",0,1)*1000000000+IF(AB308="A",0,IF(AB308="B",1,IF(AB308="C",2,3)))*100000000+IF(ISNUMBER(T308),T308,p_today)*1000+ROW()-5,"")</f>
        <v/>
      </c>
      <c r="AA308" s="67" t="str">
        <f>IF(Z308="","",COUNTIF($Z$6:$Z$505,"&lt;"&amp;Z308)+1)</f>
        <v/>
      </c>
      <c r="AB308" s="67" t="str">
        <f>IFERROR(INDEX(eq_crit,MATCH(B308,eq_code,0))&amp;"","")</f>
        <v/>
      </c>
    </row>
    <row r="309">
      <c r="A309" s="65" t="n"/>
      <c r="B309" s="66" t="n"/>
      <c r="C309" s="67" t="str">
        <f>IF(B309="","",IFERROR(INDEX(eq_des,MATCH(B309,eq_code,0))&amp;"","Équipement inconnu"))</f>
        <v/>
      </c>
      <c r="D309" s="66" t="n"/>
      <c r="E309" s="68" t="n"/>
      <c r="F309" s="69" t="n"/>
      <c r="G309" s="70" t="n"/>
      <c r="H309" s="71" t="n"/>
      <c r="I309" s="66" t="n"/>
      <c r="J309" s="72" t="n"/>
      <c r="K309" s="73" t="n"/>
      <c r="L309" s="68" t="n"/>
      <c r="M309" s="74" t="str">
        <f>IF(AND(A309="",B309="",D309=""),"",MAX(N(J309),IF(A309="",0,SUMPRODUCT(MAX((in_plan=A309)*in_prev*in_dnum)))))</f>
        <v/>
      </c>
      <c r="N309" s="75" t="str">
        <f>IF(AND(A309="",B309="",D309=""),"",MAX(N(K309),IF(A309="",0,SUMPRODUCT(MAX((in_plan=A309)*in_prev*in_cnum)))))</f>
        <v/>
      </c>
      <c r="O309" s="76" t="str">
        <f>IF(AND(OR(E309="Calendrier",E309="Au premier des deux"),N(F309)&gt;0,IF(N(M309)&gt;0,M309,IFERROR(N(INDEX(eq_start,MATCH(B309,eq_code,0))),0))&gt;0),IF(N(M309)&gt;0,M309,IFERROR(N(INDEX(eq_start,MATCH(B309,eq_code,0))),0))+F309,"")</f>
        <v/>
      </c>
      <c r="P309" s="75" t="str">
        <f>IF(AND(OR(E309="Compteur",E309="Au premier des deux"),N(G309)&gt;0),N(N309)+G309,"")</f>
        <v/>
      </c>
      <c r="Q309" s="75" t="str">
        <f>IF(B309="","",IFERROR(N(INDEX(eq_cnt,MATCH(B309,eq_code,0))),""))</f>
        <v/>
      </c>
      <c r="R309" s="77" t="str">
        <f>IF(ISNUMBER(O309),O309-p_today,"")</f>
        <v/>
      </c>
      <c r="S309" s="78" t="str">
        <f>IF(AND(ISNUMBER(P309),N(Q309)&gt;0),P309-Q309,"")</f>
        <v/>
      </c>
      <c r="T309" s="76" t="str">
        <f>IF(AND(ISNUMBER(O309),ISNUMBER(X309)),MIN(O309,X309),IF(ISNUMBER(O309),O309,X309))</f>
        <v/>
      </c>
      <c r="U309" s="79" t="str">
        <f>IF(AND(A309="",B309="",D309=""),"",IF(L309="Non","Inactif",IF(AND(NOT(ISNUMBER(R309)),NOT(ISNUMBER(S309))),"À compléter",IF(OR(AND(ISNUMBER(R309),N(R309)&lt;0),AND(ISNUMBER(S309),N(S309)&lt;0)),"En retard",IF(OR(AND(ISNUMBER(R309),N(R309)&lt;=p_soon),AND(ISNUMBER(S309),N(S309)&lt;=p_soon_pct*N(G309))),"Bientôt","À jour")))))</f>
        <v/>
      </c>
      <c r="V309" s="79" t="str">
        <f>IF(AND(A309="",B309="",D309=""),"",IF(A309="","N° de plan manquant",IF(COUNTIF($A$6:$A$505,A309)&gt;1,"N° de plan en double",IF(B309="","Équipement manquant",IF(ISNA(MATCH(B309,eq_code,0)),"Équipement inconnu",IF(D309="","Tâche manquante",IF(E309="","Déclenchement manquant",IF(AND(E309&lt;&gt;"Calendrier",E309&lt;&gt;"Compteur",E309&lt;&gt;"Au premier des deux"),"Déclenchement inconnu",IF(AND(E309&lt;&gt;"Compteur",OR(NOT(ISNUMBER(F309)),N(F309)&lt;=0)),"Périodicité en jours manquante",IF(AND(E309&lt;&gt;"Calendrier",OR(NOT(ISNUMBER(G309)),N(G309)&lt;=0)),"Périodicité compteur manquante",IF(AND(J309&lt;&gt;"",OR(NOT(ISNUMBER(J309)),N(J309)&lt;=0)),"Date de réalisation invalide",IF(AND(K309&lt;&gt;"",OR(NOT(ISNUMBER(K309)),N(K309)&lt;0)),"Compteur de réalisation invalide",IF(AND(E309&lt;&gt;"Compteur",N(M309)=0,IFERROR(N(INDEX(eq_start,MATCH(B309,eq_code,0))),0)=0),"Date de départ manquante",IF(AND(E309&lt;&gt;"Calendrier",K309="",N(N309)=0),"Compteur de départ manquant",IF(AND(E309&lt;&gt;"Calendrier",N(Q309)=0),"Relevé compteur manquant (Équipements)",IF(AND(I309&lt;&gt;"",ISNA(MATCH(I309,tech_name,0))),"Technicien inconnu",IF(AND(L309&lt;&gt;"",L309&lt;&gt;"Oui",L309&lt;&gt;"Non"),"Actif : Oui ou Non","OK")))))))))))))))))</f>
        <v/>
      </c>
      <c r="W309" s="67">
        <f>IFERROR(N(INDEX(eq_use,MATCH(B309,eq_code,0))),0)</f>
        <v>0.0</v>
      </c>
      <c r="X309" s="67" t="str">
        <f>IF(AND(ISNUMBER(S309),W309&gt;0),p_today+MAX(0,ROUNDUP(S309*7/W309,0)),"")</f>
        <v/>
      </c>
      <c r="Y309" s="67" t="str">
        <f>IF(AND(ISNUMBER(T309),OR(U309="En retard",U309="Bientôt",U309="À jour")),IF(AND(ISNUMBER(O309),ISNUMBER(X309)),MIN(F309,G309*7/W309),IF(ISNUMBER(O309),F309,G309*7/W309)),"")</f>
        <v/>
      </c>
      <c r="Z309" s="67" t="str">
        <f>IF(OR(U309="En retard",U309="Bientôt"),IF(U309="En retard",0,1)*1000000000+IF(AB309="A",0,IF(AB309="B",1,IF(AB309="C",2,3)))*100000000+IF(ISNUMBER(T309),T309,p_today)*1000+ROW()-5,"")</f>
        <v/>
      </c>
      <c r="AA309" s="67" t="str">
        <f>IF(Z309="","",COUNTIF($Z$6:$Z$505,"&lt;"&amp;Z309)+1)</f>
        <v/>
      </c>
      <c r="AB309" s="67" t="str">
        <f>IFERROR(INDEX(eq_crit,MATCH(B309,eq_code,0))&amp;"","")</f>
        <v/>
      </c>
    </row>
    <row r="310">
      <c r="A310" s="65" t="n"/>
      <c r="B310" s="66" t="n"/>
      <c r="C310" s="67" t="str">
        <f>IF(B310="","",IFERROR(INDEX(eq_des,MATCH(B310,eq_code,0))&amp;"","Équipement inconnu"))</f>
        <v/>
      </c>
      <c r="D310" s="66" t="n"/>
      <c r="E310" s="68" t="n"/>
      <c r="F310" s="69" t="n"/>
      <c r="G310" s="70" t="n"/>
      <c r="H310" s="71" t="n"/>
      <c r="I310" s="66" t="n"/>
      <c r="J310" s="72" t="n"/>
      <c r="K310" s="73" t="n"/>
      <c r="L310" s="68" t="n"/>
      <c r="M310" s="74" t="str">
        <f>IF(AND(A310="",B310="",D310=""),"",MAX(N(J310),IF(A310="",0,SUMPRODUCT(MAX((in_plan=A310)*in_prev*in_dnum)))))</f>
        <v/>
      </c>
      <c r="N310" s="75" t="str">
        <f>IF(AND(A310="",B310="",D310=""),"",MAX(N(K310),IF(A310="",0,SUMPRODUCT(MAX((in_plan=A310)*in_prev*in_cnum)))))</f>
        <v/>
      </c>
      <c r="O310" s="76" t="str">
        <f>IF(AND(OR(E310="Calendrier",E310="Au premier des deux"),N(F310)&gt;0,IF(N(M310)&gt;0,M310,IFERROR(N(INDEX(eq_start,MATCH(B310,eq_code,0))),0))&gt;0),IF(N(M310)&gt;0,M310,IFERROR(N(INDEX(eq_start,MATCH(B310,eq_code,0))),0))+F310,"")</f>
        <v/>
      </c>
      <c r="P310" s="75" t="str">
        <f>IF(AND(OR(E310="Compteur",E310="Au premier des deux"),N(G310)&gt;0),N(N310)+G310,"")</f>
        <v/>
      </c>
      <c r="Q310" s="75" t="str">
        <f>IF(B310="","",IFERROR(N(INDEX(eq_cnt,MATCH(B310,eq_code,0))),""))</f>
        <v/>
      </c>
      <c r="R310" s="77" t="str">
        <f>IF(ISNUMBER(O310),O310-p_today,"")</f>
        <v/>
      </c>
      <c r="S310" s="78" t="str">
        <f>IF(AND(ISNUMBER(P310),N(Q310)&gt;0),P310-Q310,"")</f>
        <v/>
      </c>
      <c r="T310" s="76" t="str">
        <f>IF(AND(ISNUMBER(O310),ISNUMBER(X310)),MIN(O310,X310),IF(ISNUMBER(O310),O310,X310))</f>
        <v/>
      </c>
      <c r="U310" s="79" t="str">
        <f>IF(AND(A310="",B310="",D310=""),"",IF(L310="Non","Inactif",IF(AND(NOT(ISNUMBER(R310)),NOT(ISNUMBER(S310))),"À compléter",IF(OR(AND(ISNUMBER(R310),N(R310)&lt;0),AND(ISNUMBER(S310),N(S310)&lt;0)),"En retard",IF(OR(AND(ISNUMBER(R310),N(R310)&lt;=p_soon),AND(ISNUMBER(S310),N(S310)&lt;=p_soon_pct*N(G310))),"Bientôt","À jour")))))</f>
        <v/>
      </c>
      <c r="V310" s="79" t="str">
        <f>IF(AND(A310="",B310="",D310=""),"",IF(A310="","N° de plan manquant",IF(COUNTIF($A$6:$A$505,A310)&gt;1,"N° de plan en double",IF(B310="","Équipement manquant",IF(ISNA(MATCH(B310,eq_code,0)),"Équipement inconnu",IF(D310="","Tâche manquante",IF(E310="","Déclenchement manquant",IF(AND(E310&lt;&gt;"Calendrier",E310&lt;&gt;"Compteur",E310&lt;&gt;"Au premier des deux"),"Déclenchement inconnu",IF(AND(E310&lt;&gt;"Compteur",OR(NOT(ISNUMBER(F310)),N(F310)&lt;=0)),"Périodicité en jours manquante",IF(AND(E310&lt;&gt;"Calendrier",OR(NOT(ISNUMBER(G310)),N(G310)&lt;=0)),"Périodicité compteur manquante",IF(AND(J310&lt;&gt;"",OR(NOT(ISNUMBER(J310)),N(J310)&lt;=0)),"Date de réalisation invalide",IF(AND(K310&lt;&gt;"",OR(NOT(ISNUMBER(K310)),N(K310)&lt;0)),"Compteur de réalisation invalide",IF(AND(E310&lt;&gt;"Compteur",N(M310)=0,IFERROR(N(INDEX(eq_start,MATCH(B310,eq_code,0))),0)=0),"Date de départ manquante",IF(AND(E310&lt;&gt;"Calendrier",K310="",N(N310)=0),"Compteur de départ manquant",IF(AND(E310&lt;&gt;"Calendrier",N(Q310)=0),"Relevé compteur manquant (Équipements)",IF(AND(I310&lt;&gt;"",ISNA(MATCH(I310,tech_name,0))),"Technicien inconnu",IF(AND(L310&lt;&gt;"",L310&lt;&gt;"Oui",L310&lt;&gt;"Non"),"Actif : Oui ou Non","OK")))))))))))))))))</f>
        <v/>
      </c>
      <c r="W310" s="67">
        <f>IFERROR(N(INDEX(eq_use,MATCH(B310,eq_code,0))),0)</f>
        <v>0.0</v>
      </c>
      <c r="X310" s="67" t="str">
        <f>IF(AND(ISNUMBER(S310),W310&gt;0),p_today+MAX(0,ROUNDUP(S310*7/W310,0)),"")</f>
        <v/>
      </c>
      <c r="Y310" s="67" t="str">
        <f>IF(AND(ISNUMBER(T310),OR(U310="En retard",U310="Bientôt",U310="À jour")),IF(AND(ISNUMBER(O310),ISNUMBER(X310)),MIN(F310,G310*7/W310),IF(ISNUMBER(O310),F310,G310*7/W310)),"")</f>
        <v/>
      </c>
      <c r="Z310" s="67" t="str">
        <f>IF(OR(U310="En retard",U310="Bientôt"),IF(U310="En retard",0,1)*1000000000+IF(AB310="A",0,IF(AB310="B",1,IF(AB310="C",2,3)))*100000000+IF(ISNUMBER(T310),T310,p_today)*1000+ROW()-5,"")</f>
        <v/>
      </c>
      <c r="AA310" s="67" t="str">
        <f>IF(Z310="","",COUNTIF($Z$6:$Z$505,"&lt;"&amp;Z310)+1)</f>
        <v/>
      </c>
      <c r="AB310" s="67" t="str">
        <f>IFERROR(INDEX(eq_crit,MATCH(B310,eq_code,0))&amp;"","")</f>
        <v/>
      </c>
    </row>
    <row r="311">
      <c r="A311" s="65" t="n"/>
      <c r="B311" s="66" t="n"/>
      <c r="C311" s="67" t="str">
        <f>IF(B311="","",IFERROR(INDEX(eq_des,MATCH(B311,eq_code,0))&amp;"","Équipement inconnu"))</f>
        <v/>
      </c>
      <c r="D311" s="66" t="n"/>
      <c r="E311" s="68" t="n"/>
      <c r="F311" s="69" t="n"/>
      <c r="G311" s="70" t="n"/>
      <c r="H311" s="71" t="n"/>
      <c r="I311" s="66" t="n"/>
      <c r="J311" s="72" t="n"/>
      <c r="K311" s="73" t="n"/>
      <c r="L311" s="68" t="n"/>
      <c r="M311" s="74" t="str">
        <f>IF(AND(A311="",B311="",D311=""),"",MAX(N(J311),IF(A311="",0,SUMPRODUCT(MAX((in_plan=A311)*in_prev*in_dnum)))))</f>
        <v/>
      </c>
      <c r="N311" s="75" t="str">
        <f>IF(AND(A311="",B311="",D311=""),"",MAX(N(K311),IF(A311="",0,SUMPRODUCT(MAX((in_plan=A311)*in_prev*in_cnum)))))</f>
        <v/>
      </c>
      <c r="O311" s="76" t="str">
        <f>IF(AND(OR(E311="Calendrier",E311="Au premier des deux"),N(F311)&gt;0,IF(N(M311)&gt;0,M311,IFERROR(N(INDEX(eq_start,MATCH(B311,eq_code,0))),0))&gt;0),IF(N(M311)&gt;0,M311,IFERROR(N(INDEX(eq_start,MATCH(B311,eq_code,0))),0))+F311,"")</f>
        <v/>
      </c>
      <c r="P311" s="75" t="str">
        <f>IF(AND(OR(E311="Compteur",E311="Au premier des deux"),N(G311)&gt;0),N(N311)+G311,"")</f>
        <v/>
      </c>
      <c r="Q311" s="75" t="str">
        <f>IF(B311="","",IFERROR(N(INDEX(eq_cnt,MATCH(B311,eq_code,0))),""))</f>
        <v/>
      </c>
      <c r="R311" s="77" t="str">
        <f>IF(ISNUMBER(O311),O311-p_today,"")</f>
        <v/>
      </c>
      <c r="S311" s="78" t="str">
        <f>IF(AND(ISNUMBER(P311),N(Q311)&gt;0),P311-Q311,"")</f>
        <v/>
      </c>
      <c r="T311" s="76" t="str">
        <f>IF(AND(ISNUMBER(O311),ISNUMBER(X311)),MIN(O311,X311),IF(ISNUMBER(O311),O311,X311))</f>
        <v/>
      </c>
      <c r="U311" s="79" t="str">
        <f>IF(AND(A311="",B311="",D311=""),"",IF(L311="Non","Inactif",IF(AND(NOT(ISNUMBER(R311)),NOT(ISNUMBER(S311))),"À compléter",IF(OR(AND(ISNUMBER(R311),N(R311)&lt;0),AND(ISNUMBER(S311),N(S311)&lt;0)),"En retard",IF(OR(AND(ISNUMBER(R311),N(R311)&lt;=p_soon),AND(ISNUMBER(S311),N(S311)&lt;=p_soon_pct*N(G311))),"Bientôt","À jour")))))</f>
        <v/>
      </c>
      <c r="V311" s="79" t="str">
        <f>IF(AND(A311="",B311="",D311=""),"",IF(A311="","N° de plan manquant",IF(COUNTIF($A$6:$A$505,A311)&gt;1,"N° de plan en double",IF(B311="","Équipement manquant",IF(ISNA(MATCH(B311,eq_code,0)),"Équipement inconnu",IF(D311="","Tâche manquante",IF(E311="","Déclenchement manquant",IF(AND(E311&lt;&gt;"Calendrier",E311&lt;&gt;"Compteur",E311&lt;&gt;"Au premier des deux"),"Déclenchement inconnu",IF(AND(E311&lt;&gt;"Compteur",OR(NOT(ISNUMBER(F311)),N(F311)&lt;=0)),"Périodicité en jours manquante",IF(AND(E311&lt;&gt;"Calendrier",OR(NOT(ISNUMBER(G311)),N(G311)&lt;=0)),"Périodicité compteur manquante",IF(AND(J311&lt;&gt;"",OR(NOT(ISNUMBER(J311)),N(J311)&lt;=0)),"Date de réalisation invalide",IF(AND(K311&lt;&gt;"",OR(NOT(ISNUMBER(K311)),N(K311)&lt;0)),"Compteur de réalisation invalide",IF(AND(E311&lt;&gt;"Compteur",N(M311)=0,IFERROR(N(INDEX(eq_start,MATCH(B311,eq_code,0))),0)=0),"Date de départ manquante",IF(AND(E311&lt;&gt;"Calendrier",K311="",N(N311)=0),"Compteur de départ manquant",IF(AND(E311&lt;&gt;"Calendrier",N(Q311)=0),"Relevé compteur manquant (Équipements)",IF(AND(I311&lt;&gt;"",ISNA(MATCH(I311,tech_name,0))),"Technicien inconnu",IF(AND(L311&lt;&gt;"",L311&lt;&gt;"Oui",L311&lt;&gt;"Non"),"Actif : Oui ou Non","OK")))))))))))))))))</f>
        <v/>
      </c>
      <c r="W311" s="67">
        <f>IFERROR(N(INDEX(eq_use,MATCH(B311,eq_code,0))),0)</f>
        <v>0.0</v>
      </c>
      <c r="X311" s="67" t="str">
        <f>IF(AND(ISNUMBER(S311),W311&gt;0),p_today+MAX(0,ROUNDUP(S311*7/W311,0)),"")</f>
        <v/>
      </c>
      <c r="Y311" s="67" t="str">
        <f>IF(AND(ISNUMBER(T311),OR(U311="En retard",U311="Bientôt",U311="À jour")),IF(AND(ISNUMBER(O311),ISNUMBER(X311)),MIN(F311,G311*7/W311),IF(ISNUMBER(O311),F311,G311*7/W311)),"")</f>
        <v/>
      </c>
      <c r="Z311" s="67" t="str">
        <f>IF(OR(U311="En retard",U311="Bientôt"),IF(U311="En retard",0,1)*1000000000+IF(AB311="A",0,IF(AB311="B",1,IF(AB311="C",2,3)))*100000000+IF(ISNUMBER(T311),T311,p_today)*1000+ROW()-5,"")</f>
        <v/>
      </c>
      <c r="AA311" s="67" t="str">
        <f>IF(Z311="","",COUNTIF($Z$6:$Z$505,"&lt;"&amp;Z311)+1)</f>
        <v/>
      </c>
      <c r="AB311" s="67" t="str">
        <f>IFERROR(INDEX(eq_crit,MATCH(B311,eq_code,0))&amp;"","")</f>
        <v/>
      </c>
    </row>
    <row r="312">
      <c r="A312" s="65" t="n"/>
      <c r="B312" s="66" t="n"/>
      <c r="C312" s="67" t="str">
        <f>IF(B312="","",IFERROR(INDEX(eq_des,MATCH(B312,eq_code,0))&amp;"","Équipement inconnu"))</f>
        <v/>
      </c>
      <c r="D312" s="66" t="n"/>
      <c r="E312" s="68" t="n"/>
      <c r="F312" s="69" t="n"/>
      <c r="G312" s="70" t="n"/>
      <c r="H312" s="71" t="n"/>
      <c r="I312" s="66" t="n"/>
      <c r="J312" s="72" t="n"/>
      <c r="K312" s="73" t="n"/>
      <c r="L312" s="68" t="n"/>
      <c r="M312" s="74" t="str">
        <f>IF(AND(A312="",B312="",D312=""),"",MAX(N(J312),IF(A312="",0,SUMPRODUCT(MAX((in_plan=A312)*in_prev*in_dnum)))))</f>
        <v/>
      </c>
      <c r="N312" s="75" t="str">
        <f>IF(AND(A312="",B312="",D312=""),"",MAX(N(K312),IF(A312="",0,SUMPRODUCT(MAX((in_plan=A312)*in_prev*in_cnum)))))</f>
        <v/>
      </c>
      <c r="O312" s="76" t="str">
        <f>IF(AND(OR(E312="Calendrier",E312="Au premier des deux"),N(F312)&gt;0,IF(N(M312)&gt;0,M312,IFERROR(N(INDEX(eq_start,MATCH(B312,eq_code,0))),0))&gt;0),IF(N(M312)&gt;0,M312,IFERROR(N(INDEX(eq_start,MATCH(B312,eq_code,0))),0))+F312,"")</f>
        <v/>
      </c>
      <c r="P312" s="75" t="str">
        <f>IF(AND(OR(E312="Compteur",E312="Au premier des deux"),N(G312)&gt;0),N(N312)+G312,"")</f>
        <v/>
      </c>
      <c r="Q312" s="75" t="str">
        <f>IF(B312="","",IFERROR(N(INDEX(eq_cnt,MATCH(B312,eq_code,0))),""))</f>
        <v/>
      </c>
      <c r="R312" s="77" t="str">
        <f>IF(ISNUMBER(O312),O312-p_today,"")</f>
        <v/>
      </c>
      <c r="S312" s="78" t="str">
        <f>IF(AND(ISNUMBER(P312),N(Q312)&gt;0),P312-Q312,"")</f>
        <v/>
      </c>
      <c r="T312" s="76" t="str">
        <f>IF(AND(ISNUMBER(O312),ISNUMBER(X312)),MIN(O312,X312),IF(ISNUMBER(O312),O312,X312))</f>
        <v/>
      </c>
      <c r="U312" s="79" t="str">
        <f>IF(AND(A312="",B312="",D312=""),"",IF(L312="Non","Inactif",IF(AND(NOT(ISNUMBER(R312)),NOT(ISNUMBER(S312))),"À compléter",IF(OR(AND(ISNUMBER(R312),N(R312)&lt;0),AND(ISNUMBER(S312),N(S312)&lt;0)),"En retard",IF(OR(AND(ISNUMBER(R312),N(R312)&lt;=p_soon),AND(ISNUMBER(S312),N(S312)&lt;=p_soon_pct*N(G312))),"Bientôt","À jour")))))</f>
        <v/>
      </c>
      <c r="V312" s="79" t="str">
        <f>IF(AND(A312="",B312="",D312=""),"",IF(A312="","N° de plan manquant",IF(COUNTIF($A$6:$A$505,A312)&gt;1,"N° de plan en double",IF(B312="","Équipement manquant",IF(ISNA(MATCH(B312,eq_code,0)),"Équipement inconnu",IF(D312="","Tâche manquante",IF(E312="","Déclenchement manquant",IF(AND(E312&lt;&gt;"Calendrier",E312&lt;&gt;"Compteur",E312&lt;&gt;"Au premier des deux"),"Déclenchement inconnu",IF(AND(E312&lt;&gt;"Compteur",OR(NOT(ISNUMBER(F312)),N(F312)&lt;=0)),"Périodicité en jours manquante",IF(AND(E312&lt;&gt;"Calendrier",OR(NOT(ISNUMBER(G312)),N(G312)&lt;=0)),"Périodicité compteur manquante",IF(AND(J312&lt;&gt;"",OR(NOT(ISNUMBER(J312)),N(J312)&lt;=0)),"Date de réalisation invalide",IF(AND(K312&lt;&gt;"",OR(NOT(ISNUMBER(K312)),N(K312)&lt;0)),"Compteur de réalisation invalide",IF(AND(E312&lt;&gt;"Compteur",N(M312)=0,IFERROR(N(INDEX(eq_start,MATCH(B312,eq_code,0))),0)=0),"Date de départ manquante",IF(AND(E312&lt;&gt;"Calendrier",K312="",N(N312)=0),"Compteur de départ manquant",IF(AND(E312&lt;&gt;"Calendrier",N(Q312)=0),"Relevé compteur manquant (Équipements)",IF(AND(I312&lt;&gt;"",ISNA(MATCH(I312,tech_name,0))),"Technicien inconnu",IF(AND(L312&lt;&gt;"",L312&lt;&gt;"Oui",L312&lt;&gt;"Non"),"Actif : Oui ou Non","OK")))))))))))))))))</f>
        <v/>
      </c>
      <c r="W312" s="67">
        <f>IFERROR(N(INDEX(eq_use,MATCH(B312,eq_code,0))),0)</f>
        <v>0.0</v>
      </c>
      <c r="X312" s="67" t="str">
        <f>IF(AND(ISNUMBER(S312),W312&gt;0),p_today+MAX(0,ROUNDUP(S312*7/W312,0)),"")</f>
        <v/>
      </c>
      <c r="Y312" s="67" t="str">
        <f>IF(AND(ISNUMBER(T312),OR(U312="En retard",U312="Bientôt",U312="À jour")),IF(AND(ISNUMBER(O312),ISNUMBER(X312)),MIN(F312,G312*7/W312),IF(ISNUMBER(O312),F312,G312*7/W312)),"")</f>
        <v/>
      </c>
      <c r="Z312" s="67" t="str">
        <f>IF(OR(U312="En retard",U312="Bientôt"),IF(U312="En retard",0,1)*1000000000+IF(AB312="A",0,IF(AB312="B",1,IF(AB312="C",2,3)))*100000000+IF(ISNUMBER(T312),T312,p_today)*1000+ROW()-5,"")</f>
        <v/>
      </c>
      <c r="AA312" s="67" t="str">
        <f>IF(Z312="","",COUNTIF($Z$6:$Z$505,"&lt;"&amp;Z312)+1)</f>
        <v/>
      </c>
      <c r="AB312" s="67" t="str">
        <f>IFERROR(INDEX(eq_crit,MATCH(B312,eq_code,0))&amp;"","")</f>
        <v/>
      </c>
    </row>
    <row r="313">
      <c r="A313" s="65" t="n"/>
      <c r="B313" s="66" t="n"/>
      <c r="C313" s="67" t="str">
        <f>IF(B313="","",IFERROR(INDEX(eq_des,MATCH(B313,eq_code,0))&amp;"","Équipement inconnu"))</f>
        <v/>
      </c>
      <c r="D313" s="66" t="n"/>
      <c r="E313" s="68" t="n"/>
      <c r="F313" s="69" t="n"/>
      <c r="G313" s="70" t="n"/>
      <c r="H313" s="71" t="n"/>
      <c r="I313" s="66" t="n"/>
      <c r="J313" s="72" t="n"/>
      <c r="K313" s="73" t="n"/>
      <c r="L313" s="68" t="n"/>
      <c r="M313" s="74" t="str">
        <f>IF(AND(A313="",B313="",D313=""),"",MAX(N(J313),IF(A313="",0,SUMPRODUCT(MAX((in_plan=A313)*in_prev*in_dnum)))))</f>
        <v/>
      </c>
      <c r="N313" s="75" t="str">
        <f>IF(AND(A313="",B313="",D313=""),"",MAX(N(K313),IF(A313="",0,SUMPRODUCT(MAX((in_plan=A313)*in_prev*in_cnum)))))</f>
        <v/>
      </c>
      <c r="O313" s="76" t="str">
        <f>IF(AND(OR(E313="Calendrier",E313="Au premier des deux"),N(F313)&gt;0,IF(N(M313)&gt;0,M313,IFERROR(N(INDEX(eq_start,MATCH(B313,eq_code,0))),0))&gt;0),IF(N(M313)&gt;0,M313,IFERROR(N(INDEX(eq_start,MATCH(B313,eq_code,0))),0))+F313,"")</f>
        <v/>
      </c>
      <c r="P313" s="75" t="str">
        <f>IF(AND(OR(E313="Compteur",E313="Au premier des deux"),N(G313)&gt;0),N(N313)+G313,"")</f>
        <v/>
      </c>
      <c r="Q313" s="75" t="str">
        <f>IF(B313="","",IFERROR(N(INDEX(eq_cnt,MATCH(B313,eq_code,0))),""))</f>
        <v/>
      </c>
      <c r="R313" s="77" t="str">
        <f>IF(ISNUMBER(O313),O313-p_today,"")</f>
        <v/>
      </c>
      <c r="S313" s="78" t="str">
        <f>IF(AND(ISNUMBER(P313),N(Q313)&gt;0),P313-Q313,"")</f>
        <v/>
      </c>
      <c r="T313" s="76" t="str">
        <f>IF(AND(ISNUMBER(O313),ISNUMBER(X313)),MIN(O313,X313),IF(ISNUMBER(O313),O313,X313))</f>
        <v/>
      </c>
      <c r="U313" s="79" t="str">
        <f>IF(AND(A313="",B313="",D313=""),"",IF(L313="Non","Inactif",IF(AND(NOT(ISNUMBER(R313)),NOT(ISNUMBER(S313))),"À compléter",IF(OR(AND(ISNUMBER(R313),N(R313)&lt;0),AND(ISNUMBER(S313),N(S313)&lt;0)),"En retard",IF(OR(AND(ISNUMBER(R313),N(R313)&lt;=p_soon),AND(ISNUMBER(S313),N(S313)&lt;=p_soon_pct*N(G313))),"Bientôt","À jour")))))</f>
        <v/>
      </c>
      <c r="V313" s="79" t="str">
        <f>IF(AND(A313="",B313="",D313=""),"",IF(A313="","N° de plan manquant",IF(COUNTIF($A$6:$A$505,A313)&gt;1,"N° de plan en double",IF(B313="","Équipement manquant",IF(ISNA(MATCH(B313,eq_code,0)),"Équipement inconnu",IF(D313="","Tâche manquante",IF(E313="","Déclenchement manquant",IF(AND(E313&lt;&gt;"Calendrier",E313&lt;&gt;"Compteur",E313&lt;&gt;"Au premier des deux"),"Déclenchement inconnu",IF(AND(E313&lt;&gt;"Compteur",OR(NOT(ISNUMBER(F313)),N(F313)&lt;=0)),"Périodicité en jours manquante",IF(AND(E313&lt;&gt;"Calendrier",OR(NOT(ISNUMBER(G313)),N(G313)&lt;=0)),"Périodicité compteur manquante",IF(AND(J313&lt;&gt;"",OR(NOT(ISNUMBER(J313)),N(J313)&lt;=0)),"Date de réalisation invalide",IF(AND(K313&lt;&gt;"",OR(NOT(ISNUMBER(K313)),N(K313)&lt;0)),"Compteur de réalisation invalide",IF(AND(E313&lt;&gt;"Compteur",N(M313)=0,IFERROR(N(INDEX(eq_start,MATCH(B313,eq_code,0))),0)=0),"Date de départ manquante",IF(AND(E313&lt;&gt;"Calendrier",K313="",N(N313)=0),"Compteur de départ manquant",IF(AND(E313&lt;&gt;"Calendrier",N(Q313)=0),"Relevé compteur manquant (Équipements)",IF(AND(I313&lt;&gt;"",ISNA(MATCH(I313,tech_name,0))),"Technicien inconnu",IF(AND(L313&lt;&gt;"",L313&lt;&gt;"Oui",L313&lt;&gt;"Non"),"Actif : Oui ou Non","OK")))))))))))))))))</f>
        <v/>
      </c>
      <c r="W313" s="67">
        <f>IFERROR(N(INDEX(eq_use,MATCH(B313,eq_code,0))),0)</f>
        <v>0.0</v>
      </c>
      <c r="X313" s="67" t="str">
        <f>IF(AND(ISNUMBER(S313),W313&gt;0),p_today+MAX(0,ROUNDUP(S313*7/W313,0)),"")</f>
        <v/>
      </c>
      <c r="Y313" s="67" t="str">
        <f>IF(AND(ISNUMBER(T313),OR(U313="En retard",U313="Bientôt",U313="À jour")),IF(AND(ISNUMBER(O313),ISNUMBER(X313)),MIN(F313,G313*7/W313),IF(ISNUMBER(O313),F313,G313*7/W313)),"")</f>
        <v/>
      </c>
      <c r="Z313" s="67" t="str">
        <f>IF(OR(U313="En retard",U313="Bientôt"),IF(U313="En retard",0,1)*1000000000+IF(AB313="A",0,IF(AB313="B",1,IF(AB313="C",2,3)))*100000000+IF(ISNUMBER(T313),T313,p_today)*1000+ROW()-5,"")</f>
        <v/>
      </c>
      <c r="AA313" s="67" t="str">
        <f>IF(Z313="","",COUNTIF($Z$6:$Z$505,"&lt;"&amp;Z313)+1)</f>
        <v/>
      </c>
      <c r="AB313" s="67" t="str">
        <f>IFERROR(INDEX(eq_crit,MATCH(B313,eq_code,0))&amp;"","")</f>
        <v/>
      </c>
    </row>
    <row r="314">
      <c r="A314" s="65" t="n"/>
      <c r="B314" s="66" t="n"/>
      <c r="C314" s="67" t="str">
        <f>IF(B314="","",IFERROR(INDEX(eq_des,MATCH(B314,eq_code,0))&amp;"","Équipement inconnu"))</f>
        <v/>
      </c>
      <c r="D314" s="66" t="n"/>
      <c r="E314" s="68" t="n"/>
      <c r="F314" s="69" t="n"/>
      <c r="G314" s="70" t="n"/>
      <c r="H314" s="71" t="n"/>
      <c r="I314" s="66" t="n"/>
      <c r="J314" s="72" t="n"/>
      <c r="K314" s="73" t="n"/>
      <c r="L314" s="68" t="n"/>
      <c r="M314" s="74" t="str">
        <f>IF(AND(A314="",B314="",D314=""),"",MAX(N(J314),IF(A314="",0,SUMPRODUCT(MAX((in_plan=A314)*in_prev*in_dnum)))))</f>
        <v/>
      </c>
      <c r="N314" s="75" t="str">
        <f>IF(AND(A314="",B314="",D314=""),"",MAX(N(K314),IF(A314="",0,SUMPRODUCT(MAX((in_plan=A314)*in_prev*in_cnum)))))</f>
        <v/>
      </c>
      <c r="O314" s="76" t="str">
        <f>IF(AND(OR(E314="Calendrier",E314="Au premier des deux"),N(F314)&gt;0,IF(N(M314)&gt;0,M314,IFERROR(N(INDEX(eq_start,MATCH(B314,eq_code,0))),0))&gt;0),IF(N(M314)&gt;0,M314,IFERROR(N(INDEX(eq_start,MATCH(B314,eq_code,0))),0))+F314,"")</f>
        <v/>
      </c>
      <c r="P314" s="75" t="str">
        <f>IF(AND(OR(E314="Compteur",E314="Au premier des deux"),N(G314)&gt;0),N(N314)+G314,"")</f>
        <v/>
      </c>
      <c r="Q314" s="75" t="str">
        <f>IF(B314="","",IFERROR(N(INDEX(eq_cnt,MATCH(B314,eq_code,0))),""))</f>
        <v/>
      </c>
      <c r="R314" s="77" t="str">
        <f>IF(ISNUMBER(O314),O314-p_today,"")</f>
        <v/>
      </c>
      <c r="S314" s="78" t="str">
        <f>IF(AND(ISNUMBER(P314),N(Q314)&gt;0),P314-Q314,"")</f>
        <v/>
      </c>
      <c r="T314" s="76" t="str">
        <f>IF(AND(ISNUMBER(O314),ISNUMBER(X314)),MIN(O314,X314),IF(ISNUMBER(O314),O314,X314))</f>
        <v/>
      </c>
      <c r="U314" s="79" t="str">
        <f>IF(AND(A314="",B314="",D314=""),"",IF(L314="Non","Inactif",IF(AND(NOT(ISNUMBER(R314)),NOT(ISNUMBER(S314))),"À compléter",IF(OR(AND(ISNUMBER(R314),N(R314)&lt;0),AND(ISNUMBER(S314),N(S314)&lt;0)),"En retard",IF(OR(AND(ISNUMBER(R314),N(R314)&lt;=p_soon),AND(ISNUMBER(S314),N(S314)&lt;=p_soon_pct*N(G314))),"Bientôt","À jour")))))</f>
        <v/>
      </c>
      <c r="V314" s="79" t="str">
        <f>IF(AND(A314="",B314="",D314=""),"",IF(A314="","N° de plan manquant",IF(COUNTIF($A$6:$A$505,A314)&gt;1,"N° de plan en double",IF(B314="","Équipement manquant",IF(ISNA(MATCH(B314,eq_code,0)),"Équipement inconnu",IF(D314="","Tâche manquante",IF(E314="","Déclenchement manquant",IF(AND(E314&lt;&gt;"Calendrier",E314&lt;&gt;"Compteur",E314&lt;&gt;"Au premier des deux"),"Déclenchement inconnu",IF(AND(E314&lt;&gt;"Compteur",OR(NOT(ISNUMBER(F314)),N(F314)&lt;=0)),"Périodicité en jours manquante",IF(AND(E314&lt;&gt;"Calendrier",OR(NOT(ISNUMBER(G314)),N(G314)&lt;=0)),"Périodicité compteur manquante",IF(AND(J314&lt;&gt;"",OR(NOT(ISNUMBER(J314)),N(J314)&lt;=0)),"Date de réalisation invalide",IF(AND(K314&lt;&gt;"",OR(NOT(ISNUMBER(K314)),N(K314)&lt;0)),"Compteur de réalisation invalide",IF(AND(E314&lt;&gt;"Compteur",N(M314)=0,IFERROR(N(INDEX(eq_start,MATCH(B314,eq_code,0))),0)=0),"Date de départ manquante",IF(AND(E314&lt;&gt;"Calendrier",K314="",N(N314)=0),"Compteur de départ manquant",IF(AND(E314&lt;&gt;"Calendrier",N(Q314)=0),"Relevé compteur manquant (Équipements)",IF(AND(I314&lt;&gt;"",ISNA(MATCH(I314,tech_name,0))),"Technicien inconnu",IF(AND(L314&lt;&gt;"",L314&lt;&gt;"Oui",L314&lt;&gt;"Non"),"Actif : Oui ou Non","OK")))))))))))))))))</f>
        <v/>
      </c>
      <c r="W314" s="67">
        <f>IFERROR(N(INDEX(eq_use,MATCH(B314,eq_code,0))),0)</f>
        <v>0.0</v>
      </c>
      <c r="X314" s="67" t="str">
        <f>IF(AND(ISNUMBER(S314),W314&gt;0),p_today+MAX(0,ROUNDUP(S314*7/W314,0)),"")</f>
        <v/>
      </c>
      <c r="Y314" s="67" t="str">
        <f>IF(AND(ISNUMBER(T314),OR(U314="En retard",U314="Bientôt",U314="À jour")),IF(AND(ISNUMBER(O314),ISNUMBER(X314)),MIN(F314,G314*7/W314),IF(ISNUMBER(O314),F314,G314*7/W314)),"")</f>
        <v/>
      </c>
      <c r="Z314" s="67" t="str">
        <f>IF(OR(U314="En retard",U314="Bientôt"),IF(U314="En retard",0,1)*1000000000+IF(AB314="A",0,IF(AB314="B",1,IF(AB314="C",2,3)))*100000000+IF(ISNUMBER(T314),T314,p_today)*1000+ROW()-5,"")</f>
        <v/>
      </c>
      <c r="AA314" s="67" t="str">
        <f>IF(Z314="","",COUNTIF($Z$6:$Z$505,"&lt;"&amp;Z314)+1)</f>
        <v/>
      </c>
      <c r="AB314" s="67" t="str">
        <f>IFERROR(INDEX(eq_crit,MATCH(B314,eq_code,0))&amp;"","")</f>
        <v/>
      </c>
    </row>
    <row r="315">
      <c r="A315" s="65" t="n"/>
      <c r="B315" s="66" t="n"/>
      <c r="C315" s="67" t="str">
        <f>IF(B315="","",IFERROR(INDEX(eq_des,MATCH(B315,eq_code,0))&amp;"","Équipement inconnu"))</f>
        <v/>
      </c>
      <c r="D315" s="66" t="n"/>
      <c r="E315" s="68" t="n"/>
      <c r="F315" s="69" t="n"/>
      <c r="G315" s="70" t="n"/>
      <c r="H315" s="71" t="n"/>
      <c r="I315" s="66" t="n"/>
      <c r="J315" s="72" t="n"/>
      <c r="K315" s="73" t="n"/>
      <c r="L315" s="68" t="n"/>
      <c r="M315" s="74" t="str">
        <f>IF(AND(A315="",B315="",D315=""),"",MAX(N(J315),IF(A315="",0,SUMPRODUCT(MAX((in_plan=A315)*in_prev*in_dnum)))))</f>
        <v/>
      </c>
      <c r="N315" s="75" t="str">
        <f>IF(AND(A315="",B315="",D315=""),"",MAX(N(K315),IF(A315="",0,SUMPRODUCT(MAX((in_plan=A315)*in_prev*in_cnum)))))</f>
        <v/>
      </c>
      <c r="O315" s="76" t="str">
        <f>IF(AND(OR(E315="Calendrier",E315="Au premier des deux"),N(F315)&gt;0,IF(N(M315)&gt;0,M315,IFERROR(N(INDEX(eq_start,MATCH(B315,eq_code,0))),0))&gt;0),IF(N(M315)&gt;0,M315,IFERROR(N(INDEX(eq_start,MATCH(B315,eq_code,0))),0))+F315,"")</f>
        <v/>
      </c>
      <c r="P315" s="75" t="str">
        <f>IF(AND(OR(E315="Compteur",E315="Au premier des deux"),N(G315)&gt;0),N(N315)+G315,"")</f>
        <v/>
      </c>
      <c r="Q315" s="75" t="str">
        <f>IF(B315="","",IFERROR(N(INDEX(eq_cnt,MATCH(B315,eq_code,0))),""))</f>
        <v/>
      </c>
      <c r="R315" s="77" t="str">
        <f>IF(ISNUMBER(O315),O315-p_today,"")</f>
        <v/>
      </c>
      <c r="S315" s="78" t="str">
        <f>IF(AND(ISNUMBER(P315),N(Q315)&gt;0),P315-Q315,"")</f>
        <v/>
      </c>
      <c r="T315" s="76" t="str">
        <f>IF(AND(ISNUMBER(O315),ISNUMBER(X315)),MIN(O315,X315),IF(ISNUMBER(O315),O315,X315))</f>
        <v/>
      </c>
      <c r="U315" s="79" t="str">
        <f>IF(AND(A315="",B315="",D315=""),"",IF(L315="Non","Inactif",IF(AND(NOT(ISNUMBER(R315)),NOT(ISNUMBER(S315))),"À compléter",IF(OR(AND(ISNUMBER(R315),N(R315)&lt;0),AND(ISNUMBER(S315),N(S315)&lt;0)),"En retard",IF(OR(AND(ISNUMBER(R315),N(R315)&lt;=p_soon),AND(ISNUMBER(S315),N(S315)&lt;=p_soon_pct*N(G315))),"Bientôt","À jour")))))</f>
        <v/>
      </c>
      <c r="V315" s="79" t="str">
        <f>IF(AND(A315="",B315="",D315=""),"",IF(A315="","N° de plan manquant",IF(COUNTIF($A$6:$A$505,A315)&gt;1,"N° de plan en double",IF(B315="","Équipement manquant",IF(ISNA(MATCH(B315,eq_code,0)),"Équipement inconnu",IF(D315="","Tâche manquante",IF(E315="","Déclenchement manquant",IF(AND(E315&lt;&gt;"Calendrier",E315&lt;&gt;"Compteur",E315&lt;&gt;"Au premier des deux"),"Déclenchement inconnu",IF(AND(E315&lt;&gt;"Compteur",OR(NOT(ISNUMBER(F315)),N(F315)&lt;=0)),"Périodicité en jours manquante",IF(AND(E315&lt;&gt;"Calendrier",OR(NOT(ISNUMBER(G315)),N(G315)&lt;=0)),"Périodicité compteur manquante",IF(AND(J315&lt;&gt;"",OR(NOT(ISNUMBER(J315)),N(J315)&lt;=0)),"Date de réalisation invalide",IF(AND(K315&lt;&gt;"",OR(NOT(ISNUMBER(K315)),N(K315)&lt;0)),"Compteur de réalisation invalide",IF(AND(E315&lt;&gt;"Compteur",N(M315)=0,IFERROR(N(INDEX(eq_start,MATCH(B315,eq_code,0))),0)=0),"Date de départ manquante",IF(AND(E315&lt;&gt;"Calendrier",K315="",N(N315)=0),"Compteur de départ manquant",IF(AND(E315&lt;&gt;"Calendrier",N(Q315)=0),"Relevé compteur manquant (Équipements)",IF(AND(I315&lt;&gt;"",ISNA(MATCH(I315,tech_name,0))),"Technicien inconnu",IF(AND(L315&lt;&gt;"",L315&lt;&gt;"Oui",L315&lt;&gt;"Non"),"Actif : Oui ou Non","OK")))))))))))))))))</f>
        <v/>
      </c>
      <c r="W315" s="67">
        <f>IFERROR(N(INDEX(eq_use,MATCH(B315,eq_code,0))),0)</f>
        <v>0.0</v>
      </c>
      <c r="X315" s="67" t="str">
        <f>IF(AND(ISNUMBER(S315),W315&gt;0),p_today+MAX(0,ROUNDUP(S315*7/W315,0)),"")</f>
        <v/>
      </c>
      <c r="Y315" s="67" t="str">
        <f>IF(AND(ISNUMBER(T315),OR(U315="En retard",U315="Bientôt",U315="À jour")),IF(AND(ISNUMBER(O315),ISNUMBER(X315)),MIN(F315,G315*7/W315),IF(ISNUMBER(O315),F315,G315*7/W315)),"")</f>
        <v/>
      </c>
      <c r="Z315" s="67" t="str">
        <f>IF(OR(U315="En retard",U315="Bientôt"),IF(U315="En retard",0,1)*1000000000+IF(AB315="A",0,IF(AB315="B",1,IF(AB315="C",2,3)))*100000000+IF(ISNUMBER(T315),T315,p_today)*1000+ROW()-5,"")</f>
        <v/>
      </c>
      <c r="AA315" s="67" t="str">
        <f>IF(Z315="","",COUNTIF($Z$6:$Z$505,"&lt;"&amp;Z315)+1)</f>
        <v/>
      </c>
      <c r="AB315" s="67" t="str">
        <f>IFERROR(INDEX(eq_crit,MATCH(B315,eq_code,0))&amp;"","")</f>
        <v/>
      </c>
    </row>
    <row r="316">
      <c r="A316" s="65" t="n"/>
      <c r="B316" s="66" t="n"/>
      <c r="C316" s="67" t="str">
        <f>IF(B316="","",IFERROR(INDEX(eq_des,MATCH(B316,eq_code,0))&amp;"","Équipement inconnu"))</f>
        <v/>
      </c>
      <c r="D316" s="66" t="n"/>
      <c r="E316" s="68" t="n"/>
      <c r="F316" s="69" t="n"/>
      <c r="G316" s="70" t="n"/>
      <c r="H316" s="71" t="n"/>
      <c r="I316" s="66" t="n"/>
      <c r="J316" s="72" t="n"/>
      <c r="K316" s="73" t="n"/>
      <c r="L316" s="68" t="n"/>
      <c r="M316" s="74" t="str">
        <f>IF(AND(A316="",B316="",D316=""),"",MAX(N(J316),IF(A316="",0,SUMPRODUCT(MAX((in_plan=A316)*in_prev*in_dnum)))))</f>
        <v/>
      </c>
      <c r="N316" s="75" t="str">
        <f>IF(AND(A316="",B316="",D316=""),"",MAX(N(K316),IF(A316="",0,SUMPRODUCT(MAX((in_plan=A316)*in_prev*in_cnum)))))</f>
        <v/>
      </c>
      <c r="O316" s="76" t="str">
        <f>IF(AND(OR(E316="Calendrier",E316="Au premier des deux"),N(F316)&gt;0,IF(N(M316)&gt;0,M316,IFERROR(N(INDEX(eq_start,MATCH(B316,eq_code,0))),0))&gt;0),IF(N(M316)&gt;0,M316,IFERROR(N(INDEX(eq_start,MATCH(B316,eq_code,0))),0))+F316,"")</f>
        <v/>
      </c>
      <c r="P316" s="75" t="str">
        <f>IF(AND(OR(E316="Compteur",E316="Au premier des deux"),N(G316)&gt;0),N(N316)+G316,"")</f>
        <v/>
      </c>
      <c r="Q316" s="75" t="str">
        <f>IF(B316="","",IFERROR(N(INDEX(eq_cnt,MATCH(B316,eq_code,0))),""))</f>
        <v/>
      </c>
      <c r="R316" s="77" t="str">
        <f>IF(ISNUMBER(O316),O316-p_today,"")</f>
        <v/>
      </c>
      <c r="S316" s="78" t="str">
        <f>IF(AND(ISNUMBER(P316),N(Q316)&gt;0),P316-Q316,"")</f>
        <v/>
      </c>
      <c r="T316" s="76" t="str">
        <f>IF(AND(ISNUMBER(O316),ISNUMBER(X316)),MIN(O316,X316),IF(ISNUMBER(O316),O316,X316))</f>
        <v/>
      </c>
      <c r="U316" s="79" t="str">
        <f>IF(AND(A316="",B316="",D316=""),"",IF(L316="Non","Inactif",IF(AND(NOT(ISNUMBER(R316)),NOT(ISNUMBER(S316))),"À compléter",IF(OR(AND(ISNUMBER(R316),N(R316)&lt;0),AND(ISNUMBER(S316),N(S316)&lt;0)),"En retard",IF(OR(AND(ISNUMBER(R316),N(R316)&lt;=p_soon),AND(ISNUMBER(S316),N(S316)&lt;=p_soon_pct*N(G316))),"Bientôt","À jour")))))</f>
        <v/>
      </c>
      <c r="V316" s="79" t="str">
        <f>IF(AND(A316="",B316="",D316=""),"",IF(A316="","N° de plan manquant",IF(COUNTIF($A$6:$A$505,A316)&gt;1,"N° de plan en double",IF(B316="","Équipement manquant",IF(ISNA(MATCH(B316,eq_code,0)),"Équipement inconnu",IF(D316="","Tâche manquante",IF(E316="","Déclenchement manquant",IF(AND(E316&lt;&gt;"Calendrier",E316&lt;&gt;"Compteur",E316&lt;&gt;"Au premier des deux"),"Déclenchement inconnu",IF(AND(E316&lt;&gt;"Compteur",OR(NOT(ISNUMBER(F316)),N(F316)&lt;=0)),"Périodicité en jours manquante",IF(AND(E316&lt;&gt;"Calendrier",OR(NOT(ISNUMBER(G316)),N(G316)&lt;=0)),"Périodicité compteur manquante",IF(AND(J316&lt;&gt;"",OR(NOT(ISNUMBER(J316)),N(J316)&lt;=0)),"Date de réalisation invalide",IF(AND(K316&lt;&gt;"",OR(NOT(ISNUMBER(K316)),N(K316)&lt;0)),"Compteur de réalisation invalide",IF(AND(E316&lt;&gt;"Compteur",N(M316)=0,IFERROR(N(INDEX(eq_start,MATCH(B316,eq_code,0))),0)=0),"Date de départ manquante",IF(AND(E316&lt;&gt;"Calendrier",K316="",N(N316)=0),"Compteur de départ manquant",IF(AND(E316&lt;&gt;"Calendrier",N(Q316)=0),"Relevé compteur manquant (Équipements)",IF(AND(I316&lt;&gt;"",ISNA(MATCH(I316,tech_name,0))),"Technicien inconnu",IF(AND(L316&lt;&gt;"",L316&lt;&gt;"Oui",L316&lt;&gt;"Non"),"Actif : Oui ou Non","OK")))))))))))))))))</f>
        <v/>
      </c>
      <c r="W316" s="67">
        <f>IFERROR(N(INDEX(eq_use,MATCH(B316,eq_code,0))),0)</f>
        <v>0.0</v>
      </c>
      <c r="X316" s="67" t="str">
        <f>IF(AND(ISNUMBER(S316),W316&gt;0),p_today+MAX(0,ROUNDUP(S316*7/W316,0)),"")</f>
        <v/>
      </c>
      <c r="Y316" s="67" t="str">
        <f>IF(AND(ISNUMBER(T316),OR(U316="En retard",U316="Bientôt",U316="À jour")),IF(AND(ISNUMBER(O316),ISNUMBER(X316)),MIN(F316,G316*7/W316),IF(ISNUMBER(O316),F316,G316*7/W316)),"")</f>
        <v/>
      </c>
      <c r="Z316" s="67" t="str">
        <f>IF(OR(U316="En retard",U316="Bientôt"),IF(U316="En retard",0,1)*1000000000+IF(AB316="A",0,IF(AB316="B",1,IF(AB316="C",2,3)))*100000000+IF(ISNUMBER(T316),T316,p_today)*1000+ROW()-5,"")</f>
        <v/>
      </c>
      <c r="AA316" s="67" t="str">
        <f>IF(Z316="","",COUNTIF($Z$6:$Z$505,"&lt;"&amp;Z316)+1)</f>
        <v/>
      </c>
      <c r="AB316" s="67" t="str">
        <f>IFERROR(INDEX(eq_crit,MATCH(B316,eq_code,0))&amp;"","")</f>
        <v/>
      </c>
    </row>
    <row r="317">
      <c r="A317" s="65" t="n"/>
      <c r="B317" s="66" t="n"/>
      <c r="C317" s="67" t="str">
        <f>IF(B317="","",IFERROR(INDEX(eq_des,MATCH(B317,eq_code,0))&amp;"","Équipement inconnu"))</f>
        <v/>
      </c>
      <c r="D317" s="66" t="n"/>
      <c r="E317" s="68" t="n"/>
      <c r="F317" s="69" t="n"/>
      <c r="G317" s="70" t="n"/>
      <c r="H317" s="71" t="n"/>
      <c r="I317" s="66" t="n"/>
      <c r="J317" s="72" t="n"/>
      <c r="K317" s="73" t="n"/>
      <c r="L317" s="68" t="n"/>
      <c r="M317" s="74" t="str">
        <f>IF(AND(A317="",B317="",D317=""),"",MAX(N(J317),IF(A317="",0,SUMPRODUCT(MAX((in_plan=A317)*in_prev*in_dnum)))))</f>
        <v/>
      </c>
      <c r="N317" s="75" t="str">
        <f>IF(AND(A317="",B317="",D317=""),"",MAX(N(K317),IF(A317="",0,SUMPRODUCT(MAX((in_plan=A317)*in_prev*in_cnum)))))</f>
        <v/>
      </c>
      <c r="O317" s="76" t="str">
        <f>IF(AND(OR(E317="Calendrier",E317="Au premier des deux"),N(F317)&gt;0,IF(N(M317)&gt;0,M317,IFERROR(N(INDEX(eq_start,MATCH(B317,eq_code,0))),0))&gt;0),IF(N(M317)&gt;0,M317,IFERROR(N(INDEX(eq_start,MATCH(B317,eq_code,0))),0))+F317,"")</f>
        <v/>
      </c>
      <c r="P317" s="75" t="str">
        <f>IF(AND(OR(E317="Compteur",E317="Au premier des deux"),N(G317)&gt;0),N(N317)+G317,"")</f>
        <v/>
      </c>
      <c r="Q317" s="75" t="str">
        <f>IF(B317="","",IFERROR(N(INDEX(eq_cnt,MATCH(B317,eq_code,0))),""))</f>
        <v/>
      </c>
      <c r="R317" s="77" t="str">
        <f>IF(ISNUMBER(O317),O317-p_today,"")</f>
        <v/>
      </c>
      <c r="S317" s="78" t="str">
        <f>IF(AND(ISNUMBER(P317),N(Q317)&gt;0),P317-Q317,"")</f>
        <v/>
      </c>
      <c r="T317" s="76" t="str">
        <f>IF(AND(ISNUMBER(O317),ISNUMBER(X317)),MIN(O317,X317),IF(ISNUMBER(O317),O317,X317))</f>
        <v/>
      </c>
      <c r="U317" s="79" t="str">
        <f>IF(AND(A317="",B317="",D317=""),"",IF(L317="Non","Inactif",IF(AND(NOT(ISNUMBER(R317)),NOT(ISNUMBER(S317))),"À compléter",IF(OR(AND(ISNUMBER(R317),N(R317)&lt;0),AND(ISNUMBER(S317),N(S317)&lt;0)),"En retard",IF(OR(AND(ISNUMBER(R317),N(R317)&lt;=p_soon),AND(ISNUMBER(S317),N(S317)&lt;=p_soon_pct*N(G317))),"Bientôt","À jour")))))</f>
        <v/>
      </c>
      <c r="V317" s="79" t="str">
        <f>IF(AND(A317="",B317="",D317=""),"",IF(A317="","N° de plan manquant",IF(COUNTIF($A$6:$A$505,A317)&gt;1,"N° de plan en double",IF(B317="","Équipement manquant",IF(ISNA(MATCH(B317,eq_code,0)),"Équipement inconnu",IF(D317="","Tâche manquante",IF(E317="","Déclenchement manquant",IF(AND(E317&lt;&gt;"Calendrier",E317&lt;&gt;"Compteur",E317&lt;&gt;"Au premier des deux"),"Déclenchement inconnu",IF(AND(E317&lt;&gt;"Compteur",OR(NOT(ISNUMBER(F317)),N(F317)&lt;=0)),"Périodicité en jours manquante",IF(AND(E317&lt;&gt;"Calendrier",OR(NOT(ISNUMBER(G317)),N(G317)&lt;=0)),"Périodicité compteur manquante",IF(AND(J317&lt;&gt;"",OR(NOT(ISNUMBER(J317)),N(J317)&lt;=0)),"Date de réalisation invalide",IF(AND(K317&lt;&gt;"",OR(NOT(ISNUMBER(K317)),N(K317)&lt;0)),"Compteur de réalisation invalide",IF(AND(E317&lt;&gt;"Compteur",N(M317)=0,IFERROR(N(INDEX(eq_start,MATCH(B317,eq_code,0))),0)=0),"Date de départ manquante",IF(AND(E317&lt;&gt;"Calendrier",K317="",N(N317)=0),"Compteur de départ manquant",IF(AND(E317&lt;&gt;"Calendrier",N(Q317)=0),"Relevé compteur manquant (Équipements)",IF(AND(I317&lt;&gt;"",ISNA(MATCH(I317,tech_name,0))),"Technicien inconnu",IF(AND(L317&lt;&gt;"",L317&lt;&gt;"Oui",L317&lt;&gt;"Non"),"Actif : Oui ou Non","OK")))))))))))))))))</f>
        <v/>
      </c>
      <c r="W317" s="67">
        <f>IFERROR(N(INDEX(eq_use,MATCH(B317,eq_code,0))),0)</f>
        <v>0.0</v>
      </c>
      <c r="X317" s="67" t="str">
        <f>IF(AND(ISNUMBER(S317),W317&gt;0),p_today+MAX(0,ROUNDUP(S317*7/W317,0)),"")</f>
        <v/>
      </c>
      <c r="Y317" s="67" t="str">
        <f>IF(AND(ISNUMBER(T317),OR(U317="En retard",U317="Bientôt",U317="À jour")),IF(AND(ISNUMBER(O317),ISNUMBER(X317)),MIN(F317,G317*7/W317),IF(ISNUMBER(O317),F317,G317*7/W317)),"")</f>
        <v/>
      </c>
      <c r="Z317" s="67" t="str">
        <f>IF(OR(U317="En retard",U317="Bientôt"),IF(U317="En retard",0,1)*1000000000+IF(AB317="A",0,IF(AB317="B",1,IF(AB317="C",2,3)))*100000000+IF(ISNUMBER(T317),T317,p_today)*1000+ROW()-5,"")</f>
        <v/>
      </c>
      <c r="AA317" s="67" t="str">
        <f>IF(Z317="","",COUNTIF($Z$6:$Z$505,"&lt;"&amp;Z317)+1)</f>
        <v/>
      </c>
      <c r="AB317" s="67" t="str">
        <f>IFERROR(INDEX(eq_crit,MATCH(B317,eq_code,0))&amp;"","")</f>
        <v/>
      </c>
    </row>
    <row r="318">
      <c r="A318" s="65" t="n"/>
      <c r="B318" s="66" t="n"/>
      <c r="C318" s="67" t="str">
        <f>IF(B318="","",IFERROR(INDEX(eq_des,MATCH(B318,eq_code,0))&amp;"","Équipement inconnu"))</f>
        <v/>
      </c>
      <c r="D318" s="66" t="n"/>
      <c r="E318" s="68" t="n"/>
      <c r="F318" s="69" t="n"/>
      <c r="G318" s="70" t="n"/>
      <c r="H318" s="71" t="n"/>
      <c r="I318" s="66" t="n"/>
      <c r="J318" s="72" t="n"/>
      <c r="K318" s="73" t="n"/>
      <c r="L318" s="68" t="n"/>
      <c r="M318" s="74" t="str">
        <f>IF(AND(A318="",B318="",D318=""),"",MAX(N(J318),IF(A318="",0,SUMPRODUCT(MAX((in_plan=A318)*in_prev*in_dnum)))))</f>
        <v/>
      </c>
      <c r="N318" s="75" t="str">
        <f>IF(AND(A318="",B318="",D318=""),"",MAX(N(K318),IF(A318="",0,SUMPRODUCT(MAX((in_plan=A318)*in_prev*in_cnum)))))</f>
        <v/>
      </c>
      <c r="O318" s="76" t="str">
        <f>IF(AND(OR(E318="Calendrier",E318="Au premier des deux"),N(F318)&gt;0,IF(N(M318)&gt;0,M318,IFERROR(N(INDEX(eq_start,MATCH(B318,eq_code,0))),0))&gt;0),IF(N(M318)&gt;0,M318,IFERROR(N(INDEX(eq_start,MATCH(B318,eq_code,0))),0))+F318,"")</f>
        <v/>
      </c>
      <c r="P318" s="75" t="str">
        <f>IF(AND(OR(E318="Compteur",E318="Au premier des deux"),N(G318)&gt;0),N(N318)+G318,"")</f>
        <v/>
      </c>
      <c r="Q318" s="75" t="str">
        <f>IF(B318="","",IFERROR(N(INDEX(eq_cnt,MATCH(B318,eq_code,0))),""))</f>
        <v/>
      </c>
      <c r="R318" s="77" t="str">
        <f>IF(ISNUMBER(O318),O318-p_today,"")</f>
        <v/>
      </c>
      <c r="S318" s="78" t="str">
        <f>IF(AND(ISNUMBER(P318),N(Q318)&gt;0),P318-Q318,"")</f>
        <v/>
      </c>
      <c r="T318" s="76" t="str">
        <f>IF(AND(ISNUMBER(O318),ISNUMBER(X318)),MIN(O318,X318),IF(ISNUMBER(O318),O318,X318))</f>
        <v/>
      </c>
      <c r="U318" s="79" t="str">
        <f>IF(AND(A318="",B318="",D318=""),"",IF(L318="Non","Inactif",IF(AND(NOT(ISNUMBER(R318)),NOT(ISNUMBER(S318))),"À compléter",IF(OR(AND(ISNUMBER(R318),N(R318)&lt;0),AND(ISNUMBER(S318),N(S318)&lt;0)),"En retard",IF(OR(AND(ISNUMBER(R318),N(R318)&lt;=p_soon),AND(ISNUMBER(S318),N(S318)&lt;=p_soon_pct*N(G318))),"Bientôt","À jour")))))</f>
        <v/>
      </c>
      <c r="V318" s="79" t="str">
        <f>IF(AND(A318="",B318="",D318=""),"",IF(A318="","N° de plan manquant",IF(COUNTIF($A$6:$A$505,A318)&gt;1,"N° de plan en double",IF(B318="","Équipement manquant",IF(ISNA(MATCH(B318,eq_code,0)),"Équipement inconnu",IF(D318="","Tâche manquante",IF(E318="","Déclenchement manquant",IF(AND(E318&lt;&gt;"Calendrier",E318&lt;&gt;"Compteur",E318&lt;&gt;"Au premier des deux"),"Déclenchement inconnu",IF(AND(E318&lt;&gt;"Compteur",OR(NOT(ISNUMBER(F318)),N(F318)&lt;=0)),"Périodicité en jours manquante",IF(AND(E318&lt;&gt;"Calendrier",OR(NOT(ISNUMBER(G318)),N(G318)&lt;=0)),"Périodicité compteur manquante",IF(AND(J318&lt;&gt;"",OR(NOT(ISNUMBER(J318)),N(J318)&lt;=0)),"Date de réalisation invalide",IF(AND(K318&lt;&gt;"",OR(NOT(ISNUMBER(K318)),N(K318)&lt;0)),"Compteur de réalisation invalide",IF(AND(E318&lt;&gt;"Compteur",N(M318)=0,IFERROR(N(INDEX(eq_start,MATCH(B318,eq_code,0))),0)=0),"Date de départ manquante",IF(AND(E318&lt;&gt;"Calendrier",K318="",N(N318)=0),"Compteur de départ manquant",IF(AND(E318&lt;&gt;"Calendrier",N(Q318)=0),"Relevé compteur manquant (Équipements)",IF(AND(I318&lt;&gt;"",ISNA(MATCH(I318,tech_name,0))),"Technicien inconnu",IF(AND(L318&lt;&gt;"",L318&lt;&gt;"Oui",L318&lt;&gt;"Non"),"Actif : Oui ou Non","OK")))))))))))))))))</f>
        <v/>
      </c>
      <c r="W318" s="67">
        <f>IFERROR(N(INDEX(eq_use,MATCH(B318,eq_code,0))),0)</f>
        <v>0.0</v>
      </c>
      <c r="X318" s="67" t="str">
        <f>IF(AND(ISNUMBER(S318),W318&gt;0),p_today+MAX(0,ROUNDUP(S318*7/W318,0)),"")</f>
        <v/>
      </c>
      <c r="Y318" s="67" t="str">
        <f>IF(AND(ISNUMBER(T318),OR(U318="En retard",U318="Bientôt",U318="À jour")),IF(AND(ISNUMBER(O318),ISNUMBER(X318)),MIN(F318,G318*7/W318),IF(ISNUMBER(O318),F318,G318*7/W318)),"")</f>
        <v/>
      </c>
      <c r="Z318" s="67" t="str">
        <f>IF(OR(U318="En retard",U318="Bientôt"),IF(U318="En retard",0,1)*1000000000+IF(AB318="A",0,IF(AB318="B",1,IF(AB318="C",2,3)))*100000000+IF(ISNUMBER(T318),T318,p_today)*1000+ROW()-5,"")</f>
        <v/>
      </c>
      <c r="AA318" s="67" t="str">
        <f>IF(Z318="","",COUNTIF($Z$6:$Z$505,"&lt;"&amp;Z318)+1)</f>
        <v/>
      </c>
      <c r="AB318" s="67" t="str">
        <f>IFERROR(INDEX(eq_crit,MATCH(B318,eq_code,0))&amp;"","")</f>
        <v/>
      </c>
    </row>
    <row r="319">
      <c r="A319" s="65" t="n"/>
      <c r="B319" s="66" t="n"/>
      <c r="C319" s="67" t="str">
        <f>IF(B319="","",IFERROR(INDEX(eq_des,MATCH(B319,eq_code,0))&amp;"","Équipement inconnu"))</f>
        <v/>
      </c>
      <c r="D319" s="66" t="n"/>
      <c r="E319" s="68" t="n"/>
      <c r="F319" s="69" t="n"/>
      <c r="G319" s="70" t="n"/>
      <c r="H319" s="71" t="n"/>
      <c r="I319" s="66" t="n"/>
      <c r="J319" s="72" t="n"/>
      <c r="K319" s="73" t="n"/>
      <c r="L319" s="68" t="n"/>
      <c r="M319" s="74" t="str">
        <f>IF(AND(A319="",B319="",D319=""),"",MAX(N(J319),IF(A319="",0,SUMPRODUCT(MAX((in_plan=A319)*in_prev*in_dnum)))))</f>
        <v/>
      </c>
      <c r="N319" s="75" t="str">
        <f>IF(AND(A319="",B319="",D319=""),"",MAX(N(K319),IF(A319="",0,SUMPRODUCT(MAX((in_plan=A319)*in_prev*in_cnum)))))</f>
        <v/>
      </c>
      <c r="O319" s="76" t="str">
        <f>IF(AND(OR(E319="Calendrier",E319="Au premier des deux"),N(F319)&gt;0,IF(N(M319)&gt;0,M319,IFERROR(N(INDEX(eq_start,MATCH(B319,eq_code,0))),0))&gt;0),IF(N(M319)&gt;0,M319,IFERROR(N(INDEX(eq_start,MATCH(B319,eq_code,0))),0))+F319,"")</f>
        <v/>
      </c>
      <c r="P319" s="75" t="str">
        <f>IF(AND(OR(E319="Compteur",E319="Au premier des deux"),N(G319)&gt;0),N(N319)+G319,"")</f>
        <v/>
      </c>
      <c r="Q319" s="75" t="str">
        <f>IF(B319="","",IFERROR(N(INDEX(eq_cnt,MATCH(B319,eq_code,0))),""))</f>
        <v/>
      </c>
      <c r="R319" s="77" t="str">
        <f>IF(ISNUMBER(O319),O319-p_today,"")</f>
        <v/>
      </c>
      <c r="S319" s="78" t="str">
        <f>IF(AND(ISNUMBER(P319),N(Q319)&gt;0),P319-Q319,"")</f>
        <v/>
      </c>
      <c r="T319" s="76" t="str">
        <f>IF(AND(ISNUMBER(O319),ISNUMBER(X319)),MIN(O319,X319),IF(ISNUMBER(O319),O319,X319))</f>
        <v/>
      </c>
      <c r="U319" s="79" t="str">
        <f>IF(AND(A319="",B319="",D319=""),"",IF(L319="Non","Inactif",IF(AND(NOT(ISNUMBER(R319)),NOT(ISNUMBER(S319))),"À compléter",IF(OR(AND(ISNUMBER(R319),N(R319)&lt;0),AND(ISNUMBER(S319),N(S319)&lt;0)),"En retard",IF(OR(AND(ISNUMBER(R319),N(R319)&lt;=p_soon),AND(ISNUMBER(S319),N(S319)&lt;=p_soon_pct*N(G319))),"Bientôt","À jour")))))</f>
        <v/>
      </c>
      <c r="V319" s="79" t="str">
        <f>IF(AND(A319="",B319="",D319=""),"",IF(A319="","N° de plan manquant",IF(COUNTIF($A$6:$A$505,A319)&gt;1,"N° de plan en double",IF(B319="","Équipement manquant",IF(ISNA(MATCH(B319,eq_code,0)),"Équipement inconnu",IF(D319="","Tâche manquante",IF(E319="","Déclenchement manquant",IF(AND(E319&lt;&gt;"Calendrier",E319&lt;&gt;"Compteur",E319&lt;&gt;"Au premier des deux"),"Déclenchement inconnu",IF(AND(E319&lt;&gt;"Compteur",OR(NOT(ISNUMBER(F319)),N(F319)&lt;=0)),"Périodicité en jours manquante",IF(AND(E319&lt;&gt;"Calendrier",OR(NOT(ISNUMBER(G319)),N(G319)&lt;=0)),"Périodicité compteur manquante",IF(AND(J319&lt;&gt;"",OR(NOT(ISNUMBER(J319)),N(J319)&lt;=0)),"Date de réalisation invalide",IF(AND(K319&lt;&gt;"",OR(NOT(ISNUMBER(K319)),N(K319)&lt;0)),"Compteur de réalisation invalide",IF(AND(E319&lt;&gt;"Compteur",N(M319)=0,IFERROR(N(INDEX(eq_start,MATCH(B319,eq_code,0))),0)=0),"Date de départ manquante",IF(AND(E319&lt;&gt;"Calendrier",K319="",N(N319)=0),"Compteur de départ manquant",IF(AND(E319&lt;&gt;"Calendrier",N(Q319)=0),"Relevé compteur manquant (Équipements)",IF(AND(I319&lt;&gt;"",ISNA(MATCH(I319,tech_name,0))),"Technicien inconnu",IF(AND(L319&lt;&gt;"",L319&lt;&gt;"Oui",L319&lt;&gt;"Non"),"Actif : Oui ou Non","OK")))))))))))))))))</f>
        <v/>
      </c>
      <c r="W319" s="67">
        <f>IFERROR(N(INDEX(eq_use,MATCH(B319,eq_code,0))),0)</f>
        <v>0.0</v>
      </c>
      <c r="X319" s="67" t="str">
        <f>IF(AND(ISNUMBER(S319),W319&gt;0),p_today+MAX(0,ROUNDUP(S319*7/W319,0)),"")</f>
        <v/>
      </c>
      <c r="Y319" s="67" t="str">
        <f>IF(AND(ISNUMBER(T319),OR(U319="En retard",U319="Bientôt",U319="À jour")),IF(AND(ISNUMBER(O319),ISNUMBER(X319)),MIN(F319,G319*7/W319),IF(ISNUMBER(O319),F319,G319*7/W319)),"")</f>
        <v/>
      </c>
      <c r="Z319" s="67" t="str">
        <f>IF(OR(U319="En retard",U319="Bientôt"),IF(U319="En retard",0,1)*1000000000+IF(AB319="A",0,IF(AB319="B",1,IF(AB319="C",2,3)))*100000000+IF(ISNUMBER(T319),T319,p_today)*1000+ROW()-5,"")</f>
        <v/>
      </c>
      <c r="AA319" s="67" t="str">
        <f>IF(Z319="","",COUNTIF($Z$6:$Z$505,"&lt;"&amp;Z319)+1)</f>
        <v/>
      </c>
      <c r="AB319" s="67" t="str">
        <f>IFERROR(INDEX(eq_crit,MATCH(B319,eq_code,0))&amp;"","")</f>
        <v/>
      </c>
    </row>
    <row r="320">
      <c r="A320" s="65" t="n"/>
      <c r="B320" s="66" t="n"/>
      <c r="C320" s="67" t="str">
        <f>IF(B320="","",IFERROR(INDEX(eq_des,MATCH(B320,eq_code,0))&amp;"","Équipement inconnu"))</f>
        <v/>
      </c>
      <c r="D320" s="66" t="n"/>
      <c r="E320" s="68" t="n"/>
      <c r="F320" s="69" t="n"/>
      <c r="G320" s="70" t="n"/>
      <c r="H320" s="71" t="n"/>
      <c r="I320" s="66" t="n"/>
      <c r="J320" s="72" t="n"/>
      <c r="K320" s="73" t="n"/>
      <c r="L320" s="68" t="n"/>
      <c r="M320" s="74" t="str">
        <f>IF(AND(A320="",B320="",D320=""),"",MAX(N(J320),IF(A320="",0,SUMPRODUCT(MAX((in_plan=A320)*in_prev*in_dnum)))))</f>
        <v/>
      </c>
      <c r="N320" s="75" t="str">
        <f>IF(AND(A320="",B320="",D320=""),"",MAX(N(K320),IF(A320="",0,SUMPRODUCT(MAX((in_plan=A320)*in_prev*in_cnum)))))</f>
        <v/>
      </c>
      <c r="O320" s="76" t="str">
        <f>IF(AND(OR(E320="Calendrier",E320="Au premier des deux"),N(F320)&gt;0,IF(N(M320)&gt;0,M320,IFERROR(N(INDEX(eq_start,MATCH(B320,eq_code,0))),0))&gt;0),IF(N(M320)&gt;0,M320,IFERROR(N(INDEX(eq_start,MATCH(B320,eq_code,0))),0))+F320,"")</f>
        <v/>
      </c>
      <c r="P320" s="75" t="str">
        <f>IF(AND(OR(E320="Compteur",E320="Au premier des deux"),N(G320)&gt;0),N(N320)+G320,"")</f>
        <v/>
      </c>
      <c r="Q320" s="75" t="str">
        <f>IF(B320="","",IFERROR(N(INDEX(eq_cnt,MATCH(B320,eq_code,0))),""))</f>
        <v/>
      </c>
      <c r="R320" s="77" t="str">
        <f>IF(ISNUMBER(O320),O320-p_today,"")</f>
        <v/>
      </c>
      <c r="S320" s="78" t="str">
        <f>IF(AND(ISNUMBER(P320),N(Q320)&gt;0),P320-Q320,"")</f>
        <v/>
      </c>
      <c r="T320" s="76" t="str">
        <f>IF(AND(ISNUMBER(O320),ISNUMBER(X320)),MIN(O320,X320),IF(ISNUMBER(O320),O320,X320))</f>
        <v/>
      </c>
      <c r="U320" s="79" t="str">
        <f>IF(AND(A320="",B320="",D320=""),"",IF(L320="Non","Inactif",IF(AND(NOT(ISNUMBER(R320)),NOT(ISNUMBER(S320))),"À compléter",IF(OR(AND(ISNUMBER(R320),N(R320)&lt;0),AND(ISNUMBER(S320),N(S320)&lt;0)),"En retard",IF(OR(AND(ISNUMBER(R320),N(R320)&lt;=p_soon),AND(ISNUMBER(S320),N(S320)&lt;=p_soon_pct*N(G320))),"Bientôt","À jour")))))</f>
        <v/>
      </c>
      <c r="V320" s="79" t="str">
        <f>IF(AND(A320="",B320="",D320=""),"",IF(A320="","N° de plan manquant",IF(COUNTIF($A$6:$A$505,A320)&gt;1,"N° de plan en double",IF(B320="","Équipement manquant",IF(ISNA(MATCH(B320,eq_code,0)),"Équipement inconnu",IF(D320="","Tâche manquante",IF(E320="","Déclenchement manquant",IF(AND(E320&lt;&gt;"Calendrier",E320&lt;&gt;"Compteur",E320&lt;&gt;"Au premier des deux"),"Déclenchement inconnu",IF(AND(E320&lt;&gt;"Compteur",OR(NOT(ISNUMBER(F320)),N(F320)&lt;=0)),"Périodicité en jours manquante",IF(AND(E320&lt;&gt;"Calendrier",OR(NOT(ISNUMBER(G320)),N(G320)&lt;=0)),"Périodicité compteur manquante",IF(AND(J320&lt;&gt;"",OR(NOT(ISNUMBER(J320)),N(J320)&lt;=0)),"Date de réalisation invalide",IF(AND(K320&lt;&gt;"",OR(NOT(ISNUMBER(K320)),N(K320)&lt;0)),"Compteur de réalisation invalide",IF(AND(E320&lt;&gt;"Compteur",N(M320)=0,IFERROR(N(INDEX(eq_start,MATCH(B320,eq_code,0))),0)=0),"Date de départ manquante",IF(AND(E320&lt;&gt;"Calendrier",K320="",N(N320)=0),"Compteur de départ manquant",IF(AND(E320&lt;&gt;"Calendrier",N(Q320)=0),"Relevé compteur manquant (Équipements)",IF(AND(I320&lt;&gt;"",ISNA(MATCH(I320,tech_name,0))),"Technicien inconnu",IF(AND(L320&lt;&gt;"",L320&lt;&gt;"Oui",L320&lt;&gt;"Non"),"Actif : Oui ou Non","OK")))))))))))))))))</f>
        <v/>
      </c>
      <c r="W320" s="67">
        <f>IFERROR(N(INDEX(eq_use,MATCH(B320,eq_code,0))),0)</f>
        <v>0.0</v>
      </c>
      <c r="X320" s="67" t="str">
        <f>IF(AND(ISNUMBER(S320),W320&gt;0),p_today+MAX(0,ROUNDUP(S320*7/W320,0)),"")</f>
        <v/>
      </c>
      <c r="Y320" s="67" t="str">
        <f>IF(AND(ISNUMBER(T320),OR(U320="En retard",U320="Bientôt",U320="À jour")),IF(AND(ISNUMBER(O320),ISNUMBER(X320)),MIN(F320,G320*7/W320),IF(ISNUMBER(O320),F320,G320*7/W320)),"")</f>
        <v/>
      </c>
      <c r="Z320" s="67" t="str">
        <f>IF(OR(U320="En retard",U320="Bientôt"),IF(U320="En retard",0,1)*1000000000+IF(AB320="A",0,IF(AB320="B",1,IF(AB320="C",2,3)))*100000000+IF(ISNUMBER(T320),T320,p_today)*1000+ROW()-5,"")</f>
        <v/>
      </c>
      <c r="AA320" s="67" t="str">
        <f>IF(Z320="","",COUNTIF($Z$6:$Z$505,"&lt;"&amp;Z320)+1)</f>
        <v/>
      </c>
      <c r="AB320" s="67" t="str">
        <f>IFERROR(INDEX(eq_crit,MATCH(B320,eq_code,0))&amp;"","")</f>
        <v/>
      </c>
    </row>
    <row r="321">
      <c r="A321" s="65" t="n"/>
      <c r="B321" s="66" t="n"/>
      <c r="C321" s="67" t="str">
        <f>IF(B321="","",IFERROR(INDEX(eq_des,MATCH(B321,eq_code,0))&amp;"","Équipement inconnu"))</f>
        <v/>
      </c>
      <c r="D321" s="66" t="n"/>
      <c r="E321" s="68" t="n"/>
      <c r="F321" s="69" t="n"/>
      <c r="G321" s="70" t="n"/>
      <c r="H321" s="71" t="n"/>
      <c r="I321" s="66" t="n"/>
      <c r="J321" s="72" t="n"/>
      <c r="K321" s="73" t="n"/>
      <c r="L321" s="68" t="n"/>
      <c r="M321" s="74" t="str">
        <f>IF(AND(A321="",B321="",D321=""),"",MAX(N(J321),IF(A321="",0,SUMPRODUCT(MAX((in_plan=A321)*in_prev*in_dnum)))))</f>
        <v/>
      </c>
      <c r="N321" s="75" t="str">
        <f>IF(AND(A321="",B321="",D321=""),"",MAX(N(K321),IF(A321="",0,SUMPRODUCT(MAX((in_plan=A321)*in_prev*in_cnum)))))</f>
        <v/>
      </c>
      <c r="O321" s="76" t="str">
        <f>IF(AND(OR(E321="Calendrier",E321="Au premier des deux"),N(F321)&gt;0,IF(N(M321)&gt;0,M321,IFERROR(N(INDEX(eq_start,MATCH(B321,eq_code,0))),0))&gt;0),IF(N(M321)&gt;0,M321,IFERROR(N(INDEX(eq_start,MATCH(B321,eq_code,0))),0))+F321,"")</f>
        <v/>
      </c>
      <c r="P321" s="75" t="str">
        <f>IF(AND(OR(E321="Compteur",E321="Au premier des deux"),N(G321)&gt;0),N(N321)+G321,"")</f>
        <v/>
      </c>
      <c r="Q321" s="75" t="str">
        <f>IF(B321="","",IFERROR(N(INDEX(eq_cnt,MATCH(B321,eq_code,0))),""))</f>
        <v/>
      </c>
      <c r="R321" s="77" t="str">
        <f>IF(ISNUMBER(O321),O321-p_today,"")</f>
        <v/>
      </c>
      <c r="S321" s="78" t="str">
        <f>IF(AND(ISNUMBER(P321),N(Q321)&gt;0),P321-Q321,"")</f>
        <v/>
      </c>
      <c r="T321" s="76" t="str">
        <f>IF(AND(ISNUMBER(O321),ISNUMBER(X321)),MIN(O321,X321),IF(ISNUMBER(O321),O321,X321))</f>
        <v/>
      </c>
      <c r="U321" s="79" t="str">
        <f>IF(AND(A321="",B321="",D321=""),"",IF(L321="Non","Inactif",IF(AND(NOT(ISNUMBER(R321)),NOT(ISNUMBER(S321))),"À compléter",IF(OR(AND(ISNUMBER(R321),N(R321)&lt;0),AND(ISNUMBER(S321),N(S321)&lt;0)),"En retard",IF(OR(AND(ISNUMBER(R321),N(R321)&lt;=p_soon),AND(ISNUMBER(S321),N(S321)&lt;=p_soon_pct*N(G321))),"Bientôt","À jour")))))</f>
        <v/>
      </c>
      <c r="V321" s="79" t="str">
        <f>IF(AND(A321="",B321="",D321=""),"",IF(A321="","N° de plan manquant",IF(COUNTIF($A$6:$A$505,A321)&gt;1,"N° de plan en double",IF(B321="","Équipement manquant",IF(ISNA(MATCH(B321,eq_code,0)),"Équipement inconnu",IF(D321="","Tâche manquante",IF(E321="","Déclenchement manquant",IF(AND(E321&lt;&gt;"Calendrier",E321&lt;&gt;"Compteur",E321&lt;&gt;"Au premier des deux"),"Déclenchement inconnu",IF(AND(E321&lt;&gt;"Compteur",OR(NOT(ISNUMBER(F321)),N(F321)&lt;=0)),"Périodicité en jours manquante",IF(AND(E321&lt;&gt;"Calendrier",OR(NOT(ISNUMBER(G321)),N(G321)&lt;=0)),"Périodicité compteur manquante",IF(AND(J321&lt;&gt;"",OR(NOT(ISNUMBER(J321)),N(J321)&lt;=0)),"Date de réalisation invalide",IF(AND(K321&lt;&gt;"",OR(NOT(ISNUMBER(K321)),N(K321)&lt;0)),"Compteur de réalisation invalide",IF(AND(E321&lt;&gt;"Compteur",N(M321)=0,IFERROR(N(INDEX(eq_start,MATCH(B321,eq_code,0))),0)=0),"Date de départ manquante",IF(AND(E321&lt;&gt;"Calendrier",K321="",N(N321)=0),"Compteur de départ manquant",IF(AND(E321&lt;&gt;"Calendrier",N(Q321)=0),"Relevé compteur manquant (Équipements)",IF(AND(I321&lt;&gt;"",ISNA(MATCH(I321,tech_name,0))),"Technicien inconnu",IF(AND(L321&lt;&gt;"",L321&lt;&gt;"Oui",L321&lt;&gt;"Non"),"Actif : Oui ou Non","OK")))))))))))))))))</f>
        <v/>
      </c>
      <c r="W321" s="67">
        <f>IFERROR(N(INDEX(eq_use,MATCH(B321,eq_code,0))),0)</f>
        <v>0.0</v>
      </c>
      <c r="X321" s="67" t="str">
        <f>IF(AND(ISNUMBER(S321),W321&gt;0),p_today+MAX(0,ROUNDUP(S321*7/W321,0)),"")</f>
        <v/>
      </c>
      <c r="Y321" s="67" t="str">
        <f>IF(AND(ISNUMBER(T321),OR(U321="En retard",U321="Bientôt",U321="À jour")),IF(AND(ISNUMBER(O321),ISNUMBER(X321)),MIN(F321,G321*7/W321),IF(ISNUMBER(O321),F321,G321*7/W321)),"")</f>
        <v/>
      </c>
      <c r="Z321" s="67" t="str">
        <f>IF(OR(U321="En retard",U321="Bientôt"),IF(U321="En retard",0,1)*1000000000+IF(AB321="A",0,IF(AB321="B",1,IF(AB321="C",2,3)))*100000000+IF(ISNUMBER(T321),T321,p_today)*1000+ROW()-5,"")</f>
        <v/>
      </c>
      <c r="AA321" s="67" t="str">
        <f>IF(Z321="","",COUNTIF($Z$6:$Z$505,"&lt;"&amp;Z321)+1)</f>
        <v/>
      </c>
      <c r="AB321" s="67" t="str">
        <f>IFERROR(INDEX(eq_crit,MATCH(B321,eq_code,0))&amp;"","")</f>
        <v/>
      </c>
    </row>
    <row r="322">
      <c r="A322" s="65" t="n"/>
      <c r="B322" s="66" t="n"/>
      <c r="C322" s="67" t="str">
        <f>IF(B322="","",IFERROR(INDEX(eq_des,MATCH(B322,eq_code,0))&amp;"","Équipement inconnu"))</f>
        <v/>
      </c>
      <c r="D322" s="66" t="n"/>
      <c r="E322" s="68" t="n"/>
      <c r="F322" s="69" t="n"/>
      <c r="G322" s="70" t="n"/>
      <c r="H322" s="71" t="n"/>
      <c r="I322" s="66" t="n"/>
      <c r="J322" s="72" t="n"/>
      <c r="K322" s="73" t="n"/>
      <c r="L322" s="68" t="n"/>
      <c r="M322" s="74" t="str">
        <f>IF(AND(A322="",B322="",D322=""),"",MAX(N(J322),IF(A322="",0,SUMPRODUCT(MAX((in_plan=A322)*in_prev*in_dnum)))))</f>
        <v/>
      </c>
      <c r="N322" s="75" t="str">
        <f>IF(AND(A322="",B322="",D322=""),"",MAX(N(K322),IF(A322="",0,SUMPRODUCT(MAX((in_plan=A322)*in_prev*in_cnum)))))</f>
        <v/>
      </c>
      <c r="O322" s="76" t="str">
        <f>IF(AND(OR(E322="Calendrier",E322="Au premier des deux"),N(F322)&gt;0,IF(N(M322)&gt;0,M322,IFERROR(N(INDEX(eq_start,MATCH(B322,eq_code,0))),0))&gt;0),IF(N(M322)&gt;0,M322,IFERROR(N(INDEX(eq_start,MATCH(B322,eq_code,0))),0))+F322,"")</f>
        <v/>
      </c>
      <c r="P322" s="75" t="str">
        <f>IF(AND(OR(E322="Compteur",E322="Au premier des deux"),N(G322)&gt;0),N(N322)+G322,"")</f>
        <v/>
      </c>
      <c r="Q322" s="75" t="str">
        <f>IF(B322="","",IFERROR(N(INDEX(eq_cnt,MATCH(B322,eq_code,0))),""))</f>
        <v/>
      </c>
      <c r="R322" s="77" t="str">
        <f>IF(ISNUMBER(O322),O322-p_today,"")</f>
        <v/>
      </c>
      <c r="S322" s="78" t="str">
        <f>IF(AND(ISNUMBER(P322),N(Q322)&gt;0),P322-Q322,"")</f>
        <v/>
      </c>
      <c r="T322" s="76" t="str">
        <f>IF(AND(ISNUMBER(O322),ISNUMBER(X322)),MIN(O322,X322),IF(ISNUMBER(O322),O322,X322))</f>
        <v/>
      </c>
      <c r="U322" s="79" t="str">
        <f>IF(AND(A322="",B322="",D322=""),"",IF(L322="Non","Inactif",IF(AND(NOT(ISNUMBER(R322)),NOT(ISNUMBER(S322))),"À compléter",IF(OR(AND(ISNUMBER(R322),N(R322)&lt;0),AND(ISNUMBER(S322),N(S322)&lt;0)),"En retard",IF(OR(AND(ISNUMBER(R322),N(R322)&lt;=p_soon),AND(ISNUMBER(S322),N(S322)&lt;=p_soon_pct*N(G322))),"Bientôt","À jour")))))</f>
        <v/>
      </c>
      <c r="V322" s="79" t="str">
        <f>IF(AND(A322="",B322="",D322=""),"",IF(A322="","N° de plan manquant",IF(COUNTIF($A$6:$A$505,A322)&gt;1,"N° de plan en double",IF(B322="","Équipement manquant",IF(ISNA(MATCH(B322,eq_code,0)),"Équipement inconnu",IF(D322="","Tâche manquante",IF(E322="","Déclenchement manquant",IF(AND(E322&lt;&gt;"Calendrier",E322&lt;&gt;"Compteur",E322&lt;&gt;"Au premier des deux"),"Déclenchement inconnu",IF(AND(E322&lt;&gt;"Compteur",OR(NOT(ISNUMBER(F322)),N(F322)&lt;=0)),"Périodicité en jours manquante",IF(AND(E322&lt;&gt;"Calendrier",OR(NOT(ISNUMBER(G322)),N(G322)&lt;=0)),"Périodicité compteur manquante",IF(AND(J322&lt;&gt;"",OR(NOT(ISNUMBER(J322)),N(J322)&lt;=0)),"Date de réalisation invalide",IF(AND(K322&lt;&gt;"",OR(NOT(ISNUMBER(K322)),N(K322)&lt;0)),"Compteur de réalisation invalide",IF(AND(E322&lt;&gt;"Compteur",N(M322)=0,IFERROR(N(INDEX(eq_start,MATCH(B322,eq_code,0))),0)=0),"Date de départ manquante",IF(AND(E322&lt;&gt;"Calendrier",K322="",N(N322)=0),"Compteur de départ manquant",IF(AND(E322&lt;&gt;"Calendrier",N(Q322)=0),"Relevé compteur manquant (Équipements)",IF(AND(I322&lt;&gt;"",ISNA(MATCH(I322,tech_name,0))),"Technicien inconnu",IF(AND(L322&lt;&gt;"",L322&lt;&gt;"Oui",L322&lt;&gt;"Non"),"Actif : Oui ou Non","OK")))))))))))))))))</f>
        <v/>
      </c>
      <c r="W322" s="67">
        <f>IFERROR(N(INDEX(eq_use,MATCH(B322,eq_code,0))),0)</f>
        <v>0.0</v>
      </c>
      <c r="X322" s="67" t="str">
        <f>IF(AND(ISNUMBER(S322),W322&gt;0),p_today+MAX(0,ROUNDUP(S322*7/W322,0)),"")</f>
        <v/>
      </c>
      <c r="Y322" s="67" t="str">
        <f>IF(AND(ISNUMBER(T322),OR(U322="En retard",U322="Bientôt",U322="À jour")),IF(AND(ISNUMBER(O322),ISNUMBER(X322)),MIN(F322,G322*7/W322),IF(ISNUMBER(O322),F322,G322*7/W322)),"")</f>
        <v/>
      </c>
      <c r="Z322" s="67" t="str">
        <f>IF(OR(U322="En retard",U322="Bientôt"),IF(U322="En retard",0,1)*1000000000+IF(AB322="A",0,IF(AB322="B",1,IF(AB322="C",2,3)))*100000000+IF(ISNUMBER(T322),T322,p_today)*1000+ROW()-5,"")</f>
        <v/>
      </c>
      <c r="AA322" s="67" t="str">
        <f>IF(Z322="","",COUNTIF($Z$6:$Z$505,"&lt;"&amp;Z322)+1)</f>
        <v/>
      </c>
      <c r="AB322" s="67" t="str">
        <f>IFERROR(INDEX(eq_crit,MATCH(B322,eq_code,0))&amp;"","")</f>
        <v/>
      </c>
    </row>
    <row r="323">
      <c r="A323" s="65" t="n"/>
      <c r="B323" s="66" t="n"/>
      <c r="C323" s="67" t="str">
        <f>IF(B323="","",IFERROR(INDEX(eq_des,MATCH(B323,eq_code,0))&amp;"","Équipement inconnu"))</f>
        <v/>
      </c>
      <c r="D323" s="66" t="n"/>
      <c r="E323" s="68" t="n"/>
      <c r="F323" s="69" t="n"/>
      <c r="G323" s="70" t="n"/>
      <c r="H323" s="71" t="n"/>
      <c r="I323" s="66" t="n"/>
      <c r="J323" s="72" t="n"/>
      <c r="K323" s="73" t="n"/>
      <c r="L323" s="68" t="n"/>
      <c r="M323" s="74" t="str">
        <f>IF(AND(A323="",B323="",D323=""),"",MAX(N(J323),IF(A323="",0,SUMPRODUCT(MAX((in_plan=A323)*in_prev*in_dnum)))))</f>
        <v/>
      </c>
      <c r="N323" s="75" t="str">
        <f>IF(AND(A323="",B323="",D323=""),"",MAX(N(K323),IF(A323="",0,SUMPRODUCT(MAX((in_plan=A323)*in_prev*in_cnum)))))</f>
        <v/>
      </c>
      <c r="O323" s="76" t="str">
        <f>IF(AND(OR(E323="Calendrier",E323="Au premier des deux"),N(F323)&gt;0,IF(N(M323)&gt;0,M323,IFERROR(N(INDEX(eq_start,MATCH(B323,eq_code,0))),0))&gt;0),IF(N(M323)&gt;0,M323,IFERROR(N(INDEX(eq_start,MATCH(B323,eq_code,0))),0))+F323,"")</f>
        <v/>
      </c>
      <c r="P323" s="75" t="str">
        <f>IF(AND(OR(E323="Compteur",E323="Au premier des deux"),N(G323)&gt;0),N(N323)+G323,"")</f>
        <v/>
      </c>
      <c r="Q323" s="75" t="str">
        <f>IF(B323="","",IFERROR(N(INDEX(eq_cnt,MATCH(B323,eq_code,0))),""))</f>
        <v/>
      </c>
      <c r="R323" s="77" t="str">
        <f>IF(ISNUMBER(O323),O323-p_today,"")</f>
        <v/>
      </c>
      <c r="S323" s="78" t="str">
        <f>IF(AND(ISNUMBER(P323),N(Q323)&gt;0),P323-Q323,"")</f>
        <v/>
      </c>
      <c r="T323" s="76" t="str">
        <f>IF(AND(ISNUMBER(O323),ISNUMBER(X323)),MIN(O323,X323),IF(ISNUMBER(O323),O323,X323))</f>
        <v/>
      </c>
      <c r="U323" s="79" t="str">
        <f>IF(AND(A323="",B323="",D323=""),"",IF(L323="Non","Inactif",IF(AND(NOT(ISNUMBER(R323)),NOT(ISNUMBER(S323))),"À compléter",IF(OR(AND(ISNUMBER(R323),N(R323)&lt;0),AND(ISNUMBER(S323),N(S323)&lt;0)),"En retard",IF(OR(AND(ISNUMBER(R323),N(R323)&lt;=p_soon),AND(ISNUMBER(S323),N(S323)&lt;=p_soon_pct*N(G323))),"Bientôt","À jour")))))</f>
        <v/>
      </c>
      <c r="V323" s="79" t="str">
        <f>IF(AND(A323="",B323="",D323=""),"",IF(A323="","N° de plan manquant",IF(COUNTIF($A$6:$A$505,A323)&gt;1,"N° de plan en double",IF(B323="","Équipement manquant",IF(ISNA(MATCH(B323,eq_code,0)),"Équipement inconnu",IF(D323="","Tâche manquante",IF(E323="","Déclenchement manquant",IF(AND(E323&lt;&gt;"Calendrier",E323&lt;&gt;"Compteur",E323&lt;&gt;"Au premier des deux"),"Déclenchement inconnu",IF(AND(E323&lt;&gt;"Compteur",OR(NOT(ISNUMBER(F323)),N(F323)&lt;=0)),"Périodicité en jours manquante",IF(AND(E323&lt;&gt;"Calendrier",OR(NOT(ISNUMBER(G323)),N(G323)&lt;=0)),"Périodicité compteur manquante",IF(AND(J323&lt;&gt;"",OR(NOT(ISNUMBER(J323)),N(J323)&lt;=0)),"Date de réalisation invalide",IF(AND(K323&lt;&gt;"",OR(NOT(ISNUMBER(K323)),N(K323)&lt;0)),"Compteur de réalisation invalide",IF(AND(E323&lt;&gt;"Compteur",N(M323)=0,IFERROR(N(INDEX(eq_start,MATCH(B323,eq_code,0))),0)=0),"Date de départ manquante",IF(AND(E323&lt;&gt;"Calendrier",K323="",N(N323)=0),"Compteur de départ manquant",IF(AND(E323&lt;&gt;"Calendrier",N(Q323)=0),"Relevé compteur manquant (Équipements)",IF(AND(I323&lt;&gt;"",ISNA(MATCH(I323,tech_name,0))),"Technicien inconnu",IF(AND(L323&lt;&gt;"",L323&lt;&gt;"Oui",L323&lt;&gt;"Non"),"Actif : Oui ou Non","OK")))))))))))))))))</f>
        <v/>
      </c>
      <c r="W323" s="67">
        <f>IFERROR(N(INDEX(eq_use,MATCH(B323,eq_code,0))),0)</f>
        <v>0.0</v>
      </c>
      <c r="X323" s="67" t="str">
        <f>IF(AND(ISNUMBER(S323),W323&gt;0),p_today+MAX(0,ROUNDUP(S323*7/W323,0)),"")</f>
        <v/>
      </c>
      <c r="Y323" s="67" t="str">
        <f>IF(AND(ISNUMBER(T323),OR(U323="En retard",U323="Bientôt",U323="À jour")),IF(AND(ISNUMBER(O323),ISNUMBER(X323)),MIN(F323,G323*7/W323),IF(ISNUMBER(O323),F323,G323*7/W323)),"")</f>
        <v/>
      </c>
      <c r="Z323" s="67" t="str">
        <f>IF(OR(U323="En retard",U323="Bientôt"),IF(U323="En retard",0,1)*1000000000+IF(AB323="A",0,IF(AB323="B",1,IF(AB323="C",2,3)))*100000000+IF(ISNUMBER(T323),T323,p_today)*1000+ROW()-5,"")</f>
        <v/>
      </c>
      <c r="AA323" s="67" t="str">
        <f>IF(Z323="","",COUNTIF($Z$6:$Z$505,"&lt;"&amp;Z323)+1)</f>
        <v/>
      </c>
      <c r="AB323" s="67" t="str">
        <f>IFERROR(INDEX(eq_crit,MATCH(B323,eq_code,0))&amp;"","")</f>
        <v/>
      </c>
    </row>
    <row r="324">
      <c r="A324" s="65" t="n"/>
      <c r="B324" s="66" t="n"/>
      <c r="C324" s="67" t="str">
        <f>IF(B324="","",IFERROR(INDEX(eq_des,MATCH(B324,eq_code,0))&amp;"","Équipement inconnu"))</f>
        <v/>
      </c>
      <c r="D324" s="66" t="n"/>
      <c r="E324" s="68" t="n"/>
      <c r="F324" s="69" t="n"/>
      <c r="G324" s="70" t="n"/>
      <c r="H324" s="71" t="n"/>
      <c r="I324" s="66" t="n"/>
      <c r="J324" s="72" t="n"/>
      <c r="K324" s="73" t="n"/>
      <c r="L324" s="68" t="n"/>
      <c r="M324" s="74" t="str">
        <f>IF(AND(A324="",B324="",D324=""),"",MAX(N(J324),IF(A324="",0,SUMPRODUCT(MAX((in_plan=A324)*in_prev*in_dnum)))))</f>
        <v/>
      </c>
      <c r="N324" s="75" t="str">
        <f>IF(AND(A324="",B324="",D324=""),"",MAX(N(K324),IF(A324="",0,SUMPRODUCT(MAX((in_plan=A324)*in_prev*in_cnum)))))</f>
        <v/>
      </c>
      <c r="O324" s="76" t="str">
        <f>IF(AND(OR(E324="Calendrier",E324="Au premier des deux"),N(F324)&gt;0,IF(N(M324)&gt;0,M324,IFERROR(N(INDEX(eq_start,MATCH(B324,eq_code,0))),0))&gt;0),IF(N(M324)&gt;0,M324,IFERROR(N(INDEX(eq_start,MATCH(B324,eq_code,0))),0))+F324,"")</f>
        <v/>
      </c>
      <c r="P324" s="75" t="str">
        <f>IF(AND(OR(E324="Compteur",E324="Au premier des deux"),N(G324)&gt;0),N(N324)+G324,"")</f>
        <v/>
      </c>
      <c r="Q324" s="75" t="str">
        <f>IF(B324="","",IFERROR(N(INDEX(eq_cnt,MATCH(B324,eq_code,0))),""))</f>
        <v/>
      </c>
      <c r="R324" s="77" t="str">
        <f>IF(ISNUMBER(O324),O324-p_today,"")</f>
        <v/>
      </c>
      <c r="S324" s="78" t="str">
        <f>IF(AND(ISNUMBER(P324),N(Q324)&gt;0),P324-Q324,"")</f>
        <v/>
      </c>
      <c r="T324" s="76" t="str">
        <f>IF(AND(ISNUMBER(O324),ISNUMBER(X324)),MIN(O324,X324),IF(ISNUMBER(O324),O324,X324))</f>
        <v/>
      </c>
      <c r="U324" s="79" t="str">
        <f>IF(AND(A324="",B324="",D324=""),"",IF(L324="Non","Inactif",IF(AND(NOT(ISNUMBER(R324)),NOT(ISNUMBER(S324))),"À compléter",IF(OR(AND(ISNUMBER(R324),N(R324)&lt;0),AND(ISNUMBER(S324),N(S324)&lt;0)),"En retard",IF(OR(AND(ISNUMBER(R324),N(R324)&lt;=p_soon),AND(ISNUMBER(S324),N(S324)&lt;=p_soon_pct*N(G324))),"Bientôt","À jour")))))</f>
        <v/>
      </c>
      <c r="V324" s="79" t="str">
        <f>IF(AND(A324="",B324="",D324=""),"",IF(A324="","N° de plan manquant",IF(COUNTIF($A$6:$A$505,A324)&gt;1,"N° de plan en double",IF(B324="","Équipement manquant",IF(ISNA(MATCH(B324,eq_code,0)),"Équipement inconnu",IF(D324="","Tâche manquante",IF(E324="","Déclenchement manquant",IF(AND(E324&lt;&gt;"Calendrier",E324&lt;&gt;"Compteur",E324&lt;&gt;"Au premier des deux"),"Déclenchement inconnu",IF(AND(E324&lt;&gt;"Compteur",OR(NOT(ISNUMBER(F324)),N(F324)&lt;=0)),"Périodicité en jours manquante",IF(AND(E324&lt;&gt;"Calendrier",OR(NOT(ISNUMBER(G324)),N(G324)&lt;=0)),"Périodicité compteur manquante",IF(AND(J324&lt;&gt;"",OR(NOT(ISNUMBER(J324)),N(J324)&lt;=0)),"Date de réalisation invalide",IF(AND(K324&lt;&gt;"",OR(NOT(ISNUMBER(K324)),N(K324)&lt;0)),"Compteur de réalisation invalide",IF(AND(E324&lt;&gt;"Compteur",N(M324)=0,IFERROR(N(INDEX(eq_start,MATCH(B324,eq_code,0))),0)=0),"Date de départ manquante",IF(AND(E324&lt;&gt;"Calendrier",K324="",N(N324)=0),"Compteur de départ manquant",IF(AND(E324&lt;&gt;"Calendrier",N(Q324)=0),"Relevé compteur manquant (Équipements)",IF(AND(I324&lt;&gt;"",ISNA(MATCH(I324,tech_name,0))),"Technicien inconnu",IF(AND(L324&lt;&gt;"",L324&lt;&gt;"Oui",L324&lt;&gt;"Non"),"Actif : Oui ou Non","OK")))))))))))))))))</f>
        <v/>
      </c>
      <c r="W324" s="67">
        <f>IFERROR(N(INDEX(eq_use,MATCH(B324,eq_code,0))),0)</f>
        <v>0.0</v>
      </c>
      <c r="X324" s="67" t="str">
        <f>IF(AND(ISNUMBER(S324),W324&gt;0),p_today+MAX(0,ROUNDUP(S324*7/W324,0)),"")</f>
        <v/>
      </c>
      <c r="Y324" s="67" t="str">
        <f>IF(AND(ISNUMBER(T324),OR(U324="En retard",U324="Bientôt",U324="À jour")),IF(AND(ISNUMBER(O324),ISNUMBER(X324)),MIN(F324,G324*7/W324),IF(ISNUMBER(O324),F324,G324*7/W324)),"")</f>
        <v/>
      </c>
      <c r="Z324" s="67" t="str">
        <f>IF(OR(U324="En retard",U324="Bientôt"),IF(U324="En retard",0,1)*1000000000+IF(AB324="A",0,IF(AB324="B",1,IF(AB324="C",2,3)))*100000000+IF(ISNUMBER(T324),T324,p_today)*1000+ROW()-5,"")</f>
        <v/>
      </c>
      <c r="AA324" s="67" t="str">
        <f>IF(Z324="","",COUNTIF($Z$6:$Z$505,"&lt;"&amp;Z324)+1)</f>
        <v/>
      </c>
      <c r="AB324" s="67" t="str">
        <f>IFERROR(INDEX(eq_crit,MATCH(B324,eq_code,0))&amp;"","")</f>
        <v/>
      </c>
    </row>
    <row r="325">
      <c r="A325" s="65" t="n"/>
      <c r="B325" s="66" t="n"/>
      <c r="C325" s="67" t="str">
        <f>IF(B325="","",IFERROR(INDEX(eq_des,MATCH(B325,eq_code,0))&amp;"","Équipement inconnu"))</f>
        <v/>
      </c>
      <c r="D325" s="66" t="n"/>
      <c r="E325" s="68" t="n"/>
      <c r="F325" s="69" t="n"/>
      <c r="G325" s="70" t="n"/>
      <c r="H325" s="71" t="n"/>
      <c r="I325" s="66" t="n"/>
      <c r="J325" s="72" t="n"/>
      <c r="K325" s="73" t="n"/>
      <c r="L325" s="68" t="n"/>
      <c r="M325" s="74" t="str">
        <f>IF(AND(A325="",B325="",D325=""),"",MAX(N(J325),IF(A325="",0,SUMPRODUCT(MAX((in_plan=A325)*in_prev*in_dnum)))))</f>
        <v/>
      </c>
      <c r="N325" s="75" t="str">
        <f>IF(AND(A325="",B325="",D325=""),"",MAX(N(K325),IF(A325="",0,SUMPRODUCT(MAX((in_plan=A325)*in_prev*in_cnum)))))</f>
        <v/>
      </c>
      <c r="O325" s="76" t="str">
        <f>IF(AND(OR(E325="Calendrier",E325="Au premier des deux"),N(F325)&gt;0,IF(N(M325)&gt;0,M325,IFERROR(N(INDEX(eq_start,MATCH(B325,eq_code,0))),0))&gt;0),IF(N(M325)&gt;0,M325,IFERROR(N(INDEX(eq_start,MATCH(B325,eq_code,0))),0))+F325,"")</f>
        <v/>
      </c>
      <c r="P325" s="75" t="str">
        <f>IF(AND(OR(E325="Compteur",E325="Au premier des deux"),N(G325)&gt;0),N(N325)+G325,"")</f>
        <v/>
      </c>
      <c r="Q325" s="75" t="str">
        <f>IF(B325="","",IFERROR(N(INDEX(eq_cnt,MATCH(B325,eq_code,0))),""))</f>
        <v/>
      </c>
      <c r="R325" s="77" t="str">
        <f>IF(ISNUMBER(O325),O325-p_today,"")</f>
        <v/>
      </c>
      <c r="S325" s="78" t="str">
        <f>IF(AND(ISNUMBER(P325),N(Q325)&gt;0),P325-Q325,"")</f>
        <v/>
      </c>
      <c r="T325" s="76" t="str">
        <f>IF(AND(ISNUMBER(O325),ISNUMBER(X325)),MIN(O325,X325),IF(ISNUMBER(O325),O325,X325))</f>
        <v/>
      </c>
      <c r="U325" s="79" t="str">
        <f>IF(AND(A325="",B325="",D325=""),"",IF(L325="Non","Inactif",IF(AND(NOT(ISNUMBER(R325)),NOT(ISNUMBER(S325))),"À compléter",IF(OR(AND(ISNUMBER(R325),N(R325)&lt;0),AND(ISNUMBER(S325),N(S325)&lt;0)),"En retard",IF(OR(AND(ISNUMBER(R325),N(R325)&lt;=p_soon),AND(ISNUMBER(S325),N(S325)&lt;=p_soon_pct*N(G325))),"Bientôt","À jour")))))</f>
        <v/>
      </c>
      <c r="V325" s="79" t="str">
        <f>IF(AND(A325="",B325="",D325=""),"",IF(A325="","N° de plan manquant",IF(COUNTIF($A$6:$A$505,A325)&gt;1,"N° de plan en double",IF(B325="","Équipement manquant",IF(ISNA(MATCH(B325,eq_code,0)),"Équipement inconnu",IF(D325="","Tâche manquante",IF(E325="","Déclenchement manquant",IF(AND(E325&lt;&gt;"Calendrier",E325&lt;&gt;"Compteur",E325&lt;&gt;"Au premier des deux"),"Déclenchement inconnu",IF(AND(E325&lt;&gt;"Compteur",OR(NOT(ISNUMBER(F325)),N(F325)&lt;=0)),"Périodicité en jours manquante",IF(AND(E325&lt;&gt;"Calendrier",OR(NOT(ISNUMBER(G325)),N(G325)&lt;=0)),"Périodicité compteur manquante",IF(AND(J325&lt;&gt;"",OR(NOT(ISNUMBER(J325)),N(J325)&lt;=0)),"Date de réalisation invalide",IF(AND(K325&lt;&gt;"",OR(NOT(ISNUMBER(K325)),N(K325)&lt;0)),"Compteur de réalisation invalide",IF(AND(E325&lt;&gt;"Compteur",N(M325)=0,IFERROR(N(INDEX(eq_start,MATCH(B325,eq_code,0))),0)=0),"Date de départ manquante",IF(AND(E325&lt;&gt;"Calendrier",K325="",N(N325)=0),"Compteur de départ manquant",IF(AND(E325&lt;&gt;"Calendrier",N(Q325)=0),"Relevé compteur manquant (Équipements)",IF(AND(I325&lt;&gt;"",ISNA(MATCH(I325,tech_name,0))),"Technicien inconnu",IF(AND(L325&lt;&gt;"",L325&lt;&gt;"Oui",L325&lt;&gt;"Non"),"Actif : Oui ou Non","OK")))))))))))))))))</f>
        <v/>
      </c>
      <c r="W325" s="67">
        <f>IFERROR(N(INDEX(eq_use,MATCH(B325,eq_code,0))),0)</f>
        <v>0.0</v>
      </c>
      <c r="X325" s="67" t="str">
        <f>IF(AND(ISNUMBER(S325),W325&gt;0),p_today+MAX(0,ROUNDUP(S325*7/W325,0)),"")</f>
        <v/>
      </c>
      <c r="Y325" s="67" t="str">
        <f>IF(AND(ISNUMBER(T325),OR(U325="En retard",U325="Bientôt",U325="À jour")),IF(AND(ISNUMBER(O325),ISNUMBER(X325)),MIN(F325,G325*7/W325),IF(ISNUMBER(O325),F325,G325*7/W325)),"")</f>
        <v/>
      </c>
      <c r="Z325" s="67" t="str">
        <f>IF(OR(U325="En retard",U325="Bientôt"),IF(U325="En retard",0,1)*1000000000+IF(AB325="A",0,IF(AB325="B",1,IF(AB325="C",2,3)))*100000000+IF(ISNUMBER(T325),T325,p_today)*1000+ROW()-5,"")</f>
        <v/>
      </c>
      <c r="AA325" s="67" t="str">
        <f>IF(Z325="","",COUNTIF($Z$6:$Z$505,"&lt;"&amp;Z325)+1)</f>
        <v/>
      </c>
      <c r="AB325" s="67" t="str">
        <f>IFERROR(INDEX(eq_crit,MATCH(B325,eq_code,0))&amp;"","")</f>
        <v/>
      </c>
    </row>
    <row r="326">
      <c r="A326" s="65" t="n"/>
      <c r="B326" s="66" t="n"/>
      <c r="C326" s="67" t="str">
        <f>IF(B326="","",IFERROR(INDEX(eq_des,MATCH(B326,eq_code,0))&amp;"","Équipement inconnu"))</f>
        <v/>
      </c>
      <c r="D326" s="66" t="n"/>
      <c r="E326" s="68" t="n"/>
      <c r="F326" s="69" t="n"/>
      <c r="G326" s="70" t="n"/>
      <c r="H326" s="71" t="n"/>
      <c r="I326" s="66" t="n"/>
      <c r="J326" s="72" t="n"/>
      <c r="K326" s="73" t="n"/>
      <c r="L326" s="68" t="n"/>
      <c r="M326" s="74" t="str">
        <f>IF(AND(A326="",B326="",D326=""),"",MAX(N(J326),IF(A326="",0,SUMPRODUCT(MAX((in_plan=A326)*in_prev*in_dnum)))))</f>
        <v/>
      </c>
      <c r="N326" s="75" t="str">
        <f>IF(AND(A326="",B326="",D326=""),"",MAX(N(K326),IF(A326="",0,SUMPRODUCT(MAX((in_plan=A326)*in_prev*in_cnum)))))</f>
        <v/>
      </c>
      <c r="O326" s="76" t="str">
        <f>IF(AND(OR(E326="Calendrier",E326="Au premier des deux"),N(F326)&gt;0,IF(N(M326)&gt;0,M326,IFERROR(N(INDEX(eq_start,MATCH(B326,eq_code,0))),0))&gt;0),IF(N(M326)&gt;0,M326,IFERROR(N(INDEX(eq_start,MATCH(B326,eq_code,0))),0))+F326,"")</f>
        <v/>
      </c>
      <c r="P326" s="75" t="str">
        <f>IF(AND(OR(E326="Compteur",E326="Au premier des deux"),N(G326)&gt;0),N(N326)+G326,"")</f>
        <v/>
      </c>
      <c r="Q326" s="75" t="str">
        <f>IF(B326="","",IFERROR(N(INDEX(eq_cnt,MATCH(B326,eq_code,0))),""))</f>
        <v/>
      </c>
      <c r="R326" s="77" t="str">
        <f>IF(ISNUMBER(O326),O326-p_today,"")</f>
        <v/>
      </c>
      <c r="S326" s="78" t="str">
        <f>IF(AND(ISNUMBER(P326),N(Q326)&gt;0),P326-Q326,"")</f>
        <v/>
      </c>
      <c r="T326" s="76" t="str">
        <f>IF(AND(ISNUMBER(O326),ISNUMBER(X326)),MIN(O326,X326),IF(ISNUMBER(O326),O326,X326))</f>
        <v/>
      </c>
      <c r="U326" s="79" t="str">
        <f>IF(AND(A326="",B326="",D326=""),"",IF(L326="Non","Inactif",IF(AND(NOT(ISNUMBER(R326)),NOT(ISNUMBER(S326))),"À compléter",IF(OR(AND(ISNUMBER(R326),N(R326)&lt;0),AND(ISNUMBER(S326),N(S326)&lt;0)),"En retard",IF(OR(AND(ISNUMBER(R326),N(R326)&lt;=p_soon),AND(ISNUMBER(S326),N(S326)&lt;=p_soon_pct*N(G326))),"Bientôt","À jour")))))</f>
        <v/>
      </c>
      <c r="V326" s="79" t="str">
        <f>IF(AND(A326="",B326="",D326=""),"",IF(A326="","N° de plan manquant",IF(COUNTIF($A$6:$A$505,A326)&gt;1,"N° de plan en double",IF(B326="","Équipement manquant",IF(ISNA(MATCH(B326,eq_code,0)),"Équipement inconnu",IF(D326="","Tâche manquante",IF(E326="","Déclenchement manquant",IF(AND(E326&lt;&gt;"Calendrier",E326&lt;&gt;"Compteur",E326&lt;&gt;"Au premier des deux"),"Déclenchement inconnu",IF(AND(E326&lt;&gt;"Compteur",OR(NOT(ISNUMBER(F326)),N(F326)&lt;=0)),"Périodicité en jours manquante",IF(AND(E326&lt;&gt;"Calendrier",OR(NOT(ISNUMBER(G326)),N(G326)&lt;=0)),"Périodicité compteur manquante",IF(AND(J326&lt;&gt;"",OR(NOT(ISNUMBER(J326)),N(J326)&lt;=0)),"Date de réalisation invalide",IF(AND(K326&lt;&gt;"",OR(NOT(ISNUMBER(K326)),N(K326)&lt;0)),"Compteur de réalisation invalide",IF(AND(E326&lt;&gt;"Compteur",N(M326)=0,IFERROR(N(INDEX(eq_start,MATCH(B326,eq_code,0))),0)=0),"Date de départ manquante",IF(AND(E326&lt;&gt;"Calendrier",K326="",N(N326)=0),"Compteur de départ manquant",IF(AND(E326&lt;&gt;"Calendrier",N(Q326)=0),"Relevé compteur manquant (Équipements)",IF(AND(I326&lt;&gt;"",ISNA(MATCH(I326,tech_name,0))),"Technicien inconnu",IF(AND(L326&lt;&gt;"",L326&lt;&gt;"Oui",L326&lt;&gt;"Non"),"Actif : Oui ou Non","OK")))))))))))))))))</f>
        <v/>
      </c>
      <c r="W326" s="67">
        <f>IFERROR(N(INDEX(eq_use,MATCH(B326,eq_code,0))),0)</f>
        <v>0.0</v>
      </c>
      <c r="X326" s="67" t="str">
        <f>IF(AND(ISNUMBER(S326),W326&gt;0),p_today+MAX(0,ROUNDUP(S326*7/W326,0)),"")</f>
        <v/>
      </c>
      <c r="Y326" s="67" t="str">
        <f>IF(AND(ISNUMBER(T326),OR(U326="En retard",U326="Bientôt",U326="À jour")),IF(AND(ISNUMBER(O326),ISNUMBER(X326)),MIN(F326,G326*7/W326),IF(ISNUMBER(O326),F326,G326*7/W326)),"")</f>
        <v/>
      </c>
      <c r="Z326" s="67" t="str">
        <f>IF(OR(U326="En retard",U326="Bientôt"),IF(U326="En retard",0,1)*1000000000+IF(AB326="A",0,IF(AB326="B",1,IF(AB326="C",2,3)))*100000000+IF(ISNUMBER(T326),T326,p_today)*1000+ROW()-5,"")</f>
        <v/>
      </c>
      <c r="AA326" s="67" t="str">
        <f>IF(Z326="","",COUNTIF($Z$6:$Z$505,"&lt;"&amp;Z326)+1)</f>
        <v/>
      </c>
      <c r="AB326" s="67" t="str">
        <f>IFERROR(INDEX(eq_crit,MATCH(B326,eq_code,0))&amp;"","")</f>
        <v/>
      </c>
    </row>
    <row r="327">
      <c r="A327" s="65" t="n"/>
      <c r="B327" s="66" t="n"/>
      <c r="C327" s="67" t="str">
        <f>IF(B327="","",IFERROR(INDEX(eq_des,MATCH(B327,eq_code,0))&amp;"","Équipement inconnu"))</f>
        <v/>
      </c>
      <c r="D327" s="66" t="n"/>
      <c r="E327" s="68" t="n"/>
      <c r="F327" s="69" t="n"/>
      <c r="G327" s="70" t="n"/>
      <c r="H327" s="71" t="n"/>
      <c r="I327" s="66" t="n"/>
      <c r="J327" s="72" t="n"/>
      <c r="K327" s="73" t="n"/>
      <c r="L327" s="68" t="n"/>
      <c r="M327" s="74" t="str">
        <f>IF(AND(A327="",B327="",D327=""),"",MAX(N(J327),IF(A327="",0,SUMPRODUCT(MAX((in_plan=A327)*in_prev*in_dnum)))))</f>
        <v/>
      </c>
      <c r="N327" s="75" t="str">
        <f>IF(AND(A327="",B327="",D327=""),"",MAX(N(K327),IF(A327="",0,SUMPRODUCT(MAX((in_plan=A327)*in_prev*in_cnum)))))</f>
        <v/>
      </c>
      <c r="O327" s="76" t="str">
        <f>IF(AND(OR(E327="Calendrier",E327="Au premier des deux"),N(F327)&gt;0,IF(N(M327)&gt;0,M327,IFERROR(N(INDEX(eq_start,MATCH(B327,eq_code,0))),0))&gt;0),IF(N(M327)&gt;0,M327,IFERROR(N(INDEX(eq_start,MATCH(B327,eq_code,0))),0))+F327,"")</f>
        <v/>
      </c>
      <c r="P327" s="75" t="str">
        <f>IF(AND(OR(E327="Compteur",E327="Au premier des deux"),N(G327)&gt;0),N(N327)+G327,"")</f>
        <v/>
      </c>
      <c r="Q327" s="75" t="str">
        <f>IF(B327="","",IFERROR(N(INDEX(eq_cnt,MATCH(B327,eq_code,0))),""))</f>
        <v/>
      </c>
      <c r="R327" s="77" t="str">
        <f>IF(ISNUMBER(O327),O327-p_today,"")</f>
        <v/>
      </c>
      <c r="S327" s="78" t="str">
        <f>IF(AND(ISNUMBER(P327),N(Q327)&gt;0),P327-Q327,"")</f>
        <v/>
      </c>
      <c r="T327" s="76" t="str">
        <f>IF(AND(ISNUMBER(O327),ISNUMBER(X327)),MIN(O327,X327),IF(ISNUMBER(O327),O327,X327))</f>
        <v/>
      </c>
      <c r="U327" s="79" t="str">
        <f>IF(AND(A327="",B327="",D327=""),"",IF(L327="Non","Inactif",IF(AND(NOT(ISNUMBER(R327)),NOT(ISNUMBER(S327))),"À compléter",IF(OR(AND(ISNUMBER(R327),N(R327)&lt;0),AND(ISNUMBER(S327),N(S327)&lt;0)),"En retard",IF(OR(AND(ISNUMBER(R327),N(R327)&lt;=p_soon),AND(ISNUMBER(S327),N(S327)&lt;=p_soon_pct*N(G327))),"Bientôt","À jour")))))</f>
        <v/>
      </c>
      <c r="V327" s="79" t="str">
        <f>IF(AND(A327="",B327="",D327=""),"",IF(A327="","N° de plan manquant",IF(COUNTIF($A$6:$A$505,A327)&gt;1,"N° de plan en double",IF(B327="","Équipement manquant",IF(ISNA(MATCH(B327,eq_code,0)),"Équipement inconnu",IF(D327="","Tâche manquante",IF(E327="","Déclenchement manquant",IF(AND(E327&lt;&gt;"Calendrier",E327&lt;&gt;"Compteur",E327&lt;&gt;"Au premier des deux"),"Déclenchement inconnu",IF(AND(E327&lt;&gt;"Compteur",OR(NOT(ISNUMBER(F327)),N(F327)&lt;=0)),"Périodicité en jours manquante",IF(AND(E327&lt;&gt;"Calendrier",OR(NOT(ISNUMBER(G327)),N(G327)&lt;=0)),"Périodicité compteur manquante",IF(AND(J327&lt;&gt;"",OR(NOT(ISNUMBER(J327)),N(J327)&lt;=0)),"Date de réalisation invalide",IF(AND(K327&lt;&gt;"",OR(NOT(ISNUMBER(K327)),N(K327)&lt;0)),"Compteur de réalisation invalide",IF(AND(E327&lt;&gt;"Compteur",N(M327)=0,IFERROR(N(INDEX(eq_start,MATCH(B327,eq_code,0))),0)=0),"Date de départ manquante",IF(AND(E327&lt;&gt;"Calendrier",K327="",N(N327)=0),"Compteur de départ manquant",IF(AND(E327&lt;&gt;"Calendrier",N(Q327)=0),"Relevé compteur manquant (Équipements)",IF(AND(I327&lt;&gt;"",ISNA(MATCH(I327,tech_name,0))),"Technicien inconnu",IF(AND(L327&lt;&gt;"",L327&lt;&gt;"Oui",L327&lt;&gt;"Non"),"Actif : Oui ou Non","OK")))))))))))))))))</f>
        <v/>
      </c>
      <c r="W327" s="67">
        <f>IFERROR(N(INDEX(eq_use,MATCH(B327,eq_code,0))),0)</f>
        <v>0.0</v>
      </c>
      <c r="X327" s="67" t="str">
        <f>IF(AND(ISNUMBER(S327),W327&gt;0),p_today+MAX(0,ROUNDUP(S327*7/W327,0)),"")</f>
        <v/>
      </c>
      <c r="Y327" s="67" t="str">
        <f>IF(AND(ISNUMBER(T327),OR(U327="En retard",U327="Bientôt",U327="À jour")),IF(AND(ISNUMBER(O327),ISNUMBER(X327)),MIN(F327,G327*7/W327),IF(ISNUMBER(O327),F327,G327*7/W327)),"")</f>
        <v/>
      </c>
      <c r="Z327" s="67" t="str">
        <f>IF(OR(U327="En retard",U327="Bientôt"),IF(U327="En retard",0,1)*1000000000+IF(AB327="A",0,IF(AB327="B",1,IF(AB327="C",2,3)))*100000000+IF(ISNUMBER(T327),T327,p_today)*1000+ROW()-5,"")</f>
        <v/>
      </c>
      <c r="AA327" s="67" t="str">
        <f>IF(Z327="","",COUNTIF($Z$6:$Z$505,"&lt;"&amp;Z327)+1)</f>
        <v/>
      </c>
      <c r="AB327" s="67" t="str">
        <f>IFERROR(INDEX(eq_crit,MATCH(B327,eq_code,0))&amp;"","")</f>
        <v/>
      </c>
    </row>
    <row r="328">
      <c r="A328" s="65" t="n"/>
      <c r="B328" s="66" t="n"/>
      <c r="C328" s="67" t="str">
        <f>IF(B328="","",IFERROR(INDEX(eq_des,MATCH(B328,eq_code,0))&amp;"","Équipement inconnu"))</f>
        <v/>
      </c>
      <c r="D328" s="66" t="n"/>
      <c r="E328" s="68" t="n"/>
      <c r="F328" s="69" t="n"/>
      <c r="G328" s="70" t="n"/>
      <c r="H328" s="71" t="n"/>
      <c r="I328" s="66" t="n"/>
      <c r="J328" s="72" t="n"/>
      <c r="K328" s="73" t="n"/>
      <c r="L328" s="68" t="n"/>
      <c r="M328" s="74" t="str">
        <f>IF(AND(A328="",B328="",D328=""),"",MAX(N(J328),IF(A328="",0,SUMPRODUCT(MAX((in_plan=A328)*in_prev*in_dnum)))))</f>
        <v/>
      </c>
      <c r="N328" s="75" t="str">
        <f>IF(AND(A328="",B328="",D328=""),"",MAX(N(K328),IF(A328="",0,SUMPRODUCT(MAX((in_plan=A328)*in_prev*in_cnum)))))</f>
        <v/>
      </c>
      <c r="O328" s="76" t="str">
        <f>IF(AND(OR(E328="Calendrier",E328="Au premier des deux"),N(F328)&gt;0,IF(N(M328)&gt;0,M328,IFERROR(N(INDEX(eq_start,MATCH(B328,eq_code,0))),0))&gt;0),IF(N(M328)&gt;0,M328,IFERROR(N(INDEX(eq_start,MATCH(B328,eq_code,0))),0))+F328,"")</f>
        <v/>
      </c>
      <c r="P328" s="75" t="str">
        <f>IF(AND(OR(E328="Compteur",E328="Au premier des deux"),N(G328)&gt;0),N(N328)+G328,"")</f>
        <v/>
      </c>
      <c r="Q328" s="75" t="str">
        <f>IF(B328="","",IFERROR(N(INDEX(eq_cnt,MATCH(B328,eq_code,0))),""))</f>
        <v/>
      </c>
      <c r="R328" s="77" t="str">
        <f>IF(ISNUMBER(O328),O328-p_today,"")</f>
        <v/>
      </c>
      <c r="S328" s="78" t="str">
        <f>IF(AND(ISNUMBER(P328),N(Q328)&gt;0),P328-Q328,"")</f>
        <v/>
      </c>
      <c r="T328" s="76" t="str">
        <f>IF(AND(ISNUMBER(O328),ISNUMBER(X328)),MIN(O328,X328),IF(ISNUMBER(O328),O328,X328))</f>
        <v/>
      </c>
      <c r="U328" s="79" t="str">
        <f>IF(AND(A328="",B328="",D328=""),"",IF(L328="Non","Inactif",IF(AND(NOT(ISNUMBER(R328)),NOT(ISNUMBER(S328))),"À compléter",IF(OR(AND(ISNUMBER(R328),N(R328)&lt;0),AND(ISNUMBER(S328),N(S328)&lt;0)),"En retard",IF(OR(AND(ISNUMBER(R328),N(R328)&lt;=p_soon),AND(ISNUMBER(S328),N(S328)&lt;=p_soon_pct*N(G328))),"Bientôt","À jour")))))</f>
        <v/>
      </c>
      <c r="V328" s="79" t="str">
        <f>IF(AND(A328="",B328="",D328=""),"",IF(A328="","N° de plan manquant",IF(COUNTIF($A$6:$A$505,A328)&gt;1,"N° de plan en double",IF(B328="","Équipement manquant",IF(ISNA(MATCH(B328,eq_code,0)),"Équipement inconnu",IF(D328="","Tâche manquante",IF(E328="","Déclenchement manquant",IF(AND(E328&lt;&gt;"Calendrier",E328&lt;&gt;"Compteur",E328&lt;&gt;"Au premier des deux"),"Déclenchement inconnu",IF(AND(E328&lt;&gt;"Compteur",OR(NOT(ISNUMBER(F328)),N(F328)&lt;=0)),"Périodicité en jours manquante",IF(AND(E328&lt;&gt;"Calendrier",OR(NOT(ISNUMBER(G328)),N(G328)&lt;=0)),"Périodicité compteur manquante",IF(AND(J328&lt;&gt;"",OR(NOT(ISNUMBER(J328)),N(J328)&lt;=0)),"Date de réalisation invalide",IF(AND(K328&lt;&gt;"",OR(NOT(ISNUMBER(K328)),N(K328)&lt;0)),"Compteur de réalisation invalide",IF(AND(E328&lt;&gt;"Compteur",N(M328)=0,IFERROR(N(INDEX(eq_start,MATCH(B328,eq_code,0))),0)=0),"Date de départ manquante",IF(AND(E328&lt;&gt;"Calendrier",K328="",N(N328)=0),"Compteur de départ manquant",IF(AND(E328&lt;&gt;"Calendrier",N(Q328)=0),"Relevé compteur manquant (Équipements)",IF(AND(I328&lt;&gt;"",ISNA(MATCH(I328,tech_name,0))),"Technicien inconnu",IF(AND(L328&lt;&gt;"",L328&lt;&gt;"Oui",L328&lt;&gt;"Non"),"Actif : Oui ou Non","OK")))))))))))))))))</f>
        <v/>
      </c>
      <c r="W328" s="67">
        <f>IFERROR(N(INDEX(eq_use,MATCH(B328,eq_code,0))),0)</f>
        <v>0.0</v>
      </c>
      <c r="X328" s="67" t="str">
        <f>IF(AND(ISNUMBER(S328),W328&gt;0),p_today+MAX(0,ROUNDUP(S328*7/W328,0)),"")</f>
        <v/>
      </c>
      <c r="Y328" s="67" t="str">
        <f>IF(AND(ISNUMBER(T328),OR(U328="En retard",U328="Bientôt",U328="À jour")),IF(AND(ISNUMBER(O328),ISNUMBER(X328)),MIN(F328,G328*7/W328),IF(ISNUMBER(O328),F328,G328*7/W328)),"")</f>
        <v/>
      </c>
      <c r="Z328" s="67" t="str">
        <f>IF(OR(U328="En retard",U328="Bientôt"),IF(U328="En retard",0,1)*1000000000+IF(AB328="A",0,IF(AB328="B",1,IF(AB328="C",2,3)))*100000000+IF(ISNUMBER(T328),T328,p_today)*1000+ROW()-5,"")</f>
        <v/>
      </c>
      <c r="AA328" s="67" t="str">
        <f>IF(Z328="","",COUNTIF($Z$6:$Z$505,"&lt;"&amp;Z328)+1)</f>
        <v/>
      </c>
      <c r="AB328" s="67" t="str">
        <f>IFERROR(INDEX(eq_crit,MATCH(B328,eq_code,0))&amp;"","")</f>
        <v/>
      </c>
    </row>
    <row r="329">
      <c r="A329" s="65" t="n"/>
      <c r="B329" s="66" t="n"/>
      <c r="C329" s="67" t="str">
        <f>IF(B329="","",IFERROR(INDEX(eq_des,MATCH(B329,eq_code,0))&amp;"","Équipement inconnu"))</f>
        <v/>
      </c>
      <c r="D329" s="66" t="n"/>
      <c r="E329" s="68" t="n"/>
      <c r="F329" s="69" t="n"/>
      <c r="G329" s="70" t="n"/>
      <c r="H329" s="71" t="n"/>
      <c r="I329" s="66" t="n"/>
      <c r="J329" s="72" t="n"/>
      <c r="K329" s="73" t="n"/>
      <c r="L329" s="68" t="n"/>
      <c r="M329" s="74" t="str">
        <f>IF(AND(A329="",B329="",D329=""),"",MAX(N(J329),IF(A329="",0,SUMPRODUCT(MAX((in_plan=A329)*in_prev*in_dnum)))))</f>
        <v/>
      </c>
      <c r="N329" s="75" t="str">
        <f>IF(AND(A329="",B329="",D329=""),"",MAX(N(K329),IF(A329="",0,SUMPRODUCT(MAX((in_plan=A329)*in_prev*in_cnum)))))</f>
        <v/>
      </c>
      <c r="O329" s="76" t="str">
        <f>IF(AND(OR(E329="Calendrier",E329="Au premier des deux"),N(F329)&gt;0,IF(N(M329)&gt;0,M329,IFERROR(N(INDEX(eq_start,MATCH(B329,eq_code,0))),0))&gt;0),IF(N(M329)&gt;0,M329,IFERROR(N(INDEX(eq_start,MATCH(B329,eq_code,0))),0))+F329,"")</f>
        <v/>
      </c>
      <c r="P329" s="75" t="str">
        <f>IF(AND(OR(E329="Compteur",E329="Au premier des deux"),N(G329)&gt;0),N(N329)+G329,"")</f>
        <v/>
      </c>
      <c r="Q329" s="75" t="str">
        <f>IF(B329="","",IFERROR(N(INDEX(eq_cnt,MATCH(B329,eq_code,0))),""))</f>
        <v/>
      </c>
      <c r="R329" s="77" t="str">
        <f>IF(ISNUMBER(O329),O329-p_today,"")</f>
        <v/>
      </c>
      <c r="S329" s="78" t="str">
        <f>IF(AND(ISNUMBER(P329),N(Q329)&gt;0),P329-Q329,"")</f>
        <v/>
      </c>
      <c r="T329" s="76" t="str">
        <f>IF(AND(ISNUMBER(O329),ISNUMBER(X329)),MIN(O329,X329),IF(ISNUMBER(O329),O329,X329))</f>
        <v/>
      </c>
      <c r="U329" s="79" t="str">
        <f>IF(AND(A329="",B329="",D329=""),"",IF(L329="Non","Inactif",IF(AND(NOT(ISNUMBER(R329)),NOT(ISNUMBER(S329))),"À compléter",IF(OR(AND(ISNUMBER(R329),N(R329)&lt;0),AND(ISNUMBER(S329),N(S329)&lt;0)),"En retard",IF(OR(AND(ISNUMBER(R329),N(R329)&lt;=p_soon),AND(ISNUMBER(S329),N(S329)&lt;=p_soon_pct*N(G329))),"Bientôt","À jour")))))</f>
        <v/>
      </c>
      <c r="V329" s="79" t="str">
        <f>IF(AND(A329="",B329="",D329=""),"",IF(A329="","N° de plan manquant",IF(COUNTIF($A$6:$A$505,A329)&gt;1,"N° de plan en double",IF(B329="","Équipement manquant",IF(ISNA(MATCH(B329,eq_code,0)),"Équipement inconnu",IF(D329="","Tâche manquante",IF(E329="","Déclenchement manquant",IF(AND(E329&lt;&gt;"Calendrier",E329&lt;&gt;"Compteur",E329&lt;&gt;"Au premier des deux"),"Déclenchement inconnu",IF(AND(E329&lt;&gt;"Compteur",OR(NOT(ISNUMBER(F329)),N(F329)&lt;=0)),"Périodicité en jours manquante",IF(AND(E329&lt;&gt;"Calendrier",OR(NOT(ISNUMBER(G329)),N(G329)&lt;=0)),"Périodicité compteur manquante",IF(AND(J329&lt;&gt;"",OR(NOT(ISNUMBER(J329)),N(J329)&lt;=0)),"Date de réalisation invalide",IF(AND(K329&lt;&gt;"",OR(NOT(ISNUMBER(K329)),N(K329)&lt;0)),"Compteur de réalisation invalide",IF(AND(E329&lt;&gt;"Compteur",N(M329)=0,IFERROR(N(INDEX(eq_start,MATCH(B329,eq_code,0))),0)=0),"Date de départ manquante",IF(AND(E329&lt;&gt;"Calendrier",K329="",N(N329)=0),"Compteur de départ manquant",IF(AND(E329&lt;&gt;"Calendrier",N(Q329)=0),"Relevé compteur manquant (Équipements)",IF(AND(I329&lt;&gt;"",ISNA(MATCH(I329,tech_name,0))),"Technicien inconnu",IF(AND(L329&lt;&gt;"",L329&lt;&gt;"Oui",L329&lt;&gt;"Non"),"Actif : Oui ou Non","OK")))))))))))))))))</f>
        <v/>
      </c>
      <c r="W329" s="67">
        <f>IFERROR(N(INDEX(eq_use,MATCH(B329,eq_code,0))),0)</f>
        <v>0.0</v>
      </c>
      <c r="X329" s="67" t="str">
        <f>IF(AND(ISNUMBER(S329),W329&gt;0),p_today+MAX(0,ROUNDUP(S329*7/W329,0)),"")</f>
        <v/>
      </c>
      <c r="Y329" s="67" t="str">
        <f>IF(AND(ISNUMBER(T329),OR(U329="En retard",U329="Bientôt",U329="À jour")),IF(AND(ISNUMBER(O329),ISNUMBER(X329)),MIN(F329,G329*7/W329),IF(ISNUMBER(O329),F329,G329*7/W329)),"")</f>
        <v/>
      </c>
      <c r="Z329" s="67" t="str">
        <f>IF(OR(U329="En retard",U329="Bientôt"),IF(U329="En retard",0,1)*1000000000+IF(AB329="A",0,IF(AB329="B",1,IF(AB329="C",2,3)))*100000000+IF(ISNUMBER(T329),T329,p_today)*1000+ROW()-5,"")</f>
        <v/>
      </c>
      <c r="AA329" s="67" t="str">
        <f>IF(Z329="","",COUNTIF($Z$6:$Z$505,"&lt;"&amp;Z329)+1)</f>
        <v/>
      </c>
      <c r="AB329" s="67" t="str">
        <f>IFERROR(INDEX(eq_crit,MATCH(B329,eq_code,0))&amp;"","")</f>
        <v/>
      </c>
    </row>
    <row r="330">
      <c r="A330" s="65" t="n"/>
      <c r="B330" s="66" t="n"/>
      <c r="C330" s="67" t="str">
        <f>IF(B330="","",IFERROR(INDEX(eq_des,MATCH(B330,eq_code,0))&amp;"","Équipement inconnu"))</f>
        <v/>
      </c>
      <c r="D330" s="66" t="n"/>
      <c r="E330" s="68" t="n"/>
      <c r="F330" s="69" t="n"/>
      <c r="G330" s="70" t="n"/>
      <c r="H330" s="71" t="n"/>
      <c r="I330" s="66" t="n"/>
      <c r="J330" s="72" t="n"/>
      <c r="K330" s="73" t="n"/>
      <c r="L330" s="68" t="n"/>
      <c r="M330" s="74" t="str">
        <f>IF(AND(A330="",B330="",D330=""),"",MAX(N(J330),IF(A330="",0,SUMPRODUCT(MAX((in_plan=A330)*in_prev*in_dnum)))))</f>
        <v/>
      </c>
      <c r="N330" s="75" t="str">
        <f>IF(AND(A330="",B330="",D330=""),"",MAX(N(K330),IF(A330="",0,SUMPRODUCT(MAX((in_plan=A330)*in_prev*in_cnum)))))</f>
        <v/>
      </c>
      <c r="O330" s="76" t="str">
        <f>IF(AND(OR(E330="Calendrier",E330="Au premier des deux"),N(F330)&gt;0,IF(N(M330)&gt;0,M330,IFERROR(N(INDEX(eq_start,MATCH(B330,eq_code,0))),0))&gt;0),IF(N(M330)&gt;0,M330,IFERROR(N(INDEX(eq_start,MATCH(B330,eq_code,0))),0))+F330,"")</f>
        <v/>
      </c>
      <c r="P330" s="75" t="str">
        <f>IF(AND(OR(E330="Compteur",E330="Au premier des deux"),N(G330)&gt;0),N(N330)+G330,"")</f>
        <v/>
      </c>
      <c r="Q330" s="75" t="str">
        <f>IF(B330="","",IFERROR(N(INDEX(eq_cnt,MATCH(B330,eq_code,0))),""))</f>
        <v/>
      </c>
      <c r="R330" s="77" t="str">
        <f>IF(ISNUMBER(O330),O330-p_today,"")</f>
        <v/>
      </c>
      <c r="S330" s="78" t="str">
        <f>IF(AND(ISNUMBER(P330),N(Q330)&gt;0),P330-Q330,"")</f>
        <v/>
      </c>
      <c r="T330" s="76" t="str">
        <f>IF(AND(ISNUMBER(O330),ISNUMBER(X330)),MIN(O330,X330),IF(ISNUMBER(O330),O330,X330))</f>
        <v/>
      </c>
      <c r="U330" s="79" t="str">
        <f>IF(AND(A330="",B330="",D330=""),"",IF(L330="Non","Inactif",IF(AND(NOT(ISNUMBER(R330)),NOT(ISNUMBER(S330))),"À compléter",IF(OR(AND(ISNUMBER(R330),N(R330)&lt;0),AND(ISNUMBER(S330),N(S330)&lt;0)),"En retard",IF(OR(AND(ISNUMBER(R330),N(R330)&lt;=p_soon),AND(ISNUMBER(S330),N(S330)&lt;=p_soon_pct*N(G330))),"Bientôt","À jour")))))</f>
        <v/>
      </c>
      <c r="V330" s="79" t="str">
        <f>IF(AND(A330="",B330="",D330=""),"",IF(A330="","N° de plan manquant",IF(COUNTIF($A$6:$A$505,A330)&gt;1,"N° de plan en double",IF(B330="","Équipement manquant",IF(ISNA(MATCH(B330,eq_code,0)),"Équipement inconnu",IF(D330="","Tâche manquante",IF(E330="","Déclenchement manquant",IF(AND(E330&lt;&gt;"Calendrier",E330&lt;&gt;"Compteur",E330&lt;&gt;"Au premier des deux"),"Déclenchement inconnu",IF(AND(E330&lt;&gt;"Compteur",OR(NOT(ISNUMBER(F330)),N(F330)&lt;=0)),"Périodicité en jours manquante",IF(AND(E330&lt;&gt;"Calendrier",OR(NOT(ISNUMBER(G330)),N(G330)&lt;=0)),"Périodicité compteur manquante",IF(AND(J330&lt;&gt;"",OR(NOT(ISNUMBER(J330)),N(J330)&lt;=0)),"Date de réalisation invalide",IF(AND(K330&lt;&gt;"",OR(NOT(ISNUMBER(K330)),N(K330)&lt;0)),"Compteur de réalisation invalide",IF(AND(E330&lt;&gt;"Compteur",N(M330)=0,IFERROR(N(INDEX(eq_start,MATCH(B330,eq_code,0))),0)=0),"Date de départ manquante",IF(AND(E330&lt;&gt;"Calendrier",K330="",N(N330)=0),"Compteur de départ manquant",IF(AND(E330&lt;&gt;"Calendrier",N(Q330)=0),"Relevé compteur manquant (Équipements)",IF(AND(I330&lt;&gt;"",ISNA(MATCH(I330,tech_name,0))),"Technicien inconnu",IF(AND(L330&lt;&gt;"",L330&lt;&gt;"Oui",L330&lt;&gt;"Non"),"Actif : Oui ou Non","OK")))))))))))))))))</f>
        <v/>
      </c>
      <c r="W330" s="67">
        <f>IFERROR(N(INDEX(eq_use,MATCH(B330,eq_code,0))),0)</f>
        <v>0.0</v>
      </c>
      <c r="X330" s="67" t="str">
        <f>IF(AND(ISNUMBER(S330),W330&gt;0),p_today+MAX(0,ROUNDUP(S330*7/W330,0)),"")</f>
        <v/>
      </c>
      <c r="Y330" s="67" t="str">
        <f>IF(AND(ISNUMBER(T330),OR(U330="En retard",U330="Bientôt",U330="À jour")),IF(AND(ISNUMBER(O330),ISNUMBER(X330)),MIN(F330,G330*7/W330),IF(ISNUMBER(O330),F330,G330*7/W330)),"")</f>
        <v/>
      </c>
      <c r="Z330" s="67" t="str">
        <f>IF(OR(U330="En retard",U330="Bientôt"),IF(U330="En retard",0,1)*1000000000+IF(AB330="A",0,IF(AB330="B",1,IF(AB330="C",2,3)))*100000000+IF(ISNUMBER(T330),T330,p_today)*1000+ROW()-5,"")</f>
        <v/>
      </c>
      <c r="AA330" s="67" t="str">
        <f>IF(Z330="","",COUNTIF($Z$6:$Z$505,"&lt;"&amp;Z330)+1)</f>
        <v/>
      </c>
      <c r="AB330" s="67" t="str">
        <f>IFERROR(INDEX(eq_crit,MATCH(B330,eq_code,0))&amp;"","")</f>
        <v/>
      </c>
    </row>
    <row r="331">
      <c r="A331" s="65" t="n"/>
      <c r="B331" s="66" t="n"/>
      <c r="C331" s="67" t="str">
        <f>IF(B331="","",IFERROR(INDEX(eq_des,MATCH(B331,eq_code,0))&amp;"","Équipement inconnu"))</f>
        <v/>
      </c>
      <c r="D331" s="66" t="n"/>
      <c r="E331" s="68" t="n"/>
      <c r="F331" s="69" t="n"/>
      <c r="G331" s="70" t="n"/>
      <c r="H331" s="71" t="n"/>
      <c r="I331" s="66" t="n"/>
      <c r="J331" s="72" t="n"/>
      <c r="K331" s="73" t="n"/>
      <c r="L331" s="68" t="n"/>
      <c r="M331" s="74" t="str">
        <f>IF(AND(A331="",B331="",D331=""),"",MAX(N(J331),IF(A331="",0,SUMPRODUCT(MAX((in_plan=A331)*in_prev*in_dnum)))))</f>
        <v/>
      </c>
      <c r="N331" s="75" t="str">
        <f>IF(AND(A331="",B331="",D331=""),"",MAX(N(K331),IF(A331="",0,SUMPRODUCT(MAX((in_plan=A331)*in_prev*in_cnum)))))</f>
        <v/>
      </c>
      <c r="O331" s="76" t="str">
        <f>IF(AND(OR(E331="Calendrier",E331="Au premier des deux"),N(F331)&gt;0,IF(N(M331)&gt;0,M331,IFERROR(N(INDEX(eq_start,MATCH(B331,eq_code,0))),0))&gt;0),IF(N(M331)&gt;0,M331,IFERROR(N(INDEX(eq_start,MATCH(B331,eq_code,0))),0))+F331,"")</f>
        <v/>
      </c>
      <c r="P331" s="75" t="str">
        <f>IF(AND(OR(E331="Compteur",E331="Au premier des deux"),N(G331)&gt;0),N(N331)+G331,"")</f>
        <v/>
      </c>
      <c r="Q331" s="75" t="str">
        <f>IF(B331="","",IFERROR(N(INDEX(eq_cnt,MATCH(B331,eq_code,0))),""))</f>
        <v/>
      </c>
      <c r="R331" s="77" t="str">
        <f>IF(ISNUMBER(O331),O331-p_today,"")</f>
        <v/>
      </c>
      <c r="S331" s="78" t="str">
        <f>IF(AND(ISNUMBER(P331),N(Q331)&gt;0),P331-Q331,"")</f>
        <v/>
      </c>
      <c r="T331" s="76" t="str">
        <f>IF(AND(ISNUMBER(O331),ISNUMBER(X331)),MIN(O331,X331),IF(ISNUMBER(O331),O331,X331))</f>
        <v/>
      </c>
      <c r="U331" s="79" t="str">
        <f>IF(AND(A331="",B331="",D331=""),"",IF(L331="Non","Inactif",IF(AND(NOT(ISNUMBER(R331)),NOT(ISNUMBER(S331))),"À compléter",IF(OR(AND(ISNUMBER(R331),N(R331)&lt;0),AND(ISNUMBER(S331),N(S331)&lt;0)),"En retard",IF(OR(AND(ISNUMBER(R331),N(R331)&lt;=p_soon),AND(ISNUMBER(S331),N(S331)&lt;=p_soon_pct*N(G331))),"Bientôt","À jour")))))</f>
        <v/>
      </c>
      <c r="V331" s="79" t="str">
        <f>IF(AND(A331="",B331="",D331=""),"",IF(A331="","N° de plan manquant",IF(COUNTIF($A$6:$A$505,A331)&gt;1,"N° de plan en double",IF(B331="","Équipement manquant",IF(ISNA(MATCH(B331,eq_code,0)),"Équipement inconnu",IF(D331="","Tâche manquante",IF(E331="","Déclenchement manquant",IF(AND(E331&lt;&gt;"Calendrier",E331&lt;&gt;"Compteur",E331&lt;&gt;"Au premier des deux"),"Déclenchement inconnu",IF(AND(E331&lt;&gt;"Compteur",OR(NOT(ISNUMBER(F331)),N(F331)&lt;=0)),"Périodicité en jours manquante",IF(AND(E331&lt;&gt;"Calendrier",OR(NOT(ISNUMBER(G331)),N(G331)&lt;=0)),"Périodicité compteur manquante",IF(AND(J331&lt;&gt;"",OR(NOT(ISNUMBER(J331)),N(J331)&lt;=0)),"Date de réalisation invalide",IF(AND(K331&lt;&gt;"",OR(NOT(ISNUMBER(K331)),N(K331)&lt;0)),"Compteur de réalisation invalide",IF(AND(E331&lt;&gt;"Compteur",N(M331)=0,IFERROR(N(INDEX(eq_start,MATCH(B331,eq_code,0))),0)=0),"Date de départ manquante",IF(AND(E331&lt;&gt;"Calendrier",K331="",N(N331)=0),"Compteur de départ manquant",IF(AND(E331&lt;&gt;"Calendrier",N(Q331)=0),"Relevé compteur manquant (Équipements)",IF(AND(I331&lt;&gt;"",ISNA(MATCH(I331,tech_name,0))),"Technicien inconnu",IF(AND(L331&lt;&gt;"",L331&lt;&gt;"Oui",L331&lt;&gt;"Non"),"Actif : Oui ou Non","OK")))))))))))))))))</f>
        <v/>
      </c>
      <c r="W331" s="67">
        <f>IFERROR(N(INDEX(eq_use,MATCH(B331,eq_code,0))),0)</f>
        <v>0.0</v>
      </c>
      <c r="X331" s="67" t="str">
        <f>IF(AND(ISNUMBER(S331),W331&gt;0),p_today+MAX(0,ROUNDUP(S331*7/W331,0)),"")</f>
        <v/>
      </c>
      <c r="Y331" s="67" t="str">
        <f>IF(AND(ISNUMBER(T331),OR(U331="En retard",U331="Bientôt",U331="À jour")),IF(AND(ISNUMBER(O331),ISNUMBER(X331)),MIN(F331,G331*7/W331),IF(ISNUMBER(O331),F331,G331*7/W331)),"")</f>
        <v/>
      </c>
      <c r="Z331" s="67" t="str">
        <f>IF(OR(U331="En retard",U331="Bientôt"),IF(U331="En retard",0,1)*1000000000+IF(AB331="A",0,IF(AB331="B",1,IF(AB331="C",2,3)))*100000000+IF(ISNUMBER(T331),T331,p_today)*1000+ROW()-5,"")</f>
        <v/>
      </c>
      <c r="AA331" s="67" t="str">
        <f>IF(Z331="","",COUNTIF($Z$6:$Z$505,"&lt;"&amp;Z331)+1)</f>
        <v/>
      </c>
      <c r="AB331" s="67" t="str">
        <f>IFERROR(INDEX(eq_crit,MATCH(B331,eq_code,0))&amp;"","")</f>
        <v/>
      </c>
    </row>
    <row r="332">
      <c r="A332" s="65" t="n"/>
      <c r="B332" s="66" t="n"/>
      <c r="C332" s="67" t="str">
        <f>IF(B332="","",IFERROR(INDEX(eq_des,MATCH(B332,eq_code,0))&amp;"","Équipement inconnu"))</f>
        <v/>
      </c>
      <c r="D332" s="66" t="n"/>
      <c r="E332" s="68" t="n"/>
      <c r="F332" s="69" t="n"/>
      <c r="G332" s="70" t="n"/>
      <c r="H332" s="71" t="n"/>
      <c r="I332" s="66" t="n"/>
      <c r="J332" s="72" t="n"/>
      <c r="K332" s="73" t="n"/>
      <c r="L332" s="68" t="n"/>
      <c r="M332" s="74" t="str">
        <f>IF(AND(A332="",B332="",D332=""),"",MAX(N(J332),IF(A332="",0,SUMPRODUCT(MAX((in_plan=A332)*in_prev*in_dnum)))))</f>
        <v/>
      </c>
      <c r="N332" s="75" t="str">
        <f>IF(AND(A332="",B332="",D332=""),"",MAX(N(K332),IF(A332="",0,SUMPRODUCT(MAX((in_plan=A332)*in_prev*in_cnum)))))</f>
        <v/>
      </c>
      <c r="O332" s="76" t="str">
        <f>IF(AND(OR(E332="Calendrier",E332="Au premier des deux"),N(F332)&gt;0,IF(N(M332)&gt;0,M332,IFERROR(N(INDEX(eq_start,MATCH(B332,eq_code,0))),0))&gt;0),IF(N(M332)&gt;0,M332,IFERROR(N(INDEX(eq_start,MATCH(B332,eq_code,0))),0))+F332,"")</f>
        <v/>
      </c>
      <c r="P332" s="75" t="str">
        <f>IF(AND(OR(E332="Compteur",E332="Au premier des deux"),N(G332)&gt;0),N(N332)+G332,"")</f>
        <v/>
      </c>
      <c r="Q332" s="75" t="str">
        <f>IF(B332="","",IFERROR(N(INDEX(eq_cnt,MATCH(B332,eq_code,0))),""))</f>
        <v/>
      </c>
      <c r="R332" s="77" t="str">
        <f>IF(ISNUMBER(O332),O332-p_today,"")</f>
        <v/>
      </c>
      <c r="S332" s="78" t="str">
        <f>IF(AND(ISNUMBER(P332),N(Q332)&gt;0),P332-Q332,"")</f>
        <v/>
      </c>
      <c r="T332" s="76" t="str">
        <f>IF(AND(ISNUMBER(O332),ISNUMBER(X332)),MIN(O332,X332),IF(ISNUMBER(O332),O332,X332))</f>
        <v/>
      </c>
      <c r="U332" s="79" t="str">
        <f>IF(AND(A332="",B332="",D332=""),"",IF(L332="Non","Inactif",IF(AND(NOT(ISNUMBER(R332)),NOT(ISNUMBER(S332))),"À compléter",IF(OR(AND(ISNUMBER(R332),N(R332)&lt;0),AND(ISNUMBER(S332),N(S332)&lt;0)),"En retard",IF(OR(AND(ISNUMBER(R332),N(R332)&lt;=p_soon),AND(ISNUMBER(S332),N(S332)&lt;=p_soon_pct*N(G332))),"Bientôt","À jour")))))</f>
        <v/>
      </c>
      <c r="V332" s="79" t="str">
        <f>IF(AND(A332="",B332="",D332=""),"",IF(A332="","N° de plan manquant",IF(COUNTIF($A$6:$A$505,A332)&gt;1,"N° de plan en double",IF(B332="","Équipement manquant",IF(ISNA(MATCH(B332,eq_code,0)),"Équipement inconnu",IF(D332="","Tâche manquante",IF(E332="","Déclenchement manquant",IF(AND(E332&lt;&gt;"Calendrier",E332&lt;&gt;"Compteur",E332&lt;&gt;"Au premier des deux"),"Déclenchement inconnu",IF(AND(E332&lt;&gt;"Compteur",OR(NOT(ISNUMBER(F332)),N(F332)&lt;=0)),"Périodicité en jours manquante",IF(AND(E332&lt;&gt;"Calendrier",OR(NOT(ISNUMBER(G332)),N(G332)&lt;=0)),"Périodicité compteur manquante",IF(AND(J332&lt;&gt;"",OR(NOT(ISNUMBER(J332)),N(J332)&lt;=0)),"Date de réalisation invalide",IF(AND(K332&lt;&gt;"",OR(NOT(ISNUMBER(K332)),N(K332)&lt;0)),"Compteur de réalisation invalide",IF(AND(E332&lt;&gt;"Compteur",N(M332)=0,IFERROR(N(INDEX(eq_start,MATCH(B332,eq_code,0))),0)=0),"Date de départ manquante",IF(AND(E332&lt;&gt;"Calendrier",K332="",N(N332)=0),"Compteur de départ manquant",IF(AND(E332&lt;&gt;"Calendrier",N(Q332)=0),"Relevé compteur manquant (Équipements)",IF(AND(I332&lt;&gt;"",ISNA(MATCH(I332,tech_name,0))),"Technicien inconnu",IF(AND(L332&lt;&gt;"",L332&lt;&gt;"Oui",L332&lt;&gt;"Non"),"Actif : Oui ou Non","OK")))))))))))))))))</f>
        <v/>
      </c>
      <c r="W332" s="67">
        <f>IFERROR(N(INDEX(eq_use,MATCH(B332,eq_code,0))),0)</f>
        <v>0.0</v>
      </c>
      <c r="X332" s="67" t="str">
        <f>IF(AND(ISNUMBER(S332),W332&gt;0),p_today+MAX(0,ROUNDUP(S332*7/W332,0)),"")</f>
        <v/>
      </c>
      <c r="Y332" s="67" t="str">
        <f>IF(AND(ISNUMBER(T332),OR(U332="En retard",U332="Bientôt",U332="À jour")),IF(AND(ISNUMBER(O332),ISNUMBER(X332)),MIN(F332,G332*7/W332),IF(ISNUMBER(O332),F332,G332*7/W332)),"")</f>
        <v/>
      </c>
      <c r="Z332" s="67" t="str">
        <f>IF(OR(U332="En retard",U332="Bientôt"),IF(U332="En retard",0,1)*1000000000+IF(AB332="A",0,IF(AB332="B",1,IF(AB332="C",2,3)))*100000000+IF(ISNUMBER(T332),T332,p_today)*1000+ROW()-5,"")</f>
        <v/>
      </c>
      <c r="AA332" s="67" t="str">
        <f>IF(Z332="","",COUNTIF($Z$6:$Z$505,"&lt;"&amp;Z332)+1)</f>
        <v/>
      </c>
      <c r="AB332" s="67" t="str">
        <f>IFERROR(INDEX(eq_crit,MATCH(B332,eq_code,0))&amp;"","")</f>
        <v/>
      </c>
    </row>
    <row r="333">
      <c r="A333" s="65" t="n"/>
      <c r="B333" s="66" t="n"/>
      <c r="C333" s="67" t="str">
        <f>IF(B333="","",IFERROR(INDEX(eq_des,MATCH(B333,eq_code,0))&amp;"","Équipement inconnu"))</f>
        <v/>
      </c>
      <c r="D333" s="66" t="n"/>
      <c r="E333" s="68" t="n"/>
      <c r="F333" s="69" t="n"/>
      <c r="G333" s="70" t="n"/>
      <c r="H333" s="71" t="n"/>
      <c r="I333" s="66" t="n"/>
      <c r="J333" s="72" t="n"/>
      <c r="K333" s="73" t="n"/>
      <c r="L333" s="68" t="n"/>
      <c r="M333" s="74" t="str">
        <f>IF(AND(A333="",B333="",D333=""),"",MAX(N(J333),IF(A333="",0,SUMPRODUCT(MAX((in_plan=A333)*in_prev*in_dnum)))))</f>
        <v/>
      </c>
      <c r="N333" s="75" t="str">
        <f>IF(AND(A333="",B333="",D333=""),"",MAX(N(K333),IF(A333="",0,SUMPRODUCT(MAX((in_plan=A333)*in_prev*in_cnum)))))</f>
        <v/>
      </c>
      <c r="O333" s="76" t="str">
        <f>IF(AND(OR(E333="Calendrier",E333="Au premier des deux"),N(F333)&gt;0,IF(N(M333)&gt;0,M333,IFERROR(N(INDEX(eq_start,MATCH(B333,eq_code,0))),0))&gt;0),IF(N(M333)&gt;0,M333,IFERROR(N(INDEX(eq_start,MATCH(B333,eq_code,0))),0))+F333,"")</f>
        <v/>
      </c>
      <c r="P333" s="75" t="str">
        <f>IF(AND(OR(E333="Compteur",E333="Au premier des deux"),N(G333)&gt;0),N(N333)+G333,"")</f>
        <v/>
      </c>
      <c r="Q333" s="75" t="str">
        <f>IF(B333="","",IFERROR(N(INDEX(eq_cnt,MATCH(B333,eq_code,0))),""))</f>
        <v/>
      </c>
      <c r="R333" s="77" t="str">
        <f>IF(ISNUMBER(O333),O333-p_today,"")</f>
        <v/>
      </c>
      <c r="S333" s="78" t="str">
        <f>IF(AND(ISNUMBER(P333),N(Q333)&gt;0),P333-Q333,"")</f>
        <v/>
      </c>
      <c r="T333" s="76" t="str">
        <f>IF(AND(ISNUMBER(O333),ISNUMBER(X333)),MIN(O333,X333),IF(ISNUMBER(O333),O333,X333))</f>
        <v/>
      </c>
      <c r="U333" s="79" t="str">
        <f>IF(AND(A333="",B333="",D333=""),"",IF(L333="Non","Inactif",IF(AND(NOT(ISNUMBER(R333)),NOT(ISNUMBER(S333))),"À compléter",IF(OR(AND(ISNUMBER(R333),N(R333)&lt;0),AND(ISNUMBER(S333),N(S333)&lt;0)),"En retard",IF(OR(AND(ISNUMBER(R333),N(R333)&lt;=p_soon),AND(ISNUMBER(S333),N(S333)&lt;=p_soon_pct*N(G333))),"Bientôt","À jour")))))</f>
        <v/>
      </c>
      <c r="V333" s="79" t="str">
        <f>IF(AND(A333="",B333="",D333=""),"",IF(A333="","N° de plan manquant",IF(COUNTIF($A$6:$A$505,A333)&gt;1,"N° de plan en double",IF(B333="","Équipement manquant",IF(ISNA(MATCH(B333,eq_code,0)),"Équipement inconnu",IF(D333="","Tâche manquante",IF(E333="","Déclenchement manquant",IF(AND(E333&lt;&gt;"Calendrier",E333&lt;&gt;"Compteur",E333&lt;&gt;"Au premier des deux"),"Déclenchement inconnu",IF(AND(E333&lt;&gt;"Compteur",OR(NOT(ISNUMBER(F333)),N(F333)&lt;=0)),"Périodicité en jours manquante",IF(AND(E333&lt;&gt;"Calendrier",OR(NOT(ISNUMBER(G333)),N(G333)&lt;=0)),"Périodicité compteur manquante",IF(AND(J333&lt;&gt;"",OR(NOT(ISNUMBER(J333)),N(J333)&lt;=0)),"Date de réalisation invalide",IF(AND(K333&lt;&gt;"",OR(NOT(ISNUMBER(K333)),N(K333)&lt;0)),"Compteur de réalisation invalide",IF(AND(E333&lt;&gt;"Compteur",N(M333)=0,IFERROR(N(INDEX(eq_start,MATCH(B333,eq_code,0))),0)=0),"Date de départ manquante",IF(AND(E333&lt;&gt;"Calendrier",K333="",N(N333)=0),"Compteur de départ manquant",IF(AND(E333&lt;&gt;"Calendrier",N(Q333)=0),"Relevé compteur manquant (Équipements)",IF(AND(I333&lt;&gt;"",ISNA(MATCH(I333,tech_name,0))),"Technicien inconnu",IF(AND(L333&lt;&gt;"",L333&lt;&gt;"Oui",L333&lt;&gt;"Non"),"Actif : Oui ou Non","OK")))))))))))))))))</f>
        <v/>
      </c>
      <c r="W333" s="67">
        <f>IFERROR(N(INDEX(eq_use,MATCH(B333,eq_code,0))),0)</f>
        <v>0.0</v>
      </c>
      <c r="X333" s="67" t="str">
        <f>IF(AND(ISNUMBER(S333),W333&gt;0),p_today+MAX(0,ROUNDUP(S333*7/W333,0)),"")</f>
        <v/>
      </c>
      <c r="Y333" s="67" t="str">
        <f>IF(AND(ISNUMBER(T333),OR(U333="En retard",U333="Bientôt",U333="À jour")),IF(AND(ISNUMBER(O333),ISNUMBER(X333)),MIN(F333,G333*7/W333),IF(ISNUMBER(O333),F333,G333*7/W333)),"")</f>
        <v/>
      </c>
      <c r="Z333" s="67" t="str">
        <f>IF(OR(U333="En retard",U333="Bientôt"),IF(U333="En retard",0,1)*1000000000+IF(AB333="A",0,IF(AB333="B",1,IF(AB333="C",2,3)))*100000000+IF(ISNUMBER(T333),T333,p_today)*1000+ROW()-5,"")</f>
        <v/>
      </c>
      <c r="AA333" s="67" t="str">
        <f>IF(Z333="","",COUNTIF($Z$6:$Z$505,"&lt;"&amp;Z333)+1)</f>
        <v/>
      </c>
      <c r="AB333" s="67" t="str">
        <f>IFERROR(INDEX(eq_crit,MATCH(B333,eq_code,0))&amp;"","")</f>
        <v/>
      </c>
    </row>
    <row r="334">
      <c r="A334" s="65" t="n"/>
      <c r="B334" s="66" t="n"/>
      <c r="C334" s="67" t="str">
        <f>IF(B334="","",IFERROR(INDEX(eq_des,MATCH(B334,eq_code,0))&amp;"","Équipement inconnu"))</f>
        <v/>
      </c>
      <c r="D334" s="66" t="n"/>
      <c r="E334" s="68" t="n"/>
      <c r="F334" s="69" t="n"/>
      <c r="G334" s="70" t="n"/>
      <c r="H334" s="71" t="n"/>
      <c r="I334" s="66" t="n"/>
      <c r="J334" s="72" t="n"/>
      <c r="K334" s="73" t="n"/>
      <c r="L334" s="68" t="n"/>
      <c r="M334" s="74" t="str">
        <f>IF(AND(A334="",B334="",D334=""),"",MAX(N(J334),IF(A334="",0,SUMPRODUCT(MAX((in_plan=A334)*in_prev*in_dnum)))))</f>
        <v/>
      </c>
      <c r="N334" s="75" t="str">
        <f>IF(AND(A334="",B334="",D334=""),"",MAX(N(K334),IF(A334="",0,SUMPRODUCT(MAX((in_plan=A334)*in_prev*in_cnum)))))</f>
        <v/>
      </c>
      <c r="O334" s="76" t="str">
        <f>IF(AND(OR(E334="Calendrier",E334="Au premier des deux"),N(F334)&gt;0,IF(N(M334)&gt;0,M334,IFERROR(N(INDEX(eq_start,MATCH(B334,eq_code,0))),0))&gt;0),IF(N(M334)&gt;0,M334,IFERROR(N(INDEX(eq_start,MATCH(B334,eq_code,0))),0))+F334,"")</f>
        <v/>
      </c>
      <c r="P334" s="75" t="str">
        <f>IF(AND(OR(E334="Compteur",E334="Au premier des deux"),N(G334)&gt;0),N(N334)+G334,"")</f>
        <v/>
      </c>
      <c r="Q334" s="75" t="str">
        <f>IF(B334="","",IFERROR(N(INDEX(eq_cnt,MATCH(B334,eq_code,0))),""))</f>
        <v/>
      </c>
      <c r="R334" s="77" t="str">
        <f>IF(ISNUMBER(O334),O334-p_today,"")</f>
        <v/>
      </c>
      <c r="S334" s="78" t="str">
        <f>IF(AND(ISNUMBER(P334),N(Q334)&gt;0),P334-Q334,"")</f>
        <v/>
      </c>
      <c r="T334" s="76" t="str">
        <f>IF(AND(ISNUMBER(O334),ISNUMBER(X334)),MIN(O334,X334),IF(ISNUMBER(O334),O334,X334))</f>
        <v/>
      </c>
      <c r="U334" s="79" t="str">
        <f>IF(AND(A334="",B334="",D334=""),"",IF(L334="Non","Inactif",IF(AND(NOT(ISNUMBER(R334)),NOT(ISNUMBER(S334))),"À compléter",IF(OR(AND(ISNUMBER(R334),N(R334)&lt;0),AND(ISNUMBER(S334),N(S334)&lt;0)),"En retard",IF(OR(AND(ISNUMBER(R334),N(R334)&lt;=p_soon),AND(ISNUMBER(S334),N(S334)&lt;=p_soon_pct*N(G334))),"Bientôt","À jour")))))</f>
        <v/>
      </c>
      <c r="V334" s="79" t="str">
        <f>IF(AND(A334="",B334="",D334=""),"",IF(A334="","N° de plan manquant",IF(COUNTIF($A$6:$A$505,A334)&gt;1,"N° de plan en double",IF(B334="","Équipement manquant",IF(ISNA(MATCH(B334,eq_code,0)),"Équipement inconnu",IF(D334="","Tâche manquante",IF(E334="","Déclenchement manquant",IF(AND(E334&lt;&gt;"Calendrier",E334&lt;&gt;"Compteur",E334&lt;&gt;"Au premier des deux"),"Déclenchement inconnu",IF(AND(E334&lt;&gt;"Compteur",OR(NOT(ISNUMBER(F334)),N(F334)&lt;=0)),"Périodicité en jours manquante",IF(AND(E334&lt;&gt;"Calendrier",OR(NOT(ISNUMBER(G334)),N(G334)&lt;=0)),"Périodicité compteur manquante",IF(AND(J334&lt;&gt;"",OR(NOT(ISNUMBER(J334)),N(J334)&lt;=0)),"Date de réalisation invalide",IF(AND(K334&lt;&gt;"",OR(NOT(ISNUMBER(K334)),N(K334)&lt;0)),"Compteur de réalisation invalide",IF(AND(E334&lt;&gt;"Compteur",N(M334)=0,IFERROR(N(INDEX(eq_start,MATCH(B334,eq_code,0))),0)=0),"Date de départ manquante",IF(AND(E334&lt;&gt;"Calendrier",K334="",N(N334)=0),"Compteur de départ manquant",IF(AND(E334&lt;&gt;"Calendrier",N(Q334)=0),"Relevé compteur manquant (Équipements)",IF(AND(I334&lt;&gt;"",ISNA(MATCH(I334,tech_name,0))),"Technicien inconnu",IF(AND(L334&lt;&gt;"",L334&lt;&gt;"Oui",L334&lt;&gt;"Non"),"Actif : Oui ou Non","OK")))))))))))))))))</f>
        <v/>
      </c>
      <c r="W334" s="67">
        <f>IFERROR(N(INDEX(eq_use,MATCH(B334,eq_code,0))),0)</f>
        <v>0.0</v>
      </c>
      <c r="X334" s="67" t="str">
        <f>IF(AND(ISNUMBER(S334),W334&gt;0),p_today+MAX(0,ROUNDUP(S334*7/W334,0)),"")</f>
        <v/>
      </c>
      <c r="Y334" s="67" t="str">
        <f>IF(AND(ISNUMBER(T334),OR(U334="En retard",U334="Bientôt",U334="À jour")),IF(AND(ISNUMBER(O334),ISNUMBER(X334)),MIN(F334,G334*7/W334),IF(ISNUMBER(O334),F334,G334*7/W334)),"")</f>
        <v/>
      </c>
      <c r="Z334" s="67" t="str">
        <f>IF(OR(U334="En retard",U334="Bientôt"),IF(U334="En retard",0,1)*1000000000+IF(AB334="A",0,IF(AB334="B",1,IF(AB334="C",2,3)))*100000000+IF(ISNUMBER(T334),T334,p_today)*1000+ROW()-5,"")</f>
        <v/>
      </c>
      <c r="AA334" s="67" t="str">
        <f>IF(Z334="","",COUNTIF($Z$6:$Z$505,"&lt;"&amp;Z334)+1)</f>
        <v/>
      </c>
      <c r="AB334" s="67" t="str">
        <f>IFERROR(INDEX(eq_crit,MATCH(B334,eq_code,0))&amp;"","")</f>
        <v/>
      </c>
    </row>
    <row r="335">
      <c r="A335" s="65" t="n"/>
      <c r="B335" s="66" t="n"/>
      <c r="C335" s="67" t="str">
        <f>IF(B335="","",IFERROR(INDEX(eq_des,MATCH(B335,eq_code,0))&amp;"","Équipement inconnu"))</f>
        <v/>
      </c>
      <c r="D335" s="66" t="n"/>
      <c r="E335" s="68" t="n"/>
      <c r="F335" s="69" t="n"/>
      <c r="G335" s="70" t="n"/>
      <c r="H335" s="71" t="n"/>
      <c r="I335" s="66" t="n"/>
      <c r="J335" s="72" t="n"/>
      <c r="K335" s="73" t="n"/>
      <c r="L335" s="68" t="n"/>
      <c r="M335" s="74" t="str">
        <f>IF(AND(A335="",B335="",D335=""),"",MAX(N(J335),IF(A335="",0,SUMPRODUCT(MAX((in_plan=A335)*in_prev*in_dnum)))))</f>
        <v/>
      </c>
      <c r="N335" s="75" t="str">
        <f>IF(AND(A335="",B335="",D335=""),"",MAX(N(K335),IF(A335="",0,SUMPRODUCT(MAX((in_plan=A335)*in_prev*in_cnum)))))</f>
        <v/>
      </c>
      <c r="O335" s="76" t="str">
        <f>IF(AND(OR(E335="Calendrier",E335="Au premier des deux"),N(F335)&gt;0,IF(N(M335)&gt;0,M335,IFERROR(N(INDEX(eq_start,MATCH(B335,eq_code,0))),0))&gt;0),IF(N(M335)&gt;0,M335,IFERROR(N(INDEX(eq_start,MATCH(B335,eq_code,0))),0))+F335,"")</f>
        <v/>
      </c>
      <c r="P335" s="75" t="str">
        <f>IF(AND(OR(E335="Compteur",E335="Au premier des deux"),N(G335)&gt;0),N(N335)+G335,"")</f>
        <v/>
      </c>
      <c r="Q335" s="75" t="str">
        <f>IF(B335="","",IFERROR(N(INDEX(eq_cnt,MATCH(B335,eq_code,0))),""))</f>
        <v/>
      </c>
      <c r="R335" s="77" t="str">
        <f>IF(ISNUMBER(O335),O335-p_today,"")</f>
        <v/>
      </c>
      <c r="S335" s="78" t="str">
        <f>IF(AND(ISNUMBER(P335),N(Q335)&gt;0),P335-Q335,"")</f>
        <v/>
      </c>
      <c r="T335" s="76" t="str">
        <f>IF(AND(ISNUMBER(O335),ISNUMBER(X335)),MIN(O335,X335),IF(ISNUMBER(O335),O335,X335))</f>
        <v/>
      </c>
      <c r="U335" s="79" t="str">
        <f>IF(AND(A335="",B335="",D335=""),"",IF(L335="Non","Inactif",IF(AND(NOT(ISNUMBER(R335)),NOT(ISNUMBER(S335))),"À compléter",IF(OR(AND(ISNUMBER(R335),N(R335)&lt;0),AND(ISNUMBER(S335),N(S335)&lt;0)),"En retard",IF(OR(AND(ISNUMBER(R335),N(R335)&lt;=p_soon),AND(ISNUMBER(S335),N(S335)&lt;=p_soon_pct*N(G335))),"Bientôt","À jour")))))</f>
        <v/>
      </c>
      <c r="V335" s="79" t="str">
        <f>IF(AND(A335="",B335="",D335=""),"",IF(A335="","N° de plan manquant",IF(COUNTIF($A$6:$A$505,A335)&gt;1,"N° de plan en double",IF(B335="","Équipement manquant",IF(ISNA(MATCH(B335,eq_code,0)),"Équipement inconnu",IF(D335="","Tâche manquante",IF(E335="","Déclenchement manquant",IF(AND(E335&lt;&gt;"Calendrier",E335&lt;&gt;"Compteur",E335&lt;&gt;"Au premier des deux"),"Déclenchement inconnu",IF(AND(E335&lt;&gt;"Compteur",OR(NOT(ISNUMBER(F335)),N(F335)&lt;=0)),"Périodicité en jours manquante",IF(AND(E335&lt;&gt;"Calendrier",OR(NOT(ISNUMBER(G335)),N(G335)&lt;=0)),"Périodicité compteur manquante",IF(AND(J335&lt;&gt;"",OR(NOT(ISNUMBER(J335)),N(J335)&lt;=0)),"Date de réalisation invalide",IF(AND(K335&lt;&gt;"",OR(NOT(ISNUMBER(K335)),N(K335)&lt;0)),"Compteur de réalisation invalide",IF(AND(E335&lt;&gt;"Compteur",N(M335)=0,IFERROR(N(INDEX(eq_start,MATCH(B335,eq_code,0))),0)=0),"Date de départ manquante",IF(AND(E335&lt;&gt;"Calendrier",K335="",N(N335)=0),"Compteur de départ manquant",IF(AND(E335&lt;&gt;"Calendrier",N(Q335)=0),"Relevé compteur manquant (Équipements)",IF(AND(I335&lt;&gt;"",ISNA(MATCH(I335,tech_name,0))),"Technicien inconnu",IF(AND(L335&lt;&gt;"",L335&lt;&gt;"Oui",L335&lt;&gt;"Non"),"Actif : Oui ou Non","OK")))))))))))))))))</f>
        <v/>
      </c>
      <c r="W335" s="67">
        <f>IFERROR(N(INDEX(eq_use,MATCH(B335,eq_code,0))),0)</f>
        <v>0.0</v>
      </c>
      <c r="X335" s="67" t="str">
        <f>IF(AND(ISNUMBER(S335),W335&gt;0),p_today+MAX(0,ROUNDUP(S335*7/W335,0)),"")</f>
        <v/>
      </c>
      <c r="Y335" s="67" t="str">
        <f>IF(AND(ISNUMBER(T335),OR(U335="En retard",U335="Bientôt",U335="À jour")),IF(AND(ISNUMBER(O335),ISNUMBER(X335)),MIN(F335,G335*7/W335),IF(ISNUMBER(O335),F335,G335*7/W335)),"")</f>
        <v/>
      </c>
      <c r="Z335" s="67" t="str">
        <f>IF(OR(U335="En retard",U335="Bientôt"),IF(U335="En retard",0,1)*1000000000+IF(AB335="A",0,IF(AB335="B",1,IF(AB335="C",2,3)))*100000000+IF(ISNUMBER(T335),T335,p_today)*1000+ROW()-5,"")</f>
        <v/>
      </c>
      <c r="AA335" s="67" t="str">
        <f>IF(Z335="","",COUNTIF($Z$6:$Z$505,"&lt;"&amp;Z335)+1)</f>
        <v/>
      </c>
      <c r="AB335" s="67" t="str">
        <f>IFERROR(INDEX(eq_crit,MATCH(B335,eq_code,0))&amp;"","")</f>
        <v/>
      </c>
    </row>
    <row r="336">
      <c r="A336" s="65" t="n"/>
      <c r="B336" s="66" t="n"/>
      <c r="C336" s="67" t="str">
        <f>IF(B336="","",IFERROR(INDEX(eq_des,MATCH(B336,eq_code,0))&amp;"","Équipement inconnu"))</f>
        <v/>
      </c>
      <c r="D336" s="66" t="n"/>
      <c r="E336" s="68" t="n"/>
      <c r="F336" s="69" t="n"/>
      <c r="G336" s="70" t="n"/>
      <c r="H336" s="71" t="n"/>
      <c r="I336" s="66" t="n"/>
      <c r="J336" s="72" t="n"/>
      <c r="K336" s="73" t="n"/>
      <c r="L336" s="68" t="n"/>
      <c r="M336" s="74" t="str">
        <f>IF(AND(A336="",B336="",D336=""),"",MAX(N(J336),IF(A336="",0,SUMPRODUCT(MAX((in_plan=A336)*in_prev*in_dnum)))))</f>
        <v/>
      </c>
      <c r="N336" s="75" t="str">
        <f>IF(AND(A336="",B336="",D336=""),"",MAX(N(K336),IF(A336="",0,SUMPRODUCT(MAX((in_plan=A336)*in_prev*in_cnum)))))</f>
        <v/>
      </c>
      <c r="O336" s="76" t="str">
        <f>IF(AND(OR(E336="Calendrier",E336="Au premier des deux"),N(F336)&gt;0,IF(N(M336)&gt;0,M336,IFERROR(N(INDEX(eq_start,MATCH(B336,eq_code,0))),0))&gt;0),IF(N(M336)&gt;0,M336,IFERROR(N(INDEX(eq_start,MATCH(B336,eq_code,0))),0))+F336,"")</f>
        <v/>
      </c>
      <c r="P336" s="75" t="str">
        <f>IF(AND(OR(E336="Compteur",E336="Au premier des deux"),N(G336)&gt;0),N(N336)+G336,"")</f>
        <v/>
      </c>
      <c r="Q336" s="75" t="str">
        <f>IF(B336="","",IFERROR(N(INDEX(eq_cnt,MATCH(B336,eq_code,0))),""))</f>
        <v/>
      </c>
      <c r="R336" s="77" t="str">
        <f>IF(ISNUMBER(O336),O336-p_today,"")</f>
        <v/>
      </c>
      <c r="S336" s="78" t="str">
        <f>IF(AND(ISNUMBER(P336),N(Q336)&gt;0),P336-Q336,"")</f>
        <v/>
      </c>
      <c r="T336" s="76" t="str">
        <f>IF(AND(ISNUMBER(O336),ISNUMBER(X336)),MIN(O336,X336),IF(ISNUMBER(O336),O336,X336))</f>
        <v/>
      </c>
      <c r="U336" s="79" t="str">
        <f>IF(AND(A336="",B336="",D336=""),"",IF(L336="Non","Inactif",IF(AND(NOT(ISNUMBER(R336)),NOT(ISNUMBER(S336))),"À compléter",IF(OR(AND(ISNUMBER(R336),N(R336)&lt;0),AND(ISNUMBER(S336),N(S336)&lt;0)),"En retard",IF(OR(AND(ISNUMBER(R336),N(R336)&lt;=p_soon),AND(ISNUMBER(S336),N(S336)&lt;=p_soon_pct*N(G336))),"Bientôt","À jour")))))</f>
        <v/>
      </c>
      <c r="V336" s="79" t="str">
        <f>IF(AND(A336="",B336="",D336=""),"",IF(A336="","N° de plan manquant",IF(COUNTIF($A$6:$A$505,A336)&gt;1,"N° de plan en double",IF(B336="","Équipement manquant",IF(ISNA(MATCH(B336,eq_code,0)),"Équipement inconnu",IF(D336="","Tâche manquante",IF(E336="","Déclenchement manquant",IF(AND(E336&lt;&gt;"Calendrier",E336&lt;&gt;"Compteur",E336&lt;&gt;"Au premier des deux"),"Déclenchement inconnu",IF(AND(E336&lt;&gt;"Compteur",OR(NOT(ISNUMBER(F336)),N(F336)&lt;=0)),"Périodicité en jours manquante",IF(AND(E336&lt;&gt;"Calendrier",OR(NOT(ISNUMBER(G336)),N(G336)&lt;=0)),"Périodicité compteur manquante",IF(AND(J336&lt;&gt;"",OR(NOT(ISNUMBER(J336)),N(J336)&lt;=0)),"Date de réalisation invalide",IF(AND(K336&lt;&gt;"",OR(NOT(ISNUMBER(K336)),N(K336)&lt;0)),"Compteur de réalisation invalide",IF(AND(E336&lt;&gt;"Compteur",N(M336)=0,IFERROR(N(INDEX(eq_start,MATCH(B336,eq_code,0))),0)=0),"Date de départ manquante",IF(AND(E336&lt;&gt;"Calendrier",K336="",N(N336)=0),"Compteur de départ manquant",IF(AND(E336&lt;&gt;"Calendrier",N(Q336)=0),"Relevé compteur manquant (Équipements)",IF(AND(I336&lt;&gt;"",ISNA(MATCH(I336,tech_name,0))),"Technicien inconnu",IF(AND(L336&lt;&gt;"",L336&lt;&gt;"Oui",L336&lt;&gt;"Non"),"Actif : Oui ou Non","OK")))))))))))))))))</f>
        <v/>
      </c>
      <c r="W336" s="67">
        <f>IFERROR(N(INDEX(eq_use,MATCH(B336,eq_code,0))),0)</f>
        <v>0.0</v>
      </c>
      <c r="X336" s="67" t="str">
        <f>IF(AND(ISNUMBER(S336),W336&gt;0),p_today+MAX(0,ROUNDUP(S336*7/W336,0)),"")</f>
        <v/>
      </c>
      <c r="Y336" s="67" t="str">
        <f>IF(AND(ISNUMBER(T336),OR(U336="En retard",U336="Bientôt",U336="À jour")),IF(AND(ISNUMBER(O336),ISNUMBER(X336)),MIN(F336,G336*7/W336),IF(ISNUMBER(O336),F336,G336*7/W336)),"")</f>
        <v/>
      </c>
      <c r="Z336" s="67" t="str">
        <f>IF(OR(U336="En retard",U336="Bientôt"),IF(U336="En retard",0,1)*1000000000+IF(AB336="A",0,IF(AB336="B",1,IF(AB336="C",2,3)))*100000000+IF(ISNUMBER(T336),T336,p_today)*1000+ROW()-5,"")</f>
        <v/>
      </c>
      <c r="AA336" s="67" t="str">
        <f>IF(Z336="","",COUNTIF($Z$6:$Z$505,"&lt;"&amp;Z336)+1)</f>
        <v/>
      </c>
      <c r="AB336" s="67" t="str">
        <f>IFERROR(INDEX(eq_crit,MATCH(B336,eq_code,0))&amp;"","")</f>
        <v/>
      </c>
    </row>
    <row r="337">
      <c r="A337" s="65" t="n"/>
      <c r="B337" s="66" t="n"/>
      <c r="C337" s="67" t="str">
        <f>IF(B337="","",IFERROR(INDEX(eq_des,MATCH(B337,eq_code,0))&amp;"","Équipement inconnu"))</f>
        <v/>
      </c>
      <c r="D337" s="66" t="n"/>
      <c r="E337" s="68" t="n"/>
      <c r="F337" s="69" t="n"/>
      <c r="G337" s="70" t="n"/>
      <c r="H337" s="71" t="n"/>
      <c r="I337" s="66" t="n"/>
      <c r="J337" s="72" t="n"/>
      <c r="K337" s="73" t="n"/>
      <c r="L337" s="68" t="n"/>
      <c r="M337" s="74" t="str">
        <f>IF(AND(A337="",B337="",D337=""),"",MAX(N(J337),IF(A337="",0,SUMPRODUCT(MAX((in_plan=A337)*in_prev*in_dnum)))))</f>
        <v/>
      </c>
      <c r="N337" s="75" t="str">
        <f>IF(AND(A337="",B337="",D337=""),"",MAX(N(K337),IF(A337="",0,SUMPRODUCT(MAX((in_plan=A337)*in_prev*in_cnum)))))</f>
        <v/>
      </c>
      <c r="O337" s="76" t="str">
        <f>IF(AND(OR(E337="Calendrier",E337="Au premier des deux"),N(F337)&gt;0,IF(N(M337)&gt;0,M337,IFERROR(N(INDEX(eq_start,MATCH(B337,eq_code,0))),0))&gt;0),IF(N(M337)&gt;0,M337,IFERROR(N(INDEX(eq_start,MATCH(B337,eq_code,0))),0))+F337,"")</f>
        <v/>
      </c>
      <c r="P337" s="75" t="str">
        <f>IF(AND(OR(E337="Compteur",E337="Au premier des deux"),N(G337)&gt;0),N(N337)+G337,"")</f>
        <v/>
      </c>
      <c r="Q337" s="75" t="str">
        <f>IF(B337="","",IFERROR(N(INDEX(eq_cnt,MATCH(B337,eq_code,0))),""))</f>
        <v/>
      </c>
      <c r="R337" s="77" t="str">
        <f>IF(ISNUMBER(O337),O337-p_today,"")</f>
        <v/>
      </c>
      <c r="S337" s="78" t="str">
        <f>IF(AND(ISNUMBER(P337),N(Q337)&gt;0),P337-Q337,"")</f>
        <v/>
      </c>
      <c r="T337" s="76" t="str">
        <f>IF(AND(ISNUMBER(O337),ISNUMBER(X337)),MIN(O337,X337),IF(ISNUMBER(O337),O337,X337))</f>
        <v/>
      </c>
      <c r="U337" s="79" t="str">
        <f>IF(AND(A337="",B337="",D337=""),"",IF(L337="Non","Inactif",IF(AND(NOT(ISNUMBER(R337)),NOT(ISNUMBER(S337))),"À compléter",IF(OR(AND(ISNUMBER(R337),N(R337)&lt;0),AND(ISNUMBER(S337),N(S337)&lt;0)),"En retard",IF(OR(AND(ISNUMBER(R337),N(R337)&lt;=p_soon),AND(ISNUMBER(S337),N(S337)&lt;=p_soon_pct*N(G337))),"Bientôt","À jour")))))</f>
        <v/>
      </c>
      <c r="V337" s="79" t="str">
        <f>IF(AND(A337="",B337="",D337=""),"",IF(A337="","N° de plan manquant",IF(COUNTIF($A$6:$A$505,A337)&gt;1,"N° de plan en double",IF(B337="","Équipement manquant",IF(ISNA(MATCH(B337,eq_code,0)),"Équipement inconnu",IF(D337="","Tâche manquante",IF(E337="","Déclenchement manquant",IF(AND(E337&lt;&gt;"Calendrier",E337&lt;&gt;"Compteur",E337&lt;&gt;"Au premier des deux"),"Déclenchement inconnu",IF(AND(E337&lt;&gt;"Compteur",OR(NOT(ISNUMBER(F337)),N(F337)&lt;=0)),"Périodicité en jours manquante",IF(AND(E337&lt;&gt;"Calendrier",OR(NOT(ISNUMBER(G337)),N(G337)&lt;=0)),"Périodicité compteur manquante",IF(AND(J337&lt;&gt;"",OR(NOT(ISNUMBER(J337)),N(J337)&lt;=0)),"Date de réalisation invalide",IF(AND(K337&lt;&gt;"",OR(NOT(ISNUMBER(K337)),N(K337)&lt;0)),"Compteur de réalisation invalide",IF(AND(E337&lt;&gt;"Compteur",N(M337)=0,IFERROR(N(INDEX(eq_start,MATCH(B337,eq_code,0))),0)=0),"Date de départ manquante",IF(AND(E337&lt;&gt;"Calendrier",K337="",N(N337)=0),"Compteur de départ manquant",IF(AND(E337&lt;&gt;"Calendrier",N(Q337)=0),"Relevé compteur manquant (Équipements)",IF(AND(I337&lt;&gt;"",ISNA(MATCH(I337,tech_name,0))),"Technicien inconnu",IF(AND(L337&lt;&gt;"",L337&lt;&gt;"Oui",L337&lt;&gt;"Non"),"Actif : Oui ou Non","OK")))))))))))))))))</f>
        <v/>
      </c>
      <c r="W337" s="67">
        <f>IFERROR(N(INDEX(eq_use,MATCH(B337,eq_code,0))),0)</f>
        <v>0.0</v>
      </c>
      <c r="X337" s="67" t="str">
        <f>IF(AND(ISNUMBER(S337),W337&gt;0),p_today+MAX(0,ROUNDUP(S337*7/W337,0)),"")</f>
        <v/>
      </c>
      <c r="Y337" s="67" t="str">
        <f>IF(AND(ISNUMBER(T337),OR(U337="En retard",U337="Bientôt",U337="À jour")),IF(AND(ISNUMBER(O337),ISNUMBER(X337)),MIN(F337,G337*7/W337),IF(ISNUMBER(O337),F337,G337*7/W337)),"")</f>
        <v/>
      </c>
      <c r="Z337" s="67" t="str">
        <f>IF(OR(U337="En retard",U337="Bientôt"),IF(U337="En retard",0,1)*1000000000+IF(AB337="A",0,IF(AB337="B",1,IF(AB337="C",2,3)))*100000000+IF(ISNUMBER(T337),T337,p_today)*1000+ROW()-5,"")</f>
        <v/>
      </c>
      <c r="AA337" s="67" t="str">
        <f>IF(Z337="","",COUNTIF($Z$6:$Z$505,"&lt;"&amp;Z337)+1)</f>
        <v/>
      </c>
      <c r="AB337" s="67" t="str">
        <f>IFERROR(INDEX(eq_crit,MATCH(B337,eq_code,0))&amp;"","")</f>
        <v/>
      </c>
    </row>
    <row r="338">
      <c r="A338" s="65" t="n"/>
      <c r="B338" s="66" t="n"/>
      <c r="C338" s="67" t="str">
        <f>IF(B338="","",IFERROR(INDEX(eq_des,MATCH(B338,eq_code,0))&amp;"","Équipement inconnu"))</f>
        <v/>
      </c>
      <c r="D338" s="66" t="n"/>
      <c r="E338" s="68" t="n"/>
      <c r="F338" s="69" t="n"/>
      <c r="G338" s="70" t="n"/>
      <c r="H338" s="71" t="n"/>
      <c r="I338" s="66" t="n"/>
      <c r="J338" s="72" t="n"/>
      <c r="K338" s="73" t="n"/>
      <c r="L338" s="68" t="n"/>
      <c r="M338" s="74" t="str">
        <f>IF(AND(A338="",B338="",D338=""),"",MAX(N(J338),IF(A338="",0,SUMPRODUCT(MAX((in_plan=A338)*in_prev*in_dnum)))))</f>
        <v/>
      </c>
      <c r="N338" s="75" t="str">
        <f>IF(AND(A338="",B338="",D338=""),"",MAX(N(K338),IF(A338="",0,SUMPRODUCT(MAX((in_plan=A338)*in_prev*in_cnum)))))</f>
        <v/>
      </c>
      <c r="O338" s="76" t="str">
        <f>IF(AND(OR(E338="Calendrier",E338="Au premier des deux"),N(F338)&gt;0,IF(N(M338)&gt;0,M338,IFERROR(N(INDEX(eq_start,MATCH(B338,eq_code,0))),0))&gt;0),IF(N(M338)&gt;0,M338,IFERROR(N(INDEX(eq_start,MATCH(B338,eq_code,0))),0))+F338,"")</f>
        <v/>
      </c>
      <c r="P338" s="75" t="str">
        <f>IF(AND(OR(E338="Compteur",E338="Au premier des deux"),N(G338)&gt;0),N(N338)+G338,"")</f>
        <v/>
      </c>
      <c r="Q338" s="75" t="str">
        <f>IF(B338="","",IFERROR(N(INDEX(eq_cnt,MATCH(B338,eq_code,0))),""))</f>
        <v/>
      </c>
      <c r="R338" s="77" t="str">
        <f>IF(ISNUMBER(O338),O338-p_today,"")</f>
        <v/>
      </c>
      <c r="S338" s="78" t="str">
        <f>IF(AND(ISNUMBER(P338),N(Q338)&gt;0),P338-Q338,"")</f>
        <v/>
      </c>
      <c r="T338" s="76" t="str">
        <f>IF(AND(ISNUMBER(O338),ISNUMBER(X338)),MIN(O338,X338),IF(ISNUMBER(O338),O338,X338))</f>
        <v/>
      </c>
      <c r="U338" s="79" t="str">
        <f>IF(AND(A338="",B338="",D338=""),"",IF(L338="Non","Inactif",IF(AND(NOT(ISNUMBER(R338)),NOT(ISNUMBER(S338))),"À compléter",IF(OR(AND(ISNUMBER(R338),N(R338)&lt;0),AND(ISNUMBER(S338),N(S338)&lt;0)),"En retard",IF(OR(AND(ISNUMBER(R338),N(R338)&lt;=p_soon),AND(ISNUMBER(S338),N(S338)&lt;=p_soon_pct*N(G338))),"Bientôt","À jour")))))</f>
        <v/>
      </c>
      <c r="V338" s="79" t="str">
        <f>IF(AND(A338="",B338="",D338=""),"",IF(A338="","N° de plan manquant",IF(COUNTIF($A$6:$A$505,A338)&gt;1,"N° de plan en double",IF(B338="","Équipement manquant",IF(ISNA(MATCH(B338,eq_code,0)),"Équipement inconnu",IF(D338="","Tâche manquante",IF(E338="","Déclenchement manquant",IF(AND(E338&lt;&gt;"Calendrier",E338&lt;&gt;"Compteur",E338&lt;&gt;"Au premier des deux"),"Déclenchement inconnu",IF(AND(E338&lt;&gt;"Compteur",OR(NOT(ISNUMBER(F338)),N(F338)&lt;=0)),"Périodicité en jours manquante",IF(AND(E338&lt;&gt;"Calendrier",OR(NOT(ISNUMBER(G338)),N(G338)&lt;=0)),"Périodicité compteur manquante",IF(AND(J338&lt;&gt;"",OR(NOT(ISNUMBER(J338)),N(J338)&lt;=0)),"Date de réalisation invalide",IF(AND(K338&lt;&gt;"",OR(NOT(ISNUMBER(K338)),N(K338)&lt;0)),"Compteur de réalisation invalide",IF(AND(E338&lt;&gt;"Compteur",N(M338)=0,IFERROR(N(INDEX(eq_start,MATCH(B338,eq_code,0))),0)=0),"Date de départ manquante",IF(AND(E338&lt;&gt;"Calendrier",K338="",N(N338)=0),"Compteur de départ manquant",IF(AND(E338&lt;&gt;"Calendrier",N(Q338)=0),"Relevé compteur manquant (Équipements)",IF(AND(I338&lt;&gt;"",ISNA(MATCH(I338,tech_name,0))),"Technicien inconnu",IF(AND(L338&lt;&gt;"",L338&lt;&gt;"Oui",L338&lt;&gt;"Non"),"Actif : Oui ou Non","OK")))))))))))))))))</f>
        <v/>
      </c>
      <c r="W338" s="67">
        <f>IFERROR(N(INDEX(eq_use,MATCH(B338,eq_code,0))),0)</f>
        <v>0.0</v>
      </c>
      <c r="X338" s="67" t="str">
        <f>IF(AND(ISNUMBER(S338),W338&gt;0),p_today+MAX(0,ROUNDUP(S338*7/W338,0)),"")</f>
        <v/>
      </c>
      <c r="Y338" s="67" t="str">
        <f>IF(AND(ISNUMBER(T338),OR(U338="En retard",U338="Bientôt",U338="À jour")),IF(AND(ISNUMBER(O338),ISNUMBER(X338)),MIN(F338,G338*7/W338),IF(ISNUMBER(O338),F338,G338*7/W338)),"")</f>
        <v/>
      </c>
      <c r="Z338" s="67" t="str">
        <f>IF(OR(U338="En retard",U338="Bientôt"),IF(U338="En retard",0,1)*1000000000+IF(AB338="A",0,IF(AB338="B",1,IF(AB338="C",2,3)))*100000000+IF(ISNUMBER(T338),T338,p_today)*1000+ROW()-5,"")</f>
        <v/>
      </c>
      <c r="AA338" s="67" t="str">
        <f>IF(Z338="","",COUNTIF($Z$6:$Z$505,"&lt;"&amp;Z338)+1)</f>
        <v/>
      </c>
      <c r="AB338" s="67" t="str">
        <f>IFERROR(INDEX(eq_crit,MATCH(B338,eq_code,0))&amp;"","")</f>
        <v/>
      </c>
    </row>
    <row r="339">
      <c r="A339" s="65" t="n"/>
      <c r="B339" s="66" t="n"/>
      <c r="C339" s="67" t="str">
        <f>IF(B339="","",IFERROR(INDEX(eq_des,MATCH(B339,eq_code,0))&amp;"","Équipement inconnu"))</f>
        <v/>
      </c>
      <c r="D339" s="66" t="n"/>
      <c r="E339" s="68" t="n"/>
      <c r="F339" s="69" t="n"/>
      <c r="G339" s="70" t="n"/>
      <c r="H339" s="71" t="n"/>
      <c r="I339" s="66" t="n"/>
      <c r="J339" s="72" t="n"/>
      <c r="K339" s="73" t="n"/>
      <c r="L339" s="68" t="n"/>
      <c r="M339" s="74" t="str">
        <f>IF(AND(A339="",B339="",D339=""),"",MAX(N(J339),IF(A339="",0,SUMPRODUCT(MAX((in_plan=A339)*in_prev*in_dnum)))))</f>
        <v/>
      </c>
      <c r="N339" s="75" t="str">
        <f>IF(AND(A339="",B339="",D339=""),"",MAX(N(K339),IF(A339="",0,SUMPRODUCT(MAX((in_plan=A339)*in_prev*in_cnum)))))</f>
        <v/>
      </c>
      <c r="O339" s="76" t="str">
        <f>IF(AND(OR(E339="Calendrier",E339="Au premier des deux"),N(F339)&gt;0,IF(N(M339)&gt;0,M339,IFERROR(N(INDEX(eq_start,MATCH(B339,eq_code,0))),0))&gt;0),IF(N(M339)&gt;0,M339,IFERROR(N(INDEX(eq_start,MATCH(B339,eq_code,0))),0))+F339,"")</f>
        <v/>
      </c>
      <c r="P339" s="75" t="str">
        <f>IF(AND(OR(E339="Compteur",E339="Au premier des deux"),N(G339)&gt;0),N(N339)+G339,"")</f>
        <v/>
      </c>
      <c r="Q339" s="75" t="str">
        <f>IF(B339="","",IFERROR(N(INDEX(eq_cnt,MATCH(B339,eq_code,0))),""))</f>
        <v/>
      </c>
      <c r="R339" s="77" t="str">
        <f>IF(ISNUMBER(O339),O339-p_today,"")</f>
        <v/>
      </c>
      <c r="S339" s="78" t="str">
        <f>IF(AND(ISNUMBER(P339),N(Q339)&gt;0),P339-Q339,"")</f>
        <v/>
      </c>
      <c r="T339" s="76" t="str">
        <f>IF(AND(ISNUMBER(O339),ISNUMBER(X339)),MIN(O339,X339),IF(ISNUMBER(O339),O339,X339))</f>
        <v/>
      </c>
      <c r="U339" s="79" t="str">
        <f>IF(AND(A339="",B339="",D339=""),"",IF(L339="Non","Inactif",IF(AND(NOT(ISNUMBER(R339)),NOT(ISNUMBER(S339))),"À compléter",IF(OR(AND(ISNUMBER(R339),N(R339)&lt;0),AND(ISNUMBER(S339),N(S339)&lt;0)),"En retard",IF(OR(AND(ISNUMBER(R339),N(R339)&lt;=p_soon),AND(ISNUMBER(S339),N(S339)&lt;=p_soon_pct*N(G339))),"Bientôt","À jour")))))</f>
        <v/>
      </c>
      <c r="V339" s="79" t="str">
        <f>IF(AND(A339="",B339="",D339=""),"",IF(A339="","N° de plan manquant",IF(COUNTIF($A$6:$A$505,A339)&gt;1,"N° de plan en double",IF(B339="","Équipement manquant",IF(ISNA(MATCH(B339,eq_code,0)),"Équipement inconnu",IF(D339="","Tâche manquante",IF(E339="","Déclenchement manquant",IF(AND(E339&lt;&gt;"Calendrier",E339&lt;&gt;"Compteur",E339&lt;&gt;"Au premier des deux"),"Déclenchement inconnu",IF(AND(E339&lt;&gt;"Compteur",OR(NOT(ISNUMBER(F339)),N(F339)&lt;=0)),"Périodicité en jours manquante",IF(AND(E339&lt;&gt;"Calendrier",OR(NOT(ISNUMBER(G339)),N(G339)&lt;=0)),"Périodicité compteur manquante",IF(AND(J339&lt;&gt;"",OR(NOT(ISNUMBER(J339)),N(J339)&lt;=0)),"Date de réalisation invalide",IF(AND(K339&lt;&gt;"",OR(NOT(ISNUMBER(K339)),N(K339)&lt;0)),"Compteur de réalisation invalide",IF(AND(E339&lt;&gt;"Compteur",N(M339)=0,IFERROR(N(INDEX(eq_start,MATCH(B339,eq_code,0))),0)=0),"Date de départ manquante",IF(AND(E339&lt;&gt;"Calendrier",K339="",N(N339)=0),"Compteur de départ manquant",IF(AND(E339&lt;&gt;"Calendrier",N(Q339)=0),"Relevé compteur manquant (Équipements)",IF(AND(I339&lt;&gt;"",ISNA(MATCH(I339,tech_name,0))),"Technicien inconnu",IF(AND(L339&lt;&gt;"",L339&lt;&gt;"Oui",L339&lt;&gt;"Non"),"Actif : Oui ou Non","OK")))))))))))))))))</f>
        <v/>
      </c>
      <c r="W339" s="67">
        <f>IFERROR(N(INDEX(eq_use,MATCH(B339,eq_code,0))),0)</f>
        <v>0.0</v>
      </c>
      <c r="X339" s="67" t="str">
        <f>IF(AND(ISNUMBER(S339),W339&gt;0),p_today+MAX(0,ROUNDUP(S339*7/W339,0)),"")</f>
        <v/>
      </c>
      <c r="Y339" s="67" t="str">
        <f>IF(AND(ISNUMBER(T339),OR(U339="En retard",U339="Bientôt",U339="À jour")),IF(AND(ISNUMBER(O339),ISNUMBER(X339)),MIN(F339,G339*7/W339),IF(ISNUMBER(O339),F339,G339*7/W339)),"")</f>
        <v/>
      </c>
      <c r="Z339" s="67" t="str">
        <f>IF(OR(U339="En retard",U339="Bientôt"),IF(U339="En retard",0,1)*1000000000+IF(AB339="A",0,IF(AB339="B",1,IF(AB339="C",2,3)))*100000000+IF(ISNUMBER(T339),T339,p_today)*1000+ROW()-5,"")</f>
        <v/>
      </c>
      <c r="AA339" s="67" t="str">
        <f>IF(Z339="","",COUNTIF($Z$6:$Z$505,"&lt;"&amp;Z339)+1)</f>
        <v/>
      </c>
      <c r="AB339" s="67" t="str">
        <f>IFERROR(INDEX(eq_crit,MATCH(B339,eq_code,0))&amp;"","")</f>
        <v/>
      </c>
    </row>
    <row r="340">
      <c r="A340" s="65" t="n"/>
      <c r="B340" s="66" t="n"/>
      <c r="C340" s="67" t="str">
        <f>IF(B340="","",IFERROR(INDEX(eq_des,MATCH(B340,eq_code,0))&amp;"","Équipement inconnu"))</f>
        <v/>
      </c>
      <c r="D340" s="66" t="n"/>
      <c r="E340" s="68" t="n"/>
      <c r="F340" s="69" t="n"/>
      <c r="G340" s="70" t="n"/>
      <c r="H340" s="71" t="n"/>
      <c r="I340" s="66" t="n"/>
      <c r="J340" s="72" t="n"/>
      <c r="K340" s="73" t="n"/>
      <c r="L340" s="68" t="n"/>
      <c r="M340" s="74" t="str">
        <f>IF(AND(A340="",B340="",D340=""),"",MAX(N(J340),IF(A340="",0,SUMPRODUCT(MAX((in_plan=A340)*in_prev*in_dnum)))))</f>
        <v/>
      </c>
      <c r="N340" s="75" t="str">
        <f>IF(AND(A340="",B340="",D340=""),"",MAX(N(K340),IF(A340="",0,SUMPRODUCT(MAX((in_plan=A340)*in_prev*in_cnum)))))</f>
        <v/>
      </c>
      <c r="O340" s="76" t="str">
        <f>IF(AND(OR(E340="Calendrier",E340="Au premier des deux"),N(F340)&gt;0,IF(N(M340)&gt;0,M340,IFERROR(N(INDEX(eq_start,MATCH(B340,eq_code,0))),0))&gt;0),IF(N(M340)&gt;0,M340,IFERROR(N(INDEX(eq_start,MATCH(B340,eq_code,0))),0))+F340,"")</f>
        <v/>
      </c>
      <c r="P340" s="75" t="str">
        <f>IF(AND(OR(E340="Compteur",E340="Au premier des deux"),N(G340)&gt;0),N(N340)+G340,"")</f>
        <v/>
      </c>
      <c r="Q340" s="75" t="str">
        <f>IF(B340="","",IFERROR(N(INDEX(eq_cnt,MATCH(B340,eq_code,0))),""))</f>
        <v/>
      </c>
      <c r="R340" s="77" t="str">
        <f>IF(ISNUMBER(O340),O340-p_today,"")</f>
        <v/>
      </c>
      <c r="S340" s="78" t="str">
        <f>IF(AND(ISNUMBER(P340),N(Q340)&gt;0),P340-Q340,"")</f>
        <v/>
      </c>
      <c r="T340" s="76" t="str">
        <f>IF(AND(ISNUMBER(O340),ISNUMBER(X340)),MIN(O340,X340),IF(ISNUMBER(O340),O340,X340))</f>
        <v/>
      </c>
      <c r="U340" s="79" t="str">
        <f>IF(AND(A340="",B340="",D340=""),"",IF(L340="Non","Inactif",IF(AND(NOT(ISNUMBER(R340)),NOT(ISNUMBER(S340))),"À compléter",IF(OR(AND(ISNUMBER(R340),N(R340)&lt;0),AND(ISNUMBER(S340),N(S340)&lt;0)),"En retard",IF(OR(AND(ISNUMBER(R340),N(R340)&lt;=p_soon),AND(ISNUMBER(S340),N(S340)&lt;=p_soon_pct*N(G340))),"Bientôt","À jour")))))</f>
        <v/>
      </c>
      <c r="V340" s="79" t="str">
        <f>IF(AND(A340="",B340="",D340=""),"",IF(A340="","N° de plan manquant",IF(COUNTIF($A$6:$A$505,A340)&gt;1,"N° de plan en double",IF(B340="","Équipement manquant",IF(ISNA(MATCH(B340,eq_code,0)),"Équipement inconnu",IF(D340="","Tâche manquante",IF(E340="","Déclenchement manquant",IF(AND(E340&lt;&gt;"Calendrier",E340&lt;&gt;"Compteur",E340&lt;&gt;"Au premier des deux"),"Déclenchement inconnu",IF(AND(E340&lt;&gt;"Compteur",OR(NOT(ISNUMBER(F340)),N(F340)&lt;=0)),"Périodicité en jours manquante",IF(AND(E340&lt;&gt;"Calendrier",OR(NOT(ISNUMBER(G340)),N(G340)&lt;=0)),"Périodicité compteur manquante",IF(AND(J340&lt;&gt;"",OR(NOT(ISNUMBER(J340)),N(J340)&lt;=0)),"Date de réalisation invalide",IF(AND(K340&lt;&gt;"",OR(NOT(ISNUMBER(K340)),N(K340)&lt;0)),"Compteur de réalisation invalide",IF(AND(E340&lt;&gt;"Compteur",N(M340)=0,IFERROR(N(INDEX(eq_start,MATCH(B340,eq_code,0))),0)=0),"Date de départ manquante",IF(AND(E340&lt;&gt;"Calendrier",K340="",N(N340)=0),"Compteur de départ manquant",IF(AND(E340&lt;&gt;"Calendrier",N(Q340)=0),"Relevé compteur manquant (Équipements)",IF(AND(I340&lt;&gt;"",ISNA(MATCH(I340,tech_name,0))),"Technicien inconnu",IF(AND(L340&lt;&gt;"",L340&lt;&gt;"Oui",L340&lt;&gt;"Non"),"Actif : Oui ou Non","OK")))))))))))))))))</f>
        <v/>
      </c>
      <c r="W340" s="67">
        <f>IFERROR(N(INDEX(eq_use,MATCH(B340,eq_code,0))),0)</f>
        <v>0.0</v>
      </c>
      <c r="X340" s="67" t="str">
        <f>IF(AND(ISNUMBER(S340),W340&gt;0),p_today+MAX(0,ROUNDUP(S340*7/W340,0)),"")</f>
        <v/>
      </c>
      <c r="Y340" s="67" t="str">
        <f>IF(AND(ISNUMBER(T340),OR(U340="En retard",U340="Bientôt",U340="À jour")),IF(AND(ISNUMBER(O340),ISNUMBER(X340)),MIN(F340,G340*7/W340),IF(ISNUMBER(O340),F340,G340*7/W340)),"")</f>
        <v/>
      </c>
      <c r="Z340" s="67" t="str">
        <f>IF(OR(U340="En retard",U340="Bientôt"),IF(U340="En retard",0,1)*1000000000+IF(AB340="A",0,IF(AB340="B",1,IF(AB340="C",2,3)))*100000000+IF(ISNUMBER(T340),T340,p_today)*1000+ROW()-5,"")</f>
        <v/>
      </c>
      <c r="AA340" s="67" t="str">
        <f>IF(Z340="","",COUNTIF($Z$6:$Z$505,"&lt;"&amp;Z340)+1)</f>
        <v/>
      </c>
      <c r="AB340" s="67" t="str">
        <f>IFERROR(INDEX(eq_crit,MATCH(B340,eq_code,0))&amp;"","")</f>
        <v/>
      </c>
    </row>
    <row r="341">
      <c r="A341" s="65" t="n"/>
      <c r="B341" s="66" t="n"/>
      <c r="C341" s="67" t="str">
        <f>IF(B341="","",IFERROR(INDEX(eq_des,MATCH(B341,eq_code,0))&amp;"","Équipement inconnu"))</f>
        <v/>
      </c>
      <c r="D341" s="66" t="n"/>
      <c r="E341" s="68" t="n"/>
      <c r="F341" s="69" t="n"/>
      <c r="G341" s="70" t="n"/>
      <c r="H341" s="71" t="n"/>
      <c r="I341" s="66" t="n"/>
      <c r="J341" s="72" t="n"/>
      <c r="K341" s="73" t="n"/>
      <c r="L341" s="68" t="n"/>
      <c r="M341" s="74" t="str">
        <f>IF(AND(A341="",B341="",D341=""),"",MAX(N(J341),IF(A341="",0,SUMPRODUCT(MAX((in_plan=A341)*in_prev*in_dnum)))))</f>
        <v/>
      </c>
      <c r="N341" s="75" t="str">
        <f>IF(AND(A341="",B341="",D341=""),"",MAX(N(K341),IF(A341="",0,SUMPRODUCT(MAX((in_plan=A341)*in_prev*in_cnum)))))</f>
        <v/>
      </c>
      <c r="O341" s="76" t="str">
        <f>IF(AND(OR(E341="Calendrier",E341="Au premier des deux"),N(F341)&gt;0,IF(N(M341)&gt;0,M341,IFERROR(N(INDEX(eq_start,MATCH(B341,eq_code,0))),0))&gt;0),IF(N(M341)&gt;0,M341,IFERROR(N(INDEX(eq_start,MATCH(B341,eq_code,0))),0))+F341,"")</f>
        <v/>
      </c>
      <c r="P341" s="75" t="str">
        <f>IF(AND(OR(E341="Compteur",E341="Au premier des deux"),N(G341)&gt;0),N(N341)+G341,"")</f>
        <v/>
      </c>
      <c r="Q341" s="75" t="str">
        <f>IF(B341="","",IFERROR(N(INDEX(eq_cnt,MATCH(B341,eq_code,0))),""))</f>
        <v/>
      </c>
      <c r="R341" s="77" t="str">
        <f>IF(ISNUMBER(O341),O341-p_today,"")</f>
        <v/>
      </c>
      <c r="S341" s="78" t="str">
        <f>IF(AND(ISNUMBER(P341),N(Q341)&gt;0),P341-Q341,"")</f>
        <v/>
      </c>
      <c r="T341" s="76" t="str">
        <f>IF(AND(ISNUMBER(O341),ISNUMBER(X341)),MIN(O341,X341),IF(ISNUMBER(O341),O341,X341))</f>
        <v/>
      </c>
      <c r="U341" s="79" t="str">
        <f>IF(AND(A341="",B341="",D341=""),"",IF(L341="Non","Inactif",IF(AND(NOT(ISNUMBER(R341)),NOT(ISNUMBER(S341))),"À compléter",IF(OR(AND(ISNUMBER(R341),N(R341)&lt;0),AND(ISNUMBER(S341),N(S341)&lt;0)),"En retard",IF(OR(AND(ISNUMBER(R341),N(R341)&lt;=p_soon),AND(ISNUMBER(S341),N(S341)&lt;=p_soon_pct*N(G341))),"Bientôt","À jour")))))</f>
        <v/>
      </c>
      <c r="V341" s="79" t="str">
        <f>IF(AND(A341="",B341="",D341=""),"",IF(A341="","N° de plan manquant",IF(COUNTIF($A$6:$A$505,A341)&gt;1,"N° de plan en double",IF(B341="","Équipement manquant",IF(ISNA(MATCH(B341,eq_code,0)),"Équipement inconnu",IF(D341="","Tâche manquante",IF(E341="","Déclenchement manquant",IF(AND(E341&lt;&gt;"Calendrier",E341&lt;&gt;"Compteur",E341&lt;&gt;"Au premier des deux"),"Déclenchement inconnu",IF(AND(E341&lt;&gt;"Compteur",OR(NOT(ISNUMBER(F341)),N(F341)&lt;=0)),"Périodicité en jours manquante",IF(AND(E341&lt;&gt;"Calendrier",OR(NOT(ISNUMBER(G341)),N(G341)&lt;=0)),"Périodicité compteur manquante",IF(AND(J341&lt;&gt;"",OR(NOT(ISNUMBER(J341)),N(J341)&lt;=0)),"Date de réalisation invalide",IF(AND(K341&lt;&gt;"",OR(NOT(ISNUMBER(K341)),N(K341)&lt;0)),"Compteur de réalisation invalide",IF(AND(E341&lt;&gt;"Compteur",N(M341)=0,IFERROR(N(INDEX(eq_start,MATCH(B341,eq_code,0))),0)=0),"Date de départ manquante",IF(AND(E341&lt;&gt;"Calendrier",K341="",N(N341)=0),"Compteur de départ manquant",IF(AND(E341&lt;&gt;"Calendrier",N(Q341)=0),"Relevé compteur manquant (Équipements)",IF(AND(I341&lt;&gt;"",ISNA(MATCH(I341,tech_name,0))),"Technicien inconnu",IF(AND(L341&lt;&gt;"",L341&lt;&gt;"Oui",L341&lt;&gt;"Non"),"Actif : Oui ou Non","OK")))))))))))))))))</f>
        <v/>
      </c>
      <c r="W341" s="67">
        <f>IFERROR(N(INDEX(eq_use,MATCH(B341,eq_code,0))),0)</f>
        <v>0.0</v>
      </c>
      <c r="X341" s="67" t="str">
        <f>IF(AND(ISNUMBER(S341),W341&gt;0),p_today+MAX(0,ROUNDUP(S341*7/W341,0)),"")</f>
        <v/>
      </c>
      <c r="Y341" s="67" t="str">
        <f>IF(AND(ISNUMBER(T341),OR(U341="En retard",U341="Bientôt",U341="À jour")),IF(AND(ISNUMBER(O341),ISNUMBER(X341)),MIN(F341,G341*7/W341),IF(ISNUMBER(O341),F341,G341*7/W341)),"")</f>
        <v/>
      </c>
      <c r="Z341" s="67" t="str">
        <f>IF(OR(U341="En retard",U341="Bientôt"),IF(U341="En retard",0,1)*1000000000+IF(AB341="A",0,IF(AB341="B",1,IF(AB341="C",2,3)))*100000000+IF(ISNUMBER(T341),T341,p_today)*1000+ROW()-5,"")</f>
        <v/>
      </c>
      <c r="AA341" s="67" t="str">
        <f>IF(Z341="","",COUNTIF($Z$6:$Z$505,"&lt;"&amp;Z341)+1)</f>
        <v/>
      </c>
      <c r="AB341" s="67" t="str">
        <f>IFERROR(INDEX(eq_crit,MATCH(B341,eq_code,0))&amp;"","")</f>
        <v/>
      </c>
    </row>
    <row r="342">
      <c r="A342" s="65" t="n"/>
      <c r="B342" s="66" t="n"/>
      <c r="C342" s="67" t="str">
        <f>IF(B342="","",IFERROR(INDEX(eq_des,MATCH(B342,eq_code,0))&amp;"","Équipement inconnu"))</f>
        <v/>
      </c>
      <c r="D342" s="66" t="n"/>
      <c r="E342" s="68" t="n"/>
      <c r="F342" s="69" t="n"/>
      <c r="G342" s="70" t="n"/>
      <c r="H342" s="71" t="n"/>
      <c r="I342" s="66" t="n"/>
      <c r="J342" s="72" t="n"/>
      <c r="K342" s="73" t="n"/>
      <c r="L342" s="68" t="n"/>
      <c r="M342" s="74" t="str">
        <f>IF(AND(A342="",B342="",D342=""),"",MAX(N(J342),IF(A342="",0,SUMPRODUCT(MAX((in_plan=A342)*in_prev*in_dnum)))))</f>
        <v/>
      </c>
      <c r="N342" s="75" t="str">
        <f>IF(AND(A342="",B342="",D342=""),"",MAX(N(K342),IF(A342="",0,SUMPRODUCT(MAX((in_plan=A342)*in_prev*in_cnum)))))</f>
        <v/>
      </c>
      <c r="O342" s="76" t="str">
        <f>IF(AND(OR(E342="Calendrier",E342="Au premier des deux"),N(F342)&gt;0,IF(N(M342)&gt;0,M342,IFERROR(N(INDEX(eq_start,MATCH(B342,eq_code,0))),0))&gt;0),IF(N(M342)&gt;0,M342,IFERROR(N(INDEX(eq_start,MATCH(B342,eq_code,0))),0))+F342,"")</f>
        <v/>
      </c>
      <c r="P342" s="75" t="str">
        <f>IF(AND(OR(E342="Compteur",E342="Au premier des deux"),N(G342)&gt;0),N(N342)+G342,"")</f>
        <v/>
      </c>
      <c r="Q342" s="75" t="str">
        <f>IF(B342="","",IFERROR(N(INDEX(eq_cnt,MATCH(B342,eq_code,0))),""))</f>
        <v/>
      </c>
      <c r="R342" s="77" t="str">
        <f>IF(ISNUMBER(O342),O342-p_today,"")</f>
        <v/>
      </c>
      <c r="S342" s="78" t="str">
        <f>IF(AND(ISNUMBER(P342),N(Q342)&gt;0),P342-Q342,"")</f>
        <v/>
      </c>
      <c r="T342" s="76" t="str">
        <f>IF(AND(ISNUMBER(O342),ISNUMBER(X342)),MIN(O342,X342),IF(ISNUMBER(O342),O342,X342))</f>
        <v/>
      </c>
      <c r="U342" s="79" t="str">
        <f>IF(AND(A342="",B342="",D342=""),"",IF(L342="Non","Inactif",IF(AND(NOT(ISNUMBER(R342)),NOT(ISNUMBER(S342))),"À compléter",IF(OR(AND(ISNUMBER(R342),N(R342)&lt;0),AND(ISNUMBER(S342),N(S342)&lt;0)),"En retard",IF(OR(AND(ISNUMBER(R342),N(R342)&lt;=p_soon),AND(ISNUMBER(S342),N(S342)&lt;=p_soon_pct*N(G342))),"Bientôt","À jour")))))</f>
        <v/>
      </c>
      <c r="V342" s="79" t="str">
        <f>IF(AND(A342="",B342="",D342=""),"",IF(A342="","N° de plan manquant",IF(COUNTIF($A$6:$A$505,A342)&gt;1,"N° de plan en double",IF(B342="","Équipement manquant",IF(ISNA(MATCH(B342,eq_code,0)),"Équipement inconnu",IF(D342="","Tâche manquante",IF(E342="","Déclenchement manquant",IF(AND(E342&lt;&gt;"Calendrier",E342&lt;&gt;"Compteur",E342&lt;&gt;"Au premier des deux"),"Déclenchement inconnu",IF(AND(E342&lt;&gt;"Compteur",OR(NOT(ISNUMBER(F342)),N(F342)&lt;=0)),"Périodicité en jours manquante",IF(AND(E342&lt;&gt;"Calendrier",OR(NOT(ISNUMBER(G342)),N(G342)&lt;=0)),"Périodicité compteur manquante",IF(AND(J342&lt;&gt;"",OR(NOT(ISNUMBER(J342)),N(J342)&lt;=0)),"Date de réalisation invalide",IF(AND(K342&lt;&gt;"",OR(NOT(ISNUMBER(K342)),N(K342)&lt;0)),"Compteur de réalisation invalide",IF(AND(E342&lt;&gt;"Compteur",N(M342)=0,IFERROR(N(INDEX(eq_start,MATCH(B342,eq_code,0))),0)=0),"Date de départ manquante",IF(AND(E342&lt;&gt;"Calendrier",K342="",N(N342)=0),"Compteur de départ manquant",IF(AND(E342&lt;&gt;"Calendrier",N(Q342)=0),"Relevé compteur manquant (Équipements)",IF(AND(I342&lt;&gt;"",ISNA(MATCH(I342,tech_name,0))),"Technicien inconnu",IF(AND(L342&lt;&gt;"",L342&lt;&gt;"Oui",L342&lt;&gt;"Non"),"Actif : Oui ou Non","OK")))))))))))))))))</f>
        <v/>
      </c>
      <c r="W342" s="67">
        <f>IFERROR(N(INDEX(eq_use,MATCH(B342,eq_code,0))),0)</f>
        <v>0.0</v>
      </c>
      <c r="X342" s="67" t="str">
        <f>IF(AND(ISNUMBER(S342),W342&gt;0),p_today+MAX(0,ROUNDUP(S342*7/W342,0)),"")</f>
        <v/>
      </c>
      <c r="Y342" s="67" t="str">
        <f>IF(AND(ISNUMBER(T342),OR(U342="En retard",U342="Bientôt",U342="À jour")),IF(AND(ISNUMBER(O342),ISNUMBER(X342)),MIN(F342,G342*7/W342),IF(ISNUMBER(O342),F342,G342*7/W342)),"")</f>
        <v/>
      </c>
      <c r="Z342" s="67" t="str">
        <f>IF(OR(U342="En retard",U342="Bientôt"),IF(U342="En retard",0,1)*1000000000+IF(AB342="A",0,IF(AB342="B",1,IF(AB342="C",2,3)))*100000000+IF(ISNUMBER(T342),T342,p_today)*1000+ROW()-5,"")</f>
        <v/>
      </c>
      <c r="AA342" s="67" t="str">
        <f>IF(Z342="","",COUNTIF($Z$6:$Z$505,"&lt;"&amp;Z342)+1)</f>
        <v/>
      </c>
      <c r="AB342" s="67" t="str">
        <f>IFERROR(INDEX(eq_crit,MATCH(B342,eq_code,0))&amp;"","")</f>
        <v/>
      </c>
    </row>
    <row r="343">
      <c r="A343" s="65" t="n"/>
      <c r="B343" s="66" t="n"/>
      <c r="C343" s="67" t="str">
        <f>IF(B343="","",IFERROR(INDEX(eq_des,MATCH(B343,eq_code,0))&amp;"","Équipement inconnu"))</f>
        <v/>
      </c>
      <c r="D343" s="66" t="n"/>
      <c r="E343" s="68" t="n"/>
      <c r="F343" s="69" t="n"/>
      <c r="G343" s="70" t="n"/>
      <c r="H343" s="71" t="n"/>
      <c r="I343" s="66" t="n"/>
      <c r="J343" s="72" t="n"/>
      <c r="K343" s="73" t="n"/>
      <c r="L343" s="68" t="n"/>
      <c r="M343" s="74" t="str">
        <f>IF(AND(A343="",B343="",D343=""),"",MAX(N(J343),IF(A343="",0,SUMPRODUCT(MAX((in_plan=A343)*in_prev*in_dnum)))))</f>
        <v/>
      </c>
      <c r="N343" s="75" t="str">
        <f>IF(AND(A343="",B343="",D343=""),"",MAX(N(K343),IF(A343="",0,SUMPRODUCT(MAX((in_plan=A343)*in_prev*in_cnum)))))</f>
        <v/>
      </c>
      <c r="O343" s="76" t="str">
        <f>IF(AND(OR(E343="Calendrier",E343="Au premier des deux"),N(F343)&gt;0,IF(N(M343)&gt;0,M343,IFERROR(N(INDEX(eq_start,MATCH(B343,eq_code,0))),0))&gt;0),IF(N(M343)&gt;0,M343,IFERROR(N(INDEX(eq_start,MATCH(B343,eq_code,0))),0))+F343,"")</f>
        <v/>
      </c>
      <c r="P343" s="75" t="str">
        <f>IF(AND(OR(E343="Compteur",E343="Au premier des deux"),N(G343)&gt;0),N(N343)+G343,"")</f>
        <v/>
      </c>
      <c r="Q343" s="75" t="str">
        <f>IF(B343="","",IFERROR(N(INDEX(eq_cnt,MATCH(B343,eq_code,0))),""))</f>
        <v/>
      </c>
      <c r="R343" s="77" t="str">
        <f>IF(ISNUMBER(O343),O343-p_today,"")</f>
        <v/>
      </c>
      <c r="S343" s="78" t="str">
        <f>IF(AND(ISNUMBER(P343),N(Q343)&gt;0),P343-Q343,"")</f>
        <v/>
      </c>
      <c r="T343" s="76" t="str">
        <f>IF(AND(ISNUMBER(O343),ISNUMBER(X343)),MIN(O343,X343),IF(ISNUMBER(O343),O343,X343))</f>
        <v/>
      </c>
      <c r="U343" s="79" t="str">
        <f>IF(AND(A343="",B343="",D343=""),"",IF(L343="Non","Inactif",IF(AND(NOT(ISNUMBER(R343)),NOT(ISNUMBER(S343))),"À compléter",IF(OR(AND(ISNUMBER(R343),N(R343)&lt;0),AND(ISNUMBER(S343),N(S343)&lt;0)),"En retard",IF(OR(AND(ISNUMBER(R343),N(R343)&lt;=p_soon),AND(ISNUMBER(S343),N(S343)&lt;=p_soon_pct*N(G343))),"Bientôt","À jour")))))</f>
        <v/>
      </c>
      <c r="V343" s="79" t="str">
        <f>IF(AND(A343="",B343="",D343=""),"",IF(A343="","N° de plan manquant",IF(COUNTIF($A$6:$A$505,A343)&gt;1,"N° de plan en double",IF(B343="","Équipement manquant",IF(ISNA(MATCH(B343,eq_code,0)),"Équipement inconnu",IF(D343="","Tâche manquante",IF(E343="","Déclenchement manquant",IF(AND(E343&lt;&gt;"Calendrier",E343&lt;&gt;"Compteur",E343&lt;&gt;"Au premier des deux"),"Déclenchement inconnu",IF(AND(E343&lt;&gt;"Compteur",OR(NOT(ISNUMBER(F343)),N(F343)&lt;=0)),"Périodicité en jours manquante",IF(AND(E343&lt;&gt;"Calendrier",OR(NOT(ISNUMBER(G343)),N(G343)&lt;=0)),"Périodicité compteur manquante",IF(AND(J343&lt;&gt;"",OR(NOT(ISNUMBER(J343)),N(J343)&lt;=0)),"Date de réalisation invalide",IF(AND(K343&lt;&gt;"",OR(NOT(ISNUMBER(K343)),N(K343)&lt;0)),"Compteur de réalisation invalide",IF(AND(E343&lt;&gt;"Compteur",N(M343)=0,IFERROR(N(INDEX(eq_start,MATCH(B343,eq_code,0))),0)=0),"Date de départ manquante",IF(AND(E343&lt;&gt;"Calendrier",K343="",N(N343)=0),"Compteur de départ manquant",IF(AND(E343&lt;&gt;"Calendrier",N(Q343)=0),"Relevé compteur manquant (Équipements)",IF(AND(I343&lt;&gt;"",ISNA(MATCH(I343,tech_name,0))),"Technicien inconnu",IF(AND(L343&lt;&gt;"",L343&lt;&gt;"Oui",L343&lt;&gt;"Non"),"Actif : Oui ou Non","OK")))))))))))))))))</f>
        <v/>
      </c>
      <c r="W343" s="67">
        <f>IFERROR(N(INDEX(eq_use,MATCH(B343,eq_code,0))),0)</f>
        <v>0.0</v>
      </c>
      <c r="X343" s="67" t="str">
        <f>IF(AND(ISNUMBER(S343),W343&gt;0),p_today+MAX(0,ROUNDUP(S343*7/W343,0)),"")</f>
        <v/>
      </c>
      <c r="Y343" s="67" t="str">
        <f>IF(AND(ISNUMBER(T343),OR(U343="En retard",U343="Bientôt",U343="À jour")),IF(AND(ISNUMBER(O343),ISNUMBER(X343)),MIN(F343,G343*7/W343),IF(ISNUMBER(O343),F343,G343*7/W343)),"")</f>
        <v/>
      </c>
      <c r="Z343" s="67" t="str">
        <f>IF(OR(U343="En retard",U343="Bientôt"),IF(U343="En retard",0,1)*1000000000+IF(AB343="A",0,IF(AB343="B",1,IF(AB343="C",2,3)))*100000000+IF(ISNUMBER(T343),T343,p_today)*1000+ROW()-5,"")</f>
        <v/>
      </c>
      <c r="AA343" s="67" t="str">
        <f>IF(Z343="","",COUNTIF($Z$6:$Z$505,"&lt;"&amp;Z343)+1)</f>
        <v/>
      </c>
      <c r="AB343" s="67" t="str">
        <f>IFERROR(INDEX(eq_crit,MATCH(B343,eq_code,0))&amp;"","")</f>
        <v/>
      </c>
    </row>
    <row r="344">
      <c r="A344" s="65" t="n"/>
      <c r="B344" s="66" t="n"/>
      <c r="C344" s="67" t="str">
        <f>IF(B344="","",IFERROR(INDEX(eq_des,MATCH(B344,eq_code,0))&amp;"","Équipement inconnu"))</f>
        <v/>
      </c>
      <c r="D344" s="66" t="n"/>
      <c r="E344" s="68" t="n"/>
      <c r="F344" s="69" t="n"/>
      <c r="G344" s="70" t="n"/>
      <c r="H344" s="71" t="n"/>
      <c r="I344" s="66" t="n"/>
      <c r="J344" s="72" t="n"/>
      <c r="K344" s="73" t="n"/>
      <c r="L344" s="68" t="n"/>
      <c r="M344" s="74" t="str">
        <f>IF(AND(A344="",B344="",D344=""),"",MAX(N(J344),IF(A344="",0,SUMPRODUCT(MAX((in_plan=A344)*in_prev*in_dnum)))))</f>
        <v/>
      </c>
      <c r="N344" s="75" t="str">
        <f>IF(AND(A344="",B344="",D344=""),"",MAX(N(K344),IF(A344="",0,SUMPRODUCT(MAX((in_plan=A344)*in_prev*in_cnum)))))</f>
        <v/>
      </c>
      <c r="O344" s="76" t="str">
        <f>IF(AND(OR(E344="Calendrier",E344="Au premier des deux"),N(F344)&gt;0,IF(N(M344)&gt;0,M344,IFERROR(N(INDEX(eq_start,MATCH(B344,eq_code,0))),0))&gt;0),IF(N(M344)&gt;0,M344,IFERROR(N(INDEX(eq_start,MATCH(B344,eq_code,0))),0))+F344,"")</f>
        <v/>
      </c>
      <c r="P344" s="75" t="str">
        <f>IF(AND(OR(E344="Compteur",E344="Au premier des deux"),N(G344)&gt;0),N(N344)+G344,"")</f>
        <v/>
      </c>
      <c r="Q344" s="75" t="str">
        <f>IF(B344="","",IFERROR(N(INDEX(eq_cnt,MATCH(B344,eq_code,0))),""))</f>
        <v/>
      </c>
      <c r="R344" s="77" t="str">
        <f>IF(ISNUMBER(O344),O344-p_today,"")</f>
        <v/>
      </c>
      <c r="S344" s="78" t="str">
        <f>IF(AND(ISNUMBER(P344),N(Q344)&gt;0),P344-Q344,"")</f>
        <v/>
      </c>
      <c r="T344" s="76" t="str">
        <f>IF(AND(ISNUMBER(O344),ISNUMBER(X344)),MIN(O344,X344),IF(ISNUMBER(O344),O344,X344))</f>
        <v/>
      </c>
      <c r="U344" s="79" t="str">
        <f>IF(AND(A344="",B344="",D344=""),"",IF(L344="Non","Inactif",IF(AND(NOT(ISNUMBER(R344)),NOT(ISNUMBER(S344))),"À compléter",IF(OR(AND(ISNUMBER(R344),N(R344)&lt;0),AND(ISNUMBER(S344),N(S344)&lt;0)),"En retard",IF(OR(AND(ISNUMBER(R344),N(R344)&lt;=p_soon),AND(ISNUMBER(S344),N(S344)&lt;=p_soon_pct*N(G344))),"Bientôt","À jour")))))</f>
        <v/>
      </c>
      <c r="V344" s="79" t="str">
        <f>IF(AND(A344="",B344="",D344=""),"",IF(A344="","N° de plan manquant",IF(COUNTIF($A$6:$A$505,A344)&gt;1,"N° de plan en double",IF(B344="","Équipement manquant",IF(ISNA(MATCH(B344,eq_code,0)),"Équipement inconnu",IF(D344="","Tâche manquante",IF(E344="","Déclenchement manquant",IF(AND(E344&lt;&gt;"Calendrier",E344&lt;&gt;"Compteur",E344&lt;&gt;"Au premier des deux"),"Déclenchement inconnu",IF(AND(E344&lt;&gt;"Compteur",OR(NOT(ISNUMBER(F344)),N(F344)&lt;=0)),"Périodicité en jours manquante",IF(AND(E344&lt;&gt;"Calendrier",OR(NOT(ISNUMBER(G344)),N(G344)&lt;=0)),"Périodicité compteur manquante",IF(AND(J344&lt;&gt;"",OR(NOT(ISNUMBER(J344)),N(J344)&lt;=0)),"Date de réalisation invalide",IF(AND(K344&lt;&gt;"",OR(NOT(ISNUMBER(K344)),N(K344)&lt;0)),"Compteur de réalisation invalide",IF(AND(E344&lt;&gt;"Compteur",N(M344)=0,IFERROR(N(INDEX(eq_start,MATCH(B344,eq_code,0))),0)=0),"Date de départ manquante",IF(AND(E344&lt;&gt;"Calendrier",K344="",N(N344)=0),"Compteur de départ manquant",IF(AND(E344&lt;&gt;"Calendrier",N(Q344)=0),"Relevé compteur manquant (Équipements)",IF(AND(I344&lt;&gt;"",ISNA(MATCH(I344,tech_name,0))),"Technicien inconnu",IF(AND(L344&lt;&gt;"",L344&lt;&gt;"Oui",L344&lt;&gt;"Non"),"Actif : Oui ou Non","OK")))))))))))))))))</f>
        <v/>
      </c>
      <c r="W344" s="67">
        <f>IFERROR(N(INDEX(eq_use,MATCH(B344,eq_code,0))),0)</f>
        <v>0.0</v>
      </c>
      <c r="X344" s="67" t="str">
        <f>IF(AND(ISNUMBER(S344),W344&gt;0),p_today+MAX(0,ROUNDUP(S344*7/W344,0)),"")</f>
        <v/>
      </c>
      <c r="Y344" s="67" t="str">
        <f>IF(AND(ISNUMBER(T344),OR(U344="En retard",U344="Bientôt",U344="À jour")),IF(AND(ISNUMBER(O344),ISNUMBER(X344)),MIN(F344,G344*7/W344),IF(ISNUMBER(O344),F344,G344*7/W344)),"")</f>
        <v/>
      </c>
      <c r="Z344" s="67" t="str">
        <f>IF(OR(U344="En retard",U344="Bientôt"),IF(U344="En retard",0,1)*1000000000+IF(AB344="A",0,IF(AB344="B",1,IF(AB344="C",2,3)))*100000000+IF(ISNUMBER(T344),T344,p_today)*1000+ROW()-5,"")</f>
        <v/>
      </c>
      <c r="AA344" s="67" t="str">
        <f>IF(Z344="","",COUNTIF($Z$6:$Z$505,"&lt;"&amp;Z344)+1)</f>
        <v/>
      </c>
      <c r="AB344" s="67" t="str">
        <f>IFERROR(INDEX(eq_crit,MATCH(B344,eq_code,0))&amp;"","")</f>
        <v/>
      </c>
    </row>
    <row r="345">
      <c r="A345" s="65" t="n"/>
      <c r="B345" s="66" t="n"/>
      <c r="C345" s="67" t="str">
        <f>IF(B345="","",IFERROR(INDEX(eq_des,MATCH(B345,eq_code,0))&amp;"","Équipement inconnu"))</f>
        <v/>
      </c>
      <c r="D345" s="66" t="n"/>
      <c r="E345" s="68" t="n"/>
      <c r="F345" s="69" t="n"/>
      <c r="G345" s="70" t="n"/>
      <c r="H345" s="71" t="n"/>
      <c r="I345" s="66" t="n"/>
      <c r="J345" s="72" t="n"/>
      <c r="K345" s="73" t="n"/>
      <c r="L345" s="68" t="n"/>
      <c r="M345" s="74" t="str">
        <f>IF(AND(A345="",B345="",D345=""),"",MAX(N(J345),IF(A345="",0,SUMPRODUCT(MAX((in_plan=A345)*in_prev*in_dnum)))))</f>
        <v/>
      </c>
      <c r="N345" s="75" t="str">
        <f>IF(AND(A345="",B345="",D345=""),"",MAX(N(K345),IF(A345="",0,SUMPRODUCT(MAX((in_plan=A345)*in_prev*in_cnum)))))</f>
        <v/>
      </c>
      <c r="O345" s="76" t="str">
        <f>IF(AND(OR(E345="Calendrier",E345="Au premier des deux"),N(F345)&gt;0,IF(N(M345)&gt;0,M345,IFERROR(N(INDEX(eq_start,MATCH(B345,eq_code,0))),0))&gt;0),IF(N(M345)&gt;0,M345,IFERROR(N(INDEX(eq_start,MATCH(B345,eq_code,0))),0))+F345,"")</f>
        <v/>
      </c>
      <c r="P345" s="75" t="str">
        <f>IF(AND(OR(E345="Compteur",E345="Au premier des deux"),N(G345)&gt;0),N(N345)+G345,"")</f>
        <v/>
      </c>
      <c r="Q345" s="75" t="str">
        <f>IF(B345="","",IFERROR(N(INDEX(eq_cnt,MATCH(B345,eq_code,0))),""))</f>
        <v/>
      </c>
      <c r="R345" s="77" t="str">
        <f>IF(ISNUMBER(O345),O345-p_today,"")</f>
        <v/>
      </c>
      <c r="S345" s="78" t="str">
        <f>IF(AND(ISNUMBER(P345),N(Q345)&gt;0),P345-Q345,"")</f>
        <v/>
      </c>
      <c r="T345" s="76" t="str">
        <f>IF(AND(ISNUMBER(O345),ISNUMBER(X345)),MIN(O345,X345),IF(ISNUMBER(O345),O345,X345))</f>
        <v/>
      </c>
      <c r="U345" s="79" t="str">
        <f>IF(AND(A345="",B345="",D345=""),"",IF(L345="Non","Inactif",IF(AND(NOT(ISNUMBER(R345)),NOT(ISNUMBER(S345))),"À compléter",IF(OR(AND(ISNUMBER(R345),N(R345)&lt;0),AND(ISNUMBER(S345),N(S345)&lt;0)),"En retard",IF(OR(AND(ISNUMBER(R345),N(R345)&lt;=p_soon),AND(ISNUMBER(S345),N(S345)&lt;=p_soon_pct*N(G345))),"Bientôt","À jour")))))</f>
        <v/>
      </c>
      <c r="V345" s="79" t="str">
        <f>IF(AND(A345="",B345="",D345=""),"",IF(A345="","N° de plan manquant",IF(COUNTIF($A$6:$A$505,A345)&gt;1,"N° de plan en double",IF(B345="","Équipement manquant",IF(ISNA(MATCH(B345,eq_code,0)),"Équipement inconnu",IF(D345="","Tâche manquante",IF(E345="","Déclenchement manquant",IF(AND(E345&lt;&gt;"Calendrier",E345&lt;&gt;"Compteur",E345&lt;&gt;"Au premier des deux"),"Déclenchement inconnu",IF(AND(E345&lt;&gt;"Compteur",OR(NOT(ISNUMBER(F345)),N(F345)&lt;=0)),"Périodicité en jours manquante",IF(AND(E345&lt;&gt;"Calendrier",OR(NOT(ISNUMBER(G345)),N(G345)&lt;=0)),"Périodicité compteur manquante",IF(AND(J345&lt;&gt;"",OR(NOT(ISNUMBER(J345)),N(J345)&lt;=0)),"Date de réalisation invalide",IF(AND(K345&lt;&gt;"",OR(NOT(ISNUMBER(K345)),N(K345)&lt;0)),"Compteur de réalisation invalide",IF(AND(E345&lt;&gt;"Compteur",N(M345)=0,IFERROR(N(INDEX(eq_start,MATCH(B345,eq_code,0))),0)=0),"Date de départ manquante",IF(AND(E345&lt;&gt;"Calendrier",K345="",N(N345)=0),"Compteur de départ manquant",IF(AND(E345&lt;&gt;"Calendrier",N(Q345)=0),"Relevé compteur manquant (Équipements)",IF(AND(I345&lt;&gt;"",ISNA(MATCH(I345,tech_name,0))),"Technicien inconnu",IF(AND(L345&lt;&gt;"",L345&lt;&gt;"Oui",L345&lt;&gt;"Non"),"Actif : Oui ou Non","OK")))))))))))))))))</f>
        <v/>
      </c>
      <c r="W345" s="67">
        <f>IFERROR(N(INDEX(eq_use,MATCH(B345,eq_code,0))),0)</f>
        <v>0.0</v>
      </c>
      <c r="X345" s="67" t="str">
        <f>IF(AND(ISNUMBER(S345),W345&gt;0),p_today+MAX(0,ROUNDUP(S345*7/W345,0)),"")</f>
        <v/>
      </c>
      <c r="Y345" s="67" t="str">
        <f>IF(AND(ISNUMBER(T345),OR(U345="En retard",U345="Bientôt",U345="À jour")),IF(AND(ISNUMBER(O345),ISNUMBER(X345)),MIN(F345,G345*7/W345),IF(ISNUMBER(O345),F345,G345*7/W345)),"")</f>
        <v/>
      </c>
      <c r="Z345" s="67" t="str">
        <f>IF(OR(U345="En retard",U345="Bientôt"),IF(U345="En retard",0,1)*1000000000+IF(AB345="A",0,IF(AB345="B",1,IF(AB345="C",2,3)))*100000000+IF(ISNUMBER(T345),T345,p_today)*1000+ROW()-5,"")</f>
        <v/>
      </c>
      <c r="AA345" s="67" t="str">
        <f>IF(Z345="","",COUNTIF($Z$6:$Z$505,"&lt;"&amp;Z345)+1)</f>
        <v/>
      </c>
      <c r="AB345" s="67" t="str">
        <f>IFERROR(INDEX(eq_crit,MATCH(B345,eq_code,0))&amp;"","")</f>
        <v/>
      </c>
    </row>
    <row r="346">
      <c r="A346" s="65" t="n"/>
      <c r="B346" s="66" t="n"/>
      <c r="C346" s="67" t="str">
        <f>IF(B346="","",IFERROR(INDEX(eq_des,MATCH(B346,eq_code,0))&amp;"","Équipement inconnu"))</f>
        <v/>
      </c>
      <c r="D346" s="66" t="n"/>
      <c r="E346" s="68" t="n"/>
      <c r="F346" s="69" t="n"/>
      <c r="G346" s="70" t="n"/>
      <c r="H346" s="71" t="n"/>
      <c r="I346" s="66" t="n"/>
      <c r="J346" s="72" t="n"/>
      <c r="K346" s="73" t="n"/>
      <c r="L346" s="68" t="n"/>
      <c r="M346" s="74" t="str">
        <f>IF(AND(A346="",B346="",D346=""),"",MAX(N(J346),IF(A346="",0,SUMPRODUCT(MAX((in_plan=A346)*in_prev*in_dnum)))))</f>
        <v/>
      </c>
      <c r="N346" s="75" t="str">
        <f>IF(AND(A346="",B346="",D346=""),"",MAX(N(K346),IF(A346="",0,SUMPRODUCT(MAX((in_plan=A346)*in_prev*in_cnum)))))</f>
        <v/>
      </c>
      <c r="O346" s="76" t="str">
        <f>IF(AND(OR(E346="Calendrier",E346="Au premier des deux"),N(F346)&gt;0,IF(N(M346)&gt;0,M346,IFERROR(N(INDEX(eq_start,MATCH(B346,eq_code,0))),0))&gt;0),IF(N(M346)&gt;0,M346,IFERROR(N(INDEX(eq_start,MATCH(B346,eq_code,0))),0))+F346,"")</f>
        <v/>
      </c>
      <c r="P346" s="75" t="str">
        <f>IF(AND(OR(E346="Compteur",E346="Au premier des deux"),N(G346)&gt;0),N(N346)+G346,"")</f>
        <v/>
      </c>
      <c r="Q346" s="75" t="str">
        <f>IF(B346="","",IFERROR(N(INDEX(eq_cnt,MATCH(B346,eq_code,0))),""))</f>
        <v/>
      </c>
      <c r="R346" s="77" t="str">
        <f>IF(ISNUMBER(O346),O346-p_today,"")</f>
        <v/>
      </c>
      <c r="S346" s="78" t="str">
        <f>IF(AND(ISNUMBER(P346),N(Q346)&gt;0),P346-Q346,"")</f>
        <v/>
      </c>
      <c r="T346" s="76" t="str">
        <f>IF(AND(ISNUMBER(O346),ISNUMBER(X346)),MIN(O346,X346),IF(ISNUMBER(O346),O346,X346))</f>
        <v/>
      </c>
      <c r="U346" s="79" t="str">
        <f>IF(AND(A346="",B346="",D346=""),"",IF(L346="Non","Inactif",IF(AND(NOT(ISNUMBER(R346)),NOT(ISNUMBER(S346))),"À compléter",IF(OR(AND(ISNUMBER(R346),N(R346)&lt;0),AND(ISNUMBER(S346),N(S346)&lt;0)),"En retard",IF(OR(AND(ISNUMBER(R346),N(R346)&lt;=p_soon),AND(ISNUMBER(S346),N(S346)&lt;=p_soon_pct*N(G346))),"Bientôt","À jour")))))</f>
        <v/>
      </c>
      <c r="V346" s="79" t="str">
        <f>IF(AND(A346="",B346="",D346=""),"",IF(A346="","N° de plan manquant",IF(COUNTIF($A$6:$A$505,A346)&gt;1,"N° de plan en double",IF(B346="","Équipement manquant",IF(ISNA(MATCH(B346,eq_code,0)),"Équipement inconnu",IF(D346="","Tâche manquante",IF(E346="","Déclenchement manquant",IF(AND(E346&lt;&gt;"Calendrier",E346&lt;&gt;"Compteur",E346&lt;&gt;"Au premier des deux"),"Déclenchement inconnu",IF(AND(E346&lt;&gt;"Compteur",OR(NOT(ISNUMBER(F346)),N(F346)&lt;=0)),"Périodicité en jours manquante",IF(AND(E346&lt;&gt;"Calendrier",OR(NOT(ISNUMBER(G346)),N(G346)&lt;=0)),"Périodicité compteur manquante",IF(AND(J346&lt;&gt;"",OR(NOT(ISNUMBER(J346)),N(J346)&lt;=0)),"Date de réalisation invalide",IF(AND(K346&lt;&gt;"",OR(NOT(ISNUMBER(K346)),N(K346)&lt;0)),"Compteur de réalisation invalide",IF(AND(E346&lt;&gt;"Compteur",N(M346)=0,IFERROR(N(INDEX(eq_start,MATCH(B346,eq_code,0))),0)=0),"Date de départ manquante",IF(AND(E346&lt;&gt;"Calendrier",K346="",N(N346)=0),"Compteur de départ manquant",IF(AND(E346&lt;&gt;"Calendrier",N(Q346)=0),"Relevé compteur manquant (Équipements)",IF(AND(I346&lt;&gt;"",ISNA(MATCH(I346,tech_name,0))),"Technicien inconnu",IF(AND(L346&lt;&gt;"",L346&lt;&gt;"Oui",L346&lt;&gt;"Non"),"Actif : Oui ou Non","OK")))))))))))))))))</f>
        <v/>
      </c>
      <c r="W346" s="67">
        <f>IFERROR(N(INDEX(eq_use,MATCH(B346,eq_code,0))),0)</f>
        <v>0.0</v>
      </c>
      <c r="X346" s="67" t="str">
        <f>IF(AND(ISNUMBER(S346),W346&gt;0),p_today+MAX(0,ROUNDUP(S346*7/W346,0)),"")</f>
        <v/>
      </c>
      <c r="Y346" s="67" t="str">
        <f>IF(AND(ISNUMBER(T346),OR(U346="En retard",U346="Bientôt",U346="À jour")),IF(AND(ISNUMBER(O346),ISNUMBER(X346)),MIN(F346,G346*7/W346),IF(ISNUMBER(O346),F346,G346*7/W346)),"")</f>
        <v/>
      </c>
      <c r="Z346" s="67" t="str">
        <f>IF(OR(U346="En retard",U346="Bientôt"),IF(U346="En retard",0,1)*1000000000+IF(AB346="A",0,IF(AB346="B",1,IF(AB346="C",2,3)))*100000000+IF(ISNUMBER(T346),T346,p_today)*1000+ROW()-5,"")</f>
        <v/>
      </c>
      <c r="AA346" s="67" t="str">
        <f>IF(Z346="","",COUNTIF($Z$6:$Z$505,"&lt;"&amp;Z346)+1)</f>
        <v/>
      </c>
      <c r="AB346" s="67" t="str">
        <f>IFERROR(INDEX(eq_crit,MATCH(B346,eq_code,0))&amp;"","")</f>
        <v/>
      </c>
    </row>
    <row r="347">
      <c r="A347" s="65" t="n"/>
      <c r="B347" s="66" t="n"/>
      <c r="C347" s="67" t="str">
        <f>IF(B347="","",IFERROR(INDEX(eq_des,MATCH(B347,eq_code,0))&amp;"","Équipement inconnu"))</f>
        <v/>
      </c>
      <c r="D347" s="66" t="n"/>
      <c r="E347" s="68" t="n"/>
      <c r="F347" s="69" t="n"/>
      <c r="G347" s="70" t="n"/>
      <c r="H347" s="71" t="n"/>
      <c r="I347" s="66" t="n"/>
      <c r="J347" s="72" t="n"/>
      <c r="K347" s="73" t="n"/>
      <c r="L347" s="68" t="n"/>
      <c r="M347" s="74" t="str">
        <f>IF(AND(A347="",B347="",D347=""),"",MAX(N(J347),IF(A347="",0,SUMPRODUCT(MAX((in_plan=A347)*in_prev*in_dnum)))))</f>
        <v/>
      </c>
      <c r="N347" s="75" t="str">
        <f>IF(AND(A347="",B347="",D347=""),"",MAX(N(K347),IF(A347="",0,SUMPRODUCT(MAX((in_plan=A347)*in_prev*in_cnum)))))</f>
        <v/>
      </c>
      <c r="O347" s="76" t="str">
        <f>IF(AND(OR(E347="Calendrier",E347="Au premier des deux"),N(F347)&gt;0,IF(N(M347)&gt;0,M347,IFERROR(N(INDEX(eq_start,MATCH(B347,eq_code,0))),0))&gt;0),IF(N(M347)&gt;0,M347,IFERROR(N(INDEX(eq_start,MATCH(B347,eq_code,0))),0))+F347,"")</f>
        <v/>
      </c>
      <c r="P347" s="75" t="str">
        <f>IF(AND(OR(E347="Compteur",E347="Au premier des deux"),N(G347)&gt;0),N(N347)+G347,"")</f>
        <v/>
      </c>
      <c r="Q347" s="75" t="str">
        <f>IF(B347="","",IFERROR(N(INDEX(eq_cnt,MATCH(B347,eq_code,0))),""))</f>
        <v/>
      </c>
      <c r="R347" s="77" t="str">
        <f>IF(ISNUMBER(O347),O347-p_today,"")</f>
        <v/>
      </c>
      <c r="S347" s="78" t="str">
        <f>IF(AND(ISNUMBER(P347),N(Q347)&gt;0),P347-Q347,"")</f>
        <v/>
      </c>
      <c r="T347" s="76" t="str">
        <f>IF(AND(ISNUMBER(O347),ISNUMBER(X347)),MIN(O347,X347),IF(ISNUMBER(O347),O347,X347))</f>
        <v/>
      </c>
      <c r="U347" s="79" t="str">
        <f>IF(AND(A347="",B347="",D347=""),"",IF(L347="Non","Inactif",IF(AND(NOT(ISNUMBER(R347)),NOT(ISNUMBER(S347))),"À compléter",IF(OR(AND(ISNUMBER(R347),N(R347)&lt;0),AND(ISNUMBER(S347),N(S347)&lt;0)),"En retard",IF(OR(AND(ISNUMBER(R347),N(R347)&lt;=p_soon),AND(ISNUMBER(S347),N(S347)&lt;=p_soon_pct*N(G347))),"Bientôt","À jour")))))</f>
        <v/>
      </c>
      <c r="V347" s="79" t="str">
        <f>IF(AND(A347="",B347="",D347=""),"",IF(A347="","N° de plan manquant",IF(COUNTIF($A$6:$A$505,A347)&gt;1,"N° de plan en double",IF(B347="","Équipement manquant",IF(ISNA(MATCH(B347,eq_code,0)),"Équipement inconnu",IF(D347="","Tâche manquante",IF(E347="","Déclenchement manquant",IF(AND(E347&lt;&gt;"Calendrier",E347&lt;&gt;"Compteur",E347&lt;&gt;"Au premier des deux"),"Déclenchement inconnu",IF(AND(E347&lt;&gt;"Compteur",OR(NOT(ISNUMBER(F347)),N(F347)&lt;=0)),"Périodicité en jours manquante",IF(AND(E347&lt;&gt;"Calendrier",OR(NOT(ISNUMBER(G347)),N(G347)&lt;=0)),"Périodicité compteur manquante",IF(AND(J347&lt;&gt;"",OR(NOT(ISNUMBER(J347)),N(J347)&lt;=0)),"Date de réalisation invalide",IF(AND(K347&lt;&gt;"",OR(NOT(ISNUMBER(K347)),N(K347)&lt;0)),"Compteur de réalisation invalide",IF(AND(E347&lt;&gt;"Compteur",N(M347)=0,IFERROR(N(INDEX(eq_start,MATCH(B347,eq_code,0))),0)=0),"Date de départ manquante",IF(AND(E347&lt;&gt;"Calendrier",K347="",N(N347)=0),"Compteur de départ manquant",IF(AND(E347&lt;&gt;"Calendrier",N(Q347)=0),"Relevé compteur manquant (Équipements)",IF(AND(I347&lt;&gt;"",ISNA(MATCH(I347,tech_name,0))),"Technicien inconnu",IF(AND(L347&lt;&gt;"",L347&lt;&gt;"Oui",L347&lt;&gt;"Non"),"Actif : Oui ou Non","OK")))))))))))))))))</f>
        <v/>
      </c>
      <c r="W347" s="67">
        <f>IFERROR(N(INDEX(eq_use,MATCH(B347,eq_code,0))),0)</f>
        <v>0.0</v>
      </c>
      <c r="X347" s="67" t="str">
        <f>IF(AND(ISNUMBER(S347),W347&gt;0),p_today+MAX(0,ROUNDUP(S347*7/W347,0)),"")</f>
        <v/>
      </c>
      <c r="Y347" s="67" t="str">
        <f>IF(AND(ISNUMBER(T347),OR(U347="En retard",U347="Bientôt",U347="À jour")),IF(AND(ISNUMBER(O347),ISNUMBER(X347)),MIN(F347,G347*7/W347),IF(ISNUMBER(O347),F347,G347*7/W347)),"")</f>
        <v/>
      </c>
      <c r="Z347" s="67" t="str">
        <f>IF(OR(U347="En retard",U347="Bientôt"),IF(U347="En retard",0,1)*1000000000+IF(AB347="A",0,IF(AB347="B",1,IF(AB347="C",2,3)))*100000000+IF(ISNUMBER(T347),T347,p_today)*1000+ROW()-5,"")</f>
        <v/>
      </c>
      <c r="AA347" s="67" t="str">
        <f>IF(Z347="","",COUNTIF($Z$6:$Z$505,"&lt;"&amp;Z347)+1)</f>
        <v/>
      </c>
      <c r="AB347" s="67" t="str">
        <f>IFERROR(INDEX(eq_crit,MATCH(B347,eq_code,0))&amp;"","")</f>
        <v/>
      </c>
    </row>
    <row r="348">
      <c r="A348" s="65" t="n"/>
      <c r="B348" s="66" t="n"/>
      <c r="C348" s="67" t="str">
        <f>IF(B348="","",IFERROR(INDEX(eq_des,MATCH(B348,eq_code,0))&amp;"","Équipement inconnu"))</f>
        <v/>
      </c>
      <c r="D348" s="66" t="n"/>
      <c r="E348" s="68" t="n"/>
      <c r="F348" s="69" t="n"/>
      <c r="G348" s="70" t="n"/>
      <c r="H348" s="71" t="n"/>
      <c r="I348" s="66" t="n"/>
      <c r="J348" s="72" t="n"/>
      <c r="K348" s="73" t="n"/>
      <c r="L348" s="68" t="n"/>
      <c r="M348" s="74" t="str">
        <f>IF(AND(A348="",B348="",D348=""),"",MAX(N(J348),IF(A348="",0,SUMPRODUCT(MAX((in_plan=A348)*in_prev*in_dnum)))))</f>
        <v/>
      </c>
      <c r="N348" s="75" t="str">
        <f>IF(AND(A348="",B348="",D348=""),"",MAX(N(K348),IF(A348="",0,SUMPRODUCT(MAX((in_plan=A348)*in_prev*in_cnum)))))</f>
        <v/>
      </c>
      <c r="O348" s="76" t="str">
        <f>IF(AND(OR(E348="Calendrier",E348="Au premier des deux"),N(F348)&gt;0,IF(N(M348)&gt;0,M348,IFERROR(N(INDEX(eq_start,MATCH(B348,eq_code,0))),0))&gt;0),IF(N(M348)&gt;0,M348,IFERROR(N(INDEX(eq_start,MATCH(B348,eq_code,0))),0))+F348,"")</f>
        <v/>
      </c>
      <c r="P348" s="75" t="str">
        <f>IF(AND(OR(E348="Compteur",E348="Au premier des deux"),N(G348)&gt;0),N(N348)+G348,"")</f>
        <v/>
      </c>
      <c r="Q348" s="75" t="str">
        <f>IF(B348="","",IFERROR(N(INDEX(eq_cnt,MATCH(B348,eq_code,0))),""))</f>
        <v/>
      </c>
      <c r="R348" s="77" t="str">
        <f>IF(ISNUMBER(O348),O348-p_today,"")</f>
        <v/>
      </c>
      <c r="S348" s="78" t="str">
        <f>IF(AND(ISNUMBER(P348),N(Q348)&gt;0),P348-Q348,"")</f>
        <v/>
      </c>
      <c r="T348" s="76" t="str">
        <f>IF(AND(ISNUMBER(O348),ISNUMBER(X348)),MIN(O348,X348),IF(ISNUMBER(O348),O348,X348))</f>
        <v/>
      </c>
      <c r="U348" s="79" t="str">
        <f>IF(AND(A348="",B348="",D348=""),"",IF(L348="Non","Inactif",IF(AND(NOT(ISNUMBER(R348)),NOT(ISNUMBER(S348))),"À compléter",IF(OR(AND(ISNUMBER(R348),N(R348)&lt;0),AND(ISNUMBER(S348),N(S348)&lt;0)),"En retard",IF(OR(AND(ISNUMBER(R348),N(R348)&lt;=p_soon),AND(ISNUMBER(S348),N(S348)&lt;=p_soon_pct*N(G348))),"Bientôt","À jour")))))</f>
        <v/>
      </c>
      <c r="V348" s="79" t="str">
        <f>IF(AND(A348="",B348="",D348=""),"",IF(A348="","N° de plan manquant",IF(COUNTIF($A$6:$A$505,A348)&gt;1,"N° de plan en double",IF(B348="","Équipement manquant",IF(ISNA(MATCH(B348,eq_code,0)),"Équipement inconnu",IF(D348="","Tâche manquante",IF(E348="","Déclenchement manquant",IF(AND(E348&lt;&gt;"Calendrier",E348&lt;&gt;"Compteur",E348&lt;&gt;"Au premier des deux"),"Déclenchement inconnu",IF(AND(E348&lt;&gt;"Compteur",OR(NOT(ISNUMBER(F348)),N(F348)&lt;=0)),"Périodicité en jours manquante",IF(AND(E348&lt;&gt;"Calendrier",OR(NOT(ISNUMBER(G348)),N(G348)&lt;=0)),"Périodicité compteur manquante",IF(AND(J348&lt;&gt;"",OR(NOT(ISNUMBER(J348)),N(J348)&lt;=0)),"Date de réalisation invalide",IF(AND(K348&lt;&gt;"",OR(NOT(ISNUMBER(K348)),N(K348)&lt;0)),"Compteur de réalisation invalide",IF(AND(E348&lt;&gt;"Compteur",N(M348)=0,IFERROR(N(INDEX(eq_start,MATCH(B348,eq_code,0))),0)=0),"Date de départ manquante",IF(AND(E348&lt;&gt;"Calendrier",K348="",N(N348)=0),"Compteur de départ manquant",IF(AND(E348&lt;&gt;"Calendrier",N(Q348)=0),"Relevé compteur manquant (Équipements)",IF(AND(I348&lt;&gt;"",ISNA(MATCH(I348,tech_name,0))),"Technicien inconnu",IF(AND(L348&lt;&gt;"",L348&lt;&gt;"Oui",L348&lt;&gt;"Non"),"Actif : Oui ou Non","OK")))))))))))))))))</f>
        <v/>
      </c>
      <c r="W348" s="67">
        <f>IFERROR(N(INDEX(eq_use,MATCH(B348,eq_code,0))),0)</f>
        <v>0.0</v>
      </c>
      <c r="X348" s="67" t="str">
        <f>IF(AND(ISNUMBER(S348),W348&gt;0),p_today+MAX(0,ROUNDUP(S348*7/W348,0)),"")</f>
        <v/>
      </c>
      <c r="Y348" s="67" t="str">
        <f>IF(AND(ISNUMBER(T348),OR(U348="En retard",U348="Bientôt",U348="À jour")),IF(AND(ISNUMBER(O348),ISNUMBER(X348)),MIN(F348,G348*7/W348),IF(ISNUMBER(O348),F348,G348*7/W348)),"")</f>
        <v/>
      </c>
      <c r="Z348" s="67" t="str">
        <f>IF(OR(U348="En retard",U348="Bientôt"),IF(U348="En retard",0,1)*1000000000+IF(AB348="A",0,IF(AB348="B",1,IF(AB348="C",2,3)))*100000000+IF(ISNUMBER(T348),T348,p_today)*1000+ROW()-5,"")</f>
        <v/>
      </c>
      <c r="AA348" s="67" t="str">
        <f>IF(Z348="","",COUNTIF($Z$6:$Z$505,"&lt;"&amp;Z348)+1)</f>
        <v/>
      </c>
      <c r="AB348" s="67" t="str">
        <f>IFERROR(INDEX(eq_crit,MATCH(B348,eq_code,0))&amp;"","")</f>
        <v/>
      </c>
    </row>
    <row r="349">
      <c r="A349" s="65" t="n"/>
      <c r="B349" s="66" t="n"/>
      <c r="C349" s="67" t="str">
        <f>IF(B349="","",IFERROR(INDEX(eq_des,MATCH(B349,eq_code,0))&amp;"","Équipement inconnu"))</f>
        <v/>
      </c>
      <c r="D349" s="66" t="n"/>
      <c r="E349" s="68" t="n"/>
      <c r="F349" s="69" t="n"/>
      <c r="G349" s="70" t="n"/>
      <c r="H349" s="71" t="n"/>
      <c r="I349" s="66" t="n"/>
      <c r="J349" s="72" t="n"/>
      <c r="K349" s="73" t="n"/>
      <c r="L349" s="68" t="n"/>
      <c r="M349" s="74" t="str">
        <f>IF(AND(A349="",B349="",D349=""),"",MAX(N(J349),IF(A349="",0,SUMPRODUCT(MAX((in_plan=A349)*in_prev*in_dnum)))))</f>
        <v/>
      </c>
      <c r="N349" s="75" t="str">
        <f>IF(AND(A349="",B349="",D349=""),"",MAX(N(K349),IF(A349="",0,SUMPRODUCT(MAX((in_plan=A349)*in_prev*in_cnum)))))</f>
        <v/>
      </c>
      <c r="O349" s="76" t="str">
        <f>IF(AND(OR(E349="Calendrier",E349="Au premier des deux"),N(F349)&gt;0,IF(N(M349)&gt;0,M349,IFERROR(N(INDEX(eq_start,MATCH(B349,eq_code,0))),0))&gt;0),IF(N(M349)&gt;0,M349,IFERROR(N(INDEX(eq_start,MATCH(B349,eq_code,0))),0))+F349,"")</f>
        <v/>
      </c>
      <c r="P349" s="75" t="str">
        <f>IF(AND(OR(E349="Compteur",E349="Au premier des deux"),N(G349)&gt;0),N(N349)+G349,"")</f>
        <v/>
      </c>
      <c r="Q349" s="75" t="str">
        <f>IF(B349="","",IFERROR(N(INDEX(eq_cnt,MATCH(B349,eq_code,0))),""))</f>
        <v/>
      </c>
      <c r="R349" s="77" t="str">
        <f>IF(ISNUMBER(O349),O349-p_today,"")</f>
        <v/>
      </c>
      <c r="S349" s="78" t="str">
        <f>IF(AND(ISNUMBER(P349),N(Q349)&gt;0),P349-Q349,"")</f>
        <v/>
      </c>
      <c r="T349" s="76" t="str">
        <f>IF(AND(ISNUMBER(O349),ISNUMBER(X349)),MIN(O349,X349),IF(ISNUMBER(O349),O349,X349))</f>
        <v/>
      </c>
      <c r="U349" s="79" t="str">
        <f>IF(AND(A349="",B349="",D349=""),"",IF(L349="Non","Inactif",IF(AND(NOT(ISNUMBER(R349)),NOT(ISNUMBER(S349))),"À compléter",IF(OR(AND(ISNUMBER(R349),N(R349)&lt;0),AND(ISNUMBER(S349),N(S349)&lt;0)),"En retard",IF(OR(AND(ISNUMBER(R349),N(R349)&lt;=p_soon),AND(ISNUMBER(S349),N(S349)&lt;=p_soon_pct*N(G349))),"Bientôt","À jour")))))</f>
        <v/>
      </c>
      <c r="V349" s="79" t="str">
        <f>IF(AND(A349="",B349="",D349=""),"",IF(A349="","N° de plan manquant",IF(COUNTIF($A$6:$A$505,A349)&gt;1,"N° de plan en double",IF(B349="","Équipement manquant",IF(ISNA(MATCH(B349,eq_code,0)),"Équipement inconnu",IF(D349="","Tâche manquante",IF(E349="","Déclenchement manquant",IF(AND(E349&lt;&gt;"Calendrier",E349&lt;&gt;"Compteur",E349&lt;&gt;"Au premier des deux"),"Déclenchement inconnu",IF(AND(E349&lt;&gt;"Compteur",OR(NOT(ISNUMBER(F349)),N(F349)&lt;=0)),"Périodicité en jours manquante",IF(AND(E349&lt;&gt;"Calendrier",OR(NOT(ISNUMBER(G349)),N(G349)&lt;=0)),"Périodicité compteur manquante",IF(AND(J349&lt;&gt;"",OR(NOT(ISNUMBER(J349)),N(J349)&lt;=0)),"Date de réalisation invalide",IF(AND(K349&lt;&gt;"",OR(NOT(ISNUMBER(K349)),N(K349)&lt;0)),"Compteur de réalisation invalide",IF(AND(E349&lt;&gt;"Compteur",N(M349)=0,IFERROR(N(INDEX(eq_start,MATCH(B349,eq_code,0))),0)=0),"Date de départ manquante",IF(AND(E349&lt;&gt;"Calendrier",K349="",N(N349)=0),"Compteur de départ manquant",IF(AND(E349&lt;&gt;"Calendrier",N(Q349)=0),"Relevé compteur manquant (Équipements)",IF(AND(I349&lt;&gt;"",ISNA(MATCH(I349,tech_name,0))),"Technicien inconnu",IF(AND(L349&lt;&gt;"",L349&lt;&gt;"Oui",L349&lt;&gt;"Non"),"Actif : Oui ou Non","OK")))))))))))))))))</f>
        <v/>
      </c>
      <c r="W349" s="67">
        <f>IFERROR(N(INDEX(eq_use,MATCH(B349,eq_code,0))),0)</f>
        <v>0.0</v>
      </c>
      <c r="X349" s="67" t="str">
        <f>IF(AND(ISNUMBER(S349),W349&gt;0),p_today+MAX(0,ROUNDUP(S349*7/W349,0)),"")</f>
        <v/>
      </c>
      <c r="Y349" s="67" t="str">
        <f>IF(AND(ISNUMBER(T349),OR(U349="En retard",U349="Bientôt",U349="À jour")),IF(AND(ISNUMBER(O349),ISNUMBER(X349)),MIN(F349,G349*7/W349),IF(ISNUMBER(O349),F349,G349*7/W349)),"")</f>
        <v/>
      </c>
      <c r="Z349" s="67" t="str">
        <f>IF(OR(U349="En retard",U349="Bientôt"),IF(U349="En retard",0,1)*1000000000+IF(AB349="A",0,IF(AB349="B",1,IF(AB349="C",2,3)))*100000000+IF(ISNUMBER(T349),T349,p_today)*1000+ROW()-5,"")</f>
        <v/>
      </c>
      <c r="AA349" s="67" t="str">
        <f>IF(Z349="","",COUNTIF($Z$6:$Z$505,"&lt;"&amp;Z349)+1)</f>
        <v/>
      </c>
      <c r="AB349" s="67" t="str">
        <f>IFERROR(INDEX(eq_crit,MATCH(B349,eq_code,0))&amp;"","")</f>
        <v/>
      </c>
    </row>
    <row r="350">
      <c r="A350" s="65" t="n"/>
      <c r="B350" s="66" t="n"/>
      <c r="C350" s="67" t="str">
        <f>IF(B350="","",IFERROR(INDEX(eq_des,MATCH(B350,eq_code,0))&amp;"","Équipement inconnu"))</f>
        <v/>
      </c>
      <c r="D350" s="66" t="n"/>
      <c r="E350" s="68" t="n"/>
      <c r="F350" s="69" t="n"/>
      <c r="G350" s="70" t="n"/>
      <c r="H350" s="71" t="n"/>
      <c r="I350" s="66" t="n"/>
      <c r="J350" s="72" t="n"/>
      <c r="K350" s="73" t="n"/>
      <c r="L350" s="68" t="n"/>
      <c r="M350" s="74" t="str">
        <f>IF(AND(A350="",B350="",D350=""),"",MAX(N(J350),IF(A350="",0,SUMPRODUCT(MAX((in_plan=A350)*in_prev*in_dnum)))))</f>
        <v/>
      </c>
      <c r="N350" s="75" t="str">
        <f>IF(AND(A350="",B350="",D350=""),"",MAX(N(K350),IF(A350="",0,SUMPRODUCT(MAX((in_plan=A350)*in_prev*in_cnum)))))</f>
        <v/>
      </c>
      <c r="O350" s="76" t="str">
        <f>IF(AND(OR(E350="Calendrier",E350="Au premier des deux"),N(F350)&gt;0,IF(N(M350)&gt;0,M350,IFERROR(N(INDEX(eq_start,MATCH(B350,eq_code,0))),0))&gt;0),IF(N(M350)&gt;0,M350,IFERROR(N(INDEX(eq_start,MATCH(B350,eq_code,0))),0))+F350,"")</f>
        <v/>
      </c>
      <c r="P350" s="75" t="str">
        <f>IF(AND(OR(E350="Compteur",E350="Au premier des deux"),N(G350)&gt;0),N(N350)+G350,"")</f>
        <v/>
      </c>
      <c r="Q350" s="75" t="str">
        <f>IF(B350="","",IFERROR(N(INDEX(eq_cnt,MATCH(B350,eq_code,0))),""))</f>
        <v/>
      </c>
      <c r="R350" s="77" t="str">
        <f>IF(ISNUMBER(O350),O350-p_today,"")</f>
        <v/>
      </c>
      <c r="S350" s="78" t="str">
        <f>IF(AND(ISNUMBER(P350),N(Q350)&gt;0),P350-Q350,"")</f>
        <v/>
      </c>
      <c r="T350" s="76" t="str">
        <f>IF(AND(ISNUMBER(O350),ISNUMBER(X350)),MIN(O350,X350),IF(ISNUMBER(O350),O350,X350))</f>
        <v/>
      </c>
      <c r="U350" s="79" t="str">
        <f>IF(AND(A350="",B350="",D350=""),"",IF(L350="Non","Inactif",IF(AND(NOT(ISNUMBER(R350)),NOT(ISNUMBER(S350))),"À compléter",IF(OR(AND(ISNUMBER(R350),N(R350)&lt;0),AND(ISNUMBER(S350),N(S350)&lt;0)),"En retard",IF(OR(AND(ISNUMBER(R350),N(R350)&lt;=p_soon),AND(ISNUMBER(S350),N(S350)&lt;=p_soon_pct*N(G350))),"Bientôt","À jour")))))</f>
        <v/>
      </c>
      <c r="V350" s="79" t="str">
        <f>IF(AND(A350="",B350="",D350=""),"",IF(A350="","N° de plan manquant",IF(COUNTIF($A$6:$A$505,A350)&gt;1,"N° de plan en double",IF(B350="","Équipement manquant",IF(ISNA(MATCH(B350,eq_code,0)),"Équipement inconnu",IF(D350="","Tâche manquante",IF(E350="","Déclenchement manquant",IF(AND(E350&lt;&gt;"Calendrier",E350&lt;&gt;"Compteur",E350&lt;&gt;"Au premier des deux"),"Déclenchement inconnu",IF(AND(E350&lt;&gt;"Compteur",OR(NOT(ISNUMBER(F350)),N(F350)&lt;=0)),"Périodicité en jours manquante",IF(AND(E350&lt;&gt;"Calendrier",OR(NOT(ISNUMBER(G350)),N(G350)&lt;=0)),"Périodicité compteur manquante",IF(AND(J350&lt;&gt;"",OR(NOT(ISNUMBER(J350)),N(J350)&lt;=0)),"Date de réalisation invalide",IF(AND(K350&lt;&gt;"",OR(NOT(ISNUMBER(K350)),N(K350)&lt;0)),"Compteur de réalisation invalide",IF(AND(E350&lt;&gt;"Compteur",N(M350)=0,IFERROR(N(INDEX(eq_start,MATCH(B350,eq_code,0))),0)=0),"Date de départ manquante",IF(AND(E350&lt;&gt;"Calendrier",K350="",N(N350)=0),"Compteur de départ manquant",IF(AND(E350&lt;&gt;"Calendrier",N(Q350)=0),"Relevé compteur manquant (Équipements)",IF(AND(I350&lt;&gt;"",ISNA(MATCH(I350,tech_name,0))),"Technicien inconnu",IF(AND(L350&lt;&gt;"",L350&lt;&gt;"Oui",L350&lt;&gt;"Non"),"Actif : Oui ou Non","OK")))))))))))))))))</f>
        <v/>
      </c>
      <c r="W350" s="67">
        <f>IFERROR(N(INDEX(eq_use,MATCH(B350,eq_code,0))),0)</f>
        <v>0.0</v>
      </c>
      <c r="X350" s="67" t="str">
        <f>IF(AND(ISNUMBER(S350),W350&gt;0),p_today+MAX(0,ROUNDUP(S350*7/W350,0)),"")</f>
        <v/>
      </c>
      <c r="Y350" s="67" t="str">
        <f>IF(AND(ISNUMBER(T350),OR(U350="En retard",U350="Bientôt",U350="À jour")),IF(AND(ISNUMBER(O350),ISNUMBER(X350)),MIN(F350,G350*7/W350),IF(ISNUMBER(O350),F350,G350*7/W350)),"")</f>
        <v/>
      </c>
      <c r="Z350" s="67" t="str">
        <f>IF(OR(U350="En retard",U350="Bientôt"),IF(U350="En retard",0,1)*1000000000+IF(AB350="A",0,IF(AB350="B",1,IF(AB350="C",2,3)))*100000000+IF(ISNUMBER(T350),T350,p_today)*1000+ROW()-5,"")</f>
        <v/>
      </c>
      <c r="AA350" s="67" t="str">
        <f>IF(Z350="","",COUNTIF($Z$6:$Z$505,"&lt;"&amp;Z350)+1)</f>
        <v/>
      </c>
      <c r="AB350" s="67" t="str">
        <f>IFERROR(INDEX(eq_crit,MATCH(B350,eq_code,0))&amp;"","")</f>
        <v/>
      </c>
    </row>
    <row r="351">
      <c r="A351" s="65" t="n"/>
      <c r="B351" s="66" t="n"/>
      <c r="C351" s="67" t="str">
        <f>IF(B351="","",IFERROR(INDEX(eq_des,MATCH(B351,eq_code,0))&amp;"","Équipement inconnu"))</f>
        <v/>
      </c>
      <c r="D351" s="66" t="n"/>
      <c r="E351" s="68" t="n"/>
      <c r="F351" s="69" t="n"/>
      <c r="G351" s="70" t="n"/>
      <c r="H351" s="71" t="n"/>
      <c r="I351" s="66" t="n"/>
      <c r="J351" s="72" t="n"/>
      <c r="K351" s="73" t="n"/>
      <c r="L351" s="68" t="n"/>
      <c r="M351" s="74" t="str">
        <f>IF(AND(A351="",B351="",D351=""),"",MAX(N(J351),IF(A351="",0,SUMPRODUCT(MAX((in_plan=A351)*in_prev*in_dnum)))))</f>
        <v/>
      </c>
      <c r="N351" s="75" t="str">
        <f>IF(AND(A351="",B351="",D351=""),"",MAX(N(K351),IF(A351="",0,SUMPRODUCT(MAX((in_plan=A351)*in_prev*in_cnum)))))</f>
        <v/>
      </c>
      <c r="O351" s="76" t="str">
        <f>IF(AND(OR(E351="Calendrier",E351="Au premier des deux"),N(F351)&gt;0,IF(N(M351)&gt;0,M351,IFERROR(N(INDEX(eq_start,MATCH(B351,eq_code,0))),0))&gt;0),IF(N(M351)&gt;0,M351,IFERROR(N(INDEX(eq_start,MATCH(B351,eq_code,0))),0))+F351,"")</f>
        <v/>
      </c>
      <c r="P351" s="75" t="str">
        <f>IF(AND(OR(E351="Compteur",E351="Au premier des deux"),N(G351)&gt;0),N(N351)+G351,"")</f>
        <v/>
      </c>
      <c r="Q351" s="75" t="str">
        <f>IF(B351="","",IFERROR(N(INDEX(eq_cnt,MATCH(B351,eq_code,0))),""))</f>
        <v/>
      </c>
      <c r="R351" s="77" t="str">
        <f>IF(ISNUMBER(O351),O351-p_today,"")</f>
        <v/>
      </c>
      <c r="S351" s="78" t="str">
        <f>IF(AND(ISNUMBER(P351),N(Q351)&gt;0),P351-Q351,"")</f>
        <v/>
      </c>
      <c r="T351" s="76" t="str">
        <f>IF(AND(ISNUMBER(O351),ISNUMBER(X351)),MIN(O351,X351),IF(ISNUMBER(O351),O351,X351))</f>
        <v/>
      </c>
      <c r="U351" s="79" t="str">
        <f>IF(AND(A351="",B351="",D351=""),"",IF(L351="Non","Inactif",IF(AND(NOT(ISNUMBER(R351)),NOT(ISNUMBER(S351))),"À compléter",IF(OR(AND(ISNUMBER(R351),N(R351)&lt;0),AND(ISNUMBER(S351),N(S351)&lt;0)),"En retard",IF(OR(AND(ISNUMBER(R351),N(R351)&lt;=p_soon),AND(ISNUMBER(S351),N(S351)&lt;=p_soon_pct*N(G351))),"Bientôt","À jour")))))</f>
        <v/>
      </c>
      <c r="V351" s="79" t="str">
        <f>IF(AND(A351="",B351="",D351=""),"",IF(A351="","N° de plan manquant",IF(COUNTIF($A$6:$A$505,A351)&gt;1,"N° de plan en double",IF(B351="","Équipement manquant",IF(ISNA(MATCH(B351,eq_code,0)),"Équipement inconnu",IF(D351="","Tâche manquante",IF(E351="","Déclenchement manquant",IF(AND(E351&lt;&gt;"Calendrier",E351&lt;&gt;"Compteur",E351&lt;&gt;"Au premier des deux"),"Déclenchement inconnu",IF(AND(E351&lt;&gt;"Compteur",OR(NOT(ISNUMBER(F351)),N(F351)&lt;=0)),"Périodicité en jours manquante",IF(AND(E351&lt;&gt;"Calendrier",OR(NOT(ISNUMBER(G351)),N(G351)&lt;=0)),"Périodicité compteur manquante",IF(AND(J351&lt;&gt;"",OR(NOT(ISNUMBER(J351)),N(J351)&lt;=0)),"Date de réalisation invalide",IF(AND(K351&lt;&gt;"",OR(NOT(ISNUMBER(K351)),N(K351)&lt;0)),"Compteur de réalisation invalide",IF(AND(E351&lt;&gt;"Compteur",N(M351)=0,IFERROR(N(INDEX(eq_start,MATCH(B351,eq_code,0))),0)=0),"Date de départ manquante",IF(AND(E351&lt;&gt;"Calendrier",K351="",N(N351)=0),"Compteur de départ manquant",IF(AND(E351&lt;&gt;"Calendrier",N(Q351)=0),"Relevé compteur manquant (Équipements)",IF(AND(I351&lt;&gt;"",ISNA(MATCH(I351,tech_name,0))),"Technicien inconnu",IF(AND(L351&lt;&gt;"",L351&lt;&gt;"Oui",L351&lt;&gt;"Non"),"Actif : Oui ou Non","OK")))))))))))))))))</f>
        <v/>
      </c>
      <c r="W351" s="67">
        <f>IFERROR(N(INDEX(eq_use,MATCH(B351,eq_code,0))),0)</f>
        <v>0.0</v>
      </c>
      <c r="X351" s="67" t="str">
        <f>IF(AND(ISNUMBER(S351),W351&gt;0),p_today+MAX(0,ROUNDUP(S351*7/W351,0)),"")</f>
        <v/>
      </c>
      <c r="Y351" s="67" t="str">
        <f>IF(AND(ISNUMBER(T351),OR(U351="En retard",U351="Bientôt",U351="À jour")),IF(AND(ISNUMBER(O351),ISNUMBER(X351)),MIN(F351,G351*7/W351),IF(ISNUMBER(O351),F351,G351*7/W351)),"")</f>
        <v/>
      </c>
      <c r="Z351" s="67" t="str">
        <f>IF(OR(U351="En retard",U351="Bientôt"),IF(U351="En retard",0,1)*1000000000+IF(AB351="A",0,IF(AB351="B",1,IF(AB351="C",2,3)))*100000000+IF(ISNUMBER(T351),T351,p_today)*1000+ROW()-5,"")</f>
        <v/>
      </c>
      <c r="AA351" s="67" t="str">
        <f>IF(Z351="","",COUNTIF($Z$6:$Z$505,"&lt;"&amp;Z351)+1)</f>
        <v/>
      </c>
      <c r="AB351" s="67" t="str">
        <f>IFERROR(INDEX(eq_crit,MATCH(B351,eq_code,0))&amp;"","")</f>
        <v/>
      </c>
    </row>
    <row r="352">
      <c r="A352" s="65" t="n"/>
      <c r="B352" s="66" t="n"/>
      <c r="C352" s="67" t="str">
        <f>IF(B352="","",IFERROR(INDEX(eq_des,MATCH(B352,eq_code,0))&amp;"","Équipement inconnu"))</f>
        <v/>
      </c>
      <c r="D352" s="66" t="n"/>
      <c r="E352" s="68" t="n"/>
      <c r="F352" s="69" t="n"/>
      <c r="G352" s="70" t="n"/>
      <c r="H352" s="71" t="n"/>
      <c r="I352" s="66" t="n"/>
      <c r="J352" s="72" t="n"/>
      <c r="K352" s="73" t="n"/>
      <c r="L352" s="68" t="n"/>
      <c r="M352" s="74" t="str">
        <f>IF(AND(A352="",B352="",D352=""),"",MAX(N(J352),IF(A352="",0,SUMPRODUCT(MAX((in_plan=A352)*in_prev*in_dnum)))))</f>
        <v/>
      </c>
      <c r="N352" s="75" t="str">
        <f>IF(AND(A352="",B352="",D352=""),"",MAX(N(K352),IF(A352="",0,SUMPRODUCT(MAX((in_plan=A352)*in_prev*in_cnum)))))</f>
        <v/>
      </c>
      <c r="O352" s="76" t="str">
        <f>IF(AND(OR(E352="Calendrier",E352="Au premier des deux"),N(F352)&gt;0,IF(N(M352)&gt;0,M352,IFERROR(N(INDEX(eq_start,MATCH(B352,eq_code,0))),0))&gt;0),IF(N(M352)&gt;0,M352,IFERROR(N(INDEX(eq_start,MATCH(B352,eq_code,0))),0))+F352,"")</f>
        <v/>
      </c>
      <c r="P352" s="75" t="str">
        <f>IF(AND(OR(E352="Compteur",E352="Au premier des deux"),N(G352)&gt;0),N(N352)+G352,"")</f>
        <v/>
      </c>
      <c r="Q352" s="75" t="str">
        <f>IF(B352="","",IFERROR(N(INDEX(eq_cnt,MATCH(B352,eq_code,0))),""))</f>
        <v/>
      </c>
      <c r="R352" s="77" t="str">
        <f>IF(ISNUMBER(O352),O352-p_today,"")</f>
        <v/>
      </c>
      <c r="S352" s="78" t="str">
        <f>IF(AND(ISNUMBER(P352),N(Q352)&gt;0),P352-Q352,"")</f>
        <v/>
      </c>
      <c r="T352" s="76" t="str">
        <f>IF(AND(ISNUMBER(O352),ISNUMBER(X352)),MIN(O352,X352),IF(ISNUMBER(O352),O352,X352))</f>
        <v/>
      </c>
      <c r="U352" s="79" t="str">
        <f>IF(AND(A352="",B352="",D352=""),"",IF(L352="Non","Inactif",IF(AND(NOT(ISNUMBER(R352)),NOT(ISNUMBER(S352))),"À compléter",IF(OR(AND(ISNUMBER(R352),N(R352)&lt;0),AND(ISNUMBER(S352),N(S352)&lt;0)),"En retard",IF(OR(AND(ISNUMBER(R352),N(R352)&lt;=p_soon),AND(ISNUMBER(S352),N(S352)&lt;=p_soon_pct*N(G352))),"Bientôt","À jour")))))</f>
        <v/>
      </c>
      <c r="V352" s="79" t="str">
        <f>IF(AND(A352="",B352="",D352=""),"",IF(A352="","N° de plan manquant",IF(COUNTIF($A$6:$A$505,A352)&gt;1,"N° de plan en double",IF(B352="","Équipement manquant",IF(ISNA(MATCH(B352,eq_code,0)),"Équipement inconnu",IF(D352="","Tâche manquante",IF(E352="","Déclenchement manquant",IF(AND(E352&lt;&gt;"Calendrier",E352&lt;&gt;"Compteur",E352&lt;&gt;"Au premier des deux"),"Déclenchement inconnu",IF(AND(E352&lt;&gt;"Compteur",OR(NOT(ISNUMBER(F352)),N(F352)&lt;=0)),"Périodicité en jours manquante",IF(AND(E352&lt;&gt;"Calendrier",OR(NOT(ISNUMBER(G352)),N(G352)&lt;=0)),"Périodicité compteur manquante",IF(AND(J352&lt;&gt;"",OR(NOT(ISNUMBER(J352)),N(J352)&lt;=0)),"Date de réalisation invalide",IF(AND(K352&lt;&gt;"",OR(NOT(ISNUMBER(K352)),N(K352)&lt;0)),"Compteur de réalisation invalide",IF(AND(E352&lt;&gt;"Compteur",N(M352)=0,IFERROR(N(INDEX(eq_start,MATCH(B352,eq_code,0))),0)=0),"Date de départ manquante",IF(AND(E352&lt;&gt;"Calendrier",K352="",N(N352)=0),"Compteur de départ manquant",IF(AND(E352&lt;&gt;"Calendrier",N(Q352)=0),"Relevé compteur manquant (Équipements)",IF(AND(I352&lt;&gt;"",ISNA(MATCH(I352,tech_name,0))),"Technicien inconnu",IF(AND(L352&lt;&gt;"",L352&lt;&gt;"Oui",L352&lt;&gt;"Non"),"Actif : Oui ou Non","OK")))))))))))))))))</f>
        <v/>
      </c>
      <c r="W352" s="67">
        <f>IFERROR(N(INDEX(eq_use,MATCH(B352,eq_code,0))),0)</f>
        <v>0.0</v>
      </c>
      <c r="X352" s="67" t="str">
        <f>IF(AND(ISNUMBER(S352),W352&gt;0),p_today+MAX(0,ROUNDUP(S352*7/W352,0)),"")</f>
        <v/>
      </c>
      <c r="Y352" s="67" t="str">
        <f>IF(AND(ISNUMBER(T352),OR(U352="En retard",U352="Bientôt",U352="À jour")),IF(AND(ISNUMBER(O352),ISNUMBER(X352)),MIN(F352,G352*7/W352),IF(ISNUMBER(O352),F352,G352*7/W352)),"")</f>
        <v/>
      </c>
      <c r="Z352" s="67" t="str">
        <f>IF(OR(U352="En retard",U352="Bientôt"),IF(U352="En retard",0,1)*1000000000+IF(AB352="A",0,IF(AB352="B",1,IF(AB352="C",2,3)))*100000000+IF(ISNUMBER(T352),T352,p_today)*1000+ROW()-5,"")</f>
        <v/>
      </c>
      <c r="AA352" s="67" t="str">
        <f>IF(Z352="","",COUNTIF($Z$6:$Z$505,"&lt;"&amp;Z352)+1)</f>
        <v/>
      </c>
      <c r="AB352" s="67" t="str">
        <f>IFERROR(INDEX(eq_crit,MATCH(B352,eq_code,0))&amp;"","")</f>
        <v/>
      </c>
    </row>
    <row r="353">
      <c r="A353" s="65" t="n"/>
      <c r="B353" s="66" t="n"/>
      <c r="C353" s="67" t="str">
        <f>IF(B353="","",IFERROR(INDEX(eq_des,MATCH(B353,eq_code,0))&amp;"","Équipement inconnu"))</f>
        <v/>
      </c>
      <c r="D353" s="66" t="n"/>
      <c r="E353" s="68" t="n"/>
      <c r="F353" s="69" t="n"/>
      <c r="G353" s="70" t="n"/>
      <c r="H353" s="71" t="n"/>
      <c r="I353" s="66" t="n"/>
      <c r="J353" s="72" t="n"/>
      <c r="K353" s="73" t="n"/>
      <c r="L353" s="68" t="n"/>
      <c r="M353" s="74" t="str">
        <f>IF(AND(A353="",B353="",D353=""),"",MAX(N(J353),IF(A353="",0,SUMPRODUCT(MAX((in_plan=A353)*in_prev*in_dnum)))))</f>
        <v/>
      </c>
      <c r="N353" s="75" t="str">
        <f>IF(AND(A353="",B353="",D353=""),"",MAX(N(K353),IF(A353="",0,SUMPRODUCT(MAX((in_plan=A353)*in_prev*in_cnum)))))</f>
        <v/>
      </c>
      <c r="O353" s="76" t="str">
        <f>IF(AND(OR(E353="Calendrier",E353="Au premier des deux"),N(F353)&gt;0,IF(N(M353)&gt;0,M353,IFERROR(N(INDEX(eq_start,MATCH(B353,eq_code,0))),0))&gt;0),IF(N(M353)&gt;0,M353,IFERROR(N(INDEX(eq_start,MATCH(B353,eq_code,0))),0))+F353,"")</f>
        <v/>
      </c>
      <c r="P353" s="75" t="str">
        <f>IF(AND(OR(E353="Compteur",E353="Au premier des deux"),N(G353)&gt;0),N(N353)+G353,"")</f>
        <v/>
      </c>
      <c r="Q353" s="75" t="str">
        <f>IF(B353="","",IFERROR(N(INDEX(eq_cnt,MATCH(B353,eq_code,0))),""))</f>
        <v/>
      </c>
      <c r="R353" s="77" t="str">
        <f>IF(ISNUMBER(O353),O353-p_today,"")</f>
        <v/>
      </c>
      <c r="S353" s="78" t="str">
        <f>IF(AND(ISNUMBER(P353),N(Q353)&gt;0),P353-Q353,"")</f>
        <v/>
      </c>
      <c r="T353" s="76" t="str">
        <f>IF(AND(ISNUMBER(O353),ISNUMBER(X353)),MIN(O353,X353),IF(ISNUMBER(O353),O353,X353))</f>
        <v/>
      </c>
      <c r="U353" s="79" t="str">
        <f>IF(AND(A353="",B353="",D353=""),"",IF(L353="Non","Inactif",IF(AND(NOT(ISNUMBER(R353)),NOT(ISNUMBER(S353))),"À compléter",IF(OR(AND(ISNUMBER(R353),N(R353)&lt;0),AND(ISNUMBER(S353),N(S353)&lt;0)),"En retard",IF(OR(AND(ISNUMBER(R353),N(R353)&lt;=p_soon),AND(ISNUMBER(S353),N(S353)&lt;=p_soon_pct*N(G353))),"Bientôt","À jour")))))</f>
        <v/>
      </c>
      <c r="V353" s="79" t="str">
        <f>IF(AND(A353="",B353="",D353=""),"",IF(A353="","N° de plan manquant",IF(COUNTIF($A$6:$A$505,A353)&gt;1,"N° de plan en double",IF(B353="","Équipement manquant",IF(ISNA(MATCH(B353,eq_code,0)),"Équipement inconnu",IF(D353="","Tâche manquante",IF(E353="","Déclenchement manquant",IF(AND(E353&lt;&gt;"Calendrier",E353&lt;&gt;"Compteur",E353&lt;&gt;"Au premier des deux"),"Déclenchement inconnu",IF(AND(E353&lt;&gt;"Compteur",OR(NOT(ISNUMBER(F353)),N(F353)&lt;=0)),"Périodicité en jours manquante",IF(AND(E353&lt;&gt;"Calendrier",OR(NOT(ISNUMBER(G353)),N(G353)&lt;=0)),"Périodicité compteur manquante",IF(AND(J353&lt;&gt;"",OR(NOT(ISNUMBER(J353)),N(J353)&lt;=0)),"Date de réalisation invalide",IF(AND(K353&lt;&gt;"",OR(NOT(ISNUMBER(K353)),N(K353)&lt;0)),"Compteur de réalisation invalide",IF(AND(E353&lt;&gt;"Compteur",N(M353)=0,IFERROR(N(INDEX(eq_start,MATCH(B353,eq_code,0))),0)=0),"Date de départ manquante",IF(AND(E353&lt;&gt;"Calendrier",K353="",N(N353)=0),"Compteur de départ manquant",IF(AND(E353&lt;&gt;"Calendrier",N(Q353)=0),"Relevé compteur manquant (Équipements)",IF(AND(I353&lt;&gt;"",ISNA(MATCH(I353,tech_name,0))),"Technicien inconnu",IF(AND(L353&lt;&gt;"",L353&lt;&gt;"Oui",L353&lt;&gt;"Non"),"Actif : Oui ou Non","OK")))))))))))))))))</f>
        <v/>
      </c>
      <c r="W353" s="67">
        <f>IFERROR(N(INDEX(eq_use,MATCH(B353,eq_code,0))),0)</f>
        <v>0.0</v>
      </c>
      <c r="X353" s="67" t="str">
        <f>IF(AND(ISNUMBER(S353),W353&gt;0),p_today+MAX(0,ROUNDUP(S353*7/W353,0)),"")</f>
        <v/>
      </c>
      <c r="Y353" s="67" t="str">
        <f>IF(AND(ISNUMBER(T353),OR(U353="En retard",U353="Bientôt",U353="À jour")),IF(AND(ISNUMBER(O353),ISNUMBER(X353)),MIN(F353,G353*7/W353),IF(ISNUMBER(O353),F353,G353*7/W353)),"")</f>
        <v/>
      </c>
      <c r="Z353" s="67" t="str">
        <f>IF(OR(U353="En retard",U353="Bientôt"),IF(U353="En retard",0,1)*1000000000+IF(AB353="A",0,IF(AB353="B",1,IF(AB353="C",2,3)))*100000000+IF(ISNUMBER(T353),T353,p_today)*1000+ROW()-5,"")</f>
        <v/>
      </c>
      <c r="AA353" s="67" t="str">
        <f>IF(Z353="","",COUNTIF($Z$6:$Z$505,"&lt;"&amp;Z353)+1)</f>
        <v/>
      </c>
      <c r="AB353" s="67" t="str">
        <f>IFERROR(INDEX(eq_crit,MATCH(B353,eq_code,0))&amp;"","")</f>
        <v/>
      </c>
    </row>
    <row r="354">
      <c r="A354" s="65" t="n"/>
      <c r="B354" s="66" t="n"/>
      <c r="C354" s="67" t="str">
        <f>IF(B354="","",IFERROR(INDEX(eq_des,MATCH(B354,eq_code,0))&amp;"","Équipement inconnu"))</f>
        <v/>
      </c>
      <c r="D354" s="66" t="n"/>
      <c r="E354" s="68" t="n"/>
      <c r="F354" s="69" t="n"/>
      <c r="G354" s="70" t="n"/>
      <c r="H354" s="71" t="n"/>
      <c r="I354" s="66" t="n"/>
      <c r="J354" s="72" t="n"/>
      <c r="K354" s="73" t="n"/>
      <c r="L354" s="68" t="n"/>
      <c r="M354" s="74" t="str">
        <f>IF(AND(A354="",B354="",D354=""),"",MAX(N(J354),IF(A354="",0,SUMPRODUCT(MAX((in_plan=A354)*in_prev*in_dnum)))))</f>
        <v/>
      </c>
      <c r="N354" s="75" t="str">
        <f>IF(AND(A354="",B354="",D354=""),"",MAX(N(K354),IF(A354="",0,SUMPRODUCT(MAX((in_plan=A354)*in_prev*in_cnum)))))</f>
        <v/>
      </c>
      <c r="O354" s="76" t="str">
        <f>IF(AND(OR(E354="Calendrier",E354="Au premier des deux"),N(F354)&gt;0,IF(N(M354)&gt;0,M354,IFERROR(N(INDEX(eq_start,MATCH(B354,eq_code,0))),0))&gt;0),IF(N(M354)&gt;0,M354,IFERROR(N(INDEX(eq_start,MATCH(B354,eq_code,0))),0))+F354,"")</f>
        <v/>
      </c>
      <c r="P354" s="75" t="str">
        <f>IF(AND(OR(E354="Compteur",E354="Au premier des deux"),N(G354)&gt;0),N(N354)+G354,"")</f>
        <v/>
      </c>
      <c r="Q354" s="75" t="str">
        <f>IF(B354="","",IFERROR(N(INDEX(eq_cnt,MATCH(B354,eq_code,0))),""))</f>
        <v/>
      </c>
      <c r="R354" s="77" t="str">
        <f>IF(ISNUMBER(O354),O354-p_today,"")</f>
        <v/>
      </c>
      <c r="S354" s="78" t="str">
        <f>IF(AND(ISNUMBER(P354),N(Q354)&gt;0),P354-Q354,"")</f>
        <v/>
      </c>
      <c r="T354" s="76" t="str">
        <f>IF(AND(ISNUMBER(O354),ISNUMBER(X354)),MIN(O354,X354),IF(ISNUMBER(O354),O354,X354))</f>
        <v/>
      </c>
      <c r="U354" s="79" t="str">
        <f>IF(AND(A354="",B354="",D354=""),"",IF(L354="Non","Inactif",IF(AND(NOT(ISNUMBER(R354)),NOT(ISNUMBER(S354))),"À compléter",IF(OR(AND(ISNUMBER(R354),N(R354)&lt;0),AND(ISNUMBER(S354),N(S354)&lt;0)),"En retard",IF(OR(AND(ISNUMBER(R354),N(R354)&lt;=p_soon),AND(ISNUMBER(S354),N(S354)&lt;=p_soon_pct*N(G354))),"Bientôt","À jour")))))</f>
        <v/>
      </c>
      <c r="V354" s="79" t="str">
        <f>IF(AND(A354="",B354="",D354=""),"",IF(A354="","N° de plan manquant",IF(COUNTIF($A$6:$A$505,A354)&gt;1,"N° de plan en double",IF(B354="","Équipement manquant",IF(ISNA(MATCH(B354,eq_code,0)),"Équipement inconnu",IF(D354="","Tâche manquante",IF(E354="","Déclenchement manquant",IF(AND(E354&lt;&gt;"Calendrier",E354&lt;&gt;"Compteur",E354&lt;&gt;"Au premier des deux"),"Déclenchement inconnu",IF(AND(E354&lt;&gt;"Compteur",OR(NOT(ISNUMBER(F354)),N(F354)&lt;=0)),"Périodicité en jours manquante",IF(AND(E354&lt;&gt;"Calendrier",OR(NOT(ISNUMBER(G354)),N(G354)&lt;=0)),"Périodicité compteur manquante",IF(AND(J354&lt;&gt;"",OR(NOT(ISNUMBER(J354)),N(J354)&lt;=0)),"Date de réalisation invalide",IF(AND(K354&lt;&gt;"",OR(NOT(ISNUMBER(K354)),N(K354)&lt;0)),"Compteur de réalisation invalide",IF(AND(E354&lt;&gt;"Compteur",N(M354)=0,IFERROR(N(INDEX(eq_start,MATCH(B354,eq_code,0))),0)=0),"Date de départ manquante",IF(AND(E354&lt;&gt;"Calendrier",K354="",N(N354)=0),"Compteur de départ manquant",IF(AND(E354&lt;&gt;"Calendrier",N(Q354)=0),"Relevé compteur manquant (Équipements)",IF(AND(I354&lt;&gt;"",ISNA(MATCH(I354,tech_name,0))),"Technicien inconnu",IF(AND(L354&lt;&gt;"",L354&lt;&gt;"Oui",L354&lt;&gt;"Non"),"Actif : Oui ou Non","OK")))))))))))))))))</f>
        <v/>
      </c>
      <c r="W354" s="67">
        <f>IFERROR(N(INDEX(eq_use,MATCH(B354,eq_code,0))),0)</f>
        <v>0.0</v>
      </c>
      <c r="X354" s="67" t="str">
        <f>IF(AND(ISNUMBER(S354),W354&gt;0),p_today+MAX(0,ROUNDUP(S354*7/W354,0)),"")</f>
        <v/>
      </c>
      <c r="Y354" s="67" t="str">
        <f>IF(AND(ISNUMBER(T354),OR(U354="En retard",U354="Bientôt",U354="À jour")),IF(AND(ISNUMBER(O354),ISNUMBER(X354)),MIN(F354,G354*7/W354),IF(ISNUMBER(O354),F354,G354*7/W354)),"")</f>
        <v/>
      </c>
      <c r="Z354" s="67" t="str">
        <f>IF(OR(U354="En retard",U354="Bientôt"),IF(U354="En retard",0,1)*1000000000+IF(AB354="A",0,IF(AB354="B",1,IF(AB354="C",2,3)))*100000000+IF(ISNUMBER(T354),T354,p_today)*1000+ROW()-5,"")</f>
        <v/>
      </c>
      <c r="AA354" s="67" t="str">
        <f>IF(Z354="","",COUNTIF($Z$6:$Z$505,"&lt;"&amp;Z354)+1)</f>
        <v/>
      </c>
      <c r="AB354" s="67" t="str">
        <f>IFERROR(INDEX(eq_crit,MATCH(B354,eq_code,0))&amp;"","")</f>
        <v/>
      </c>
    </row>
    <row r="355">
      <c r="A355" s="65" t="n"/>
      <c r="B355" s="66" t="n"/>
      <c r="C355" s="67" t="str">
        <f>IF(B355="","",IFERROR(INDEX(eq_des,MATCH(B355,eq_code,0))&amp;"","Équipement inconnu"))</f>
        <v/>
      </c>
      <c r="D355" s="66" t="n"/>
      <c r="E355" s="68" t="n"/>
      <c r="F355" s="69" t="n"/>
      <c r="G355" s="70" t="n"/>
      <c r="H355" s="71" t="n"/>
      <c r="I355" s="66" t="n"/>
      <c r="J355" s="72" t="n"/>
      <c r="K355" s="73" t="n"/>
      <c r="L355" s="68" t="n"/>
      <c r="M355" s="74" t="str">
        <f>IF(AND(A355="",B355="",D355=""),"",MAX(N(J355),IF(A355="",0,SUMPRODUCT(MAX((in_plan=A355)*in_prev*in_dnum)))))</f>
        <v/>
      </c>
      <c r="N355" s="75" t="str">
        <f>IF(AND(A355="",B355="",D355=""),"",MAX(N(K355),IF(A355="",0,SUMPRODUCT(MAX((in_plan=A355)*in_prev*in_cnum)))))</f>
        <v/>
      </c>
      <c r="O355" s="76" t="str">
        <f>IF(AND(OR(E355="Calendrier",E355="Au premier des deux"),N(F355)&gt;0,IF(N(M355)&gt;0,M355,IFERROR(N(INDEX(eq_start,MATCH(B355,eq_code,0))),0))&gt;0),IF(N(M355)&gt;0,M355,IFERROR(N(INDEX(eq_start,MATCH(B355,eq_code,0))),0))+F355,"")</f>
        <v/>
      </c>
      <c r="P355" s="75" t="str">
        <f>IF(AND(OR(E355="Compteur",E355="Au premier des deux"),N(G355)&gt;0),N(N355)+G355,"")</f>
        <v/>
      </c>
      <c r="Q355" s="75" t="str">
        <f>IF(B355="","",IFERROR(N(INDEX(eq_cnt,MATCH(B355,eq_code,0))),""))</f>
        <v/>
      </c>
      <c r="R355" s="77" t="str">
        <f>IF(ISNUMBER(O355),O355-p_today,"")</f>
        <v/>
      </c>
      <c r="S355" s="78" t="str">
        <f>IF(AND(ISNUMBER(P355),N(Q355)&gt;0),P355-Q355,"")</f>
        <v/>
      </c>
      <c r="T355" s="76" t="str">
        <f>IF(AND(ISNUMBER(O355),ISNUMBER(X355)),MIN(O355,X355),IF(ISNUMBER(O355),O355,X355))</f>
        <v/>
      </c>
      <c r="U355" s="79" t="str">
        <f>IF(AND(A355="",B355="",D355=""),"",IF(L355="Non","Inactif",IF(AND(NOT(ISNUMBER(R355)),NOT(ISNUMBER(S355))),"À compléter",IF(OR(AND(ISNUMBER(R355),N(R355)&lt;0),AND(ISNUMBER(S355),N(S355)&lt;0)),"En retard",IF(OR(AND(ISNUMBER(R355),N(R355)&lt;=p_soon),AND(ISNUMBER(S355),N(S355)&lt;=p_soon_pct*N(G355))),"Bientôt","À jour")))))</f>
        <v/>
      </c>
      <c r="V355" s="79" t="str">
        <f>IF(AND(A355="",B355="",D355=""),"",IF(A355="","N° de plan manquant",IF(COUNTIF($A$6:$A$505,A355)&gt;1,"N° de plan en double",IF(B355="","Équipement manquant",IF(ISNA(MATCH(B355,eq_code,0)),"Équipement inconnu",IF(D355="","Tâche manquante",IF(E355="","Déclenchement manquant",IF(AND(E355&lt;&gt;"Calendrier",E355&lt;&gt;"Compteur",E355&lt;&gt;"Au premier des deux"),"Déclenchement inconnu",IF(AND(E355&lt;&gt;"Compteur",OR(NOT(ISNUMBER(F355)),N(F355)&lt;=0)),"Périodicité en jours manquante",IF(AND(E355&lt;&gt;"Calendrier",OR(NOT(ISNUMBER(G355)),N(G355)&lt;=0)),"Périodicité compteur manquante",IF(AND(J355&lt;&gt;"",OR(NOT(ISNUMBER(J355)),N(J355)&lt;=0)),"Date de réalisation invalide",IF(AND(K355&lt;&gt;"",OR(NOT(ISNUMBER(K355)),N(K355)&lt;0)),"Compteur de réalisation invalide",IF(AND(E355&lt;&gt;"Compteur",N(M355)=0,IFERROR(N(INDEX(eq_start,MATCH(B355,eq_code,0))),0)=0),"Date de départ manquante",IF(AND(E355&lt;&gt;"Calendrier",K355="",N(N355)=0),"Compteur de départ manquant",IF(AND(E355&lt;&gt;"Calendrier",N(Q355)=0),"Relevé compteur manquant (Équipements)",IF(AND(I355&lt;&gt;"",ISNA(MATCH(I355,tech_name,0))),"Technicien inconnu",IF(AND(L355&lt;&gt;"",L355&lt;&gt;"Oui",L355&lt;&gt;"Non"),"Actif : Oui ou Non","OK")))))))))))))))))</f>
        <v/>
      </c>
      <c r="W355" s="67">
        <f>IFERROR(N(INDEX(eq_use,MATCH(B355,eq_code,0))),0)</f>
        <v>0.0</v>
      </c>
      <c r="X355" s="67" t="str">
        <f>IF(AND(ISNUMBER(S355),W355&gt;0),p_today+MAX(0,ROUNDUP(S355*7/W355,0)),"")</f>
        <v/>
      </c>
      <c r="Y355" s="67" t="str">
        <f>IF(AND(ISNUMBER(T355),OR(U355="En retard",U355="Bientôt",U355="À jour")),IF(AND(ISNUMBER(O355),ISNUMBER(X355)),MIN(F355,G355*7/W355),IF(ISNUMBER(O355),F355,G355*7/W355)),"")</f>
        <v/>
      </c>
      <c r="Z355" s="67" t="str">
        <f>IF(OR(U355="En retard",U355="Bientôt"),IF(U355="En retard",0,1)*1000000000+IF(AB355="A",0,IF(AB355="B",1,IF(AB355="C",2,3)))*100000000+IF(ISNUMBER(T355),T355,p_today)*1000+ROW()-5,"")</f>
        <v/>
      </c>
      <c r="AA355" s="67" t="str">
        <f>IF(Z355="","",COUNTIF($Z$6:$Z$505,"&lt;"&amp;Z355)+1)</f>
        <v/>
      </c>
      <c r="AB355" s="67" t="str">
        <f>IFERROR(INDEX(eq_crit,MATCH(B355,eq_code,0))&amp;"","")</f>
        <v/>
      </c>
    </row>
    <row r="356">
      <c r="A356" s="65" t="n"/>
      <c r="B356" s="66" t="n"/>
      <c r="C356" s="67" t="str">
        <f>IF(B356="","",IFERROR(INDEX(eq_des,MATCH(B356,eq_code,0))&amp;"","Équipement inconnu"))</f>
        <v/>
      </c>
      <c r="D356" s="66" t="n"/>
      <c r="E356" s="68" t="n"/>
      <c r="F356" s="69" t="n"/>
      <c r="G356" s="70" t="n"/>
      <c r="H356" s="71" t="n"/>
      <c r="I356" s="66" t="n"/>
      <c r="J356" s="72" t="n"/>
      <c r="K356" s="73" t="n"/>
      <c r="L356" s="68" t="n"/>
      <c r="M356" s="74" t="str">
        <f>IF(AND(A356="",B356="",D356=""),"",MAX(N(J356),IF(A356="",0,SUMPRODUCT(MAX((in_plan=A356)*in_prev*in_dnum)))))</f>
        <v/>
      </c>
      <c r="N356" s="75" t="str">
        <f>IF(AND(A356="",B356="",D356=""),"",MAX(N(K356),IF(A356="",0,SUMPRODUCT(MAX((in_plan=A356)*in_prev*in_cnum)))))</f>
        <v/>
      </c>
      <c r="O356" s="76" t="str">
        <f>IF(AND(OR(E356="Calendrier",E356="Au premier des deux"),N(F356)&gt;0,IF(N(M356)&gt;0,M356,IFERROR(N(INDEX(eq_start,MATCH(B356,eq_code,0))),0))&gt;0),IF(N(M356)&gt;0,M356,IFERROR(N(INDEX(eq_start,MATCH(B356,eq_code,0))),0))+F356,"")</f>
        <v/>
      </c>
      <c r="P356" s="75" t="str">
        <f>IF(AND(OR(E356="Compteur",E356="Au premier des deux"),N(G356)&gt;0),N(N356)+G356,"")</f>
        <v/>
      </c>
      <c r="Q356" s="75" t="str">
        <f>IF(B356="","",IFERROR(N(INDEX(eq_cnt,MATCH(B356,eq_code,0))),""))</f>
        <v/>
      </c>
      <c r="R356" s="77" t="str">
        <f>IF(ISNUMBER(O356),O356-p_today,"")</f>
        <v/>
      </c>
      <c r="S356" s="78" t="str">
        <f>IF(AND(ISNUMBER(P356),N(Q356)&gt;0),P356-Q356,"")</f>
        <v/>
      </c>
      <c r="T356" s="76" t="str">
        <f>IF(AND(ISNUMBER(O356),ISNUMBER(X356)),MIN(O356,X356),IF(ISNUMBER(O356),O356,X356))</f>
        <v/>
      </c>
      <c r="U356" s="79" t="str">
        <f>IF(AND(A356="",B356="",D356=""),"",IF(L356="Non","Inactif",IF(AND(NOT(ISNUMBER(R356)),NOT(ISNUMBER(S356))),"À compléter",IF(OR(AND(ISNUMBER(R356),N(R356)&lt;0),AND(ISNUMBER(S356),N(S356)&lt;0)),"En retard",IF(OR(AND(ISNUMBER(R356),N(R356)&lt;=p_soon),AND(ISNUMBER(S356),N(S356)&lt;=p_soon_pct*N(G356))),"Bientôt","À jour")))))</f>
        <v/>
      </c>
      <c r="V356" s="79" t="str">
        <f>IF(AND(A356="",B356="",D356=""),"",IF(A356="","N° de plan manquant",IF(COUNTIF($A$6:$A$505,A356)&gt;1,"N° de plan en double",IF(B356="","Équipement manquant",IF(ISNA(MATCH(B356,eq_code,0)),"Équipement inconnu",IF(D356="","Tâche manquante",IF(E356="","Déclenchement manquant",IF(AND(E356&lt;&gt;"Calendrier",E356&lt;&gt;"Compteur",E356&lt;&gt;"Au premier des deux"),"Déclenchement inconnu",IF(AND(E356&lt;&gt;"Compteur",OR(NOT(ISNUMBER(F356)),N(F356)&lt;=0)),"Périodicité en jours manquante",IF(AND(E356&lt;&gt;"Calendrier",OR(NOT(ISNUMBER(G356)),N(G356)&lt;=0)),"Périodicité compteur manquante",IF(AND(J356&lt;&gt;"",OR(NOT(ISNUMBER(J356)),N(J356)&lt;=0)),"Date de réalisation invalide",IF(AND(K356&lt;&gt;"",OR(NOT(ISNUMBER(K356)),N(K356)&lt;0)),"Compteur de réalisation invalide",IF(AND(E356&lt;&gt;"Compteur",N(M356)=0,IFERROR(N(INDEX(eq_start,MATCH(B356,eq_code,0))),0)=0),"Date de départ manquante",IF(AND(E356&lt;&gt;"Calendrier",K356="",N(N356)=0),"Compteur de départ manquant",IF(AND(E356&lt;&gt;"Calendrier",N(Q356)=0),"Relevé compteur manquant (Équipements)",IF(AND(I356&lt;&gt;"",ISNA(MATCH(I356,tech_name,0))),"Technicien inconnu",IF(AND(L356&lt;&gt;"",L356&lt;&gt;"Oui",L356&lt;&gt;"Non"),"Actif : Oui ou Non","OK")))))))))))))))))</f>
        <v/>
      </c>
      <c r="W356" s="67">
        <f>IFERROR(N(INDEX(eq_use,MATCH(B356,eq_code,0))),0)</f>
        <v>0.0</v>
      </c>
      <c r="X356" s="67" t="str">
        <f>IF(AND(ISNUMBER(S356),W356&gt;0),p_today+MAX(0,ROUNDUP(S356*7/W356,0)),"")</f>
        <v/>
      </c>
      <c r="Y356" s="67" t="str">
        <f>IF(AND(ISNUMBER(T356),OR(U356="En retard",U356="Bientôt",U356="À jour")),IF(AND(ISNUMBER(O356),ISNUMBER(X356)),MIN(F356,G356*7/W356),IF(ISNUMBER(O356),F356,G356*7/W356)),"")</f>
        <v/>
      </c>
      <c r="Z356" s="67" t="str">
        <f>IF(OR(U356="En retard",U356="Bientôt"),IF(U356="En retard",0,1)*1000000000+IF(AB356="A",0,IF(AB356="B",1,IF(AB356="C",2,3)))*100000000+IF(ISNUMBER(T356),T356,p_today)*1000+ROW()-5,"")</f>
        <v/>
      </c>
      <c r="AA356" s="67" t="str">
        <f>IF(Z356="","",COUNTIF($Z$6:$Z$505,"&lt;"&amp;Z356)+1)</f>
        <v/>
      </c>
      <c r="AB356" s="67" t="str">
        <f>IFERROR(INDEX(eq_crit,MATCH(B356,eq_code,0))&amp;"","")</f>
        <v/>
      </c>
    </row>
    <row r="357">
      <c r="A357" s="65" t="n"/>
      <c r="B357" s="66" t="n"/>
      <c r="C357" s="67" t="str">
        <f>IF(B357="","",IFERROR(INDEX(eq_des,MATCH(B357,eq_code,0))&amp;"","Équipement inconnu"))</f>
        <v/>
      </c>
      <c r="D357" s="66" t="n"/>
      <c r="E357" s="68" t="n"/>
      <c r="F357" s="69" t="n"/>
      <c r="G357" s="70" t="n"/>
      <c r="H357" s="71" t="n"/>
      <c r="I357" s="66" t="n"/>
      <c r="J357" s="72" t="n"/>
      <c r="K357" s="73" t="n"/>
      <c r="L357" s="68" t="n"/>
      <c r="M357" s="74" t="str">
        <f>IF(AND(A357="",B357="",D357=""),"",MAX(N(J357),IF(A357="",0,SUMPRODUCT(MAX((in_plan=A357)*in_prev*in_dnum)))))</f>
        <v/>
      </c>
      <c r="N357" s="75" t="str">
        <f>IF(AND(A357="",B357="",D357=""),"",MAX(N(K357),IF(A357="",0,SUMPRODUCT(MAX((in_plan=A357)*in_prev*in_cnum)))))</f>
        <v/>
      </c>
      <c r="O357" s="76" t="str">
        <f>IF(AND(OR(E357="Calendrier",E357="Au premier des deux"),N(F357)&gt;0,IF(N(M357)&gt;0,M357,IFERROR(N(INDEX(eq_start,MATCH(B357,eq_code,0))),0))&gt;0),IF(N(M357)&gt;0,M357,IFERROR(N(INDEX(eq_start,MATCH(B357,eq_code,0))),0))+F357,"")</f>
        <v/>
      </c>
      <c r="P357" s="75" t="str">
        <f>IF(AND(OR(E357="Compteur",E357="Au premier des deux"),N(G357)&gt;0),N(N357)+G357,"")</f>
        <v/>
      </c>
      <c r="Q357" s="75" t="str">
        <f>IF(B357="","",IFERROR(N(INDEX(eq_cnt,MATCH(B357,eq_code,0))),""))</f>
        <v/>
      </c>
      <c r="R357" s="77" t="str">
        <f>IF(ISNUMBER(O357),O357-p_today,"")</f>
        <v/>
      </c>
      <c r="S357" s="78" t="str">
        <f>IF(AND(ISNUMBER(P357),N(Q357)&gt;0),P357-Q357,"")</f>
        <v/>
      </c>
      <c r="T357" s="76" t="str">
        <f>IF(AND(ISNUMBER(O357),ISNUMBER(X357)),MIN(O357,X357),IF(ISNUMBER(O357),O357,X357))</f>
        <v/>
      </c>
      <c r="U357" s="79" t="str">
        <f>IF(AND(A357="",B357="",D357=""),"",IF(L357="Non","Inactif",IF(AND(NOT(ISNUMBER(R357)),NOT(ISNUMBER(S357))),"À compléter",IF(OR(AND(ISNUMBER(R357),N(R357)&lt;0),AND(ISNUMBER(S357),N(S357)&lt;0)),"En retard",IF(OR(AND(ISNUMBER(R357),N(R357)&lt;=p_soon),AND(ISNUMBER(S357),N(S357)&lt;=p_soon_pct*N(G357))),"Bientôt","À jour")))))</f>
        <v/>
      </c>
      <c r="V357" s="79" t="str">
        <f>IF(AND(A357="",B357="",D357=""),"",IF(A357="","N° de plan manquant",IF(COUNTIF($A$6:$A$505,A357)&gt;1,"N° de plan en double",IF(B357="","Équipement manquant",IF(ISNA(MATCH(B357,eq_code,0)),"Équipement inconnu",IF(D357="","Tâche manquante",IF(E357="","Déclenchement manquant",IF(AND(E357&lt;&gt;"Calendrier",E357&lt;&gt;"Compteur",E357&lt;&gt;"Au premier des deux"),"Déclenchement inconnu",IF(AND(E357&lt;&gt;"Compteur",OR(NOT(ISNUMBER(F357)),N(F357)&lt;=0)),"Périodicité en jours manquante",IF(AND(E357&lt;&gt;"Calendrier",OR(NOT(ISNUMBER(G357)),N(G357)&lt;=0)),"Périodicité compteur manquante",IF(AND(J357&lt;&gt;"",OR(NOT(ISNUMBER(J357)),N(J357)&lt;=0)),"Date de réalisation invalide",IF(AND(K357&lt;&gt;"",OR(NOT(ISNUMBER(K357)),N(K357)&lt;0)),"Compteur de réalisation invalide",IF(AND(E357&lt;&gt;"Compteur",N(M357)=0,IFERROR(N(INDEX(eq_start,MATCH(B357,eq_code,0))),0)=0),"Date de départ manquante",IF(AND(E357&lt;&gt;"Calendrier",K357="",N(N357)=0),"Compteur de départ manquant",IF(AND(E357&lt;&gt;"Calendrier",N(Q357)=0),"Relevé compteur manquant (Équipements)",IF(AND(I357&lt;&gt;"",ISNA(MATCH(I357,tech_name,0))),"Technicien inconnu",IF(AND(L357&lt;&gt;"",L357&lt;&gt;"Oui",L357&lt;&gt;"Non"),"Actif : Oui ou Non","OK")))))))))))))))))</f>
        <v/>
      </c>
      <c r="W357" s="67">
        <f>IFERROR(N(INDEX(eq_use,MATCH(B357,eq_code,0))),0)</f>
        <v>0.0</v>
      </c>
      <c r="X357" s="67" t="str">
        <f>IF(AND(ISNUMBER(S357),W357&gt;0),p_today+MAX(0,ROUNDUP(S357*7/W357,0)),"")</f>
        <v/>
      </c>
      <c r="Y357" s="67" t="str">
        <f>IF(AND(ISNUMBER(T357),OR(U357="En retard",U357="Bientôt",U357="À jour")),IF(AND(ISNUMBER(O357),ISNUMBER(X357)),MIN(F357,G357*7/W357),IF(ISNUMBER(O357),F357,G357*7/W357)),"")</f>
        <v/>
      </c>
      <c r="Z357" s="67" t="str">
        <f>IF(OR(U357="En retard",U357="Bientôt"),IF(U357="En retard",0,1)*1000000000+IF(AB357="A",0,IF(AB357="B",1,IF(AB357="C",2,3)))*100000000+IF(ISNUMBER(T357),T357,p_today)*1000+ROW()-5,"")</f>
        <v/>
      </c>
      <c r="AA357" s="67" t="str">
        <f>IF(Z357="","",COUNTIF($Z$6:$Z$505,"&lt;"&amp;Z357)+1)</f>
        <v/>
      </c>
      <c r="AB357" s="67" t="str">
        <f>IFERROR(INDEX(eq_crit,MATCH(B357,eq_code,0))&amp;"","")</f>
        <v/>
      </c>
    </row>
    <row r="358">
      <c r="A358" s="65" t="n"/>
      <c r="B358" s="66" t="n"/>
      <c r="C358" s="67" t="str">
        <f>IF(B358="","",IFERROR(INDEX(eq_des,MATCH(B358,eq_code,0))&amp;"","Équipement inconnu"))</f>
        <v/>
      </c>
      <c r="D358" s="66" t="n"/>
      <c r="E358" s="68" t="n"/>
      <c r="F358" s="69" t="n"/>
      <c r="G358" s="70" t="n"/>
      <c r="H358" s="71" t="n"/>
      <c r="I358" s="66" t="n"/>
      <c r="J358" s="72" t="n"/>
      <c r="K358" s="73" t="n"/>
      <c r="L358" s="68" t="n"/>
      <c r="M358" s="74" t="str">
        <f>IF(AND(A358="",B358="",D358=""),"",MAX(N(J358),IF(A358="",0,SUMPRODUCT(MAX((in_plan=A358)*in_prev*in_dnum)))))</f>
        <v/>
      </c>
      <c r="N358" s="75" t="str">
        <f>IF(AND(A358="",B358="",D358=""),"",MAX(N(K358),IF(A358="",0,SUMPRODUCT(MAX((in_plan=A358)*in_prev*in_cnum)))))</f>
        <v/>
      </c>
      <c r="O358" s="76" t="str">
        <f>IF(AND(OR(E358="Calendrier",E358="Au premier des deux"),N(F358)&gt;0,IF(N(M358)&gt;0,M358,IFERROR(N(INDEX(eq_start,MATCH(B358,eq_code,0))),0))&gt;0),IF(N(M358)&gt;0,M358,IFERROR(N(INDEX(eq_start,MATCH(B358,eq_code,0))),0))+F358,"")</f>
        <v/>
      </c>
      <c r="P358" s="75" t="str">
        <f>IF(AND(OR(E358="Compteur",E358="Au premier des deux"),N(G358)&gt;0),N(N358)+G358,"")</f>
        <v/>
      </c>
      <c r="Q358" s="75" t="str">
        <f>IF(B358="","",IFERROR(N(INDEX(eq_cnt,MATCH(B358,eq_code,0))),""))</f>
        <v/>
      </c>
      <c r="R358" s="77" t="str">
        <f>IF(ISNUMBER(O358),O358-p_today,"")</f>
        <v/>
      </c>
      <c r="S358" s="78" t="str">
        <f>IF(AND(ISNUMBER(P358),N(Q358)&gt;0),P358-Q358,"")</f>
        <v/>
      </c>
      <c r="T358" s="76" t="str">
        <f>IF(AND(ISNUMBER(O358),ISNUMBER(X358)),MIN(O358,X358),IF(ISNUMBER(O358),O358,X358))</f>
        <v/>
      </c>
      <c r="U358" s="79" t="str">
        <f>IF(AND(A358="",B358="",D358=""),"",IF(L358="Non","Inactif",IF(AND(NOT(ISNUMBER(R358)),NOT(ISNUMBER(S358))),"À compléter",IF(OR(AND(ISNUMBER(R358),N(R358)&lt;0),AND(ISNUMBER(S358),N(S358)&lt;0)),"En retard",IF(OR(AND(ISNUMBER(R358),N(R358)&lt;=p_soon),AND(ISNUMBER(S358),N(S358)&lt;=p_soon_pct*N(G358))),"Bientôt","À jour")))))</f>
        <v/>
      </c>
      <c r="V358" s="79" t="str">
        <f>IF(AND(A358="",B358="",D358=""),"",IF(A358="","N° de plan manquant",IF(COUNTIF($A$6:$A$505,A358)&gt;1,"N° de plan en double",IF(B358="","Équipement manquant",IF(ISNA(MATCH(B358,eq_code,0)),"Équipement inconnu",IF(D358="","Tâche manquante",IF(E358="","Déclenchement manquant",IF(AND(E358&lt;&gt;"Calendrier",E358&lt;&gt;"Compteur",E358&lt;&gt;"Au premier des deux"),"Déclenchement inconnu",IF(AND(E358&lt;&gt;"Compteur",OR(NOT(ISNUMBER(F358)),N(F358)&lt;=0)),"Périodicité en jours manquante",IF(AND(E358&lt;&gt;"Calendrier",OR(NOT(ISNUMBER(G358)),N(G358)&lt;=0)),"Périodicité compteur manquante",IF(AND(J358&lt;&gt;"",OR(NOT(ISNUMBER(J358)),N(J358)&lt;=0)),"Date de réalisation invalide",IF(AND(K358&lt;&gt;"",OR(NOT(ISNUMBER(K358)),N(K358)&lt;0)),"Compteur de réalisation invalide",IF(AND(E358&lt;&gt;"Compteur",N(M358)=0,IFERROR(N(INDEX(eq_start,MATCH(B358,eq_code,0))),0)=0),"Date de départ manquante",IF(AND(E358&lt;&gt;"Calendrier",K358="",N(N358)=0),"Compteur de départ manquant",IF(AND(E358&lt;&gt;"Calendrier",N(Q358)=0),"Relevé compteur manquant (Équipements)",IF(AND(I358&lt;&gt;"",ISNA(MATCH(I358,tech_name,0))),"Technicien inconnu",IF(AND(L358&lt;&gt;"",L358&lt;&gt;"Oui",L358&lt;&gt;"Non"),"Actif : Oui ou Non","OK")))))))))))))))))</f>
        <v/>
      </c>
      <c r="W358" s="67">
        <f>IFERROR(N(INDEX(eq_use,MATCH(B358,eq_code,0))),0)</f>
        <v>0.0</v>
      </c>
      <c r="X358" s="67" t="str">
        <f>IF(AND(ISNUMBER(S358),W358&gt;0),p_today+MAX(0,ROUNDUP(S358*7/W358,0)),"")</f>
        <v/>
      </c>
      <c r="Y358" s="67" t="str">
        <f>IF(AND(ISNUMBER(T358),OR(U358="En retard",U358="Bientôt",U358="À jour")),IF(AND(ISNUMBER(O358),ISNUMBER(X358)),MIN(F358,G358*7/W358),IF(ISNUMBER(O358),F358,G358*7/W358)),"")</f>
        <v/>
      </c>
      <c r="Z358" s="67" t="str">
        <f>IF(OR(U358="En retard",U358="Bientôt"),IF(U358="En retard",0,1)*1000000000+IF(AB358="A",0,IF(AB358="B",1,IF(AB358="C",2,3)))*100000000+IF(ISNUMBER(T358),T358,p_today)*1000+ROW()-5,"")</f>
        <v/>
      </c>
      <c r="AA358" s="67" t="str">
        <f>IF(Z358="","",COUNTIF($Z$6:$Z$505,"&lt;"&amp;Z358)+1)</f>
        <v/>
      </c>
      <c r="AB358" s="67" t="str">
        <f>IFERROR(INDEX(eq_crit,MATCH(B358,eq_code,0))&amp;"","")</f>
        <v/>
      </c>
    </row>
    <row r="359">
      <c r="A359" s="65" t="n"/>
      <c r="B359" s="66" t="n"/>
      <c r="C359" s="67" t="str">
        <f>IF(B359="","",IFERROR(INDEX(eq_des,MATCH(B359,eq_code,0))&amp;"","Équipement inconnu"))</f>
        <v/>
      </c>
      <c r="D359" s="66" t="n"/>
      <c r="E359" s="68" t="n"/>
      <c r="F359" s="69" t="n"/>
      <c r="G359" s="70" t="n"/>
      <c r="H359" s="71" t="n"/>
      <c r="I359" s="66" t="n"/>
      <c r="J359" s="72" t="n"/>
      <c r="K359" s="73" t="n"/>
      <c r="L359" s="68" t="n"/>
      <c r="M359" s="74" t="str">
        <f>IF(AND(A359="",B359="",D359=""),"",MAX(N(J359),IF(A359="",0,SUMPRODUCT(MAX((in_plan=A359)*in_prev*in_dnum)))))</f>
        <v/>
      </c>
      <c r="N359" s="75" t="str">
        <f>IF(AND(A359="",B359="",D359=""),"",MAX(N(K359),IF(A359="",0,SUMPRODUCT(MAX((in_plan=A359)*in_prev*in_cnum)))))</f>
        <v/>
      </c>
      <c r="O359" s="76" t="str">
        <f>IF(AND(OR(E359="Calendrier",E359="Au premier des deux"),N(F359)&gt;0,IF(N(M359)&gt;0,M359,IFERROR(N(INDEX(eq_start,MATCH(B359,eq_code,0))),0))&gt;0),IF(N(M359)&gt;0,M359,IFERROR(N(INDEX(eq_start,MATCH(B359,eq_code,0))),0))+F359,"")</f>
        <v/>
      </c>
      <c r="P359" s="75" t="str">
        <f>IF(AND(OR(E359="Compteur",E359="Au premier des deux"),N(G359)&gt;0),N(N359)+G359,"")</f>
        <v/>
      </c>
      <c r="Q359" s="75" t="str">
        <f>IF(B359="","",IFERROR(N(INDEX(eq_cnt,MATCH(B359,eq_code,0))),""))</f>
        <v/>
      </c>
      <c r="R359" s="77" t="str">
        <f>IF(ISNUMBER(O359),O359-p_today,"")</f>
        <v/>
      </c>
      <c r="S359" s="78" t="str">
        <f>IF(AND(ISNUMBER(P359),N(Q359)&gt;0),P359-Q359,"")</f>
        <v/>
      </c>
      <c r="T359" s="76" t="str">
        <f>IF(AND(ISNUMBER(O359),ISNUMBER(X359)),MIN(O359,X359),IF(ISNUMBER(O359),O359,X359))</f>
        <v/>
      </c>
      <c r="U359" s="79" t="str">
        <f>IF(AND(A359="",B359="",D359=""),"",IF(L359="Non","Inactif",IF(AND(NOT(ISNUMBER(R359)),NOT(ISNUMBER(S359))),"À compléter",IF(OR(AND(ISNUMBER(R359),N(R359)&lt;0),AND(ISNUMBER(S359),N(S359)&lt;0)),"En retard",IF(OR(AND(ISNUMBER(R359),N(R359)&lt;=p_soon),AND(ISNUMBER(S359),N(S359)&lt;=p_soon_pct*N(G359))),"Bientôt","À jour")))))</f>
        <v/>
      </c>
      <c r="V359" s="79" t="str">
        <f>IF(AND(A359="",B359="",D359=""),"",IF(A359="","N° de plan manquant",IF(COUNTIF($A$6:$A$505,A359)&gt;1,"N° de plan en double",IF(B359="","Équipement manquant",IF(ISNA(MATCH(B359,eq_code,0)),"Équipement inconnu",IF(D359="","Tâche manquante",IF(E359="","Déclenchement manquant",IF(AND(E359&lt;&gt;"Calendrier",E359&lt;&gt;"Compteur",E359&lt;&gt;"Au premier des deux"),"Déclenchement inconnu",IF(AND(E359&lt;&gt;"Compteur",OR(NOT(ISNUMBER(F359)),N(F359)&lt;=0)),"Périodicité en jours manquante",IF(AND(E359&lt;&gt;"Calendrier",OR(NOT(ISNUMBER(G359)),N(G359)&lt;=0)),"Périodicité compteur manquante",IF(AND(J359&lt;&gt;"",OR(NOT(ISNUMBER(J359)),N(J359)&lt;=0)),"Date de réalisation invalide",IF(AND(K359&lt;&gt;"",OR(NOT(ISNUMBER(K359)),N(K359)&lt;0)),"Compteur de réalisation invalide",IF(AND(E359&lt;&gt;"Compteur",N(M359)=0,IFERROR(N(INDEX(eq_start,MATCH(B359,eq_code,0))),0)=0),"Date de départ manquante",IF(AND(E359&lt;&gt;"Calendrier",K359="",N(N359)=0),"Compteur de départ manquant",IF(AND(E359&lt;&gt;"Calendrier",N(Q359)=0),"Relevé compteur manquant (Équipements)",IF(AND(I359&lt;&gt;"",ISNA(MATCH(I359,tech_name,0))),"Technicien inconnu",IF(AND(L359&lt;&gt;"",L359&lt;&gt;"Oui",L359&lt;&gt;"Non"),"Actif : Oui ou Non","OK")))))))))))))))))</f>
        <v/>
      </c>
      <c r="W359" s="67">
        <f>IFERROR(N(INDEX(eq_use,MATCH(B359,eq_code,0))),0)</f>
        <v>0.0</v>
      </c>
      <c r="X359" s="67" t="str">
        <f>IF(AND(ISNUMBER(S359),W359&gt;0),p_today+MAX(0,ROUNDUP(S359*7/W359,0)),"")</f>
        <v/>
      </c>
      <c r="Y359" s="67" t="str">
        <f>IF(AND(ISNUMBER(T359),OR(U359="En retard",U359="Bientôt",U359="À jour")),IF(AND(ISNUMBER(O359),ISNUMBER(X359)),MIN(F359,G359*7/W359),IF(ISNUMBER(O359),F359,G359*7/W359)),"")</f>
        <v/>
      </c>
      <c r="Z359" s="67" t="str">
        <f>IF(OR(U359="En retard",U359="Bientôt"),IF(U359="En retard",0,1)*1000000000+IF(AB359="A",0,IF(AB359="B",1,IF(AB359="C",2,3)))*100000000+IF(ISNUMBER(T359),T359,p_today)*1000+ROW()-5,"")</f>
        <v/>
      </c>
      <c r="AA359" s="67" t="str">
        <f>IF(Z359="","",COUNTIF($Z$6:$Z$505,"&lt;"&amp;Z359)+1)</f>
        <v/>
      </c>
      <c r="AB359" s="67" t="str">
        <f>IFERROR(INDEX(eq_crit,MATCH(B359,eq_code,0))&amp;"","")</f>
        <v/>
      </c>
    </row>
    <row r="360">
      <c r="A360" s="65" t="n"/>
      <c r="B360" s="66" t="n"/>
      <c r="C360" s="67" t="str">
        <f>IF(B360="","",IFERROR(INDEX(eq_des,MATCH(B360,eq_code,0))&amp;"","Équipement inconnu"))</f>
        <v/>
      </c>
      <c r="D360" s="66" t="n"/>
      <c r="E360" s="68" t="n"/>
      <c r="F360" s="69" t="n"/>
      <c r="G360" s="70" t="n"/>
      <c r="H360" s="71" t="n"/>
      <c r="I360" s="66" t="n"/>
      <c r="J360" s="72" t="n"/>
      <c r="K360" s="73" t="n"/>
      <c r="L360" s="68" t="n"/>
      <c r="M360" s="74" t="str">
        <f>IF(AND(A360="",B360="",D360=""),"",MAX(N(J360),IF(A360="",0,SUMPRODUCT(MAX((in_plan=A360)*in_prev*in_dnum)))))</f>
        <v/>
      </c>
      <c r="N360" s="75" t="str">
        <f>IF(AND(A360="",B360="",D360=""),"",MAX(N(K360),IF(A360="",0,SUMPRODUCT(MAX((in_plan=A360)*in_prev*in_cnum)))))</f>
        <v/>
      </c>
      <c r="O360" s="76" t="str">
        <f>IF(AND(OR(E360="Calendrier",E360="Au premier des deux"),N(F360)&gt;0,IF(N(M360)&gt;0,M360,IFERROR(N(INDEX(eq_start,MATCH(B360,eq_code,0))),0))&gt;0),IF(N(M360)&gt;0,M360,IFERROR(N(INDEX(eq_start,MATCH(B360,eq_code,0))),0))+F360,"")</f>
        <v/>
      </c>
      <c r="P360" s="75" t="str">
        <f>IF(AND(OR(E360="Compteur",E360="Au premier des deux"),N(G360)&gt;0),N(N360)+G360,"")</f>
        <v/>
      </c>
      <c r="Q360" s="75" t="str">
        <f>IF(B360="","",IFERROR(N(INDEX(eq_cnt,MATCH(B360,eq_code,0))),""))</f>
        <v/>
      </c>
      <c r="R360" s="77" t="str">
        <f>IF(ISNUMBER(O360),O360-p_today,"")</f>
        <v/>
      </c>
      <c r="S360" s="78" t="str">
        <f>IF(AND(ISNUMBER(P360),N(Q360)&gt;0),P360-Q360,"")</f>
        <v/>
      </c>
      <c r="T360" s="76" t="str">
        <f>IF(AND(ISNUMBER(O360),ISNUMBER(X360)),MIN(O360,X360),IF(ISNUMBER(O360),O360,X360))</f>
        <v/>
      </c>
      <c r="U360" s="79" t="str">
        <f>IF(AND(A360="",B360="",D360=""),"",IF(L360="Non","Inactif",IF(AND(NOT(ISNUMBER(R360)),NOT(ISNUMBER(S360))),"À compléter",IF(OR(AND(ISNUMBER(R360),N(R360)&lt;0),AND(ISNUMBER(S360),N(S360)&lt;0)),"En retard",IF(OR(AND(ISNUMBER(R360),N(R360)&lt;=p_soon),AND(ISNUMBER(S360),N(S360)&lt;=p_soon_pct*N(G360))),"Bientôt","À jour")))))</f>
        <v/>
      </c>
      <c r="V360" s="79" t="str">
        <f>IF(AND(A360="",B360="",D360=""),"",IF(A360="","N° de plan manquant",IF(COUNTIF($A$6:$A$505,A360)&gt;1,"N° de plan en double",IF(B360="","Équipement manquant",IF(ISNA(MATCH(B360,eq_code,0)),"Équipement inconnu",IF(D360="","Tâche manquante",IF(E360="","Déclenchement manquant",IF(AND(E360&lt;&gt;"Calendrier",E360&lt;&gt;"Compteur",E360&lt;&gt;"Au premier des deux"),"Déclenchement inconnu",IF(AND(E360&lt;&gt;"Compteur",OR(NOT(ISNUMBER(F360)),N(F360)&lt;=0)),"Périodicité en jours manquante",IF(AND(E360&lt;&gt;"Calendrier",OR(NOT(ISNUMBER(G360)),N(G360)&lt;=0)),"Périodicité compteur manquante",IF(AND(J360&lt;&gt;"",OR(NOT(ISNUMBER(J360)),N(J360)&lt;=0)),"Date de réalisation invalide",IF(AND(K360&lt;&gt;"",OR(NOT(ISNUMBER(K360)),N(K360)&lt;0)),"Compteur de réalisation invalide",IF(AND(E360&lt;&gt;"Compteur",N(M360)=0,IFERROR(N(INDEX(eq_start,MATCH(B360,eq_code,0))),0)=0),"Date de départ manquante",IF(AND(E360&lt;&gt;"Calendrier",K360="",N(N360)=0),"Compteur de départ manquant",IF(AND(E360&lt;&gt;"Calendrier",N(Q360)=0),"Relevé compteur manquant (Équipements)",IF(AND(I360&lt;&gt;"",ISNA(MATCH(I360,tech_name,0))),"Technicien inconnu",IF(AND(L360&lt;&gt;"",L360&lt;&gt;"Oui",L360&lt;&gt;"Non"),"Actif : Oui ou Non","OK")))))))))))))))))</f>
        <v/>
      </c>
      <c r="W360" s="67">
        <f>IFERROR(N(INDEX(eq_use,MATCH(B360,eq_code,0))),0)</f>
        <v>0.0</v>
      </c>
      <c r="X360" s="67" t="str">
        <f>IF(AND(ISNUMBER(S360),W360&gt;0),p_today+MAX(0,ROUNDUP(S360*7/W360,0)),"")</f>
        <v/>
      </c>
      <c r="Y360" s="67" t="str">
        <f>IF(AND(ISNUMBER(T360),OR(U360="En retard",U360="Bientôt",U360="À jour")),IF(AND(ISNUMBER(O360),ISNUMBER(X360)),MIN(F360,G360*7/W360),IF(ISNUMBER(O360),F360,G360*7/W360)),"")</f>
        <v/>
      </c>
      <c r="Z360" s="67" t="str">
        <f>IF(OR(U360="En retard",U360="Bientôt"),IF(U360="En retard",0,1)*1000000000+IF(AB360="A",0,IF(AB360="B",1,IF(AB360="C",2,3)))*100000000+IF(ISNUMBER(T360),T360,p_today)*1000+ROW()-5,"")</f>
        <v/>
      </c>
      <c r="AA360" s="67" t="str">
        <f>IF(Z360="","",COUNTIF($Z$6:$Z$505,"&lt;"&amp;Z360)+1)</f>
        <v/>
      </c>
      <c r="AB360" s="67" t="str">
        <f>IFERROR(INDEX(eq_crit,MATCH(B360,eq_code,0))&amp;"","")</f>
        <v/>
      </c>
    </row>
    <row r="361">
      <c r="A361" s="65" t="n"/>
      <c r="B361" s="66" t="n"/>
      <c r="C361" s="67" t="str">
        <f>IF(B361="","",IFERROR(INDEX(eq_des,MATCH(B361,eq_code,0))&amp;"","Équipement inconnu"))</f>
        <v/>
      </c>
      <c r="D361" s="66" t="n"/>
      <c r="E361" s="68" t="n"/>
      <c r="F361" s="69" t="n"/>
      <c r="G361" s="70" t="n"/>
      <c r="H361" s="71" t="n"/>
      <c r="I361" s="66" t="n"/>
      <c r="J361" s="72" t="n"/>
      <c r="K361" s="73" t="n"/>
      <c r="L361" s="68" t="n"/>
      <c r="M361" s="74" t="str">
        <f>IF(AND(A361="",B361="",D361=""),"",MAX(N(J361),IF(A361="",0,SUMPRODUCT(MAX((in_plan=A361)*in_prev*in_dnum)))))</f>
        <v/>
      </c>
      <c r="N361" s="75" t="str">
        <f>IF(AND(A361="",B361="",D361=""),"",MAX(N(K361),IF(A361="",0,SUMPRODUCT(MAX((in_plan=A361)*in_prev*in_cnum)))))</f>
        <v/>
      </c>
      <c r="O361" s="76" t="str">
        <f>IF(AND(OR(E361="Calendrier",E361="Au premier des deux"),N(F361)&gt;0,IF(N(M361)&gt;0,M361,IFERROR(N(INDEX(eq_start,MATCH(B361,eq_code,0))),0))&gt;0),IF(N(M361)&gt;0,M361,IFERROR(N(INDEX(eq_start,MATCH(B361,eq_code,0))),0))+F361,"")</f>
        <v/>
      </c>
      <c r="P361" s="75" t="str">
        <f>IF(AND(OR(E361="Compteur",E361="Au premier des deux"),N(G361)&gt;0),N(N361)+G361,"")</f>
        <v/>
      </c>
      <c r="Q361" s="75" t="str">
        <f>IF(B361="","",IFERROR(N(INDEX(eq_cnt,MATCH(B361,eq_code,0))),""))</f>
        <v/>
      </c>
      <c r="R361" s="77" t="str">
        <f>IF(ISNUMBER(O361),O361-p_today,"")</f>
        <v/>
      </c>
      <c r="S361" s="78" t="str">
        <f>IF(AND(ISNUMBER(P361),N(Q361)&gt;0),P361-Q361,"")</f>
        <v/>
      </c>
      <c r="T361" s="76" t="str">
        <f>IF(AND(ISNUMBER(O361),ISNUMBER(X361)),MIN(O361,X361),IF(ISNUMBER(O361),O361,X361))</f>
        <v/>
      </c>
      <c r="U361" s="79" t="str">
        <f>IF(AND(A361="",B361="",D361=""),"",IF(L361="Non","Inactif",IF(AND(NOT(ISNUMBER(R361)),NOT(ISNUMBER(S361))),"À compléter",IF(OR(AND(ISNUMBER(R361),N(R361)&lt;0),AND(ISNUMBER(S361),N(S361)&lt;0)),"En retard",IF(OR(AND(ISNUMBER(R361),N(R361)&lt;=p_soon),AND(ISNUMBER(S361),N(S361)&lt;=p_soon_pct*N(G361))),"Bientôt","À jour")))))</f>
        <v/>
      </c>
      <c r="V361" s="79" t="str">
        <f>IF(AND(A361="",B361="",D361=""),"",IF(A361="","N° de plan manquant",IF(COUNTIF($A$6:$A$505,A361)&gt;1,"N° de plan en double",IF(B361="","Équipement manquant",IF(ISNA(MATCH(B361,eq_code,0)),"Équipement inconnu",IF(D361="","Tâche manquante",IF(E361="","Déclenchement manquant",IF(AND(E361&lt;&gt;"Calendrier",E361&lt;&gt;"Compteur",E361&lt;&gt;"Au premier des deux"),"Déclenchement inconnu",IF(AND(E361&lt;&gt;"Compteur",OR(NOT(ISNUMBER(F361)),N(F361)&lt;=0)),"Périodicité en jours manquante",IF(AND(E361&lt;&gt;"Calendrier",OR(NOT(ISNUMBER(G361)),N(G361)&lt;=0)),"Périodicité compteur manquante",IF(AND(J361&lt;&gt;"",OR(NOT(ISNUMBER(J361)),N(J361)&lt;=0)),"Date de réalisation invalide",IF(AND(K361&lt;&gt;"",OR(NOT(ISNUMBER(K361)),N(K361)&lt;0)),"Compteur de réalisation invalide",IF(AND(E361&lt;&gt;"Compteur",N(M361)=0,IFERROR(N(INDEX(eq_start,MATCH(B361,eq_code,0))),0)=0),"Date de départ manquante",IF(AND(E361&lt;&gt;"Calendrier",K361="",N(N361)=0),"Compteur de départ manquant",IF(AND(E361&lt;&gt;"Calendrier",N(Q361)=0),"Relevé compteur manquant (Équipements)",IF(AND(I361&lt;&gt;"",ISNA(MATCH(I361,tech_name,0))),"Technicien inconnu",IF(AND(L361&lt;&gt;"",L361&lt;&gt;"Oui",L361&lt;&gt;"Non"),"Actif : Oui ou Non","OK")))))))))))))))))</f>
        <v/>
      </c>
      <c r="W361" s="67">
        <f>IFERROR(N(INDEX(eq_use,MATCH(B361,eq_code,0))),0)</f>
        <v>0.0</v>
      </c>
      <c r="X361" s="67" t="str">
        <f>IF(AND(ISNUMBER(S361),W361&gt;0),p_today+MAX(0,ROUNDUP(S361*7/W361,0)),"")</f>
        <v/>
      </c>
      <c r="Y361" s="67" t="str">
        <f>IF(AND(ISNUMBER(T361),OR(U361="En retard",U361="Bientôt",U361="À jour")),IF(AND(ISNUMBER(O361),ISNUMBER(X361)),MIN(F361,G361*7/W361),IF(ISNUMBER(O361),F361,G361*7/W361)),"")</f>
        <v/>
      </c>
      <c r="Z361" s="67" t="str">
        <f>IF(OR(U361="En retard",U361="Bientôt"),IF(U361="En retard",0,1)*1000000000+IF(AB361="A",0,IF(AB361="B",1,IF(AB361="C",2,3)))*100000000+IF(ISNUMBER(T361),T361,p_today)*1000+ROW()-5,"")</f>
        <v/>
      </c>
      <c r="AA361" s="67" t="str">
        <f>IF(Z361="","",COUNTIF($Z$6:$Z$505,"&lt;"&amp;Z361)+1)</f>
        <v/>
      </c>
      <c r="AB361" s="67" t="str">
        <f>IFERROR(INDEX(eq_crit,MATCH(B361,eq_code,0))&amp;"","")</f>
        <v/>
      </c>
    </row>
    <row r="362">
      <c r="A362" s="65" t="n"/>
      <c r="B362" s="66" t="n"/>
      <c r="C362" s="67" t="str">
        <f>IF(B362="","",IFERROR(INDEX(eq_des,MATCH(B362,eq_code,0))&amp;"","Équipement inconnu"))</f>
        <v/>
      </c>
      <c r="D362" s="66" t="n"/>
      <c r="E362" s="68" t="n"/>
      <c r="F362" s="69" t="n"/>
      <c r="G362" s="70" t="n"/>
      <c r="H362" s="71" t="n"/>
      <c r="I362" s="66" t="n"/>
      <c r="J362" s="72" t="n"/>
      <c r="K362" s="73" t="n"/>
      <c r="L362" s="68" t="n"/>
      <c r="M362" s="74" t="str">
        <f>IF(AND(A362="",B362="",D362=""),"",MAX(N(J362),IF(A362="",0,SUMPRODUCT(MAX((in_plan=A362)*in_prev*in_dnum)))))</f>
        <v/>
      </c>
      <c r="N362" s="75" t="str">
        <f>IF(AND(A362="",B362="",D362=""),"",MAX(N(K362),IF(A362="",0,SUMPRODUCT(MAX((in_plan=A362)*in_prev*in_cnum)))))</f>
        <v/>
      </c>
      <c r="O362" s="76" t="str">
        <f>IF(AND(OR(E362="Calendrier",E362="Au premier des deux"),N(F362)&gt;0,IF(N(M362)&gt;0,M362,IFERROR(N(INDEX(eq_start,MATCH(B362,eq_code,0))),0))&gt;0),IF(N(M362)&gt;0,M362,IFERROR(N(INDEX(eq_start,MATCH(B362,eq_code,0))),0))+F362,"")</f>
        <v/>
      </c>
      <c r="P362" s="75" t="str">
        <f>IF(AND(OR(E362="Compteur",E362="Au premier des deux"),N(G362)&gt;0),N(N362)+G362,"")</f>
        <v/>
      </c>
      <c r="Q362" s="75" t="str">
        <f>IF(B362="","",IFERROR(N(INDEX(eq_cnt,MATCH(B362,eq_code,0))),""))</f>
        <v/>
      </c>
      <c r="R362" s="77" t="str">
        <f>IF(ISNUMBER(O362),O362-p_today,"")</f>
        <v/>
      </c>
      <c r="S362" s="78" t="str">
        <f>IF(AND(ISNUMBER(P362),N(Q362)&gt;0),P362-Q362,"")</f>
        <v/>
      </c>
      <c r="T362" s="76" t="str">
        <f>IF(AND(ISNUMBER(O362),ISNUMBER(X362)),MIN(O362,X362),IF(ISNUMBER(O362),O362,X362))</f>
        <v/>
      </c>
      <c r="U362" s="79" t="str">
        <f>IF(AND(A362="",B362="",D362=""),"",IF(L362="Non","Inactif",IF(AND(NOT(ISNUMBER(R362)),NOT(ISNUMBER(S362))),"À compléter",IF(OR(AND(ISNUMBER(R362),N(R362)&lt;0),AND(ISNUMBER(S362),N(S362)&lt;0)),"En retard",IF(OR(AND(ISNUMBER(R362),N(R362)&lt;=p_soon),AND(ISNUMBER(S362),N(S362)&lt;=p_soon_pct*N(G362))),"Bientôt","À jour")))))</f>
        <v/>
      </c>
      <c r="V362" s="79" t="str">
        <f>IF(AND(A362="",B362="",D362=""),"",IF(A362="","N° de plan manquant",IF(COUNTIF($A$6:$A$505,A362)&gt;1,"N° de plan en double",IF(B362="","Équipement manquant",IF(ISNA(MATCH(B362,eq_code,0)),"Équipement inconnu",IF(D362="","Tâche manquante",IF(E362="","Déclenchement manquant",IF(AND(E362&lt;&gt;"Calendrier",E362&lt;&gt;"Compteur",E362&lt;&gt;"Au premier des deux"),"Déclenchement inconnu",IF(AND(E362&lt;&gt;"Compteur",OR(NOT(ISNUMBER(F362)),N(F362)&lt;=0)),"Périodicité en jours manquante",IF(AND(E362&lt;&gt;"Calendrier",OR(NOT(ISNUMBER(G362)),N(G362)&lt;=0)),"Périodicité compteur manquante",IF(AND(J362&lt;&gt;"",OR(NOT(ISNUMBER(J362)),N(J362)&lt;=0)),"Date de réalisation invalide",IF(AND(K362&lt;&gt;"",OR(NOT(ISNUMBER(K362)),N(K362)&lt;0)),"Compteur de réalisation invalide",IF(AND(E362&lt;&gt;"Compteur",N(M362)=0,IFERROR(N(INDEX(eq_start,MATCH(B362,eq_code,0))),0)=0),"Date de départ manquante",IF(AND(E362&lt;&gt;"Calendrier",K362="",N(N362)=0),"Compteur de départ manquant",IF(AND(E362&lt;&gt;"Calendrier",N(Q362)=0),"Relevé compteur manquant (Équipements)",IF(AND(I362&lt;&gt;"",ISNA(MATCH(I362,tech_name,0))),"Technicien inconnu",IF(AND(L362&lt;&gt;"",L362&lt;&gt;"Oui",L362&lt;&gt;"Non"),"Actif : Oui ou Non","OK")))))))))))))))))</f>
        <v/>
      </c>
      <c r="W362" s="67">
        <f>IFERROR(N(INDEX(eq_use,MATCH(B362,eq_code,0))),0)</f>
        <v>0.0</v>
      </c>
      <c r="X362" s="67" t="str">
        <f>IF(AND(ISNUMBER(S362),W362&gt;0),p_today+MAX(0,ROUNDUP(S362*7/W362,0)),"")</f>
        <v/>
      </c>
      <c r="Y362" s="67" t="str">
        <f>IF(AND(ISNUMBER(T362),OR(U362="En retard",U362="Bientôt",U362="À jour")),IF(AND(ISNUMBER(O362),ISNUMBER(X362)),MIN(F362,G362*7/W362),IF(ISNUMBER(O362),F362,G362*7/W362)),"")</f>
        <v/>
      </c>
      <c r="Z362" s="67" t="str">
        <f>IF(OR(U362="En retard",U362="Bientôt"),IF(U362="En retard",0,1)*1000000000+IF(AB362="A",0,IF(AB362="B",1,IF(AB362="C",2,3)))*100000000+IF(ISNUMBER(T362),T362,p_today)*1000+ROW()-5,"")</f>
        <v/>
      </c>
      <c r="AA362" s="67" t="str">
        <f>IF(Z362="","",COUNTIF($Z$6:$Z$505,"&lt;"&amp;Z362)+1)</f>
        <v/>
      </c>
      <c r="AB362" s="67" t="str">
        <f>IFERROR(INDEX(eq_crit,MATCH(B362,eq_code,0))&amp;"","")</f>
        <v/>
      </c>
    </row>
    <row r="363">
      <c r="A363" s="65" t="n"/>
      <c r="B363" s="66" t="n"/>
      <c r="C363" s="67" t="str">
        <f>IF(B363="","",IFERROR(INDEX(eq_des,MATCH(B363,eq_code,0))&amp;"","Équipement inconnu"))</f>
        <v/>
      </c>
      <c r="D363" s="66" t="n"/>
      <c r="E363" s="68" t="n"/>
      <c r="F363" s="69" t="n"/>
      <c r="G363" s="70" t="n"/>
      <c r="H363" s="71" t="n"/>
      <c r="I363" s="66" t="n"/>
      <c r="J363" s="72" t="n"/>
      <c r="K363" s="73" t="n"/>
      <c r="L363" s="68" t="n"/>
      <c r="M363" s="74" t="str">
        <f>IF(AND(A363="",B363="",D363=""),"",MAX(N(J363),IF(A363="",0,SUMPRODUCT(MAX((in_plan=A363)*in_prev*in_dnum)))))</f>
        <v/>
      </c>
      <c r="N363" s="75" t="str">
        <f>IF(AND(A363="",B363="",D363=""),"",MAX(N(K363),IF(A363="",0,SUMPRODUCT(MAX((in_plan=A363)*in_prev*in_cnum)))))</f>
        <v/>
      </c>
      <c r="O363" s="76" t="str">
        <f>IF(AND(OR(E363="Calendrier",E363="Au premier des deux"),N(F363)&gt;0,IF(N(M363)&gt;0,M363,IFERROR(N(INDEX(eq_start,MATCH(B363,eq_code,0))),0))&gt;0),IF(N(M363)&gt;0,M363,IFERROR(N(INDEX(eq_start,MATCH(B363,eq_code,0))),0))+F363,"")</f>
        <v/>
      </c>
      <c r="P363" s="75" t="str">
        <f>IF(AND(OR(E363="Compteur",E363="Au premier des deux"),N(G363)&gt;0),N(N363)+G363,"")</f>
        <v/>
      </c>
      <c r="Q363" s="75" t="str">
        <f>IF(B363="","",IFERROR(N(INDEX(eq_cnt,MATCH(B363,eq_code,0))),""))</f>
        <v/>
      </c>
      <c r="R363" s="77" t="str">
        <f>IF(ISNUMBER(O363),O363-p_today,"")</f>
        <v/>
      </c>
      <c r="S363" s="78" t="str">
        <f>IF(AND(ISNUMBER(P363),N(Q363)&gt;0),P363-Q363,"")</f>
        <v/>
      </c>
      <c r="T363" s="76" t="str">
        <f>IF(AND(ISNUMBER(O363),ISNUMBER(X363)),MIN(O363,X363),IF(ISNUMBER(O363),O363,X363))</f>
        <v/>
      </c>
      <c r="U363" s="79" t="str">
        <f>IF(AND(A363="",B363="",D363=""),"",IF(L363="Non","Inactif",IF(AND(NOT(ISNUMBER(R363)),NOT(ISNUMBER(S363))),"À compléter",IF(OR(AND(ISNUMBER(R363),N(R363)&lt;0),AND(ISNUMBER(S363),N(S363)&lt;0)),"En retard",IF(OR(AND(ISNUMBER(R363),N(R363)&lt;=p_soon),AND(ISNUMBER(S363),N(S363)&lt;=p_soon_pct*N(G363))),"Bientôt","À jour")))))</f>
        <v/>
      </c>
      <c r="V363" s="79" t="str">
        <f>IF(AND(A363="",B363="",D363=""),"",IF(A363="","N° de plan manquant",IF(COUNTIF($A$6:$A$505,A363)&gt;1,"N° de plan en double",IF(B363="","Équipement manquant",IF(ISNA(MATCH(B363,eq_code,0)),"Équipement inconnu",IF(D363="","Tâche manquante",IF(E363="","Déclenchement manquant",IF(AND(E363&lt;&gt;"Calendrier",E363&lt;&gt;"Compteur",E363&lt;&gt;"Au premier des deux"),"Déclenchement inconnu",IF(AND(E363&lt;&gt;"Compteur",OR(NOT(ISNUMBER(F363)),N(F363)&lt;=0)),"Périodicité en jours manquante",IF(AND(E363&lt;&gt;"Calendrier",OR(NOT(ISNUMBER(G363)),N(G363)&lt;=0)),"Périodicité compteur manquante",IF(AND(J363&lt;&gt;"",OR(NOT(ISNUMBER(J363)),N(J363)&lt;=0)),"Date de réalisation invalide",IF(AND(K363&lt;&gt;"",OR(NOT(ISNUMBER(K363)),N(K363)&lt;0)),"Compteur de réalisation invalide",IF(AND(E363&lt;&gt;"Compteur",N(M363)=0,IFERROR(N(INDEX(eq_start,MATCH(B363,eq_code,0))),0)=0),"Date de départ manquante",IF(AND(E363&lt;&gt;"Calendrier",K363="",N(N363)=0),"Compteur de départ manquant",IF(AND(E363&lt;&gt;"Calendrier",N(Q363)=0),"Relevé compteur manquant (Équipements)",IF(AND(I363&lt;&gt;"",ISNA(MATCH(I363,tech_name,0))),"Technicien inconnu",IF(AND(L363&lt;&gt;"",L363&lt;&gt;"Oui",L363&lt;&gt;"Non"),"Actif : Oui ou Non","OK")))))))))))))))))</f>
        <v/>
      </c>
      <c r="W363" s="67">
        <f>IFERROR(N(INDEX(eq_use,MATCH(B363,eq_code,0))),0)</f>
        <v>0.0</v>
      </c>
      <c r="X363" s="67" t="str">
        <f>IF(AND(ISNUMBER(S363),W363&gt;0),p_today+MAX(0,ROUNDUP(S363*7/W363,0)),"")</f>
        <v/>
      </c>
      <c r="Y363" s="67" t="str">
        <f>IF(AND(ISNUMBER(T363),OR(U363="En retard",U363="Bientôt",U363="À jour")),IF(AND(ISNUMBER(O363),ISNUMBER(X363)),MIN(F363,G363*7/W363),IF(ISNUMBER(O363),F363,G363*7/W363)),"")</f>
        <v/>
      </c>
      <c r="Z363" s="67" t="str">
        <f>IF(OR(U363="En retard",U363="Bientôt"),IF(U363="En retard",0,1)*1000000000+IF(AB363="A",0,IF(AB363="B",1,IF(AB363="C",2,3)))*100000000+IF(ISNUMBER(T363),T363,p_today)*1000+ROW()-5,"")</f>
        <v/>
      </c>
      <c r="AA363" s="67" t="str">
        <f>IF(Z363="","",COUNTIF($Z$6:$Z$505,"&lt;"&amp;Z363)+1)</f>
        <v/>
      </c>
      <c r="AB363" s="67" t="str">
        <f>IFERROR(INDEX(eq_crit,MATCH(B363,eq_code,0))&amp;"","")</f>
        <v/>
      </c>
    </row>
    <row r="364">
      <c r="A364" s="65" t="n"/>
      <c r="B364" s="66" t="n"/>
      <c r="C364" s="67" t="str">
        <f>IF(B364="","",IFERROR(INDEX(eq_des,MATCH(B364,eq_code,0))&amp;"","Équipement inconnu"))</f>
        <v/>
      </c>
      <c r="D364" s="66" t="n"/>
      <c r="E364" s="68" t="n"/>
      <c r="F364" s="69" t="n"/>
      <c r="G364" s="70" t="n"/>
      <c r="H364" s="71" t="n"/>
      <c r="I364" s="66" t="n"/>
      <c r="J364" s="72" t="n"/>
      <c r="K364" s="73" t="n"/>
      <c r="L364" s="68" t="n"/>
      <c r="M364" s="74" t="str">
        <f>IF(AND(A364="",B364="",D364=""),"",MAX(N(J364),IF(A364="",0,SUMPRODUCT(MAX((in_plan=A364)*in_prev*in_dnum)))))</f>
        <v/>
      </c>
      <c r="N364" s="75" t="str">
        <f>IF(AND(A364="",B364="",D364=""),"",MAX(N(K364),IF(A364="",0,SUMPRODUCT(MAX((in_plan=A364)*in_prev*in_cnum)))))</f>
        <v/>
      </c>
      <c r="O364" s="76" t="str">
        <f>IF(AND(OR(E364="Calendrier",E364="Au premier des deux"),N(F364)&gt;0,IF(N(M364)&gt;0,M364,IFERROR(N(INDEX(eq_start,MATCH(B364,eq_code,0))),0))&gt;0),IF(N(M364)&gt;0,M364,IFERROR(N(INDEX(eq_start,MATCH(B364,eq_code,0))),0))+F364,"")</f>
        <v/>
      </c>
      <c r="P364" s="75" t="str">
        <f>IF(AND(OR(E364="Compteur",E364="Au premier des deux"),N(G364)&gt;0),N(N364)+G364,"")</f>
        <v/>
      </c>
      <c r="Q364" s="75" t="str">
        <f>IF(B364="","",IFERROR(N(INDEX(eq_cnt,MATCH(B364,eq_code,0))),""))</f>
        <v/>
      </c>
      <c r="R364" s="77" t="str">
        <f>IF(ISNUMBER(O364),O364-p_today,"")</f>
        <v/>
      </c>
      <c r="S364" s="78" t="str">
        <f>IF(AND(ISNUMBER(P364),N(Q364)&gt;0),P364-Q364,"")</f>
        <v/>
      </c>
      <c r="T364" s="76" t="str">
        <f>IF(AND(ISNUMBER(O364),ISNUMBER(X364)),MIN(O364,X364),IF(ISNUMBER(O364),O364,X364))</f>
        <v/>
      </c>
      <c r="U364" s="79" t="str">
        <f>IF(AND(A364="",B364="",D364=""),"",IF(L364="Non","Inactif",IF(AND(NOT(ISNUMBER(R364)),NOT(ISNUMBER(S364))),"À compléter",IF(OR(AND(ISNUMBER(R364),N(R364)&lt;0),AND(ISNUMBER(S364),N(S364)&lt;0)),"En retard",IF(OR(AND(ISNUMBER(R364),N(R364)&lt;=p_soon),AND(ISNUMBER(S364),N(S364)&lt;=p_soon_pct*N(G364))),"Bientôt","À jour")))))</f>
        <v/>
      </c>
      <c r="V364" s="79" t="str">
        <f>IF(AND(A364="",B364="",D364=""),"",IF(A364="","N° de plan manquant",IF(COUNTIF($A$6:$A$505,A364)&gt;1,"N° de plan en double",IF(B364="","Équipement manquant",IF(ISNA(MATCH(B364,eq_code,0)),"Équipement inconnu",IF(D364="","Tâche manquante",IF(E364="","Déclenchement manquant",IF(AND(E364&lt;&gt;"Calendrier",E364&lt;&gt;"Compteur",E364&lt;&gt;"Au premier des deux"),"Déclenchement inconnu",IF(AND(E364&lt;&gt;"Compteur",OR(NOT(ISNUMBER(F364)),N(F364)&lt;=0)),"Périodicité en jours manquante",IF(AND(E364&lt;&gt;"Calendrier",OR(NOT(ISNUMBER(G364)),N(G364)&lt;=0)),"Périodicité compteur manquante",IF(AND(J364&lt;&gt;"",OR(NOT(ISNUMBER(J364)),N(J364)&lt;=0)),"Date de réalisation invalide",IF(AND(K364&lt;&gt;"",OR(NOT(ISNUMBER(K364)),N(K364)&lt;0)),"Compteur de réalisation invalide",IF(AND(E364&lt;&gt;"Compteur",N(M364)=0,IFERROR(N(INDEX(eq_start,MATCH(B364,eq_code,0))),0)=0),"Date de départ manquante",IF(AND(E364&lt;&gt;"Calendrier",K364="",N(N364)=0),"Compteur de départ manquant",IF(AND(E364&lt;&gt;"Calendrier",N(Q364)=0),"Relevé compteur manquant (Équipements)",IF(AND(I364&lt;&gt;"",ISNA(MATCH(I364,tech_name,0))),"Technicien inconnu",IF(AND(L364&lt;&gt;"",L364&lt;&gt;"Oui",L364&lt;&gt;"Non"),"Actif : Oui ou Non","OK")))))))))))))))))</f>
        <v/>
      </c>
      <c r="W364" s="67">
        <f>IFERROR(N(INDEX(eq_use,MATCH(B364,eq_code,0))),0)</f>
        <v>0.0</v>
      </c>
      <c r="X364" s="67" t="str">
        <f>IF(AND(ISNUMBER(S364),W364&gt;0),p_today+MAX(0,ROUNDUP(S364*7/W364,0)),"")</f>
        <v/>
      </c>
      <c r="Y364" s="67" t="str">
        <f>IF(AND(ISNUMBER(T364),OR(U364="En retard",U364="Bientôt",U364="À jour")),IF(AND(ISNUMBER(O364),ISNUMBER(X364)),MIN(F364,G364*7/W364),IF(ISNUMBER(O364),F364,G364*7/W364)),"")</f>
        <v/>
      </c>
      <c r="Z364" s="67" t="str">
        <f>IF(OR(U364="En retard",U364="Bientôt"),IF(U364="En retard",0,1)*1000000000+IF(AB364="A",0,IF(AB364="B",1,IF(AB364="C",2,3)))*100000000+IF(ISNUMBER(T364),T364,p_today)*1000+ROW()-5,"")</f>
        <v/>
      </c>
      <c r="AA364" s="67" t="str">
        <f>IF(Z364="","",COUNTIF($Z$6:$Z$505,"&lt;"&amp;Z364)+1)</f>
        <v/>
      </c>
      <c r="AB364" s="67" t="str">
        <f>IFERROR(INDEX(eq_crit,MATCH(B364,eq_code,0))&amp;"","")</f>
        <v/>
      </c>
    </row>
    <row r="365">
      <c r="A365" s="65" t="n"/>
      <c r="B365" s="66" t="n"/>
      <c r="C365" s="67" t="str">
        <f>IF(B365="","",IFERROR(INDEX(eq_des,MATCH(B365,eq_code,0))&amp;"","Équipement inconnu"))</f>
        <v/>
      </c>
      <c r="D365" s="66" t="n"/>
      <c r="E365" s="68" t="n"/>
      <c r="F365" s="69" t="n"/>
      <c r="G365" s="70" t="n"/>
      <c r="H365" s="71" t="n"/>
      <c r="I365" s="66" t="n"/>
      <c r="J365" s="72" t="n"/>
      <c r="K365" s="73" t="n"/>
      <c r="L365" s="68" t="n"/>
      <c r="M365" s="74" t="str">
        <f>IF(AND(A365="",B365="",D365=""),"",MAX(N(J365),IF(A365="",0,SUMPRODUCT(MAX((in_plan=A365)*in_prev*in_dnum)))))</f>
        <v/>
      </c>
      <c r="N365" s="75" t="str">
        <f>IF(AND(A365="",B365="",D365=""),"",MAX(N(K365),IF(A365="",0,SUMPRODUCT(MAX((in_plan=A365)*in_prev*in_cnum)))))</f>
        <v/>
      </c>
      <c r="O365" s="76" t="str">
        <f>IF(AND(OR(E365="Calendrier",E365="Au premier des deux"),N(F365)&gt;0,IF(N(M365)&gt;0,M365,IFERROR(N(INDEX(eq_start,MATCH(B365,eq_code,0))),0))&gt;0),IF(N(M365)&gt;0,M365,IFERROR(N(INDEX(eq_start,MATCH(B365,eq_code,0))),0))+F365,"")</f>
        <v/>
      </c>
      <c r="P365" s="75" t="str">
        <f>IF(AND(OR(E365="Compteur",E365="Au premier des deux"),N(G365)&gt;0),N(N365)+G365,"")</f>
        <v/>
      </c>
      <c r="Q365" s="75" t="str">
        <f>IF(B365="","",IFERROR(N(INDEX(eq_cnt,MATCH(B365,eq_code,0))),""))</f>
        <v/>
      </c>
      <c r="R365" s="77" t="str">
        <f>IF(ISNUMBER(O365),O365-p_today,"")</f>
        <v/>
      </c>
      <c r="S365" s="78" t="str">
        <f>IF(AND(ISNUMBER(P365),N(Q365)&gt;0),P365-Q365,"")</f>
        <v/>
      </c>
      <c r="T365" s="76" t="str">
        <f>IF(AND(ISNUMBER(O365),ISNUMBER(X365)),MIN(O365,X365),IF(ISNUMBER(O365),O365,X365))</f>
        <v/>
      </c>
      <c r="U365" s="79" t="str">
        <f>IF(AND(A365="",B365="",D365=""),"",IF(L365="Non","Inactif",IF(AND(NOT(ISNUMBER(R365)),NOT(ISNUMBER(S365))),"À compléter",IF(OR(AND(ISNUMBER(R365),N(R365)&lt;0),AND(ISNUMBER(S365),N(S365)&lt;0)),"En retard",IF(OR(AND(ISNUMBER(R365),N(R365)&lt;=p_soon),AND(ISNUMBER(S365),N(S365)&lt;=p_soon_pct*N(G365))),"Bientôt","À jour")))))</f>
        <v/>
      </c>
      <c r="V365" s="79" t="str">
        <f>IF(AND(A365="",B365="",D365=""),"",IF(A365="","N° de plan manquant",IF(COUNTIF($A$6:$A$505,A365)&gt;1,"N° de plan en double",IF(B365="","Équipement manquant",IF(ISNA(MATCH(B365,eq_code,0)),"Équipement inconnu",IF(D365="","Tâche manquante",IF(E365="","Déclenchement manquant",IF(AND(E365&lt;&gt;"Calendrier",E365&lt;&gt;"Compteur",E365&lt;&gt;"Au premier des deux"),"Déclenchement inconnu",IF(AND(E365&lt;&gt;"Compteur",OR(NOT(ISNUMBER(F365)),N(F365)&lt;=0)),"Périodicité en jours manquante",IF(AND(E365&lt;&gt;"Calendrier",OR(NOT(ISNUMBER(G365)),N(G365)&lt;=0)),"Périodicité compteur manquante",IF(AND(J365&lt;&gt;"",OR(NOT(ISNUMBER(J365)),N(J365)&lt;=0)),"Date de réalisation invalide",IF(AND(K365&lt;&gt;"",OR(NOT(ISNUMBER(K365)),N(K365)&lt;0)),"Compteur de réalisation invalide",IF(AND(E365&lt;&gt;"Compteur",N(M365)=0,IFERROR(N(INDEX(eq_start,MATCH(B365,eq_code,0))),0)=0),"Date de départ manquante",IF(AND(E365&lt;&gt;"Calendrier",K365="",N(N365)=0),"Compteur de départ manquant",IF(AND(E365&lt;&gt;"Calendrier",N(Q365)=0),"Relevé compteur manquant (Équipements)",IF(AND(I365&lt;&gt;"",ISNA(MATCH(I365,tech_name,0))),"Technicien inconnu",IF(AND(L365&lt;&gt;"",L365&lt;&gt;"Oui",L365&lt;&gt;"Non"),"Actif : Oui ou Non","OK")))))))))))))))))</f>
        <v/>
      </c>
      <c r="W365" s="67">
        <f>IFERROR(N(INDEX(eq_use,MATCH(B365,eq_code,0))),0)</f>
        <v>0.0</v>
      </c>
      <c r="X365" s="67" t="str">
        <f>IF(AND(ISNUMBER(S365),W365&gt;0),p_today+MAX(0,ROUNDUP(S365*7/W365,0)),"")</f>
        <v/>
      </c>
      <c r="Y365" s="67" t="str">
        <f>IF(AND(ISNUMBER(T365),OR(U365="En retard",U365="Bientôt",U365="À jour")),IF(AND(ISNUMBER(O365),ISNUMBER(X365)),MIN(F365,G365*7/W365),IF(ISNUMBER(O365),F365,G365*7/W365)),"")</f>
        <v/>
      </c>
      <c r="Z365" s="67" t="str">
        <f>IF(OR(U365="En retard",U365="Bientôt"),IF(U365="En retard",0,1)*1000000000+IF(AB365="A",0,IF(AB365="B",1,IF(AB365="C",2,3)))*100000000+IF(ISNUMBER(T365),T365,p_today)*1000+ROW()-5,"")</f>
        <v/>
      </c>
      <c r="AA365" s="67" t="str">
        <f>IF(Z365="","",COUNTIF($Z$6:$Z$505,"&lt;"&amp;Z365)+1)</f>
        <v/>
      </c>
      <c r="AB365" s="67" t="str">
        <f>IFERROR(INDEX(eq_crit,MATCH(B365,eq_code,0))&amp;"","")</f>
        <v/>
      </c>
    </row>
    <row r="366">
      <c r="A366" s="65" t="n"/>
      <c r="B366" s="66" t="n"/>
      <c r="C366" s="67" t="str">
        <f>IF(B366="","",IFERROR(INDEX(eq_des,MATCH(B366,eq_code,0))&amp;"","Équipement inconnu"))</f>
        <v/>
      </c>
      <c r="D366" s="66" t="n"/>
      <c r="E366" s="68" t="n"/>
      <c r="F366" s="69" t="n"/>
      <c r="G366" s="70" t="n"/>
      <c r="H366" s="71" t="n"/>
      <c r="I366" s="66" t="n"/>
      <c r="J366" s="72" t="n"/>
      <c r="K366" s="73" t="n"/>
      <c r="L366" s="68" t="n"/>
      <c r="M366" s="74" t="str">
        <f>IF(AND(A366="",B366="",D366=""),"",MAX(N(J366),IF(A366="",0,SUMPRODUCT(MAX((in_plan=A366)*in_prev*in_dnum)))))</f>
        <v/>
      </c>
      <c r="N366" s="75" t="str">
        <f>IF(AND(A366="",B366="",D366=""),"",MAX(N(K366),IF(A366="",0,SUMPRODUCT(MAX((in_plan=A366)*in_prev*in_cnum)))))</f>
        <v/>
      </c>
      <c r="O366" s="76" t="str">
        <f>IF(AND(OR(E366="Calendrier",E366="Au premier des deux"),N(F366)&gt;0,IF(N(M366)&gt;0,M366,IFERROR(N(INDEX(eq_start,MATCH(B366,eq_code,0))),0))&gt;0),IF(N(M366)&gt;0,M366,IFERROR(N(INDEX(eq_start,MATCH(B366,eq_code,0))),0))+F366,"")</f>
        <v/>
      </c>
      <c r="P366" s="75" t="str">
        <f>IF(AND(OR(E366="Compteur",E366="Au premier des deux"),N(G366)&gt;0),N(N366)+G366,"")</f>
        <v/>
      </c>
      <c r="Q366" s="75" t="str">
        <f>IF(B366="","",IFERROR(N(INDEX(eq_cnt,MATCH(B366,eq_code,0))),""))</f>
        <v/>
      </c>
      <c r="R366" s="77" t="str">
        <f>IF(ISNUMBER(O366),O366-p_today,"")</f>
        <v/>
      </c>
      <c r="S366" s="78" t="str">
        <f>IF(AND(ISNUMBER(P366),N(Q366)&gt;0),P366-Q366,"")</f>
        <v/>
      </c>
      <c r="T366" s="76" t="str">
        <f>IF(AND(ISNUMBER(O366),ISNUMBER(X366)),MIN(O366,X366),IF(ISNUMBER(O366),O366,X366))</f>
        <v/>
      </c>
      <c r="U366" s="79" t="str">
        <f>IF(AND(A366="",B366="",D366=""),"",IF(L366="Non","Inactif",IF(AND(NOT(ISNUMBER(R366)),NOT(ISNUMBER(S366))),"À compléter",IF(OR(AND(ISNUMBER(R366),N(R366)&lt;0),AND(ISNUMBER(S366),N(S366)&lt;0)),"En retard",IF(OR(AND(ISNUMBER(R366),N(R366)&lt;=p_soon),AND(ISNUMBER(S366),N(S366)&lt;=p_soon_pct*N(G366))),"Bientôt","À jour")))))</f>
        <v/>
      </c>
      <c r="V366" s="79" t="str">
        <f>IF(AND(A366="",B366="",D366=""),"",IF(A366="","N° de plan manquant",IF(COUNTIF($A$6:$A$505,A366)&gt;1,"N° de plan en double",IF(B366="","Équipement manquant",IF(ISNA(MATCH(B366,eq_code,0)),"Équipement inconnu",IF(D366="","Tâche manquante",IF(E366="","Déclenchement manquant",IF(AND(E366&lt;&gt;"Calendrier",E366&lt;&gt;"Compteur",E366&lt;&gt;"Au premier des deux"),"Déclenchement inconnu",IF(AND(E366&lt;&gt;"Compteur",OR(NOT(ISNUMBER(F366)),N(F366)&lt;=0)),"Périodicité en jours manquante",IF(AND(E366&lt;&gt;"Calendrier",OR(NOT(ISNUMBER(G366)),N(G366)&lt;=0)),"Périodicité compteur manquante",IF(AND(J366&lt;&gt;"",OR(NOT(ISNUMBER(J366)),N(J366)&lt;=0)),"Date de réalisation invalide",IF(AND(K366&lt;&gt;"",OR(NOT(ISNUMBER(K366)),N(K366)&lt;0)),"Compteur de réalisation invalide",IF(AND(E366&lt;&gt;"Compteur",N(M366)=0,IFERROR(N(INDEX(eq_start,MATCH(B366,eq_code,0))),0)=0),"Date de départ manquante",IF(AND(E366&lt;&gt;"Calendrier",K366="",N(N366)=0),"Compteur de départ manquant",IF(AND(E366&lt;&gt;"Calendrier",N(Q366)=0),"Relevé compteur manquant (Équipements)",IF(AND(I366&lt;&gt;"",ISNA(MATCH(I366,tech_name,0))),"Technicien inconnu",IF(AND(L366&lt;&gt;"",L366&lt;&gt;"Oui",L366&lt;&gt;"Non"),"Actif : Oui ou Non","OK")))))))))))))))))</f>
        <v/>
      </c>
      <c r="W366" s="67">
        <f>IFERROR(N(INDEX(eq_use,MATCH(B366,eq_code,0))),0)</f>
        <v>0.0</v>
      </c>
      <c r="X366" s="67" t="str">
        <f>IF(AND(ISNUMBER(S366),W366&gt;0),p_today+MAX(0,ROUNDUP(S366*7/W366,0)),"")</f>
        <v/>
      </c>
      <c r="Y366" s="67" t="str">
        <f>IF(AND(ISNUMBER(T366),OR(U366="En retard",U366="Bientôt",U366="À jour")),IF(AND(ISNUMBER(O366),ISNUMBER(X366)),MIN(F366,G366*7/W366),IF(ISNUMBER(O366),F366,G366*7/W366)),"")</f>
        <v/>
      </c>
      <c r="Z366" s="67" t="str">
        <f>IF(OR(U366="En retard",U366="Bientôt"),IF(U366="En retard",0,1)*1000000000+IF(AB366="A",0,IF(AB366="B",1,IF(AB366="C",2,3)))*100000000+IF(ISNUMBER(T366),T366,p_today)*1000+ROW()-5,"")</f>
        <v/>
      </c>
      <c r="AA366" s="67" t="str">
        <f>IF(Z366="","",COUNTIF($Z$6:$Z$505,"&lt;"&amp;Z366)+1)</f>
        <v/>
      </c>
      <c r="AB366" s="67" t="str">
        <f>IFERROR(INDEX(eq_crit,MATCH(B366,eq_code,0))&amp;"","")</f>
        <v/>
      </c>
    </row>
    <row r="367">
      <c r="A367" s="65" t="n"/>
      <c r="B367" s="66" t="n"/>
      <c r="C367" s="67" t="str">
        <f>IF(B367="","",IFERROR(INDEX(eq_des,MATCH(B367,eq_code,0))&amp;"","Équipement inconnu"))</f>
        <v/>
      </c>
      <c r="D367" s="66" t="n"/>
      <c r="E367" s="68" t="n"/>
      <c r="F367" s="69" t="n"/>
      <c r="G367" s="70" t="n"/>
      <c r="H367" s="71" t="n"/>
      <c r="I367" s="66" t="n"/>
      <c r="J367" s="72" t="n"/>
      <c r="K367" s="73" t="n"/>
      <c r="L367" s="68" t="n"/>
      <c r="M367" s="74" t="str">
        <f>IF(AND(A367="",B367="",D367=""),"",MAX(N(J367),IF(A367="",0,SUMPRODUCT(MAX((in_plan=A367)*in_prev*in_dnum)))))</f>
        <v/>
      </c>
      <c r="N367" s="75" t="str">
        <f>IF(AND(A367="",B367="",D367=""),"",MAX(N(K367),IF(A367="",0,SUMPRODUCT(MAX((in_plan=A367)*in_prev*in_cnum)))))</f>
        <v/>
      </c>
      <c r="O367" s="76" t="str">
        <f>IF(AND(OR(E367="Calendrier",E367="Au premier des deux"),N(F367)&gt;0,IF(N(M367)&gt;0,M367,IFERROR(N(INDEX(eq_start,MATCH(B367,eq_code,0))),0))&gt;0),IF(N(M367)&gt;0,M367,IFERROR(N(INDEX(eq_start,MATCH(B367,eq_code,0))),0))+F367,"")</f>
        <v/>
      </c>
      <c r="P367" s="75" t="str">
        <f>IF(AND(OR(E367="Compteur",E367="Au premier des deux"),N(G367)&gt;0),N(N367)+G367,"")</f>
        <v/>
      </c>
      <c r="Q367" s="75" t="str">
        <f>IF(B367="","",IFERROR(N(INDEX(eq_cnt,MATCH(B367,eq_code,0))),""))</f>
        <v/>
      </c>
      <c r="R367" s="77" t="str">
        <f>IF(ISNUMBER(O367),O367-p_today,"")</f>
        <v/>
      </c>
      <c r="S367" s="78" t="str">
        <f>IF(AND(ISNUMBER(P367),N(Q367)&gt;0),P367-Q367,"")</f>
        <v/>
      </c>
      <c r="T367" s="76" t="str">
        <f>IF(AND(ISNUMBER(O367),ISNUMBER(X367)),MIN(O367,X367),IF(ISNUMBER(O367),O367,X367))</f>
        <v/>
      </c>
      <c r="U367" s="79" t="str">
        <f>IF(AND(A367="",B367="",D367=""),"",IF(L367="Non","Inactif",IF(AND(NOT(ISNUMBER(R367)),NOT(ISNUMBER(S367))),"À compléter",IF(OR(AND(ISNUMBER(R367),N(R367)&lt;0),AND(ISNUMBER(S367),N(S367)&lt;0)),"En retard",IF(OR(AND(ISNUMBER(R367),N(R367)&lt;=p_soon),AND(ISNUMBER(S367),N(S367)&lt;=p_soon_pct*N(G367))),"Bientôt","À jour")))))</f>
        <v/>
      </c>
      <c r="V367" s="79" t="str">
        <f>IF(AND(A367="",B367="",D367=""),"",IF(A367="","N° de plan manquant",IF(COUNTIF($A$6:$A$505,A367)&gt;1,"N° de plan en double",IF(B367="","Équipement manquant",IF(ISNA(MATCH(B367,eq_code,0)),"Équipement inconnu",IF(D367="","Tâche manquante",IF(E367="","Déclenchement manquant",IF(AND(E367&lt;&gt;"Calendrier",E367&lt;&gt;"Compteur",E367&lt;&gt;"Au premier des deux"),"Déclenchement inconnu",IF(AND(E367&lt;&gt;"Compteur",OR(NOT(ISNUMBER(F367)),N(F367)&lt;=0)),"Périodicité en jours manquante",IF(AND(E367&lt;&gt;"Calendrier",OR(NOT(ISNUMBER(G367)),N(G367)&lt;=0)),"Périodicité compteur manquante",IF(AND(J367&lt;&gt;"",OR(NOT(ISNUMBER(J367)),N(J367)&lt;=0)),"Date de réalisation invalide",IF(AND(K367&lt;&gt;"",OR(NOT(ISNUMBER(K367)),N(K367)&lt;0)),"Compteur de réalisation invalide",IF(AND(E367&lt;&gt;"Compteur",N(M367)=0,IFERROR(N(INDEX(eq_start,MATCH(B367,eq_code,0))),0)=0),"Date de départ manquante",IF(AND(E367&lt;&gt;"Calendrier",K367="",N(N367)=0),"Compteur de départ manquant",IF(AND(E367&lt;&gt;"Calendrier",N(Q367)=0),"Relevé compteur manquant (Équipements)",IF(AND(I367&lt;&gt;"",ISNA(MATCH(I367,tech_name,0))),"Technicien inconnu",IF(AND(L367&lt;&gt;"",L367&lt;&gt;"Oui",L367&lt;&gt;"Non"),"Actif : Oui ou Non","OK")))))))))))))))))</f>
        <v/>
      </c>
      <c r="W367" s="67">
        <f>IFERROR(N(INDEX(eq_use,MATCH(B367,eq_code,0))),0)</f>
        <v>0.0</v>
      </c>
      <c r="X367" s="67" t="str">
        <f>IF(AND(ISNUMBER(S367),W367&gt;0),p_today+MAX(0,ROUNDUP(S367*7/W367,0)),"")</f>
        <v/>
      </c>
      <c r="Y367" s="67" t="str">
        <f>IF(AND(ISNUMBER(T367),OR(U367="En retard",U367="Bientôt",U367="À jour")),IF(AND(ISNUMBER(O367),ISNUMBER(X367)),MIN(F367,G367*7/W367),IF(ISNUMBER(O367),F367,G367*7/W367)),"")</f>
        <v/>
      </c>
      <c r="Z367" s="67" t="str">
        <f>IF(OR(U367="En retard",U367="Bientôt"),IF(U367="En retard",0,1)*1000000000+IF(AB367="A",0,IF(AB367="B",1,IF(AB367="C",2,3)))*100000000+IF(ISNUMBER(T367),T367,p_today)*1000+ROW()-5,"")</f>
        <v/>
      </c>
      <c r="AA367" s="67" t="str">
        <f>IF(Z367="","",COUNTIF($Z$6:$Z$505,"&lt;"&amp;Z367)+1)</f>
        <v/>
      </c>
      <c r="AB367" s="67" t="str">
        <f>IFERROR(INDEX(eq_crit,MATCH(B367,eq_code,0))&amp;"","")</f>
        <v/>
      </c>
    </row>
    <row r="368">
      <c r="A368" s="65" t="n"/>
      <c r="B368" s="66" t="n"/>
      <c r="C368" s="67" t="str">
        <f>IF(B368="","",IFERROR(INDEX(eq_des,MATCH(B368,eq_code,0))&amp;"","Équipement inconnu"))</f>
        <v/>
      </c>
      <c r="D368" s="66" t="n"/>
      <c r="E368" s="68" t="n"/>
      <c r="F368" s="69" t="n"/>
      <c r="G368" s="70" t="n"/>
      <c r="H368" s="71" t="n"/>
      <c r="I368" s="66" t="n"/>
      <c r="J368" s="72" t="n"/>
      <c r="K368" s="73" t="n"/>
      <c r="L368" s="68" t="n"/>
      <c r="M368" s="74" t="str">
        <f>IF(AND(A368="",B368="",D368=""),"",MAX(N(J368),IF(A368="",0,SUMPRODUCT(MAX((in_plan=A368)*in_prev*in_dnum)))))</f>
        <v/>
      </c>
      <c r="N368" s="75" t="str">
        <f>IF(AND(A368="",B368="",D368=""),"",MAX(N(K368),IF(A368="",0,SUMPRODUCT(MAX((in_plan=A368)*in_prev*in_cnum)))))</f>
        <v/>
      </c>
      <c r="O368" s="76" t="str">
        <f>IF(AND(OR(E368="Calendrier",E368="Au premier des deux"),N(F368)&gt;0,IF(N(M368)&gt;0,M368,IFERROR(N(INDEX(eq_start,MATCH(B368,eq_code,0))),0))&gt;0),IF(N(M368)&gt;0,M368,IFERROR(N(INDEX(eq_start,MATCH(B368,eq_code,0))),0))+F368,"")</f>
        <v/>
      </c>
      <c r="P368" s="75" t="str">
        <f>IF(AND(OR(E368="Compteur",E368="Au premier des deux"),N(G368)&gt;0),N(N368)+G368,"")</f>
        <v/>
      </c>
      <c r="Q368" s="75" t="str">
        <f>IF(B368="","",IFERROR(N(INDEX(eq_cnt,MATCH(B368,eq_code,0))),""))</f>
        <v/>
      </c>
      <c r="R368" s="77" t="str">
        <f>IF(ISNUMBER(O368),O368-p_today,"")</f>
        <v/>
      </c>
      <c r="S368" s="78" t="str">
        <f>IF(AND(ISNUMBER(P368),N(Q368)&gt;0),P368-Q368,"")</f>
        <v/>
      </c>
      <c r="T368" s="76" t="str">
        <f>IF(AND(ISNUMBER(O368),ISNUMBER(X368)),MIN(O368,X368),IF(ISNUMBER(O368),O368,X368))</f>
        <v/>
      </c>
      <c r="U368" s="79" t="str">
        <f>IF(AND(A368="",B368="",D368=""),"",IF(L368="Non","Inactif",IF(AND(NOT(ISNUMBER(R368)),NOT(ISNUMBER(S368))),"À compléter",IF(OR(AND(ISNUMBER(R368),N(R368)&lt;0),AND(ISNUMBER(S368),N(S368)&lt;0)),"En retard",IF(OR(AND(ISNUMBER(R368),N(R368)&lt;=p_soon),AND(ISNUMBER(S368),N(S368)&lt;=p_soon_pct*N(G368))),"Bientôt","À jour")))))</f>
        <v/>
      </c>
      <c r="V368" s="79" t="str">
        <f>IF(AND(A368="",B368="",D368=""),"",IF(A368="","N° de plan manquant",IF(COUNTIF($A$6:$A$505,A368)&gt;1,"N° de plan en double",IF(B368="","Équipement manquant",IF(ISNA(MATCH(B368,eq_code,0)),"Équipement inconnu",IF(D368="","Tâche manquante",IF(E368="","Déclenchement manquant",IF(AND(E368&lt;&gt;"Calendrier",E368&lt;&gt;"Compteur",E368&lt;&gt;"Au premier des deux"),"Déclenchement inconnu",IF(AND(E368&lt;&gt;"Compteur",OR(NOT(ISNUMBER(F368)),N(F368)&lt;=0)),"Périodicité en jours manquante",IF(AND(E368&lt;&gt;"Calendrier",OR(NOT(ISNUMBER(G368)),N(G368)&lt;=0)),"Périodicité compteur manquante",IF(AND(J368&lt;&gt;"",OR(NOT(ISNUMBER(J368)),N(J368)&lt;=0)),"Date de réalisation invalide",IF(AND(K368&lt;&gt;"",OR(NOT(ISNUMBER(K368)),N(K368)&lt;0)),"Compteur de réalisation invalide",IF(AND(E368&lt;&gt;"Compteur",N(M368)=0,IFERROR(N(INDEX(eq_start,MATCH(B368,eq_code,0))),0)=0),"Date de départ manquante",IF(AND(E368&lt;&gt;"Calendrier",K368="",N(N368)=0),"Compteur de départ manquant",IF(AND(E368&lt;&gt;"Calendrier",N(Q368)=0),"Relevé compteur manquant (Équipements)",IF(AND(I368&lt;&gt;"",ISNA(MATCH(I368,tech_name,0))),"Technicien inconnu",IF(AND(L368&lt;&gt;"",L368&lt;&gt;"Oui",L368&lt;&gt;"Non"),"Actif : Oui ou Non","OK")))))))))))))))))</f>
        <v/>
      </c>
      <c r="W368" s="67">
        <f>IFERROR(N(INDEX(eq_use,MATCH(B368,eq_code,0))),0)</f>
        <v>0.0</v>
      </c>
      <c r="X368" s="67" t="str">
        <f>IF(AND(ISNUMBER(S368),W368&gt;0),p_today+MAX(0,ROUNDUP(S368*7/W368,0)),"")</f>
        <v/>
      </c>
      <c r="Y368" s="67" t="str">
        <f>IF(AND(ISNUMBER(T368),OR(U368="En retard",U368="Bientôt",U368="À jour")),IF(AND(ISNUMBER(O368),ISNUMBER(X368)),MIN(F368,G368*7/W368),IF(ISNUMBER(O368),F368,G368*7/W368)),"")</f>
        <v/>
      </c>
      <c r="Z368" s="67" t="str">
        <f>IF(OR(U368="En retard",U368="Bientôt"),IF(U368="En retard",0,1)*1000000000+IF(AB368="A",0,IF(AB368="B",1,IF(AB368="C",2,3)))*100000000+IF(ISNUMBER(T368),T368,p_today)*1000+ROW()-5,"")</f>
        <v/>
      </c>
      <c r="AA368" s="67" t="str">
        <f>IF(Z368="","",COUNTIF($Z$6:$Z$505,"&lt;"&amp;Z368)+1)</f>
        <v/>
      </c>
      <c r="AB368" s="67" t="str">
        <f>IFERROR(INDEX(eq_crit,MATCH(B368,eq_code,0))&amp;"","")</f>
        <v/>
      </c>
    </row>
    <row r="369">
      <c r="A369" s="65" t="n"/>
      <c r="B369" s="66" t="n"/>
      <c r="C369" s="67" t="str">
        <f>IF(B369="","",IFERROR(INDEX(eq_des,MATCH(B369,eq_code,0))&amp;"","Équipement inconnu"))</f>
        <v/>
      </c>
      <c r="D369" s="66" t="n"/>
      <c r="E369" s="68" t="n"/>
      <c r="F369" s="69" t="n"/>
      <c r="G369" s="70" t="n"/>
      <c r="H369" s="71" t="n"/>
      <c r="I369" s="66" t="n"/>
      <c r="J369" s="72" t="n"/>
      <c r="K369" s="73" t="n"/>
      <c r="L369" s="68" t="n"/>
      <c r="M369" s="74" t="str">
        <f>IF(AND(A369="",B369="",D369=""),"",MAX(N(J369),IF(A369="",0,SUMPRODUCT(MAX((in_plan=A369)*in_prev*in_dnum)))))</f>
        <v/>
      </c>
      <c r="N369" s="75" t="str">
        <f>IF(AND(A369="",B369="",D369=""),"",MAX(N(K369),IF(A369="",0,SUMPRODUCT(MAX((in_plan=A369)*in_prev*in_cnum)))))</f>
        <v/>
      </c>
      <c r="O369" s="76" t="str">
        <f>IF(AND(OR(E369="Calendrier",E369="Au premier des deux"),N(F369)&gt;0,IF(N(M369)&gt;0,M369,IFERROR(N(INDEX(eq_start,MATCH(B369,eq_code,0))),0))&gt;0),IF(N(M369)&gt;0,M369,IFERROR(N(INDEX(eq_start,MATCH(B369,eq_code,0))),0))+F369,"")</f>
        <v/>
      </c>
      <c r="P369" s="75" t="str">
        <f>IF(AND(OR(E369="Compteur",E369="Au premier des deux"),N(G369)&gt;0),N(N369)+G369,"")</f>
        <v/>
      </c>
      <c r="Q369" s="75" t="str">
        <f>IF(B369="","",IFERROR(N(INDEX(eq_cnt,MATCH(B369,eq_code,0))),""))</f>
        <v/>
      </c>
      <c r="R369" s="77" t="str">
        <f>IF(ISNUMBER(O369),O369-p_today,"")</f>
        <v/>
      </c>
      <c r="S369" s="78" t="str">
        <f>IF(AND(ISNUMBER(P369),N(Q369)&gt;0),P369-Q369,"")</f>
        <v/>
      </c>
      <c r="T369" s="76" t="str">
        <f>IF(AND(ISNUMBER(O369),ISNUMBER(X369)),MIN(O369,X369),IF(ISNUMBER(O369),O369,X369))</f>
        <v/>
      </c>
      <c r="U369" s="79" t="str">
        <f>IF(AND(A369="",B369="",D369=""),"",IF(L369="Non","Inactif",IF(AND(NOT(ISNUMBER(R369)),NOT(ISNUMBER(S369))),"À compléter",IF(OR(AND(ISNUMBER(R369),N(R369)&lt;0),AND(ISNUMBER(S369),N(S369)&lt;0)),"En retard",IF(OR(AND(ISNUMBER(R369),N(R369)&lt;=p_soon),AND(ISNUMBER(S369),N(S369)&lt;=p_soon_pct*N(G369))),"Bientôt","À jour")))))</f>
        <v/>
      </c>
      <c r="V369" s="79" t="str">
        <f>IF(AND(A369="",B369="",D369=""),"",IF(A369="","N° de plan manquant",IF(COUNTIF($A$6:$A$505,A369)&gt;1,"N° de plan en double",IF(B369="","Équipement manquant",IF(ISNA(MATCH(B369,eq_code,0)),"Équipement inconnu",IF(D369="","Tâche manquante",IF(E369="","Déclenchement manquant",IF(AND(E369&lt;&gt;"Calendrier",E369&lt;&gt;"Compteur",E369&lt;&gt;"Au premier des deux"),"Déclenchement inconnu",IF(AND(E369&lt;&gt;"Compteur",OR(NOT(ISNUMBER(F369)),N(F369)&lt;=0)),"Périodicité en jours manquante",IF(AND(E369&lt;&gt;"Calendrier",OR(NOT(ISNUMBER(G369)),N(G369)&lt;=0)),"Périodicité compteur manquante",IF(AND(J369&lt;&gt;"",OR(NOT(ISNUMBER(J369)),N(J369)&lt;=0)),"Date de réalisation invalide",IF(AND(K369&lt;&gt;"",OR(NOT(ISNUMBER(K369)),N(K369)&lt;0)),"Compteur de réalisation invalide",IF(AND(E369&lt;&gt;"Compteur",N(M369)=0,IFERROR(N(INDEX(eq_start,MATCH(B369,eq_code,0))),0)=0),"Date de départ manquante",IF(AND(E369&lt;&gt;"Calendrier",K369="",N(N369)=0),"Compteur de départ manquant",IF(AND(E369&lt;&gt;"Calendrier",N(Q369)=0),"Relevé compteur manquant (Équipements)",IF(AND(I369&lt;&gt;"",ISNA(MATCH(I369,tech_name,0))),"Technicien inconnu",IF(AND(L369&lt;&gt;"",L369&lt;&gt;"Oui",L369&lt;&gt;"Non"),"Actif : Oui ou Non","OK")))))))))))))))))</f>
        <v/>
      </c>
      <c r="W369" s="67">
        <f>IFERROR(N(INDEX(eq_use,MATCH(B369,eq_code,0))),0)</f>
        <v>0.0</v>
      </c>
      <c r="X369" s="67" t="str">
        <f>IF(AND(ISNUMBER(S369),W369&gt;0),p_today+MAX(0,ROUNDUP(S369*7/W369,0)),"")</f>
        <v/>
      </c>
      <c r="Y369" s="67" t="str">
        <f>IF(AND(ISNUMBER(T369),OR(U369="En retard",U369="Bientôt",U369="À jour")),IF(AND(ISNUMBER(O369),ISNUMBER(X369)),MIN(F369,G369*7/W369),IF(ISNUMBER(O369),F369,G369*7/W369)),"")</f>
        <v/>
      </c>
      <c r="Z369" s="67" t="str">
        <f>IF(OR(U369="En retard",U369="Bientôt"),IF(U369="En retard",0,1)*1000000000+IF(AB369="A",0,IF(AB369="B",1,IF(AB369="C",2,3)))*100000000+IF(ISNUMBER(T369),T369,p_today)*1000+ROW()-5,"")</f>
        <v/>
      </c>
      <c r="AA369" s="67" t="str">
        <f>IF(Z369="","",COUNTIF($Z$6:$Z$505,"&lt;"&amp;Z369)+1)</f>
        <v/>
      </c>
      <c r="AB369" s="67" t="str">
        <f>IFERROR(INDEX(eq_crit,MATCH(B369,eq_code,0))&amp;"","")</f>
        <v/>
      </c>
    </row>
    <row r="370">
      <c r="A370" s="65" t="n"/>
      <c r="B370" s="66" t="n"/>
      <c r="C370" s="67" t="str">
        <f>IF(B370="","",IFERROR(INDEX(eq_des,MATCH(B370,eq_code,0))&amp;"","Équipement inconnu"))</f>
        <v/>
      </c>
      <c r="D370" s="66" t="n"/>
      <c r="E370" s="68" t="n"/>
      <c r="F370" s="69" t="n"/>
      <c r="G370" s="70" t="n"/>
      <c r="H370" s="71" t="n"/>
      <c r="I370" s="66" t="n"/>
      <c r="J370" s="72" t="n"/>
      <c r="K370" s="73" t="n"/>
      <c r="L370" s="68" t="n"/>
      <c r="M370" s="74" t="str">
        <f>IF(AND(A370="",B370="",D370=""),"",MAX(N(J370),IF(A370="",0,SUMPRODUCT(MAX((in_plan=A370)*in_prev*in_dnum)))))</f>
        <v/>
      </c>
      <c r="N370" s="75" t="str">
        <f>IF(AND(A370="",B370="",D370=""),"",MAX(N(K370),IF(A370="",0,SUMPRODUCT(MAX((in_plan=A370)*in_prev*in_cnum)))))</f>
        <v/>
      </c>
      <c r="O370" s="76" t="str">
        <f>IF(AND(OR(E370="Calendrier",E370="Au premier des deux"),N(F370)&gt;0,IF(N(M370)&gt;0,M370,IFERROR(N(INDEX(eq_start,MATCH(B370,eq_code,0))),0))&gt;0),IF(N(M370)&gt;0,M370,IFERROR(N(INDEX(eq_start,MATCH(B370,eq_code,0))),0))+F370,"")</f>
        <v/>
      </c>
      <c r="P370" s="75" t="str">
        <f>IF(AND(OR(E370="Compteur",E370="Au premier des deux"),N(G370)&gt;0),N(N370)+G370,"")</f>
        <v/>
      </c>
      <c r="Q370" s="75" t="str">
        <f>IF(B370="","",IFERROR(N(INDEX(eq_cnt,MATCH(B370,eq_code,0))),""))</f>
        <v/>
      </c>
      <c r="R370" s="77" t="str">
        <f>IF(ISNUMBER(O370),O370-p_today,"")</f>
        <v/>
      </c>
      <c r="S370" s="78" t="str">
        <f>IF(AND(ISNUMBER(P370),N(Q370)&gt;0),P370-Q370,"")</f>
        <v/>
      </c>
      <c r="T370" s="76" t="str">
        <f>IF(AND(ISNUMBER(O370),ISNUMBER(X370)),MIN(O370,X370),IF(ISNUMBER(O370),O370,X370))</f>
        <v/>
      </c>
      <c r="U370" s="79" t="str">
        <f>IF(AND(A370="",B370="",D370=""),"",IF(L370="Non","Inactif",IF(AND(NOT(ISNUMBER(R370)),NOT(ISNUMBER(S370))),"À compléter",IF(OR(AND(ISNUMBER(R370),N(R370)&lt;0),AND(ISNUMBER(S370),N(S370)&lt;0)),"En retard",IF(OR(AND(ISNUMBER(R370),N(R370)&lt;=p_soon),AND(ISNUMBER(S370),N(S370)&lt;=p_soon_pct*N(G370))),"Bientôt","À jour")))))</f>
        <v/>
      </c>
      <c r="V370" s="79" t="str">
        <f>IF(AND(A370="",B370="",D370=""),"",IF(A370="","N° de plan manquant",IF(COUNTIF($A$6:$A$505,A370)&gt;1,"N° de plan en double",IF(B370="","Équipement manquant",IF(ISNA(MATCH(B370,eq_code,0)),"Équipement inconnu",IF(D370="","Tâche manquante",IF(E370="","Déclenchement manquant",IF(AND(E370&lt;&gt;"Calendrier",E370&lt;&gt;"Compteur",E370&lt;&gt;"Au premier des deux"),"Déclenchement inconnu",IF(AND(E370&lt;&gt;"Compteur",OR(NOT(ISNUMBER(F370)),N(F370)&lt;=0)),"Périodicité en jours manquante",IF(AND(E370&lt;&gt;"Calendrier",OR(NOT(ISNUMBER(G370)),N(G370)&lt;=0)),"Périodicité compteur manquante",IF(AND(J370&lt;&gt;"",OR(NOT(ISNUMBER(J370)),N(J370)&lt;=0)),"Date de réalisation invalide",IF(AND(K370&lt;&gt;"",OR(NOT(ISNUMBER(K370)),N(K370)&lt;0)),"Compteur de réalisation invalide",IF(AND(E370&lt;&gt;"Compteur",N(M370)=0,IFERROR(N(INDEX(eq_start,MATCH(B370,eq_code,0))),0)=0),"Date de départ manquante",IF(AND(E370&lt;&gt;"Calendrier",K370="",N(N370)=0),"Compteur de départ manquant",IF(AND(E370&lt;&gt;"Calendrier",N(Q370)=0),"Relevé compteur manquant (Équipements)",IF(AND(I370&lt;&gt;"",ISNA(MATCH(I370,tech_name,0))),"Technicien inconnu",IF(AND(L370&lt;&gt;"",L370&lt;&gt;"Oui",L370&lt;&gt;"Non"),"Actif : Oui ou Non","OK")))))))))))))))))</f>
        <v/>
      </c>
      <c r="W370" s="67">
        <f>IFERROR(N(INDEX(eq_use,MATCH(B370,eq_code,0))),0)</f>
        <v>0.0</v>
      </c>
      <c r="X370" s="67" t="str">
        <f>IF(AND(ISNUMBER(S370),W370&gt;0),p_today+MAX(0,ROUNDUP(S370*7/W370,0)),"")</f>
        <v/>
      </c>
      <c r="Y370" s="67" t="str">
        <f>IF(AND(ISNUMBER(T370),OR(U370="En retard",U370="Bientôt",U370="À jour")),IF(AND(ISNUMBER(O370),ISNUMBER(X370)),MIN(F370,G370*7/W370),IF(ISNUMBER(O370),F370,G370*7/W370)),"")</f>
        <v/>
      </c>
      <c r="Z370" s="67" t="str">
        <f>IF(OR(U370="En retard",U370="Bientôt"),IF(U370="En retard",0,1)*1000000000+IF(AB370="A",0,IF(AB370="B",1,IF(AB370="C",2,3)))*100000000+IF(ISNUMBER(T370),T370,p_today)*1000+ROW()-5,"")</f>
        <v/>
      </c>
      <c r="AA370" s="67" t="str">
        <f>IF(Z370="","",COUNTIF($Z$6:$Z$505,"&lt;"&amp;Z370)+1)</f>
        <v/>
      </c>
      <c r="AB370" s="67" t="str">
        <f>IFERROR(INDEX(eq_crit,MATCH(B370,eq_code,0))&amp;"","")</f>
        <v/>
      </c>
    </row>
    <row r="371">
      <c r="A371" s="65" t="n"/>
      <c r="B371" s="66" t="n"/>
      <c r="C371" s="67" t="str">
        <f>IF(B371="","",IFERROR(INDEX(eq_des,MATCH(B371,eq_code,0))&amp;"","Équipement inconnu"))</f>
        <v/>
      </c>
      <c r="D371" s="66" t="n"/>
      <c r="E371" s="68" t="n"/>
      <c r="F371" s="69" t="n"/>
      <c r="G371" s="70" t="n"/>
      <c r="H371" s="71" t="n"/>
      <c r="I371" s="66" t="n"/>
      <c r="J371" s="72" t="n"/>
      <c r="K371" s="73" t="n"/>
      <c r="L371" s="68" t="n"/>
      <c r="M371" s="74" t="str">
        <f>IF(AND(A371="",B371="",D371=""),"",MAX(N(J371),IF(A371="",0,SUMPRODUCT(MAX((in_plan=A371)*in_prev*in_dnum)))))</f>
        <v/>
      </c>
      <c r="N371" s="75" t="str">
        <f>IF(AND(A371="",B371="",D371=""),"",MAX(N(K371),IF(A371="",0,SUMPRODUCT(MAX((in_plan=A371)*in_prev*in_cnum)))))</f>
        <v/>
      </c>
      <c r="O371" s="76" t="str">
        <f>IF(AND(OR(E371="Calendrier",E371="Au premier des deux"),N(F371)&gt;0,IF(N(M371)&gt;0,M371,IFERROR(N(INDEX(eq_start,MATCH(B371,eq_code,0))),0))&gt;0),IF(N(M371)&gt;0,M371,IFERROR(N(INDEX(eq_start,MATCH(B371,eq_code,0))),0))+F371,"")</f>
        <v/>
      </c>
      <c r="P371" s="75" t="str">
        <f>IF(AND(OR(E371="Compteur",E371="Au premier des deux"),N(G371)&gt;0),N(N371)+G371,"")</f>
        <v/>
      </c>
      <c r="Q371" s="75" t="str">
        <f>IF(B371="","",IFERROR(N(INDEX(eq_cnt,MATCH(B371,eq_code,0))),""))</f>
        <v/>
      </c>
      <c r="R371" s="77" t="str">
        <f>IF(ISNUMBER(O371),O371-p_today,"")</f>
        <v/>
      </c>
      <c r="S371" s="78" t="str">
        <f>IF(AND(ISNUMBER(P371),N(Q371)&gt;0),P371-Q371,"")</f>
        <v/>
      </c>
      <c r="T371" s="76" t="str">
        <f>IF(AND(ISNUMBER(O371),ISNUMBER(X371)),MIN(O371,X371),IF(ISNUMBER(O371),O371,X371))</f>
        <v/>
      </c>
      <c r="U371" s="79" t="str">
        <f>IF(AND(A371="",B371="",D371=""),"",IF(L371="Non","Inactif",IF(AND(NOT(ISNUMBER(R371)),NOT(ISNUMBER(S371))),"À compléter",IF(OR(AND(ISNUMBER(R371),N(R371)&lt;0),AND(ISNUMBER(S371),N(S371)&lt;0)),"En retard",IF(OR(AND(ISNUMBER(R371),N(R371)&lt;=p_soon),AND(ISNUMBER(S371),N(S371)&lt;=p_soon_pct*N(G371))),"Bientôt","À jour")))))</f>
        <v/>
      </c>
      <c r="V371" s="79" t="str">
        <f>IF(AND(A371="",B371="",D371=""),"",IF(A371="","N° de plan manquant",IF(COUNTIF($A$6:$A$505,A371)&gt;1,"N° de plan en double",IF(B371="","Équipement manquant",IF(ISNA(MATCH(B371,eq_code,0)),"Équipement inconnu",IF(D371="","Tâche manquante",IF(E371="","Déclenchement manquant",IF(AND(E371&lt;&gt;"Calendrier",E371&lt;&gt;"Compteur",E371&lt;&gt;"Au premier des deux"),"Déclenchement inconnu",IF(AND(E371&lt;&gt;"Compteur",OR(NOT(ISNUMBER(F371)),N(F371)&lt;=0)),"Périodicité en jours manquante",IF(AND(E371&lt;&gt;"Calendrier",OR(NOT(ISNUMBER(G371)),N(G371)&lt;=0)),"Périodicité compteur manquante",IF(AND(J371&lt;&gt;"",OR(NOT(ISNUMBER(J371)),N(J371)&lt;=0)),"Date de réalisation invalide",IF(AND(K371&lt;&gt;"",OR(NOT(ISNUMBER(K371)),N(K371)&lt;0)),"Compteur de réalisation invalide",IF(AND(E371&lt;&gt;"Compteur",N(M371)=0,IFERROR(N(INDEX(eq_start,MATCH(B371,eq_code,0))),0)=0),"Date de départ manquante",IF(AND(E371&lt;&gt;"Calendrier",K371="",N(N371)=0),"Compteur de départ manquant",IF(AND(E371&lt;&gt;"Calendrier",N(Q371)=0),"Relevé compteur manquant (Équipements)",IF(AND(I371&lt;&gt;"",ISNA(MATCH(I371,tech_name,0))),"Technicien inconnu",IF(AND(L371&lt;&gt;"",L371&lt;&gt;"Oui",L371&lt;&gt;"Non"),"Actif : Oui ou Non","OK")))))))))))))))))</f>
        <v/>
      </c>
      <c r="W371" s="67">
        <f>IFERROR(N(INDEX(eq_use,MATCH(B371,eq_code,0))),0)</f>
        <v>0.0</v>
      </c>
      <c r="X371" s="67" t="str">
        <f>IF(AND(ISNUMBER(S371),W371&gt;0),p_today+MAX(0,ROUNDUP(S371*7/W371,0)),"")</f>
        <v/>
      </c>
      <c r="Y371" s="67" t="str">
        <f>IF(AND(ISNUMBER(T371),OR(U371="En retard",U371="Bientôt",U371="À jour")),IF(AND(ISNUMBER(O371),ISNUMBER(X371)),MIN(F371,G371*7/W371),IF(ISNUMBER(O371),F371,G371*7/W371)),"")</f>
        <v/>
      </c>
      <c r="Z371" s="67" t="str">
        <f>IF(OR(U371="En retard",U371="Bientôt"),IF(U371="En retard",0,1)*1000000000+IF(AB371="A",0,IF(AB371="B",1,IF(AB371="C",2,3)))*100000000+IF(ISNUMBER(T371),T371,p_today)*1000+ROW()-5,"")</f>
        <v/>
      </c>
      <c r="AA371" s="67" t="str">
        <f>IF(Z371="","",COUNTIF($Z$6:$Z$505,"&lt;"&amp;Z371)+1)</f>
        <v/>
      </c>
      <c r="AB371" s="67" t="str">
        <f>IFERROR(INDEX(eq_crit,MATCH(B371,eq_code,0))&amp;"","")</f>
        <v/>
      </c>
    </row>
    <row r="372">
      <c r="A372" s="65" t="n"/>
      <c r="B372" s="66" t="n"/>
      <c r="C372" s="67" t="str">
        <f>IF(B372="","",IFERROR(INDEX(eq_des,MATCH(B372,eq_code,0))&amp;"","Équipement inconnu"))</f>
        <v/>
      </c>
      <c r="D372" s="66" t="n"/>
      <c r="E372" s="68" t="n"/>
      <c r="F372" s="69" t="n"/>
      <c r="G372" s="70" t="n"/>
      <c r="H372" s="71" t="n"/>
      <c r="I372" s="66" t="n"/>
      <c r="J372" s="72" t="n"/>
      <c r="K372" s="73" t="n"/>
      <c r="L372" s="68" t="n"/>
      <c r="M372" s="74" t="str">
        <f>IF(AND(A372="",B372="",D372=""),"",MAX(N(J372),IF(A372="",0,SUMPRODUCT(MAX((in_plan=A372)*in_prev*in_dnum)))))</f>
        <v/>
      </c>
      <c r="N372" s="75" t="str">
        <f>IF(AND(A372="",B372="",D372=""),"",MAX(N(K372),IF(A372="",0,SUMPRODUCT(MAX((in_plan=A372)*in_prev*in_cnum)))))</f>
        <v/>
      </c>
      <c r="O372" s="76" t="str">
        <f>IF(AND(OR(E372="Calendrier",E372="Au premier des deux"),N(F372)&gt;0,IF(N(M372)&gt;0,M372,IFERROR(N(INDEX(eq_start,MATCH(B372,eq_code,0))),0))&gt;0),IF(N(M372)&gt;0,M372,IFERROR(N(INDEX(eq_start,MATCH(B372,eq_code,0))),0))+F372,"")</f>
        <v/>
      </c>
      <c r="P372" s="75" t="str">
        <f>IF(AND(OR(E372="Compteur",E372="Au premier des deux"),N(G372)&gt;0),N(N372)+G372,"")</f>
        <v/>
      </c>
      <c r="Q372" s="75" t="str">
        <f>IF(B372="","",IFERROR(N(INDEX(eq_cnt,MATCH(B372,eq_code,0))),""))</f>
        <v/>
      </c>
      <c r="R372" s="77" t="str">
        <f>IF(ISNUMBER(O372),O372-p_today,"")</f>
        <v/>
      </c>
      <c r="S372" s="78" t="str">
        <f>IF(AND(ISNUMBER(P372),N(Q372)&gt;0),P372-Q372,"")</f>
        <v/>
      </c>
      <c r="T372" s="76" t="str">
        <f>IF(AND(ISNUMBER(O372),ISNUMBER(X372)),MIN(O372,X372),IF(ISNUMBER(O372),O372,X372))</f>
        <v/>
      </c>
      <c r="U372" s="79" t="str">
        <f>IF(AND(A372="",B372="",D372=""),"",IF(L372="Non","Inactif",IF(AND(NOT(ISNUMBER(R372)),NOT(ISNUMBER(S372))),"À compléter",IF(OR(AND(ISNUMBER(R372),N(R372)&lt;0),AND(ISNUMBER(S372),N(S372)&lt;0)),"En retard",IF(OR(AND(ISNUMBER(R372),N(R372)&lt;=p_soon),AND(ISNUMBER(S372),N(S372)&lt;=p_soon_pct*N(G372))),"Bientôt","À jour")))))</f>
        <v/>
      </c>
      <c r="V372" s="79" t="str">
        <f>IF(AND(A372="",B372="",D372=""),"",IF(A372="","N° de plan manquant",IF(COUNTIF($A$6:$A$505,A372)&gt;1,"N° de plan en double",IF(B372="","Équipement manquant",IF(ISNA(MATCH(B372,eq_code,0)),"Équipement inconnu",IF(D372="","Tâche manquante",IF(E372="","Déclenchement manquant",IF(AND(E372&lt;&gt;"Calendrier",E372&lt;&gt;"Compteur",E372&lt;&gt;"Au premier des deux"),"Déclenchement inconnu",IF(AND(E372&lt;&gt;"Compteur",OR(NOT(ISNUMBER(F372)),N(F372)&lt;=0)),"Périodicité en jours manquante",IF(AND(E372&lt;&gt;"Calendrier",OR(NOT(ISNUMBER(G372)),N(G372)&lt;=0)),"Périodicité compteur manquante",IF(AND(J372&lt;&gt;"",OR(NOT(ISNUMBER(J372)),N(J372)&lt;=0)),"Date de réalisation invalide",IF(AND(K372&lt;&gt;"",OR(NOT(ISNUMBER(K372)),N(K372)&lt;0)),"Compteur de réalisation invalide",IF(AND(E372&lt;&gt;"Compteur",N(M372)=0,IFERROR(N(INDEX(eq_start,MATCH(B372,eq_code,0))),0)=0),"Date de départ manquante",IF(AND(E372&lt;&gt;"Calendrier",K372="",N(N372)=0),"Compteur de départ manquant",IF(AND(E372&lt;&gt;"Calendrier",N(Q372)=0),"Relevé compteur manquant (Équipements)",IF(AND(I372&lt;&gt;"",ISNA(MATCH(I372,tech_name,0))),"Technicien inconnu",IF(AND(L372&lt;&gt;"",L372&lt;&gt;"Oui",L372&lt;&gt;"Non"),"Actif : Oui ou Non","OK")))))))))))))))))</f>
        <v/>
      </c>
      <c r="W372" s="67">
        <f>IFERROR(N(INDEX(eq_use,MATCH(B372,eq_code,0))),0)</f>
        <v>0.0</v>
      </c>
      <c r="X372" s="67" t="str">
        <f>IF(AND(ISNUMBER(S372),W372&gt;0),p_today+MAX(0,ROUNDUP(S372*7/W372,0)),"")</f>
        <v/>
      </c>
      <c r="Y372" s="67" t="str">
        <f>IF(AND(ISNUMBER(T372),OR(U372="En retard",U372="Bientôt",U372="À jour")),IF(AND(ISNUMBER(O372),ISNUMBER(X372)),MIN(F372,G372*7/W372),IF(ISNUMBER(O372),F372,G372*7/W372)),"")</f>
        <v/>
      </c>
      <c r="Z372" s="67" t="str">
        <f>IF(OR(U372="En retard",U372="Bientôt"),IF(U372="En retard",0,1)*1000000000+IF(AB372="A",0,IF(AB372="B",1,IF(AB372="C",2,3)))*100000000+IF(ISNUMBER(T372),T372,p_today)*1000+ROW()-5,"")</f>
        <v/>
      </c>
      <c r="AA372" s="67" t="str">
        <f>IF(Z372="","",COUNTIF($Z$6:$Z$505,"&lt;"&amp;Z372)+1)</f>
        <v/>
      </c>
      <c r="AB372" s="67" t="str">
        <f>IFERROR(INDEX(eq_crit,MATCH(B372,eq_code,0))&amp;"","")</f>
        <v/>
      </c>
    </row>
    <row r="373">
      <c r="A373" s="65" t="n"/>
      <c r="B373" s="66" t="n"/>
      <c r="C373" s="67" t="str">
        <f>IF(B373="","",IFERROR(INDEX(eq_des,MATCH(B373,eq_code,0))&amp;"","Équipement inconnu"))</f>
        <v/>
      </c>
      <c r="D373" s="66" t="n"/>
      <c r="E373" s="68" t="n"/>
      <c r="F373" s="69" t="n"/>
      <c r="G373" s="70" t="n"/>
      <c r="H373" s="71" t="n"/>
      <c r="I373" s="66" t="n"/>
      <c r="J373" s="72" t="n"/>
      <c r="K373" s="73" t="n"/>
      <c r="L373" s="68" t="n"/>
      <c r="M373" s="74" t="str">
        <f>IF(AND(A373="",B373="",D373=""),"",MAX(N(J373),IF(A373="",0,SUMPRODUCT(MAX((in_plan=A373)*in_prev*in_dnum)))))</f>
        <v/>
      </c>
      <c r="N373" s="75" t="str">
        <f>IF(AND(A373="",B373="",D373=""),"",MAX(N(K373),IF(A373="",0,SUMPRODUCT(MAX((in_plan=A373)*in_prev*in_cnum)))))</f>
        <v/>
      </c>
      <c r="O373" s="76" t="str">
        <f>IF(AND(OR(E373="Calendrier",E373="Au premier des deux"),N(F373)&gt;0,IF(N(M373)&gt;0,M373,IFERROR(N(INDEX(eq_start,MATCH(B373,eq_code,0))),0))&gt;0),IF(N(M373)&gt;0,M373,IFERROR(N(INDEX(eq_start,MATCH(B373,eq_code,0))),0))+F373,"")</f>
        <v/>
      </c>
      <c r="P373" s="75" t="str">
        <f>IF(AND(OR(E373="Compteur",E373="Au premier des deux"),N(G373)&gt;0),N(N373)+G373,"")</f>
        <v/>
      </c>
      <c r="Q373" s="75" t="str">
        <f>IF(B373="","",IFERROR(N(INDEX(eq_cnt,MATCH(B373,eq_code,0))),""))</f>
        <v/>
      </c>
      <c r="R373" s="77" t="str">
        <f>IF(ISNUMBER(O373),O373-p_today,"")</f>
        <v/>
      </c>
      <c r="S373" s="78" t="str">
        <f>IF(AND(ISNUMBER(P373),N(Q373)&gt;0),P373-Q373,"")</f>
        <v/>
      </c>
      <c r="T373" s="76" t="str">
        <f>IF(AND(ISNUMBER(O373),ISNUMBER(X373)),MIN(O373,X373),IF(ISNUMBER(O373),O373,X373))</f>
        <v/>
      </c>
      <c r="U373" s="79" t="str">
        <f>IF(AND(A373="",B373="",D373=""),"",IF(L373="Non","Inactif",IF(AND(NOT(ISNUMBER(R373)),NOT(ISNUMBER(S373))),"À compléter",IF(OR(AND(ISNUMBER(R373),N(R373)&lt;0),AND(ISNUMBER(S373),N(S373)&lt;0)),"En retard",IF(OR(AND(ISNUMBER(R373),N(R373)&lt;=p_soon),AND(ISNUMBER(S373),N(S373)&lt;=p_soon_pct*N(G373))),"Bientôt","À jour")))))</f>
        <v/>
      </c>
      <c r="V373" s="79" t="str">
        <f>IF(AND(A373="",B373="",D373=""),"",IF(A373="","N° de plan manquant",IF(COUNTIF($A$6:$A$505,A373)&gt;1,"N° de plan en double",IF(B373="","Équipement manquant",IF(ISNA(MATCH(B373,eq_code,0)),"Équipement inconnu",IF(D373="","Tâche manquante",IF(E373="","Déclenchement manquant",IF(AND(E373&lt;&gt;"Calendrier",E373&lt;&gt;"Compteur",E373&lt;&gt;"Au premier des deux"),"Déclenchement inconnu",IF(AND(E373&lt;&gt;"Compteur",OR(NOT(ISNUMBER(F373)),N(F373)&lt;=0)),"Périodicité en jours manquante",IF(AND(E373&lt;&gt;"Calendrier",OR(NOT(ISNUMBER(G373)),N(G373)&lt;=0)),"Périodicité compteur manquante",IF(AND(J373&lt;&gt;"",OR(NOT(ISNUMBER(J373)),N(J373)&lt;=0)),"Date de réalisation invalide",IF(AND(K373&lt;&gt;"",OR(NOT(ISNUMBER(K373)),N(K373)&lt;0)),"Compteur de réalisation invalide",IF(AND(E373&lt;&gt;"Compteur",N(M373)=0,IFERROR(N(INDEX(eq_start,MATCH(B373,eq_code,0))),0)=0),"Date de départ manquante",IF(AND(E373&lt;&gt;"Calendrier",K373="",N(N373)=0),"Compteur de départ manquant",IF(AND(E373&lt;&gt;"Calendrier",N(Q373)=0),"Relevé compteur manquant (Équipements)",IF(AND(I373&lt;&gt;"",ISNA(MATCH(I373,tech_name,0))),"Technicien inconnu",IF(AND(L373&lt;&gt;"",L373&lt;&gt;"Oui",L373&lt;&gt;"Non"),"Actif : Oui ou Non","OK")))))))))))))))))</f>
        <v/>
      </c>
      <c r="W373" s="67">
        <f>IFERROR(N(INDEX(eq_use,MATCH(B373,eq_code,0))),0)</f>
        <v>0.0</v>
      </c>
      <c r="X373" s="67" t="str">
        <f>IF(AND(ISNUMBER(S373),W373&gt;0),p_today+MAX(0,ROUNDUP(S373*7/W373,0)),"")</f>
        <v/>
      </c>
      <c r="Y373" s="67" t="str">
        <f>IF(AND(ISNUMBER(T373),OR(U373="En retard",U373="Bientôt",U373="À jour")),IF(AND(ISNUMBER(O373),ISNUMBER(X373)),MIN(F373,G373*7/W373),IF(ISNUMBER(O373),F373,G373*7/W373)),"")</f>
        <v/>
      </c>
      <c r="Z373" s="67" t="str">
        <f>IF(OR(U373="En retard",U373="Bientôt"),IF(U373="En retard",0,1)*1000000000+IF(AB373="A",0,IF(AB373="B",1,IF(AB373="C",2,3)))*100000000+IF(ISNUMBER(T373),T373,p_today)*1000+ROW()-5,"")</f>
        <v/>
      </c>
      <c r="AA373" s="67" t="str">
        <f>IF(Z373="","",COUNTIF($Z$6:$Z$505,"&lt;"&amp;Z373)+1)</f>
        <v/>
      </c>
      <c r="AB373" s="67" t="str">
        <f>IFERROR(INDEX(eq_crit,MATCH(B373,eq_code,0))&amp;"","")</f>
        <v/>
      </c>
    </row>
    <row r="374">
      <c r="A374" s="65" t="n"/>
      <c r="B374" s="66" t="n"/>
      <c r="C374" s="67" t="str">
        <f>IF(B374="","",IFERROR(INDEX(eq_des,MATCH(B374,eq_code,0))&amp;"","Équipement inconnu"))</f>
        <v/>
      </c>
      <c r="D374" s="66" t="n"/>
      <c r="E374" s="68" t="n"/>
      <c r="F374" s="69" t="n"/>
      <c r="G374" s="70" t="n"/>
      <c r="H374" s="71" t="n"/>
      <c r="I374" s="66" t="n"/>
      <c r="J374" s="72" t="n"/>
      <c r="K374" s="73" t="n"/>
      <c r="L374" s="68" t="n"/>
      <c r="M374" s="74" t="str">
        <f>IF(AND(A374="",B374="",D374=""),"",MAX(N(J374),IF(A374="",0,SUMPRODUCT(MAX((in_plan=A374)*in_prev*in_dnum)))))</f>
        <v/>
      </c>
      <c r="N374" s="75" t="str">
        <f>IF(AND(A374="",B374="",D374=""),"",MAX(N(K374),IF(A374="",0,SUMPRODUCT(MAX((in_plan=A374)*in_prev*in_cnum)))))</f>
        <v/>
      </c>
      <c r="O374" s="76" t="str">
        <f>IF(AND(OR(E374="Calendrier",E374="Au premier des deux"),N(F374)&gt;0,IF(N(M374)&gt;0,M374,IFERROR(N(INDEX(eq_start,MATCH(B374,eq_code,0))),0))&gt;0),IF(N(M374)&gt;0,M374,IFERROR(N(INDEX(eq_start,MATCH(B374,eq_code,0))),0))+F374,"")</f>
        <v/>
      </c>
      <c r="P374" s="75" t="str">
        <f>IF(AND(OR(E374="Compteur",E374="Au premier des deux"),N(G374)&gt;0),N(N374)+G374,"")</f>
        <v/>
      </c>
      <c r="Q374" s="75" t="str">
        <f>IF(B374="","",IFERROR(N(INDEX(eq_cnt,MATCH(B374,eq_code,0))),""))</f>
        <v/>
      </c>
      <c r="R374" s="77" t="str">
        <f>IF(ISNUMBER(O374),O374-p_today,"")</f>
        <v/>
      </c>
      <c r="S374" s="78" t="str">
        <f>IF(AND(ISNUMBER(P374),N(Q374)&gt;0),P374-Q374,"")</f>
        <v/>
      </c>
      <c r="T374" s="76" t="str">
        <f>IF(AND(ISNUMBER(O374),ISNUMBER(X374)),MIN(O374,X374),IF(ISNUMBER(O374),O374,X374))</f>
        <v/>
      </c>
      <c r="U374" s="79" t="str">
        <f>IF(AND(A374="",B374="",D374=""),"",IF(L374="Non","Inactif",IF(AND(NOT(ISNUMBER(R374)),NOT(ISNUMBER(S374))),"À compléter",IF(OR(AND(ISNUMBER(R374),N(R374)&lt;0),AND(ISNUMBER(S374),N(S374)&lt;0)),"En retard",IF(OR(AND(ISNUMBER(R374),N(R374)&lt;=p_soon),AND(ISNUMBER(S374),N(S374)&lt;=p_soon_pct*N(G374))),"Bientôt","À jour")))))</f>
        <v/>
      </c>
      <c r="V374" s="79" t="str">
        <f>IF(AND(A374="",B374="",D374=""),"",IF(A374="","N° de plan manquant",IF(COUNTIF($A$6:$A$505,A374)&gt;1,"N° de plan en double",IF(B374="","Équipement manquant",IF(ISNA(MATCH(B374,eq_code,0)),"Équipement inconnu",IF(D374="","Tâche manquante",IF(E374="","Déclenchement manquant",IF(AND(E374&lt;&gt;"Calendrier",E374&lt;&gt;"Compteur",E374&lt;&gt;"Au premier des deux"),"Déclenchement inconnu",IF(AND(E374&lt;&gt;"Compteur",OR(NOT(ISNUMBER(F374)),N(F374)&lt;=0)),"Périodicité en jours manquante",IF(AND(E374&lt;&gt;"Calendrier",OR(NOT(ISNUMBER(G374)),N(G374)&lt;=0)),"Périodicité compteur manquante",IF(AND(J374&lt;&gt;"",OR(NOT(ISNUMBER(J374)),N(J374)&lt;=0)),"Date de réalisation invalide",IF(AND(K374&lt;&gt;"",OR(NOT(ISNUMBER(K374)),N(K374)&lt;0)),"Compteur de réalisation invalide",IF(AND(E374&lt;&gt;"Compteur",N(M374)=0,IFERROR(N(INDEX(eq_start,MATCH(B374,eq_code,0))),0)=0),"Date de départ manquante",IF(AND(E374&lt;&gt;"Calendrier",K374="",N(N374)=0),"Compteur de départ manquant",IF(AND(E374&lt;&gt;"Calendrier",N(Q374)=0),"Relevé compteur manquant (Équipements)",IF(AND(I374&lt;&gt;"",ISNA(MATCH(I374,tech_name,0))),"Technicien inconnu",IF(AND(L374&lt;&gt;"",L374&lt;&gt;"Oui",L374&lt;&gt;"Non"),"Actif : Oui ou Non","OK")))))))))))))))))</f>
        <v/>
      </c>
      <c r="W374" s="67">
        <f>IFERROR(N(INDEX(eq_use,MATCH(B374,eq_code,0))),0)</f>
        <v>0.0</v>
      </c>
      <c r="X374" s="67" t="str">
        <f>IF(AND(ISNUMBER(S374),W374&gt;0),p_today+MAX(0,ROUNDUP(S374*7/W374,0)),"")</f>
        <v/>
      </c>
      <c r="Y374" s="67" t="str">
        <f>IF(AND(ISNUMBER(T374),OR(U374="En retard",U374="Bientôt",U374="À jour")),IF(AND(ISNUMBER(O374),ISNUMBER(X374)),MIN(F374,G374*7/W374),IF(ISNUMBER(O374),F374,G374*7/W374)),"")</f>
        <v/>
      </c>
      <c r="Z374" s="67" t="str">
        <f>IF(OR(U374="En retard",U374="Bientôt"),IF(U374="En retard",0,1)*1000000000+IF(AB374="A",0,IF(AB374="B",1,IF(AB374="C",2,3)))*100000000+IF(ISNUMBER(T374),T374,p_today)*1000+ROW()-5,"")</f>
        <v/>
      </c>
      <c r="AA374" s="67" t="str">
        <f>IF(Z374="","",COUNTIF($Z$6:$Z$505,"&lt;"&amp;Z374)+1)</f>
        <v/>
      </c>
      <c r="AB374" s="67" t="str">
        <f>IFERROR(INDEX(eq_crit,MATCH(B374,eq_code,0))&amp;"","")</f>
        <v/>
      </c>
    </row>
    <row r="375">
      <c r="A375" s="65" t="n"/>
      <c r="B375" s="66" t="n"/>
      <c r="C375" s="67" t="str">
        <f>IF(B375="","",IFERROR(INDEX(eq_des,MATCH(B375,eq_code,0))&amp;"","Équipement inconnu"))</f>
        <v/>
      </c>
      <c r="D375" s="66" t="n"/>
      <c r="E375" s="68" t="n"/>
      <c r="F375" s="69" t="n"/>
      <c r="G375" s="70" t="n"/>
      <c r="H375" s="71" t="n"/>
      <c r="I375" s="66" t="n"/>
      <c r="J375" s="72" t="n"/>
      <c r="K375" s="73" t="n"/>
      <c r="L375" s="68" t="n"/>
      <c r="M375" s="74" t="str">
        <f>IF(AND(A375="",B375="",D375=""),"",MAX(N(J375),IF(A375="",0,SUMPRODUCT(MAX((in_plan=A375)*in_prev*in_dnum)))))</f>
        <v/>
      </c>
      <c r="N375" s="75" t="str">
        <f>IF(AND(A375="",B375="",D375=""),"",MAX(N(K375),IF(A375="",0,SUMPRODUCT(MAX((in_plan=A375)*in_prev*in_cnum)))))</f>
        <v/>
      </c>
      <c r="O375" s="76" t="str">
        <f>IF(AND(OR(E375="Calendrier",E375="Au premier des deux"),N(F375)&gt;0,IF(N(M375)&gt;0,M375,IFERROR(N(INDEX(eq_start,MATCH(B375,eq_code,0))),0))&gt;0),IF(N(M375)&gt;0,M375,IFERROR(N(INDEX(eq_start,MATCH(B375,eq_code,0))),0))+F375,"")</f>
        <v/>
      </c>
      <c r="P375" s="75" t="str">
        <f>IF(AND(OR(E375="Compteur",E375="Au premier des deux"),N(G375)&gt;0),N(N375)+G375,"")</f>
        <v/>
      </c>
      <c r="Q375" s="75" t="str">
        <f>IF(B375="","",IFERROR(N(INDEX(eq_cnt,MATCH(B375,eq_code,0))),""))</f>
        <v/>
      </c>
      <c r="R375" s="77" t="str">
        <f>IF(ISNUMBER(O375),O375-p_today,"")</f>
        <v/>
      </c>
      <c r="S375" s="78" t="str">
        <f>IF(AND(ISNUMBER(P375),N(Q375)&gt;0),P375-Q375,"")</f>
        <v/>
      </c>
      <c r="T375" s="76" t="str">
        <f>IF(AND(ISNUMBER(O375),ISNUMBER(X375)),MIN(O375,X375),IF(ISNUMBER(O375),O375,X375))</f>
        <v/>
      </c>
      <c r="U375" s="79" t="str">
        <f>IF(AND(A375="",B375="",D375=""),"",IF(L375="Non","Inactif",IF(AND(NOT(ISNUMBER(R375)),NOT(ISNUMBER(S375))),"À compléter",IF(OR(AND(ISNUMBER(R375),N(R375)&lt;0),AND(ISNUMBER(S375),N(S375)&lt;0)),"En retard",IF(OR(AND(ISNUMBER(R375),N(R375)&lt;=p_soon),AND(ISNUMBER(S375),N(S375)&lt;=p_soon_pct*N(G375))),"Bientôt","À jour")))))</f>
        <v/>
      </c>
      <c r="V375" s="79" t="str">
        <f>IF(AND(A375="",B375="",D375=""),"",IF(A375="","N° de plan manquant",IF(COUNTIF($A$6:$A$505,A375)&gt;1,"N° de plan en double",IF(B375="","Équipement manquant",IF(ISNA(MATCH(B375,eq_code,0)),"Équipement inconnu",IF(D375="","Tâche manquante",IF(E375="","Déclenchement manquant",IF(AND(E375&lt;&gt;"Calendrier",E375&lt;&gt;"Compteur",E375&lt;&gt;"Au premier des deux"),"Déclenchement inconnu",IF(AND(E375&lt;&gt;"Compteur",OR(NOT(ISNUMBER(F375)),N(F375)&lt;=0)),"Périodicité en jours manquante",IF(AND(E375&lt;&gt;"Calendrier",OR(NOT(ISNUMBER(G375)),N(G375)&lt;=0)),"Périodicité compteur manquante",IF(AND(J375&lt;&gt;"",OR(NOT(ISNUMBER(J375)),N(J375)&lt;=0)),"Date de réalisation invalide",IF(AND(K375&lt;&gt;"",OR(NOT(ISNUMBER(K375)),N(K375)&lt;0)),"Compteur de réalisation invalide",IF(AND(E375&lt;&gt;"Compteur",N(M375)=0,IFERROR(N(INDEX(eq_start,MATCH(B375,eq_code,0))),0)=0),"Date de départ manquante",IF(AND(E375&lt;&gt;"Calendrier",K375="",N(N375)=0),"Compteur de départ manquant",IF(AND(E375&lt;&gt;"Calendrier",N(Q375)=0),"Relevé compteur manquant (Équipements)",IF(AND(I375&lt;&gt;"",ISNA(MATCH(I375,tech_name,0))),"Technicien inconnu",IF(AND(L375&lt;&gt;"",L375&lt;&gt;"Oui",L375&lt;&gt;"Non"),"Actif : Oui ou Non","OK")))))))))))))))))</f>
        <v/>
      </c>
      <c r="W375" s="67">
        <f>IFERROR(N(INDEX(eq_use,MATCH(B375,eq_code,0))),0)</f>
        <v>0.0</v>
      </c>
      <c r="X375" s="67" t="str">
        <f>IF(AND(ISNUMBER(S375),W375&gt;0),p_today+MAX(0,ROUNDUP(S375*7/W375,0)),"")</f>
        <v/>
      </c>
      <c r="Y375" s="67" t="str">
        <f>IF(AND(ISNUMBER(T375),OR(U375="En retard",U375="Bientôt",U375="À jour")),IF(AND(ISNUMBER(O375),ISNUMBER(X375)),MIN(F375,G375*7/W375),IF(ISNUMBER(O375),F375,G375*7/W375)),"")</f>
        <v/>
      </c>
      <c r="Z375" s="67" t="str">
        <f>IF(OR(U375="En retard",U375="Bientôt"),IF(U375="En retard",0,1)*1000000000+IF(AB375="A",0,IF(AB375="B",1,IF(AB375="C",2,3)))*100000000+IF(ISNUMBER(T375),T375,p_today)*1000+ROW()-5,"")</f>
        <v/>
      </c>
      <c r="AA375" s="67" t="str">
        <f>IF(Z375="","",COUNTIF($Z$6:$Z$505,"&lt;"&amp;Z375)+1)</f>
        <v/>
      </c>
      <c r="AB375" s="67" t="str">
        <f>IFERROR(INDEX(eq_crit,MATCH(B375,eq_code,0))&amp;"","")</f>
        <v/>
      </c>
    </row>
    <row r="376">
      <c r="A376" s="65" t="n"/>
      <c r="B376" s="66" t="n"/>
      <c r="C376" s="67" t="str">
        <f>IF(B376="","",IFERROR(INDEX(eq_des,MATCH(B376,eq_code,0))&amp;"","Équipement inconnu"))</f>
        <v/>
      </c>
      <c r="D376" s="66" t="n"/>
      <c r="E376" s="68" t="n"/>
      <c r="F376" s="69" t="n"/>
      <c r="G376" s="70" t="n"/>
      <c r="H376" s="71" t="n"/>
      <c r="I376" s="66" t="n"/>
      <c r="J376" s="72" t="n"/>
      <c r="K376" s="73" t="n"/>
      <c r="L376" s="68" t="n"/>
      <c r="M376" s="74" t="str">
        <f>IF(AND(A376="",B376="",D376=""),"",MAX(N(J376),IF(A376="",0,SUMPRODUCT(MAX((in_plan=A376)*in_prev*in_dnum)))))</f>
        <v/>
      </c>
      <c r="N376" s="75" t="str">
        <f>IF(AND(A376="",B376="",D376=""),"",MAX(N(K376),IF(A376="",0,SUMPRODUCT(MAX((in_plan=A376)*in_prev*in_cnum)))))</f>
        <v/>
      </c>
      <c r="O376" s="76" t="str">
        <f>IF(AND(OR(E376="Calendrier",E376="Au premier des deux"),N(F376)&gt;0,IF(N(M376)&gt;0,M376,IFERROR(N(INDEX(eq_start,MATCH(B376,eq_code,0))),0))&gt;0),IF(N(M376)&gt;0,M376,IFERROR(N(INDEX(eq_start,MATCH(B376,eq_code,0))),0))+F376,"")</f>
        <v/>
      </c>
      <c r="P376" s="75" t="str">
        <f>IF(AND(OR(E376="Compteur",E376="Au premier des deux"),N(G376)&gt;0),N(N376)+G376,"")</f>
        <v/>
      </c>
      <c r="Q376" s="75" t="str">
        <f>IF(B376="","",IFERROR(N(INDEX(eq_cnt,MATCH(B376,eq_code,0))),""))</f>
        <v/>
      </c>
      <c r="R376" s="77" t="str">
        <f>IF(ISNUMBER(O376),O376-p_today,"")</f>
        <v/>
      </c>
      <c r="S376" s="78" t="str">
        <f>IF(AND(ISNUMBER(P376),N(Q376)&gt;0),P376-Q376,"")</f>
        <v/>
      </c>
      <c r="T376" s="76" t="str">
        <f>IF(AND(ISNUMBER(O376),ISNUMBER(X376)),MIN(O376,X376),IF(ISNUMBER(O376),O376,X376))</f>
        <v/>
      </c>
      <c r="U376" s="79" t="str">
        <f>IF(AND(A376="",B376="",D376=""),"",IF(L376="Non","Inactif",IF(AND(NOT(ISNUMBER(R376)),NOT(ISNUMBER(S376))),"À compléter",IF(OR(AND(ISNUMBER(R376),N(R376)&lt;0),AND(ISNUMBER(S376),N(S376)&lt;0)),"En retard",IF(OR(AND(ISNUMBER(R376),N(R376)&lt;=p_soon),AND(ISNUMBER(S376),N(S376)&lt;=p_soon_pct*N(G376))),"Bientôt","À jour")))))</f>
        <v/>
      </c>
      <c r="V376" s="79" t="str">
        <f>IF(AND(A376="",B376="",D376=""),"",IF(A376="","N° de plan manquant",IF(COUNTIF($A$6:$A$505,A376)&gt;1,"N° de plan en double",IF(B376="","Équipement manquant",IF(ISNA(MATCH(B376,eq_code,0)),"Équipement inconnu",IF(D376="","Tâche manquante",IF(E376="","Déclenchement manquant",IF(AND(E376&lt;&gt;"Calendrier",E376&lt;&gt;"Compteur",E376&lt;&gt;"Au premier des deux"),"Déclenchement inconnu",IF(AND(E376&lt;&gt;"Compteur",OR(NOT(ISNUMBER(F376)),N(F376)&lt;=0)),"Périodicité en jours manquante",IF(AND(E376&lt;&gt;"Calendrier",OR(NOT(ISNUMBER(G376)),N(G376)&lt;=0)),"Périodicité compteur manquante",IF(AND(J376&lt;&gt;"",OR(NOT(ISNUMBER(J376)),N(J376)&lt;=0)),"Date de réalisation invalide",IF(AND(K376&lt;&gt;"",OR(NOT(ISNUMBER(K376)),N(K376)&lt;0)),"Compteur de réalisation invalide",IF(AND(E376&lt;&gt;"Compteur",N(M376)=0,IFERROR(N(INDEX(eq_start,MATCH(B376,eq_code,0))),0)=0),"Date de départ manquante",IF(AND(E376&lt;&gt;"Calendrier",K376="",N(N376)=0),"Compteur de départ manquant",IF(AND(E376&lt;&gt;"Calendrier",N(Q376)=0),"Relevé compteur manquant (Équipements)",IF(AND(I376&lt;&gt;"",ISNA(MATCH(I376,tech_name,0))),"Technicien inconnu",IF(AND(L376&lt;&gt;"",L376&lt;&gt;"Oui",L376&lt;&gt;"Non"),"Actif : Oui ou Non","OK")))))))))))))))))</f>
        <v/>
      </c>
      <c r="W376" s="67">
        <f>IFERROR(N(INDEX(eq_use,MATCH(B376,eq_code,0))),0)</f>
        <v>0.0</v>
      </c>
      <c r="X376" s="67" t="str">
        <f>IF(AND(ISNUMBER(S376),W376&gt;0),p_today+MAX(0,ROUNDUP(S376*7/W376,0)),"")</f>
        <v/>
      </c>
      <c r="Y376" s="67" t="str">
        <f>IF(AND(ISNUMBER(T376),OR(U376="En retard",U376="Bientôt",U376="À jour")),IF(AND(ISNUMBER(O376),ISNUMBER(X376)),MIN(F376,G376*7/W376),IF(ISNUMBER(O376),F376,G376*7/W376)),"")</f>
        <v/>
      </c>
      <c r="Z376" s="67" t="str">
        <f>IF(OR(U376="En retard",U376="Bientôt"),IF(U376="En retard",0,1)*1000000000+IF(AB376="A",0,IF(AB376="B",1,IF(AB376="C",2,3)))*100000000+IF(ISNUMBER(T376),T376,p_today)*1000+ROW()-5,"")</f>
        <v/>
      </c>
      <c r="AA376" s="67" t="str">
        <f>IF(Z376="","",COUNTIF($Z$6:$Z$505,"&lt;"&amp;Z376)+1)</f>
        <v/>
      </c>
      <c r="AB376" s="67" t="str">
        <f>IFERROR(INDEX(eq_crit,MATCH(B376,eq_code,0))&amp;"","")</f>
        <v/>
      </c>
    </row>
    <row r="377">
      <c r="A377" s="65" t="n"/>
      <c r="B377" s="66" t="n"/>
      <c r="C377" s="67" t="str">
        <f>IF(B377="","",IFERROR(INDEX(eq_des,MATCH(B377,eq_code,0))&amp;"","Équipement inconnu"))</f>
        <v/>
      </c>
      <c r="D377" s="66" t="n"/>
      <c r="E377" s="68" t="n"/>
      <c r="F377" s="69" t="n"/>
      <c r="G377" s="70" t="n"/>
      <c r="H377" s="71" t="n"/>
      <c r="I377" s="66" t="n"/>
      <c r="J377" s="72" t="n"/>
      <c r="K377" s="73" t="n"/>
      <c r="L377" s="68" t="n"/>
      <c r="M377" s="74" t="str">
        <f>IF(AND(A377="",B377="",D377=""),"",MAX(N(J377),IF(A377="",0,SUMPRODUCT(MAX((in_plan=A377)*in_prev*in_dnum)))))</f>
        <v/>
      </c>
      <c r="N377" s="75" t="str">
        <f>IF(AND(A377="",B377="",D377=""),"",MAX(N(K377),IF(A377="",0,SUMPRODUCT(MAX((in_plan=A377)*in_prev*in_cnum)))))</f>
        <v/>
      </c>
      <c r="O377" s="76" t="str">
        <f>IF(AND(OR(E377="Calendrier",E377="Au premier des deux"),N(F377)&gt;0,IF(N(M377)&gt;0,M377,IFERROR(N(INDEX(eq_start,MATCH(B377,eq_code,0))),0))&gt;0),IF(N(M377)&gt;0,M377,IFERROR(N(INDEX(eq_start,MATCH(B377,eq_code,0))),0))+F377,"")</f>
        <v/>
      </c>
      <c r="P377" s="75" t="str">
        <f>IF(AND(OR(E377="Compteur",E377="Au premier des deux"),N(G377)&gt;0),N(N377)+G377,"")</f>
        <v/>
      </c>
      <c r="Q377" s="75" t="str">
        <f>IF(B377="","",IFERROR(N(INDEX(eq_cnt,MATCH(B377,eq_code,0))),""))</f>
        <v/>
      </c>
      <c r="R377" s="77" t="str">
        <f>IF(ISNUMBER(O377),O377-p_today,"")</f>
        <v/>
      </c>
      <c r="S377" s="78" t="str">
        <f>IF(AND(ISNUMBER(P377),N(Q377)&gt;0),P377-Q377,"")</f>
        <v/>
      </c>
      <c r="T377" s="76" t="str">
        <f>IF(AND(ISNUMBER(O377),ISNUMBER(X377)),MIN(O377,X377),IF(ISNUMBER(O377),O377,X377))</f>
        <v/>
      </c>
      <c r="U377" s="79" t="str">
        <f>IF(AND(A377="",B377="",D377=""),"",IF(L377="Non","Inactif",IF(AND(NOT(ISNUMBER(R377)),NOT(ISNUMBER(S377))),"À compléter",IF(OR(AND(ISNUMBER(R377),N(R377)&lt;0),AND(ISNUMBER(S377),N(S377)&lt;0)),"En retard",IF(OR(AND(ISNUMBER(R377),N(R377)&lt;=p_soon),AND(ISNUMBER(S377),N(S377)&lt;=p_soon_pct*N(G377))),"Bientôt","À jour")))))</f>
        <v/>
      </c>
      <c r="V377" s="79" t="str">
        <f>IF(AND(A377="",B377="",D377=""),"",IF(A377="","N° de plan manquant",IF(COUNTIF($A$6:$A$505,A377)&gt;1,"N° de plan en double",IF(B377="","Équipement manquant",IF(ISNA(MATCH(B377,eq_code,0)),"Équipement inconnu",IF(D377="","Tâche manquante",IF(E377="","Déclenchement manquant",IF(AND(E377&lt;&gt;"Calendrier",E377&lt;&gt;"Compteur",E377&lt;&gt;"Au premier des deux"),"Déclenchement inconnu",IF(AND(E377&lt;&gt;"Compteur",OR(NOT(ISNUMBER(F377)),N(F377)&lt;=0)),"Périodicité en jours manquante",IF(AND(E377&lt;&gt;"Calendrier",OR(NOT(ISNUMBER(G377)),N(G377)&lt;=0)),"Périodicité compteur manquante",IF(AND(J377&lt;&gt;"",OR(NOT(ISNUMBER(J377)),N(J377)&lt;=0)),"Date de réalisation invalide",IF(AND(K377&lt;&gt;"",OR(NOT(ISNUMBER(K377)),N(K377)&lt;0)),"Compteur de réalisation invalide",IF(AND(E377&lt;&gt;"Compteur",N(M377)=0,IFERROR(N(INDEX(eq_start,MATCH(B377,eq_code,0))),0)=0),"Date de départ manquante",IF(AND(E377&lt;&gt;"Calendrier",K377="",N(N377)=0),"Compteur de départ manquant",IF(AND(E377&lt;&gt;"Calendrier",N(Q377)=0),"Relevé compteur manquant (Équipements)",IF(AND(I377&lt;&gt;"",ISNA(MATCH(I377,tech_name,0))),"Technicien inconnu",IF(AND(L377&lt;&gt;"",L377&lt;&gt;"Oui",L377&lt;&gt;"Non"),"Actif : Oui ou Non","OK")))))))))))))))))</f>
        <v/>
      </c>
      <c r="W377" s="67">
        <f>IFERROR(N(INDEX(eq_use,MATCH(B377,eq_code,0))),0)</f>
        <v>0.0</v>
      </c>
      <c r="X377" s="67" t="str">
        <f>IF(AND(ISNUMBER(S377),W377&gt;0),p_today+MAX(0,ROUNDUP(S377*7/W377,0)),"")</f>
        <v/>
      </c>
      <c r="Y377" s="67" t="str">
        <f>IF(AND(ISNUMBER(T377),OR(U377="En retard",U377="Bientôt",U377="À jour")),IF(AND(ISNUMBER(O377),ISNUMBER(X377)),MIN(F377,G377*7/W377),IF(ISNUMBER(O377),F377,G377*7/W377)),"")</f>
        <v/>
      </c>
      <c r="Z377" s="67" t="str">
        <f>IF(OR(U377="En retard",U377="Bientôt"),IF(U377="En retard",0,1)*1000000000+IF(AB377="A",0,IF(AB377="B",1,IF(AB377="C",2,3)))*100000000+IF(ISNUMBER(T377),T377,p_today)*1000+ROW()-5,"")</f>
        <v/>
      </c>
      <c r="AA377" s="67" t="str">
        <f>IF(Z377="","",COUNTIF($Z$6:$Z$505,"&lt;"&amp;Z377)+1)</f>
        <v/>
      </c>
      <c r="AB377" s="67" t="str">
        <f>IFERROR(INDEX(eq_crit,MATCH(B377,eq_code,0))&amp;"","")</f>
        <v/>
      </c>
    </row>
    <row r="378">
      <c r="A378" s="65" t="n"/>
      <c r="B378" s="66" t="n"/>
      <c r="C378" s="67" t="str">
        <f>IF(B378="","",IFERROR(INDEX(eq_des,MATCH(B378,eq_code,0))&amp;"","Équipement inconnu"))</f>
        <v/>
      </c>
      <c r="D378" s="66" t="n"/>
      <c r="E378" s="68" t="n"/>
      <c r="F378" s="69" t="n"/>
      <c r="G378" s="70" t="n"/>
      <c r="H378" s="71" t="n"/>
      <c r="I378" s="66" t="n"/>
      <c r="J378" s="72" t="n"/>
      <c r="K378" s="73" t="n"/>
      <c r="L378" s="68" t="n"/>
      <c r="M378" s="74" t="str">
        <f>IF(AND(A378="",B378="",D378=""),"",MAX(N(J378),IF(A378="",0,SUMPRODUCT(MAX((in_plan=A378)*in_prev*in_dnum)))))</f>
        <v/>
      </c>
      <c r="N378" s="75" t="str">
        <f>IF(AND(A378="",B378="",D378=""),"",MAX(N(K378),IF(A378="",0,SUMPRODUCT(MAX((in_plan=A378)*in_prev*in_cnum)))))</f>
        <v/>
      </c>
      <c r="O378" s="76" t="str">
        <f>IF(AND(OR(E378="Calendrier",E378="Au premier des deux"),N(F378)&gt;0,IF(N(M378)&gt;0,M378,IFERROR(N(INDEX(eq_start,MATCH(B378,eq_code,0))),0))&gt;0),IF(N(M378)&gt;0,M378,IFERROR(N(INDEX(eq_start,MATCH(B378,eq_code,0))),0))+F378,"")</f>
        <v/>
      </c>
      <c r="P378" s="75" t="str">
        <f>IF(AND(OR(E378="Compteur",E378="Au premier des deux"),N(G378)&gt;0),N(N378)+G378,"")</f>
        <v/>
      </c>
      <c r="Q378" s="75" t="str">
        <f>IF(B378="","",IFERROR(N(INDEX(eq_cnt,MATCH(B378,eq_code,0))),""))</f>
        <v/>
      </c>
      <c r="R378" s="77" t="str">
        <f>IF(ISNUMBER(O378),O378-p_today,"")</f>
        <v/>
      </c>
      <c r="S378" s="78" t="str">
        <f>IF(AND(ISNUMBER(P378),N(Q378)&gt;0),P378-Q378,"")</f>
        <v/>
      </c>
      <c r="T378" s="76" t="str">
        <f>IF(AND(ISNUMBER(O378),ISNUMBER(X378)),MIN(O378,X378),IF(ISNUMBER(O378),O378,X378))</f>
        <v/>
      </c>
      <c r="U378" s="79" t="str">
        <f>IF(AND(A378="",B378="",D378=""),"",IF(L378="Non","Inactif",IF(AND(NOT(ISNUMBER(R378)),NOT(ISNUMBER(S378))),"À compléter",IF(OR(AND(ISNUMBER(R378),N(R378)&lt;0),AND(ISNUMBER(S378),N(S378)&lt;0)),"En retard",IF(OR(AND(ISNUMBER(R378),N(R378)&lt;=p_soon),AND(ISNUMBER(S378),N(S378)&lt;=p_soon_pct*N(G378))),"Bientôt","À jour")))))</f>
        <v/>
      </c>
      <c r="V378" s="79" t="str">
        <f>IF(AND(A378="",B378="",D378=""),"",IF(A378="","N° de plan manquant",IF(COUNTIF($A$6:$A$505,A378)&gt;1,"N° de plan en double",IF(B378="","Équipement manquant",IF(ISNA(MATCH(B378,eq_code,0)),"Équipement inconnu",IF(D378="","Tâche manquante",IF(E378="","Déclenchement manquant",IF(AND(E378&lt;&gt;"Calendrier",E378&lt;&gt;"Compteur",E378&lt;&gt;"Au premier des deux"),"Déclenchement inconnu",IF(AND(E378&lt;&gt;"Compteur",OR(NOT(ISNUMBER(F378)),N(F378)&lt;=0)),"Périodicité en jours manquante",IF(AND(E378&lt;&gt;"Calendrier",OR(NOT(ISNUMBER(G378)),N(G378)&lt;=0)),"Périodicité compteur manquante",IF(AND(J378&lt;&gt;"",OR(NOT(ISNUMBER(J378)),N(J378)&lt;=0)),"Date de réalisation invalide",IF(AND(K378&lt;&gt;"",OR(NOT(ISNUMBER(K378)),N(K378)&lt;0)),"Compteur de réalisation invalide",IF(AND(E378&lt;&gt;"Compteur",N(M378)=0,IFERROR(N(INDEX(eq_start,MATCH(B378,eq_code,0))),0)=0),"Date de départ manquante",IF(AND(E378&lt;&gt;"Calendrier",K378="",N(N378)=0),"Compteur de départ manquant",IF(AND(E378&lt;&gt;"Calendrier",N(Q378)=0),"Relevé compteur manquant (Équipements)",IF(AND(I378&lt;&gt;"",ISNA(MATCH(I378,tech_name,0))),"Technicien inconnu",IF(AND(L378&lt;&gt;"",L378&lt;&gt;"Oui",L378&lt;&gt;"Non"),"Actif : Oui ou Non","OK")))))))))))))))))</f>
        <v/>
      </c>
      <c r="W378" s="67">
        <f>IFERROR(N(INDEX(eq_use,MATCH(B378,eq_code,0))),0)</f>
        <v>0.0</v>
      </c>
      <c r="X378" s="67" t="str">
        <f>IF(AND(ISNUMBER(S378),W378&gt;0),p_today+MAX(0,ROUNDUP(S378*7/W378,0)),"")</f>
        <v/>
      </c>
      <c r="Y378" s="67" t="str">
        <f>IF(AND(ISNUMBER(T378),OR(U378="En retard",U378="Bientôt",U378="À jour")),IF(AND(ISNUMBER(O378),ISNUMBER(X378)),MIN(F378,G378*7/W378),IF(ISNUMBER(O378),F378,G378*7/W378)),"")</f>
        <v/>
      </c>
      <c r="Z378" s="67" t="str">
        <f>IF(OR(U378="En retard",U378="Bientôt"),IF(U378="En retard",0,1)*1000000000+IF(AB378="A",0,IF(AB378="B",1,IF(AB378="C",2,3)))*100000000+IF(ISNUMBER(T378),T378,p_today)*1000+ROW()-5,"")</f>
        <v/>
      </c>
      <c r="AA378" s="67" t="str">
        <f>IF(Z378="","",COUNTIF($Z$6:$Z$505,"&lt;"&amp;Z378)+1)</f>
        <v/>
      </c>
      <c r="AB378" s="67" t="str">
        <f>IFERROR(INDEX(eq_crit,MATCH(B378,eq_code,0))&amp;"","")</f>
        <v/>
      </c>
    </row>
    <row r="379">
      <c r="A379" s="65" t="n"/>
      <c r="B379" s="66" t="n"/>
      <c r="C379" s="67" t="str">
        <f>IF(B379="","",IFERROR(INDEX(eq_des,MATCH(B379,eq_code,0))&amp;"","Équipement inconnu"))</f>
        <v/>
      </c>
      <c r="D379" s="66" t="n"/>
      <c r="E379" s="68" t="n"/>
      <c r="F379" s="69" t="n"/>
      <c r="G379" s="70" t="n"/>
      <c r="H379" s="71" t="n"/>
      <c r="I379" s="66" t="n"/>
      <c r="J379" s="72" t="n"/>
      <c r="K379" s="73" t="n"/>
      <c r="L379" s="68" t="n"/>
      <c r="M379" s="74" t="str">
        <f>IF(AND(A379="",B379="",D379=""),"",MAX(N(J379),IF(A379="",0,SUMPRODUCT(MAX((in_plan=A379)*in_prev*in_dnum)))))</f>
        <v/>
      </c>
      <c r="N379" s="75" t="str">
        <f>IF(AND(A379="",B379="",D379=""),"",MAX(N(K379),IF(A379="",0,SUMPRODUCT(MAX((in_plan=A379)*in_prev*in_cnum)))))</f>
        <v/>
      </c>
      <c r="O379" s="76" t="str">
        <f>IF(AND(OR(E379="Calendrier",E379="Au premier des deux"),N(F379)&gt;0,IF(N(M379)&gt;0,M379,IFERROR(N(INDEX(eq_start,MATCH(B379,eq_code,0))),0))&gt;0),IF(N(M379)&gt;0,M379,IFERROR(N(INDEX(eq_start,MATCH(B379,eq_code,0))),0))+F379,"")</f>
        <v/>
      </c>
      <c r="P379" s="75" t="str">
        <f>IF(AND(OR(E379="Compteur",E379="Au premier des deux"),N(G379)&gt;0),N(N379)+G379,"")</f>
        <v/>
      </c>
      <c r="Q379" s="75" t="str">
        <f>IF(B379="","",IFERROR(N(INDEX(eq_cnt,MATCH(B379,eq_code,0))),""))</f>
        <v/>
      </c>
      <c r="R379" s="77" t="str">
        <f>IF(ISNUMBER(O379),O379-p_today,"")</f>
        <v/>
      </c>
      <c r="S379" s="78" t="str">
        <f>IF(AND(ISNUMBER(P379),N(Q379)&gt;0),P379-Q379,"")</f>
        <v/>
      </c>
      <c r="T379" s="76" t="str">
        <f>IF(AND(ISNUMBER(O379),ISNUMBER(X379)),MIN(O379,X379),IF(ISNUMBER(O379),O379,X379))</f>
        <v/>
      </c>
      <c r="U379" s="79" t="str">
        <f>IF(AND(A379="",B379="",D379=""),"",IF(L379="Non","Inactif",IF(AND(NOT(ISNUMBER(R379)),NOT(ISNUMBER(S379))),"À compléter",IF(OR(AND(ISNUMBER(R379),N(R379)&lt;0),AND(ISNUMBER(S379),N(S379)&lt;0)),"En retard",IF(OR(AND(ISNUMBER(R379),N(R379)&lt;=p_soon),AND(ISNUMBER(S379),N(S379)&lt;=p_soon_pct*N(G379))),"Bientôt","À jour")))))</f>
        <v/>
      </c>
      <c r="V379" s="79" t="str">
        <f>IF(AND(A379="",B379="",D379=""),"",IF(A379="","N° de plan manquant",IF(COUNTIF($A$6:$A$505,A379)&gt;1,"N° de plan en double",IF(B379="","Équipement manquant",IF(ISNA(MATCH(B379,eq_code,0)),"Équipement inconnu",IF(D379="","Tâche manquante",IF(E379="","Déclenchement manquant",IF(AND(E379&lt;&gt;"Calendrier",E379&lt;&gt;"Compteur",E379&lt;&gt;"Au premier des deux"),"Déclenchement inconnu",IF(AND(E379&lt;&gt;"Compteur",OR(NOT(ISNUMBER(F379)),N(F379)&lt;=0)),"Périodicité en jours manquante",IF(AND(E379&lt;&gt;"Calendrier",OR(NOT(ISNUMBER(G379)),N(G379)&lt;=0)),"Périodicité compteur manquante",IF(AND(J379&lt;&gt;"",OR(NOT(ISNUMBER(J379)),N(J379)&lt;=0)),"Date de réalisation invalide",IF(AND(K379&lt;&gt;"",OR(NOT(ISNUMBER(K379)),N(K379)&lt;0)),"Compteur de réalisation invalide",IF(AND(E379&lt;&gt;"Compteur",N(M379)=0,IFERROR(N(INDEX(eq_start,MATCH(B379,eq_code,0))),0)=0),"Date de départ manquante",IF(AND(E379&lt;&gt;"Calendrier",K379="",N(N379)=0),"Compteur de départ manquant",IF(AND(E379&lt;&gt;"Calendrier",N(Q379)=0),"Relevé compteur manquant (Équipements)",IF(AND(I379&lt;&gt;"",ISNA(MATCH(I379,tech_name,0))),"Technicien inconnu",IF(AND(L379&lt;&gt;"",L379&lt;&gt;"Oui",L379&lt;&gt;"Non"),"Actif : Oui ou Non","OK")))))))))))))))))</f>
        <v/>
      </c>
      <c r="W379" s="67">
        <f>IFERROR(N(INDEX(eq_use,MATCH(B379,eq_code,0))),0)</f>
        <v>0.0</v>
      </c>
      <c r="X379" s="67" t="str">
        <f>IF(AND(ISNUMBER(S379),W379&gt;0),p_today+MAX(0,ROUNDUP(S379*7/W379,0)),"")</f>
        <v/>
      </c>
      <c r="Y379" s="67" t="str">
        <f>IF(AND(ISNUMBER(T379),OR(U379="En retard",U379="Bientôt",U379="À jour")),IF(AND(ISNUMBER(O379),ISNUMBER(X379)),MIN(F379,G379*7/W379),IF(ISNUMBER(O379),F379,G379*7/W379)),"")</f>
        <v/>
      </c>
      <c r="Z379" s="67" t="str">
        <f>IF(OR(U379="En retard",U379="Bientôt"),IF(U379="En retard",0,1)*1000000000+IF(AB379="A",0,IF(AB379="B",1,IF(AB379="C",2,3)))*100000000+IF(ISNUMBER(T379),T379,p_today)*1000+ROW()-5,"")</f>
        <v/>
      </c>
      <c r="AA379" s="67" t="str">
        <f>IF(Z379="","",COUNTIF($Z$6:$Z$505,"&lt;"&amp;Z379)+1)</f>
        <v/>
      </c>
      <c r="AB379" s="67" t="str">
        <f>IFERROR(INDEX(eq_crit,MATCH(B379,eq_code,0))&amp;"","")</f>
        <v/>
      </c>
    </row>
    <row r="380">
      <c r="A380" s="65" t="n"/>
      <c r="B380" s="66" t="n"/>
      <c r="C380" s="67" t="str">
        <f>IF(B380="","",IFERROR(INDEX(eq_des,MATCH(B380,eq_code,0))&amp;"","Équipement inconnu"))</f>
        <v/>
      </c>
      <c r="D380" s="66" t="n"/>
      <c r="E380" s="68" t="n"/>
      <c r="F380" s="69" t="n"/>
      <c r="G380" s="70" t="n"/>
      <c r="H380" s="71" t="n"/>
      <c r="I380" s="66" t="n"/>
      <c r="J380" s="72" t="n"/>
      <c r="K380" s="73" t="n"/>
      <c r="L380" s="68" t="n"/>
      <c r="M380" s="74" t="str">
        <f>IF(AND(A380="",B380="",D380=""),"",MAX(N(J380),IF(A380="",0,SUMPRODUCT(MAX((in_plan=A380)*in_prev*in_dnum)))))</f>
        <v/>
      </c>
      <c r="N380" s="75" t="str">
        <f>IF(AND(A380="",B380="",D380=""),"",MAX(N(K380),IF(A380="",0,SUMPRODUCT(MAX((in_plan=A380)*in_prev*in_cnum)))))</f>
        <v/>
      </c>
      <c r="O380" s="76" t="str">
        <f>IF(AND(OR(E380="Calendrier",E380="Au premier des deux"),N(F380)&gt;0,IF(N(M380)&gt;0,M380,IFERROR(N(INDEX(eq_start,MATCH(B380,eq_code,0))),0))&gt;0),IF(N(M380)&gt;0,M380,IFERROR(N(INDEX(eq_start,MATCH(B380,eq_code,0))),0))+F380,"")</f>
        <v/>
      </c>
      <c r="P380" s="75" t="str">
        <f>IF(AND(OR(E380="Compteur",E380="Au premier des deux"),N(G380)&gt;0),N(N380)+G380,"")</f>
        <v/>
      </c>
      <c r="Q380" s="75" t="str">
        <f>IF(B380="","",IFERROR(N(INDEX(eq_cnt,MATCH(B380,eq_code,0))),""))</f>
        <v/>
      </c>
      <c r="R380" s="77" t="str">
        <f>IF(ISNUMBER(O380),O380-p_today,"")</f>
        <v/>
      </c>
      <c r="S380" s="78" t="str">
        <f>IF(AND(ISNUMBER(P380),N(Q380)&gt;0),P380-Q380,"")</f>
        <v/>
      </c>
      <c r="T380" s="76" t="str">
        <f>IF(AND(ISNUMBER(O380),ISNUMBER(X380)),MIN(O380,X380),IF(ISNUMBER(O380),O380,X380))</f>
        <v/>
      </c>
      <c r="U380" s="79" t="str">
        <f>IF(AND(A380="",B380="",D380=""),"",IF(L380="Non","Inactif",IF(AND(NOT(ISNUMBER(R380)),NOT(ISNUMBER(S380))),"À compléter",IF(OR(AND(ISNUMBER(R380),N(R380)&lt;0),AND(ISNUMBER(S380),N(S380)&lt;0)),"En retard",IF(OR(AND(ISNUMBER(R380),N(R380)&lt;=p_soon),AND(ISNUMBER(S380),N(S380)&lt;=p_soon_pct*N(G380))),"Bientôt","À jour")))))</f>
        <v/>
      </c>
      <c r="V380" s="79" t="str">
        <f>IF(AND(A380="",B380="",D380=""),"",IF(A380="","N° de plan manquant",IF(COUNTIF($A$6:$A$505,A380)&gt;1,"N° de plan en double",IF(B380="","Équipement manquant",IF(ISNA(MATCH(B380,eq_code,0)),"Équipement inconnu",IF(D380="","Tâche manquante",IF(E380="","Déclenchement manquant",IF(AND(E380&lt;&gt;"Calendrier",E380&lt;&gt;"Compteur",E380&lt;&gt;"Au premier des deux"),"Déclenchement inconnu",IF(AND(E380&lt;&gt;"Compteur",OR(NOT(ISNUMBER(F380)),N(F380)&lt;=0)),"Périodicité en jours manquante",IF(AND(E380&lt;&gt;"Calendrier",OR(NOT(ISNUMBER(G380)),N(G380)&lt;=0)),"Périodicité compteur manquante",IF(AND(J380&lt;&gt;"",OR(NOT(ISNUMBER(J380)),N(J380)&lt;=0)),"Date de réalisation invalide",IF(AND(K380&lt;&gt;"",OR(NOT(ISNUMBER(K380)),N(K380)&lt;0)),"Compteur de réalisation invalide",IF(AND(E380&lt;&gt;"Compteur",N(M380)=0,IFERROR(N(INDEX(eq_start,MATCH(B380,eq_code,0))),0)=0),"Date de départ manquante",IF(AND(E380&lt;&gt;"Calendrier",K380="",N(N380)=0),"Compteur de départ manquant",IF(AND(E380&lt;&gt;"Calendrier",N(Q380)=0),"Relevé compteur manquant (Équipements)",IF(AND(I380&lt;&gt;"",ISNA(MATCH(I380,tech_name,0))),"Technicien inconnu",IF(AND(L380&lt;&gt;"",L380&lt;&gt;"Oui",L380&lt;&gt;"Non"),"Actif : Oui ou Non","OK")))))))))))))))))</f>
        <v/>
      </c>
      <c r="W380" s="67">
        <f>IFERROR(N(INDEX(eq_use,MATCH(B380,eq_code,0))),0)</f>
        <v>0.0</v>
      </c>
      <c r="X380" s="67" t="str">
        <f>IF(AND(ISNUMBER(S380),W380&gt;0),p_today+MAX(0,ROUNDUP(S380*7/W380,0)),"")</f>
        <v/>
      </c>
      <c r="Y380" s="67" t="str">
        <f>IF(AND(ISNUMBER(T380),OR(U380="En retard",U380="Bientôt",U380="À jour")),IF(AND(ISNUMBER(O380),ISNUMBER(X380)),MIN(F380,G380*7/W380),IF(ISNUMBER(O380),F380,G380*7/W380)),"")</f>
        <v/>
      </c>
      <c r="Z380" s="67" t="str">
        <f>IF(OR(U380="En retard",U380="Bientôt"),IF(U380="En retard",0,1)*1000000000+IF(AB380="A",0,IF(AB380="B",1,IF(AB380="C",2,3)))*100000000+IF(ISNUMBER(T380),T380,p_today)*1000+ROW()-5,"")</f>
        <v/>
      </c>
      <c r="AA380" s="67" t="str">
        <f>IF(Z380="","",COUNTIF($Z$6:$Z$505,"&lt;"&amp;Z380)+1)</f>
        <v/>
      </c>
      <c r="AB380" s="67" t="str">
        <f>IFERROR(INDEX(eq_crit,MATCH(B380,eq_code,0))&amp;"","")</f>
        <v/>
      </c>
    </row>
    <row r="381">
      <c r="A381" s="65" t="n"/>
      <c r="B381" s="66" t="n"/>
      <c r="C381" s="67" t="str">
        <f>IF(B381="","",IFERROR(INDEX(eq_des,MATCH(B381,eq_code,0))&amp;"","Équipement inconnu"))</f>
        <v/>
      </c>
      <c r="D381" s="66" t="n"/>
      <c r="E381" s="68" t="n"/>
      <c r="F381" s="69" t="n"/>
      <c r="G381" s="70" t="n"/>
      <c r="H381" s="71" t="n"/>
      <c r="I381" s="66" t="n"/>
      <c r="J381" s="72" t="n"/>
      <c r="K381" s="73" t="n"/>
      <c r="L381" s="68" t="n"/>
      <c r="M381" s="74" t="str">
        <f>IF(AND(A381="",B381="",D381=""),"",MAX(N(J381),IF(A381="",0,SUMPRODUCT(MAX((in_plan=A381)*in_prev*in_dnum)))))</f>
        <v/>
      </c>
      <c r="N381" s="75" t="str">
        <f>IF(AND(A381="",B381="",D381=""),"",MAX(N(K381),IF(A381="",0,SUMPRODUCT(MAX((in_plan=A381)*in_prev*in_cnum)))))</f>
        <v/>
      </c>
      <c r="O381" s="76" t="str">
        <f>IF(AND(OR(E381="Calendrier",E381="Au premier des deux"),N(F381)&gt;0,IF(N(M381)&gt;0,M381,IFERROR(N(INDEX(eq_start,MATCH(B381,eq_code,0))),0))&gt;0),IF(N(M381)&gt;0,M381,IFERROR(N(INDEX(eq_start,MATCH(B381,eq_code,0))),0))+F381,"")</f>
        <v/>
      </c>
      <c r="P381" s="75" t="str">
        <f>IF(AND(OR(E381="Compteur",E381="Au premier des deux"),N(G381)&gt;0),N(N381)+G381,"")</f>
        <v/>
      </c>
      <c r="Q381" s="75" t="str">
        <f>IF(B381="","",IFERROR(N(INDEX(eq_cnt,MATCH(B381,eq_code,0))),""))</f>
        <v/>
      </c>
      <c r="R381" s="77" t="str">
        <f>IF(ISNUMBER(O381),O381-p_today,"")</f>
        <v/>
      </c>
      <c r="S381" s="78" t="str">
        <f>IF(AND(ISNUMBER(P381),N(Q381)&gt;0),P381-Q381,"")</f>
        <v/>
      </c>
      <c r="T381" s="76" t="str">
        <f>IF(AND(ISNUMBER(O381),ISNUMBER(X381)),MIN(O381,X381),IF(ISNUMBER(O381),O381,X381))</f>
        <v/>
      </c>
      <c r="U381" s="79" t="str">
        <f>IF(AND(A381="",B381="",D381=""),"",IF(L381="Non","Inactif",IF(AND(NOT(ISNUMBER(R381)),NOT(ISNUMBER(S381))),"À compléter",IF(OR(AND(ISNUMBER(R381),N(R381)&lt;0),AND(ISNUMBER(S381),N(S381)&lt;0)),"En retard",IF(OR(AND(ISNUMBER(R381),N(R381)&lt;=p_soon),AND(ISNUMBER(S381),N(S381)&lt;=p_soon_pct*N(G381))),"Bientôt","À jour")))))</f>
        <v/>
      </c>
      <c r="V381" s="79" t="str">
        <f>IF(AND(A381="",B381="",D381=""),"",IF(A381="","N° de plan manquant",IF(COUNTIF($A$6:$A$505,A381)&gt;1,"N° de plan en double",IF(B381="","Équipement manquant",IF(ISNA(MATCH(B381,eq_code,0)),"Équipement inconnu",IF(D381="","Tâche manquante",IF(E381="","Déclenchement manquant",IF(AND(E381&lt;&gt;"Calendrier",E381&lt;&gt;"Compteur",E381&lt;&gt;"Au premier des deux"),"Déclenchement inconnu",IF(AND(E381&lt;&gt;"Compteur",OR(NOT(ISNUMBER(F381)),N(F381)&lt;=0)),"Périodicité en jours manquante",IF(AND(E381&lt;&gt;"Calendrier",OR(NOT(ISNUMBER(G381)),N(G381)&lt;=0)),"Périodicité compteur manquante",IF(AND(J381&lt;&gt;"",OR(NOT(ISNUMBER(J381)),N(J381)&lt;=0)),"Date de réalisation invalide",IF(AND(K381&lt;&gt;"",OR(NOT(ISNUMBER(K381)),N(K381)&lt;0)),"Compteur de réalisation invalide",IF(AND(E381&lt;&gt;"Compteur",N(M381)=0,IFERROR(N(INDEX(eq_start,MATCH(B381,eq_code,0))),0)=0),"Date de départ manquante",IF(AND(E381&lt;&gt;"Calendrier",K381="",N(N381)=0),"Compteur de départ manquant",IF(AND(E381&lt;&gt;"Calendrier",N(Q381)=0),"Relevé compteur manquant (Équipements)",IF(AND(I381&lt;&gt;"",ISNA(MATCH(I381,tech_name,0))),"Technicien inconnu",IF(AND(L381&lt;&gt;"",L381&lt;&gt;"Oui",L381&lt;&gt;"Non"),"Actif : Oui ou Non","OK")))))))))))))))))</f>
        <v/>
      </c>
      <c r="W381" s="67">
        <f>IFERROR(N(INDEX(eq_use,MATCH(B381,eq_code,0))),0)</f>
        <v>0.0</v>
      </c>
      <c r="X381" s="67" t="str">
        <f>IF(AND(ISNUMBER(S381),W381&gt;0),p_today+MAX(0,ROUNDUP(S381*7/W381,0)),"")</f>
        <v/>
      </c>
      <c r="Y381" s="67" t="str">
        <f>IF(AND(ISNUMBER(T381),OR(U381="En retard",U381="Bientôt",U381="À jour")),IF(AND(ISNUMBER(O381),ISNUMBER(X381)),MIN(F381,G381*7/W381),IF(ISNUMBER(O381),F381,G381*7/W381)),"")</f>
        <v/>
      </c>
      <c r="Z381" s="67" t="str">
        <f>IF(OR(U381="En retard",U381="Bientôt"),IF(U381="En retard",0,1)*1000000000+IF(AB381="A",0,IF(AB381="B",1,IF(AB381="C",2,3)))*100000000+IF(ISNUMBER(T381),T381,p_today)*1000+ROW()-5,"")</f>
        <v/>
      </c>
      <c r="AA381" s="67" t="str">
        <f>IF(Z381="","",COUNTIF($Z$6:$Z$505,"&lt;"&amp;Z381)+1)</f>
        <v/>
      </c>
      <c r="AB381" s="67" t="str">
        <f>IFERROR(INDEX(eq_crit,MATCH(B381,eq_code,0))&amp;"","")</f>
        <v/>
      </c>
    </row>
    <row r="382">
      <c r="A382" s="65" t="n"/>
      <c r="B382" s="66" t="n"/>
      <c r="C382" s="67" t="str">
        <f>IF(B382="","",IFERROR(INDEX(eq_des,MATCH(B382,eq_code,0))&amp;"","Équipement inconnu"))</f>
        <v/>
      </c>
      <c r="D382" s="66" t="n"/>
      <c r="E382" s="68" t="n"/>
      <c r="F382" s="69" t="n"/>
      <c r="G382" s="70" t="n"/>
      <c r="H382" s="71" t="n"/>
      <c r="I382" s="66" t="n"/>
      <c r="J382" s="72" t="n"/>
      <c r="K382" s="73" t="n"/>
      <c r="L382" s="68" t="n"/>
      <c r="M382" s="74" t="str">
        <f>IF(AND(A382="",B382="",D382=""),"",MAX(N(J382),IF(A382="",0,SUMPRODUCT(MAX((in_plan=A382)*in_prev*in_dnum)))))</f>
        <v/>
      </c>
      <c r="N382" s="75" t="str">
        <f>IF(AND(A382="",B382="",D382=""),"",MAX(N(K382),IF(A382="",0,SUMPRODUCT(MAX((in_plan=A382)*in_prev*in_cnum)))))</f>
        <v/>
      </c>
      <c r="O382" s="76" t="str">
        <f>IF(AND(OR(E382="Calendrier",E382="Au premier des deux"),N(F382)&gt;0,IF(N(M382)&gt;0,M382,IFERROR(N(INDEX(eq_start,MATCH(B382,eq_code,0))),0))&gt;0),IF(N(M382)&gt;0,M382,IFERROR(N(INDEX(eq_start,MATCH(B382,eq_code,0))),0))+F382,"")</f>
        <v/>
      </c>
      <c r="P382" s="75" t="str">
        <f>IF(AND(OR(E382="Compteur",E382="Au premier des deux"),N(G382)&gt;0),N(N382)+G382,"")</f>
        <v/>
      </c>
      <c r="Q382" s="75" t="str">
        <f>IF(B382="","",IFERROR(N(INDEX(eq_cnt,MATCH(B382,eq_code,0))),""))</f>
        <v/>
      </c>
      <c r="R382" s="77" t="str">
        <f>IF(ISNUMBER(O382),O382-p_today,"")</f>
        <v/>
      </c>
      <c r="S382" s="78" t="str">
        <f>IF(AND(ISNUMBER(P382),N(Q382)&gt;0),P382-Q382,"")</f>
        <v/>
      </c>
      <c r="T382" s="76" t="str">
        <f>IF(AND(ISNUMBER(O382),ISNUMBER(X382)),MIN(O382,X382),IF(ISNUMBER(O382),O382,X382))</f>
        <v/>
      </c>
      <c r="U382" s="79" t="str">
        <f>IF(AND(A382="",B382="",D382=""),"",IF(L382="Non","Inactif",IF(AND(NOT(ISNUMBER(R382)),NOT(ISNUMBER(S382))),"À compléter",IF(OR(AND(ISNUMBER(R382),N(R382)&lt;0),AND(ISNUMBER(S382),N(S382)&lt;0)),"En retard",IF(OR(AND(ISNUMBER(R382),N(R382)&lt;=p_soon),AND(ISNUMBER(S382),N(S382)&lt;=p_soon_pct*N(G382))),"Bientôt","À jour")))))</f>
        <v/>
      </c>
      <c r="V382" s="79" t="str">
        <f>IF(AND(A382="",B382="",D382=""),"",IF(A382="","N° de plan manquant",IF(COUNTIF($A$6:$A$505,A382)&gt;1,"N° de plan en double",IF(B382="","Équipement manquant",IF(ISNA(MATCH(B382,eq_code,0)),"Équipement inconnu",IF(D382="","Tâche manquante",IF(E382="","Déclenchement manquant",IF(AND(E382&lt;&gt;"Calendrier",E382&lt;&gt;"Compteur",E382&lt;&gt;"Au premier des deux"),"Déclenchement inconnu",IF(AND(E382&lt;&gt;"Compteur",OR(NOT(ISNUMBER(F382)),N(F382)&lt;=0)),"Périodicité en jours manquante",IF(AND(E382&lt;&gt;"Calendrier",OR(NOT(ISNUMBER(G382)),N(G382)&lt;=0)),"Périodicité compteur manquante",IF(AND(J382&lt;&gt;"",OR(NOT(ISNUMBER(J382)),N(J382)&lt;=0)),"Date de réalisation invalide",IF(AND(K382&lt;&gt;"",OR(NOT(ISNUMBER(K382)),N(K382)&lt;0)),"Compteur de réalisation invalide",IF(AND(E382&lt;&gt;"Compteur",N(M382)=0,IFERROR(N(INDEX(eq_start,MATCH(B382,eq_code,0))),0)=0),"Date de départ manquante",IF(AND(E382&lt;&gt;"Calendrier",K382="",N(N382)=0),"Compteur de départ manquant",IF(AND(E382&lt;&gt;"Calendrier",N(Q382)=0),"Relevé compteur manquant (Équipements)",IF(AND(I382&lt;&gt;"",ISNA(MATCH(I382,tech_name,0))),"Technicien inconnu",IF(AND(L382&lt;&gt;"",L382&lt;&gt;"Oui",L382&lt;&gt;"Non"),"Actif : Oui ou Non","OK")))))))))))))))))</f>
        <v/>
      </c>
      <c r="W382" s="67">
        <f>IFERROR(N(INDEX(eq_use,MATCH(B382,eq_code,0))),0)</f>
        <v>0.0</v>
      </c>
      <c r="X382" s="67" t="str">
        <f>IF(AND(ISNUMBER(S382),W382&gt;0),p_today+MAX(0,ROUNDUP(S382*7/W382,0)),"")</f>
        <v/>
      </c>
      <c r="Y382" s="67" t="str">
        <f>IF(AND(ISNUMBER(T382),OR(U382="En retard",U382="Bientôt",U382="À jour")),IF(AND(ISNUMBER(O382),ISNUMBER(X382)),MIN(F382,G382*7/W382),IF(ISNUMBER(O382),F382,G382*7/W382)),"")</f>
        <v/>
      </c>
      <c r="Z382" s="67" t="str">
        <f>IF(OR(U382="En retard",U382="Bientôt"),IF(U382="En retard",0,1)*1000000000+IF(AB382="A",0,IF(AB382="B",1,IF(AB382="C",2,3)))*100000000+IF(ISNUMBER(T382),T382,p_today)*1000+ROW()-5,"")</f>
        <v/>
      </c>
      <c r="AA382" s="67" t="str">
        <f>IF(Z382="","",COUNTIF($Z$6:$Z$505,"&lt;"&amp;Z382)+1)</f>
        <v/>
      </c>
      <c r="AB382" s="67" t="str">
        <f>IFERROR(INDEX(eq_crit,MATCH(B382,eq_code,0))&amp;"","")</f>
        <v/>
      </c>
    </row>
    <row r="383">
      <c r="A383" s="65" t="n"/>
      <c r="B383" s="66" t="n"/>
      <c r="C383" s="67" t="str">
        <f>IF(B383="","",IFERROR(INDEX(eq_des,MATCH(B383,eq_code,0))&amp;"","Équipement inconnu"))</f>
        <v/>
      </c>
      <c r="D383" s="66" t="n"/>
      <c r="E383" s="68" t="n"/>
      <c r="F383" s="69" t="n"/>
      <c r="G383" s="70" t="n"/>
      <c r="H383" s="71" t="n"/>
      <c r="I383" s="66" t="n"/>
      <c r="J383" s="72" t="n"/>
      <c r="K383" s="73" t="n"/>
      <c r="L383" s="68" t="n"/>
      <c r="M383" s="74" t="str">
        <f>IF(AND(A383="",B383="",D383=""),"",MAX(N(J383),IF(A383="",0,SUMPRODUCT(MAX((in_plan=A383)*in_prev*in_dnum)))))</f>
        <v/>
      </c>
      <c r="N383" s="75" t="str">
        <f>IF(AND(A383="",B383="",D383=""),"",MAX(N(K383),IF(A383="",0,SUMPRODUCT(MAX((in_plan=A383)*in_prev*in_cnum)))))</f>
        <v/>
      </c>
      <c r="O383" s="76" t="str">
        <f>IF(AND(OR(E383="Calendrier",E383="Au premier des deux"),N(F383)&gt;0,IF(N(M383)&gt;0,M383,IFERROR(N(INDEX(eq_start,MATCH(B383,eq_code,0))),0))&gt;0),IF(N(M383)&gt;0,M383,IFERROR(N(INDEX(eq_start,MATCH(B383,eq_code,0))),0))+F383,"")</f>
        <v/>
      </c>
      <c r="P383" s="75" t="str">
        <f>IF(AND(OR(E383="Compteur",E383="Au premier des deux"),N(G383)&gt;0),N(N383)+G383,"")</f>
        <v/>
      </c>
      <c r="Q383" s="75" t="str">
        <f>IF(B383="","",IFERROR(N(INDEX(eq_cnt,MATCH(B383,eq_code,0))),""))</f>
        <v/>
      </c>
      <c r="R383" s="77" t="str">
        <f>IF(ISNUMBER(O383),O383-p_today,"")</f>
        <v/>
      </c>
      <c r="S383" s="78" t="str">
        <f>IF(AND(ISNUMBER(P383),N(Q383)&gt;0),P383-Q383,"")</f>
        <v/>
      </c>
      <c r="T383" s="76" t="str">
        <f>IF(AND(ISNUMBER(O383),ISNUMBER(X383)),MIN(O383,X383),IF(ISNUMBER(O383),O383,X383))</f>
        <v/>
      </c>
      <c r="U383" s="79" t="str">
        <f>IF(AND(A383="",B383="",D383=""),"",IF(L383="Non","Inactif",IF(AND(NOT(ISNUMBER(R383)),NOT(ISNUMBER(S383))),"À compléter",IF(OR(AND(ISNUMBER(R383),N(R383)&lt;0),AND(ISNUMBER(S383),N(S383)&lt;0)),"En retard",IF(OR(AND(ISNUMBER(R383),N(R383)&lt;=p_soon),AND(ISNUMBER(S383),N(S383)&lt;=p_soon_pct*N(G383))),"Bientôt","À jour")))))</f>
        <v/>
      </c>
      <c r="V383" s="79" t="str">
        <f>IF(AND(A383="",B383="",D383=""),"",IF(A383="","N° de plan manquant",IF(COUNTIF($A$6:$A$505,A383)&gt;1,"N° de plan en double",IF(B383="","Équipement manquant",IF(ISNA(MATCH(B383,eq_code,0)),"Équipement inconnu",IF(D383="","Tâche manquante",IF(E383="","Déclenchement manquant",IF(AND(E383&lt;&gt;"Calendrier",E383&lt;&gt;"Compteur",E383&lt;&gt;"Au premier des deux"),"Déclenchement inconnu",IF(AND(E383&lt;&gt;"Compteur",OR(NOT(ISNUMBER(F383)),N(F383)&lt;=0)),"Périodicité en jours manquante",IF(AND(E383&lt;&gt;"Calendrier",OR(NOT(ISNUMBER(G383)),N(G383)&lt;=0)),"Périodicité compteur manquante",IF(AND(J383&lt;&gt;"",OR(NOT(ISNUMBER(J383)),N(J383)&lt;=0)),"Date de réalisation invalide",IF(AND(K383&lt;&gt;"",OR(NOT(ISNUMBER(K383)),N(K383)&lt;0)),"Compteur de réalisation invalide",IF(AND(E383&lt;&gt;"Compteur",N(M383)=0,IFERROR(N(INDEX(eq_start,MATCH(B383,eq_code,0))),0)=0),"Date de départ manquante",IF(AND(E383&lt;&gt;"Calendrier",K383="",N(N383)=0),"Compteur de départ manquant",IF(AND(E383&lt;&gt;"Calendrier",N(Q383)=0),"Relevé compteur manquant (Équipements)",IF(AND(I383&lt;&gt;"",ISNA(MATCH(I383,tech_name,0))),"Technicien inconnu",IF(AND(L383&lt;&gt;"",L383&lt;&gt;"Oui",L383&lt;&gt;"Non"),"Actif : Oui ou Non","OK")))))))))))))))))</f>
        <v/>
      </c>
      <c r="W383" s="67">
        <f>IFERROR(N(INDEX(eq_use,MATCH(B383,eq_code,0))),0)</f>
        <v>0.0</v>
      </c>
      <c r="X383" s="67" t="str">
        <f>IF(AND(ISNUMBER(S383),W383&gt;0),p_today+MAX(0,ROUNDUP(S383*7/W383,0)),"")</f>
        <v/>
      </c>
      <c r="Y383" s="67" t="str">
        <f>IF(AND(ISNUMBER(T383),OR(U383="En retard",U383="Bientôt",U383="À jour")),IF(AND(ISNUMBER(O383),ISNUMBER(X383)),MIN(F383,G383*7/W383),IF(ISNUMBER(O383),F383,G383*7/W383)),"")</f>
        <v/>
      </c>
      <c r="Z383" s="67" t="str">
        <f>IF(OR(U383="En retard",U383="Bientôt"),IF(U383="En retard",0,1)*1000000000+IF(AB383="A",0,IF(AB383="B",1,IF(AB383="C",2,3)))*100000000+IF(ISNUMBER(T383),T383,p_today)*1000+ROW()-5,"")</f>
        <v/>
      </c>
      <c r="AA383" s="67" t="str">
        <f>IF(Z383="","",COUNTIF($Z$6:$Z$505,"&lt;"&amp;Z383)+1)</f>
        <v/>
      </c>
      <c r="AB383" s="67" t="str">
        <f>IFERROR(INDEX(eq_crit,MATCH(B383,eq_code,0))&amp;"","")</f>
        <v/>
      </c>
    </row>
    <row r="384">
      <c r="A384" s="65" t="n"/>
      <c r="B384" s="66" t="n"/>
      <c r="C384" s="67" t="str">
        <f>IF(B384="","",IFERROR(INDEX(eq_des,MATCH(B384,eq_code,0))&amp;"","Équipement inconnu"))</f>
        <v/>
      </c>
      <c r="D384" s="66" t="n"/>
      <c r="E384" s="68" t="n"/>
      <c r="F384" s="69" t="n"/>
      <c r="G384" s="70" t="n"/>
      <c r="H384" s="71" t="n"/>
      <c r="I384" s="66" t="n"/>
      <c r="J384" s="72" t="n"/>
      <c r="K384" s="73" t="n"/>
      <c r="L384" s="68" t="n"/>
      <c r="M384" s="74" t="str">
        <f>IF(AND(A384="",B384="",D384=""),"",MAX(N(J384),IF(A384="",0,SUMPRODUCT(MAX((in_plan=A384)*in_prev*in_dnum)))))</f>
        <v/>
      </c>
      <c r="N384" s="75" t="str">
        <f>IF(AND(A384="",B384="",D384=""),"",MAX(N(K384),IF(A384="",0,SUMPRODUCT(MAX((in_plan=A384)*in_prev*in_cnum)))))</f>
        <v/>
      </c>
      <c r="O384" s="76" t="str">
        <f>IF(AND(OR(E384="Calendrier",E384="Au premier des deux"),N(F384)&gt;0,IF(N(M384)&gt;0,M384,IFERROR(N(INDEX(eq_start,MATCH(B384,eq_code,0))),0))&gt;0),IF(N(M384)&gt;0,M384,IFERROR(N(INDEX(eq_start,MATCH(B384,eq_code,0))),0))+F384,"")</f>
        <v/>
      </c>
      <c r="P384" s="75" t="str">
        <f>IF(AND(OR(E384="Compteur",E384="Au premier des deux"),N(G384)&gt;0),N(N384)+G384,"")</f>
        <v/>
      </c>
      <c r="Q384" s="75" t="str">
        <f>IF(B384="","",IFERROR(N(INDEX(eq_cnt,MATCH(B384,eq_code,0))),""))</f>
        <v/>
      </c>
      <c r="R384" s="77" t="str">
        <f>IF(ISNUMBER(O384),O384-p_today,"")</f>
        <v/>
      </c>
      <c r="S384" s="78" t="str">
        <f>IF(AND(ISNUMBER(P384),N(Q384)&gt;0),P384-Q384,"")</f>
        <v/>
      </c>
      <c r="T384" s="76" t="str">
        <f>IF(AND(ISNUMBER(O384),ISNUMBER(X384)),MIN(O384,X384),IF(ISNUMBER(O384),O384,X384))</f>
        <v/>
      </c>
      <c r="U384" s="79" t="str">
        <f>IF(AND(A384="",B384="",D384=""),"",IF(L384="Non","Inactif",IF(AND(NOT(ISNUMBER(R384)),NOT(ISNUMBER(S384))),"À compléter",IF(OR(AND(ISNUMBER(R384),N(R384)&lt;0),AND(ISNUMBER(S384),N(S384)&lt;0)),"En retard",IF(OR(AND(ISNUMBER(R384),N(R384)&lt;=p_soon),AND(ISNUMBER(S384),N(S384)&lt;=p_soon_pct*N(G384))),"Bientôt","À jour")))))</f>
        <v/>
      </c>
      <c r="V384" s="79" t="str">
        <f>IF(AND(A384="",B384="",D384=""),"",IF(A384="","N° de plan manquant",IF(COUNTIF($A$6:$A$505,A384)&gt;1,"N° de plan en double",IF(B384="","Équipement manquant",IF(ISNA(MATCH(B384,eq_code,0)),"Équipement inconnu",IF(D384="","Tâche manquante",IF(E384="","Déclenchement manquant",IF(AND(E384&lt;&gt;"Calendrier",E384&lt;&gt;"Compteur",E384&lt;&gt;"Au premier des deux"),"Déclenchement inconnu",IF(AND(E384&lt;&gt;"Compteur",OR(NOT(ISNUMBER(F384)),N(F384)&lt;=0)),"Périodicité en jours manquante",IF(AND(E384&lt;&gt;"Calendrier",OR(NOT(ISNUMBER(G384)),N(G384)&lt;=0)),"Périodicité compteur manquante",IF(AND(J384&lt;&gt;"",OR(NOT(ISNUMBER(J384)),N(J384)&lt;=0)),"Date de réalisation invalide",IF(AND(K384&lt;&gt;"",OR(NOT(ISNUMBER(K384)),N(K384)&lt;0)),"Compteur de réalisation invalide",IF(AND(E384&lt;&gt;"Compteur",N(M384)=0,IFERROR(N(INDEX(eq_start,MATCH(B384,eq_code,0))),0)=0),"Date de départ manquante",IF(AND(E384&lt;&gt;"Calendrier",K384="",N(N384)=0),"Compteur de départ manquant",IF(AND(E384&lt;&gt;"Calendrier",N(Q384)=0),"Relevé compteur manquant (Équipements)",IF(AND(I384&lt;&gt;"",ISNA(MATCH(I384,tech_name,0))),"Technicien inconnu",IF(AND(L384&lt;&gt;"",L384&lt;&gt;"Oui",L384&lt;&gt;"Non"),"Actif : Oui ou Non","OK")))))))))))))))))</f>
        <v/>
      </c>
      <c r="W384" s="67">
        <f>IFERROR(N(INDEX(eq_use,MATCH(B384,eq_code,0))),0)</f>
        <v>0.0</v>
      </c>
      <c r="X384" s="67" t="str">
        <f>IF(AND(ISNUMBER(S384),W384&gt;0),p_today+MAX(0,ROUNDUP(S384*7/W384,0)),"")</f>
        <v/>
      </c>
      <c r="Y384" s="67" t="str">
        <f>IF(AND(ISNUMBER(T384),OR(U384="En retard",U384="Bientôt",U384="À jour")),IF(AND(ISNUMBER(O384),ISNUMBER(X384)),MIN(F384,G384*7/W384),IF(ISNUMBER(O384),F384,G384*7/W384)),"")</f>
        <v/>
      </c>
      <c r="Z384" s="67" t="str">
        <f>IF(OR(U384="En retard",U384="Bientôt"),IF(U384="En retard",0,1)*1000000000+IF(AB384="A",0,IF(AB384="B",1,IF(AB384="C",2,3)))*100000000+IF(ISNUMBER(T384),T384,p_today)*1000+ROW()-5,"")</f>
        <v/>
      </c>
      <c r="AA384" s="67" t="str">
        <f>IF(Z384="","",COUNTIF($Z$6:$Z$505,"&lt;"&amp;Z384)+1)</f>
        <v/>
      </c>
      <c r="AB384" s="67" t="str">
        <f>IFERROR(INDEX(eq_crit,MATCH(B384,eq_code,0))&amp;"","")</f>
        <v/>
      </c>
    </row>
    <row r="385">
      <c r="A385" s="65" t="n"/>
      <c r="B385" s="66" t="n"/>
      <c r="C385" s="67" t="str">
        <f>IF(B385="","",IFERROR(INDEX(eq_des,MATCH(B385,eq_code,0))&amp;"","Équipement inconnu"))</f>
        <v/>
      </c>
      <c r="D385" s="66" t="n"/>
      <c r="E385" s="68" t="n"/>
      <c r="F385" s="69" t="n"/>
      <c r="G385" s="70" t="n"/>
      <c r="H385" s="71" t="n"/>
      <c r="I385" s="66" t="n"/>
      <c r="J385" s="72" t="n"/>
      <c r="K385" s="73" t="n"/>
      <c r="L385" s="68" t="n"/>
      <c r="M385" s="74" t="str">
        <f>IF(AND(A385="",B385="",D385=""),"",MAX(N(J385),IF(A385="",0,SUMPRODUCT(MAX((in_plan=A385)*in_prev*in_dnum)))))</f>
        <v/>
      </c>
      <c r="N385" s="75" t="str">
        <f>IF(AND(A385="",B385="",D385=""),"",MAX(N(K385),IF(A385="",0,SUMPRODUCT(MAX((in_plan=A385)*in_prev*in_cnum)))))</f>
        <v/>
      </c>
      <c r="O385" s="76" t="str">
        <f>IF(AND(OR(E385="Calendrier",E385="Au premier des deux"),N(F385)&gt;0,IF(N(M385)&gt;0,M385,IFERROR(N(INDEX(eq_start,MATCH(B385,eq_code,0))),0))&gt;0),IF(N(M385)&gt;0,M385,IFERROR(N(INDEX(eq_start,MATCH(B385,eq_code,0))),0))+F385,"")</f>
        <v/>
      </c>
      <c r="P385" s="75" t="str">
        <f>IF(AND(OR(E385="Compteur",E385="Au premier des deux"),N(G385)&gt;0),N(N385)+G385,"")</f>
        <v/>
      </c>
      <c r="Q385" s="75" t="str">
        <f>IF(B385="","",IFERROR(N(INDEX(eq_cnt,MATCH(B385,eq_code,0))),""))</f>
        <v/>
      </c>
      <c r="R385" s="77" t="str">
        <f>IF(ISNUMBER(O385),O385-p_today,"")</f>
        <v/>
      </c>
      <c r="S385" s="78" t="str">
        <f>IF(AND(ISNUMBER(P385),N(Q385)&gt;0),P385-Q385,"")</f>
        <v/>
      </c>
      <c r="T385" s="76" t="str">
        <f>IF(AND(ISNUMBER(O385),ISNUMBER(X385)),MIN(O385,X385),IF(ISNUMBER(O385),O385,X385))</f>
        <v/>
      </c>
      <c r="U385" s="79" t="str">
        <f>IF(AND(A385="",B385="",D385=""),"",IF(L385="Non","Inactif",IF(AND(NOT(ISNUMBER(R385)),NOT(ISNUMBER(S385))),"À compléter",IF(OR(AND(ISNUMBER(R385),N(R385)&lt;0),AND(ISNUMBER(S385),N(S385)&lt;0)),"En retard",IF(OR(AND(ISNUMBER(R385),N(R385)&lt;=p_soon),AND(ISNUMBER(S385),N(S385)&lt;=p_soon_pct*N(G385))),"Bientôt","À jour")))))</f>
        <v/>
      </c>
      <c r="V385" s="79" t="str">
        <f>IF(AND(A385="",B385="",D385=""),"",IF(A385="","N° de plan manquant",IF(COUNTIF($A$6:$A$505,A385)&gt;1,"N° de plan en double",IF(B385="","Équipement manquant",IF(ISNA(MATCH(B385,eq_code,0)),"Équipement inconnu",IF(D385="","Tâche manquante",IF(E385="","Déclenchement manquant",IF(AND(E385&lt;&gt;"Calendrier",E385&lt;&gt;"Compteur",E385&lt;&gt;"Au premier des deux"),"Déclenchement inconnu",IF(AND(E385&lt;&gt;"Compteur",OR(NOT(ISNUMBER(F385)),N(F385)&lt;=0)),"Périodicité en jours manquante",IF(AND(E385&lt;&gt;"Calendrier",OR(NOT(ISNUMBER(G385)),N(G385)&lt;=0)),"Périodicité compteur manquante",IF(AND(J385&lt;&gt;"",OR(NOT(ISNUMBER(J385)),N(J385)&lt;=0)),"Date de réalisation invalide",IF(AND(K385&lt;&gt;"",OR(NOT(ISNUMBER(K385)),N(K385)&lt;0)),"Compteur de réalisation invalide",IF(AND(E385&lt;&gt;"Compteur",N(M385)=0,IFERROR(N(INDEX(eq_start,MATCH(B385,eq_code,0))),0)=0),"Date de départ manquante",IF(AND(E385&lt;&gt;"Calendrier",K385="",N(N385)=0),"Compteur de départ manquant",IF(AND(E385&lt;&gt;"Calendrier",N(Q385)=0),"Relevé compteur manquant (Équipements)",IF(AND(I385&lt;&gt;"",ISNA(MATCH(I385,tech_name,0))),"Technicien inconnu",IF(AND(L385&lt;&gt;"",L385&lt;&gt;"Oui",L385&lt;&gt;"Non"),"Actif : Oui ou Non","OK")))))))))))))))))</f>
        <v/>
      </c>
      <c r="W385" s="67">
        <f>IFERROR(N(INDEX(eq_use,MATCH(B385,eq_code,0))),0)</f>
        <v>0.0</v>
      </c>
      <c r="X385" s="67" t="str">
        <f>IF(AND(ISNUMBER(S385),W385&gt;0),p_today+MAX(0,ROUNDUP(S385*7/W385,0)),"")</f>
        <v/>
      </c>
      <c r="Y385" s="67" t="str">
        <f>IF(AND(ISNUMBER(T385),OR(U385="En retard",U385="Bientôt",U385="À jour")),IF(AND(ISNUMBER(O385),ISNUMBER(X385)),MIN(F385,G385*7/W385),IF(ISNUMBER(O385),F385,G385*7/W385)),"")</f>
        <v/>
      </c>
      <c r="Z385" s="67" t="str">
        <f>IF(OR(U385="En retard",U385="Bientôt"),IF(U385="En retard",0,1)*1000000000+IF(AB385="A",0,IF(AB385="B",1,IF(AB385="C",2,3)))*100000000+IF(ISNUMBER(T385),T385,p_today)*1000+ROW()-5,"")</f>
        <v/>
      </c>
      <c r="AA385" s="67" t="str">
        <f>IF(Z385="","",COUNTIF($Z$6:$Z$505,"&lt;"&amp;Z385)+1)</f>
        <v/>
      </c>
      <c r="AB385" s="67" t="str">
        <f>IFERROR(INDEX(eq_crit,MATCH(B385,eq_code,0))&amp;"","")</f>
        <v/>
      </c>
    </row>
    <row r="386">
      <c r="A386" s="65" t="n"/>
      <c r="B386" s="66" t="n"/>
      <c r="C386" s="67" t="str">
        <f>IF(B386="","",IFERROR(INDEX(eq_des,MATCH(B386,eq_code,0))&amp;"","Équipement inconnu"))</f>
        <v/>
      </c>
      <c r="D386" s="66" t="n"/>
      <c r="E386" s="68" t="n"/>
      <c r="F386" s="69" t="n"/>
      <c r="G386" s="70" t="n"/>
      <c r="H386" s="71" t="n"/>
      <c r="I386" s="66" t="n"/>
      <c r="J386" s="72" t="n"/>
      <c r="K386" s="73" t="n"/>
      <c r="L386" s="68" t="n"/>
      <c r="M386" s="74" t="str">
        <f>IF(AND(A386="",B386="",D386=""),"",MAX(N(J386),IF(A386="",0,SUMPRODUCT(MAX((in_plan=A386)*in_prev*in_dnum)))))</f>
        <v/>
      </c>
      <c r="N386" s="75" t="str">
        <f>IF(AND(A386="",B386="",D386=""),"",MAX(N(K386),IF(A386="",0,SUMPRODUCT(MAX((in_plan=A386)*in_prev*in_cnum)))))</f>
        <v/>
      </c>
      <c r="O386" s="76" t="str">
        <f>IF(AND(OR(E386="Calendrier",E386="Au premier des deux"),N(F386)&gt;0,IF(N(M386)&gt;0,M386,IFERROR(N(INDEX(eq_start,MATCH(B386,eq_code,0))),0))&gt;0),IF(N(M386)&gt;0,M386,IFERROR(N(INDEX(eq_start,MATCH(B386,eq_code,0))),0))+F386,"")</f>
        <v/>
      </c>
      <c r="P386" s="75" t="str">
        <f>IF(AND(OR(E386="Compteur",E386="Au premier des deux"),N(G386)&gt;0),N(N386)+G386,"")</f>
        <v/>
      </c>
      <c r="Q386" s="75" t="str">
        <f>IF(B386="","",IFERROR(N(INDEX(eq_cnt,MATCH(B386,eq_code,0))),""))</f>
        <v/>
      </c>
      <c r="R386" s="77" t="str">
        <f>IF(ISNUMBER(O386),O386-p_today,"")</f>
        <v/>
      </c>
      <c r="S386" s="78" t="str">
        <f>IF(AND(ISNUMBER(P386),N(Q386)&gt;0),P386-Q386,"")</f>
        <v/>
      </c>
      <c r="T386" s="76" t="str">
        <f>IF(AND(ISNUMBER(O386),ISNUMBER(X386)),MIN(O386,X386),IF(ISNUMBER(O386),O386,X386))</f>
        <v/>
      </c>
      <c r="U386" s="79" t="str">
        <f>IF(AND(A386="",B386="",D386=""),"",IF(L386="Non","Inactif",IF(AND(NOT(ISNUMBER(R386)),NOT(ISNUMBER(S386))),"À compléter",IF(OR(AND(ISNUMBER(R386),N(R386)&lt;0),AND(ISNUMBER(S386),N(S386)&lt;0)),"En retard",IF(OR(AND(ISNUMBER(R386),N(R386)&lt;=p_soon),AND(ISNUMBER(S386),N(S386)&lt;=p_soon_pct*N(G386))),"Bientôt","À jour")))))</f>
        <v/>
      </c>
      <c r="V386" s="79" t="str">
        <f>IF(AND(A386="",B386="",D386=""),"",IF(A386="","N° de plan manquant",IF(COUNTIF($A$6:$A$505,A386)&gt;1,"N° de plan en double",IF(B386="","Équipement manquant",IF(ISNA(MATCH(B386,eq_code,0)),"Équipement inconnu",IF(D386="","Tâche manquante",IF(E386="","Déclenchement manquant",IF(AND(E386&lt;&gt;"Calendrier",E386&lt;&gt;"Compteur",E386&lt;&gt;"Au premier des deux"),"Déclenchement inconnu",IF(AND(E386&lt;&gt;"Compteur",OR(NOT(ISNUMBER(F386)),N(F386)&lt;=0)),"Périodicité en jours manquante",IF(AND(E386&lt;&gt;"Calendrier",OR(NOT(ISNUMBER(G386)),N(G386)&lt;=0)),"Périodicité compteur manquante",IF(AND(J386&lt;&gt;"",OR(NOT(ISNUMBER(J386)),N(J386)&lt;=0)),"Date de réalisation invalide",IF(AND(K386&lt;&gt;"",OR(NOT(ISNUMBER(K386)),N(K386)&lt;0)),"Compteur de réalisation invalide",IF(AND(E386&lt;&gt;"Compteur",N(M386)=0,IFERROR(N(INDEX(eq_start,MATCH(B386,eq_code,0))),0)=0),"Date de départ manquante",IF(AND(E386&lt;&gt;"Calendrier",K386="",N(N386)=0),"Compteur de départ manquant",IF(AND(E386&lt;&gt;"Calendrier",N(Q386)=0),"Relevé compteur manquant (Équipements)",IF(AND(I386&lt;&gt;"",ISNA(MATCH(I386,tech_name,0))),"Technicien inconnu",IF(AND(L386&lt;&gt;"",L386&lt;&gt;"Oui",L386&lt;&gt;"Non"),"Actif : Oui ou Non","OK")))))))))))))))))</f>
        <v/>
      </c>
      <c r="W386" s="67">
        <f>IFERROR(N(INDEX(eq_use,MATCH(B386,eq_code,0))),0)</f>
        <v>0.0</v>
      </c>
      <c r="X386" s="67" t="str">
        <f>IF(AND(ISNUMBER(S386),W386&gt;0),p_today+MAX(0,ROUNDUP(S386*7/W386,0)),"")</f>
        <v/>
      </c>
      <c r="Y386" s="67" t="str">
        <f>IF(AND(ISNUMBER(T386),OR(U386="En retard",U386="Bientôt",U386="À jour")),IF(AND(ISNUMBER(O386),ISNUMBER(X386)),MIN(F386,G386*7/W386),IF(ISNUMBER(O386),F386,G386*7/W386)),"")</f>
        <v/>
      </c>
      <c r="Z386" s="67" t="str">
        <f>IF(OR(U386="En retard",U386="Bientôt"),IF(U386="En retard",0,1)*1000000000+IF(AB386="A",0,IF(AB386="B",1,IF(AB386="C",2,3)))*100000000+IF(ISNUMBER(T386),T386,p_today)*1000+ROW()-5,"")</f>
        <v/>
      </c>
      <c r="AA386" s="67" t="str">
        <f>IF(Z386="","",COUNTIF($Z$6:$Z$505,"&lt;"&amp;Z386)+1)</f>
        <v/>
      </c>
      <c r="AB386" s="67" t="str">
        <f>IFERROR(INDEX(eq_crit,MATCH(B386,eq_code,0))&amp;"","")</f>
        <v/>
      </c>
    </row>
    <row r="387">
      <c r="A387" s="65" t="n"/>
      <c r="B387" s="66" t="n"/>
      <c r="C387" s="67" t="str">
        <f>IF(B387="","",IFERROR(INDEX(eq_des,MATCH(B387,eq_code,0))&amp;"","Équipement inconnu"))</f>
        <v/>
      </c>
      <c r="D387" s="66" t="n"/>
      <c r="E387" s="68" t="n"/>
      <c r="F387" s="69" t="n"/>
      <c r="G387" s="70" t="n"/>
      <c r="H387" s="71" t="n"/>
      <c r="I387" s="66" t="n"/>
      <c r="J387" s="72" t="n"/>
      <c r="K387" s="73" t="n"/>
      <c r="L387" s="68" t="n"/>
      <c r="M387" s="74" t="str">
        <f>IF(AND(A387="",B387="",D387=""),"",MAX(N(J387),IF(A387="",0,SUMPRODUCT(MAX((in_plan=A387)*in_prev*in_dnum)))))</f>
        <v/>
      </c>
      <c r="N387" s="75" t="str">
        <f>IF(AND(A387="",B387="",D387=""),"",MAX(N(K387),IF(A387="",0,SUMPRODUCT(MAX((in_plan=A387)*in_prev*in_cnum)))))</f>
        <v/>
      </c>
      <c r="O387" s="76" t="str">
        <f>IF(AND(OR(E387="Calendrier",E387="Au premier des deux"),N(F387)&gt;0,IF(N(M387)&gt;0,M387,IFERROR(N(INDEX(eq_start,MATCH(B387,eq_code,0))),0))&gt;0),IF(N(M387)&gt;0,M387,IFERROR(N(INDEX(eq_start,MATCH(B387,eq_code,0))),0))+F387,"")</f>
        <v/>
      </c>
      <c r="P387" s="75" t="str">
        <f>IF(AND(OR(E387="Compteur",E387="Au premier des deux"),N(G387)&gt;0),N(N387)+G387,"")</f>
        <v/>
      </c>
      <c r="Q387" s="75" t="str">
        <f>IF(B387="","",IFERROR(N(INDEX(eq_cnt,MATCH(B387,eq_code,0))),""))</f>
        <v/>
      </c>
      <c r="R387" s="77" t="str">
        <f>IF(ISNUMBER(O387),O387-p_today,"")</f>
        <v/>
      </c>
      <c r="S387" s="78" t="str">
        <f>IF(AND(ISNUMBER(P387),N(Q387)&gt;0),P387-Q387,"")</f>
        <v/>
      </c>
      <c r="T387" s="76" t="str">
        <f>IF(AND(ISNUMBER(O387),ISNUMBER(X387)),MIN(O387,X387),IF(ISNUMBER(O387),O387,X387))</f>
        <v/>
      </c>
      <c r="U387" s="79" t="str">
        <f>IF(AND(A387="",B387="",D387=""),"",IF(L387="Non","Inactif",IF(AND(NOT(ISNUMBER(R387)),NOT(ISNUMBER(S387))),"À compléter",IF(OR(AND(ISNUMBER(R387),N(R387)&lt;0),AND(ISNUMBER(S387),N(S387)&lt;0)),"En retard",IF(OR(AND(ISNUMBER(R387),N(R387)&lt;=p_soon),AND(ISNUMBER(S387),N(S387)&lt;=p_soon_pct*N(G387))),"Bientôt","À jour")))))</f>
        <v/>
      </c>
      <c r="V387" s="79" t="str">
        <f>IF(AND(A387="",B387="",D387=""),"",IF(A387="","N° de plan manquant",IF(COUNTIF($A$6:$A$505,A387)&gt;1,"N° de plan en double",IF(B387="","Équipement manquant",IF(ISNA(MATCH(B387,eq_code,0)),"Équipement inconnu",IF(D387="","Tâche manquante",IF(E387="","Déclenchement manquant",IF(AND(E387&lt;&gt;"Calendrier",E387&lt;&gt;"Compteur",E387&lt;&gt;"Au premier des deux"),"Déclenchement inconnu",IF(AND(E387&lt;&gt;"Compteur",OR(NOT(ISNUMBER(F387)),N(F387)&lt;=0)),"Périodicité en jours manquante",IF(AND(E387&lt;&gt;"Calendrier",OR(NOT(ISNUMBER(G387)),N(G387)&lt;=0)),"Périodicité compteur manquante",IF(AND(J387&lt;&gt;"",OR(NOT(ISNUMBER(J387)),N(J387)&lt;=0)),"Date de réalisation invalide",IF(AND(K387&lt;&gt;"",OR(NOT(ISNUMBER(K387)),N(K387)&lt;0)),"Compteur de réalisation invalide",IF(AND(E387&lt;&gt;"Compteur",N(M387)=0,IFERROR(N(INDEX(eq_start,MATCH(B387,eq_code,0))),0)=0),"Date de départ manquante",IF(AND(E387&lt;&gt;"Calendrier",K387="",N(N387)=0),"Compteur de départ manquant",IF(AND(E387&lt;&gt;"Calendrier",N(Q387)=0),"Relevé compteur manquant (Équipements)",IF(AND(I387&lt;&gt;"",ISNA(MATCH(I387,tech_name,0))),"Technicien inconnu",IF(AND(L387&lt;&gt;"",L387&lt;&gt;"Oui",L387&lt;&gt;"Non"),"Actif : Oui ou Non","OK")))))))))))))))))</f>
        <v/>
      </c>
      <c r="W387" s="67">
        <f>IFERROR(N(INDEX(eq_use,MATCH(B387,eq_code,0))),0)</f>
        <v>0.0</v>
      </c>
      <c r="X387" s="67" t="str">
        <f>IF(AND(ISNUMBER(S387),W387&gt;0),p_today+MAX(0,ROUNDUP(S387*7/W387,0)),"")</f>
        <v/>
      </c>
      <c r="Y387" s="67" t="str">
        <f>IF(AND(ISNUMBER(T387),OR(U387="En retard",U387="Bientôt",U387="À jour")),IF(AND(ISNUMBER(O387),ISNUMBER(X387)),MIN(F387,G387*7/W387),IF(ISNUMBER(O387),F387,G387*7/W387)),"")</f>
        <v/>
      </c>
      <c r="Z387" s="67" t="str">
        <f>IF(OR(U387="En retard",U387="Bientôt"),IF(U387="En retard",0,1)*1000000000+IF(AB387="A",0,IF(AB387="B",1,IF(AB387="C",2,3)))*100000000+IF(ISNUMBER(T387),T387,p_today)*1000+ROW()-5,"")</f>
        <v/>
      </c>
      <c r="AA387" s="67" t="str">
        <f>IF(Z387="","",COUNTIF($Z$6:$Z$505,"&lt;"&amp;Z387)+1)</f>
        <v/>
      </c>
      <c r="AB387" s="67" t="str">
        <f>IFERROR(INDEX(eq_crit,MATCH(B387,eq_code,0))&amp;"","")</f>
        <v/>
      </c>
    </row>
    <row r="388">
      <c r="A388" s="65" t="n"/>
      <c r="B388" s="66" t="n"/>
      <c r="C388" s="67" t="str">
        <f>IF(B388="","",IFERROR(INDEX(eq_des,MATCH(B388,eq_code,0))&amp;"","Équipement inconnu"))</f>
        <v/>
      </c>
      <c r="D388" s="66" t="n"/>
      <c r="E388" s="68" t="n"/>
      <c r="F388" s="69" t="n"/>
      <c r="G388" s="70" t="n"/>
      <c r="H388" s="71" t="n"/>
      <c r="I388" s="66" t="n"/>
      <c r="J388" s="72" t="n"/>
      <c r="K388" s="73" t="n"/>
      <c r="L388" s="68" t="n"/>
      <c r="M388" s="74" t="str">
        <f>IF(AND(A388="",B388="",D388=""),"",MAX(N(J388),IF(A388="",0,SUMPRODUCT(MAX((in_plan=A388)*in_prev*in_dnum)))))</f>
        <v/>
      </c>
      <c r="N388" s="75" t="str">
        <f>IF(AND(A388="",B388="",D388=""),"",MAX(N(K388),IF(A388="",0,SUMPRODUCT(MAX((in_plan=A388)*in_prev*in_cnum)))))</f>
        <v/>
      </c>
      <c r="O388" s="76" t="str">
        <f>IF(AND(OR(E388="Calendrier",E388="Au premier des deux"),N(F388)&gt;0,IF(N(M388)&gt;0,M388,IFERROR(N(INDEX(eq_start,MATCH(B388,eq_code,0))),0))&gt;0),IF(N(M388)&gt;0,M388,IFERROR(N(INDEX(eq_start,MATCH(B388,eq_code,0))),0))+F388,"")</f>
        <v/>
      </c>
      <c r="P388" s="75" t="str">
        <f>IF(AND(OR(E388="Compteur",E388="Au premier des deux"),N(G388)&gt;0),N(N388)+G388,"")</f>
        <v/>
      </c>
      <c r="Q388" s="75" t="str">
        <f>IF(B388="","",IFERROR(N(INDEX(eq_cnt,MATCH(B388,eq_code,0))),""))</f>
        <v/>
      </c>
      <c r="R388" s="77" t="str">
        <f>IF(ISNUMBER(O388),O388-p_today,"")</f>
        <v/>
      </c>
      <c r="S388" s="78" t="str">
        <f>IF(AND(ISNUMBER(P388),N(Q388)&gt;0),P388-Q388,"")</f>
        <v/>
      </c>
      <c r="T388" s="76" t="str">
        <f>IF(AND(ISNUMBER(O388),ISNUMBER(X388)),MIN(O388,X388),IF(ISNUMBER(O388),O388,X388))</f>
        <v/>
      </c>
      <c r="U388" s="79" t="str">
        <f>IF(AND(A388="",B388="",D388=""),"",IF(L388="Non","Inactif",IF(AND(NOT(ISNUMBER(R388)),NOT(ISNUMBER(S388))),"À compléter",IF(OR(AND(ISNUMBER(R388),N(R388)&lt;0),AND(ISNUMBER(S388),N(S388)&lt;0)),"En retard",IF(OR(AND(ISNUMBER(R388),N(R388)&lt;=p_soon),AND(ISNUMBER(S388),N(S388)&lt;=p_soon_pct*N(G388))),"Bientôt","À jour")))))</f>
        <v/>
      </c>
      <c r="V388" s="79" t="str">
        <f>IF(AND(A388="",B388="",D388=""),"",IF(A388="","N° de plan manquant",IF(COUNTIF($A$6:$A$505,A388)&gt;1,"N° de plan en double",IF(B388="","Équipement manquant",IF(ISNA(MATCH(B388,eq_code,0)),"Équipement inconnu",IF(D388="","Tâche manquante",IF(E388="","Déclenchement manquant",IF(AND(E388&lt;&gt;"Calendrier",E388&lt;&gt;"Compteur",E388&lt;&gt;"Au premier des deux"),"Déclenchement inconnu",IF(AND(E388&lt;&gt;"Compteur",OR(NOT(ISNUMBER(F388)),N(F388)&lt;=0)),"Périodicité en jours manquante",IF(AND(E388&lt;&gt;"Calendrier",OR(NOT(ISNUMBER(G388)),N(G388)&lt;=0)),"Périodicité compteur manquante",IF(AND(J388&lt;&gt;"",OR(NOT(ISNUMBER(J388)),N(J388)&lt;=0)),"Date de réalisation invalide",IF(AND(K388&lt;&gt;"",OR(NOT(ISNUMBER(K388)),N(K388)&lt;0)),"Compteur de réalisation invalide",IF(AND(E388&lt;&gt;"Compteur",N(M388)=0,IFERROR(N(INDEX(eq_start,MATCH(B388,eq_code,0))),0)=0),"Date de départ manquante",IF(AND(E388&lt;&gt;"Calendrier",K388="",N(N388)=0),"Compteur de départ manquant",IF(AND(E388&lt;&gt;"Calendrier",N(Q388)=0),"Relevé compteur manquant (Équipements)",IF(AND(I388&lt;&gt;"",ISNA(MATCH(I388,tech_name,0))),"Technicien inconnu",IF(AND(L388&lt;&gt;"",L388&lt;&gt;"Oui",L388&lt;&gt;"Non"),"Actif : Oui ou Non","OK")))))))))))))))))</f>
        <v/>
      </c>
      <c r="W388" s="67">
        <f>IFERROR(N(INDEX(eq_use,MATCH(B388,eq_code,0))),0)</f>
        <v>0.0</v>
      </c>
      <c r="X388" s="67" t="str">
        <f>IF(AND(ISNUMBER(S388),W388&gt;0),p_today+MAX(0,ROUNDUP(S388*7/W388,0)),"")</f>
        <v/>
      </c>
      <c r="Y388" s="67" t="str">
        <f>IF(AND(ISNUMBER(T388),OR(U388="En retard",U388="Bientôt",U388="À jour")),IF(AND(ISNUMBER(O388),ISNUMBER(X388)),MIN(F388,G388*7/W388),IF(ISNUMBER(O388),F388,G388*7/W388)),"")</f>
        <v/>
      </c>
      <c r="Z388" s="67" t="str">
        <f>IF(OR(U388="En retard",U388="Bientôt"),IF(U388="En retard",0,1)*1000000000+IF(AB388="A",0,IF(AB388="B",1,IF(AB388="C",2,3)))*100000000+IF(ISNUMBER(T388),T388,p_today)*1000+ROW()-5,"")</f>
        <v/>
      </c>
      <c r="AA388" s="67" t="str">
        <f>IF(Z388="","",COUNTIF($Z$6:$Z$505,"&lt;"&amp;Z388)+1)</f>
        <v/>
      </c>
      <c r="AB388" s="67" t="str">
        <f>IFERROR(INDEX(eq_crit,MATCH(B388,eq_code,0))&amp;"","")</f>
        <v/>
      </c>
    </row>
    <row r="389">
      <c r="A389" s="65" t="n"/>
      <c r="B389" s="66" t="n"/>
      <c r="C389" s="67" t="str">
        <f>IF(B389="","",IFERROR(INDEX(eq_des,MATCH(B389,eq_code,0))&amp;"","Équipement inconnu"))</f>
        <v/>
      </c>
      <c r="D389" s="66" t="n"/>
      <c r="E389" s="68" t="n"/>
      <c r="F389" s="69" t="n"/>
      <c r="G389" s="70" t="n"/>
      <c r="H389" s="71" t="n"/>
      <c r="I389" s="66" t="n"/>
      <c r="J389" s="72" t="n"/>
      <c r="K389" s="73" t="n"/>
      <c r="L389" s="68" t="n"/>
      <c r="M389" s="74" t="str">
        <f>IF(AND(A389="",B389="",D389=""),"",MAX(N(J389),IF(A389="",0,SUMPRODUCT(MAX((in_plan=A389)*in_prev*in_dnum)))))</f>
        <v/>
      </c>
      <c r="N389" s="75" t="str">
        <f>IF(AND(A389="",B389="",D389=""),"",MAX(N(K389),IF(A389="",0,SUMPRODUCT(MAX((in_plan=A389)*in_prev*in_cnum)))))</f>
        <v/>
      </c>
      <c r="O389" s="76" t="str">
        <f>IF(AND(OR(E389="Calendrier",E389="Au premier des deux"),N(F389)&gt;0,IF(N(M389)&gt;0,M389,IFERROR(N(INDEX(eq_start,MATCH(B389,eq_code,0))),0))&gt;0),IF(N(M389)&gt;0,M389,IFERROR(N(INDEX(eq_start,MATCH(B389,eq_code,0))),0))+F389,"")</f>
        <v/>
      </c>
      <c r="P389" s="75" t="str">
        <f>IF(AND(OR(E389="Compteur",E389="Au premier des deux"),N(G389)&gt;0),N(N389)+G389,"")</f>
        <v/>
      </c>
      <c r="Q389" s="75" t="str">
        <f>IF(B389="","",IFERROR(N(INDEX(eq_cnt,MATCH(B389,eq_code,0))),""))</f>
        <v/>
      </c>
      <c r="R389" s="77" t="str">
        <f>IF(ISNUMBER(O389),O389-p_today,"")</f>
        <v/>
      </c>
      <c r="S389" s="78" t="str">
        <f>IF(AND(ISNUMBER(P389),N(Q389)&gt;0),P389-Q389,"")</f>
        <v/>
      </c>
      <c r="T389" s="76" t="str">
        <f>IF(AND(ISNUMBER(O389),ISNUMBER(X389)),MIN(O389,X389),IF(ISNUMBER(O389),O389,X389))</f>
        <v/>
      </c>
      <c r="U389" s="79" t="str">
        <f>IF(AND(A389="",B389="",D389=""),"",IF(L389="Non","Inactif",IF(AND(NOT(ISNUMBER(R389)),NOT(ISNUMBER(S389))),"À compléter",IF(OR(AND(ISNUMBER(R389),N(R389)&lt;0),AND(ISNUMBER(S389),N(S389)&lt;0)),"En retard",IF(OR(AND(ISNUMBER(R389),N(R389)&lt;=p_soon),AND(ISNUMBER(S389),N(S389)&lt;=p_soon_pct*N(G389))),"Bientôt","À jour")))))</f>
        <v/>
      </c>
      <c r="V389" s="79" t="str">
        <f>IF(AND(A389="",B389="",D389=""),"",IF(A389="","N° de plan manquant",IF(COUNTIF($A$6:$A$505,A389)&gt;1,"N° de plan en double",IF(B389="","Équipement manquant",IF(ISNA(MATCH(B389,eq_code,0)),"Équipement inconnu",IF(D389="","Tâche manquante",IF(E389="","Déclenchement manquant",IF(AND(E389&lt;&gt;"Calendrier",E389&lt;&gt;"Compteur",E389&lt;&gt;"Au premier des deux"),"Déclenchement inconnu",IF(AND(E389&lt;&gt;"Compteur",OR(NOT(ISNUMBER(F389)),N(F389)&lt;=0)),"Périodicité en jours manquante",IF(AND(E389&lt;&gt;"Calendrier",OR(NOT(ISNUMBER(G389)),N(G389)&lt;=0)),"Périodicité compteur manquante",IF(AND(J389&lt;&gt;"",OR(NOT(ISNUMBER(J389)),N(J389)&lt;=0)),"Date de réalisation invalide",IF(AND(K389&lt;&gt;"",OR(NOT(ISNUMBER(K389)),N(K389)&lt;0)),"Compteur de réalisation invalide",IF(AND(E389&lt;&gt;"Compteur",N(M389)=0,IFERROR(N(INDEX(eq_start,MATCH(B389,eq_code,0))),0)=0),"Date de départ manquante",IF(AND(E389&lt;&gt;"Calendrier",K389="",N(N389)=0),"Compteur de départ manquant",IF(AND(E389&lt;&gt;"Calendrier",N(Q389)=0),"Relevé compteur manquant (Équipements)",IF(AND(I389&lt;&gt;"",ISNA(MATCH(I389,tech_name,0))),"Technicien inconnu",IF(AND(L389&lt;&gt;"",L389&lt;&gt;"Oui",L389&lt;&gt;"Non"),"Actif : Oui ou Non","OK")))))))))))))))))</f>
        <v/>
      </c>
      <c r="W389" s="67">
        <f>IFERROR(N(INDEX(eq_use,MATCH(B389,eq_code,0))),0)</f>
        <v>0.0</v>
      </c>
      <c r="X389" s="67" t="str">
        <f>IF(AND(ISNUMBER(S389),W389&gt;0),p_today+MAX(0,ROUNDUP(S389*7/W389,0)),"")</f>
        <v/>
      </c>
      <c r="Y389" s="67" t="str">
        <f>IF(AND(ISNUMBER(T389),OR(U389="En retard",U389="Bientôt",U389="À jour")),IF(AND(ISNUMBER(O389),ISNUMBER(X389)),MIN(F389,G389*7/W389),IF(ISNUMBER(O389),F389,G389*7/W389)),"")</f>
        <v/>
      </c>
      <c r="Z389" s="67" t="str">
        <f>IF(OR(U389="En retard",U389="Bientôt"),IF(U389="En retard",0,1)*1000000000+IF(AB389="A",0,IF(AB389="B",1,IF(AB389="C",2,3)))*100000000+IF(ISNUMBER(T389),T389,p_today)*1000+ROW()-5,"")</f>
        <v/>
      </c>
      <c r="AA389" s="67" t="str">
        <f>IF(Z389="","",COUNTIF($Z$6:$Z$505,"&lt;"&amp;Z389)+1)</f>
        <v/>
      </c>
      <c r="AB389" s="67" t="str">
        <f>IFERROR(INDEX(eq_crit,MATCH(B389,eq_code,0))&amp;"","")</f>
        <v/>
      </c>
    </row>
    <row r="390">
      <c r="A390" s="65" t="n"/>
      <c r="B390" s="66" t="n"/>
      <c r="C390" s="67" t="str">
        <f>IF(B390="","",IFERROR(INDEX(eq_des,MATCH(B390,eq_code,0))&amp;"","Équipement inconnu"))</f>
        <v/>
      </c>
      <c r="D390" s="66" t="n"/>
      <c r="E390" s="68" t="n"/>
      <c r="F390" s="69" t="n"/>
      <c r="G390" s="70" t="n"/>
      <c r="H390" s="71" t="n"/>
      <c r="I390" s="66" t="n"/>
      <c r="J390" s="72" t="n"/>
      <c r="K390" s="73" t="n"/>
      <c r="L390" s="68" t="n"/>
      <c r="M390" s="74" t="str">
        <f>IF(AND(A390="",B390="",D390=""),"",MAX(N(J390),IF(A390="",0,SUMPRODUCT(MAX((in_plan=A390)*in_prev*in_dnum)))))</f>
        <v/>
      </c>
      <c r="N390" s="75" t="str">
        <f>IF(AND(A390="",B390="",D390=""),"",MAX(N(K390),IF(A390="",0,SUMPRODUCT(MAX((in_plan=A390)*in_prev*in_cnum)))))</f>
        <v/>
      </c>
      <c r="O390" s="76" t="str">
        <f>IF(AND(OR(E390="Calendrier",E390="Au premier des deux"),N(F390)&gt;0,IF(N(M390)&gt;0,M390,IFERROR(N(INDEX(eq_start,MATCH(B390,eq_code,0))),0))&gt;0),IF(N(M390)&gt;0,M390,IFERROR(N(INDEX(eq_start,MATCH(B390,eq_code,0))),0))+F390,"")</f>
        <v/>
      </c>
      <c r="P390" s="75" t="str">
        <f>IF(AND(OR(E390="Compteur",E390="Au premier des deux"),N(G390)&gt;0),N(N390)+G390,"")</f>
        <v/>
      </c>
      <c r="Q390" s="75" t="str">
        <f>IF(B390="","",IFERROR(N(INDEX(eq_cnt,MATCH(B390,eq_code,0))),""))</f>
        <v/>
      </c>
      <c r="R390" s="77" t="str">
        <f>IF(ISNUMBER(O390),O390-p_today,"")</f>
        <v/>
      </c>
      <c r="S390" s="78" t="str">
        <f>IF(AND(ISNUMBER(P390),N(Q390)&gt;0),P390-Q390,"")</f>
        <v/>
      </c>
      <c r="T390" s="76" t="str">
        <f>IF(AND(ISNUMBER(O390),ISNUMBER(X390)),MIN(O390,X390),IF(ISNUMBER(O390),O390,X390))</f>
        <v/>
      </c>
      <c r="U390" s="79" t="str">
        <f>IF(AND(A390="",B390="",D390=""),"",IF(L390="Non","Inactif",IF(AND(NOT(ISNUMBER(R390)),NOT(ISNUMBER(S390))),"À compléter",IF(OR(AND(ISNUMBER(R390),N(R390)&lt;0),AND(ISNUMBER(S390),N(S390)&lt;0)),"En retard",IF(OR(AND(ISNUMBER(R390),N(R390)&lt;=p_soon),AND(ISNUMBER(S390),N(S390)&lt;=p_soon_pct*N(G390))),"Bientôt","À jour")))))</f>
        <v/>
      </c>
      <c r="V390" s="79" t="str">
        <f>IF(AND(A390="",B390="",D390=""),"",IF(A390="","N° de plan manquant",IF(COUNTIF($A$6:$A$505,A390)&gt;1,"N° de plan en double",IF(B390="","Équipement manquant",IF(ISNA(MATCH(B390,eq_code,0)),"Équipement inconnu",IF(D390="","Tâche manquante",IF(E390="","Déclenchement manquant",IF(AND(E390&lt;&gt;"Calendrier",E390&lt;&gt;"Compteur",E390&lt;&gt;"Au premier des deux"),"Déclenchement inconnu",IF(AND(E390&lt;&gt;"Compteur",OR(NOT(ISNUMBER(F390)),N(F390)&lt;=0)),"Périodicité en jours manquante",IF(AND(E390&lt;&gt;"Calendrier",OR(NOT(ISNUMBER(G390)),N(G390)&lt;=0)),"Périodicité compteur manquante",IF(AND(J390&lt;&gt;"",OR(NOT(ISNUMBER(J390)),N(J390)&lt;=0)),"Date de réalisation invalide",IF(AND(K390&lt;&gt;"",OR(NOT(ISNUMBER(K390)),N(K390)&lt;0)),"Compteur de réalisation invalide",IF(AND(E390&lt;&gt;"Compteur",N(M390)=0,IFERROR(N(INDEX(eq_start,MATCH(B390,eq_code,0))),0)=0),"Date de départ manquante",IF(AND(E390&lt;&gt;"Calendrier",K390="",N(N390)=0),"Compteur de départ manquant",IF(AND(E390&lt;&gt;"Calendrier",N(Q390)=0),"Relevé compteur manquant (Équipements)",IF(AND(I390&lt;&gt;"",ISNA(MATCH(I390,tech_name,0))),"Technicien inconnu",IF(AND(L390&lt;&gt;"",L390&lt;&gt;"Oui",L390&lt;&gt;"Non"),"Actif : Oui ou Non","OK")))))))))))))))))</f>
        <v/>
      </c>
      <c r="W390" s="67">
        <f>IFERROR(N(INDEX(eq_use,MATCH(B390,eq_code,0))),0)</f>
        <v>0.0</v>
      </c>
      <c r="X390" s="67" t="str">
        <f>IF(AND(ISNUMBER(S390),W390&gt;0),p_today+MAX(0,ROUNDUP(S390*7/W390,0)),"")</f>
        <v/>
      </c>
      <c r="Y390" s="67" t="str">
        <f>IF(AND(ISNUMBER(T390),OR(U390="En retard",U390="Bientôt",U390="À jour")),IF(AND(ISNUMBER(O390),ISNUMBER(X390)),MIN(F390,G390*7/W390),IF(ISNUMBER(O390),F390,G390*7/W390)),"")</f>
        <v/>
      </c>
      <c r="Z390" s="67" t="str">
        <f>IF(OR(U390="En retard",U390="Bientôt"),IF(U390="En retard",0,1)*1000000000+IF(AB390="A",0,IF(AB390="B",1,IF(AB390="C",2,3)))*100000000+IF(ISNUMBER(T390),T390,p_today)*1000+ROW()-5,"")</f>
        <v/>
      </c>
      <c r="AA390" s="67" t="str">
        <f>IF(Z390="","",COUNTIF($Z$6:$Z$505,"&lt;"&amp;Z390)+1)</f>
        <v/>
      </c>
      <c r="AB390" s="67" t="str">
        <f>IFERROR(INDEX(eq_crit,MATCH(B390,eq_code,0))&amp;"","")</f>
        <v/>
      </c>
    </row>
    <row r="391">
      <c r="A391" s="65" t="n"/>
      <c r="B391" s="66" t="n"/>
      <c r="C391" s="67" t="str">
        <f>IF(B391="","",IFERROR(INDEX(eq_des,MATCH(B391,eq_code,0))&amp;"","Équipement inconnu"))</f>
        <v/>
      </c>
      <c r="D391" s="66" t="n"/>
      <c r="E391" s="68" t="n"/>
      <c r="F391" s="69" t="n"/>
      <c r="G391" s="70" t="n"/>
      <c r="H391" s="71" t="n"/>
      <c r="I391" s="66" t="n"/>
      <c r="J391" s="72" t="n"/>
      <c r="K391" s="73" t="n"/>
      <c r="L391" s="68" t="n"/>
      <c r="M391" s="74" t="str">
        <f>IF(AND(A391="",B391="",D391=""),"",MAX(N(J391),IF(A391="",0,SUMPRODUCT(MAX((in_plan=A391)*in_prev*in_dnum)))))</f>
        <v/>
      </c>
      <c r="N391" s="75" t="str">
        <f>IF(AND(A391="",B391="",D391=""),"",MAX(N(K391),IF(A391="",0,SUMPRODUCT(MAX((in_plan=A391)*in_prev*in_cnum)))))</f>
        <v/>
      </c>
      <c r="O391" s="76" t="str">
        <f>IF(AND(OR(E391="Calendrier",E391="Au premier des deux"),N(F391)&gt;0,IF(N(M391)&gt;0,M391,IFERROR(N(INDEX(eq_start,MATCH(B391,eq_code,0))),0))&gt;0),IF(N(M391)&gt;0,M391,IFERROR(N(INDEX(eq_start,MATCH(B391,eq_code,0))),0))+F391,"")</f>
        <v/>
      </c>
      <c r="P391" s="75" t="str">
        <f>IF(AND(OR(E391="Compteur",E391="Au premier des deux"),N(G391)&gt;0),N(N391)+G391,"")</f>
        <v/>
      </c>
      <c r="Q391" s="75" t="str">
        <f>IF(B391="","",IFERROR(N(INDEX(eq_cnt,MATCH(B391,eq_code,0))),""))</f>
        <v/>
      </c>
      <c r="R391" s="77" t="str">
        <f>IF(ISNUMBER(O391),O391-p_today,"")</f>
        <v/>
      </c>
      <c r="S391" s="78" t="str">
        <f>IF(AND(ISNUMBER(P391),N(Q391)&gt;0),P391-Q391,"")</f>
        <v/>
      </c>
      <c r="T391" s="76" t="str">
        <f>IF(AND(ISNUMBER(O391),ISNUMBER(X391)),MIN(O391,X391),IF(ISNUMBER(O391),O391,X391))</f>
        <v/>
      </c>
      <c r="U391" s="79" t="str">
        <f>IF(AND(A391="",B391="",D391=""),"",IF(L391="Non","Inactif",IF(AND(NOT(ISNUMBER(R391)),NOT(ISNUMBER(S391))),"À compléter",IF(OR(AND(ISNUMBER(R391),N(R391)&lt;0),AND(ISNUMBER(S391),N(S391)&lt;0)),"En retard",IF(OR(AND(ISNUMBER(R391),N(R391)&lt;=p_soon),AND(ISNUMBER(S391),N(S391)&lt;=p_soon_pct*N(G391))),"Bientôt","À jour")))))</f>
        <v/>
      </c>
      <c r="V391" s="79" t="str">
        <f>IF(AND(A391="",B391="",D391=""),"",IF(A391="","N° de plan manquant",IF(COUNTIF($A$6:$A$505,A391)&gt;1,"N° de plan en double",IF(B391="","Équipement manquant",IF(ISNA(MATCH(B391,eq_code,0)),"Équipement inconnu",IF(D391="","Tâche manquante",IF(E391="","Déclenchement manquant",IF(AND(E391&lt;&gt;"Calendrier",E391&lt;&gt;"Compteur",E391&lt;&gt;"Au premier des deux"),"Déclenchement inconnu",IF(AND(E391&lt;&gt;"Compteur",OR(NOT(ISNUMBER(F391)),N(F391)&lt;=0)),"Périodicité en jours manquante",IF(AND(E391&lt;&gt;"Calendrier",OR(NOT(ISNUMBER(G391)),N(G391)&lt;=0)),"Périodicité compteur manquante",IF(AND(J391&lt;&gt;"",OR(NOT(ISNUMBER(J391)),N(J391)&lt;=0)),"Date de réalisation invalide",IF(AND(K391&lt;&gt;"",OR(NOT(ISNUMBER(K391)),N(K391)&lt;0)),"Compteur de réalisation invalide",IF(AND(E391&lt;&gt;"Compteur",N(M391)=0,IFERROR(N(INDEX(eq_start,MATCH(B391,eq_code,0))),0)=0),"Date de départ manquante",IF(AND(E391&lt;&gt;"Calendrier",K391="",N(N391)=0),"Compteur de départ manquant",IF(AND(E391&lt;&gt;"Calendrier",N(Q391)=0),"Relevé compteur manquant (Équipements)",IF(AND(I391&lt;&gt;"",ISNA(MATCH(I391,tech_name,0))),"Technicien inconnu",IF(AND(L391&lt;&gt;"",L391&lt;&gt;"Oui",L391&lt;&gt;"Non"),"Actif : Oui ou Non","OK")))))))))))))))))</f>
        <v/>
      </c>
      <c r="W391" s="67">
        <f>IFERROR(N(INDEX(eq_use,MATCH(B391,eq_code,0))),0)</f>
        <v>0.0</v>
      </c>
      <c r="X391" s="67" t="str">
        <f>IF(AND(ISNUMBER(S391),W391&gt;0),p_today+MAX(0,ROUNDUP(S391*7/W391,0)),"")</f>
        <v/>
      </c>
      <c r="Y391" s="67" t="str">
        <f>IF(AND(ISNUMBER(T391),OR(U391="En retard",U391="Bientôt",U391="À jour")),IF(AND(ISNUMBER(O391),ISNUMBER(X391)),MIN(F391,G391*7/W391),IF(ISNUMBER(O391),F391,G391*7/W391)),"")</f>
        <v/>
      </c>
      <c r="Z391" s="67" t="str">
        <f>IF(OR(U391="En retard",U391="Bientôt"),IF(U391="En retard",0,1)*1000000000+IF(AB391="A",0,IF(AB391="B",1,IF(AB391="C",2,3)))*100000000+IF(ISNUMBER(T391),T391,p_today)*1000+ROW()-5,"")</f>
        <v/>
      </c>
      <c r="AA391" s="67" t="str">
        <f>IF(Z391="","",COUNTIF($Z$6:$Z$505,"&lt;"&amp;Z391)+1)</f>
        <v/>
      </c>
      <c r="AB391" s="67" t="str">
        <f>IFERROR(INDEX(eq_crit,MATCH(B391,eq_code,0))&amp;"","")</f>
        <v/>
      </c>
    </row>
    <row r="392">
      <c r="A392" s="65" t="n"/>
      <c r="B392" s="66" t="n"/>
      <c r="C392" s="67" t="str">
        <f>IF(B392="","",IFERROR(INDEX(eq_des,MATCH(B392,eq_code,0))&amp;"","Équipement inconnu"))</f>
        <v/>
      </c>
      <c r="D392" s="66" t="n"/>
      <c r="E392" s="68" t="n"/>
      <c r="F392" s="69" t="n"/>
      <c r="G392" s="70" t="n"/>
      <c r="H392" s="71" t="n"/>
      <c r="I392" s="66" t="n"/>
      <c r="J392" s="72" t="n"/>
      <c r="K392" s="73" t="n"/>
      <c r="L392" s="68" t="n"/>
      <c r="M392" s="74" t="str">
        <f>IF(AND(A392="",B392="",D392=""),"",MAX(N(J392),IF(A392="",0,SUMPRODUCT(MAX((in_plan=A392)*in_prev*in_dnum)))))</f>
        <v/>
      </c>
      <c r="N392" s="75" t="str">
        <f>IF(AND(A392="",B392="",D392=""),"",MAX(N(K392),IF(A392="",0,SUMPRODUCT(MAX((in_plan=A392)*in_prev*in_cnum)))))</f>
        <v/>
      </c>
      <c r="O392" s="76" t="str">
        <f>IF(AND(OR(E392="Calendrier",E392="Au premier des deux"),N(F392)&gt;0,IF(N(M392)&gt;0,M392,IFERROR(N(INDEX(eq_start,MATCH(B392,eq_code,0))),0))&gt;0),IF(N(M392)&gt;0,M392,IFERROR(N(INDEX(eq_start,MATCH(B392,eq_code,0))),0))+F392,"")</f>
        <v/>
      </c>
      <c r="P392" s="75" t="str">
        <f>IF(AND(OR(E392="Compteur",E392="Au premier des deux"),N(G392)&gt;0),N(N392)+G392,"")</f>
        <v/>
      </c>
      <c r="Q392" s="75" t="str">
        <f>IF(B392="","",IFERROR(N(INDEX(eq_cnt,MATCH(B392,eq_code,0))),""))</f>
        <v/>
      </c>
      <c r="R392" s="77" t="str">
        <f>IF(ISNUMBER(O392),O392-p_today,"")</f>
        <v/>
      </c>
      <c r="S392" s="78" t="str">
        <f>IF(AND(ISNUMBER(P392),N(Q392)&gt;0),P392-Q392,"")</f>
        <v/>
      </c>
      <c r="T392" s="76" t="str">
        <f>IF(AND(ISNUMBER(O392),ISNUMBER(X392)),MIN(O392,X392),IF(ISNUMBER(O392),O392,X392))</f>
        <v/>
      </c>
      <c r="U392" s="79" t="str">
        <f>IF(AND(A392="",B392="",D392=""),"",IF(L392="Non","Inactif",IF(AND(NOT(ISNUMBER(R392)),NOT(ISNUMBER(S392))),"À compléter",IF(OR(AND(ISNUMBER(R392),N(R392)&lt;0),AND(ISNUMBER(S392),N(S392)&lt;0)),"En retard",IF(OR(AND(ISNUMBER(R392),N(R392)&lt;=p_soon),AND(ISNUMBER(S392),N(S392)&lt;=p_soon_pct*N(G392))),"Bientôt","À jour")))))</f>
        <v/>
      </c>
      <c r="V392" s="79" t="str">
        <f>IF(AND(A392="",B392="",D392=""),"",IF(A392="","N° de plan manquant",IF(COUNTIF($A$6:$A$505,A392)&gt;1,"N° de plan en double",IF(B392="","Équipement manquant",IF(ISNA(MATCH(B392,eq_code,0)),"Équipement inconnu",IF(D392="","Tâche manquante",IF(E392="","Déclenchement manquant",IF(AND(E392&lt;&gt;"Calendrier",E392&lt;&gt;"Compteur",E392&lt;&gt;"Au premier des deux"),"Déclenchement inconnu",IF(AND(E392&lt;&gt;"Compteur",OR(NOT(ISNUMBER(F392)),N(F392)&lt;=0)),"Périodicité en jours manquante",IF(AND(E392&lt;&gt;"Calendrier",OR(NOT(ISNUMBER(G392)),N(G392)&lt;=0)),"Périodicité compteur manquante",IF(AND(J392&lt;&gt;"",OR(NOT(ISNUMBER(J392)),N(J392)&lt;=0)),"Date de réalisation invalide",IF(AND(K392&lt;&gt;"",OR(NOT(ISNUMBER(K392)),N(K392)&lt;0)),"Compteur de réalisation invalide",IF(AND(E392&lt;&gt;"Compteur",N(M392)=0,IFERROR(N(INDEX(eq_start,MATCH(B392,eq_code,0))),0)=0),"Date de départ manquante",IF(AND(E392&lt;&gt;"Calendrier",K392="",N(N392)=0),"Compteur de départ manquant",IF(AND(E392&lt;&gt;"Calendrier",N(Q392)=0),"Relevé compteur manquant (Équipements)",IF(AND(I392&lt;&gt;"",ISNA(MATCH(I392,tech_name,0))),"Technicien inconnu",IF(AND(L392&lt;&gt;"",L392&lt;&gt;"Oui",L392&lt;&gt;"Non"),"Actif : Oui ou Non","OK")))))))))))))))))</f>
        <v/>
      </c>
      <c r="W392" s="67">
        <f>IFERROR(N(INDEX(eq_use,MATCH(B392,eq_code,0))),0)</f>
        <v>0.0</v>
      </c>
      <c r="X392" s="67" t="str">
        <f>IF(AND(ISNUMBER(S392),W392&gt;0),p_today+MAX(0,ROUNDUP(S392*7/W392,0)),"")</f>
        <v/>
      </c>
      <c r="Y392" s="67" t="str">
        <f>IF(AND(ISNUMBER(T392),OR(U392="En retard",U392="Bientôt",U392="À jour")),IF(AND(ISNUMBER(O392),ISNUMBER(X392)),MIN(F392,G392*7/W392),IF(ISNUMBER(O392),F392,G392*7/W392)),"")</f>
        <v/>
      </c>
      <c r="Z392" s="67" t="str">
        <f>IF(OR(U392="En retard",U392="Bientôt"),IF(U392="En retard",0,1)*1000000000+IF(AB392="A",0,IF(AB392="B",1,IF(AB392="C",2,3)))*100000000+IF(ISNUMBER(T392),T392,p_today)*1000+ROW()-5,"")</f>
        <v/>
      </c>
      <c r="AA392" s="67" t="str">
        <f>IF(Z392="","",COUNTIF($Z$6:$Z$505,"&lt;"&amp;Z392)+1)</f>
        <v/>
      </c>
      <c r="AB392" s="67" t="str">
        <f>IFERROR(INDEX(eq_crit,MATCH(B392,eq_code,0))&amp;"","")</f>
        <v/>
      </c>
    </row>
    <row r="393">
      <c r="A393" s="65" t="n"/>
      <c r="B393" s="66" t="n"/>
      <c r="C393" s="67" t="str">
        <f>IF(B393="","",IFERROR(INDEX(eq_des,MATCH(B393,eq_code,0))&amp;"","Équipement inconnu"))</f>
        <v/>
      </c>
      <c r="D393" s="66" t="n"/>
      <c r="E393" s="68" t="n"/>
      <c r="F393" s="69" t="n"/>
      <c r="G393" s="70" t="n"/>
      <c r="H393" s="71" t="n"/>
      <c r="I393" s="66" t="n"/>
      <c r="J393" s="72" t="n"/>
      <c r="K393" s="73" t="n"/>
      <c r="L393" s="68" t="n"/>
      <c r="M393" s="74" t="str">
        <f>IF(AND(A393="",B393="",D393=""),"",MAX(N(J393),IF(A393="",0,SUMPRODUCT(MAX((in_plan=A393)*in_prev*in_dnum)))))</f>
        <v/>
      </c>
      <c r="N393" s="75" t="str">
        <f>IF(AND(A393="",B393="",D393=""),"",MAX(N(K393),IF(A393="",0,SUMPRODUCT(MAX((in_plan=A393)*in_prev*in_cnum)))))</f>
        <v/>
      </c>
      <c r="O393" s="76" t="str">
        <f>IF(AND(OR(E393="Calendrier",E393="Au premier des deux"),N(F393)&gt;0,IF(N(M393)&gt;0,M393,IFERROR(N(INDEX(eq_start,MATCH(B393,eq_code,0))),0))&gt;0),IF(N(M393)&gt;0,M393,IFERROR(N(INDEX(eq_start,MATCH(B393,eq_code,0))),0))+F393,"")</f>
        <v/>
      </c>
      <c r="P393" s="75" t="str">
        <f>IF(AND(OR(E393="Compteur",E393="Au premier des deux"),N(G393)&gt;0),N(N393)+G393,"")</f>
        <v/>
      </c>
      <c r="Q393" s="75" t="str">
        <f>IF(B393="","",IFERROR(N(INDEX(eq_cnt,MATCH(B393,eq_code,0))),""))</f>
        <v/>
      </c>
      <c r="R393" s="77" t="str">
        <f>IF(ISNUMBER(O393),O393-p_today,"")</f>
        <v/>
      </c>
      <c r="S393" s="78" t="str">
        <f>IF(AND(ISNUMBER(P393),N(Q393)&gt;0),P393-Q393,"")</f>
        <v/>
      </c>
      <c r="T393" s="76" t="str">
        <f>IF(AND(ISNUMBER(O393),ISNUMBER(X393)),MIN(O393,X393),IF(ISNUMBER(O393),O393,X393))</f>
        <v/>
      </c>
      <c r="U393" s="79" t="str">
        <f>IF(AND(A393="",B393="",D393=""),"",IF(L393="Non","Inactif",IF(AND(NOT(ISNUMBER(R393)),NOT(ISNUMBER(S393))),"À compléter",IF(OR(AND(ISNUMBER(R393),N(R393)&lt;0),AND(ISNUMBER(S393),N(S393)&lt;0)),"En retard",IF(OR(AND(ISNUMBER(R393),N(R393)&lt;=p_soon),AND(ISNUMBER(S393),N(S393)&lt;=p_soon_pct*N(G393))),"Bientôt","À jour")))))</f>
        <v/>
      </c>
      <c r="V393" s="79" t="str">
        <f>IF(AND(A393="",B393="",D393=""),"",IF(A393="","N° de plan manquant",IF(COUNTIF($A$6:$A$505,A393)&gt;1,"N° de plan en double",IF(B393="","Équipement manquant",IF(ISNA(MATCH(B393,eq_code,0)),"Équipement inconnu",IF(D393="","Tâche manquante",IF(E393="","Déclenchement manquant",IF(AND(E393&lt;&gt;"Calendrier",E393&lt;&gt;"Compteur",E393&lt;&gt;"Au premier des deux"),"Déclenchement inconnu",IF(AND(E393&lt;&gt;"Compteur",OR(NOT(ISNUMBER(F393)),N(F393)&lt;=0)),"Périodicité en jours manquante",IF(AND(E393&lt;&gt;"Calendrier",OR(NOT(ISNUMBER(G393)),N(G393)&lt;=0)),"Périodicité compteur manquante",IF(AND(J393&lt;&gt;"",OR(NOT(ISNUMBER(J393)),N(J393)&lt;=0)),"Date de réalisation invalide",IF(AND(K393&lt;&gt;"",OR(NOT(ISNUMBER(K393)),N(K393)&lt;0)),"Compteur de réalisation invalide",IF(AND(E393&lt;&gt;"Compteur",N(M393)=0,IFERROR(N(INDEX(eq_start,MATCH(B393,eq_code,0))),0)=0),"Date de départ manquante",IF(AND(E393&lt;&gt;"Calendrier",K393="",N(N393)=0),"Compteur de départ manquant",IF(AND(E393&lt;&gt;"Calendrier",N(Q393)=0),"Relevé compteur manquant (Équipements)",IF(AND(I393&lt;&gt;"",ISNA(MATCH(I393,tech_name,0))),"Technicien inconnu",IF(AND(L393&lt;&gt;"",L393&lt;&gt;"Oui",L393&lt;&gt;"Non"),"Actif : Oui ou Non","OK")))))))))))))))))</f>
        <v/>
      </c>
      <c r="W393" s="67">
        <f>IFERROR(N(INDEX(eq_use,MATCH(B393,eq_code,0))),0)</f>
        <v>0.0</v>
      </c>
      <c r="X393" s="67" t="str">
        <f>IF(AND(ISNUMBER(S393),W393&gt;0),p_today+MAX(0,ROUNDUP(S393*7/W393,0)),"")</f>
        <v/>
      </c>
      <c r="Y393" s="67" t="str">
        <f>IF(AND(ISNUMBER(T393),OR(U393="En retard",U393="Bientôt",U393="À jour")),IF(AND(ISNUMBER(O393),ISNUMBER(X393)),MIN(F393,G393*7/W393),IF(ISNUMBER(O393),F393,G393*7/W393)),"")</f>
        <v/>
      </c>
      <c r="Z393" s="67" t="str">
        <f>IF(OR(U393="En retard",U393="Bientôt"),IF(U393="En retard",0,1)*1000000000+IF(AB393="A",0,IF(AB393="B",1,IF(AB393="C",2,3)))*100000000+IF(ISNUMBER(T393),T393,p_today)*1000+ROW()-5,"")</f>
        <v/>
      </c>
      <c r="AA393" s="67" t="str">
        <f>IF(Z393="","",COUNTIF($Z$6:$Z$505,"&lt;"&amp;Z393)+1)</f>
        <v/>
      </c>
      <c r="AB393" s="67" t="str">
        <f>IFERROR(INDEX(eq_crit,MATCH(B393,eq_code,0))&amp;"","")</f>
        <v/>
      </c>
    </row>
    <row r="394">
      <c r="A394" s="65" t="n"/>
      <c r="B394" s="66" t="n"/>
      <c r="C394" s="67" t="str">
        <f>IF(B394="","",IFERROR(INDEX(eq_des,MATCH(B394,eq_code,0))&amp;"","Équipement inconnu"))</f>
        <v/>
      </c>
      <c r="D394" s="66" t="n"/>
      <c r="E394" s="68" t="n"/>
      <c r="F394" s="69" t="n"/>
      <c r="G394" s="70" t="n"/>
      <c r="H394" s="71" t="n"/>
      <c r="I394" s="66" t="n"/>
      <c r="J394" s="72" t="n"/>
      <c r="K394" s="73" t="n"/>
      <c r="L394" s="68" t="n"/>
      <c r="M394" s="74" t="str">
        <f>IF(AND(A394="",B394="",D394=""),"",MAX(N(J394),IF(A394="",0,SUMPRODUCT(MAX((in_plan=A394)*in_prev*in_dnum)))))</f>
        <v/>
      </c>
      <c r="N394" s="75" t="str">
        <f>IF(AND(A394="",B394="",D394=""),"",MAX(N(K394),IF(A394="",0,SUMPRODUCT(MAX((in_plan=A394)*in_prev*in_cnum)))))</f>
        <v/>
      </c>
      <c r="O394" s="76" t="str">
        <f>IF(AND(OR(E394="Calendrier",E394="Au premier des deux"),N(F394)&gt;0,IF(N(M394)&gt;0,M394,IFERROR(N(INDEX(eq_start,MATCH(B394,eq_code,0))),0))&gt;0),IF(N(M394)&gt;0,M394,IFERROR(N(INDEX(eq_start,MATCH(B394,eq_code,0))),0))+F394,"")</f>
        <v/>
      </c>
      <c r="P394" s="75" t="str">
        <f>IF(AND(OR(E394="Compteur",E394="Au premier des deux"),N(G394)&gt;0),N(N394)+G394,"")</f>
        <v/>
      </c>
      <c r="Q394" s="75" t="str">
        <f>IF(B394="","",IFERROR(N(INDEX(eq_cnt,MATCH(B394,eq_code,0))),""))</f>
        <v/>
      </c>
      <c r="R394" s="77" t="str">
        <f>IF(ISNUMBER(O394),O394-p_today,"")</f>
        <v/>
      </c>
      <c r="S394" s="78" t="str">
        <f>IF(AND(ISNUMBER(P394),N(Q394)&gt;0),P394-Q394,"")</f>
        <v/>
      </c>
      <c r="T394" s="76" t="str">
        <f>IF(AND(ISNUMBER(O394),ISNUMBER(X394)),MIN(O394,X394),IF(ISNUMBER(O394),O394,X394))</f>
        <v/>
      </c>
      <c r="U394" s="79" t="str">
        <f>IF(AND(A394="",B394="",D394=""),"",IF(L394="Non","Inactif",IF(AND(NOT(ISNUMBER(R394)),NOT(ISNUMBER(S394))),"À compléter",IF(OR(AND(ISNUMBER(R394),N(R394)&lt;0),AND(ISNUMBER(S394),N(S394)&lt;0)),"En retard",IF(OR(AND(ISNUMBER(R394),N(R394)&lt;=p_soon),AND(ISNUMBER(S394),N(S394)&lt;=p_soon_pct*N(G394))),"Bientôt","À jour")))))</f>
        <v/>
      </c>
      <c r="V394" s="79" t="str">
        <f>IF(AND(A394="",B394="",D394=""),"",IF(A394="","N° de plan manquant",IF(COUNTIF($A$6:$A$505,A394)&gt;1,"N° de plan en double",IF(B394="","Équipement manquant",IF(ISNA(MATCH(B394,eq_code,0)),"Équipement inconnu",IF(D394="","Tâche manquante",IF(E394="","Déclenchement manquant",IF(AND(E394&lt;&gt;"Calendrier",E394&lt;&gt;"Compteur",E394&lt;&gt;"Au premier des deux"),"Déclenchement inconnu",IF(AND(E394&lt;&gt;"Compteur",OR(NOT(ISNUMBER(F394)),N(F394)&lt;=0)),"Périodicité en jours manquante",IF(AND(E394&lt;&gt;"Calendrier",OR(NOT(ISNUMBER(G394)),N(G394)&lt;=0)),"Périodicité compteur manquante",IF(AND(J394&lt;&gt;"",OR(NOT(ISNUMBER(J394)),N(J394)&lt;=0)),"Date de réalisation invalide",IF(AND(K394&lt;&gt;"",OR(NOT(ISNUMBER(K394)),N(K394)&lt;0)),"Compteur de réalisation invalide",IF(AND(E394&lt;&gt;"Compteur",N(M394)=0,IFERROR(N(INDEX(eq_start,MATCH(B394,eq_code,0))),0)=0),"Date de départ manquante",IF(AND(E394&lt;&gt;"Calendrier",K394="",N(N394)=0),"Compteur de départ manquant",IF(AND(E394&lt;&gt;"Calendrier",N(Q394)=0),"Relevé compteur manquant (Équipements)",IF(AND(I394&lt;&gt;"",ISNA(MATCH(I394,tech_name,0))),"Technicien inconnu",IF(AND(L394&lt;&gt;"",L394&lt;&gt;"Oui",L394&lt;&gt;"Non"),"Actif : Oui ou Non","OK")))))))))))))))))</f>
        <v/>
      </c>
      <c r="W394" s="67">
        <f>IFERROR(N(INDEX(eq_use,MATCH(B394,eq_code,0))),0)</f>
        <v>0.0</v>
      </c>
      <c r="X394" s="67" t="str">
        <f>IF(AND(ISNUMBER(S394),W394&gt;0),p_today+MAX(0,ROUNDUP(S394*7/W394,0)),"")</f>
        <v/>
      </c>
      <c r="Y394" s="67" t="str">
        <f>IF(AND(ISNUMBER(T394),OR(U394="En retard",U394="Bientôt",U394="À jour")),IF(AND(ISNUMBER(O394),ISNUMBER(X394)),MIN(F394,G394*7/W394),IF(ISNUMBER(O394),F394,G394*7/W394)),"")</f>
        <v/>
      </c>
      <c r="Z394" s="67" t="str">
        <f>IF(OR(U394="En retard",U394="Bientôt"),IF(U394="En retard",0,1)*1000000000+IF(AB394="A",0,IF(AB394="B",1,IF(AB394="C",2,3)))*100000000+IF(ISNUMBER(T394),T394,p_today)*1000+ROW()-5,"")</f>
        <v/>
      </c>
      <c r="AA394" s="67" t="str">
        <f>IF(Z394="","",COUNTIF($Z$6:$Z$505,"&lt;"&amp;Z394)+1)</f>
        <v/>
      </c>
      <c r="AB394" s="67" t="str">
        <f>IFERROR(INDEX(eq_crit,MATCH(B394,eq_code,0))&amp;"","")</f>
        <v/>
      </c>
    </row>
    <row r="395">
      <c r="A395" s="65" t="n"/>
      <c r="B395" s="66" t="n"/>
      <c r="C395" s="67" t="str">
        <f>IF(B395="","",IFERROR(INDEX(eq_des,MATCH(B395,eq_code,0))&amp;"","Équipement inconnu"))</f>
        <v/>
      </c>
      <c r="D395" s="66" t="n"/>
      <c r="E395" s="68" t="n"/>
      <c r="F395" s="69" t="n"/>
      <c r="G395" s="70" t="n"/>
      <c r="H395" s="71" t="n"/>
      <c r="I395" s="66" t="n"/>
      <c r="J395" s="72" t="n"/>
      <c r="K395" s="73" t="n"/>
      <c r="L395" s="68" t="n"/>
      <c r="M395" s="74" t="str">
        <f>IF(AND(A395="",B395="",D395=""),"",MAX(N(J395),IF(A395="",0,SUMPRODUCT(MAX((in_plan=A395)*in_prev*in_dnum)))))</f>
        <v/>
      </c>
      <c r="N395" s="75" t="str">
        <f>IF(AND(A395="",B395="",D395=""),"",MAX(N(K395),IF(A395="",0,SUMPRODUCT(MAX((in_plan=A395)*in_prev*in_cnum)))))</f>
        <v/>
      </c>
      <c r="O395" s="76" t="str">
        <f>IF(AND(OR(E395="Calendrier",E395="Au premier des deux"),N(F395)&gt;0,IF(N(M395)&gt;0,M395,IFERROR(N(INDEX(eq_start,MATCH(B395,eq_code,0))),0))&gt;0),IF(N(M395)&gt;0,M395,IFERROR(N(INDEX(eq_start,MATCH(B395,eq_code,0))),0))+F395,"")</f>
        <v/>
      </c>
      <c r="P395" s="75" t="str">
        <f>IF(AND(OR(E395="Compteur",E395="Au premier des deux"),N(G395)&gt;0),N(N395)+G395,"")</f>
        <v/>
      </c>
      <c r="Q395" s="75" t="str">
        <f>IF(B395="","",IFERROR(N(INDEX(eq_cnt,MATCH(B395,eq_code,0))),""))</f>
        <v/>
      </c>
      <c r="R395" s="77" t="str">
        <f>IF(ISNUMBER(O395),O395-p_today,"")</f>
        <v/>
      </c>
      <c r="S395" s="78" t="str">
        <f>IF(AND(ISNUMBER(P395),N(Q395)&gt;0),P395-Q395,"")</f>
        <v/>
      </c>
      <c r="T395" s="76" t="str">
        <f>IF(AND(ISNUMBER(O395),ISNUMBER(X395)),MIN(O395,X395),IF(ISNUMBER(O395),O395,X395))</f>
        <v/>
      </c>
      <c r="U395" s="79" t="str">
        <f>IF(AND(A395="",B395="",D395=""),"",IF(L395="Non","Inactif",IF(AND(NOT(ISNUMBER(R395)),NOT(ISNUMBER(S395))),"À compléter",IF(OR(AND(ISNUMBER(R395),N(R395)&lt;0),AND(ISNUMBER(S395),N(S395)&lt;0)),"En retard",IF(OR(AND(ISNUMBER(R395),N(R395)&lt;=p_soon),AND(ISNUMBER(S395),N(S395)&lt;=p_soon_pct*N(G395))),"Bientôt","À jour")))))</f>
        <v/>
      </c>
      <c r="V395" s="79" t="str">
        <f>IF(AND(A395="",B395="",D395=""),"",IF(A395="","N° de plan manquant",IF(COUNTIF($A$6:$A$505,A395)&gt;1,"N° de plan en double",IF(B395="","Équipement manquant",IF(ISNA(MATCH(B395,eq_code,0)),"Équipement inconnu",IF(D395="","Tâche manquante",IF(E395="","Déclenchement manquant",IF(AND(E395&lt;&gt;"Calendrier",E395&lt;&gt;"Compteur",E395&lt;&gt;"Au premier des deux"),"Déclenchement inconnu",IF(AND(E395&lt;&gt;"Compteur",OR(NOT(ISNUMBER(F395)),N(F395)&lt;=0)),"Périodicité en jours manquante",IF(AND(E395&lt;&gt;"Calendrier",OR(NOT(ISNUMBER(G395)),N(G395)&lt;=0)),"Périodicité compteur manquante",IF(AND(J395&lt;&gt;"",OR(NOT(ISNUMBER(J395)),N(J395)&lt;=0)),"Date de réalisation invalide",IF(AND(K395&lt;&gt;"",OR(NOT(ISNUMBER(K395)),N(K395)&lt;0)),"Compteur de réalisation invalide",IF(AND(E395&lt;&gt;"Compteur",N(M395)=0,IFERROR(N(INDEX(eq_start,MATCH(B395,eq_code,0))),0)=0),"Date de départ manquante",IF(AND(E395&lt;&gt;"Calendrier",K395="",N(N395)=0),"Compteur de départ manquant",IF(AND(E395&lt;&gt;"Calendrier",N(Q395)=0),"Relevé compteur manquant (Équipements)",IF(AND(I395&lt;&gt;"",ISNA(MATCH(I395,tech_name,0))),"Technicien inconnu",IF(AND(L395&lt;&gt;"",L395&lt;&gt;"Oui",L395&lt;&gt;"Non"),"Actif : Oui ou Non","OK")))))))))))))))))</f>
        <v/>
      </c>
      <c r="W395" s="67">
        <f>IFERROR(N(INDEX(eq_use,MATCH(B395,eq_code,0))),0)</f>
        <v>0.0</v>
      </c>
      <c r="X395" s="67" t="str">
        <f>IF(AND(ISNUMBER(S395),W395&gt;0),p_today+MAX(0,ROUNDUP(S395*7/W395,0)),"")</f>
        <v/>
      </c>
      <c r="Y395" s="67" t="str">
        <f>IF(AND(ISNUMBER(T395),OR(U395="En retard",U395="Bientôt",U395="À jour")),IF(AND(ISNUMBER(O395),ISNUMBER(X395)),MIN(F395,G395*7/W395),IF(ISNUMBER(O395),F395,G395*7/W395)),"")</f>
        <v/>
      </c>
      <c r="Z395" s="67" t="str">
        <f>IF(OR(U395="En retard",U395="Bientôt"),IF(U395="En retard",0,1)*1000000000+IF(AB395="A",0,IF(AB395="B",1,IF(AB395="C",2,3)))*100000000+IF(ISNUMBER(T395),T395,p_today)*1000+ROW()-5,"")</f>
        <v/>
      </c>
      <c r="AA395" s="67" t="str">
        <f>IF(Z395="","",COUNTIF($Z$6:$Z$505,"&lt;"&amp;Z395)+1)</f>
        <v/>
      </c>
      <c r="AB395" s="67" t="str">
        <f>IFERROR(INDEX(eq_crit,MATCH(B395,eq_code,0))&amp;"","")</f>
        <v/>
      </c>
    </row>
    <row r="396">
      <c r="A396" s="65" t="n"/>
      <c r="B396" s="66" t="n"/>
      <c r="C396" s="67" t="str">
        <f>IF(B396="","",IFERROR(INDEX(eq_des,MATCH(B396,eq_code,0))&amp;"","Équipement inconnu"))</f>
        <v/>
      </c>
      <c r="D396" s="66" t="n"/>
      <c r="E396" s="68" t="n"/>
      <c r="F396" s="69" t="n"/>
      <c r="G396" s="70" t="n"/>
      <c r="H396" s="71" t="n"/>
      <c r="I396" s="66" t="n"/>
      <c r="J396" s="72" t="n"/>
      <c r="K396" s="73" t="n"/>
      <c r="L396" s="68" t="n"/>
      <c r="M396" s="74" t="str">
        <f>IF(AND(A396="",B396="",D396=""),"",MAX(N(J396),IF(A396="",0,SUMPRODUCT(MAX((in_plan=A396)*in_prev*in_dnum)))))</f>
        <v/>
      </c>
      <c r="N396" s="75" t="str">
        <f>IF(AND(A396="",B396="",D396=""),"",MAX(N(K396),IF(A396="",0,SUMPRODUCT(MAX((in_plan=A396)*in_prev*in_cnum)))))</f>
        <v/>
      </c>
      <c r="O396" s="76" t="str">
        <f>IF(AND(OR(E396="Calendrier",E396="Au premier des deux"),N(F396)&gt;0,IF(N(M396)&gt;0,M396,IFERROR(N(INDEX(eq_start,MATCH(B396,eq_code,0))),0))&gt;0),IF(N(M396)&gt;0,M396,IFERROR(N(INDEX(eq_start,MATCH(B396,eq_code,0))),0))+F396,"")</f>
        <v/>
      </c>
      <c r="P396" s="75" t="str">
        <f>IF(AND(OR(E396="Compteur",E396="Au premier des deux"),N(G396)&gt;0),N(N396)+G396,"")</f>
        <v/>
      </c>
      <c r="Q396" s="75" t="str">
        <f>IF(B396="","",IFERROR(N(INDEX(eq_cnt,MATCH(B396,eq_code,0))),""))</f>
        <v/>
      </c>
      <c r="R396" s="77" t="str">
        <f>IF(ISNUMBER(O396),O396-p_today,"")</f>
        <v/>
      </c>
      <c r="S396" s="78" t="str">
        <f>IF(AND(ISNUMBER(P396),N(Q396)&gt;0),P396-Q396,"")</f>
        <v/>
      </c>
      <c r="T396" s="76" t="str">
        <f>IF(AND(ISNUMBER(O396),ISNUMBER(X396)),MIN(O396,X396),IF(ISNUMBER(O396),O396,X396))</f>
        <v/>
      </c>
      <c r="U396" s="79" t="str">
        <f>IF(AND(A396="",B396="",D396=""),"",IF(L396="Non","Inactif",IF(AND(NOT(ISNUMBER(R396)),NOT(ISNUMBER(S396))),"À compléter",IF(OR(AND(ISNUMBER(R396),N(R396)&lt;0),AND(ISNUMBER(S396),N(S396)&lt;0)),"En retard",IF(OR(AND(ISNUMBER(R396),N(R396)&lt;=p_soon),AND(ISNUMBER(S396),N(S396)&lt;=p_soon_pct*N(G396))),"Bientôt","À jour")))))</f>
        <v/>
      </c>
      <c r="V396" s="79" t="str">
        <f>IF(AND(A396="",B396="",D396=""),"",IF(A396="","N° de plan manquant",IF(COUNTIF($A$6:$A$505,A396)&gt;1,"N° de plan en double",IF(B396="","Équipement manquant",IF(ISNA(MATCH(B396,eq_code,0)),"Équipement inconnu",IF(D396="","Tâche manquante",IF(E396="","Déclenchement manquant",IF(AND(E396&lt;&gt;"Calendrier",E396&lt;&gt;"Compteur",E396&lt;&gt;"Au premier des deux"),"Déclenchement inconnu",IF(AND(E396&lt;&gt;"Compteur",OR(NOT(ISNUMBER(F396)),N(F396)&lt;=0)),"Périodicité en jours manquante",IF(AND(E396&lt;&gt;"Calendrier",OR(NOT(ISNUMBER(G396)),N(G396)&lt;=0)),"Périodicité compteur manquante",IF(AND(J396&lt;&gt;"",OR(NOT(ISNUMBER(J396)),N(J396)&lt;=0)),"Date de réalisation invalide",IF(AND(K396&lt;&gt;"",OR(NOT(ISNUMBER(K396)),N(K396)&lt;0)),"Compteur de réalisation invalide",IF(AND(E396&lt;&gt;"Compteur",N(M396)=0,IFERROR(N(INDEX(eq_start,MATCH(B396,eq_code,0))),0)=0),"Date de départ manquante",IF(AND(E396&lt;&gt;"Calendrier",K396="",N(N396)=0),"Compteur de départ manquant",IF(AND(E396&lt;&gt;"Calendrier",N(Q396)=0),"Relevé compteur manquant (Équipements)",IF(AND(I396&lt;&gt;"",ISNA(MATCH(I396,tech_name,0))),"Technicien inconnu",IF(AND(L396&lt;&gt;"",L396&lt;&gt;"Oui",L396&lt;&gt;"Non"),"Actif : Oui ou Non","OK")))))))))))))))))</f>
        <v/>
      </c>
      <c r="W396" s="67">
        <f>IFERROR(N(INDEX(eq_use,MATCH(B396,eq_code,0))),0)</f>
        <v>0.0</v>
      </c>
      <c r="X396" s="67" t="str">
        <f>IF(AND(ISNUMBER(S396),W396&gt;0),p_today+MAX(0,ROUNDUP(S396*7/W396,0)),"")</f>
        <v/>
      </c>
      <c r="Y396" s="67" t="str">
        <f>IF(AND(ISNUMBER(T396),OR(U396="En retard",U396="Bientôt",U396="À jour")),IF(AND(ISNUMBER(O396),ISNUMBER(X396)),MIN(F396,G396*7/W396),IF(ISNUMBER(O396),F396,G396*7/W396)),"")</f>
        <v/>
      </c>
      <c r="Z396" s="67" t="str">
        <f>IF(OR(U396="En retard",U396="Bientôt"),IF(U396="En retard",0,1)*1000000000+IF(AB396="A",0,IF(AB396="B",1,IF(AB396="C",2,3)))*100000000+IF(ISNUMBER(T396),T396,p_today)*1000+ROW()-5,"")</f>
        <v/>
      </c>
      <c r="AA396" s="67" t="str">
        <f>IF(Z396="","",COUNTIF($Z$6:$Z$505,"&lt;"&amp;Z396)+1)</f>
        <v/>
      </c>
      <c r="AB396" s="67" t="str">
        <f>IFERROR(INDEX(eq_crit,MATCH(B396,eq_code,0))&amp;"","")</f>
        <v/>
      </c>
    </row>
    <row r="397">
      <c r="A397" s="65" t="n"/>
      <c r="B397" s="66" t="n"/>
      <c r="C397" s="67" t="str">
        <f>IF(B397="","",IFERROR(INDEX(eq_des,MATCH(B397,eq_code,0))&amp;"","Équipement inconnu"))</f>
        <v/>
      </c>
      <c r="D397" s="66" t="n"/>
      <c r="E397" s="68" t="n"/>
      <c r="F397" s="69" t="n"/>
      <c r="G397" s="70" t="n"/>
      <c r="H397" s="71" t="n"/>
      <c r="I397" s="66" t="n"/>
      <c r="J397" s="72" t="n"/>
      <c r="K397" s="73" t="n"/>
      <c r="L397" s="68" t="n"/>
      <c r="M397" s="74" t="str">
        <f>IF(AND(A397="",B397="",D397=""),"",MAX(N(J397),IF(A397="",0,SUMPRODUCT(MAX((in_plan=A397)*in_prev*in_dnum)))))</f>
        <v/>
      </c>
      <c r="N397" s="75" t="str">
        <f>IF(AND(A397="",B397="",D397=""),"",MAX(N(K397),IF(A397="",0,SUMPRODUCT(MAX((in_plan=A397)*in_prev*in_cnum)))))</f>
        <v/>
      </c>
      <c r="O397" s="76" t="str">
        <f>IF(AND(OR(E397="Calendrier",E397="Au premier des deux"),N(F397)&gt;0,IF(N(M397)&gt;0,M397,IFERROR(N(INDEX(eq_start,MATCH(B397,eq_code,0))),0))&gt;0),IF(N(M397)&gt;0,M397,IFERROR(N(INDEX(eq_start,MATCH(B397,eq_code,0))),0))+F397,"")</f>
        <v/>
      </c>
      <c r="P397" s="75" t="str">
        <f>IF(AND(OR(E397="Compteur",E397="Au premier des deux"),N(G397)&gt;0),N(N397)+G397,"")</f>
        <v/>
      </c>
      <c r="Q397" s="75" t="str">
        <f>IF(B397="","",IFERROR(N(INDEX(eq_cnt,MATCH(B397,eq_code,0))),""))</f>
        <v/>
      </c>
      <c r="R397" s="77" t="str">
        <f>IF(ISNUMBER(O397),O397-p_today,"")</f>
        <v/>
      </c>
      <c r="S397" s="78" t="str">
        <f>IF(AND(ISNUMBER(P397),N(Q397)&gt;0),P397-Q397,"")</f>
        <v/>
      </c>
      <c r="T397" s="76" t="str">
        <f>IF(AND(ISNUMBER(O397),ISNUMBER(X397)),MIN(O397,X397),IF(ISNUMBER(O397),O397,X397))</f>
        <v/>
      </c>
      <c r="U397" s="79" t="str">
        <f>IF(AND(A397="",B397="",D397=""),"",IF(L397="Non","Inactif",IF(AND(NOT(ISNUMBER(R397)),NOT(ISNUMBER(S397))),"À compléter",IF(OR(AND(ISNUMBER(R397),N(R397)&lt;0),AND(ISNUMBER(S397),N(S397)&lt;0)),"En retard",IF(OR(AND(ISNUMBER(R397),N(R397)&lt;=p_soon),AND(ISNUMBER(S397),N(S397)&lt;=p_soon_pct*N(G397))),"Bientôt","À jour")))))</f>
        <v/>
      </c>
      <c r="V397" s="79" t="str">
        <f>IF(AND(A397="",B397="",D397=""),"",IF(A397="","N° de plan manquant",IF(COUNTIF($A$6:$A$505,A397)&gt;1,"N° de plan en double",IF(B397="","Équipement manquant",IF(ISNA(MATCH(B397,eq_code,0)),"Équipement inconnu",IF(D397="","Tâche manquante",IF(E397="","Déclenchement manquant",IF(AND(E397&lt;&gt;"Calendrier",E397&lt;&gt;"Compteur",E397&lt;&gt;"Au premier des deux"),"Déclenchement inconnu",IF(AND(E397&lt;&gt;"Compteur",OR(NOT(ISNUMBER(F397)),N(F397)&lt;=0)),"Périodicité en jours manquante",IF(AND(E397&lt;&gt;"Calendrier",OR(NOT(ISNUMBER(G397)),N(G397)&lt;=0)),"Périodicité compteur manquante",IF(AND(J397&lt;&gt;"",OR(NOT(ISNUMBER(J397)),N(J397)&lt;=0)),"Date de réalisation invalide",IF(AND(K397&lt;&gt;"",OR(NOT(ISNUMBER(K397)),N(K397)&lt;0)),"Compteur de réalisation invalide",IF(AND(E397&lt;&gt;"Compteur",N(M397)=0,IFERROR(N(INDEX(eq_start,MATCH(B397,eq_code,0))),0)=0),"Date de départ manquante",IF(AND(E397&lt;&gt;"Calendrier",K397="",N(N397)=0),"Compteur de départ manquant",IF(AND(E397&lt;&gt;"Calendrier",N(Q397)=0),"Relevé compteur manquant (Équipements)",IF(AND(I397&lt;&gt;"",ISNA(MATCH(I397,tech_name,0))),"Technicien inconnu",IF(AND(L397&lt;&gt;"",L397&lt;&gt;"Oui",L397&lt;&gt;"Non"),"Actif : Oui ou Non","OK")))))))))))))))))</f>
        <v/>
      </c>
      <c r="W397" s="67">
        <f>IFERROR(N(INDEX(eq_use,MATCH(B397,eq_code,0))),0)</f>
        <v>0.0</v>
      </c>
      <c r="X397" s="67" t="str">
        <f>IF(AND(ISNUMBER(S397),W397&gt;0),p_today+MAX(0,ROUNDUP(S397*7/W397,0)),"")</f>
        <v/>
      </c>
      <c r="Y397" s="67" t="str">
        <f>IF(AND(ISNUMBER(T397),OR(U397="En retard",U397="Bientôt",U397="À jour")),IF(AND(ISNUMBER(O397),ISNUMBER(X397)),MIN(F397,G397*7/W397),IF(ISNUMBER(O397),F397,G397*7/W397)),"")</f>
        <v/>
      </c>
      <c r="Z397" s="67" t="str">
        <f>IF(OR(U397="En retard",U397="Bientôt"),IF(U397="En retard",0,1)*1000000000+IF(AB397="A",0,IF(AB397="B",1,IF(AB397="C",2,3)))*100000000+IF(ISNUMBER(T397),T397,p_today)*1000+ROW()-5,"")</f>
        <v/>
      </c>
      <c r="AA397" s="67" t="str">
        <f>IF(Z397="","",COUNTIF($Z$6:$Z$505,"&lt;"&amp;Z397)+1)</f>
        <v/>
      </c>
      <c r="AB397" s="67" t="str">
        <f>IFERROR(INDEX(eq_crit,MATCH(B397,eq_code,0))&amp;"","")</f>
        <v/>
      </c>
    </row>
    <row r="398">
      <c r="A398" s="65" t="n"/>
      <c r="B398" s="66" t="n"/>
      <c r="C398" s="67" t="str">
        <f>IF(B398="","",IFERROR(INDEX(eq_des,MATCH(B398,eq_code,0))&amp;"","Équipement inconnu"))</f>
        <v/>
      </c>
      <c r="D398" s="66" t="n"/>
      <c r="E398" s="68" t="n"/>
      <c r="F398" s="69" t="n"/>
      <c r="G398" s="70" t="n"/>
      <c r="H398" s="71" t="n"/>
      <c r="I398" s="66" t="n"/>
      <c r="J398" s="72" t="n"/>
      <c r="K398" s="73" t="n"/>
      <c r="L398" s="68" t="n"/>
      <c r="M398" s="74" t="str">
        <f>IF(AND(A398="",B398="",D398=""),"",MAX(N(J398),IF(A398="",0,SUMPRODUCT(MAX((in_plan=A398)*in_prev*in_dnum)))))</f>
        <v/>
      </c>
      <c r="N398" s="75" t="str">
        <f>IF(AND(A398="",B398="",D398=""),"",MAX(N(K398),IF(A398="",0,SUMPRODUCT(MAX((in_plan=A398)*in_prev*in_cnum)))))</f>
        <v/>
      </c>
      <c r="O398" s="76" t="str">
        <f>IF(AND(OR(E398="Calendrier",E398="Au premier des deux"),N(F398)&gt;0,IF(N(M398)&gt;0,M398,IFERROR(N(INDEX(eq_start,MATCH(B398,eq_code,0))),0))&gt;0),IF(N(M398)&gt;0,M398,IFERROR(N(INDEX(eq_start,MATCH(B398,eq_code,0))),0))+F398,"")</f>
        <v/>
      </c>
      <c r="P398" s="75" t="str">
        <f>IF(AND(OR(E398="Compteur",E398="Au premier des deux"),N(G398)&gt;0),N(N398)+G398,"")</f>
        <v/>
      </c>
      <c r="Q398" s="75" t="str">
        <f>IF(B398="","",IFERROR(N(INDEX(eq_cnt,MATCH(B398,eq_code,0))),""))</f>
        <v/>
      </c>
      <c r="R398" s="77" t="str">
        <f>IF(ISNUMBER(O398),O398-p_today,"")</f>
        <v/>
      </c>
      <c r="S398" s="78" t="str">
        <f>IF(AND(ISNUMBER(P398),N(Q398)&gt;0),P398-Q398,"")</f>
        <v/>
      </c>
      <c r="T398" s="76" t="str">
        <f>IF(AND(ISNUMBER(O398),ISNUMBER(X398)),MIN(O398,X398),IF(ISNUMBER(O398),O398,X398))</f>
        <v/>
      </c>
      <c r="U398" s="79" t="str">
        <f>IF(AND(A398="",B398="",D398=""),"",IF(L398="Non","Inactif",IF(AND(NOT(ISNUMBER(R398)),NOT(ISNUMBER(S398))),"À compléter",IF(OR(AND(ISNUMBER(R398),N(R398)&lt;0),AND(ISNUMBER(S398),N(S398)&lt;0)),"En retard",IF(OR(AND(ISNUMBER(R398),N(R398)&lt;=p_soon),AND(ISNUMBER(S398),N(S398)&lt;=p_soon_pct*N(G398))),"Bientôt","À jour")))))</f>
        <v/>
      </c>
      <c r="V398" s="79" t="str">
        <f>IF(AND(A398="",B398="",D398=""),"",IF(A398="","N° de plan manquant",IF(COUNTIF($A$6:$A$505,A398)&gt;1,"N° de plan en double",IF(B398="","Équipement manquant",IF(ISNA(MATCH(B398,eq_code,0)),"Équipement inconnu",IF(D398="","Tâche manquante",IF(E398="","Déclenchement manquant",IF(AND(E398&lt;&gt;"Calendrier",E398&lt;&gt;"Compteur",E398&lt;&gt;"Au premier des deux"),"Déclenchement inconnu",IF(AND(E398&lt;&gt;"Compteur",OR(NOT(ISNUMBER(F398)),N(F398)&lt;=0)),"Périodicité en jours manquante",IF(AND(E398&lt;&gt;"Calendrier",OR(NOT(ISNUMBER(G398)),N(G398)&lt;=0)),"Périodicité compteur manquante",IF(AND(J398&lt;&gt;"",OR(NOT(ISNUMBER(J398)),N(J398)&lt;=0)),"Date de réalisation invalide",IF(AND(K398&lt;&gt;"",OR(NOT(ISNUMBER(K398)),N(K398)&lt;0)),"Compteur de réalisation invalide",IF(AND(E398&lt;&gt;"Compteur",N(M398)=0,IFERROR(N(INDEX(eq_start,MATCH(B398,eq_code,0))),0)=0),"Date de départ manquante",IF(AND(E398&lt;&gt;"Calendrier",K398="",N(N398)=0),"Compteur de départ manquant",IF(AND(E398&lt;&gt;"Calendrier",N(Q398)=0),"Relevé compteur manquant (Équipements)",IF(AND(I398&lt;&gt;"",ISNA(MATCH(I398,tech_name,0))),"Technicien inconnu",IF(AND(L398&lt;&gt;"",L398&lt;&gt;"Oui",L398&lt;&gt;"Non"),"Actif : Oui ou Non","OK")))))))))))))))))</f>
        <v/>
      </c>
      <c r="W398" s="67">
        <f>IFERROR(N(INDEX(eq_use,MATCH(B398,eq_code,0))),0)</f>
        <v>0.0</v>
      </c>
      <c r="X398" s="67" t="str">
        <f>IF(AND(ISNUMBER(S398),W398&gt;0),p_today+MAX(0,ROUNDUP(S398*7/W398,0)),"")</f>
        <v/>
      </c>
      <c r="Y398" s="67" t="str">
        <f>IF(AND(ISNUMBER(T398),OR(U398="En retard",U398="Bientôt",U398="À jour")),IF(AND(ISNUMBER(O398),ISNUMBER(X398)),MIN(F398,G398*7/W398),IF(ISNUMBER(O398),F398,G398*7/W398)),"")</f>
        <v/>
      </c>
      <c r="Z398" s="67" t="str">
        <f>IF(OR(U398="En retard",U398="Bientôt"),IF(U398="En retard",0,1)*1000000000+IF(AB398="A",0,IF(AB398="B",1,IF(AB398="C",2,3)))*100000000+IF(ISNUMBER(T398),T398,p_today)*1000+ROW()-5,"")</f>
        <v/>
      </c>
      <c r="AA398" s="67" t="str">
        <f>IF(Z398="","",COUNTIF($Z$6:$Z$505,"&lt;"&amp;Z398)+1)</f>
        <v/>
      </c>
      <c r="AB398" s="67" t="str">
        <f>IFERROR(INDEX(eq_crit,MATCH(B398,eq_code,0))&amp;"","")</f>
        <v/>
      </c>
    </row>
    <row r="399">
      <c r="A399" s="65" t="n"/>
      <c r="B399" s="66" t="n"/>
      <c r="C399" s="67" t="str">
        <f>IF(B399="","",IFERROR(INDEX(eq_des,MATCH(B399,eq_code,0))&amp;"","Équipement inconnu"))</f>
        <v/>
      </c>
      <c r="D399" s="66" t="n"/>
      <c r="E399" s="68" t="n"/>
      <c r="F399" s="69" t="n"/>
      <c r="G399" s="70" t="n"/>
      <c r="H399" s="71" t="n"/>
      <c r="I399" s="66" t="n"/>
      <c r="J399" s="72" t="n"/>
      <c r="K399" s="73" t="n"/>
      <c r="L399" s="68" t="n"/>
      <c r="M399" s="74" t="str">
        <f>IF(AND(A399="",B399="",D399=""),"",MAX(N(J399),IF(A399="",0,SUMPRODUCT(MAX((in_plan=A399)*in_prev*in_dnum)))))</f>
        <v/>
      </c>
      <c r="N399" s="75" t="str">
        <f>IF(AND(A399="",B399="",D399=""),"",MAX(N(K399),IF(A399="",0,SUMPRODUCT(MAX((in_plan=A399)*in_prev*in_cnum)))))</f>
        <v/>
      </c>
      <c r="O399" s="76" t="str">
        <f>IF(AND(OR(E399="Calendrier",E399="Au premier des deux"),N(F399)&gt;0,IF(N(M399)&gt;0,M399,IFERROR(N(INDEX(eq_start,MATCH(B399,eq_code,0))),0))&gt;0),IF(N(M399)&gt;0,M399,IFERROR(N(INDEX(eq_start,MATCH(B399,eq_code,0))),0))+F399,"")</f>
        <v/>
      </c>
      <c r="P399" s="75" t="str">
        <f>IF(AND(OR(E399="Compteur",E399="Au premier des deux"),N(G399)&gt;0),N(N399)+G399,"")</f>
        <v/>
      </c>
      <c r="Q399" s="75" t="str">
        <f>IF(B399="","",IFERROR(N(INDEX(eq_cnt,MATCH(B399,eq_code,0))),""))</f>
        <v/>
      </c>
      <c r="R399" s="77" t="str">
        <f>IF(ISNUMBER(O399),O399-p_today,"")</f>
        <v/>
      </c>
      <c r="S399" s="78" t="str">
        <f>IF(AND(ISNUMBER(P399),N(Q399)&gt;0),P399-Q399,"")</f>
        <v/>
      </c>
      <c r="T399" s="76" t="str">
        <f>IF(AND(ISNUMBER(O399),ISNUMBER(X399)),MIN(O399,X399),IF(ISNUMBER(O399),O399,X399))</f>
        <v/>
      </c>
      <c r="U399" s="79" t="str">
        <f>IF(AND(A399="",B399="",D399=""),"",IF(L399="Non","Inactif",IF(AND(NOT(ISNUMBER(R399)),NOT(ISNUMBER(S399))),"À compléter",IF(OR(AND(ISNUMBER(R399),N(R399)&lt;0),AND(ISNUMBER(S399),N(S399)&lt;0)),"En retard",IF(OR(AND(ISNUMBER(R399),N(R399)&lt;=p_soon),AND(ISNUMBER(S399),N(S399)&lt;=p_soon_pct*N(G399))),"Bientôt","À jour")))))</f>
        <v/>
      </c>
      <c r="V399" s="79" t="str">
        <f>IF(AND(A399="",B399="",D399=""),"",IF(A399="","N° de plan manquant",IF(COUNTIF($A$6:$A$505,A399)&gt;1,"N° de plan en double",IF(B399="","Équipement manquant",IF(ISNA(MATCH(B399,eq_code,0)),"Équipement inconnu",IF(D399="","Tâche manquante",IF(E399="","Déclenchement manquant",IF(AND(E399&lt;&gt;"Calendrier",E399&lt;&gt;"Compteur",E399&lt;&gt;"Au premier des deux"),"Déclenchement inconnu",IF(AND(E399&lt;&gt;"Compteur",OR(NOT(ISNUMBER(F399)),N(F399)&lt;=0)),"Périodicité en jours manquante",IF(AND(E399&lt;&gt;"Calendrier",OR(NOT(ISNUMBER(G399)),N(G399)&lt;=0)),"Périodicité compteur manquante",IF(AND(J399&lt;&gt;"",OR(NOT(ISNUMBER(J399)),N(J399)&lt;=0)),"Date de réalisation invalide",IF(AND(K399&lt;&gt;"",OR(NOT(ISNUMBER(K399)),N(K399)&lt;0)),"Compteur de réalisation invalide",IF(AND(E399&lt;&gt;"Compteur",N(M399)=0,IFERROR(N(INDEX(eq_start,MATCH(B399,eq_code,0))),0)=0),"Date de départ manquante",IF(AND(E399&lt;&gt;"Calendrier",K399="",N(N399)=0),"Compteur de départ manquant",IF(AND(E399&lt;&gt;"Calendrier",N(Q399)=0),"Relevé compteur manquant (Équipements)",IF(AND(I399&lt;&gt;"",ISNA(MATCH(I399,tech_name,0))),"Technicien inconnu",IF(AND(L399&lt;&gt;"",L399&lt;&gt;"Oui",L399&lt;&gt;"Non"),"Actif : Oui ou Non","OK")))))))))))))))))</f>
        <v/>
      </c>
      <c r="W399" s="67">
        <f>IFERROR(N(INDEX(eq_use,MATCH(B399,eq_code,0))),0)</f>
        <v>0.0</v>
      </c>
      <c r="X399" s="67" t="str">
        <f>IF(AND(ISNUMBER(S399),W399&gt;0),p_today+MAX(0,ROUNDUP(S399*7/W399,0)),"")</f>
        <v/>
      </c>
      <c r="Y399" s="67" t="str">
        <f>IF(AND(ISNUMBER(T399),OR(U399="En retard",U399="Bientôt",U399="À jour")),IF(AND(ISNUMBER(O399),ISNUMBER(X399)),MIN(F399,G399*7/W399),IF(ISNUMBER(O399),F399,G399*7/W399)),"")</f>
        <v/>
      </c>
      <c r="Z399" s="67" t="str">
        <f>IF(OR(U399="En retard",U399="Bientôt"),IF(U399="En retard",0,1)*1000000000+IF(AB399="A",0,IF(AB399="B",1,IF(AB399="C",2,3)))*100000000+IF(ISNUMBER(T399),T399,p_today)*1000+ROW()-5,"")</f>
        <v/>
      </c>
      <c r="AA399" s="67" t="str">
        <f>IF(Z399="","",COUNTIF($Z$6:$Z$505,"&lt;"&amp;Z399)+1)</f>
        <v/>
      </c>
      <c r="AB399" s="67" t="str">
        <f>IFERROR(INDEX(eq_crit,MATCH(B399,eq_code,0))&amp;"","")</f>
        <v/>
      </c>
    </row>
    <row r="400">
      <c r="A400" s="65" t="n"/>
      <c r="B400" s="66" t="n"/>
      <c r="C400" s="67" t="str">
        <f>IF(B400="","",IFERROR(INDEX(eq_des,MATCH(B400,eq_code,0))&amp;"","Équipement inconnu"))</f>
        <v/>
      </c>
      <c r="D400" s="66" t="n"/>
      <c r="E400" s="68" t="n"/>
      <c r="F400" s="69" t="n"/>
      <c r="G400" s="70" t="n"/>
      <c r="H400" s="71" t="n"/>
      <c r="I400" s="66" t="n"/>
      <c r="J400" s="72" t="n"/>
      <c r="K400" s="73" t="n"/>
      <c r="L400" s="68" t="n"/>
      <c r="M400" s="74" t="str">
        <f>IF(AND(A400="",B400="",D400=""),"",MAX(N(J400),IF(A400="",0,SUMPRODUCT(MAX((in_plan=A400)*in_prev*in_dnum)))))</f>
        <v/>
      </c>
      <c r="N400" s="75" t="str">
        <f>IF(AND(A400="",B400="",D400=""),"",MAX(N(K400),IF(A400="",0,SUMPRODUCT(MAX((in_plan=A400)*in_prev*in_cnum)))))</f>
        <v/>
      </c>
      <c r="O400" s="76" t="str">
        <f>IF(AND(OR(E400="Calendrier",E400="Au premier des deux"),N(F400)&gt;0,IF(N(M400)&gt;0,M400,IFERROR(N(INDEX(eq_start,MATCH(B400,eq_code,0))),0))&gt;0),IF(N(M400)&gt;0,M400,IFERROR(N(INDEX(eq_start,MATCH(B400,eq_code,0))),0))+F400,"")</f>
        <v/>
      </c>
      <c r="P400" s="75" t="str">
        <f>IF(AND(OR(E400="Compteur",E400="Au premier des deux"),N(G400)&gt;0),N(N400)+G400,"")</f>
        <v/>
      </c>
      <c r="Q400" s="75" t="str">
        <f>IF(B400="","",IFERROR(N(INDEX(eq_cnt,MATCH(B400,eq_code,0))),""))</f>
        <v/>
      </c>
      <c r="R400" s="77" t="str">
        <f>IF(ISNUMBER(O400),O400-p_today,"")</f>
        <v/>
      </c>
      <c r="S400" s="78" t="str">
        <f>IF(AND(ISNUMBER(P400),N(Q400)&gt;0),P400-Q400,"")</f>
        <v/>
      </c>
      <c r="T400" s="76" t="str">
        <f>IF(AND(ISNUMBER(O400),ISNUMBER(X400)),MIN(O400,X400),IF(ISNUMBER(O400),O400,X400))</f>
        <v/>
      </c>
      <c r="U400" s="79" t="str">
        <f>IF(AND(A400="",B400="",D400=""),"",IF(L400="Non","Inactif",IF(AND(NOT(ISNUMBER(R400)),NOT(ISNUMBER(S400))),"À compléter",IF(OR(AND(ISNUMBER(R400),N(R400)&lt;0),AND(ISNUMBER(S400),N(S400)&lt;0)),"En retard",IF(OR(AND(ISNUMBER(R400),N(R400)&lt;=p_soon),AND(ISNUMBER(S400),N(S400)&lt;=p_soon_pct*N(G400))),"Bientôt","À jour")))))</f>
        <v/>
      </c>
      <c r="V400" s="79" t="str">
        <f>IF(AND(A400="",B400="",D400=""),"",IF(A400="","N° de plan manquant",IF(COUNTIF($A$6:$A$505,A400)&gt;1,"N° de plan en double",IF(B400="","Équipement manquant",IF(ISNA(MATCH(B400,eq_code,0)),"Équipement inconnu",IF(D400="","Tâche manquante",IF(E400="","Déclenchement manquant",IF(AND(E400&lt;&gt;"Calendrier",E400&lt;&gt;"Compteur",E400&lt;&gt;"Au premier des deux"),"Déclenchement inconnu",IF(AND(E400&lt;&gt;"Compteur",OR(NOT(ISNUMBER(F400)),N(F400)&lt;=0)),"Périodicité en jours manquante",IF(AND(E400&lt;&gt;"Calendrier",OR(NOT(ISNUMBER(G400)),N(G400)&lt;=0)),"Périodicité compteur manquante",IF(AND(J400&lt;&gt;"",OR(NOT(ISNUMBER(J400)),N(J400)&lt;=0)),"Date de réalisation invalide",IF(AND(K400&lt;&gt;"",OR(NOT(ISNUMBER(K400)),N(K400)&lt;0)),"Compteur de réalisation invalide",IF(AND(E400&lt;&gt;"Compteur",N(M400)=0,IFERROR(N(INDEX(eq_start,MATCH(B400,eq_code,0))),0)=0),"Date de départ manquante",IF(AND(E400&lt;&gt;"Calendrier",K400="",N(N400)=0),"Compteur de départ manquant",IF(AND(E400&lt;&gt;"Calendrier",N(Q400)=0),"Relevé compteur manquant (Équipements)",IF(AND(I400&lt;&gt;"",ISNA(MATCH(I400,tech_name,0))),"Technicien inconnu",IF(AND(L400&lt;&gt;"",L400&lt;&gt;"Oui",L400&lt;&gt;"Non"),"Actif : Oui ou Non","OK")))))))))))))))))</f>
        <v/>
      </c>
      <c r="W400" s="67">
        <f>IFERROR(N(INDEX(eq_use,MATCH(B400,eq_code,0))),0)</f>
        <v>0.0</v>
      </c>
      <c r="X400" s="67" t="str">
        <f>IF(AND(ISNUMBER(S400),W400&gt;0),p_today+MAX(0,ROUNDUP(S400*7/W400,0)),"")</f>
        <v/>
      </c>
      <c r="Y400" s="67" t="str">
        <f>IF(AND(ISNUMBER(T400),OR(U400="En retard",U400="Bientôt",U400="À jour")),IF(AND(ISNUMBER(O400),ISNUMBER(X400)),MIN(F400,G400*7/W400),IF(ISNUMBER(O400),F400,G400*7/W400)),"")</f>
        <v/>
      </c>
      <c r="Z400" s="67" t="str">
        <f>IF(OR(U400="En retard",U400="Bientôt"),IF(U400="En retard",0,1)*1000000000+IF(AB400="A",0,IF(AB400="B",1,IF(AB400="C",2,3)))*100000000+IF(ISNUMBER(T400),T400,p_today)*1000+ROW()-5,"")</f>
        <v/>
      </c>
      <c r="AA400" s="67" t="str">
        <f>IF(Z400="","",COUNTIF($Z$6:$Z$505,"&lt;"&amp;Z400)+1)</f>
        <v/>
      </c>
      <c r="AB400" s="67" t="str">
        <f>IFERROR(INDEX(eq_crit,MATCH(B400,eq_code,0))&amp;"","")</f>
        <v/>
      </c>
    </row>
    <row r="401">
      <c r="A401" s="65" t="n"/>
      <c r="B401" s="66" t="n"/>
      <c r="C401" s="67" t="str">
        <f>IF(B401="","",IFERROR(INDEX(eq_des,MATCH(B401,eq_code,0))&amp;"","Équipement inconnu"))</f>
        <v/>
      </c>
      <c r="D401" s="66" t="n"/>
      <c r="E401" s="68" t="n"/>
      <c r="F401" s="69" t="n"/>
      <c r="G401" s="70" t="n"/>
      <c r="H401" s="71" t="n"/>
      <c r="I401" s="66" t="n"/>
      <c r="J401" s="72" t="n"/>
      <c r="K401" s="73" t="n"/>
      <c r="L401" s="68" t="n"/>
      <c r="M401" s="74" t="str">
        <f>IF(AND(A401="",B401="",D401=""),"",MAX(N(J401),IF(A401="",0,SUMPRODUCT(MAX((in_plan=A401)*in_prev*in_dnum)))))</f>
        <v/>
      </c>
      <c r="N401" s="75" t="str">
        <f>IF(AND(A401="",B401="",D401=""),"",MAX(N(K401),IF(A401="",0,SUMPRODUCT(MAX((in_plan=A401)*in_prev*in_cnum)))))</f>
        <v/>
      </c>
      <c r="O401" s="76" t="str">
        <f>IF(AND(OR(E401="Calendrier",E401="Au premier des deux"),N(F401)&gt;0,IF(N(M401)&gt;0,M401,IFERROR(N(INDEX(eq_start,MATCH(B401,eq_code,0))),0))&gt;0),IF(N(M401)&gt;0,M401,IFERROR(N(INDEX(eq_start,MATCH(B401,eq_code,0))),0))+F401,"")</f>
        <v/>
      </c>
      <c r="P401" s="75" t="str">
        <f>IF(AND(OR(E401="Compteur",E401="Au premier des deux"),N(G401)&gt;0),N(N401)+G401,"")</f>
        <v/>
      </c>
      <c r="Q401" s="75" t="str">
        <f>IF(B401="","",IFERROR(N(INDEX(eq_cnt,MATCH(B401,eq_code,0))),""))</f>
        <v/>
      </c>
      <c r="R401" s="77" t="str">
        <f>IF(ISNUMBER(O401),O401-p_today,"")</f>
        <v/>
      </c>
      <c r="S401" s="78" t="str">
        <f>IF(AND(ISNUMBER(P401),N(Q401)&gt;0),P401-Q401,"")</f>
        <v/>
      </c>
      <c r="T401" s="76" t="str">
        <f>IF(AND(ISNUMBER(O401),ISNUMBER(X401)),MIN(O401,X401),IF(ISNUMBER(O401),O401,X401))</f>
        <v/>
      </c>
      <c r="U401" s="79" t="str">
        <f>IF(AND(A401="",B401="",D401=""),"",IF(L401="Non","Inactif",IF(AND(NOT(ISNUMBER(R401)),NOT(ISNUMBER(S401))),"À compléter",IF(OR(AND(ISNUMBER(R401),N(R401)&lt;0),AND(ISNUMBER(S401),N(S401)&lt;0)),"En retard",IF(OR(AND(ISNUMBER(R401),N(R401)&lt;=p_soon),AND(ISNUMBER(S401),N(S401)&lt;=p_soon_pct*N(G401))),"Bientôt","À jour")))))</f>
        <v/>
      </c>
      <c r="V401" s="79" t="str">
        <f>IF(AND(A401="",B401="",D401=""),"",IF(A401="","N° de plan manquant",IF(COUNTIF($A$6:$A$505,A401)&gt;1,"N° de plan en double",IF(B401="","Équipement manquant",IF(ISNA(MATCH(B401,eq_code,0)),"Équipement inconnu",IF(D401="","Tâche manquante",IF(E401="","Déclenchement manquant",IF(AND(E401&lt;&gt;"Calendrier",E401&lt;&gt;"Compteur",E401&lt;&gt;"Au premier des deux"),"Déclenchement inconnu",IF(AND(E401&lt;&gt;"Compteur",OR(NOT(ISNUMBER(F401)),N(F401)&lt;=0)),"Périodicité en jours manquante",IF(AND(E401&lt;&gt;"Calendrier",OR(NOT(ISNUMBER(G401)),N(G401)&lt;=0)),"Périodicité compteur manquante",IF(AND(J401&lt;&gt;"",OR(NOT(ISNUMBER(J401)),N(J401)&lt;=0)),"Date de réalisation invalide",IF(AND(K401&lt;&gt;"",OR(NOT(ISNUMBER(K401)),N(K401)&lt;0)),"Compteur de réalisation invalide",IF(AND(E401&lt;&gt;"Compteur",N(M401)=0,IFERROR(N(INDEX(eq_start,MATCH(B401,eq_code,0))),0)=0),"Date de départ manquante",IF(AND(E401&lt;&gt;"Calendrier",K401="",N(N401)=0),"Compteur de départ manquant",IF(AND(E401&lt;&gt;"Calendrier",N(Q401)=0),"Relevé compteur manquant (Équipements)",IF(AND(I401&lt;&gt;"",ISNA(MATCH(I401,tech_name,0))),"Technicien inconnu",IF(AND(L401&lt;&gt;"",L401&lt;&gt;"Oui",L401&lt;&gt;"Non"),"Actif : Oui ou Non","OK")))))))))))))))))</f>
        <v/>
      </c>
      <c r="W401" s="67">
        <f>IFERROR(N(INDEX(eq_use,MATCH(B401,eq_code,0))),0)</f>
        <v>0.0</v>
      </c>
      <c r="X401" s="67" t="str">
        <f>IF(AND(ISNUMBER(S401),W401&gt;0),p_today+MAX(0,ROUNDUP(S401*7/W401,0)),"")</f>
        <v/>
      </c>
      <c r="Y401" s="67" t="str">
        <f>IF(AND(ISNUMBER(T401),OR(U401="En retard",U401="Bientôt",U401="À jour")),IF(AND(ISNUMBER(O401),ISNUMBER(X401)),MIN(F401,G401*7/W401),IF(ISNUMBER(O401),F401,G401*7/W401)),"")</f>
        <v/>
      </c>
      <c r="Z401" s="67" t="str">
        <f>IF(OR(U401="En retard",U401="Bientôt"),IF(U401="En retard",0,1)*1000000000+IF(AB401="A",0,IF(AB401="B",1,IF(AB401="C",2,3)))*100000000+IF(ISNUMBER(T401),T401,p_today)*1000+ROW()-5,"")</f>
        <v/>
      </c>
      <c r="AA401" s="67" t="str">
        <f>IF(Z401="","",COUNTIF($Z$6:$Z$505,"&lt;"&amp;Z401)+1)</f>
        <v/>
      </c>
      <c r="AB401" s="67" t="str">
        <f>IFERROR(INDEX(eq_crit,MATCH(B401,eq_code,0))&amp;"","")</f>
        <v/>
      </c>
    </row>
    <row r="402">
      <c r="A402" s="65" t="n"/>
      <c r="B402" s="66" t="n"/>
      <c r="C402" s="67" t="str">
        <f>IF(B402="","",IFERROR(INDEX(eq_des,MATCH(B402,eq_code,0))&amp;"","Équipement inconnu"))</f>
        <v/>
      </c>
      <c r="D402" s="66" t="n"/>
      <c r="E402" s="68" t="n"/>
      <c r="F402" s="69" t="n"/>
      <c r="G402" s="70" t="n"/>
      <c r="H402" s="71" t="n"/>
      <c r="I402" s="66" t="n"/>
      <c r="J402" s="72" t="n"/>
      <c r="K402" s="73" t="n"/>
      <c r="L402" s="68" t="n"/>
      <c r="M402" s="74" t="str">
        <f>IF(AND(A402="",B402="",D402=""),"",MAX(N(J402),IF(A402="",0,SUMPRODUCT(MAX((in_plan=A402)*in_prev*in_dnum)))))</f>
        <v/>
      </c>
      <c r="N402" s="75" t="str">
        <f>IF(AND(A402="",B402="",D402=""),"",MAX(N(K402),IF(A402="",0,SUMPRODUCT(MAX((in_plan=A402)*in_prev*in_cnum)))))</f>
        <v/>
      </c>
      <c r="O402" s="76" t="str">
        <f>IF(AND(OR(E402="Calendrier",E402="Au premier des deux"),N(F402)&gt;0,IF(N(M402)&gt;0,M402,IFERROR(N(INDEX(eq_start,MATCH(B402,eq_code,0))),0))&gt;0),IF(N(M402)&gt;0,M402,IFERROR(N(INDEX(eq_start,MATCH(B402,eq_code,0))),0))+F402,"")</f>
        <v/>
      </c>
      <c r="P402" s="75" t="str">
        <f>IF(AND(OR(E402="Compteur",E402="Au premier des deux"),N(G402)&gt;0),N(N402)+G402,"")</f>
        <v/>
      </c>
      <c r="Q402" s="75" t="str">
        <f>IF(B402="","",IFERROR(N(INDEX(eq_cnt,MATCH(B402,eq_code,0))),""))</f>
        <v/>
      </c>
      <c r="R402" s="77" t="str">
        <f>IF(ISNUMBER(O402),O402-p_today,"")</f>
        <v/>
      </c>
      <c r="S402" s="78" t="str">
        <f>IF(AND(ISNUMBER(P402),N(Q402)&gt;0),P402-Q402,"")</f>
        <v/>
      </c>
      <c r="T402" s="76" t="str">
        <f>IF(AND(ISNUMBER(O402),ISNUMBER(X402)),MIN(O402,X402),IF(ISNUMBER(O402),O402,X402))</f>
        <v/>
      </c>
      <c r="U402" s="79" t="str">
        <f>IF(AND(A402="",B402="",D402=""),"",IF(L402="Non","Inactif",IF(AND(NOT(ISNUMBER(R402)),NOT(ISNUMBER(S402))),"À compléter",IF(OR(AND(ISNUMBER(R402),N(R402)&lt;0),AND(ISNUMBER(S402),N(S402)&lt;0)),"En retard",IF(OR(AND(ISNUMBER(R402),N(R402)&lt;=p_soon),AND(ISNUMBER(S402),N(S402)&lt;=p_soon_pct*N(G402))),"Bientôt","À jour")))))</f>
        <v/>
      </c>
      <c r="V402" s="79" t="str">
        <f>IF(AND(A402="",B402="",D402=""),"",IF(A402="","N° de plan manquant",IF(COUNTIF($A$6:$A$505,A402)&gt;1,"N° de plan en double",IF(B402="","Équipement manquant",IF(ISNA(MATCH(B402,eq_code,0)),"Équipement inconnu",IF(D402="","Tâche manquante",IF(E402="","Déclenchement manquant",IF(AND(E402&lt;&gt;"Calendrier",E402&lt;&gt;"Compteur",E402&lt;&gt;"Au premier des deux"),"Déclenchement inconnu",IF(AND(E402&lt;&gt;"Compteur",OR(NOT(ISNUMBER(F402)),N(F402)&lt;=0)),"Périodicité en jours manquante",IF(AND(E402&lt;&gt;"Calendrier",OR(NOT(ISNUMBER(G402)),N(G402)&lt;=0)),"Périodicité compteur manquante",IF(AND(J402&lt;&gt;"",OR(NOT(ISNUMBER(J402)),N(J402)&lt;=0)),"Date de réalisation invalide",IF(AND(K402&lt;&gt;"",OR(NOT(ISNUMBER(K402)),N(K402)&lt;0)),"Compteur de réalisation invalide",IF(AND(E402&lt;&gt;"Compteur",N(M402)=0,IFERROR(N(INDEX(eq_start,MATCH(B402,eq_code,0))),0)=0),"Date de départ manquante",IF(AND(E402&lt;&gt;"Calendrier",K402="",N(N402)=0),"Compteur de départ manquant",IF(AND(E402&lt;&gt;"Calendrier",N(Q402)=0),"Relevé compteur manquant (Équipements)",IF(AND(I402&lt;&gt;"",ISNA(MATCH(I402,tech_name,0))),"Technicien inconnu",IF(AND(L402&lt;&gt;"",L402&lt;&gt;"Oui",L402&lt;&gt;"Non"),"Actif : Oui ou Non","OK")))))))))))))))))</f>
        <v/>
      </c>
      <c r="W402" s="67">
        <f>IFERROR(N(INDEX(eq_use,MATCH(B402,eq_code,0))),0)</f>
        <v>0.0</v>
      </c>
      <c r="X402" s="67" t="str">
        <f>IF(AND(ISNUMBER(S402),W402&gt;0),p_today+MAX(0,ROUNDUP(S402*7/W402,0)),"")</f>
        <v/>
      </c>
      <c r="Y402" s="67" t="str">
        <f>IF(AND(ISNUMBER(T402),OR(U402="En retard",U402="Bientôt",U402="À jour")),IF(AND(ISNUMBER(O402),ISNUMBER(X402)),MIN(F402,G402*7/W402),IF(ISNUMBER(O402),F402,G402*7/W402)),"")</f>
        <v/>
      </c>
      <c r="Z402" s="67" t="str">
        <f>IF(OR(U402="En retard",U402="Bientôt"),IF(U402="En retard",0,1)*1000000000+IF(AB402="A",0,IF(AB402="B",1,IF(AB402="C",2,3)))*100000000+IF(ISNUMBER(T402),T402,p_today)*1000+ROW()-5,"")</f>
        <v/>
      </c>
      <c r="AA402" s="67" t="str">
        <f>IF(Z402="","",COUNTIF($Z$6:$Z$505,"&lt;"&amp;Z402)+1)</f>
        <v/>
      </c>
      <c r="AB402" s="67" t="str">
        <f>IFERROR(INDEX(eq_crit,MATCH(B402,eq_code,0))&amp;"","")</f>
        <v/>
      </c>
    </row>
    <row r="403">
      <c r="A403" s="65" t="n"/>
      <c r="B403" s="66" t="n"/>
      <c r="C403" s="67" t="str">
        <f>IF(B403="","",IFERROR(INDEX(eq_des,MATCH(B403,eq_code,0))&amp;"","Équipement inconnu"))</f>
        <v/>
      </c>
      <c r="D403" s="66" t="n"/>
      <c r="E403" s="68" t="n"/>
      <c r="F403" s="69" t="n"/>
      <c r="G403" s="70" t="n"/>
      <c r="H403" s="71" t="n"/>
      <c r="I403" s="66" t="n"/>
      <c r="J403" s="72" t="n"/>
      <c r="K403" s="73" t="n"/>
      <c r="L403" s="68" t="n"/>
      <c r="M403" s="74" t="str">
        <f>IF(AND(A403="",B403="",D403=""),"",MAX(N(J403),IF(A403="",0,SUMPRODUCT(MAX((in_plan=A403)*in_prev*in_dnum)))))</f>
        <v/>
      </c>
      <c r="N403" s="75" t="str">
        <f>IF(AND(A403="",B403="",D403=""),"",MAX(N(K403),IF(A403="",0,SUMPRODUCT(MAX((in_plan=A403)*in_prev*in_cnum)))))</f>
        <v/>
      </c>
      <c r="O403" s="76" t="str">
        <f>IF(AND(OR(E403="Calendrier",E403="Au premier des deux"),N(F403)&gt;0,IF(N(M403)&gt;0,M403,IFERROR(N(INDEX(eq_start,MATCH(B403,eq_code,0))),0))&gt;0),IF(N(M403)&gt;0,M403,IFERROR(N(INDEX(eq_start,MATCH(B403,eq_code,0))),0))+F403,"")</f>
        <v/>
      </c>
      <c r="P403" s="75" t="str">
        <f>IF(AND(OR(E403="Compteur",E403="Au premier des deux"),N(G403)&gt;0),N(N403)+G403,"")</f>
        <v/>
      </c>
      <c r="Q403" s="75" t="str">
        <f>IF(B403="","",IFERROR(N(INDEX(eq_cnt,MATCH(B403,eq_code,0))),""))</f>
        <v/>
      </c>
      <c r="R403" s="77" t="str">
        <f>IF(ISNUMBER(O403),O403-p_today,"")</f>
        <v/>
      </c>
      <c r="S403" s="78" t="str">
        <f>IF(AND(ISNUMBER(P403),N(Q403)&gt;0),P403-Q403,"")</f>
        <v/>
      </c>
      <c r="T403" s="76" t="str">
        <f>IF(AND(ISNUMBER(O403),ISNUMBER(X403)),MIN(O403,X403),IF(ISNUMBER(O403),O403,X403))</f>
        <v/>
      </c>
      <c r="U403" s="79" t="str">
        <f>IF(AND(A403="",B403="",D403=""),"",IF(L403="Non","Inactif",IF(AND(NOT(ISNUMBER(R403)),NOT(ISNUMBER(S403))),"À compléter",IF(OR(AND(ISNUMBER(R403),N(R403)&lt;0),AND(ISNUMBER(S403),N(S403)&lt;0)),"En retard",IF(OR(AND(ISNUMBER(R403),N(R403)&lt;=p_soon),AND(ISNUMBER(S403),N(S403)&lt;=p_soon_pct*N(G403))),"Bientôt","À jour")))))</f>
        <v/>
      </c>
      <c r="V403" s="79" t="str">
        <f>IF(AND(A403="",B403="",D403=""),"",IF(A403="","N° de plan manquant",IF(COUNTIF($A$6:$A$505,A403)&gt;1,"N° de plan en double",IF(B403="","Équipement manquant",IF(ISNA(MATCH(B403,eq_code,0)),"Équipement inconnu",IF(D403="","Tâche manquante",IF(E403="","Déclenchement manquant",IF(AND(E403&lt;&gt;"Calendrier",E403&lt;&gt;"Compteur",E403&lt;&gt;"Au premier des deux"),"Déclenchement inconnu",IF(AND(E403&lt;&gt;"Compteur",OR(NOT(ISNUMBER(F403)),N(F403)&lt;=0)),"Périodicité en jours manquante",IF(AND(E403&lt;&gt;"Calendrier",OR(NOT(ISNUMBER(G403)),N(G403)&lt;=0)),"Périodicité compteur manquante",IF(AND(J403&lt;&gt;"",OR(NOT(ISNUMBER(J403)),N(J403)&lt;=0)),"Date de réalisation invalide",IF(AND(K403&lt;&gt;"",OR(NOT(ISNUMBER(K403)),N(K403)&lt;0)),"Compteur de réalisation invalide",IF(AND(E403&lt;&gt;"Compteur",N(M403)=0,IFERROR(N(INDEX(eq_start,MATCH(B403,eq_code,0))),0)=0),"Date de départ manquante",IF(AND(E403&lt;&gt;"Calendrier",K403="",N(N403)=0),"Compteur de départ manquant",IF(AND(E403&lt;&gt;"Calendrier",N(Q403)=0),"Relevé compteur manquant (Équipements)",IF(AND(I403&lt;&gt;"",ISNA(MATCH(I403,tech_name,0))),"Technicien inconnu",IF(AND(L403&lt;&gt;"",L403&lt;&gt;"Oui",L403&lt;&gt;"Non"),"Actif : Oui ou Non","OK")))))))))))))))))</f>
        <v/>
      </c>
      <c r="W403" s="67">
        <f>IFERROR(N(INDEX(eq_use,MATCH(B403,eq_code,0))),0)</f>
        <v>0.0</v>
      </c>
      <c r="X403" s="67" t="str">
        <f>IF(AND(ISNUMBER(S403),W403&gt;0),p_today+MAX(0,ROUNDUP(S403*7/W403,0)),"")</f>
        <v/>
      </c>
      <c r="Y403" s="67" t="str">
        <f>IF(AND(ISNUMBER(T403),OR(U403="En retard",U403="Bientôt",U403="À jour")),IF(AND(ISNUMBER(O403),ISNUMBER(X403)),MIN(F403,G403*7/W403),IF(ISNUMBER(O403),F403,G403*7/W403)),"")</f>
        <v/>
      </c>
      <c r="Z403" s="67" t="str">
        <f>IF(OR(U403="En retard",U403="Bientôt"),IF(U403="En retard",0,1)*1000000000+IF(AB403="A",0,IF(AB403="B",1,IF(AB403="C",2,3)))*100000000+IF(ISNUMBER(T403),T403,p_today)*1000+ROW()-5,"")</f>
        <v/>
      </c>
      <c r="AA403" s="67" t="str">
        <f>IF(Z403="","",COUNTIF($Z$6:$Z$505,"&lt;"&amp;Z403)+1)</f>
        <v/>
      </c>
      <c r="AB403" s="67" t="str">
        <f>IFERROR(INDEX(eq_crit,MATCH(B403,eq_code,0))&amp;"","")</f>
        <v/>
      </c>
    </row>
    <row r="404">
      <c r="A404" s="65" t="n"/>
      <c r="B404" s="66" t="n"/>
      <c r="C404" s="67" t="str">
        <f>IF(B404="","",IFERROR(INDEX(eq_des,MATCH(B404,eq_code,0))&amp;"","Équipement inconnu"))</f>
        <v/>
      </c>
      <c r="D404" s="66" t="n"/>
      <c r="E404" s="68" t="n"/>
      <c r="F404" s="69" t="n"/>
      <c r="G404" s="70" t="n"/>
      <c r="H404" s="71" t="n"/>
      <c r="I404" s="66" t="n"/>
      <c r="J404" s="72" t="n"/>
      <c r="K404" s="73" t="n"/>
      <c r="L404" s="68" t="n"/>
      <c r="M404" s="74" t="str">
        <f>IF(AND(A404="",B404="",D404=""),"",MAX(N(J404),IF(A404="",0,SUMPRODUCT(MAX((in_plan=A404)*in_prev*in_dnum)))))</f>
        <v/>
      </c>
      <c r="N404" s="75" t="str">
        <f>IF(AND(A404="",B404="",D404=""),"",MAX(N(K404),IF(A404="",0,SUMPRODUCT(MAX((in_plan=A404)*in_prev*in_cnum)))))</f>
        <v/>
      </c>
      <c r="O404" s="76" t="str">
        <f>IF(AND(OR(E404="Calendrier",E404="Au premier des deux"),N(F404)&gt;0,IF(N(M404)&gt;0,M404,IFERROR(N(INDEX(eq_start,MATCH(B404,eq_code,0))),0))&gt;0),IF(N(M404)&gt;0,M404,IFERROR(N(INDEX(eq_start,MATCH(B404,eq_code,0))),0))+F404,"")</f>
        <v/>
      </c>
      <c r="P404" s="75" t="str">
        <f>IF(AND(OR(E404="Compteur",E404="Au premier des deux"),N(G404)&gt;0),N(N404)+G404,"")</f>
        <v/>
      </c>
      <c r="Q404" s="75" t="str">
        <f>IF(B404="","",IFERROR(N(INDEX(eq_cnt,MATCH(B404,eq_code,0))),""))</f>
        <v/>
      </c>
      <c r="R404" s="77" t="str">
        <f>IF(ISNUMBER(O404),O404-p_today,"")</f>
        <v/>
      </c>
      <c r="S404" s="78" t="str">
        <f>IF(AND(ISNUMBER(P404),N(Q404)&gt;0),P404-Q404,"")</f>
        <v/>
      </c>
      <c r="T404" s="76" t="str">
        <f>IF(AND(ISNUMBER(O404),ISNUMBER(X404)),MIN(O404,X404),IF(ISNUMBER(O404),O404,X404))</f>
        <v/>
      </c>
      <c r="U404" s="79" t="str">
        <f>IF(AND(A404="",B404="",D404=""),"",IF(L404="Non","Inactif",IF(AND(NOT(ISNUMBER(R404)),NOT(ISNUMBER(S404))),"À compléter",IF(OR(AND(ISNUMBER(R404),N(R404)&lt;0),AND(ISNUMBER(S404),N(S404)&lt;0)),"En retard",IF(OR(AND(ISNUMBER(R404),N(R404)&lt;=p_soon),AND(ISNUMBER(S404),N(S404)&lt;=p_soon_pct*N(G404))),"Bientôt","À jour")))))</f>
        <v/>
      </c>
      <c r="V404" s="79" t="str">
        <f>IF(AND(A404="",B404="",D404=""),"",IF(A404="","N° de plan manquant",IF(COUNTIF($A$6:$A$505,A404)&gt;1,"N° de plan en double",IF(B404="","Équipement manquant",IF(ISNA(MATCH(B404,eq_code,0)),"Équipement inconnu",IF(D404="","Tâche manquante",IF(E404="","Déclenchement manquant",IF(AND(E404&lt;&gt;"Calendrier",E404&lt;&gt;"Compteur",E404&lt;&gt;"Au premier des deux"),"Déclenchement inconnu",IF(AND(E404&lt;&gt;"Compteur",OR(NOT(ISNUMBER(F404)),N(F404)&lt;=0)),"Périodicité en jours manquante",IF(AND(E404&lt;&gt;"Calendrier",OR(NOT(ISNUMBER(G404)),N(G404)&lt;=0)),"Périodicité compteur manquante",IF(AND(J404&lt;&gt;"",OR(NOT(ISNUMBER(J404)),N(J404)&lt;=0)),"Date de réalisation invalide",IF(AND(K404&lt;&gt;"",OR(NOT(ISNUMBER(K404)),N(K404)&lt;0)),"Compteur de réalisation invalide",IF(AND(E404&lt;&gt;"Compteur",N(M404)=0,IFERROR(N(INDEX(eq_start,MATCH(B404,eq_code,0))),0)=0),"Date de départ manquante",IF(AND(E404&lt;&gt;"Calendrier",K404="",N(N404)=0),"Compteur de départ manquant",IF(AND(E404&lt;&gt;"Calendrier",N(Q404)=0),"Relevé compteur manquant (Équipements)",IF(AND(I404&lt;&gt;"",ISNA(MATCH(I404,tech_name,0))),"Technicien inconnu",IF(AND(L404&lt;&gt;"",L404&lt;&gt;"Oui",L404&lt;&gt;"Non"),"Actif : Oui ou Non","OK")))))))))))))))))</f>
        <v/>
      </c>
      <c r="W404" s="67">
        <f>IFERROR(N(INDEX(eq_use,MATCH(B404,eq_code,0))),0)</f>
        <v>0.0</v>
      </c>
      <c r="X404" s="67" t="str">
        <f>IF(AND(ISNUMBER(S404),W404&gt;0),p_today+MAX(0,ROUNDUP(S404*7/W404,0)),"")</f>
        <v/>
      </c>
      <c r="Y404" s="67" t="str">
        <f>IF(AND(ISNUMBER(T404),OR(U404="En retard",U404="Bientôt",U404="À jour")),IF(AND(ISNUMBER(O404),ISNUMBER(X404)),MIN(F404,G404*7/W404),IF(ISNUMBER(O404),F404,G404*7/W404)),"")</f>
        <v/>
      </c>
      <c r="Z404" s="67" t="str">
        <f>IF(OR(U404="En retard",U404="Bientôt"),IF(U404="En retard",0,1)*1000000000+IF(AB404="A",0,IF(AB404="B",1,IF(AB404="C",2,3)))*100000000+IF(ISNUMBER(T404),T404,p_today)*1000+ROW()-5,"")</f>
        <v/>
      </c>
      <c r="AA404" s="67" t="str">
        <f>IF(Z404="","",COUNTIF($Z$6:$Z$505,"&lt;"&amp;Z404)+1)</f>
        <v/>
      </c>
      <c r="AB404" s="67" t="str">
        <f>IFERROR(INDEX(eq_crit,MATCH(B404,eq_code,0))&amp;"","")</f>
        <v/>
      </c>
    </row>
    <row r="405">
      <c r="A405" s="65" t="n"/>
      <c r="B405" s="66" t="n"/>
      <c r="C405" s="67" t="str">
        <f>IF(B405="","",IFERROR(INDEX(eq_des,MATCH(B405,eq_code,0))&amp;"","Équipement inconnu"))</f>
        <v/>
      </c>
      <c r="D405" s="66" t="n"/>
      <c r="E405" s="68" t="n"/>
      <c r="F405" s="69" t="n"/>
      <c r="G405" s="70" t="n"/>
      <c r="H405" s="71" t="n"/>
      <c r="I405" s="66" t="n"/>
      <c r="J405" s="72" t="n"/>
      <c r="K405" s="73" t="n"/>
      <c r="L405" s="68" t="n"/>
      <c r="M405" s="74" t="str">
        <f>IF(AND(A405="",B405="",D405=""),"",MAX(N(J405),IF(A405="",0,SUMPRODUCT(MAX((in_plan=A405)*in_prev*in_dnum)))))</f>
        <v/>
      </c>
      <c r="N405" s="75" t="str">
        <f>IF(AND(A405="",B405="",D405=""),"",MAX(N(K405),IF(A405="",0,SUMPRODUCT(MAX((in_plan=A405)*in_prev*in_cnum)))))</f>
        <v/>
      </c>
      <c r="O405" s="76" t="str">
        <f>IF(AND(OR(E405="Calendrier",E405="Au premier des deux"),N(F405)&gt;0,IF(N(M405)&gt;0,M405,IFERROR(N(INDEX(eq_start,MATCH(B405,eq_code,0))),0))&gt;0),IF(N(M405)&gt;0,M405,IFERROR(N(INDEX(eq_start,MATCH(B405,eq_code,0))),0))+F405,"")</f>
        <v/>
      </c>
      <c r="P405" s="75" t="str">
        <f>IF(AND(OR(E405="Compteur",E405="Au premier des deux"),N(G405)&gt;0),N(N405)+G405,"")</f>
        <v/>
      </c>
      <c r="Q405" s="75" t="str">
        <f>IF(B405="","",IFERROR(N(INDEX(eq_cnt,MATCH(B405,eq_code,0))),""))</f>
        <v/>
      </c>
      <c r="R405" s="77" t="str">
        <f>IF(ISNUMBER(O405),O405-p_today,"")</f>
        <v/>
      </c>
      <c r="S405" s="78" t="str">
        <f>IF(AND(ISNUMBER(P405),N(Q405)&gt;0),P405-Q405,"")</f>
        <v/>
      </c>
      <c r="T405" s="76" t="str">
        <f>IF(AND(ISNUMBER(O405),ISNUMBER(X405)),MIN(O405,X405),IF(ISNUMBER(O405),O405,X405))</f>
        <v/>
      </c>
      <c r="U405" s="79" t="str">
        <f>IF(AND(A405="",B405="",D405=""),"",IF(L405="Non","Inactif",IF(AND(NOT(ISNUMBER(R405)),NOT(ISNUMBER(S405))),"À compléter",IF(OR(AND(ISNUMBER(R405),N(R405)&lt;0),AND(ISNUMBER(S405),N(S405)&lt;0)),"En retard",IF(OR(AND(ISNUMBER(R405),N(R405)&lt;=p_soon),AND(ISNUMBER(S405),N(S405)&lt;=p_soon_pct*N(G405))),"Bientôt","À jour")))))</f>
        <v/>
      </c>
      <c r="V405" s="79" t="str">
        <f>IF(AND(A405="",B405="",D405=""),"",IF(A405="","N° de plan manquant",IF(COUNTIF($A$6:$A$505,A405)&gt;1,"N° de plan en double",IF(B405="","Équipement manquant",IF(ISNA(MATCH(B405,eq_code,0)),"Équipement inconnu",IF(D405="","Tâche manquante",IF(E405="","Déclenchement manquant",IF(AND(E405&lt;&gt;"Calendrier",E405&lt;&gt;"Compteur",E405&lt;&gt;"Au premier des deux"),"Déclenchement inconnu",IF(AND(E405&lt;&gt;"Compteur",OR(NOT(ISNUMBER(F405)),N(F405)&lt;=0)),"Périodicité en jours manquante",IF(AND(E405&lt;&gt;"Calendrier",OR(NOT(ISNUMBER(G405)),N(G405)&lt;=0)),"Périodicité compteur manquante",IF(AND(J405&lt;&gt;"",OR(NOT(ISNUMBER(J405)),N(J405)&lt;=0)),"Date de réalisation invalide",IF(AND(K405&lt;&gt;"",OR(NOT(ISNUMBER(K405)),N(K405)&lt;0)),"Compteur de réalisation invalide",IF(AND(E405&lt;&gt;"Compteur",N(M405)=0,IFERROR(N(INDEX(eq_start,MATCH(B405,eq_code,0))),0)=0),"Date de départ manquante",IF(AND(E405&lt;&gt;"Calendrier",K405="",N(N405)=0),"Compteur de départ manquant",IF(AND(E405&lt;&gt;"Calendrier",N(Q405)=0),"Relevé compteur manquant (Équipements)",IF(AND(I405&lt;&gt;"",ISNA(MATCH(I405,tech_name,0))),"Technicien inconnu",IF(AND(L405&lt;&gt;"",L405&lt;&gt;"Oui",L405&lt;&gt;"Non"),"Actif : Oui ou Non","OK")))))))))))))))))</f>
        <v/>
      </c>
      <c r="W405" s="67">
        <f>IFERROR(N(INDEX(eq_use,MATCH(B405,eq_code,0))),0)</f>
        <v>0.0</v>
      </c>
      <c r="X405" s="67" t="str">
        <f>IF(AND(ISNUMBER(S405),W405&gt;0),p_today+MAX(0,ROUNDUP(S405*7/W405,0)),"")</f>
        <v/>
      </c>
      <c r="Y405" s="67" t="str">
        <f>IF(AND(ISNUMBER(T405),OR(U405="En retard",U405="Bientôt",U405="À jour")),IF(AND(ISNUMBER(O405),ISNUMBER(X405)),MIN(F405,G405*7/W405),IF(ISNUMBER(O405),F405,G405*7/W405)),"")</f>
        <v/>
      </c>
      <c r="Z405" s="67" t="str">
        <f>IF(OR(U405="En retard",U405="Bientôt"),IF(U405="En retard",0,1)*1000000000+IF(AB405="A",0,IF(AB405="B",1,IF(AB405="C",2,3)))*100000000+IF(ISNUMBER(T405),T405,p_today)*1000+ROW()-5,"")</f>
        <v/>
      </c>
      <c r="AA405" s="67" t="str">
        <f>IF(Z405="","",COUNTIF($Z$6:$Z$505,"&lt;"&amp;Z405)+1)</f>
        <v/>
      </c>
      <c r="AB405" s="67" t="str">
        <f>IFERROR(INDEX(eq_crit,MATCH(B405,eq_code,0))&amp;"","")</f>
        <v/>
      </c>
    </row>
    <row r="406">
      <c r="A406" s="65" t="n"/>
      <c r="B406" s="66" t="n"/>
      <c r="C406" s="67" t="str">
        <f>IF(B406="","",IFERROR(INDEX(eq_des,MATCH(B406,eq_code,0))&amp;"","Équipement inconnu"))</f>
        <v/>
      </c>
      <c r="D406" s="66" t="n"/>
      <c r="E406" s="68" t="n"/>
      <c r="F406" s="69" t="n"/>
      <c r="G406" s="70" t="n"/>
      <c r="H406" s="71" t="n"/>
      <c r="I406" s="66" t="n"/>
      <c r="J406" s="72" t="n"/>
      <c r="K406" s="73" t="n"/>
      <c r="L406" s="68" t="n"/>
      <c r="M406" s="74" t="str">
        <f>IF(AND(A406="",B406="",D406=""),"",MAX(N(J406),IF(A406="",0,SUMPRODUCT(MAX((in_plan=A406)*in_prev*in_dnum)))))</f>
        <v/>
      </c>
      <c r="N406" s="75" t="str">
        <f>IF(AND(A406="",B406="",D406=""),"",MAX(N(K406),IF(A406="",0,SUMPRODUCT(MAX((in_plan=A406)*in_prev*in_cnum)))))</f>
        <v/>
      </c>
      <c r="O406" s="76" t="str">
        <f>IF(AND(OR(E406="Calendrier",E406="Au premier des deux"),N(F406)&gt;0,IF(N(M406)&gt;0,M406,IFERROR(N(INDEX(eq_start,MATCH(B406,eq_code,0))),0))&gt;0),IF(N(M406)&gt;0,M406,IFERROR(N(INDEX(eq_start,MATCH(B406,eq_code,0))),0))+F406,"")</f>
        <v/>
      </c>
      <c r="P406" s="75" t="str">
        <f>IF(AND(OR(E406="Compteur",E406="Au premier des deux"),N(G406)&gt;0),N(N406)+G406,"")</f>
        <v/>
      </c>
      <c r="Q406" s="75" t="str">
        <f>IF(B406="","",IFERROR(N(INDEX(eq_cnt,MATCH(B406,eq_code,0))),""))</f>
        <v/>
      </c>
      <c r="R406" s="77" t="str">
        <f>IF(ISNUMBER(O406),O406-p_today,"")</f>
        <v/>
      </c>
      <c r="S406" s="78" t="str">
        <f>IF(AND(ISNUMBER(P406),N(Q406)&gt;0),P406-Q406,"")</f>
        <v/>
      </c>
      <c r="T406" s="76" t="str">
        <f>IF(AND(ISNUMBER(O406),ISNUMBER(X406)),MIN(O406,X406),IF(ISNUMBER(O406),O406,X406))</f>
        <v/>
      </c>
      <c r="U406" s="79" t="str">
        <f>IF(AND(A406="",B406="",D406=""),"",IF(L406="Non","Inactif",IF(AND(NOT(ISNUMBER(R406)),NOT(ISNUMBER(S406))),"À compléter",IF(OR(AND(ISNUMBER(R406),N(R406)&lt;0),AND(ISNUMBER(S406),N(S406)&lt;0)),"En retard",IF(OR(AND(ISNUMBER(R406),N(R406)&lt;=p_soon),AND(ISNUMBER(S406),N(S406)&lt;=p_soon_pct*N(G406))),"Bientôt","À jour")))))</f>
        <v/>
      </c>
      <c r="V406" s="79" t="str">
        <f>IF(AND(A406="",B406="",D406=""),"",IF(A406="","N° de plan manquant",IF(COUNTIF($A$6:$A$505,A406)&gt;1,"N° de plan en double",IF(B406="","Équipement manquant",IF(ISNA(MATCH(B406,eq_code,0)),"Équipement inconnu",IF(D406="","Tâche manquante",IF(E406="","Déclenchement manquant",IF(AND(E406&lt;&gt;"Calendrier",E406&lt;&gt;"Compteur",E406&lt;&gt;"Au premier des deux"),"Déclenchement inconnu",IF(AND(E406&lt;&gt;"Compteur",OR(NOT(ISNUMBER(F406)),N(F406)&lt;=0)),"Périodicité en jours manquante",IF(AND(E406&lt;&gt;"Calendrier",OR(NOT(ISNUMBER(G406)),N(G406)&lt;=0)),"Périodicité compteur manquante",IF(AND(J406&lt;&gt;"",OR(NOT(ISNUMBER(J406)),N(J406)&lt;=0)),"Date de réalisation invalide",IF(AND(K406&lt;&gt;"",OR(NOT(ISNUMBER(K406)),N(K406)&lt;0)),"Compteur de réalisation invalide",IF(AND(E406&lt;&gt;"Compteur",N(M406)=0,IFERROR(N(INDEX(eq_start,MATCH(B406,eq_code,0))),0)=0),"Date de départ manquante",IF(AND(E406&lt;&gt;"Calendrier",K406="",N(N406)=0),"Compteur de départ manquant",IF(AND(E406&lt;&gt;"Calendrier",N(Q406)=0),"Relevé compteur manquant (Équipements)",IF(AND(I406&lt;&gt;"",ISNA(MATCH(I406,tech_name,0))),"Technicien inconnu",IF(AND(L406&lt;&gt;"",L406&lt;&gt;"Oui",L406&lt;&gt;"Non"),"Actif : Oui ou Non","OK")))))))))))))))))</f>
        <v/>
      </c>
      <c r="W406" s="67">
        <f>IFERROR(N(INDEX(eq_use,MATCH(B406,eq_code,0))),0)</f>
        <v>0.0</v>
      </c>
      <c r="X406" s="67" t="str">
        <f>IF(AND(ISNUMBER(S406),W406&gt;0),p_today+MAX(0,ROUNDUP(S406*7/W406,0)),"")</f>
        <v/>
      </c>
      <c r="Y406" s="67" t="str">
        <f>IF(AND(ISNUMBER(T406),OR(U406="En retard",U406="Bientôt",U406="À jour")),IF(AND(ISNUMBER(O406),ISNUMBER(X406)),MIN(F406,G406*7/W406),IF(ISNUMBER(O406),F406,G406*7/W406)),"")</f>
        <v/>
      </c>
      <c r="Z406" s="67" t="str">
        <f>IF(OR(U406="En retard",U406="Bientôt"),IF(U406="En retard",0,1)*1000000000+IF(AB406="A",0,IF(AB406="B",1,IF(AB406="C",2,3)))*100000000+IF(ISNUMBER(T406),T406,p_today)*1000+ROW()-5,"")</f>
        <v/>
      </c>
      <c r="AA406" s="67" t="str">
        <f>IF(Z406="","",COUNTIF($Z$6:$Z$505,"&lt;"&amp;Z406)+1)</f>
        <v/>
      </c>
      <c r="AB406" s="67" t="str">
        <f>IFERROR(INDEX(eq_crit,MATCH(B406,eq_code,0))&amp;"","")</f>
        <v/>
      </c>
    </row>
    <row r="407">
      <c r="A407" s="65" t="n"/>
      <c r="B407" s="66" t="n"/>
      <c r="C407" s="67" t="str">
        <f>IF(B407="","",IFERROR(INDEX(eq_des,MATCH(B407,eq_code,0))&amp;"","Équipement inconnu"))</f>
        <v/>
      </c>
      <c r="D407" s="66" t="n"/>
      <c r="E407" s="68" t="n"/>
      <c r="F407" s="69" t="n"/>
      <c r="G407" s="70" t="n"/>
      <c r="H407" s="71" t="n"/>
      <c r="I407" s="66" t="n"/>
      <c r="J407" s="72" t="n"/>
      <c r="K407" s="73" t="n"/>
      <c r="L407" s="68" t="n"/>
      <c r="M407" s="74" t="str">
        <f>IF(AND(A407="",B407="",D407=""),"",MAX(N(J407),IF(A407="",0,SUMPRODUCT(MAX((in_plan=A407)*in_prev*in_dnum)))))</f>
        <v/>
      </c>
      <c r="N407" s="75" t="str">
        <f>IF(AND(A407="",B407="",D407=""),"",MAX(N(K407),IF(A407="",0,SUMPRODUCT(MAX((in_plan=A407)*in_prev*in_cnum)))))</f>
        <v/>
      </c>
      <c r="O407" s="76" t="str">
        <f>IF(AND(OR(E407="Calendrier",E407="Au premier des deux"),N(F407)&gt;0,IF(N(M407)&gt;0,M407,IFERROR(N(INDEX(eq_start,MATCH(B407,eq_code,0))),0))&gt;0),IF(N(M407)&gt;0,M407,IFERROR(N(INDEX(eq_start,MATCH(B407,eq_code,0))),0))+F407,"")</f>
        <v/>
      </c>
      <c r="P407" s="75" t="str">
        <f>IF(AND(OR(E407="Compteur",E407="Au premier des deux"),N(G407)&gt;0),N(N407)+G407,"")</f>
        <v/>
      </c>
      <c r="Q407" s="75" t="str">
        <f>IF(B407="","",IFERROR(N(INDEX(eq_cnt,MATCH(B407,eq_code,0))),""))</f>
        <v/>
      </c>
      <c r="R407" s="77" t="str">
        <f>IF(ISNUMBER(O407),O407-p_today,"")</f>
        <v/>
      </c>
      <c r="S407" s="78" t="str">
        <f>IF(AND(ISNUMBER(P407),N(Q407)&gt;0),P407-Q407,"")</f>
        <v/>
      </c>
      <c r="T407" s="76" t="str">
        <f>IF(AND(ISNUMBER(O407),ISNUMBER(X407)),MIN(O407,X407),IF(ISNUMBER(O407),O407,X407))</f>
        <v/>
      </c>
      <c r="U407" s="79" t="str">
        <f>IF(AND(A407="",B407="",D407=""),"",IF(L407="Non","Inactif",IF(AND(NOT(ISNUMBER(R407)),NOT(ISNUMBER(S407))),"À compléter",IF(OR(AND(ISNUMBER(R407),N(R407)&lt;0),AND(ISNUMBER(S407),N(S407)&lt;0)),"En retard",IF(OR(AND(ISNUMBER(R407),N(R407)&lt;=p_soon),AND(ISNUMBER(S407),N(S407)&lt;=p_soon_pct*N(G407))),"Bientôt","À jour")))))</f>
        <v/>
      </c>
      <c r="V407" s="79" t="str">
        <f>IF(AND(A407="",B407="",D407=""),"",IF(A407="","N° de plan manquant",IF(COUNTIF($A$6:$A$505,A407)&gt;1,"N° de plan en double",IF(B407="","Équipement manquant",IF(ISNA(MATCH(B407,eq_code,0)),"Équipement inconnu",IF(D407="","Tâche manquante",IF(E407="","Déclenchement manquant",IF(AND(E407&lt;&gt;"Calendrier",E407&lt;&gt;"Compteur",E407&lt;&gt;"Au premier des deux"),"Déclenchement inconnu",IF(AND(E407&lt;&gt;"Compteur",OR(NOT(ISNUMBER(F407)),N(F407)&lt;=0)),"Périodicité en jours manquante",IF(AND(E407&lt;&gt;"Calendrier",OR(NOT(ISNUMBER(G407)),N(G407)&lt;=0)),"Périodicité compteur manquante",IF(AND(J407&lt;&gt;"",OR(NOT(ISNUMBER(J407)),N(J407)&lt;=0)),"Date de réalisation invalide",IF(AND(K407&lt;&gt;"",OR(NOT(ISNUMBER(K407)),N(K407)&lt;0)),"Compteur de réalisation invalide",IF(AND(E407&lt;&gt;"Compteur",N(M407)=0,IFERROR(N(INDEX(eq_start,MATCH(B407,eq_code,0))),0)=0),"Date de départ manquante",IF(AND(E407&lt;&gt;"Calendrier",K407="",N(N407)=0),"Compteur de départ manquant",IF(AND(E407&lt;&gt;"Calendrier",N(Q407)=0),"Relevé compteur manquant (Équipements)",IF(AND(I407&lt;&gt;"",ISNA(MATCH(I407,tech_name,0))),"Technicien inconnu",IF(AND(L407&lt;&gt;"",L407&lt;&gt;"Oui",L407&lt;&gt;"Non"),"Actif : Oui ou Non","OK")))))))))))))))))</f>
        <v/>
      </c>
      <c r="W407" s="67">
        <f>IFERROR(N(INDEX(eq_use,MATCH(B407,eq_code,0))),0)</f>
        <v>0.0</v>
      </c>
      <c r="X407" s="67" t="str">
        <f>IF(AND(ISNUMBER(S407),W407&gt;0),p_today+MAX(0,ROUNDUP(S407*7/W407,0)),"")</f>
        <v/>
      </c>
      <c r="Y407" s="67" t="str">
        <f>IF(AND(ISNUMBER(T407),OR(U407="En retard",U407="Bientôt",U407="À jour")),IF(AND(ISNUMBER(O407),ISNUMBER(X407)),MIN(F407,G407*7/W407),IF(ISNUMBER(O407),F407,G407*7/W407)),"")</f>
        <v/>
      </c>
      <c r="Z407" s="67" t="str">
        <f>IF(OR(U407="En retard",U407="Bientôt"),IF(U407="En retard",0,1)*1000000000+IF(AB407="A",0,IF(AB407="B",1,IF(AB407="C",2,3)))*100000000+IF(ISNUMBER(T407),T407,p_today)*1000+ROW()-5,"")</f>
        <v/>
      </c>
      <c r="AA407" s="67" t="str">
        <f>IF(Z407="","",COUNTIF($Z$6:$Z$505,"&lt;"&amp;Z407)+1)</f>
        <v/>
      </c>
      <c r="AB407" s="67" t="str">
        <f>IFERROR(INDEX(eq_crit,MATCH(B407,eq_code,0))&amp;"","")</f>
        <v/>
      </c>
    </row>
    <row r="408">
      <c r="A408" s="65" t="n"/>
      <c r="B408" s="66" t="n"/>
      <c r="C408" s="67" t="str">
        <f>IF(B408="","",IFERROR(INDEX(eq_des,MATCH(B408,eq_code,0))&amp;"","Équipement inconnu"))</f>
        <v/>
      </c>
      <c r="D408" s="66" t="n"/>
      <c r="E408" s="68" t="n"/>
      <c r="F408" s="69" t="n"/>
      <c r="G408" s="70" t="n"/>
      <c r="H408" s="71" t="n"/>
      <c r="I408" s="66" t="n"/>
      <c r="J408" s="72" t="n"/>
      <c r="K408" s="73" t="n"/>
      <c r="L408" s="68" t="n"/>
      <c r="M408" s="74" t="str">
        <f>IF(AND(A408="",B408="",D408=""),"",MAX(N(J408),IF(A408="",0,SUMPRODUCT(MAX((in_plan=A408)*in_prev*in_dnum)))))</f>
        <v/>
      </c>
      <c r="N408" s="75" t="str">
        <f>IF(AND(A408="",B408="",D408=""),"",MAX(N(K408),IF(A408="",0,SUMPRODUCT(MAX((in_plan=A408)*in_prev*in_cnum)))))</f>
        <v/>
      </c>
      <c r="O408" s="76" t="str">
        <f>IF(AND(OR(E408="Calendrier",E408="Au premier des deux"),N(F408)&gt;0,IF(N(M408)&gt;0,M408,IFERROR(N(INDEX(eq_start,MATCH(B408,eq_code,0))),0))&gt;0),IF(N(M408)&gt;0,M408,IFERROR(N(INDEX(eq_start,MATCH(B408,eq_code,0))),0))+F408,"")</f>
        <v/>
      </c>
      <c r="P408" s="75" t="str">
        <f>IF(AND(OR(E408="Compteur",E408="Au premier des deux"),N(G408)&gt;0),N(N408)+G408,"")</f>
        <v/>
      </c>
      <c r="Q408" s="75" t="str">
        <f>IF(B408="","",IFERROR(N(INDEX(eq_cnt,MATCH(B408,eq_code,0))),""))</f>
        <v/>
      </c>
      <c r="R408" s="77" t="str">
        <f>IF(ISNUMBER(O408),O408-p_today,"")</f>
        <v/>
      </c>
      <c r="S408" s="78" t="str">
        <f>IF(AND(ISNUMBER(P408),N(Q408)&gt;0),P408-Q408,"")</f>
        <v/>
      </c>
      <c r="T408" s="76" t="str">
        <f>IF(AND(ISNUMBER(O408),ISNUMBER(X408)),MIN(O408,X408),IF(ISNUMBER(O408),O408,X408))</f>
        <v/>
      </c>
      <c r="U408" s="79" t="str">
        <f>IF(AND(A408="",B408="",D408=""),"",IF(L408="Non","Inactif",IF(AND(NOT(ISNUMBER(R408)),NOT(ISNUMBER(S408))),"À compléter",IF(OR(AND(ISNUMBER(R408),N(R408)&lt;0),AND(ISNUMBER(S408),N(S408)&lt;0)),"En retard",IF(OR(AND(ISNUMBER(R408),N(R408)&lt;=p_soon),AND(ISNUMBER(S408),N(S408)&lt;=p_soon_pct*N(G408))),"Bientôt","À jour")))))</f>
        <v/>
      </c>
      <c r="V408" s="79" t="str">
        <f>IF(AND(A408="",B408="",D408=""),"",IF(A408="","N° de plan manquant",IF(COUNTIF($A$6:$A$505,A408)&gt;1,"N° de plan en double",IF(B408="","Équipement manquant",IF(ISNA(MATCH(B408,eq_code,0)),"Équipement inconnu",IF(D408="","Tâche manquante",IF(E408="","Déclenchement manquant",IF(AND(E408&lt;&gt;"Calendrier",E408&lt;&gt;"Compteur",E408&lt;&gt;"Au premier des deux"),"Déclenchement inconnu",IF(AND(E408&lt;&gt;"Compteur",OR(NOT(ISNUMBER(F408)),N(F408)&lt;=0)),"Périodicité en jours manquante",IF(AND(E408&lt;&gt;"Calendrier",OR(NOT(ISNUMBER(G408)),N(G408)&lt;=0)),"Périodicité compteur manquante",IF(AND(J408&lt;&gt;"",OR(NOT(ISNUMBER(J408)),N(J408)&lt;=0)),"Date de réalisation invalide",IF(AND(K408&lt;&gt;"",OR(NOT(ISNUMBER(K408)),N(K408)&lt;0)),"Compteur de réalisation invalide",IF(AND(E408&lt;&gt;"Compteur",N(M408)=0,IFERROR(N(INDEX(eq_start,MATCH(B408,eq_code,0))),0)=0),"Date de départ manquante",IF(AND(E408&lt;&gt;"Calendrier",K408="",N(N408)=0),"Compteur de départ manquant",IF(AND(E408&lt;&gt;"Calendrier",N(Q408)=0),"Relevé compteur manquant (Équipements)",IF(AND(I408&lt;&gt;"",ISNA(MATCH(I408,tech_name,0))),"Technicien inconnu",IF(AND(L408&lt;&gt;"",L408&lt;&gt;"Oui",L408&lt;&gt;"Non"),"Actif : Oui ou Non","OK")))))))))))))))))</f>
        <v/>
      </c>
      <c r="W408" s="67">
        <f>IFERROR(N(INDEX(eq_use,MATCH(B408,eq_code,0))),0)</f>
        <v>0.0</v>
      </c>
      <c r="X408" s="67" t="str">
        <f>IF(AND(ISNUMBER(S408),W408&gt;0),p_today+MAX(0,ROUNDUP(S408*7/W408,0)),"")</f>
        <v/>
      </c>
      <c r="Y408" s="67" t="str">
        <f>IF(AND(ISNUMBER(T408),OR(U408="En retard",U408="Bientôt",U408="À jour")),IF(AND(ISNUMBER(O408),ISNUMBER(X408)),MIN(F408,G408*7/W408),IF(ISNUMBER(O408),F408,G408*7/W408)),"")</f>
        <v/>
      </c>
      <c r="Z408" s="67" t="str">
        <f>IF(OR(U408="En retard",U408="Bientôt"),IF(U408="En retard",0,1)*1000000000+IF(AB408="A",0,IF(AB408="B",1,IF(AB408="C",2,3)))*100000000+IF(ISNUMBER(T408),T408,p_today)*1000+ROW()-5,"")</f>
        <v/>
      </c>
      <c r="AA408" s="67" t="str">
        <f>IF(Z408="","",COUNTIF($Z$6:$Z$505,"&lt;"&amp;Z408)+1)</f>
        <v/>
      </c>
      <c r="AB408" s="67" t="str">
        <f>IFERROR(INDEX(eq_crit,MATCH(B408,eq_code,0))&amp;"","")</f>
        <v/>
      </c>
    </row>
    <row r="409">
      <c r="A409" s="65" t="n"/>
      <c r="B409" s="66" t="n"/>
      <c r="C409" s="67" t="str">
        <f>IF(B409="","",IFERROR(INDEX(eq_des,MATCH(B409,eq_code,0))&amp;"","Équipement inconnu"))</f>
        <v/>
      </c>
      <c r="D409" s="66" t="n"/>
      <c r="E409" s="68" t="n"/>
      <c r="F409" s="69" t="n"/>
      <c r="G409" s="70" t="n"/>
      <c r="H409" s="71" t="n"/>
      <c r="I409" s="66" t="n"/>
      <c r="J409" s="72" t="n"/>
      <c r="K409" s="73" t="n"/>
      <c r="L409" s="68" t="n"/>
      <c r="M409" s="74" t="str">
        <f>IF(AND(A409="",B409="",D409=""),"",MAX(N(J409),IF(A409="",0,SUMPRODUCT(MAX((in_plan=A409)*in_prev*in_dnum)))))</f>
        <v/>
      </c>
      <c r="N409" s="75" t="str">
        <f>IF(AND(A409="",B409="",D409=""),"",MAX(N(K409),IF(A409="",0,SUMPRODUCT(MAX((in_plan=A409)*in_prev*in_cnum)))))</f>
        <v/>
      </c>
      <c r="O409" s="76" t="str">
        <f>IF(AND(OR(E409="Calendrier",E409="Au premier des deux"),N(F409)&gt;0,IF(N(M409)&gt;0,M409,IFERROR(N(INDEX(eq_start,MATCH(B409,eq_code,0))),0))&gt;0),IF(N(M409)&gt;0,M409,IFERROR(N(INDEX(eq_start,MATCH(B409,eq_code,0))),0))+F409,"")</f>
        <v/>
      </c>
      <c r="P409" s="75" t="str">
        <f>IF(AND(OR(E409="Compteur",E409="Au premier des deux"),N(G409)&gt;0),N(N409)+G409,"")</f>
        <v/>
      </c>
      <c r="Q409" s="75" t="str">
        <f>IF(B409="","",IFERROR(N(INDEX(eq_cnt,MATCH(B409,eq_code,0))),""))</f>
        <v/>
      </c>
      <c r="R409" s="77" t="str">
        <f>IF(ISNUMBER(O409),O409-p_today,"")</f>
        <v/>
      </c>
      <c r="S409" s="78" t="str">
        <f>IF(AND(ISNUMBER(P409),N(Q409)&gt;0),P409-Q409,"")</f>
        <v/>
      </c>
      <c r="T409" s="76" t="str">
        <f>IF(AND(ISNUMBER(O409),ISNUMBER(X409)),MIN(O409,X409),IF(ISNUMBER(O409),O409,X409))</f>
        <v/>
      </c>
      <c r="U409" s="79" t="str">
        <f>IF(AND(A409="",B409="",D409=""),"",IF(L409="Non","Inactif",IF(AND(NOT(ISNUMBER(R409)),NOT(ISNUMBER(S409))),"À compléter",IF(OR(AND(ISNUMBER(R409),N(R409)&lt;0),AND(ISNUMBER(S409),N(S409)&lt;0)),"En retard",IF(OR(AND(ISNUMBER(R409),N(R409)&lt;=p_soon),AND(ISNUMBER(S409),N(S409)&lt;=p_soon_pct*N(G409))),"Bientôt","À jour")))))</f>
        <v/>
      </c>
      <c r="V409" s="79" t="str">
        <f>IF(AND(A409="",B409="",D409=""),"",IF(A409="","N° de plan manquant",IF(COUNTIF($A$6:$A$505,A409)&gt;1,"N° de plan en double",IF(B409="","Équipement manquant",IF(ISNA(MATCH(B409,eq_code,0)),"Équipement inconnu",IF(D409="","Tâche manquante",IF(E409="","Déclenchement manquant",IF(AND(E409&lt;&gt;"Calendrier",E409&lt;&gt;"Compteur",E409&lt;&gt;"Au premier des deux"),"Déclenchement inconnu",IF(AND(E409&lt;&gt;"Compteur",OR(NOT(ISNUMBER(F409)),N(F409)&lt;=0)),"Périodicité en jours manquante",IF(AND(E409&lt;&gt;"Calendrier",OR(NOT(ISNUMBER(G409)),N(G409)&lt;=0)),"Périodicité compteur manquante",IF(AND(J409&lt;&gt;"",OR(NOT(ISNUMBER(J409)),N(J409)&lt;=0)),"Date de réalisation invalide",IF(AND(K409&lt;&gt;"",OR(NOT(ISNUMBER(K409)),N(K409)&lt;0)),"Compteur de réalisation invalide",IF(AND(E409&lt;&gt;"Compteur",N(M409)=0,IFERROR(N(INDEX(eq_start,MATCH(B409,eq_code,0))),0)=0),"Date de départ manquante",IF(AND(E409&lt;&gt;"Calendrier",K409="",N(N409)=0),"Compteur de départ manquant",IF(AND(E409&lt;&gt;"Calendrier",N(Q409)=0),"Relevé compteur manquant (Équipements)",IF(AND(I409&lt;&gt;"",ISNA(MATCH(I409,tech_name,0))),"Technicien inconnu",IF(AND(L409&lt;&gt;"",L409&lt;&gt;"Oui",L409&lt;&gt;"Non"),"Actif : Oui ou Non","OK")))))))))))))))))</f>
        <v/>
      </c>
      <c r="W409" s="67">
        <f>IFERROR(N(INDEX(eq_use,MATCH(B409,eq_code,0))),0)</f>
        <v>0.0</v>
      </c>
      <c r="X409" s="67" t="str">
        <f>IF(AND(ISNUMBER(S409),W409&gt;0),p_today+MAX(0,ROUNDUP(S409*7/W409,0)),"")</f>
        <v/>
      </c>
      <c r="Y409" s="67" t="str">
        <f>IF(AND(ISNUMBER(T409),OR(U409="En retard",U409="Bientôt",U409="À jour")),IF(AND(ISNUMBER(O409),ISNUMBER(X409)),MIN(F409,G409*7/W409),IF(ISNUMBER(O409),F409,G409*7/W409)),"")</f>
        <v/>
      </c>
      <c r="Z409" s="67" t="str">
        <f>IF(OR(U409="En retard",U409="Bientôt"),IF(U409="En retard",0,1)*1000000000+IF(AB409="A",0,IF(AB409="B",1,IF(AB409="C",2,3)))*100000000+IF(ISNUMBER(T409),T409,p_today)*1000+ROW()-5,"")</f>
        <v/>
      </c>
      <c r="AA409" s="67" t="str">
        <f>IF(Z409="","",COUNTIF($Z$6:$Z$505,"&lt;"&amp;Z409)+1)</f>
        <v/>
      </c>
      <c r="AB409" s="67" t="str">
        <f>IFERROR(INDEX(eq_crit,MATCH(B409,eq_code,0))&amp;"","")</f>
        <v/>
      </c>
    </row>
    <row r="410">
      <c r="A410" s="65" t="n"/>
      <c r="B410" s="66" t="n"/>
      <c r="C410" s="67" t="str">
        <f>IF(B410="","",IFERROR(INDEX(eq_des,MATCH(B410,eq_code,0))&amp;"","Équipement inconnu"))</f>
        <v/>
      </c>
      <c r="D410" s="66" t="n"/>
      <c r="E410" s="68" t="n"/>
      <c r="F410" s="69" t="n"/>
      <c r="G410" s="70" t="n"/>
      <c r="H410" s="71" t="n"/>
      <c r="I410" s="66" t="n"/>
      <c r="J410" s="72" t="n"/>
      <c r="K410" s="73" t="n"/>
      <c r="L410" s="68" t="n"/>
      <c r="M410" s="74" t="str">
        <f>IF(AND(A410="",B410="",D410=""),"",MAX(N(J410),IF(A410="",0,SUMPRODUCT(MAX((in_plan=A410)*in_prev*in_dnum)))))</f>
        <v/>
      </c>
      <c r="N410" s="75" t="str">
        <f>IF(AND(A410="",B410="",D410=""),"",MAX(N(K410),IF(A410="",0,SUMPRODUCT(MAX((in_plan=A410)*in_prev*in_cnum)))))</f>
        <v/>
      </c>
      <c r="O410" s="76" t="str">
        <f>IF(AND(OR(E410="Calendrier",E410="Au premier des deux"),N(F410)&gt;0,IF(N(M410)&gt;0,M410,IFERROR(N(INDEX(eq_start,MATCH(B410,eq_code,0))),0))&gt;0),IF(N(M410)&gt;0,M410,IFERROR(N(INDEX(eq_start,MATCH(B410,eq_code,0))),0))+F410,"")</f>
        <v/>
      </c>
      <c r="P410" s="75" t="str">
        <f>IF(AND(OR(E410="Compteur",E410="Au premier des deux"),N(G410)&gt;0),N(N410)+G410,"")</f>
        <v/>
      </c>
      <c r="Q410" s="75" t="str">
        <f>IF(B410="","",IFERROR(N(INDEX(eq_cnt,MATCH(B410,eq_code,0))),""))</f>
        <v/>
      </c>
      <c r="R410" s="77" t="str">
        <f>IF(ISNUMBER(O410),O410-p_today,"")</f>
        <v/>
      </c>
      <c r="S410" s="78" t="str">
        <f>IF(AND(ISNUMBER(P410),N(Q410)&gt;0),P410-Q410,"")</f>
        <v/>
      </c>
      <c r="T410" s="76" t="str">
        <f>IF(AND(ISNUMBER(O410),ISNUMBER(X410)),MIN(O410,X410),IF(ISNUMBER(O410),O410,X410))</f>
        <v/>
      </c>
      <c r="U410" s="79" t="str">
        <f>IF(AND(A410="",B410="",D410=""),"",IF(L410="Non","Inactif",IF(AND(NOT(ISNUMBER(R410)),NOT(ISNUMBER(S410))),"À compléter",IF(OR(AND(ISNUMBER(R410),N(R410)&lt;0),AND(ISNUMBER(S410),N(S410)&lt;0)),"En retard",IF(OR(AND(ISNUMBER(R410),N(R410)&lt;=p_soon),AND(ISNUMBER(S410),N(S410)&lt;=p_soon_pct*N(G410))),"Bientôt","À jour")))))</f>
        <v/>
      </c>
      <c r="V410" s="79" t="str">
        <f>IF(AND(A410="",B410="",D410=""),"",IF(A410="","N° de plan manquant",IF(COUNTIF($A$6:$A$505,A410)&gt;1,"N° de plan en double",IF(B410="","Équipement manquant",IF(ISNA(MATCH(B410,eq_code,0)),"Équipement inconnu",IF(D410="","Tâche manquante",IF(E410="","Déclenchement manquant",IF(AND(E410&lt;&gt;"Calendrier",E410&lt;&gt;"Compteur",E410&lt;&gt;"Au premier des deux"),"Déclenchement inconnu",IF(AND(E410&lt;&gt;"Compteur",OR(NOT(ISNUMBER(F410)),N(F410)&lt;=0)),"Périodicité en jours manquante",IF(AND(E410&lt;&gt;"Calendrier",OR(NOT(ISNUMBER(G410)),N(G410)&lt;=0)),"Périodicité compteur manquante",IF(AND(J410&lt;&gt;"",OR(NOT(ISNUMBER(J410)),N(J410)&lt;=0)),"Date de réalisation invalide",IF(AND(K410&lt;&gt;"",OR(NOT(ISNUMBER(K410)),N(K410)&lt;0)),"Compteur de réalisation invalide",IF(AND(E410&lt;&gt;"Compteur",N(M410)=0,IFERROR(N(INDEX(eq_start,MATCH(B410,eq_code,0))),0)=0),"Date de départ manquante",IF(AND(E410&lt;&gt;"Calendrier",K410="",N(N410)=0),"Compteur de départ manquant",IF(AND(E410&lt;&gt;"Calendrier",N(Q410)=0),"Relevé compteur manquant (Équipements)",IF(AND(I410&lt;&gt;"",ISNA(MATCH(I410,tech_name,0))),"Technicien inconnu",IF(AND(L410&lt;&gt;"",L410&lt;&gt;"Oui",L410&lt;&gt;"Non"),"Actif : Oui ou Non","OK")))))))))))))))))</f>
        <v/>
      </c>
      <c r="W410" s="67">
        <f>IFERROR(N(INDEX(eq_use,MATCH(B410,eq_code,0))),0)</f>
        <v>0.0</v>
      </c>
      <c r="X410" s="67" t="str">
        <f>IF(AND(ISNUMBER(S410),W410&gt;0),p_today+MAX(0,ROUNDUP(S410*7/W410,0)),"")</f>
        <v/>
      </c>
      <c r="Y410" s="67" t="str">
        <f>IF(AND(ISNUMBER(T410),OR(U410="En retard",U410="Bientôt",U410="À jour")),IF(AND(ISNUMBER(O410),ISNUMBER(X410)),MIN(F410,G410*7/W410),IF(ISNUMBER(O410),F410,G410*7/W410)),"")</f>
        <v/>
      </c>
      <c r="Z410" s="67" t="str">
        <f>IF(OR(U410="En retard",U410="Bientôt"),IF(U410="En retard",0,1)*1000000000+IF(AB410="A",0,IF(AB410="B",1,IF(AB410="C",2,3)))*100000000+IF(ISNUMBER(T410),T410,p_today)*1000+ROW()-5,"")</f>
        <v/>
      </c>
      <c r="AA410" s="67" t="str">
        <f>IF(Z410="","",COUNTIF($Z$6:$Z$505,"&lt;"&amp;Z410)+1)</f>
        <v/>
      </c>
      <c r="AB410" s="67" t="str">
        <f>IFERROR(INDEX(eq_crit,MATCH(B410,eq_code,0))&amp;"","")</f>
        <v/>
      </c>
    </row>
    <row r="411">
      <c r="A411" s="65" t="n"/>
      <c r="B411" s="66" t="n"/>
      <c r="C411" s="67" t="str">
        <f>IF(B411="","",IFERROR(INDEX(eq_des,MATCH(B411,eq_code,0))&amp;"","Équipement inconnu"))</f>
        <v/>
      </c>
      <c r="D411" s="66" t="n"/>
      <c r="E411" s="68" t="n"/>
      <c r="F411" s="69" t="n"/>
      <c r="G411" s="70" t="n"/>
      <c r="H411" s="71" t="n"/>
      <c r="I411" s="66" t="n"/>
      <c r="J411" s="72" t="n"/>
      <c r="K411" s="73" t="n"/>
      <c r="L411" s="68" t="n"/>
      <c r="M411" s="74" t="str">
        <f>IF(AND(A411="",B411="",D411=""),"",MAX(N(J411),IF(A411="",0,SUMPRODUCT(MAX((in_plan=A411)*in_prev*in_dnum)))))</f>
        <v/>
      </c>
      <c r="N411" s="75" t="str">
        <f>IF(AND(A411="",B411="",D411=""),"",MAX(N(K411),IF(A411="",0,SUMPRODUCT(MAX((in_plan=A411)*in_prev*in_cnum)))))</f>
        <v/>
      </c>
      <c r="O411" s="76" t="str">
        <f>IF(AND(OR(E411="Calendrier",E411="Au premier des deux"),N(F411)&gt;0,IF(N(M411)&gt;0,M411,IFERROR(N(INDEX(eq_start,MATCH(B411,eq_code,0))),0))&gt;0),IF(N(M411)&gt;0,M411,IFERROR(N(INDEX(eq_start,MATCH(B411,eq_code,0))),0))+F411,"")</f>
        <v/>
      </c>
      <c r="P411" s="75" t="str">
        <f>IF(AND(OR(E411="Compteur",E411="Au premier des deux"),N(G411)&gt;0),N(N411)+G411,"")</f>
        <v/>
      </c>
      <c r="Q411" s="75" t="str">
        <f>IF(B411="","",IFERROR(N(INDEX(eq_cnt,MATCH(B411,eq_code,0))),""))</f>
        <v/>
      </c>
      <c r="R411" s="77" t="str">
        <f>IF(ISNUMBER(O411),O411-p_today,"")</f>
        <v/>
      </c>
      <c r="S411" s="78" t="str">
        <f>IF(AND(ISNUMBER(P411),N(Q411)&gt;0),P411-Q411,"")</f>
        <v/>
      </c>
      <c r="T411" s="76" t="str">
        <f>IF(AND(ISNUMBER(O411),ISNUMBER(X411)),MIN(O411,X411),IF(ISNUMBER(O411),O411,X411))</f>
        <v/>
      </c>
      <c r="U411" s="79" t="str">
        <f>IF(AND(A411="",B411="",D411=""),"",IF(L411="Non","Inactif",IF(AND(NOT(ISNUMBER(R411)),NOT(ISNUMBER(S411))),"À compléter",IF(OR(AND(ISNUMBER(R411),N(R411)&lt;0),AND(ISNUMBER(S411),N(S411)&lt;0)),"En retard",IF(OR(AND(ISNUMBER(R411),N(R411)&lt;=p_soon),AND(ISNUMBER(S411),N(S411)&lt;=p_soon_pct*N(G411))),"Bientôt","À jour")))))</f>
        <v/>
      </c>
      <c r="V411" s="79" t="str">
        <f>IF(AND(A411="",B411="",D411=""),"",IF(A411="","N° de plan manquant",IF(COUNTIF($A$6:$A$505,A411)&gt;1,"N° de plan en double",IF(B411="","Équipement manquant",IF(ISNA(MATCH(B411,eq_code,0)),"Équipement inconnu",IF(D411="","Tâche manquante",IF(E411="","Déclenchement manquant",IF(AND(E411&lt;&gt;"Calendrier",E411&lt;&gt;"Compteur",E411&lt;&gt;"Au premier des deux"),"Déclenchement inconnu",IF(AND(E411&lt;&gt;"Compteur",OR(NOT(ISNUMBER(F411)),N(F411)&lt;=0)),"Périodicité en jours manquante",IF(AND(E411&lt;&gt;"Calendrier",OR(NOT(ISNUMBER(G411)),N(G411)&lt;=0)),"Périodicité compteur manquante",IF(AND(J411&lt;&gt;"",OR(NOT(ISNUMBER(J411)),N(J411)&lt;=0)),"Date de réalisation invalide",IF(AND(K411&lt;&gt;"",OR(NOT(ISNUMBER(K411)),N(K411)&lt;0)),"Compteur de réalisation invalide",IF(AND(E411&lt;&gt;"Compteur",N(M411)=0,IFERROR(N(INDEX(eq_start,MATCH(B411,eq_code,0))),0)=0),"Date de départ manquante",IF(AND(E411&lt;&gt;"Calendrier",K411="",N(N411)=0),"Compteur de départ manquant",IF(AND(E411&lt;&gt;"Calendrier",N(Q411)=0),"Relevé compteur manquant (Équipements)",IF(AND(I411&lt;&gt;"",ISNA(MATCH(I411,tech_name,0))),"Technicien inconnu",IF(AND(L411&lt;&gt;"",L411&lt;&gt;"Oui",L411&lt;&gt;"Non"),"Actif : Oui ou Non","OK")))))))))))))))))</f>
        <v/>
      </c>
      <c r="W411" s="67">
        <f>IFERROR(N(INDEX(eq_use,MATCH(B411,eq_code,0))),0)</f>
        <v>0.0</v>
      </c>
      <c r="X411" s="67" t="str">
        <f>IF(AND(ISNUMBER(S411),W411&gt;0),p_today+MAX(0,ROUNDUP(S411*7/W411,0)),"")</f>
        <v/>
      </c>
      <c r="Y411" s="67" t="str">
        <f>IF(AND(ISNUMBER(T411),OR(U411="En retard",U411="Bientôt",U411="À jour")),IF(AND(ISNUMBER(O411),ISNUMBER(X411)),MIN(F411,G411*7/W411),IF(ISNUMBER(O411),F411,G411*7/W411)),"")</f>
        <v/>
      </c>
      <c r="Z411" s="67" t="str">
        <f>IF(OR(U411="En retard",U411="Bientôt"),IF(U411="En retard",0,1)*1000000000+IF(AB411="A",0,IF(AB411="B",1,IF(AB411="C",2,3)))*100000000+IF(ISNUMBER(T411),T411,p_today)*1000+ROW()-5,"")</f>
        <v/>
      </c>
      <c r="AA411" s="67" t="str">
        <f>IF(Z411="","",COUNTIF($Z$6:$Z$505,"&lt;"&amp;Z411)+1)</f>
        <v/>
      </c>
      <c r="AB411" s="67" t="str">
        <f>IFERROR(INDEX(eq_crit,MATCH(B411,eq_code,0))&amp;"","")</f>
        <v/>
      </c>
    </row>
    <row r="412">
      <c r="A412" s="65" t="n"/>
      <c r="B412" s="66" t="n"/>
      <c r="C412" s="67" t="str">
        <f>IF(B412="","",IFERROR(INDEX(eq_des,MATCH(B412,eq_code,0))&amp;"","Équipement inconnu"))</f>
        <v/>
      </c>
      <c r="D412" s="66" t="n"/>
      <c r="E412" s="68" t="n"/>
      <c r="F412" s="69" t="n"/>
      <c r="G412" s="70" t="n"/>
      <c r="H412" s="71" t="n"/>
      <c r="I412" s="66" t="n"/>
      <c r="J412" s="72" t="n"/>
      <c r="K412" s="73" t="n"/>
      <c r="L412" s="68" t="n"/>
      <c r="M412" s="74" t="str">
        <f>IF(AND(A412="",B412="",D412=""),"",MAX(N(J412),IF(A412="",0,SUMPRODUCT(MAX((in_plan=A412)*in_prev*in_dnum)))))</f>
        <v/>
      </c>
      <c r="N412" s="75" t="str">
        <f>IF(AND(A412="",B412="",D412=""),"",MAX(N(K412),IF(A412="",0,SUMPRODUCT(MAX((in_plan=A412)*in_prev*in_cnum)))))</f>
        <v/>
      </c>
      <c r="O412" s="76" t="str">
        <f>IF(AND(OR(E412="Calendrier",E412="Au premier des deux"),N(F412)&gt;0,IF(N(M412)&gt;0,M412,IFERROR(N(INDEX(eq_start,MATCH(B412,eq_code,0))),0))&gt;0),IF(N(M412)&gt;0,M412,IFERROR(N(INDEX(eq_start,MATCH(B412,eq_code,0))),0))+F412,"")</f>
        <v/>
      </c>
      <c r="P412" s="75" t="str">
        <f>IF(AND(OR(E412="Compteur",E412="Au premier des deux"),N(G412)&gt;0),N(N412)+G412,"")</f>
        <v/>
      </c>
      <c r="Q412" s="75" t="str">
        <f>IF(B412="","",IFERROR(N(INDEX(eq_cnt,MATCH(B412,eq_code,0))),""))</f>
        <v/>
      </c>
      <c r="R412" s="77" t="str">
        <f>IF(ISNUMBER(O412),O412-p_today,"")</f>
        <v/>
      </c>
      <c r="S412" s="78" t="str">
        <f>IF(AND(ISNUMBER(P412),N(Q412)&gt;0),P412-Q412,"")</f>
        <v/>
      </c>
      <c r="T412" s="76" t="str">
        <f>IF(AND(ISNUMBER(O412),ISNUMBER(X412)),MIN(O412,X412),IF(ISNUMBER(O412),O412,X412))</f>
        <v/>
      </c>
      <c r="U412" s="79" t="str">
        <f>IF(AND(A412="",B412="",D412=""),"",IF(L412="Non","Inactif",IF(AND(NOT(ISNUMBER(R412)),NOT(ISNUMBER(S412))),"À compléter",IF(OR(AND(ISNUMBER(R412),N(R412)&lt;0),AND(ISNUMBER(S412),N(S412)&lt;0)),"En retard",IF(OR(AND(ISNUMBER(R412),N(R412)&lt;=p_soon),AND(ISNUMBER(S412),N(S412)&lt;=p_soon_pct*N(G412))),"Bientôt","À jour")))))</f>
        <v/>
      </c>
      <c r="V412" s="79" t="str">
        <f>IF(AND(A412="",B412="",D412=""),"",IF(A412="","N° de plan manquant",IF(COUNTIF($A$6:$A$505,A412)&gt;1,"N° de plan en double",IF(B412="","Équipement manquant",IF(ISNA(MATCH(B412,eq_code,0)),"Équipement inconnu",IF(D412="","Tâche manquante",IF(E412="","Déclenchement manquant",IF(AND(E412&lt;&gt;"Calendrier",E412&lt;&gt;"Compteur",E412&lt;&gt;"Au premier des deux"),"Déclenchement inconnu",IF(AND(E412&lt;&gt;"Compteur",OR(NOT(ISNUMBER(F412)),N(F412)&lt;=0)),"Périodicité en jours manquante",IF(AND(E412&lt;&gt;"Calendrier",OR(NOT(ISNUMBER(G412)),N(G412)&lt;=0)),"Périodicité compteur manquante",IF(AND(J412&lt;&gt;"",OR(NOT(ISNUMBER(J412)),N(J412)&lt;=0)),"Date de réalisation invalide",IF(AND(K412&lt;&gt;"",OR(NOT(ISNUMBER(K412)),N(K412)&lt;0)),"Compteur de réalisation invalide",IF(AND(E412&lt;&gt;"Compteur",N(M412)=0,IFERROR(N(INDEX(eq_start,MATCH(B412,eq_code,0))),0)=0),"Date de départ manquante",IF(AND(E412&lt;&gt;"Calendrier",K412="",N(N412)=0),"Compteur de départ manquant",IF(AND(E412&lt;&gt;"Calendrier",N(Q412)=0),"Relevé compteur manquant (Équipements)",IF(AND(I412&lt;&gt;"",ISNA(MATCH(I412,tech_name,0))),"Technicien inconnu",IF(AND(L412&lt;&gt;"",L412&lt;&gt;"Oui",L412&lt;&gt;"Non"),"Actif : Oui ou Non","OK")))))))))))))))))</f>
        <v/>
      </c>
      <c r="W412" s="67">
        <f>IFERROR(N(INDEX(eq_use,MATCH(B412,eq_code,0))),0)</f>
        <v>0.0</v>
      </c>
      <c r="X412" s="67" t="str">
        <f>IF(AND(ISNUMBER(S412),W412&gt;0),p_today+MAX(0,ROUNDUP(S412*7/W412,0)),"")</f>
        <v/>
      </c>
      <c r="Y412" s="67" t="str">
        <f>IF(AND(ISNUMBER(T412),OR(U412="En retard",U412="Bientôt",U412="À jour")),IF(AND(ISNUMBER(O412),ISNUMBER(X412)),MIN(F412,G412*7/W412),IF(ISNUMBER(O412),F412,G412*7/W412)),"")</f>
        <v/>
      </c>
      <c r="Z412" s="67" t="str">
        <f>IF(OR(U412="En retard",U412="Bientôt"),IF(U412="En retard",0,1)*1000000000+IF(AB412="A",0,IF(AB412="B",1,IF(AB412="C",2,3)))*100000000+IF(ISNUMBER(T412),T412,p_today)*1000+ROW()-5,"")</f>
        <v/>
      </c>
      <c r="AA412" s="67" t="str">
        <f>IF(Z412="","",COUNTIF($Z$6:$Z$505,"&lt;"&amp;Z412)+1)</f>
        <v/>
      </c>
      <c r="AB412" s="67" t="str">
        <f>IFERROR(INDEX(eq_crit,MATCH(B412,eq_code,0))&amp;"","")</f>
        <v/>
      </c>
    </row>
    <row r="413">
      <c r="A413" s="65" t="n"/>
      <c r="B413" s="66" t="n"/>
      <c r="C413" s="67" t="str">
        <f>IF(B413="","",IFERROR(INDEX(eq_des,MATCH(B413,eq_code,0))&amp;"","Équipement inconnu"))</f>
        <v/>
      </c>
      <c r="D413" s="66" t="n"/>
      <c r="E413" s="68" t="n"/>
      <c r="F413" s="69" t="n"/>
      <c r="G413" s="70" t="n"/>
      <c r="H413" s="71" t="n"/>
      <c r="I413" s="66" t="n"/>
      <c r="J413" s="72" t="n"/>
      <c r="K413" s="73" t="n"/>
      <c r="L413" s="68" t="n"/>
      <c r="M413" s="74" t="str">
        <f>IF(AND(A413="",B413="",D413=""),"",MAX(N(J413),IF(A413="",0,SUMPRODUCT(MAX((in_plan=A413)*in_prev*in_dnum)))))</f>
        <v/>
      </c>
      <c r="N413" s="75" t="str">
        <f>IF(AND(A413="",B413="",D413=""),"",MAX(N(K413),IF(A413="",0,SUMPRODUCT(MAX((in_plan=A413)*in_prev*in_cnum)))))</f>
        <v/>
      </c>
      <c r="O413" s="76" t="str">
        <f>IF(AND(OR(E413="Calendrier",E413="Au premier des deux"),N(F413)&gt;0,IF(N(M413)&gt;0,M413,IFERROR(N(INDEX(eq_start,MATCH(B413,eq_code,0))),0))&gt;0),IF(N(M413)&gt;0,M413,IFERROR(N(INDEX(eq_start,MATCH(B413,eq_code,0))),0))+F413,"")</f>
        <v/>
      </c>
      <c r="P413" s="75" t="str">
        <f>IF(AND(OR(E413="Compteur",E413="Au premier des deux"),N(G413)&gt;0),N(N413)+G413,"")</f>
        <v/>
      </c>
      <c r="Q413" s="75" t="str">
        <f>IF(B413="","",IFERROR(N(INDEX(eq_cnt,MATCH(B413,eq_code,0))),""))</f>
        <v/>
      </c>
      <c r="R413" s="77" t="str">
        <f>IF(ISNUMBER(O413),O413-p_today,"")</f>
        <v/>
      </c>
      <c r="S413" s="78" t="str">
        <f>IF(AND(ISNUMBER(P413),N(Q413)&gt;0),P413-Q413,"")</f>
        <v/>
      </c>
      <c r="T413" s="76" t="str">
        <f>IF(AND(ISNUMBER(O413),ISNUMBER(X413)),MIN(O413,X413),IF(ISNUMBER(O413),O413,X413))</f>
        <v/>
      </c>
      <c r="U413" s="79" t="str">
        <f>IF(AND(A413="",B413="",D413=""),"",IF(L413="Non","Inactif",IF(AND(NOT(ISNUMBER(R413)),NOT(ISNUMBER(S413))),"À compléter",IF(OR(AND(ISNUMBER(R413),N(R413)&lt;0),AND(ISNUMBER(S413),N(S413)&lt;0)),"En retard",IF(OR(AND(ISNUMBER(R413),N(R413)&lt;=p_soon),AND(ISNUMBER(S413),N(S413)&lt;=p_soon_pct*N(G413))),"Bientôt","À jour")))))</f>
        <v/>
      </c>
      <c r="V413" s="79" t="str">
        <f>IF(AND(A413="",B413="",D413=""),"",IF(A413="","N° de plan manquant",IF(COUNTIF($A$6:$A$505,A413)&gt;1,"N° de plan en double",IF(B413="","Équipement manquant",IF(ISNA(MATCH(B413,eq_code,0)),"Équipement inconnu",IF(D413="","Tâche manquante",IF(E413="","Déclenchement manquant",IF(AND(E413&lt;&gt;"Calendrier",E413&lt;&gt;"Compteur",E413&lt;&gt;"Au premier des deux"),"Déclenchement inconnu",IF(AND(E413&lt;&gt;"Compteur",OR(NOT(ISNUMBER(F413)),N(F413)&lt;=0)),"Périodicité en jours manquante",IF(AND(E413&lt;&gt;"Calendrier",OR(NOT(ISNUMBER(G413)),N(G413)&lt;=0)),"Périodicité compteur manquante",IF(AND(J413&lt;&gt;"",OR(NOT(ISNUMBER(J413)),N(J413)&lt;=0)),"Date de réalisation invalide",IF(AND(K413&lt;&gt;"",OR(NOT(ISNUMBER(K413)),N(K413)&lt;0)),"Compteur de réalisation invalide",IF(AND(E413&lt;&gt;"Compteur",N(M413)=0,IFERROR(N(INDEX(eq_start,MATCH(B413,eq_code,0))),0)=0),"Date de départ manquante",IF(AND(E413&lt;&gt;"Calendrier",K413="",N(N413)=0),"Compteur de départ manquant",IF(AND(E413&lt;&gt;"Calendrier",N(Q413)=0),"Relevé compteur manquant (Équipements)",IF(AND(I413&lt;&gt;"",ISNA(MATCH(I413,tech_name,0))),"Technicien inconnu",IF(AND(L413&lt;&gt;"",L413&lt;&gt;"Oui",L413&lt;&gt;"Non"),"Actif : Oui ou Non","OK")))))))))))))))))</f>
        <v/>
      </c>
      <c r="W413" s="67">
        <f>IFERROR(N(INDEX(eq_use,MATCH(B413,eq_code,0))),0)</f>
        <v>0.0</v>
      </c>
      <c r="X413" s="67" t="str">
        <f>IF(AND(ISNUMBER(S413),W413&gt;0),p_today+MAX(0,ROUNDUP(S413*7/W413,0)),"")</f>
        <v/>
      </c>
      <c r="Y413" s="67" t="str">
        <f>IF(AND(ISNUMBER(T413),OR(U413="En retard",U413="Bientôt",U413="À jour")),IF(AND(ISNUMBER(O413),ISNUMBER(X413)),MIN(F413,G413*7/W413),IF(ISNUMBER(O413),F413,G413*7/W413)),"")</f>
        <v/>
      </c>
      <c r="Z413" s="67" t="str">
        <f>IF(OR(U413="En retard",U413="Bientôt"),IF(U413="En retard",0,1)*1000000000+IF(AB413="A",0,IF(AB413="B",1,IF(AB413="C",2,3)))*100000000+IF(ISNUMBER(T413),T413,p_today)*1000+ROW()-5,"")</f>
        <v/>
      </c>
      <c r="AA413" s="67" t="str">
        <f>IF(Z413="","",COUNTIF($Z$6:$Z$505,"&lt;"&amp;Z413)+1)</f>
        <v/>
      </c>
      <c r="AB413" s="67" t="str">
        <f>IFERROR(INDEX(eq_crit,MATCH(B413,eq_code,0))&amp;"","")</f>
        <v/>
      </c>
    </row>
    <row r="414">
      <c r="A414" s="65" t="n"/>
      <c r="B414" s="66" t="n"/>
      <c r="C414" s="67" t="str">
        <f>IF(B414="","",IFERROR(INDEX(eq_des,MATCH(B414,eq_code,0))&amp;"","Équipement inconnu"))</f>
        <v/>
      </c>
      <c r="D414" s="66" t="n"/>
      <c r="E414" s="68" t="n"/>
      <c r="F414" s="69" t="n"/>
      <c r="G414" s="70" t="n"/>
      <c r="H414" s="71" t="n"/>
      <c r="I414" s="66" t="n"/>
      <c r="J414" s="72" t="n"/>
      <c r="K414" s="73" t="n"/>
      <c r="L414" s="68" t="n"/>
      <c r="M414" s="74" t="str">
        <f>IF(AND(A414="",B414="",D414=""),"",MAX(N(J414),IF(A414="",0,SUMPRODUCT(MAX((in_plan=A414)*in_prev*in_dnum)))))</f>
        <v/>
      </c>
      <c r="N414" s="75" t="str">
        <f>IF(AND(A414="",B414="",D414=""),"",MAX(N(K414),IF(A414="",0,SUMPRODUCT(MAX((in_plan=A414)*in_prev*in_cnum)))))</f>
        <v/>
      </c>
      <c r="O414" s="76" t="str">
        <f>IF(AND(OR(E414="Calendrier",E414="Au premier des deux"),N(F414)&gt;0,IF(N(M414)&gt;0,M414,IFERROR(N(INDEX(eq_start,MATCH(B414,eq_code,0))),0))&gt;0),IF(N(M414)&gt;0,M414,IFERROR(N(INDEX(eq_start,MATCH(B414,eq_code,0))),0))+F414,"")</f>
        <v/>
      </c>
      <c r="P414" s="75" t="str">
        <f>IF(AND(OR(E414="Compteur",E414="Au premier des deux"),N(G414)&gt;0),N(N414)+G414,"")</f>
        <v/>
      </c>
      <c r="Q414" s="75" t="str">
        <f>IF(B414="","",IFERROR(N(INDEX(eq_cnt,MATCH(B414,eq_code,0))),""))</f>
        <v/>
      </c>
      <c r="R414" s="77" t="str">
        <f>IF(ISNUMBER(O414),O414-p_today,"")</f>
        <v/>
      </c>
      <c r="S414" s="78" t="str">
        <f>IF(AND(ISNUMBER(P414),N(Q414)&gt;0),P414-Q414,"")</f>
        <v/>
      </c>
      <c r="T414" s="76" t="str">
        <f>IF(AND(ISNUMBER(O414),ISNUMBER(X414)),MIN(O414,X414),IF(ISNUMBER(O414),O414,X414))</f>
        <v/>
      </c>
      <c r="U414" s="79" t="str">
        <f>IF(AND(A414="",B414="",D414=""),"",IF(L414="Non","Inactif",IF(AND(NOT(ISNUMBER(R414)),NOT(ISNUMBER(S414))),"À compléter",IF(OR(AND(ISNUMBER(R414),N(R414)&lt;0),AND(ISNUMBER(S414),N(S414)&lt;0)),"En retard",IF(OR(AND(ISNUMBER(R414),N(R414)&lt;=p_soon),AND(ISNUMBER(S414),N(S414)&lt;=p_soon_pct*N(G414))),"Bientôt","À jour")))))</f>
        <v/>
      </c>
      <c r="V414" s="79" t="str">
        <f>IF(AND(A414="",B414="",D414=""),"",IF(A414="","N° de plan manquant",IF(COUNTIF($A$6:$A$505,A414)&gt;1,"N° de plan en double",IF(B414="","Équipement manquant",IF(ISNA(MATCH(B414,eq_code,0)),"Équipement inconnu",IF(D414="","Tâche manquante",IF(E414="","Déclenchement manquant",IF(AND(E414&lt;&gt;"Calendrier",E414&lt;&gt;"Compteur",E414&lt;&gt;"Au premier des deux"),"Déclenchement inconnu",IF(AND(E414&lt;&gt;"Compteur",OR(NOT(ISNUMBER(F414)),N(F414)&lt;=0)),"Périodicité en jours manquante",IF(AND(E414&lt;&gt;"Calendrier",OR(NOT(ISNUMBER(G414)),N(G414)&lt;=0)),"Périodicité compteur manquante",IF(AND(J414&lt;&gt;"",OR(NOT(ISNUMBER(J414)),N(J414)&lt;=0)),"Date de réalisation invalide",IF(AND(K414&lt;&gt;"",OR(NOT(ISNUMBER(K414)),N(K414)&lt;0)),"Compteur de réalisation invalide",IF(AND(E414&lt;&gt;"Compteur",N(M414)=0,IFERROR(N(INDEX(eq_start,MATCH(B414,eq_code,0))),0)=0),"Date de départ manquante",IF(AND(E414&lt;&gt;"Calendrier",K414="",N(N414)=0),"Compteur de départ manquant",IF(AND(E414&lt;&gt;"Calendrier",N(Q414)=0),"Relevé compteur manquant (Équipements)",IF(AND(I414&lt;&gt;"",ISNA(MATCH(I414,tech_name,0))),"Technicien inconnu",IF(AND(L414&lt;&gt;"",L414&lt;&gt;"Oui",L414&lt;&gt;"Non"),"Actif : Oui ou Non","OK")))))))))))))))))</f>
        <v/>
      </c>
      <c r="W414" s="67">
        <f>IFERROR(N(INDEX(eq_use,MATCH(B414,eq_code,0))),0)</f>
        <v>0.0</v>
      </c>
      <c r="X414" s="67" t="str">
        <f>IF(AND(ISNUMBER(S414),W414&gt;0),p_today+MAX(0,ROUNDUP(S414*7/W414,0)),"")</f>
        <v/>
      </c>
      <c r="Y414" s="67" t="str">
        <f>IF(AND(ISNUMBER(T414),OR(U414="En retard",U414="Bientôt",U414="À jour")),IF(AND(ISNUMBER(O414),ISNUMBER(X414)),MIN(F414,G414*7/W414),IF(ISNUMBER(O414),F414,G414*7/W414)),"")</f>
        <v/>
      </c>
      <c r="Z414" s="67" t="str">
        <f>IF(OR(U414="En retard",U414="Bientôt"),IF(U414="En retard",0,1)*1000000000+IF(AB414="A",0,IF(AB414="B",1,IF(AB414="C",2,3)))*100000000+IF(ISNUMBER(T414),T414,p_today)*1000+ROW()-5,"")</f>
        <v/>
      </c>
      <c r="AA414" s="67" t="str">
        <f>IF(Z414="","",COUNTIF($Z$6:$Z$505,"&lt;"&amp;Z414)+1)</f>
        <v/>
      </c>
      <c r="AB414" s="67" t="str">
        <f>IFERROR(INDEX(eq_crit,MATCH(B414,eq_code,0))&amp;"","")</f>
        <v/>
      </c>
    </row>
    <row r="415">
      <c r="A415" s="65" t="n"/>
      <c r="B415" s="66" t="n"/>
      <c r="C415" s="67" t="str">
        <f>IF(B415="","",IFERROR(INDEX(eq_des,MATCH(B415,eq_code,0))&amp;"","Équipement inconnu"))</f>
        <v/>
      </c>
      <c r="D415" s="66" t="n"/>
      <c r="E415" s="68" t="n"/>
      <c r="F415" s="69" t="n"/>
      <c r="G415" s="70" t="n"/>
      <c r="H415" s="71" t="n"/>
      <c r="I415" s="66" t="n"/>
      <c r="J415" s="72" t="n"/>
      <c r="K415" s="73" t="n"/>
      <c r="L415" s="68" t="n"/>
      <c r="M415" s="74" t="str">
        <f>IF(AND(A415="",B415="",D415=""),"",MAX(N(J415),IF(A415="",0,SUMPRODUCT(MAX((in_plan=A415)*in_prev*in_dnum)))))</f>
        <v/>
      </c>
      <c r="N415" s="75" t="str">
        <f>IF(AND(A415="",B415="",D415=""),"",MAX(N(K415),IF(A415="",0,SUMPRODUCT(MAX((in_plan=A415)*in_prev*in_cnum)))))</f>
        <v/>
      </c>
      <c r="O415" s="76" t="str">
        <f>IF(AND(OR(E415="Calendrier",E415="Au premier des deux"),N(F415)&gt;0,IF(N(M415)&gt;0,M415,IFERROR(N(INDEX(eq_start,MATCH(B415,eq_code,0))),0))&gt;0),IF(N(M415)&gt;0,M415,IFERROR(N(INDEX(eq_start,MATCH(B415,eq_code,0))),0))+F415,"")</f>
        <v/>
      </c>
      <c r="P415" s="75" t="str">
        <f>IF(AND(OR(E415="Compteur",E415="Au premier des deux"),N(G415)&gt;0),N(N415)+G415,"")</f>
        <v/>
      </c>
      <c r="Q415" s="75" t="str">
        <f>IF(B415="","",IFERROR(N(INDEX(eq_cnt,MATCH(B415,eq_code,0))),""))</f>
        <v/>
      </c>
      <c r="R415" s="77" t="str">
        <f>IF(ISNUMBER(O415),O415-p_today,"")</f>
        <v/>
      </c>
      <c r="S415" s="78" t="str">
        <f>IF(AND(ISNUMBER(P415),N(Q415)&gt;0),P415-Q415,"")</f>
        <v/>
      </c>
      <c r="T415" s="76" t="str">
        <f>IF(AND(ISNUMBER(O415),ISNUMBER(X415)),MIN(O415,X415),IF(ISNUMBER(O415),O415,X415))</f>
        <v/>
      </c>
      <c r="U415" s="79" t="str">
        <f>IF(AND(A415="",B415="",D415=""),"",IF(L415="Non","Inactif",IF(AND(NOT(ISNUMBER(R415)),NOT(ISNUMBER(S415))),"À compléter",IF(OR(AND(ISNUMBER(R415),N(R415)&lt;0),AND(ISNUMBER(S415),N(S415)&lt;0)),"En retard",IF(OR(AND(ISNUMBER(R415),N(R415)&lt;=p_soon),AND(ISNUMBER(S415),N(S415)&lt;=p_soon_pct*N(G415))),"Bientôt","À jour")))))</f>
        <v/>
      </c>
      <c r="V415" s="79" t="str">
        <f>IF(AND(A415="",B415="",D415=""),"",IF(A415="","N° de plan manquant",IF(COUNTIF($A$6:$A$505,A415)&gt;1,"N° de plan en double",IF(B415="","Équipement manquant",IF(ISNA(MATCH(B415,eq_code,0)),"Équipement inconnu",IF(D415="","Tâche manquante",IF(E415="","Déclenchement manquant",IF(AND(E415&lt;&gt;"Calendrier",E415&lt;&gt;"Compteur",E415&lt;&gt;"Au premier des deux"),"Déclenchement inconnu",IF(AND(E415&lt;&gt;"Compteur",OR(NOT(ISNUMBER(F415)),N(F415)&lt;=0)),"Périodicité en jours manquante",IF(AND(E415&lt;&gt;"Calendrier",OR(NOT(ISNUMBER(G415)),N(G415)&lt;=0)),"Périodicité compteur manquante",IF(AND(J415&lt;&gt;"",OR(NOT(ISNUMBER(J415)),N(J415)&lt;=0)),"Date de réalisation invalide",IF(AND(K415&lt;&gt;"",OR(NOT(ISNUMBER(K415)),N(K415)&lt;0)),"Compteur de réalisation invalide",IF(AND(E415&lt;&gt;"Compteur",N(M415)=0,IFERROR(N(INDEX(eq_start,MATCH(B415,eq_code,0))),0)=0),"Date de départ manquante",IF(AND(E415&lt;&gt;"Calendrier",K415="",N(N415)=0),"Compteur de départ manquant",IF(AND(E415&lt;&gt;"Calendrier",N(Q415)=0),"Relevé compteur manquant (Équipements)",IF(AND(I415&lt;&gt;"",ISNA(MATCH(I415,tech_name,0))),"Technicien inconnu",IF(AND(L415&lt;&gt;"",L415&lt;&gt;"Oui",L415&lt;&gt;"Non"),"Actif : Oui ou Non","OK")))))))))))))))))</f>
        <v/>
      </c>
      <c r="W415" s="67">
        <f>IFERROR(N(INDEX(eq_use,MATCH(B415,eq_code,0))),0)</f>
        <v>0.0</v>
      </c>
      <c r="X415" s="67" t="str">
        <f>IF(AND(ISNUMBER(S415),W415&gt;0),p_today+MAX(0,ROUNDUP(S415*7/W415,0)),"")</f>
        <v/>
      </c>
      <c r="Y415" s="67" t="str">
        <f>IF(AND(ISNUMBER(T415),OR(U415="En retard",U415="Bientôt",U415="À jour")),IF(AND(ISNUMBER(O415),ISNUMBER(X415)),MIN(F415,G415*7/W415),IF(ISNUMBER(O415),F415,G415*7/W415)),"")</f>
        <v/>
      </c>
      <c r="Z415" s="67" t="str">
        <f>IF(OR(U415="En retard",U415="Bientôt"),IF(U415="En retard",0,1)*1000000000+IF(AB415="A",0,IF(AB415="B",1,IF(AB415="C",2,3)))*100000000+IF(ISNUMBER(T415),T415,p_today)*1000+ROW()-5,"")</f>
        <v/>
      </c>
      <c r="AA415" s="67" t="str">
        <f>IF(Z415="","",COUNTIF($Z$6:$Z$505,"&lt;"&amp;Z415)+1)</f>
        <v/>
      </c>
      <c r="AB415" s="67" t="str">
        <f>IFERROR(INDEX(eq_crit,MATCH(B415,eq_code,0))&amp;"","")</f>
        <v/>
      </c>
    </row>
    <row r="416">
      <c r="A416" s="65" t="n"/>
      <c r="B416" s="66" t="n"/>
      <c r="C416" s="67" t="str">
        <f>IF(B416="","",IFERROR(INDEX(eq_des,MATCH(B416,eq_code,0))&amp;"","Équipement inconnu"))</f>
        <v/>
      </c>
      <c r="D416" s="66" t="n"/>
      <c r="E416" s="68" t="n"/>
      <c r="F416" s="69" t="n"/>
      <c r="G416" s="70" t="n"/>
      <c r="H416" s="71" t="n"/>
      <c r="I416" s="66" t="n"/>
      <c r="J416" s="72" t="n"/>
      <c r="K416" s="73" t="n"/>
      <c r="L416" s="68" t="n"/>
      <c r="M416" s="74" t="str">
        <f>IF(AND(A416="",B416="",D416=""),"",MAX(N(J416),IF(A416="",0,SUMPRODUCT(MAX((in_plan=A416)*in_prev*in_dnum)))))</f>
        <v/>
      </c>
      <c r="N416" s="75" t="str">
        <f>IF(AND(A416="",B416="",D416=""),"",MAX(N(K416),IF(A416="",0,SUMPRODUCT(MAX((in_plan=A416)*in_prev*in_cnum)))))</f>
        <v/>
      </c>
      <c r="O416" s="76" t="str">
        <f>IF(AND(OR(E416="Calendrier",E416="Au premier des deux"),N(F416)&gt;0,IF(N(M416)&gt;0,M416,IFERROR(N(INDEX(eq_start,MATCH(B416,eq_code,0))),0))&gt;0),IF(N(M416)&gt;0,M416,IFERROR(N(INDEX(eq_start,MATCH(B416,eq_code,0))),0))+F416,"")</f>
        <v/>
      </c>
      <c r="P416" s="75" t="str">
        <f>IF(AND(OR(E416="Compteur",E416="Au premier des deux"),N(G416)&gt;0),N(N416)+G416,"")</f>
        <v/>
      </c>
      <c r="Q416" s="75" t="str">
        <f>IF(B416="","",IFERROR(N(INDEX(eq_cnt,MATCH(B416,eq_code,0))),""))</f>
        <v/>
      </c>
      <c r="R416" s="77" t="str">
        <f>IF(ISNUMBER(O416),O416-p_today,"")</f>
        <v/>
      </c>
      <c r="S416" s="78" t="str">
        <f>IF(AND(ISNUMBER(P416),N(Q416)&gt;0),P416-Q416,"")</f>
        <v/>
      </c>
      <c r="T416" s="76" t="str">
        <f>IF(AND(ISNUMBER(O416),ISNUMBER(X416)),MIN(O416,X416),IF(ISNUMBER(O416),O416,X416))</f>
        <v/>
      </c>
      <c r="U416" s="79" t="str">
        <f>IF(AND(A416="",B416="",D416=""),"",IF(L416="Non","Inactif",IF(AND(NOT(ISNUMBER(R416)),NOT(ISNUMBER(S416))),"À compléter",IF(OR(AND(ISNUMBER(R416),N(R416)&lt;0),AND(ISNUMBER(S416),N(S416)&lt;0)),"En retard",IF(OR(AND(ISNUMBER(R416),N(R416)&lt;=p_soon),AND(ISNUMBER(S416),N(S416)&lt;=p_soon_pct*N(G416))),"Bientôt","À jour")))))</f>
        <v/>
      </c>
      <c r="V416" s="79" t="str">
        <f>IF(AND(A416="",B416="",D416=""),"",IF(A416="","N° de plan manquant",IF(COUNTIF($A$6:$A$505,A416)&gt;1,"N° de plan en double",IF(B416="","Équipement manquant",IF(ISNA(MATCH(B416,eq_code,0)),"Équipement inconnu",IF(D416="","Tâche manquante",IF(E416="","Déclenchement manquant",IF(AND(E416&lt;&gt;"Calendrier",E416&lt;&gt;"Compteur",E416&lt;&gt;"Au premier des deux"),"Déclenchement inconnu",IF(AND(E416&lt;&gt;"Compteur",OR(NOT(ISNUMBER(F416)),N(F416)&lt;=0)),"Périodicité en jours manquante",IF(AND(E416&lt;&gt;"Calendrier",OR(NOT(ISNUMBER(G416)),N(G416)&lt;=0)),"Périodicité compteur manquante",IF(AND(J416&lt;&gt;"",OR(NOT(ISNUMBER(J416)),N(J416)&lt;=0)),"Date de réalisation invalide",IF(AND(K416&lt;&gt;"",OR(NOT(ISNUMBER(K416)),N(K416)&lt;0)),"Compteur de réalisation invalide",IF(AND(E416&lt;&gt;"Compteur",N(M416)=0,IFERROR(N(INDEX(eq_start,MATCH(B416,eq_code,0))),0)=0),"Date de départ manquante",IF(AND(E416&lt;&gt;"Calendrier",K416="",N(N416)=0),"Compteur de départ manquant",IF(AND(E416&lt;&gt;"Calendrier",N(Q416)=0),"Relevé compteur manquant (Équipements)",IF(AND(I416&lt;&gt;"",ISNA(MATCH(I416,tech_name,0))),"Technicien inconnu",IF(AND(L416&lt;&gt;"",L416&lt;&gt;"Oui",L416&lt;&gt;"Non"),"Actif : Oui ou Non","OK")))))))))))))))))</f>
        <v/>
      </c>
      <c r="W416" s="67">
        <f>IFERROR(N(INDEX(eq_use,MATCH(B416,eq_code,0))),0)</f>
        <v>0.0</v>
      </c>
      <c r="X416" s="67" t="str">
        <f>IF(AND(ISNUMBER(S416),W416&gt;0),p_today+MAX(0,ROUNDUP(S416*7/W416,0)),"")</f>
        <v/>
      </c>
      <c r="Y416" s="67" t="str">
        <f>IF(AND(ISNUMBER(T416),OR(U416="En retard",U416="Bientôt",U416="À jour")),IF(AND(ISNUMBER(O416),ISNUMBER(X416)),MIN(F416,G416*7/W416),IF(ISNUMBER(O416),F416,G416*7/W416)),"")</f>
        <v/>
      </c>
      <c r="Z416" s="67" t="str">
        <f>IF(OR(U416="En retard",U416="Bientôt"),IF(U416="En retard",0,1)*1000000000+IF(AB416="A",0,IF(AB416="B",1,IF(AB416="C",2,3)))*100000000+IF(ISNUMBER(T416),T416,p_today)*1000+ROW()-5,"")</f>
        <v/>
      </c>
      <c r="AA416" s="67" t="str">
        <f>IF(Z416="","",COUNTIF($Z$6:$Z$505,"&lt;"&amp;Z416)+1)</f>
        <v/>
      </c>
      <c r="AB416" s="67" t="str">
        <f>IFERROR(INDEX(eq_crit,MATCH(B416,eq_code,0))&amp;"","")</f>
        <v/>
      </c>
    </row>
    <row r="417">
      <c r="A417" s="65" t="n"/>
      <c r="B417" s="66" t="n"/>
      <c r="C417" s="67" t="str">
        <f>IF(B417="","",IFERROR(INDEX(eq_des,MATCH(B417,eq_code,0))&amp;"","Équipement inconnu"))</f>
        <v/>
      </c>
      <c r="D417" s="66" t="n"/>
      <c r="E417" s="68" t="n"/>
      <c r="F417" s="69" t="n"/>
      <c r="G417" s="70" t="n"/>
      <c r="H417" s="71" t="n"/>
      <c r="I417" s="66" t="n"/>
      <c r="J417" s="72" t="n"/>
      <c r="K417" s="73" t="n"/>
      <c r="L417" s="68" t="n"/>
      <c r="M417" s="74" t="str">
        <f>IF(AND(A417="",B417="",D417=""),"",MAX(N(J417),IF(A417="",0,SUMPRODUCT(MAX((in_plan=A417)*in_prev*in_dnum)))))</f>
        <v/>
      </c>
      <c r="N417" s="75" t="str">
        <f>IF(AND(A417="",B417="",D417=""),"",MAX(N(K417),IF(A417="",0,SUMPRODUCT(MAX((in_plan=A417)*in_prev*in_cnum)))))</f>
        <v/>
      </c>
      <c r="O417" s="76" t="str">
        <f>IF(AND(OR(E417="Calendrier",E417="Au premier des deux"),N(F417)&gt;0,IF(N(M417)&gt;0,M417,IFERROR(N(INDEX(eq_start,MATCH(B417,eq_code,0))),0))&gt;0),IF(N(M417)&gt;0,M417,IFERROR(N(INDEX(eq_start,MATCH(B417,eq_code,0))),0))+F417,"")</f>
        <v/>
      </c>
      <c r="P417" s="75" t="str">
        <f>IF(AND(OR(E417="Compteur",E417="Au premier des deux"),N(G417)&gt;0),N(N417)+G417,"")</f>
        <v/>
      </c>
      <c r="Q417" s="75" t="str">
        <f>IF(B417="","",IFERROR(N(INDEX(eq_cnt,MATCH(B417,eq_code,0))),""))</f>
        <v/>
      </c>
      <c r="R417" s="77" t="str">
        <f>IF(ISNUMBER(O417),O417-p_today,"")</f>
        <v/>
      </c>
      <c r="S417" s="78" t="str">
        <f>IF(AND(ISNUMBER(P417),N(Q417)&gt;0),P417-Q417,"")</f>
        <v/>
      </c>
      <c r="T417" s="76" t="str">
        <f>IF(AND(ISNUMBER(O417),ISNUMBER(X417)),MIN(O417,X417),IF(ISNUMBER(O417),O417,X417))</f>
        <v/>
      </c>
      <c r="U417" s="79" t="str">
        <f>IF(AND(A417="",B417="",D417=""),"",IF(L417="Non","Inactif",IF(AND(NOT(ISNUMBER(R417)),NOT(ISNUMBER(S417))),"À compléter",IF(OR(AND(ISNUMBER(R417),N(R417)&lt;0),AND(ISNUMBER(S417),N(S417)&lt;0)),"En retard",IF(OR(AND(ISNUMBER(R417),N(R417)&lt;=p_soon),AND(ISNUMBER(S417),N(S417)&lt;=p_soon_pct*N(G417))),"Bientôt","À jour")))))</f>
        <v/>
      </c>
      <c r="V417" s="79" t="str">
        <f>IF(AND(A417="",B417="",D417=""),"",IF(A417="","N° de plan manquant",IF(COUNTIF($A$6:$A$505,A417)&gt;1,"N° de plan en double",IF(B417="","Équipement manquant",IF(ISNA(MATCH(B417,eq_code,0)),"Équipement inconnu",IF(D417="","Tâche manquante",IF(E417="","Déclenchement manquant",IF(AND(E417&lt;&gt;"Calendrier",E417&lt;&gt;"Compteur",E417&lt;&gt;"Au premier des deux"),"Déclenchement inconnu",IF(AND(E417&lt;&gt;"Compteur",OR(NOT(ISNUMBER(F417)),N(F417)&lt;=0)),"Périodicité en jours manquante",IF(AND(E417&lt;&gt;"Calendrier",OR(NOT(ISNUMBER(G417)),N(G417)&lt;=0)),"Périodicité compteur manquante",IF(AND(J417&lt;&gt;"",OR(NOT(ISNUMBER(J417)),N(J417)&lt;=0)),"Date de réalisation invalide",IF(AND(K417&lt;&gt;"",OR(NOT(ISNUMBER(K417)),N(K417)&lt;0)),"Compteur de réalisation invalide",IF(AND(E417&lt;&gt;"Compteur",N(M417)=0,IFERROR(N(INDEX(eq_start,MATCH(B417,eq_code,0))),0)=0),"Date de départ manquante",IF(AND(E417&lt;&gt;"Calendrier",K417="",N(N417)=0),"Compteur de départ manquant",IF(AND(E417&lt;&gt;"Calendrier",N(Q417)=0),"Relevé compteur manquant (Équipements)",IF(AND(I417&lt;&gt;"",ISNA(MATCH(I417,tech_name,0))),"Technicien inconnu",IF(AND(L417&lt;&gt;"",L417&lt;&gt;"Oui",L417&lt;&gt;"Non"),"Actif : Oui ou Non","OK")))))))))))))))))</f>
        <v/>
      </c>
      <c r="W417" s="67">
        <f>IFERROR(N(INDEX(eq_use,MATCH(B417,eq_code,0))),0)</f>
        <v>0.0</v>
      </c>
      <c r="X417" s="67" t="str">
        <f>IF(AND(ISNUMBER(S417),W417&gt;0),p_today+MAX(0,ROUNDUP(S417*7/W417,0)),"")</f>
        <v/>
      </c>
      <c r="Y417" s="67" t="str">
        <f>IF(AND(ISNUMBER(T417),OR(U417="En retard",U417="Bientôt",U417="À jour")),IF(AND(ISNUMBER(O417),ISNUMBER(X417)),MIN(F417,G417*7/W417),IF(ISNUMBER(O417),F417,G417*7/W417)),"")</f>
        <v/>
      </c>
      <c r="Z417" s="67" t="str">
        <f>IF(OR(U417="En retard",U417="Bientôt"),IF(U417="En retard",0,1)*1000000000+IF(AB417="A",0,IF(AB417="B",1,IF(AB417="C",2,3)))*100000000+IF(ISNUMBER(T417),T417,p_today)*1000+ROW()-5,"")</f>
        <v/>
      </c>
      <c r="AA417" s="67" t="str">
        <f>IF(Z417="","",COUNTIF($Z$6:$Z$505,"&lt;"&amp;Z417)+1)</f>
        <v/>
      </c>
      <c r="AB417" s="67" t="str">
        <f>IFERROR(INDEX(eq_crit,MATCH(B417,eq_code,0))&amp;"","")</f>
        <v/>
      </c>
    </row>
    <row r="418">
      <c r="A418" s="65" t="n"/>
      <c r="B418" s="66" t="n"/>
      <c r="C418" s="67" t="str">
        <f>IF(B418="","",IFERROR(INDEX(eq_des,MATCH(B418,eq_code,0))&amp;"","Équipement inconnu"))</f>
        <v/>
      </c>
      <c r="D418" s="66" t="n"/>
      <c r="E418" s="68" t="n"/>
      <c r="F418" s="69" t="n"/>
      <c r="G418" s="70" t="n"/>
      <c r="H418" s="71" t="n"/>
      <c r="I418" s="66" t="n"/>
      <c r="J418" s="72" t="n"/>
      <c r="K418" s="73" t="n"/>
      <c r="L418" s="68" t="n"/>
      <c r="M418" s="74" t="str">
        <f>IF(AND(A418="",B418="",D418=""),"",MAX(N(J418),IF(A418="",0,SUMPRODUCT(MAX((in_plan=A418)*in_prev*in_dnum)))))</f>
        <v/>
      </c>
      <c r="N418" s="75" t="str">
        <f>IF(AND(A418="",B418="",D418=""),"",MAX(N(K418),IF(A418="",0,SUMPRODUCT(MAX((in_plan=A418)*in_prev*in_cnum)))))</f>
        <v/>
      </c>
      <c r="O418" s="76" t="str">
        <f>IF(AND(OR(E418="Calendrier",E418="Au premier des deux"),N(F418)&gt;0,IF(N(M418)&gt;0,M418,IFERROR(N(INDEX(eq_start,MATCH(B418,eq_code,0))),0))&gt;0),IF(N(M418)&gt;0,M418,IFERROR(N(INDEX(eq_start,MATCH(B418,eq_code,0))),0))+F418,"")</f>
        <v/>
      </c>
      <c r="P418" s="75" t="str">
        <f>IF(AND(OR(E418="Compteur",E418="Au premier des deux"),N(G418)&gt;0),N(N418)+G418,"")</f>
        <v/>
      </c>
      <c r="Q418" s="75" t="str">
        <f>IF(B418="","",IFERROR(N(INDEX(eq_cnt,MATCH(B418,eq_code,0))),""))</f>
        <v/>
      </c>
      <c r="R418" s="77" t="str">
        <f>IF(ISNUMBER(O418),O418-p_today,"")</f>
        <v/>
      </c>
      <c r="S418" s="78" t="str">
        <f>IF(AND(ISNUMBER(P418),N(Q418)&gt;0),P418-Q418,"")</f>
        <v/>
      </c>
      <c r="T418" s="76" t="str">
        <f>IF(AND(ISNUMBER(O418),ISNUMBER(X418)),MIN(O418,X418),IF(ISNUMBER(O418),O418,X418))</f>
        <v/>
      </c>
      <c r="U418" s="79" t="str">
        <f>IF(AND(A418="",B418="",D418=""),"",IF(L418="Non","Inactif",IF(AND(NOT(ISNUMBER(R418)),NOT(ISNUMBER(S418))),"À compléter",IF(OR(AND(ISNUMBER(R418),N(R418)&lt;0),AND(ISNUMBER(S418),N(S418)&lt;0)),"En retard",IF(OR(AND(ISNUMBER(R418),N(R418)&lt;=p_soon),AND(ISNUMBER(S418),N(S418)&lt;=p_soon_pct*N(G418))),"Bientôt","À jour")))))</f>
        <v/>
      </c>
      <c r="V418" s="79" t="str">
        <f>IF(AND(A418="",B418="",D418=""),"",IF(A418="","N° de plan manquant",IF(COUNTIF($A$6:$A$505,A418)&gt;1,"N° de plan en double",IF(B418="","Équipement manquant",IF(ISNA(MATCH(B418,eq_code,0)),"Équipement inconnu",IF(D418="","Tâche manquante",IF(E418="","Déclenchement manquant",IF(AND(E418&lt;&gt;"Calendrier",E418&lt;&gt;"Compteur",E418&lt;&gt;"Au premier des deux"),"Déclenchement inconnu",IF(AND(E418&lt;&gt;"Compteur",OR(NOT(ISNUMBER(F418)),N(F418)&lt;=0)),"Périodicité en jours manquante",IF(AND(E418&lt;&gt;"Calendrier",OR(NOT(ISNUMBER(G418)),N(G418)&lt;=0)),"Périodicité compteur manquante",IF(AND(J418&lt;&gt;"",OR(NOT(ISNUMBER(J418)),N(J418)&lt;=0)),"Date de réalisation invalide",IF(AND(K418&lt;&gt;"",OR(NOT(ISNUMBER(K418)),N(K418)&lt;0)),"Compteur de réalisation invalide",IF(AND(E418&lt;&gt;"Compteur",N(M418)=0,IFERROR(N(INDEX(eq_start,MATCH(B418,eq_code,0))),0)=0),"Date de départ manquante",IF(AND(E418&lt;&gt;"Calendrier",K418="",N(N418)=0),"Compteur de départ manquant",IF(AND(E418&lt;&gt;"Calendrier",N(Q418)=0),"Relevé compteur manquant (Équipements)",IF(AND(I418&lt;&gt;"",ISNA(MATCH(I418,tech_name,0))),"Technicien inconnu",IF(AND(L418&lt;&gt;"",L418&lt;&gt;"Oui",L418&lt;&gt;"Non"),"Actif : Oui ou Non","OK")))))))))))))))))</f>
        <v/>
      </c>
      <c r="W418" s="67">
        <f>IFERROR(N(INDEX(eq_use,MATCH(B418,eq_code,0))),0)</f>
        <v>0.0</v>
      </c>
      <c r="X418" s="67" t="str">
        <f>IF(AND(ISNUMBER(S418),W418&gt;0),p_today+MAX(0,ROUNDUP(S418*7/W418,0)),"")</f>
        <v/>
      </c>
      <c r="Y418" s="67" t="str">
        <f>IF(AND(ISNUMBER(T418),OR(U418="En retard",U418="Bientôt",U418="À jour")),IF(AND(ISNUMBER(O418),ISNUMBER(X418)),MIN(F418,G418*7/W418),IF(ISNUMBER(O418),F418,G418*7/W418)),"")</f>
        <v/>
      </c>
      <c r="Z418" s="67" t="str">
        <f>IF(OR(U418="En retard",U418="Bientôt"),IF(U418="En retard",0,1)*1000000000+IF(AB418="A",0,IF(AB418="B",1,IF(AB418="C",2,3)))*100000000+IF(ISNUMBER(T418),T418,p_today)*1000+ROW()-5,"")</f>
        <v/>
      </c>
      <c r="AA418" s="67" t="str">
        <f>IF(Z418="","",COUNTIF($Z$6:$Z$505,"&lt;"&amp;Z418)+1)</f>
        <v/>
      </c>
      <c r="AB418" s="67" t="str">
        <f>IFERROR(INDEX(eq_crit,MATCH(B418,eq_code,0))&amp;"","")</f>
        <v/>
      </c>
    </row>
    <row r="419">
      <c r="A419" s="65" t="n"/>
      <c r="B419" s="66" t="n"/>
      <c r="C419" s="67" t="str">
        <f>IF(B419="","",IFERROR(INDEX(eq_des,MATCH(B419,eq_code,0))&amp;"","Équipement inconnu"))</f>
        <v/>
      </c>
      <c r="D419" s="66" t="n"/>
      <c r="E419" s="68" t="n"/>
      <c r="F419" s="69" t="n"/>
      <c r="G419" s="70" t="n"/>
      <c r="H419" s="71" t="n"/>
      <c r="I419" s="66" t="n"/>
      <c r="J419" s="72" t="n"/>
      <c r="K419" s="73" t="n"/>
      <c r="L419" s="68" t="n"/>
      <c r="M419" s="74" t="str">
        <f>IF(AND(A419="",B419="",D419=""),"",MAX(N(J419),IF(A419="",0,SUMPRODUCT(MAX((in_plan=A419)*in_prev*in_dnum)))))</f>
        <v/>
      </c>
      <c r="N419" s="75" t="str">
        <f>IF(AND(A419="",B419="",D419=""),"",MAX(N(K419),IF(A419="",0,SUMPRODUCT(MAX((in_plan=A419)*in_prev*in_cnum)))))</f>
        <v/>
      </c>
      <c r="O419" s="76" t="str">
        <f>IF(AND(OR(E419="Calendrier",E419="Au premier des deux"),N(F419)&gt;0,IF(N(M419)&gt;0,M419,IFERROR(N(INDEX(eq_start,MATCH(B419,eq_code,0))),0))&gt;0),IF(N(M419)&gt;0,M419,IFERROR(N(INDEX(eq_start,MATCH(B419,eq_code,0))),0))+F419,"")</f>
        <v/>
      </c>
      <c r="P419" s="75" t="str">
        <f>IF(AND(OR(E419="Compteur",E419="Au premier des deux"),N(G419)&gt;0),N(N419)+G419,"")</f>
        <v/>
      </c>
      <c r="Q419" s="75" t="str">
        <f>IF(B419="","",IFERROR(N(INDEX(eq_cnt,MATCH(B419,eq_code,0))),""))</f>
        <v/>
      </c>
      <c r="R419" s="77" t="str">
        <f>IF(ISNUMBER(O419),O419-p_today,"")</f>
        <v/>
      </c>
      <c r="S419" s="78" t="str">
        <f>IF(AND(ISNUMBER(P419),N(Q419)&gt;0),P419-Q419,"")</f>
        <v/>
      </c>
      <c r="T419" s="76" t="str">
        <f>IF(AND(ISNUMBER(O419),ISNUMBER(X419)),MIN(O419,X419),IF(ISNUMBER(O419),O419,X419))</f>
        <v/>
      </c>
      <c r="U419" s="79" t="str">
        <f>IF(AND(A419="",B419="",D419=""),"",IF(L419="Non","Inactif",IF(AND(NOT(ISNUMBER(R419)),NOT(ISNUMBER(S419))),"À compléter",IF(OR(AND(ISNUMBER(R419),N(R419)&lt;0),AND(ISNUMBER(S419),N(S419)&lt;0)),"En retard",IF(OR(AND(ISNUMBER(R419),N(R419)&lt;=p_soon),AND(ISNUMBER(S419),N(S419)&lt;=p_soon_pct*N(G419))),"Bientôt","À jour")))))</f>
        <v/>
      </c>
      <c r="V419" s="79" t="str">
        <f>IF(AND(A419="",B419="",D419=""),"",IF(A419="","N° de plan manquant",IF(COUNTIF($A$6:$A$505,A419)&gt;1,"N° de plan en double",IF(B419="","Équipement manquant",IF(ISNA(MATCH(B419,eq_code,0)),"Équipement inconnu",IF(D419="","Tâche manquante",IF(E419="","Déclenchement manquant",IF(AND(E419&lt;&gt;"Calendrier",E419&lt;&gt;"Compteur",E419&lt;&gt;"Au premier des deux"),"Déclenchement inconnu",IF(AND(E419&lt;&gt;"Compteur",OR(NOT(ISNUMBER(F419)),N(F419)&lt;=0)),"Périodicité en jours manquante",IF(AND(E419&lt;&gt;"Calendrier",OR(NOT(ISNUMBER(G419)),N(G419)&lt;=0)),"Périodicité compteur manquante",IF(AND(J419&lt;&gt;"",OR(NOT(ISNUMBER(J419)),N(J419)&lt;=0)),"Date de réalisation invalide",IF(AND(K419&lt;&gt;"",OR(NOT(ISNUMBER(K419)),N(K419)&lt;0)),"Compteur de réalisation invalide",IF(AND(E419&lt;&gt;"Compteur",N(M419)=0,IFERROR(N(INDEX(eq_start,MATCH(B419,eq_code,0))),0)=0),"Date de départ manquante",IF(AND(E419&lt;&gt;"Calendrier",K419="",N(N419)=0),"Compteur de départ manquant",IF(AND(E419&lt;&gt;"Calendrier",N(Q419)=0),"Relevé compteur manquant (Équipements)",IF(AND(I419&lt;&gt;"",ISNA(MATCH(I419,tech_name,0))),"Technicien inconnu",IF(AND(L419&lt;&gt;"",L419&lt;&gt;"Oui",L419&lt;&gt;"Non"),"Actif : Oui ou Non","OK")))))))))))))))))</f>
        <v/>
      </c>
      <c r="W419" s="67">
        <f>IFERROR(N(INDEX(eq_use,MATCH(B419,eq_code,0))),0)</f>
        <v>0.0</v>
      </c>
      <c r="X419" s="67" t="str">
        <f>IF(AND(ISNUMBER(S419),W419&gt;0),p_today+MAX(0,ROUNDUP(S419*7/W419,0)),"")</f>
        <v/>
      </c>
      <c r="Y419" s="67" t="str">
        <f>IF(AND(ISNUMBER(T419),OR(U419="En retard",U419="Bientôt",U419="À jour")),IF(AND(ISNUMBER(O419),ISNUMBER(X419)),MIN(F419,G419*7/W419),IF(ISNUMBER(O419),F419,G419*7/W419)),"")</f>
        <v/>
      </c>
      <c r="Z419" s="67" t="str">
        <f>IF(OR(U419="En retard",U419="Bientôt"),IF(U419="En retard",0,1)*1000000000+IF(AB419="A",0,IF(AB419="B",1,IF(AB419="C",2,3)))*100000000+IF(ISNUMBER(T419),T419,p_today)*1000+ROW()-5,"")</f>
        <v/>
      </c>
      <c r="AA419" s="67" t="str">
        <f>IF(Z419="","",COUNTIF($Z$6:$Z$505,"&lt;"&amp;Z419)+1)</f>
        <v/>
      </c>
      <c r="AB419" s="67" t="str">
        <f>IFERROR(INDEX(eq_crit,MATCH(B419,eq_code,0))&amp;"","")</f>
        <v/>
      </c>
    </row>
    <row r="420">
      <c r="A420" s="65" t="n"/>
      <c r="B420" s="66" t="n"/>
      <c r="C420" s="67" t="str">
        <f>IF(B420="","",IFERROR(INDEX(eq_des,MATCH(B420,eq_code,0))&amp;"","Équipement inconnu"))</f>
        <v/>
      </c>
      <c r="D420" s="66" t="n"/>
      <c r="E420" s="68" t="n"/>
      <c r="F420" s="69" t="n"/>
      <c r="G420" s="70" t="n"/>
      <c r="H420" s="71" t="n"/>
      <c r="I420" s="66" t="n"/>
      <c r="J420" s="72" t="n"/>
      <c r="K420" s="73" t="n"/>
      <c r="L420" s="68" t="n"/>
      <c r="M420" s="74" t="str">
        <f>IF(AND(A420="",B420="",D420=""),"",MAX(N(J420),IF(A420="",0,SUMPRODUCT(MAX((in_plan=A420)*in_prev*in_dnum)))))</f>
        <v/>
      </c>
      <c r="N420" s="75" t="str">
        <f>IF(AND(A420="",B420="",D420=""),"",MAX(N(K420),IF(A420="",0,SUMPRODUCT(MAX((in_plan=A420)*in_prev*in_cnum)))))</f>
        <v/>
      </c>
      <c r="O420" s="76" t="str">
        <f>IF(AND(OR(E420="Calendrier",E420="Au premier des deux"),N(F420)&gt;0,IF(N(M420)&gt;0,M420,IFERROR(N(INDEX(eq_start,MATCH(B420,eq_code,0))),0))&gt;0),IF(N(M420)&gt;0,M420,IFERROR(N(INDEX(eq_start,MATCH(B420,eq_code,0))),0))+F420,"")</f>
        <v/>
      </c>
      <c r="P420" s="75" t="str">
        <f>IF(AND(OR(E420="Compteur",E420="Au premier des deux"),N(G420)&gt;0),N(N420)+G420,"")</f>
        <v/>
      </c>
      <c r="Q420" s="75" t="str">
        <f>IF(B420="","",IFERROR(N(INDEX(eq_cnt,MATCH(B420,eq_code,0))),""))</f>
        <v/>
      </c>
      <c r="R420" s="77" t="str">
        <f>IF(ISNUMBER(O420),O420-p_today,"")</f>
        <v/>
      </c>
      <c r="S420" s="78" t="str">
        <f>IF(AND(ISNUMBER(P420),N(Q420)&gt;0),P420-Q420,"")</f>
        <v/>
      </c>
      <c r="T420" s="76" t="str">
        <f>IF(AND(ISNUMBER(O420),ISNUMBER(X420)),MIN(O420,X420),IF(ISNUMBER(O420),O420,X420))</f>
        <v/>
      </c>
      <c r="U420" s="79" t="str">
        <f>IF(AND(A420="",B420="",D420=""),"",IF(L420="Non","Inactif",IF(AND(NOT(ISNUMBER(R420)),NOT(ISNUMBER(S420))),"À compléter",IF(OR(AND(ISNUMBER(R420),N(R420)&lt;0),AND(ISNUMBER(S420),N(S420)&lt;0)),"En retard",IF(OR(AND(ISNUMBER(R420),N(R420)&lt;=p_soon),AND(ISNUMBER(S420),N(S420)&lt;=p_soon_pct*N(G420))),"Bientôt","À jour")))))</f>
        <v/>
      </c>
      <c r="V420" s="79" t="str">
        <f>IF(AND(A420="",B420="",D420=""),"",IF(A420="","N° de plan manquant",IF(COUNTIF($A$6:$A$505,A420)&gt;1,"N° de plan en double",IF(B420="","Équipement manquant",IF(ISNA(MATCH(B420,eq_code,0)),"Équipement inconnu",IF(D420="","Tâche manquante",IF(E420="","Déclenchement manquant",IF(AND(E420&lt;&gt;"Calendrier",E420&lt;&gt;"Compteur",E420&lt;&gt;"Au premier des deux"),"Déclenchement inconnu",IF(AND(E420&lt;&gt;"Compteur",OR(NOT(ISNUMBER(F420)),N(F420)&lt;=0)),"Périodicité en jours manquante",IF(AND(E420&lt;&gt;"Calendrier",OR(NOT(ISNUMBER(G420)),N(G420)&lt;=0)),"Périodicité compteur manquante",IF(AND(J420&lt;&gt;"",OR(NOT(ISNUMBER(J420)),N(J420)&lt;=0)),"Date de réalisation invalide",IF(AND(K420&lt;&gt;"",OR(NOT(ISNUMBER(K420)),N(K420)&lt;0)),"Compteur de réalisation invalide",IF(AND(E420&lt;&gt;"Compteur",N(M420)=0,IFERROR(N(INDEX(eq_start,MATCH(B420,eq_code,0))),0)=0),"Date de départ manquante",IF(AND(E420&lt;&gt;"Calendrier",K420="",N(N420)=0),"Compteur de départ manquant",IF(AND(E420&lt;&gt;"Calendrier",N(Q420)=0),"Relevé compteur manquant (Équipements)",IF(AND(I420&lt;&gt;"",ISNA(MATCH(I420,tech_name,0))),"Technicien inconnu",IF(AND(L420&lt;&gt;"",L420&lt;&gt;"Oui",L420&lt;&gt;"Non"),"Actif : Oui ou Non","OK")))))))))))))))))</f>
        <v/>
      </c>
      <c r="W420" s="67">
        <f>IFERROR(N(INDEX(eq_use,MATCH(B420,eq_code,0))),0)</f>
        <v>0.0</v>
      </c>
      <c r="X420" s="67" t="str">
        <f>IF(AND(ISNUMBER(S420),W420&gt;0),p_today+MAX(0,ROUNDUP(S420*7/W420,0)),"")</f>
        <v/>
      </c>
      <c r="Y420" s="67" t="str">
        <f>IF(AND(ISNUMBER(T420),OR(U420="En retard",U420="Bientôt",U420="À jour")),IF(AND(ISNUMBER(O420),ISNUMBER(X420)),MIN(F420,G420*7/W420),IF(ISNUMBER(O420),F420,G420*7/W420)),"")</f>
        <v/>
      </c>
      <c r="Z420" s="67" t="str">
        <f>IF(OR(U420="En retard",U420="Bientôt"),IF(U420="En retard",0,1)*1000000000+IF(AB420="A",0,IF(AB420="B",1,IF(AB420="C",2,3)))*100000000+IF(ISNUMBER(T420),T420,p_today)*1000+ROW()-5,"")</f>
        <v/>
      </c>
      <c r="AA420" s="67" t="str">
        <f>IF(Z420="","",COUNTIF($Z$6:$Z$505,"&lt;"&amp;Z420)+1)</f>
        <v/>
      </c>
      <c r="AB420" s="67" t="str">
        <f>IFERROR(INDEX(eq_crit,MATCH(B420,eq_code,0))&amp;"","")</f>
        <v/>
      </c>
    </row>
    <row r="421">
      <c r="A421" s="65" t="n"/>
      <c r="B421" s="66" t="n"/>
      <c r="C421" s="67" t="str">
        <f>IF(B421="","",IFERROR(INDEX(eq_des,MATCH(B421,eq_code,0))&amp;"","Équipement inconnu"))</f>
        <v/>
      </c>
      <c r="D421" s="66" t="n"/>
      <c r="E421" s="68" t="n"/>
      <c r="F421" s="69" t="n"/>
      <c r="G421" s="70" t="n"/>
      <c r="H421" s="71" t="n"/>
      <c r="I421" s="66" t="n"/>
      <c r="J421" s="72" t="n"/>
      <c r="K421" s="73" t="n"/>
      <c r="L421" s="68" t="n"/>
      <c r="M421" s="74" t="str">
        <f>IF(AND(A421="",B421="",D421=""),"",MAX(N(J421),IF(A421="",0,SUMPRODUCT(MAX((in_plan=A421)*in_prev*in_dnum)))))</f>
        <v/>
      </c>
      <c r="N421" s="75" t="str">
        <f>IF(AND(A421="",B421="",D421=""),"",MAX(N(K421),IF(A421="",0,SUMPRODUCT(MAX((in_plan=A421)*in_prev*in_cnum)))))</f>
        <v/>
      </c>
      <c r="O421" s="76" t="str">
        <f>IF(AND(OR(E421="Calendrier",E421="Au premier des deux"),N(F421)&gt;0,IF(N(M421)&gt;0,M421,IFERROR(N(INDEX(eq_start,MATCH(B421,eq_code,0))),0))&gt;0),IF(N(M421)&gt;0,M421,IFERROR(N(INDEX(eq_start,MATCH(B421,eq_code,0))),0))+F421,"")</f>
        <v/>
      </c>
      <c r="P421" s="75" t="str">
        <f>IF(AND(OR(E421="Compteur",E421="Au premier des deux"),N(G421)&gt;0),N(N421)+G421,"")</f>
        <v/>
      </c>
      <c r="Q421" s="75" t="str">
        <f>IF(B421="","",IFERROR(N(INDEX(eq_cnt,MATCH(B421,eq_code,0))),""))</f>
        <v/>
      </c>
      <c r="R421" s="77" t="str">
        <f>IF(ISNUMBER(O421),O421-p_today,"")</f>
        <v/>
      </c>
      <c r="S421" s="78" t="str">
        <f>IF(AND(ISNUMBER(P421),N(Q421)&gt;0),P421-Q421,"")</f>
        <v/>
      </c>
      <c r="T421" s="76" t="str">
        <f>IF(AND(ISNUMBER(O421),ISNUMBER(X421)),MIN(O421,X421),IF(ISNUMBER(O421),O421,X421))</f>
        <v/>
      </c>
      <c r="U421" s="79" t="str">
        <f>IF(AND(A421="",B421="",D421=""),"",IF(L421="Non","Inactif",IF(AND(NOT(ISNUMBER(R421)),NOT(ISNUMBER(S421))),"À compléter",IF(OR(AND(ISNUMBER(R421),N(R421)&lt;0),AND(ISNUMBER(S421),N(S421)&lt;0)),"En retard",IF(OR(AND(ISNUMBER(R421),N(R421)&lt;=p_soon),AND(ISNUMBER(S421),N(S421)&lt;=p_soon_pct*N(G421))),"Bientôt","À jour")))))</f>
        <v/>
      </c>
      <c r="V421" s="79" t="str">
        <f>IF(AND(A421="",B421="",D421=""),"",IF(A421="","N° de plan manquant",IF(COUNTIF($A$6:$A$505,A421)&gt;1,"N° de plan en double",IF(B421="","Équipement manquant",IF(ISNA(MATCH(B421,eq_code,0)),"Équipement inconnu",IF(D421="","Tâche manquante",IF(E421="","Déclenchement manquant",IF(AND(E421&lt;&gt;"Calendrier",E421&lt;&gt;"Compteur",E421&lt;&gt;"Au premier des deux"),"Déclenchement inconnu",IF(AND(E421&lt;&gt;"Compteur",OR(NOT(ISNUMBER(F421)),N(F421)&lt;=0)),"Périodicité en jours manquante",IF(AND(E421&lt;&gt;"Calendrier",OR(NOT(ISNUMBER(G421)),N(G421)&lt;=0)),"Périodicité compteur manquante",IF(AND(J421&lt;&gt;"",OR(NOT(ISNUMBER(J421)),N(J421)&lt;=0)),"Date de réalisation invalide",IF(AND(K421&lt;&gt;"",OR(NOT(ISNUMBER(K421)),N(K421)&lt;0)),"Compteur de réalisation invalide",IF(AND(E421&lt;&gt;"Compteur",N(M421)=0,IFERROR(N(INDEX(eq_start,MATCH(B421,eq_code,0))),0)=0),"Date de départ manquante",IF(AND(E421&lt;&gt;"Calendrier",K421="",N(N421)=0),"Compteur de départ manquant",IF(AND(E421&lt;&gt;"Calendrier",N(Q421)=0),"Relevé compteur manquant (Équipements)",IF(AND(I421&lt;&gt;"",ISNA(MATCH(I421,tech_name,0))),"Technicien inconnu",IF(AND(L421&lt;&gt;"",L421&lt;&gt;"Oui",L421&lt;&gt;"Non"),"Actif : Oui ou Non","OK")))))))))))))))))</f>
        <v/>
      </c>
      <c r="W421" s="67">
        <f>IFERROR(N(INDEX(eq_use,MATCH(B421,eq_code,0))),0)</f>
        <v>0.0</v>
      </c>
      <c r="X421" s="67" t="str">
        <f>IF(AND(ISNUMBER(S421),W421&gt;0),p_today+MAX(0,ROUNDUP(S421*7/W421,0)),"")</f>
        <v/>
      </c>
      <c r="Y421" s="67" t="str">
        <f>IF(AND(ISNUMBER(T421),OR(U421="En retard",U421="Bientôt",U421="À jour")),IF(AND(ISNUMBER(O421),ISNUMBER(X421)),MIN(F421,G421*7/W421),IF(ISNUMBER(O421),F421,G421*7/W421)),"")</f>
        <v/>
      </c>
      <c r="Z421" s="67" t="str">
        <f>IF(OR(U421="En retard",U421="Bientôt"),IF(U421="En retard",0,1)*1000000000+IF(AB421="A",0,IF(AB421="B",1,IF(AB421="C",2,3)))*100000000+IF(ISNUMBER(T421),T421,p_today)*1000+ROW()-5,"")</f>
        <v/>
      </c>
      <c r="AA421" s="67" t="str">
        <f>IF(Z421="","",COUNTIF($Z$6:$Z$505,"&lt;"&amp;Z421)+1)</f>
        <v/>
      </c>
      <c r="AB421" s="67" t="str">
        <f>IFERROR(INDEX(eq_crit,MATCH(B421,eq_code,0))&amp;"","")</f>
        <v/>
      </c>
    </row>
    <row r="422">
      <c r="A422" s="65" t="n"/>
      <c r="B422" s="66" t="n"/>
      <c r="C422" s="67" t="str">
        <f>IF(B422="","",IFERROR(INDEX(eq_des,MATCH(B422,eq_code,0))&amp;"","Équipement inconnu"))</f>
        <v/>
      </c>
      <c r="D422" s="66" t="n"/>
      <c r="E422" s="68" t="n"/>
      <c r="F422" s="69" t="n"/>
      <c r="G422" s="70" t="n"/>
      <c r="H422" s="71" t="n"/>
      <c r="I422" s="66" t="n"/>
      <c r="J422" s="72" t="n"/>
      <c r="K422" s="73" t="n"/>
      <c r="L422" s="68" t="n"/>
      <c r="M422" s="74" t="str">
        <f>IF(AND(A422="",B422="",D422=""),"",MAX(N(J422),IF(A422="",0,SUMPRODUCT(MAX((in_plan=A422)*in_prev*in_dnum)))))</f>
        <v/>
      </c>
      <c r="N422" s="75" t="str">
        <f>IF(AND(A422="",B422="",D422=""),"",MAX(N(K422),IF(A422="",0,SUMPRODUCT(MAX((in_plan=A422)*in_prev*in_cnum)))))</f>
        <v/>
      </c>
      <c r="O422" s="76" t="str">
        <f>IF(AND(OR(E422="Calendrier",E422="Au premier des deux"),N(F422)&gt;0,IF(N(M422)&gt;0,M422,IFERROR(N(INDEX(eq_start,MATCH(B422,eq_code,0))),0))&gt;0),IF(N(M422)&gt;0,M422,IFERROR(N(INDEX(eq_start,MATCH(B422,eq_code,0))),0))+F422,"")</f>
        <v/>
      </c>
      <c r="P422" s="75" t="str">
        <f>IF(AND(OR(E422="Compteur",E422="Au premier des deux"),N(G422)&gt;0),N(N422)+G422,"")</f>
        <v/>
      </c>
      <c r="Q422" s="75" t="str">
        <f>IF(B422="","",IFERROR(N(INDEX(eq_cnt,MATCH(B422,eq_code,0))),""))</f>
        <v/>
      </c>
      <c r="R422" s="77" t="str">
        <f>IF(ISNUMBER(O422),O422-p_today,"")</f>
        <v/>
      </c>
      <c r="S422" s="78" t="str">
        <f>IF(AND(ISNUMBER(P422),N(Q422)&gt;0),P422-Q422,"")</f>
        <v/>
      </c>
      <c r="T422" s="76" t="str">
        <f>IF(AND(ISNUMBER(O422),ISNUMBER(X422)),MIN(O422,X422),IF(ISNUMBER(O422),O422,X422))</f>
        <v/>
      </c>
      <c r="U422" s="79" t="str">
        <f>IF(AND(A422="",B422="",D422=""),"",IF(L422="Non","Inactif",IF(AND(NOT(ISNUMBER(R422)),NOT(ISNUMBER(S422))),"À compléter",IF(OR(AND(ISNUMBER(R422),N(R422)&lt;0),AND(ISNUMBER(S422),N(S422)&lt;0)),"En retard",IF(OR(AND(ISNUMBER(R422),N(R422)&lt;=p_soon),AND(ISNUMBER(S422),N(S422)&lt;=p_soon_pct*N(G422))),"Bientôt","À jour")))))</f>
        <v/>
      </c>
      <c r="V422" s="79" t="str">
        <f>IF(AND(A422="",B422="",D422=""),"",IF(A422="","N° de plan manquant",IF(COUNTIF($A$6:$A$505,A422)&gt;1,"N° de plan en double",IF(B422="","Équipement manquant",IF(ISNA(MATCH(B422,eq_code,0)),"Équipement inconnu",IF(D422="","Tâche manquante",IF(E422="","Déclenchement manquant",IF(AND(E422&lt;&gt;"Calendrier",E422&lt;&gt;"Compteur",E422&lt;&gt;"Au premier des deux"),"Déclenchement inconnu",IF(AND(E422&lt;&gt;"Compteur",OR(NOT(ISNUMBER(F422)),N(F422)&lt;=0)),"Périodicité en jours manquante",IF(AND(E422&lt;&gt;"Calendrier",OR(NOT(ISNUMBER(G422)),N(G422)&lt;=0)),"Périodicité compteur manquante",IF(AND(J422&lt;&gt;"",OR(NOT(ISNUMBER(J422)),N(J422)&lt;=0)),"Date de réalisation invalide",IF(AND(K422&lt;&gt;"",OR(NOT(ISNUMBER(K422)),N(K422)&lt;0)),"Compteur de réalisation invalide",IF(AND(E422&lt;&gt;"Compteur",N(M422)=0,IFERROR(N(INDEX(eq_start,MATCH(B422,eq_code,0))),0)=0),"Date de départ manquante",IF(AND(E422&lt;&gt;"Calendrier",K422="",N(N422)=0),"Compteur de départ manquant",IF(AND(E422&lt;&gt;"Calendrier",N(Q422)=0),"Relevé compteur manquant (Équipements)",IF(AND(I422&lt;&gt;"",ISNA(MATCH(I422,tech_name,0))),"Technicien inconnu",IF(AND(L422&lt;&gt;"",L422&lt;&gt;"Oui",L422&lt;&gt;"Non"),"Actif : Oui ou Non","OK")))))))))))))))))</f>
        <v/>
      </c>
      <c r="W422" s="67">
        <f>IFERROR(N(INDEX(eq_use,MATCH(B422,eq_code,0))),0)</f>
        <v>0.0</v>
      </c>
      <c r="X422" s="67" t="str">
        <f>IF(AND(ISNUMBER(S422),W422&gt;0),p_today+MAX(0,ROUNDUP(S422*7/W422,0)),"")</f>
        <v/>
      </c>
      <c r="Y422" s="67" t="str">
        <f>IF(AND(ISNUMBER(T422),OR(U422="En retard",U422="Bientôt",U422="À jour")),IF(AND(ISNUMBER(O422),ISNUMBER(X422)),MIN(F422,G422*7/W422),IF(ISNUMBER(O422),F422,G422*7/W422)),"")</f>
        <v/>
      </c>
      <c r="Z422" s="67" t="str">
        <f>IF(OR(U422="En retard",U422="Bientôt"),IF(U422="En retard",0,1)*1000000000+IF(AB422="A",0,IF(AB422="B",1,IF(AB422="C",2,3)))*100000000+IF(ISNUMBER(T422),T422,p_today)*1000+ROW()-5,"")</f>
        <v/>
      </c>
      <c r="AA422" s="67" t="str">
        <f>IF(Z422="","",COUNTIF($Z$6:$Z$505,"&lt;"&amp;Z422)+1)</f>
        <v/>
      </c>
      <c r="AB422" s="67" t="str">
        <f>IFERROR(INDEX(eq_crit,MATCH(B422,eq_code,0))&amp;"","")</f>
        <v/>
      </c>
    </row>
    <row r="423">
      <c r="A423" s="65" t="n"/>
      <c r="B423" s="66" t="n"/>
      <c r="C423" s="67" t="str">
        <f>IF(B423="","",IFERROR(INDEX(eq_des,MATCH(B423,eq_code,0))&amp;"","Équipement inconnu"))</f>
        <v/>
      </c>
      <c r="D423" s="66" t="n"/>
      <c r="E423" s="68" t="n"/>
      <c r="F423" s="69" t="n"/>
      <c r="G423" s="70" t="n"/>
      <c r="H423" s="71" t="n"/>
      <c r="I423" s="66" t="n"/>
      <c r="J423" s="72" t="n"/>
      <c r="K423" s="73" t="n"/>
      <c r="L423" s="68" t="n"/>
      <c r="M423" s="74" t="str">
        <f>IF(AND(A423="",B423="",D423=""),"",MAX(N(J423),IF(A423="",0,SUMPRODUCT(MAX((in_plan=A423)*in_prev*in_dnum)))))</f>
        <v/>
      </c>
      <c r="N423" s="75" t="str">
        <f>IF(AND(A423="",B423="",D423=""),"",MAX(N(K423),IF(A423="",0,SUMPRODUCT(MAX((in_plan=A423)*in_prev*in_cnum)))))</f>
        <v/>
      </c>
      <c r="O423" s="76" t="str">
        <f>IF(AND(OR(E423="Calendrier",E423="Au premier des deux"),N(F423)&gt;0,IF(N(M423)&gt;0,M423,IFERROR(N(INDEX(eq_start,MATCH(B423,eq_code,0))),0))&gt;0),IF(N(M423)&gt;0,M423,IFERROR(N(INDEX(eq_start,MATCH(B423,eq_code,0))),0))+F423,"")</f>
        <v/>
      </c>
      <c r="P423" s="75" t="str">
        <f>IF(AND(OR(E423="Compteur",E423="Au premier des deux"),N(G423)&gt;0),N(N423)+G423,"")</f>
        <v/>
      </c>
      <c r="Q423" s="75" t="str">
        <f>IF(B423="","",IFERROR(N(INDEX(eq_cnt,MATCH(B423,eq_code,0))),""))</f>
        <v/>
      </c>
      <c r="R423" s="77" t="str">
        <f>IF(ISNUMBER(O423),O423-p_today,"")</f>
        <v/>
      </c>
      <c r="S423" s="78" t="str">
        <f>IF(AND(ISNUMBER(P423),N(Q423)&gt;0),P423-Q423,"")</f>
        <v/>
      </c>
      <c r="T423" s="76" t="str">
        <f>IF(AND(ISNUMBER(O423),ISNUMBER(X423)),MIN(O423,X423),IF(ISNUMBER(O423),O423,X423))</f>
        <v/>
      </c>
      <c r="U423" s="79" t="str">
        <f>IF(AND(A423="",B423="",D423=""),"",IF(L423="Non","Inactif",IF(AND(NOT(ISNUMBER(R423)),NOT(ISNUMBER(S423))),"À compléter",IF(OR(AND(ISNUMBER(R423),N(R423)&lt;0),AND(ISNUMBER(S423),N(S423)&lt;0)),"En retard",IF(OR(AND(ISNUMBER(R423),N(R423)&lt;=p_soon),AND(ISNUMBER(S423),N(S423)&lt;=p_soon_pct*N(G423))),"Bientôt","À jour")))))</f>
        <v/>
      </c>
      <c r="V423" s="79" t="str">
        <f>IF(AND(A423="",B423="",D423=""),"",IF(A423="","N° de plan manquant",IF(COUNTIF($A$6:$A$505,A423)&gt;1,"N° de plan en double",IF(B423="","Équipement manquant",IF(ISNA(MATCH(B423,eq_code,0)),"Équipement inconnu",IF(D423="","Tâche manquante",IF(E423="","Déclenchement manquant",IF(AND(E423&lt;&gt;"Calendrier",E423&lt;&gt;"Compteur",E423&lt;&gt;"Au premier des deux"),"Déclenchement inconnu",IF(AND(E423&lt;&gt;"Compteur",OR(NOT(ISNUMBER(F423)),N(F423)&lt;=0)),"Périodicité en jours manquante",IF(AND(E423&lt;&gt;"Calendrier",OR(NOT(ISNUMBER(G423)),N(G423)&lt;=0)),"Périodicité compteur manquante",IF(AND(J423&lt;&gt;"",OR(NOT(ISNUMBER(J423)),N(J423)&lt;=0)),"Date de réalisation invalide",IF(AND(K423&lt;&gt;"",OR(NOT(ISNUMBER(K423)),N(K423)&lt;0)),"Compteur de réalisation invalide",IF(AND(E423&lt;&gt;"Compteur",N(M423)=0,IFERROR(N(INDEX(eq_start,MATCH(B423,eq_code,0))),0)=0),"Date de départ manquante",IF(AND(E423&lt;&gt;"Calendrier",K423="",N(N423)=0),"Compteur de départ manquant",IF(AND(E423&lt;&gt;"Calendrier",N(Q423)=0),"Relevé compteur manquant (Équipements)",IF(AND(I423&lt;&gt;"",ISNA(MATCH(I423,tech_name,0))),"Technicien inconnu",IF(AND(L423&lt;&gt;"",L423&lt;&gt;"Oui",L423&lt;&gt;"Non"),"Actif : Oui ou Non","OK")))))))))))))))))</f>
        <v/>
      </c>
      <c r="W423" s="67">
        <f>IFERROR(N(INDEX(eq_use,MATCH(B423,eq_code,0))),0)</f>
        <v>0.0</v>
      </c>
      <c r="X423" s="67" t="str">
        <f>IF(AND(ISNUMBER(S423),W423&gt;0),p_today+MAX(0,ROUNDUP(S423*7/W423,0)),"")</f>
        <v/>
      </c>
      <c r="Y423" s="67" t="str">
        <f>IF(AND(ISNUMBER(T423),OR(U423="En retard",U423="Bientôt",U423="À jour")),IF(AND(ISNUMBER(O423),ISNUMBER(X423)),MIN(F423,G423*7/W423),IF(ISNUMBER(O423),F423,G423*7/W423)),"")</f>
        <v/>
      </c>
      <c r="Z423" s="67" t="str">
        <f>IF(OR(U423="En retard",U423="Bientôt"),IF(U423="En retard",0,1)*1000000000+IF(AB423="A",0,IF(AB423="B",1,IF(AB423="C",2,3)))*100000000+IF(ISNUMBER(T423),T423,p_today)*1000+ROW()-5,"")</f>
        <v/>
      </c>
      <c r="AA423" s="67" t="str">
        <f>IF(Z423="","",COUNTIF($Z$6:$Z$505,"&lt;"&amp;Z423)+1)</f>
        <v/>
      </c>
      <c r="AB423" s="67" t="str">
        <f>IFERROR(INDEX(eq_crit,MATCH(B423,eq_code,0))&amp;"","")</f>
        <v/>
      </c>
    </row>
    <row r="424">
      <c r="A424" s="65" t="n"/>
      <c r="B424" s="66" t="n"/>
      <c r="C424" s="67" t="str">
        <f>IF(B424="","",IFERROR(INDEX(eq_des,MATCH(B424,eq_code,0))&amp;"","Équipement inconnu"))</f>
        <v/>
      </c>
      <c r="D424" s="66" t="n"/>
      <c r="E424" s="68" t="n"/>
      <c r="F424" s="69" t="n"/>
      <c r="G424" s="70" t="n"/>
      <c r="H424" s="71" t="n"/>
      <c r="I424" s="66" t="n"/>
      <c r="J424" s="72" t="n"/>
      <c r="K424" s="73" t="n"/>
      <c r="L424" s="68" t="n"/>
      <c r="M424" s="74" t="str">
        <f>IF(AND(A424="",B424="",D424=""),"",MAX(N(J424),IF(A424="",0,SUMPRODUCT(MAX((in_plan=A424)*in_prev*in_dnum)))))</f>
        <v/>
      </c>
      <c r="N424" s="75" t="str">
        <f>IF(AND(A424="",B424="",D424=""),"",MAX(N(K424),IF(A424="",0,SUMPRODUCT(MAX((in_plan=A424)*in_prev*in_cnum)))))</f>
        <v/>
      </c>
      <c r="O424" s="76" t="str">
        <f>IF(AND(OR(E424="Calendrier",E424="Au premier des deux"),N(F424)&gt;0,IF(N(M424)&gt;0,M424,IFERROR(N(INDEX(eq_start,MATCH(B424,eq_code,0))),0))&gt;0),IF(N(M424)&gt;0,M424,IFERROR(N(INDEX(eq_start,MATCH(B424,eq_code,0))),0))+F424,"")</f>
        <v/>
      </c>
      <c r="P424" s="75" t="str">
        <f>IF(AND(OR(E424="Compteur",E424="Au premier des deux"),N(G424)&gt;0),N(N424)+G424,"")</f>
        <v/>
      </c>
      <c r="Q424" s="75" t="str">
        <f>IF(B424="","",IFERROR(N(INDEX(eq_cnt,MATCH(B424,eq_code,0))),""))</f>
        <v/>
      </c>
      <c r="R424" s="77" t="str">
        <f>IF(ISNUMBER(O424),O424-p_today,"")</f>
        <v/>
      </c>
      <c r="S424" s="78" t="str">
        <f>IF(AND(ISNUMBER(P424),N(Q424)&gt;0),P424-Q424,"")</f>
        <v/>
      </c>
      <c r="T424" s="76" t="str">
        <f>IF(AND(ISNUMBER(O424),ISNUMBER(X424)),MIN(O424,X424),IF(ISNUMBER(O424),O424,X424))</f>
        <v/>
      </c>
      <c r="U424" s="79" t="str">
        <f>IF(AND(A424="",B424="",D424=""),"",IF(L424="Non","Inactif",IF(AND(NOT(ISNUMBER(R424)),NOT(ISNUMBER(S424))),"À compléter",IF(OR(AND(ISNUMBER(R424),N(R424)&lt;0),AND(ISNUMBER(S424),N(S424)&lt;0)),"En retard",IF(OR(AND(ISNUMBER(R424),N(R424)&lt;=p_soon),AND(ISNUMBER(S424),N(S424)&lt;=p_soon_pct*N(G424))),"Bientôt","À jour")))))</f>
        <v/>
      </c>
      <c r="V424" s="79" t="str">
        <f>IF(AND(A424="",B424="",D424=""),"",IF(A424="","N° de plan manquant",IF(COUNTIF($A$6:$A$505,A424)&gt;1,"N° de plan en double",IF(B424="","Équipement manquant",IF(ISNA(MATCH(B424,eq_code,0)),"Équipement inconnu",IF(D424="","Tâche manquante",IF(E424="","Déclenchement manquant",IF(AND(E424&lt;&gt;"Calendrier",E424&lt;&gt;"Compteur",E424&lt;&gt;"Au premier des deux"),"Déclenchement inconnu",IF(AND(E424&lt;&gt;"Compteur",OR(NOT(ISNUMBER(F424)),N(F424)&lt;=0)),"Périodicité en jours manquante",IF(AND(E424&lt;&gt;"Calendrier",OR(NOT(ISNUMBER(G424)),N(G424)&lt;=0)),"Périodicité compteur manquante",IF(AND(J424&lt;&gt;"",OR(NOT(ISNUMBER(J424)),N(J424)&lt;=0)),"Date de réalisation invalide",IF(AND(K424&lt;&gt;"",OR(NOT(ISNUMBER(K424)),N(K424)&lt;0)),"Compteur de réalisation invalide",IF(AND(E424&lt;&gt;"Compteur",N(M424)=0,IFERROR(N(INDEX(eq_start,MATCH(B424,eq_code,0))),0)=0),"Date de départ manquante",IF(AND(E424&lt;&gt;"Calendrier",K424="",N(N424)=0),"Compteur de départ manquant",IF(AND(E424&lt;&gt;"Calendrier",N(Q424)=0),"Relevé compteur manquant (Équipements)",IF(AND(I424&lt;&gt;"",ISNA(MATCH(I424,tech_name,0))),"Technicien inconnu",IF(AND(L424&lt;&gt;"",L424&lt;&gt;"Oui",L424&lt;&gt;"Non"),"Actif : Oui ou Non","OK")))))))))))))))))</f>
        <v/>
      </c>
      <c r="W424" s="67">
        <f>IFERROR(N(INDEX(eq_use,MATCH(B424,eq_code,0))),0)</f>
        <v>0.0</v>
      </c>
      <c r="X424" s="67" t="str">
        <f>IF(AND(ISNUMBER(S424),W424&gt;0),p_today+MAX(0,ROUNDUP(S424*7/W424,0)),"")</f>
        <v/>
      </c>
      <c r="Y424" s="67" t="str">
        <f>IF(AND(ISNUMBER(T424),OR(U424="En retard",U424="Bientôt",U424="À jour")),IF(AND(ISNUMBER(O424),ISNUMBER(X424)),MIN(F424,G424*7/W424),IF(ISNUMBER(O424),F424,G424*7/W424)),"")</f>
        <v/>
      </c>
      <c r="Z424" s="67" t="str">
        <f>IF(OR(U424="En retard",U424="Bientôt"),IF(U424="En retard",0,1)*1000000000+IF(AB424="A",0,IF(AB424="B",1,IF(AB424="C",2,3)))*100000000+IF(ISNUMBER(T424),T424,p_today)*1000+ROW()-5,"")</f>
        <v/>
      </c>
      <c r="AA424" s="67" t="str">
        <f>IF(Z424="","",COUNTIF($Z$6:$Z$505,"&lt;"&amp;Z424)+1)</f>
        <v/>
      </c>
      <c r="AB424" s="67" t="str">
        <f>IFERROR(INDEX(eq_crit,MATCH(B424,eq_code,0))&amp;"","")</f>
        <v/>
      </c>
    </row>
    <row r="425">
      <c r="A425" s="65" t="n"/>
      <c r="B425" s="66" t="n"/>
      <c r="C425" s="67" t="str">
        <f>IF(B425="","",IFERROR(INDEX(eq_des,MATCH(B425,eq_code,0))&amp;"","Équipement inconnu"))</f>
        <v/>
      </c>
      <c r="D425" s="66" t="n"/>
      <c r="E425" s="68" t="n"/>
      <c r="F425" s="69" t="n"/>
      <c r="G425" s="70" t="n"/>
      <c r="H425" s="71" t="n"/>
      <c r="I425" s="66" t="n"/>
      <c r="J425" s="72" t="n"/>
      <c r="K425" s="73" t="n"/>
      <c r="L425" s="68" t="n"/>
      <c r="M425" s="74" t="str">
        <f>IF(AND(A425="",B425="",D425=""),"",MAX(N(J425),IF(A425="",0,SUMPRODUCT(MAX((in_plan=A425)*in_prev*in_dnum)))))</f>
        <v/>
      </c>
      <c r="N425" s="75" t="str">
        <f>IF(AND(A425="",B425="",D425=""),"",MAX(N(K425),IF(A425="",0,SUMPRODUCT(MAX((in_plan=A425)*in_prev*in_cnum)))))</f>
        <v/>
      </c>
      <c r="O425" s="76" t="str">
        <f>IF(AND(OR(E425="Calendrier",E425="Au premier des deux"),N(F425)&gt;0,IF(N(M425)&gt;0,M425,IFERROR(N(INDEX(eq_start,MATCH(B425,eq_code,0))),0))&gt;0),IF(N(M425)&gt;0,M425,IFERROR(N(INDEX(eq_start,MATCH(B425,eq_code,0))),0))+F425,"")</f>
        <v/>
      </c>
      <c r="P425" s="75" t="str">
        <f>IF(AND(OR(E425="Compteur",E425="Au premier des deux"),N(G425)&gt;0),N(N425)+G425,"")</f>
        <v/>
      </c>
      <c r="Q425" s="75" t="str">
        <f>IF(B425="","",IFERROR(N(INDEX(eq_cnt,MATCH(B425,eq_code,0))),""))</f>
        <v/>
      </c>
      <c r="R425" s="77" t="str">
        <f>IF(ISNUMBER(O425),O425-p_today,"")</f>
        <v/>
      </c>
      <c r="S425" s="78" t="str">
        <f>IF(AND(ISNUMBER(P425),N(Q425)&gt;0),P425-Q425,"")</f>
        <v/>
      </c>
      <c r="T425" s="76" t="str">
        <f>IF(AND(ISNUMBER(O425),ISNUMBER(X425)),MIN(O425,X425),IF(ISNUMBER(O425),O425,X425))</f>
        <v/>
      </c>
      <c r="U425" s="79" t="str">
        <f>IF(AND(A425="",B425="",D425=""),"",IF(L425="Non","Inactif",IF(AND(NOT(ISNUMBER(R425)),NOT(ISNUMBER(S425))),"À compléter",IF(OR(AND(ISNUMBER(R425),N(R425)&lt;0),AND(ISNUMBER(S425),N(S425)&lt;0)),"En retard",IF(OR(AND(ISNUMBER(R425),N(R425)&lt;=p_soon),AND(ISNUMBER(S425),N(S425)&lt;=p_soon_pct*N(G425))),"Bientôt","À jour")))))</f>
        <v/>
      </c>
      <c r="V425" s="79" t="str">
        <f>IF(AND(A425="",B425="",D425=""),"",IF(A425="","N° de plan manquant",IF(COUNTIF($A$6:$A$505,A425)&gt;1,"N° de plan en double",IF(B425="","Équipement manquant",IF(ISNA(MATCH(B425,eq_code,0)),"Équipement inconnu",IF(D425="","Tâche manquante",IF(E425="","Déclenchement manquant",IF(AND(E425&lt;&gt;"Calendrier",E425&lt;&gt;"Compteur",E425&lt;&gt;"Au premier des deux"),"Déclenchement inconnu",IF(AND(E425&lt;&gt;"Compteur",OR(NOT(ISNUMBER(F425)),N(F425)&lt;=0)),"Périodicité en jours manquante",IF(AND(E425&lt;&gt;"Calendrier",OR(NOT(ISNUMBER(G425)),N(G425)&lt;=0)),"Périodicité compteur manquante",IF(AND(J425&lt;&gt;"",OR(NOT(ISNUMBER(J425)),N(J425)&lt;=0)),"Date de réalisation invalide",IF(AND(K425&lt;&gt;"",OR(NOT(ISNUMBER(K425)),N(K425)&lt;0)),"Compteur de réalisation invalide",IF(AND(E425&lt;&gt;"Compteur",N(M425)=0,IFERROR(N(INDEX(eq_start,MATCH(B425,eq_code,0))),0)=0),"Date de départ manquante",IF(AND(E425&lt;&gt;"Calendrier",K425="",N(N425)=0),"Compteur de départ manquant",IF(AND(E425&lt;&gt;"Calendrier",N(Q425)=0),"Relevé compteur manquant (Équipements)",IF(AND(I425&lt;&gt;"",ISNA(MATCH(I425,tech_name,0))),"Technicien inconnu",IF(AND(L425&lt;&gt;"",L425&lt;&gt;"Oui",L425&lt;&gt;"Non"),"Actif : Oui ou Non","OK")))))))))))))))))</f>
        <v/>
      </c>
      <c r="W425" s="67">
        <f>IFERROR(N(INDEX(eq_use,MATCH(B425,eq_code,0))),0)</f>
        <v>0.0</v>
      </c>
      <c r="X425" s="67" t="str">
        <f>IF(AND(ISNUMBER(S425),W425&gt;0),p_today+MAX(0,ROUNDUP(S425*7/W425,0)),"")</f>
        <v/>
      </c>
      <c r="Y425" s="67" t="str">
        <f>IF(AND(ISNUMBER(T425),OR(U425="En retard",U425="Bientôt",U425="À jour")),IF(AND(ISNUMBER(O425),ISNUMBER(X425)),MIN(F425,G425*7/W425),IF(ISNUMBER(O425),F425,G425*7/W425)),"")</f>
        <v/>
      </c>
      <c r="Z425" s="67" t="str">
        <f>IF(OR(U425="En retard",U425="Bientôt"),IF(U425="En retard",0,1)*1000000000+IF(AB425="A",0,IF(AB425="B",1,IF(AB425="C",2,3)))*100000000+IF(ISNUMBER(T425),T425,p_today)*1000+ROW()-5,"")</f>
        <v/>
      </c>
      <c r="AA425" s="67" t="str">
        <f>IF(Z425="","",COUNTIF($Z$6:$Z$505,"&lt;"&amp;Z425)+1)</f>
        <v/>
      </c>
      <c r="AB425" s="67" t="str">
        <f>IFERROR(INDEX(eq_crit,MATCH(B425,eq_code,0))&amp;"","")</f>
        <v/>
      </c>
    </row>
    <row r="426">
      <c r="A426" s="65" t="n"/>
      <c r="B426" s="66" t="n"/>
      <c r="C426" s="67" t="str">
        <f>IF(B426="","",IFERROR(INDEX(eq_des,MATCH(B426,eq_code,0))&amp;"","Équipement inconnu"))</f>
        <v/>
      </c>
      <c r="D426" s="66" t="n"/>
      <c r="E426" s="68" t="n"/>
      <c r="F426" s="69" t="n"/>
      <c r="G426" s="70" t="n"/>
      <c r="H426" s="71" t="n"/>
      <c r="I426" s="66" t="n"/>
      <c r="J426" s="72" t="n"/>
      <c r="K426" s="73" t="n"/>
      <c r="L426" s="68" t="n"/>
      <c r="M426" s="74" t="str">
        <f>IF(AND(A426="",B426="",D426=""),"",MAX(N(J426),IF(A426="",0,SUMPRODUCT(MAX((in_plan=A426)*in_prev*in_dnum)))))</f>
        <v/>
      </c>
      <c r="N426" s="75" t="str">
        <f>IF(AND(A426="",B426="",D426=""),"",MAX(N(K426),IF(A426="",0,SUMPRODUCT(MAX((in_plan=A426)*in_prev*in_cnum)))))</f>
        <v/>
      </c>
      <c r="O426" s="76" t="str">
        <f>IF(AND(OR(E426="Calendrier",E426="Au premier des deux"),N(F426)&gt;0,IF(N(M426)&gt;0,M426,IFERROR(N(INDEX(eq_start,MATCH(B426,eq_code,0))),0))&gt;0),IF(N(M426)&gt;0,M426,IFERROR(N(INDEX(eq_start,MATCH(B426,eq_code,0))),0))+F426,"")</f>
        <v/>
      </c>
      <c r="P426" s="75" t="str">
        <f>IF(AND(OR(E426="Compteur",E426="Au premier des deux"),N(G426)&gt;0),N(N426)+G426,"")</f>
        <v/>
      </c>
      <c r="Q426" s="75" t="str">
        <f>IF(B426="","",IFERROR(N(INDEX(eq_cnt,MATCH(B426,eq_code,0))),""))</f>
        <v/>
      </c>
      <c r="R426" s="77" t="str">
        <f>IF(ISNUMBER(O426),O426-p_today,"")</f>
        <v/>
      </c>
      <c r="S426" s="78" t="str">
        <f>IF(AND(ISNUMBER(P426),N(Q426)&gt;0),P426-Q426,"")</f>
        <v/>
      </c>
      <c r="T426" s="76" t="str">
        <f>IF(AND(ISNUMBER(O426),ISNUMBER(X426)),MIN(O426,X426),IF(ISNUMBER(O426),O426,X426))</f>
        <v/>
      </c>
      <c r="U426" s="79" t="str">
        <f>IF(AND(A426="",B426="",D426=""),"",IF(L426="Non","Inactif",IF(AND(NOT(ISNUMBER(R426)),NOT(ISNUMBER(S426))),"À compléter",IF(OR(AND(ISNUMBER(R426),N(R426)&lt;0),AND(ISNUMBER(S426),N(S426)&lt;0)),"En retard",IF(OR(AND(ISNUMBER(R426),N(R426)&lt;=p_soon),AND(ISNUMBER(S426),N(S426)&lt;=p_soon_pct*N(G426))),"Bientôt","À jour")))))</f>
        <v/>
      </c>
      <c r="V426" s="79" t="str">
        <f>IF(AND(A426="",B426="",D426=""),"",IF(A426="","N° de plan manquant",IF(COUNTIF($A$6:$A$505,A426)&gt;1,"N° de plan en double",IF(B426="","Équipement manquant",IF(ISNA(MATCH(B426,eq_code,0)),"Équipement inconnu",IF(D426="","Tâche manquante",IF(E426="","Déclenchement manquant",IF(AND(E426&lt;&gt;"Calendrier",E426&lt;&gt;"Compteur",E426&lt;&gt;"Au premier des deux"),"Déclenchement inconnu",IF(AND(E426&lt;&gt;"Compteur",OR(NOT(ISNUMBER(F426)),N(F426)&lt;=0)),"Périodicité en jours manquante",IF(AND(E426&lt;&gt;"Calendrier",OR(NOT(ISNUMBER(G426)),N(G426)&lt;=0)),"Périodicité compteur manquante",IF(AND(J426&lt;&gt;"",OR(NOT(ISNUMBER(J426)),N(J426)&lt;=0)),"Date de réalisation invalide",IF(AND(K426&lt;&gt;"",OR(NOT(ISNUMBER(K426)),N(K426)&lt;0)),"Compteur de réalisation invalide",IF(AND(E426&lt;&gt;"Compteur",N(M426)=0,IFERROR(N(INDEX(eq_start,MATCH(B426,eq_code,0))),0)=0),"Date de départ manquante",IF(AND(E426&lt;&gt;"Calendrier",K426="",N(N426)=0),"Compteur de départ manquant",IF(AND(E426&lt;&gt;"Calendrier",N(Q426)=0),"Relevé compteur manquant (Équipements)",IF(AND(I426&lt;&gt;"",ISNA(MATCH(I426,tech_name,0))),"Technicien inconnu",IF(AND(L426&lt;&gt;"",L426&lt;&gt;"Oui",L426&lt;&gt;"Non"),"Actif : Oui ou Non","OK")))))))))))))))))</f>
        <v/>
      </c>
      <c r="W426" s="67">
        <f>IFERROR(N(INDEX(eq_use,MATCH(B426,eq_code,0))),0)</f>
        <v>0.0</v>
      </c>
      <c r="X426" s="67" t="str">
        <f>IF(AND(ISNUMBER(S426),W426&gt;0),p_today+MAX(0,ROUNDUP(S426*7/W426,0)),"")</f>
        <v/>
      </c>
      <c r="Y426" s="67" t="str">
        <f>IF(AND(ISNUMBER(T426),OR(U426="En retard",U426="Bientôt",U426="À jour")),IF(AND(ISNUMBER(O426),ISNUMBER(X426)),MIN(F426,G426*7/W426),IF(ISNUMBER(O426),F426,G426*7/W426)),"")</f>
        <v/>
      </c>
      <c r="Z426" s="67" t="str">
        <f>IF(OR(U426="En retard",U426="Bientôt"),IF(U426="En retard",0,1)*1000000000+IF(AB426="A",0,IF(AB426="B",1,IF(AB426="C",2,3)))*100000000+IF(ISNUMBER(T426),T426,p_today)*1000+ROW()-5,"")</f>
        <v/>
      </c>
      <c r="AA426" s="67" t="str">
        <f>IF(Z426="","",COUNTIF($Z$6:$Z$505,"&lt;"&amp;Z426)+1)</f>
        <v/>
      </c>
      <c r="AB426" s="67" t="str">
        <f>IFERROR(INDEX(eq_crit,MATCH(B426,eq_code,0))&amp;"","")</f>
        <v/>
      </c>
    </row>
    <row r="427">
      <c r="A427" s="65" t="n"/>
      <c r="B427" s="66" t="n"/>
      <c r="C427" s="67" t="str">
        <f>IF(B427="","",IFERROR(INDEX(eq_des,MATCH(B427,eq_code,0))&amp;"","Équipement inconnu"))</f>
        <v/>
      </c>
      <c r="D427" s="66" t="n"/>
      <c r="E427" s="68" t="n"/>
      <c r="F427" s="69" t="n"/>
      <c r="G427" s="70" t="n"/>
      <c r="H427" s="71" t="n"/>
      <c r="I427" s="66" t="n"/>
      <c r="J427" s="72" t="n"/>
      <c r="K427" s="73" t="n"/>
      <c r="L427" s="68" t="n"/>
      <c r="M427" s="74" t="str">
        <f>IF(AND(A427="",B427="",D427=""),"",MAX(N(J427),IF(A427="",0,SUMPRODUCT(MAX((in_plan=A427)*in_prev*in_dnum)))))</f>
        <v/>
      </c>
      <c r="N427" s="75" t="str">
        <f>IF(AND(A427="",B427="",D427=""),"",MAX(N(K427),IF(A427="",0,SUMPRODUCT(MAX((in_plan=A427)*in_prev*in_cnum)))))</f>
        <v/>
      </c>
      <c r="O427" s="76" t="str">
        <f>IF(AND(OR(E427="Calendrier",E427="Au premier des deux"),N(F427)&gt;0,IF(N(M427)&gt;0,M427,IFERROR(N(INDEX(eq_start,MATCH(B427,eq_code,0))),0))&gt;0),IF(N(M427)&gt;0,M427,IFERROR(N(INDEX(eq_start,MATCH(B427,eq_code,0))),0))+F427,"")</f>
        <v/>
      </c>
      <c r="P427" s="75" t="str">
        <f>IF(AND(OR(E427="Compteur",E427="Au premier des deux"),N(G427)&gt;0),N(N427)+G427,"")</f>
        <v/>
      </c>
      <c r="Q427" s="75" t="str">
        <f>IF(B427="","",IFERROR(N(INDEX(eq_cnt,MATCH(B427,eq_code,0))),""))</f>
        <v/>
      </c>
      <c r="R427" s="77" t="str">
        <f>IF(ISNUMBER(O427),O427-p_today,"")</f>
        <v/>
      </c>
      <c r="S427" s="78" t="str">
        <f>IF(AND(ISNUMBER(P427),N(Q427)&gt;0),P427-Q427,"")</f>
        <v/>
      </c>
      <c r="T427" s="76" t="str">
        <f>IF(AND(ISNUMBER(O427),ISNUMBER(X427)),MIN(O427,X427),IF(ISNUMBER(O427),O427,X427))</f>
        <v/>
      </c>
      <c r="U427" s="79" t="str">
        <f>IF(AND(A427="",B427="",D427=""),"",IF(L427="Non","Inactif",IF(AND(NOT(ISNUMBER(R427)),NOT(ISNUMBER(S427))),"À compléter",IF(OR(AND(ISNUMBER(R427),N(R427)&lt;0),AND(ISNUMBER(S427),N(S427)&lt;0)),"En retard",IF(OR(AND(ISNUMBER(R427),N(R427)&lt;=p_soon),AND(ISNUMBER(S427),N(S427)&lt;=p_soon_pct*N(G427))),"Bientôt","À jour")))))</f>
        <v/>
      </c>
      <c r="V427" s="79" t="str">
        <f>IF(AND(A427="",B427="",D427=""),"",IF(A427="","N° de plan manquant",IF(COUNTIF($A$6:$A$505,A427)&gt;1,"N° de plan en double",IF(B427="","Équipement manquant",IF(ISNA(MATCH(B427,eq_code,0)),"Équipement inconnu",IF(D427="","Tâche manquante",IF(E427="","Déclenchement manquant",IF(AND(E427&lt;&gt;"Calendrier",E427&lt;&gt;"Compteur",E427&lt;&gt;"Au premier des deux"),"Déclenchement inconnu",IF(AND(E427&lt;&gt;"Compteur",OR(NOT(ISNUMBER(F427)),N(F427)&lt;=0)),"Périodicité en jours manquante",IF(AND(E427&lt;&gt;"Calendrier",OR(NOT(ISNUMBER(G427)),N(G427)&lt;=0)),"Périodicité compteur manquante",IF(AND(J427&lt;&gt;"",OR(NOT(ISNUMBER(J427)),N(J427)&lt;=0)),"Date de réalisation invalide",IF(AND(K427&lt;&gt;"",OR(NOT(ISNUMBER(K427)),N(K427)&lt;0)),"Compteur de réalisation invalide",IF(AND(E427&lt;&gt;"Compteur",N(M427)=0,IFERROR(N(INDEX(eq_start,MATCH(B427,eq_code,0))),0)=0),"Date de départ manquante",IF(AND(E427&lt;&gt;"Calendrier",K427="",N(N427)=0),"Compteur de départ manquant",IF(AND(E427&lt;&gt;"Calendrier",N(Q427)=0),"Relevé compteur manquant (Équipements)",IF(AND(I427&lt;&gt;"",ISNA(MATCH(I427,tech_name,0))),"Technicien inconnu",IF(AND(L427&lt;&gt;"",L427&lt;&gt;"Oui",L427&lt;&gt;"Non"),"Actif : Oui ou Non","OK")))))))))))))))))</f>
        <v/>
      </c>
      <c r="W427" s="67">
        <f>IFERROR(N(INDEX(eq_use,MATCH(B427,eq_code,0))),0)</f>
        <v>0.0</v>
      </c>
      <c r="X427" s="67" t="str">
        <f>IF(AND(ISNUMBER(S427),W427&gt;0),p_today+MAX(0,ROUNDUP(S427*7/W427,0)),"")</f>
        <v/>
      </c>
      <c r="Y427" s="67" t="str">
        <f>IF(AND(ISNUMBER(T427),OR(U427="En retard",U427="Bientôt",U427="À jour")),IF(AND(ISNUMBER(O427),ISNUMBER(X427)),MIN(F427,G427*7/W427),IF(ISNUMBER(O427),F427,G427*7/W427)),"")</f>
        <v/>
      </c>
      <c r="Z427" s="67" t="str">
        <f>IF(OR(U427="En retard",U427="Bientôt"),IF(U427="En retard",0,1)*1000000000+IF(AB427="A",0,IF(AB427="B",1,IF(AB427="C",2,3)))*100000000+IF(ISNUMBER(T427),T427,p_today)*1000+ROW()-5,"")</f>
        <v/>
      </c>
      <c r="AA427" s="67" t="str">
        <f>IF(Z427="","",COUNTIF($Z$6:$Z$505,"&lt;"&amp;Z427)+1)</f>
        <v/>
      </c>
      <c r="AB427" s="67" t="str">
        <f>IFERROR(INDEX(eq_crit,MATCH(B427,eq_code,0))&amp;"","")</f>
        <v/>
      </c>
    </row>
    <row r="428">
      <c r="A428" s="65" t="n"/>
      <c r="B428" s="66" t="n"/>
      <c r="C428" s="67" t="str">
        <f>IF(B428="","",IFERROR(INDEX(eq_des,MATCH(B428,eq_code,0))&amp;"","Équipement inconnu"))</f>
        <v/>
      </c>
      <c r="D428" s="66" t="n"/>
      <c r="E428" s="68" t="n"/>
      <c r="F428" s="69" t="n"/>
      <c r="G428" s="70" t="n"/>
      <c r="H428" s="71" t="n"/>
      <c r="I428" s="66" t="n"/>
      <c r="J428" s="72" t="n"/>
      <c r="K428" s="73" t="n"/>
      <c r="L428" s="68" t="n"/>
      <c r="M428" s="74" t="str">
        <f>IF(AND(A428="",B428="",D428=""),"",MAX(N(J428),IF(A428="",0,SUMPRODUCT(MAX((in_plan=A428)*in_prev*in_dnum)))))</f>
        <v/>
      </c>
      <c r="N428" s="75" t="str">
        <f>IF(AND(A428="",B428="",D428=""),"",MAX(N(K428),IF(A428="",0,SUMPRODUCT(MAX((in_plan=A428)*in_prev*in_cnum)))))</f>
        <v/>
      </c>
      <c r="O428" s="76" t="str">
        <f>IF(AND(OR(E428="Calendrier",E428="Au premier des deux"),N(F428)&gt;0,IF(N(M428)&gt;0,M428,IFERROR(N(INDEX(eq_start,MATCH(B428,eq_code,0))),0))&gt;0),IF(N(M428)&gt;0,M428,IFERROR(N(INDEX(eq_start,MATCH(B428,eq_code,0))),0))+F428,"")</f>
        <v/>
      </c>
      <c r="P428" s="75" t="str">
        <f>IF(AND(OR(E428="Compteur",E428="Au premier des deux"),N(G428)&gt;0),N(N428)+G428,"")</f>
        <v/>
      </c>
      <c r="Q428" s="75" t="str">
        <f>IF(B428="","",IFERROR(N(INDEX(eq_cnt,MATCH(B428,eq_code,0))),""))</f>
        <v/>
      </c>
      <c r="R428" s="77" t="str">
        <f>IF(ISNUMBER(O428),O428-p_today,"")</f>
        <v/>
      </c>
      <c r="S428" s="78" t="str">
        <f>IF(AND(ISNUMBER(P428),N(Q428)&gt;0),P428-Q428,"")</f>
        <v/>
      </c>
      <c r="T428" s="76" t="str">
        <f>IF(AND(ISNUMBER(O428),ISNUMBER(X428)),MIN(O428,X428),IF(ISNUMBER(O428),O428,X428))</f>
        <v/>
      </c>
      <c r="U428" s="79" t="str">
        <f>IF(AND(A428="",B428="",D428=""),"",IF(L428="Non","Inactif",IF(AND(NOT(ISNUMBER(R428)),NOT(ISNUMBER(S428))),"À compléter",IF(OR(AND(ISNUMBER(R428),N(R428)&lt;0),AND(ISNUMBER(S428),N(S428)&lt;0)),"En retard",IF(OR(AND(ISNUMBER(R428),N(R428)&lt;=p_soon),AND(ISNUMBER(S428),N(S428)&lt;=p_soon_pct*N(G428))),"Bientôt","À jour")))))</f>
        <v/>
      </c>
      <c r="V428" s="79" t="str">
        <f>IF(AND(A428="",B428="",D428=""),"",IF(A428="","N° de plan manquant",IF(COUNTIF($A$6:$A$505,A428)&gt;1,"N° de plan en double",IF(B428="","Équipement manquant",IF(ISNA(MATCH(B428,eq_code,0)),"Équipement inconnu",IF(D428="","Tâche manquante",IF(E428="","Déclenchement manquant",IF(AND(E428&lt;&gt;"Calendrier",E428&lt;&gt;"Compteur",E428&lt;&gt;"Au premier des deux"),"Déclenchement inconnu",IF(AND(E428&lt;&gt;"Compteur",OR(NOT(ISNUMBER(F428)),N(F428)&lt;=0)),"Périodicité en jours manquante",IF(AND(E428&lt;&gt;"Calendrier",OR(NOT(ISNUMBER(G428)),N(G428)&lt;=0)),"Périodicité compteur manquante",IF(AND(J428&lt;&gt;"",OR(NOT(ISNUMBER(J428)),N(J428)&lt;=0)),"Date de réalisation invalide",IF(AND(K428&lt;&gt;"",OR(NOT(ISNUMBER(K428)),N(K428)&lt;0)),"Compteur de réalisation invalide",IF(AND(E428&lt;&gt;"Compteur",N(M428)=0,IFERROR(N(INDEX(eq_start,MATCH(B428,eq_code,0))),0)=0),"Date de départ manquante",IF(AND(E428&lt;&gt;"Calendrier",K428="",N(N428)=0),"Compteur de départ manquant",IF(AND(E428&lt;&gt;"Calendrier",N(Q428)=0),"Relevé compteur manquant (Équipements)",IF(AND(I428&lt;&gt;"",ISNA(MATCH(I428,tech_name,0))),"Technicien inconnu",IF(AND(L428&lt;&gt;"",L428&lt;&gt;"Oui",L428&lt;&gt;"Non"),"Actif : Oui ou Non","OK")))))))))))))))))</f>
        <v/>
      </c>
      <c r="W428" s="67">
        <f>IFERROR(N(INDEX(eq_use,MATCH(B428,eq_code,0))),0)</f>
        <v>0.0</v>
      </c>
      <c r="X428" s="67" t="str">
        <f>IF(AND(ISNUMBER(S428),W428&gt;0),p_today+MAX(0,ROUNDUP(S428*7/W428,0)),"")</f>
        <v/>
      </c>
      <c r="Y428" s="67" t="str">
        <f>IF(AND(ISNUMBER(T428),OR(U428="En retard",U428="Bientôt",U428="À jour")),IF(AND(ISNUMBER(O428),ISNUMBER(X428)),MIN(F428,G428*7/W428),IF(ISNUMBER(O428),F428,G428*7/W428)),"")</f>
        <v/>
      </c>
      <c r="Z428" s="67" t="str">
        <f>IF(OR(U428="En retard",U428="Bientôt"),IF(U428="En retard",0,1)*1000000000+IF(AB428="A",0,IF(AB428="B",1,IF(AB428="C",2,3)))*100000000+IF(ISNUMBER(T428),T428,p_today)*1000+ROW()-5,"")</f>
        <v/>
      </c>
      <c r="AA428" s="67" t="str">
        <f>IF(Z428="","",COUNTIF($Z$6:$Z$505,"&lt;"&amp;Z428)+1)</f>
        <v/>
      </c>
      <c r="AB428" s="67" t="str">
        <f>IFERROR(INDEX(eq_crit,MATCH(B428,eq_code,0))&amp;"","")</f>
        <v/>
      </c>
    </row>
    <row r="429">
      <c r="A429" s="65" t="n"/>
      <c r="B429" s="66" t="n"/>
      <c r="C429" s="67" t="str">
        <f>IF(B429="","",IFERROR(INDEX(eq_des,MATCH(B429,eq_code,0))&amp;"","Équipement inconnu"))</f>
        <v/>
      </c>
      <c r="D429" s="66" t="n"/>
      <c r="E429" s="68" t="n"/>
      <c r="F429" s="69" t="n"/>
      <c r="G429" s="70" t="n"/>
      <c r="H429" s="71" t="n"/>
      <c r="I429" s="66" t="n"/>
      <c r="J429" s="72" t="n"/>
      <c r="K429" s="73" t="n"/>
      <c r="L429" s="68" t="n"/>
      <c r="M429" s="74" t="str">
        <f>IF(AND(A429="",B429="",D429=""),"",MAX(N(J429),IF(A429="",0,SUMPRODUCT(MAX((in_plan=A429)*in_prev*in_dnum)))))</f>
        <v/>
      </c>
      <c r="N429" s="75" t="str">
        <f>IF(AND(A429="",B429="",D429=""),"",MAX(N(K429),IF(A429="",0,SUMPRODUCT(MAX((in_plan=A429)*in_prev*in_cnum)))))</f>
        <v/>
      </c>
      <c r="O429" s="76" t="str">
        <f>IF(AND(OR(E429="Calendrier",E429="Au premier des deux"),N(F429)&gt;0,IF(N(M429)&gt;0,M429,IFERROR(N(INDEX(eq_start,MATCH(B429,eq_code,0))),0))&gt;0),IF(N(M429)&gt;0,M429,IFERROR(N(INDEX(eq_start,MATCH(B429,eq_code,0))),0))+F429,"")</f>
        <v/>
      </c>
      <c r="P429" s="75" t="str">
        <f>IF(AND(OR(E429="Compteur",E429="Au premier des deux"),N(G429)&gt;0),N(N429)+G429,"")</f>
        <v/>
      </c>
      <c r="Q429" s="75" t="str">
        <f>IF(B429="","",IFERROR(N(INDEX(eq_cnt,MATCH(B429,eq_code,0))),""))</f>
        <v/>
      </c>
      <c r="R429" s="77" t="str">
        <f>IF(ISNUMBER(O429),O429-p_today,"")</f>
        <v/>
      </c>
      <c r="S429" s="78" t="str">
        <f>IF(AND(ISNUMBER(P429),N(Q429)&gt;0),P429-Q429,"")</f>
        <v/>
      </c>
      <c r="T429" s="76" t="str">
        <f>IF(AND(ISNUMBER(O429),ISNUMBER(X429)),MIN(O429,X429),IF(ISNUMBER(O429),O429,X429))</f>
        <v/>
      </c>
      <c r="U429" s="79" t="str">
        <f>IF(AND(A429="",B429="",D429=""),"",IF(L429="Non","Inactif",IF(AND(NOT(ISNUMBER(R429)),NOT(ISNUMBER(S429))),"À compléter",IF(OR(AND(ISNUMBER(R429),N(R429)&lt;0),AND(ISNUMBER(S429),N(S429)&lt;0)),"En retard",IF(OR(AND(ISNUMBER(R429),N(R429)&lt;=p_soon),AND(ISNUMBER(S429),N(S429)&lt;=p_soon_pct*N(G429))),"Bientôt","À jour")))))</f>
        <v/>
      </c>
      <c r="V429" s="79" t="str">
        <f>IF(AND(A429="",B429="",D429=""),"",IF(A429="","N° de plan manquant",IF(COUNTIF($A$6:$A$505,A429)&gt;1,"N° de plan en double",IF(B429="","Équipement manquant",IF(ISNA(MATCH(B429,eq_code,0)),"Équipement inconnu",IF(D429="","Tâche manquante",IF(E429="","Déclenchement manquant",IF(AND(E429&lt;&gt;"Calendrier",E429&lt;&gt;"Compteur",E429&lt;&gt;"Au premier des deux"),"Déclenchement inconnu",IF(AND(E429&lt;&gt;"Compteur",OR(NOT(ISNUMBER(F429)),N(F429)&lt;=0)),"Périodicité en jours manquante",IF(AND(E429&lt;&gt;"Calendrier",OR(NOT(ISNUMBER(G429)),N(G429)&lt;=0)),"Périodicité compteur manquante",IF(AND(J429&lt;&gt;"",OR(NOT(ISNUMBER(J429)),N(J429)&lt;=0)),"Date de réalisation invalide",IF(AND(K429&lt;&gt;"",OR(NOT(ISNUMBER(K429)),N(K429)&lt;0)),"Compteur de réalisation invalide",IF(AND(E429&lt;&gt;"Compteur",N(M429)=0,IFERROR(N(INDEX(eq_start,MATCH(B429,eq_code,0))),0)=0),"Date de départ manquante",IF(AND(E429&lt;&gt;"Calendrier",K429="",N(N429)=0),"Compteur de départ manquant",IF(AND(E429&lt;&gt;"Calendrier",N(Q429)=0),"Relevé compteur manquant (Équipements)",IF(AND(I429&lt;&gt;"",ISNA(MATCH(I429,tech_name,0))),"Technicien inconnu",IF(AND(L429&lt;&gt;"",L429&lt;&gt;"Oui",L429&lt;&gt;"Non"),"Actif : Oui ou Non","OK")))))))))))))))))</f>
        <v/>
      </c>
      <c r="W429" s="67">
        <f>IFERROR(N(INDEX(eq_use,MATCH(B429,eq_code,0))),0)</f>
        <v>0.0</v>
      </c>
      <c r="X429" s="67" t="str">
        <f>IF(AND(ISNUMBER(S429),W429&gt;0),p_today+MAX(0,ROUNDUP(S429*7/W429,0)),"")</f>
        <v/>
      </c>
      <c r="Y429" s="67" t="str">
        <f>IF(AND(ISNUMBER(T429),OR(U429="En retard",U429="Bientôt",U429="À jour")),IF(AND(ISNUMBER(O429),ISNUMBER(X429)),MIN(F429,G429*7/W429),IF(ISNUMBER(O429),F429,G429*7/W429)),"")</f>
        <v/>
      </c>
      <c r="Z429" s="67" t="str">
        <f>IF(OR(U429="En retard",U429="Bientôt"),IF(U429="En retard",0,1)*1000000000+IF(AB429="A",0,IF(AB429="B",1,IF(AB429="C",2,3)))*100000000+IF(ISNUMBER(T429),T429,p_today)*1000+ROW()-5,"")</f>
        <v/>
      </c>
      <c r="AA429" s="67" t="str">
        <f>IF(Z429="","",COUNTIF($Z$6:$Z$505,"&lt;"&amp;Z429)+1)</f>
        <v/>
      </c>
      <c r="AB429" s="67" t="str">
        <f>IFERROR(INDEX(eq_crit,MATCH(B429,eq_code,0))&amp;"","")</f>
        <v/>
      </c>
    </row>
    <row r="430">
      <c r="A430" s="65" t="n"/>
      <c r="B430" s="66" t="n"/>
      <c r="C430" s="67" t="str">
        <f>IF(B430="","",IFERROR(INDEX(eq_des,MATCH(B430,eq_code,0))&amp;"","Équipement inconnu"))</f>
        <v/>
      </c>
      <c r="D430" s="66" t="n"/>
      <c r="E430" s="68" t="n"/>
      <c r="F430" s="69" t="n"/>
      <c r="G430" s="70" t="n"/>
      <c r="H430" s="71" t="n"/>
      <c r="I430" s="66" t="n"/>
      <c r="J430" s="72" t="n"/>
      <c r="K430" s="73" t="n"/>
      <c r="L430" s="68" t="n"/>
      <c r="M430" s="74" t="str">
        <f>IF(AND(A430="",B430="",D430=""),"",MAX(N(J430),IF(A430="",0,SUMPRODUCT(MAX((in_plan=A430)*in_prev*in_dnum)))))</f>
        <v/>
      </c>
      <c r="N430" s="75" t="str">
        <f>IF(AND(A430="",B430="",D430=""),"",MAX(N(K430),IF(A430="",0,SUMPRODUCT(MAX((in_plan=A430)*in_prev*in_cnum)))))</f>
        <v/>
      </c>
      <c r="O430" s="76" t="str">
        <f>IF(AND(OR(E430="Calendrier",E430="Au premier des deux"),N(F430)&gt;0,IF(N(M430)&gt;0,M430,IFERROR(N(INDEX(eq_start,MATCH(B430,eq_code,0))),0))&gt;0),IF(N(M430)&gt;0,M430,IFERROR(N(INDEX(eq_start,MATCH(B430,eq_code,0))),0))+F430,"")</f>
        <v/>
      </c>
      <c r="P430" s="75" t="str">
        <f>IF(AND(OR(E430="Compteur",E430="Au premier des deux"),N(G430)&gt;0),N(N430)+G430,"")</f>
        <v/>
      </c>
      <c r="Q430" s="75" t="str">
        <f>IF(B430="","",IFERROR(N(INDEX(eq_cnt,MATCH(B430,eq_code,0))),""))</f>
        <v/>
      </c>
      <c r="R430" s="77" t="str">
        <f>IF(ISNUMBER(O430),O430-p_today,"")</f>
        <v/>
      </c>
      <c r="S430" s="78" t="str">
        <f>IF(AND(ISNUMBER(P430),N(Q430)&gt;0),P430-Q430,"")</f>
        <v/>
      </c>
      <c r="T430" s="76" t="str">
        <f>IF(AND(ISNUMBER(O430),ISNUMBER(X430)),MIN(O430,X430),IF(ISNUMBER(O430),O430,X430))</f>
        <v/>
      </c>
      <c r="U430" s="79" t="str">
        <f>IF(AND(A430="",B430="",D430=""),"",IF(L430="Non","Inactif",IF(AND(NOT(ISNUMBER(R430)),NOT(ISNUMBER(S430))),"À compléter",IF(OR(AND(ISNUMBER(R430),N(R430)&lt;0),AND(ISNUMBER(S430),N(S430)&lt;0)),"En retard",IF(OR(AND(ISNUMBER(R430),N(R430)&lt;=p_soon),AND(ISNUMBER(S430),N(S430)&lt;=p_soon_pct*N(G430))),"Bientôt","À jour")))))</f>
        <v/>
      </c>
      <c r="V430" s="79" t="str">
        <f>IF(AND(A430="",B430="",D430=""),"",IF(A430="","N° de plan manquant",IF(COUNTIF($A$6:$A$505,A430)&gt;1,"N° de plan en double",IF(B430="","Équipement manquant",IF(ISNA(MATCH(B430,eq_code,0)),"Équipement inconnu",IF(D430="","Tâche manquante",IF(E430="","Déclenchement manquant",IF(AND(E430&lt;&gt;"Calendrier",E430&lt;&gt;"Compteur",E430&lt;&gt;"Au premier des deux"),"Déclenchement inconnu",IF(AND(E430&lt;&gt;"Compteur",OR(NOT(ISNUMBER(F430)),N(F430)&lt;=0)),"Périodicité en jours manquante",IF(AND(E430&lt;&gt;"Calendrier",OR(NOT(ISNUMBER(G430)),N(G430)&lt;=0)),"Périodicité compteur manquante",IF(AND(J430&lt;&gt;"",OR(NOT(ISNUMBER(J430)),N(J430)&lt;=0)),"Date de réalisation invalide",IF(AND(K430&lt;&gt;"",OR(NOT(ISNUMBER(K430)),N(K430)&lt;0)),"Compteur de réalisation invalide",IF(AND(E430&lt;&gt;"Compteur",N(M430)=0,IFERROR(N(INDEX(eq_start,MATCH(B430,eq_code,0))),0)=0),"Date de départ manquante",IF(AND(E430&lt;&gt;"Calendrier",K430="",N(N430)=0),"Compteur de départ manquant",IF(AND(E430&lt;&gt;"Calendrier",N(Q430)=0),"Relevé compteur manquant (Équipements)",IF(AND(I430&lt;&gt;"",ISNA(MATCH(I430,tech_name,0))),"Technicien inconnu",IF(AND(L430&lt;&gt;"",L430&lt;&gt;"Oui",L430&lt;&gt;"Non"),"Actif : Oui ou Non","OK")))))))))))))))))</f>
        <v/>
      </c>
      <c r="W430" s="67">
        <f>IFERROR(N(INDEX(eq_use,MATCH(B430,eq_code,0))),0)</f>
        <v>0.0</v>
      </c>
      <c r="X430" s="67" t="str">
        <f>IF(AND(ISNUMBER(S430),W430&gt;0),p_today+MAX(0,ROUNDUP(S430*7/W430,0)),"")</f>
        <v/>
      </c>
      <c r="Y430" s="67" t="str">
        <f>IF(AND(ISNUMBER(T430),OR(U430="En retard",U430="Bientôt",U430="À jour")),IF(AND(ISNUMBER(O430),ISNUMBER(X430)),MIN(F430,G430*7/W430),IF(ISNUMBER(O430),F430,G430*7/W430)),"")</f>
        <v/>
      </c>
      <c r="Z430" s="67" t="str">
        <f>IF(OR(U430="En retard",U430="Bientôt"),IF(U430="En retard",0,1)*1000000000+IF(AB430="A",0,IF(AB430="B",1,IF(AB430="C",2,3)))*100000000+IF(ISNUMBER(T430),T430,p_today)*1000+ROW()-5,"")</f>
        <v/>
      </c>
      <c r="AA430" s="67" t="str">
        <f>IF(Z430="","",COUNTIF($Z$6:$Z$505,"&lt;"&amp;Z430)+1)</f>
        <v/>
      </c>
      <c r="AB430" s="67" t="str">
        <f>IFERROR(INDEX(eq_crit,MATCH(B430,eq_code,0))&amp;"","")</f>
        <v/>
      </c>
    </row>
    <row r="431">
      <c r="A431" s="65" t="n"/>
      <c r="B431" s="66" t="n"/>
      <c r="C431" s="67" t="str">
        <f>IF(B431="","",IFERROR(INDEX(eq_des,MATCH(B431,eq_code,0))&amp;"","Équipement inconnu"))</f>
        <v/>
      </c>
      <c r="D431" s="66" t="n"/>
      <c r="E431" s="68" t="n"/>
      <c r="F431" s="69" t="n"/>
      <c r="G431" s="70" t="n"/>
      <c r="H431" s="71" t="n"/>
      <c r="I431" s="66" t="n"/>
      <c r="J431" s="72" t="n"/>
      <c r="K431" s="73" t="n"/>
      <c r="L431" s="68" t="n"/>
      <c r="M431" s="74" t="str">
        <f>IF(AND(A431="",B431="",D431=""),"",MAX(N(J431),IF(A431="",0,SUMPRODUCT(MAX((in_plan=A431)*in_prev*in_dnum)))))</f>
        <v/>
      </c>
      <c r="N431" s="75" t="str">
        <f>IF(AND(A431="",B431="",D431=""),"",MAX(N(K431),IF(A431="",0,SUMPRODUCT(MAX((in_plan=A431)*in_prev*in_cnum)))))</f>
        <v/>
      </c>
      <c r="O431" s="76" t="str">
        <f>IF(AND(OR(E431="Calendrier",E431="Au premier des deux"),N(F431)&gt;0,IF(N(M431)&gt;0,M431,IFERROR(N(INDEX(eq_start,MATCH(B431,eq_code,0))),0))&gt;0),IF(N(M431)&gt;0,M431,IFERROR(N(INDEX(eq_start,MATCH(B431,eq_code,0))),0))+F431,"")</f>
        <v/>
      </c>
      <c r="P431" s="75" t="str">
        <f>IF(AND(OR(E431="Compteur",E431="Au premier des deux"),N(G431)&gt;0),N(N431)+G431,"")</f>
        <v/>
      </c>
      <c r="Q431" s="75" t="str">
        <f>IF(B431="","",IFERROR(N(INDEX(eq_cnt,MATCH(B431,eq_code,0))),""))</f>
        <v/>
      </c>
      <c r="R431" s="77" t="str">
        <f>IF(ISNUMBER(O431),O431-p_today,"")</f>
        <v/>
      </c>
      <c r="S431" s="78" t="str">
        <f>IF(AND(ISNUMBER(P431),N(Q431)&gt;0),P431-Q431,"")</f>
        <v/>
      </c>
      <c r="T431" s="76" t="str">
        <f>IF(AND(ISNUMBER(O431),ISNUMBER(X431)),MIN(O431,X431),IF(ISNUMBER(O431),O431,X431))</f>
        <v/>
      </c>
      <c r="U431" s="79" t="str">
        <f>IF(AND(A431="",B431="",D431=""),"",IF(L431="Non","Inactif",IF(AND(NOT(ISNUMBER(R431)),NOT(ISNUMBER(S431))),"À compléter",IF(OR(AND(ISNUMBER(R431),N(R431)&lt;0),AND(ISNUMBER(S431),N(S431)&lt;0)),"En retard",IF(OR(AND(ISNUMBER(R431),N(R431)&lt;=p_soon),AND(ISNUMBER(S431),N(S431)&lt;=p_soon_pct*N(G431))),"Bientôt","À jour")))))</f>
        <v/>
      </c>
      <c r="V431" s="79" t="str">
        <f>IF(AND(A431="",B431="",D431=""),"",IF(A431="","N° de plan manquant",IF(COUNTIF($A$6:$A$505,A431)&gt;1,"N° de plan en double",IF(B431="","Équipement manquant",IF(ISNA(MATCH(B431,eq_code,0)),"Équipement inconnu",IF(D431="","Tâche manquante",IF(E431="","Déclenchement manquant",IF(AND(E431&lt;&gt;"Calendrier",E431&lt;&gt;"Compteur",E431&lt;&gt;"Au premier des deux"),"Déclenchement inconnu",IF(AND(E431&lt;&gt;"Compteur",OR(NOT(ISNUMBER(F431)),N(F431)&lt;=0)),"Périodicité en jours manquante",IF(AND(E431&lt;&gt;"Calendrier",OR(NOT(ISNUMBER(G431)),N(G431)&lt;=0)),"Périodicité compteur manquante",IF(AND(J431&lt;&gt;"",OR(NOT(ISNUMBER(J431)),N(J431)&lt;=0)),"Date de réalisation invalide",IF(AND(K431&lt;&gt;"",OR(NOT(ISNUMBER(K431)),N(K431)&lt;0)),"Compteur de réalisation invalide",IF(AND(E431&lt;&gt;"Compteur",N(M431)=0,IFERROR(N(INDEX(eq_start,MATCH(B431,eq_code,0))),0)=0),"Date de départ manquante",IF(AND(E431&lt;&gt;"Calendrier",K431="",N(N431)=0),"Compteur de départ manquant",IF(AND(E431&lt;&gt;"Calendrier",N(Q431)=0),"Relevé compteur manquant (Équipements)",IF(AND(I431&lt;&gt;"",ISNA(MATCH(I431,tech_name,0))),"Technicien inconnu",IF(AND(L431&lt;&gt;"",L431&lt;&gt;"Oui",L431&lt;&gt;"Non"),"Actif : Oui ou Non","OK")))))))))))))))))</f>
        <v/>
      </c>
      <c r="W431" s="67">
        <f>IFERROR(N(INDEX(eq_use,MATCH(B431,eq_code,0))),0)</f>
        <v>0.0</v>
      </c>
      <c r="X431" s="67" t="str">
        <f>IF(AND(ISNUMBER(S431),W431&gt;0),p_today+MAX(0,ROUNDUP(S431*7/W431,0)),"")</f>
        <v/>
      </c>
      <c r="Y431" s="67" t="str">
        <f>IF(AND(ISNUMBER(T431),OR(U431="En retard",U431="Bientôt",U431="À jour")),IF(AND(ISNUMBER(O431),ISNUMBER(X431)),MIN(F431,G431*7/W431),IF(ISNUMBER(O431),F431,G431*7/W431)),"")</f>
        <v/>
      </c>
      <c r="Z431" s="67" t="str">
        <f>IF(OR(U431="En retard",U431="Bientôt"),IF(U431="En retard",0,1)*1000000000+IF(AB431="A",0,IF(AB431="B",1,IF(AB431="C",2,3)))*100000000+IF(ISNUMBER(T431),T431,p_today)*1000+ROW()-5,"")</f>
        <v/>
      </c>
      <c r="AA431" s="67" t="str">
        <f>IF(Z431="","",COUNTIF($Z$6:$Z$505,"&lt;"&amp;Z431)+1)</f>
        <v/>
      </c>
      <c r="AB431" s="67" t="str">
        <f>IFERROR(INDEX(eq_crit,MATCH(B431,eq_code,0))&amp;"","")</f>
        <v/>
      </c>
    </row>
    <row r="432">
      <c r="A432" s="65" t="n"/>
      <c r="B432" s="66" t="n"/>
      <c r="C432" s="67" t="str">
        <f>IF(B432="","",IFERROR(INDEX(eq_des,MATCH(B432,eq_code,0))&amp;"","Équipement inconnu"))</f>
        <v/>
      </c>
      <c r="D432" s="66" t="n"/>
      <c r="E432" s="68" t="n"/>
      <c r="F432" s="69" t="n"/>
      <c r="G432" s="70" t="n"/>
      <c r="H432" s="71" t="n"/>
      <c r="I432" s="66" t="n"/>
      <c r="J432" s="72" t="n"/>
      <c r="K432" s="73" t="n"/>
      <c r="L432" s="68" t="n"/>
      <c r="M432" s="74" t="str">
        <f>IF(AND(A432="",B432="",D432=""),"",MAX(N(J432),IF(A432="",0,SUMPRODUCT(MAX((in_plan=A432)*in_prev*in_dnum)))))</f>
        <v/>
      </c>
      <c r="N432" s="75" t="str">
        <f>IF(AND(A432="",B432="",D432=""),"",MAX(N(K432),IF(A432="",0,SUMPRODUCT(MAX((in_plan=A432)*in_prev*in_cnum)))))</f>
        <v/>
      </c>
      <c r="O432" s="76" t="str">
        <f>IF(AND(OR(E432="Calendrier",E432="Au premier des deux"),N(F432)&gt;0,IF(N(M432)&gt;0,M432,IFERROR(N(INDEX(eq_start,MATCH(B432,eq_code,0))),0))&gt;0),IF(N(M432)&gt;0,M432,IFERROR(N(INDEX(eq_start,MATCH(B432,eq_code,0))),0))+F432,"")</f>
        <v/>
      </c>
      <c r="P432" s="75" t="str">
        <f>IF(AND(OR(E432="Compteur",E432="Au premier des deux"),N(G432)&gt;0),N(N432)+G432,"")</f>
        <v/>
      </c>
      <c r="Q432" s="75" t="str">
        <f>IF(B432="","",IFERROR(N(INDEX(eq_cnt,MATCH(B432,eq_code,0))),""))</f>
        <v/>
      </c>
      <c r="R432" s="77" t="str">
        <f>IF(ISNUMBER(O432),O432-p_today,"")</f>
        <v/>
      </c>
      <c r="S432" s="78" t="str">
        <f>IF(AND(ISNUMBER(P432),N(Q432)&gt;0),P432-Q432,"")</f>
        <v/>
      </c>
      <c r="T432" s="76" t="str">
        <f>IF(AND(ISNUMBER(O432),ISNUMBER(X432)),MIN(O432,X432),IF(ISNUMBER(O432),O432,X432))</f>
        <v/>
      </c>
      <c r="U432" s="79" t="str">
        <f>IF(AND(A432="",B432="",D432=""),"",IF(L432="Non","Inactif",IF(AND(NOT(ISNUMBER(R432)),NOT(ISNUMBER(S432))),"À compléter",IF(OR(AND(ISNUMBER(R432),N(R432)&lt;0),AND(ISNUMBER(S432),N(S432)&lt;0)),"En retard",IF(OR(AND(ISNUMBER(R432),N(R432)&lt;=p_soon),AND(ISNUMBER(S432),N(S432)&lt;=p_soon_pct*N(G432))),"Bientôt","À jour")))))</f>
        <v/>
      </c>
      <c r="V432" s="79" t="str">
        <f>IF(AND(A432="",B432="",D432=""),"",IF(A432="","N° de plan manquant",IF(COUNTIF($A$6:$A$505,A432)&gt;1,"N° de plan en double",IF(B432="","Équipement manquant",IF(ISNA(MATCH(B432,eq_code,0)),"Équipement inconnu",IF(D432="","Tâche manquante",IF(E432="","Déclenchement manquant",IF(AND(E432&lt;&gt;"Calendrier",E432&lt;&gt;"Compteur",E432&lt;&gt;"Au premier des deux"),"Déclenchement inconnu",IF(AND(E432&lt;&gt;"Compteur",OR(NOT(ISNUMBER(F432)),N(F432)&lt;=0)),"Périodicité en jours manquante",IF(AND(E432&lt;&gt;"Calendrier",OR(NOT(ISNUMBER(G432)),N(G432)&lt;=0)),"Périodicité compteur manquante",IF(AND(J432&lt;&gt;"",OR(NOT(ISNUMBER(J432)),N(J432)&lt;=0)),"Date de réalisation invalide",IF(AND(K432&lt;&gt;"",OR(NOT(ISNUMBER(K432)),N(K432)&lt;0)),"Compteur de réalisation invalide",IF(AND(E432&lt;&gt;"Compteur",N(M432)=0,IFERROR(N(INDEX(eq_start,MATCH(B432,eq_code,0))),0)=0),"Date de départ manquante",IF(AND(E432&lt;&gt;"Calendrier",K432="",N(N432)=0),"Compteur de départ manquant",IF(AND(E432&lt;&gt;"Calendrier",N(Q432)=0),"Relevé compteur manquant (Équipements)",IF(AND(I432&lt;&gt;"",ISNA(MATCH(I432,tech_name,0))),"Technicien inconnu",IF(AND(L432&lt;&gt;"",L432&lt;&gt;"Oui",L432&lt;&gt;"Non"),"Actif : Oui ou Non","OK")))))))))))))))))</f>
        <v/>
      </c>
      <c r="W432" s="67">
        <f>IFERROR(N(INDEX(eq_use,MATCH(B432,eq_code,0))),0)</f>
        <v>0.0</v>
      </c>
      <c r="X432" s="67" t="str">
        <f>IF(AND(ISNUMBER(S432),W432&gt;0),p_today+MAX(0,ROUNDUP(S432*7/W432,0)),"")</f>
        <v/>
      </c>
      <c r="Y432" s="67" t="str">
        <f>IF(AND(ISNUMBER(T432),OR(U432="En retard",U432="Bientôt",U432="À jour")),IF(AND(ISNUMBER(O432),ISNUMBER(X432)),MIN(F432,G432*7/W432),IF(ISNUMBER(O432),F432,G432*7/W432)),"")</f>
        <v/>
      </c>
      <c r="Z432" s="67" t="str">
        <f>IF(OR(U432="En retard",U432="Bientôt"),IF(U432="En retard",0,1)*1000000000+IF(AB432="A",0,IF(AB432="B",1,IF(AB432="C",2,3)))*100000000+IF(ISNUMBER(T432),T432,p_today)*1000+ROW()-5,"")</f>
        <v/>
      </c>
      <c r="AA432" s="67" t="str">
        <f>IF(Z432="","",COUNTIF($Z$6:$Z$505,"&lt;"&amp;Z432)+1)</f>
        <v/>
      </c>
      <c r="AB432" s="67" t="str">
        <f>IFERROR(INDEX(eq_crit,MATCH(B432,eq_code,0))&amp;"","")</f>
        <v/>
      </c>
    </row>
    <row r="433">
      <c r="A433" s="65" t="n"/>
      <c r="B433" s="66" t="n"/>
      <c r="C433" s="67" t="str">
        <f>IF(B433="","",IFERROR(INDEX(eq_des,MATCH(B433,eq_code,0))&amp;"","Équipement inconnu"))</f>
        <v/>
      </c>
      <c r="D433" s="66" t="n"/>
      <c r="E433" s="68" t="n"/>
      <c r="F433" s="69" t="n"/>
      <c r="G433" s="70" t="n"/>
      <c r="H433" s="71" t="n"/>
      <c r="I433" s="66" t="n"/>
      <c r="J433" s="72" t="n"/>
      <c r="K433" s="73" t="n"/>
      <c r="L433" s="68" t="n"/>
      <c r="M433" s="74" t="str">
        <f>IF(AND(A433="",B433="",D433=""),"",MAX(N(J433),IF(A433="",0,SUMPRODUCT(MAX((in_plan=A433)*in_prev*in_dnum)))))</f>
        <v/>
      </c>
      <c r="N433" s="75" t="str">
        <f>IF(AND(A433="",B433="",D433=""),"",MAX(N(K433),IF(A433="",0,SUMPRODUCT(MAX((in_plan=A433)*in_prev*in_cnum)))))</f>
        <v/>
      </c>
      <c r="O433" s="76" t="str">
        <f>IF(AND(OR(E433="Calendrier",E433="Au premier des deux"),N(F433)&gt;0,IF(N(M433)&gt;0,M433,IFERROR(N(INDEX(eq_start,MATCH(B433,eq_code,0))),0))&gt;0),IF(N(M433)&gt;0,M433,IFERROR(N(INDEX(eq_start,MATCH(B433,eq_code,0))),0))+F433,"")</f>
        <v/>
      </c>
      <c r="P433" s="75" t="str">
        <f>IF(AND(OR(E433="Compteur",E433="Au premier des deux"),N(G433)&gt;0),N(N433)+G433,"")</f>
        <v/>
      </c>
      <c r="Q433" s="75" t="str">
        <f>IF(B433="","",IFERROR(N(INDEX(eq_cnt,MATCH(B433,eq_code,0))),""))</f>
        <v/>
      </c>
      <c r="R433" s="77" t="str">
        <f>IF(ISNUMBER(O433),O433-p_today,"")</f>
        <v/>
      </c>
      <c r="S433" s="78" t="str">
        <f>IF(AND(ISNUMBER(P433),N(Q433)&gt;0),P433-Q433,"")</f>
        <v/>
      </c>
      <c r="T433" s="76" t="str">
        <f>IF(AND(ISNUMBER(O433),ISNUMBER(X433)),MIN(O433,X433),IF(ISNUMBER(O433),O433,X433))</f>
        <v/>
      </c>
      <c r="U433" s="79" t="str">
        <f>IF(AND(A433="",B433="",D433=""),"",IF(L433="Non","Inactif",IF(AND(NOT(ISNUMBER(R433)),NOT(ISNUMBER(S433))),"À compléter",IF(OR(AND(ISNUMBER(R433),N(R433)&lt;0),AND(ISNUMBER(S433),N(S433)&lt;0)),"En retard",IF(OR(AND(ISNUMBER(R433),N(R433)&lt;=p_soon),AND(ISNUMBER(S433),N(S433)&lt;=p_soon_pct*N(G433))),"Bientôt","À jour")))))</f>
        <v/>
      </c>
      <c r="V433" s="79" t="str">
        <f>IF(AND(A433="",B433="",D433=""),"",IF(A433="","N° de plan manquant",IF(COUNTIF($A$6:$A$505,A433)&gt;1,"N° de plan en double",IF(B433="","Équipement manquant",IF(ISNA(MATCH(B433,eq_code,0)),"Équipement inconnu",IF(D433="","Tâche manquante",IF(E433="","Déclenchement manquant",IF(AND(E433&lt;&gt;"Calendrier",E433&lt;&gt;"Compteur",E433&lt;&gt;"Au premier des deux"),"Déclenchement inconnu",IF(AND(E433&lt;&gt;"Compteur",OR(NOT(ISNUMBER(F433)),N(F433)&lt;=0)),"Périodicité en jours manquante",IF(AND(E433&lt;&gt;"Calendrier",OR(NOT(ISNUMBER(G433)),N(G433)&lt;=0)),"Périodicité compteur manquante",IF(AND(J433&lt;&gt;"",OR(NOT(ISNUMBER(J433)),N(J433)&lt;=0)),"Date de réalisation invalide",IF(AND(K433&lt;&gt;"",OR(NOT(ISNUMBER(K433)),N(K433)&lt;0)),"Compteur de réalisation invalide",IF(AND(E433&lt;&gt;"Compteur",N(M433)=0,IFERROR(N(INDEX(eq_start,MATCH(B433,eq_code,0))),0)=0),"Date de départ manquante",IF(AND(E433&lt;&gt;"Calendrier",K433="",N(N433)=0),"Compteur de départ manquant",IF(AND(E433&lt;&gt;"Calendrier",N(Q433)=0),"Relevé compteur manquant (Équipements)",IF(AND(I433&lt;&gt;"",ISNA(MATCH(I433,tech_name,0))),"Technicien inconnu",IF(AND(L433&lt;&gt;"",L433&lt;&gt;"Oui",L433&lt;&gt;"Non"),"Actif : Oui ou Non","OK")))))))))))))))))</f>
        <v/>
      </c>
      <c r="W433" s="67">
        <f>IFERROR(N(INDEX(eq_use,MATCH(B433,eq_code,0))),0)</f>
        <v>0.0</v>
      </c>
      <c r="X433" s="67" t="str">
        <f>IF(AND(ISNUMBER(S433),W433&gt;0),p_today+MAX(0,ROUNDUP(S433*7/W433,0)),"")</f>
        <v/>
      </c>
      <c r="Y433" s="67" t="str">
        <f>IF(AND(ISNUMBER(T433),OR(U433="En retard",U433="Bientôt",U433="À jour")),IF(AND(ISNUMBER(O433),ISNUMBER(X433)),MIN(F433,G433*7/W433),IF(ISNUMBER(O433),F433,G433*7/W433)),"")</f>
        <v/>
      </c>
      <c r="Z433" s="67" t="str">
        <f>IF(OR(U433="En retard",U433="Bientôt"),IF(U433="En retard",0,1)*1000000000+IF(AB433="A",0,IF(AB433="B",1,IF(AB433="C",2,3)))*100000000+IF(ISNUMBER(T433),T433,p_today)*1000+ROW()-5,"")</f>
        <v/>
      </c>
      <c r="AA433" s="67" t="str">
        <f>IF(Z433="","",COUNTIF($Z$6:$Z$505,"&lt;"&amp;Z433)+1)</f>
        <v/>
      </c>
      <c r="AB433" s="67" t="str">
        <f>IFERROR(INDEX(eq_crit,MATCH(B433,eq_code,0))&amp;"","")</f>
        <v/>
      </c>
    </row>
    <row r="434">
      <c r="A434" s="65" t="n"/>
      <c r="B434" s="66" t="n"/>
      <c r="C434" s="67" t="str">
        <f>IF(B434="","",IFERROR(INDEX(eq_des,MATCH(B434,eq_code,0))&amp;"","Équipement inconnu"))</f>
        <v/>
      </c>
      <c r="D434" s="66" t="n"/>
      <c r="E434" s="68" t="n"/>
      <c r="F434" s="69" t="n"/>
      <c r="G434" s="70" t="n"/>
      <c r="H434" s="71" t="n"/>
      <c r="I434" s="66" t="n"/>
      <c r="J434" s="72" t="n"/>
      <c r="K434" s="73" t="n"/>
      <c r="L434" s="68" t="n"/>
      <c r="M434" s="74" t="str">
        <f>IF(AND(A434="",B434="",D434=""),"",MAX(N(J434),IF(A434="",0,SUMPRODUCT(MAX((in_plan=A434)*in_prev*in_dnum)))))</f>
        <v/>
      </c>
      <c r="N434" s="75" t="str">
        <f>IF(AND(A434="",B434="",D434=""),"",MAX(N(K434),IF(A434="",0,SUMPRODUCT(MAX((in_plan=A434)*in_prev*in_cnum)))))</f>
        <v/>
      </c>
      <c r="O434" s="76" t="str">
        <f>IF(AND(OR(E434="Calendrier",E434="Au premier des deux"),N(F434)&gt;0,IF(N(M434)&gt;0,M434,IFERROR(N(INDEX(eq_start,MATCH(B434,eq_code,0))),0))&gt;0),IF(N(M434)&gt;0,M434,IFERROR(N(INDEX(eq_start,MATCH(B434,eq_code,0))),0))+F434,"")</f>
        <v/>
      </c>
      <c r="P434" s="75" t="str">
        <f>IF(AND(OR(E434="Compteur",E434="Au premier des deux"),N(G434)&gt;0),N(N434)+G434,"")</f>
        <v/>
      </c>
      <c r="Q434" s="75" t="str">
        <f>IF(B434="","",IFERROR(N(INDEX(eq_cnt,MATCH(B434,eq_code,0))),""))</f>
        <v/>
      </c>
      <c r="R434" s="77" t="str">
        <f>IF(ISNUMBER(O434),O434-p_today,"")</f>
        <v/>
      </c>
      <c r="S434" s="78" t="str">
        <f>IF(AND(ISNUMBER(P434),N(Q434)&gt;0),P434-Q434,"")</f>
        <v/>
      </c>
      <c r="T434" s="76" t="str">
        <f>IF(AND(ISNUMBER(O434),ISNUMBER(X434)),MIN(O434,X434),IF(ISNUMBER(O434),O434,X434))</f>
        <v/>
      </c>
      <c r="U434" s="79" t="str">
        <f>IF(AND(A434="",B434="",D434=""),"",IF(L434="Non","Inactif",IF(AND(NOT(ISNUMBER(R434)),NOT(ISNUMBER(S434))),"À compléter",IF(OR(AND(ISNUMBER(R434),N(R434)&lt;0),AND(ISNUMBER(S434),N(S434)&lt;0)),"En retard",IF(OR(AND(ISNUMBER(R434),N(R434)&lt;=p_soon),AND(ISNUMBER(S434),N(S434)&lt;=p_soon_pct*N(G434))),"Bientôt","À jour")))))</f>
        <v/>
      </c>
      <c r="V434" s="79" t="str">
        <f>IF(AND(A434="",B434="",D434=""),"",IF(A434="","N° de plan manquant",IF(COUNTIF($A$6:$A$505,A434)&gt;1,"N° de plan en double",IF(B434="","Équipement manquant",IF(ISNA(MATCH(B434,eq_code,0)),"Équipement inconnu",IF(D434="","Tâche manquante",IF(E434="","Déclenchement manquant",IF(AND(E434&lt;&gt;"Calendrier",E434&lt;&gt;"Compteur",E434&lt;&gt;"Au premier des deux"),"Déclenchement inconnu",IF(AND(E434&lt;&gt;"Compteur",OR(NOT(ISNUMBER(F434)),N(F434)&lt;=0)),"Périodicité en jours manquante",IF(AND(E434&lt;&gt;"Calendrier",OR(NOT(ISNUMBER(G434)),N(G434)&lt;=0)),"Périodicité compteur manquante",IF(AND(J434&lt;&gt;"",OR(NOT(ISNUMBER(J434)),N(J434)&lt;=0)),"Date de réalisation invalide",IF(AND(K434&lt;&gt;"",OR(NOT(ISNUMBER(K434)),N(K434)&lt;0)),"Compteur de réalisation invalide",IF(AND(E434&lt;&gt;"Compteur",N(M434)=0,IFERROR(N(INDEX(eq_start,MATCH(B434,eq_code,0))),0)=0),"Date de départ manquante",IF(AND(E434&lt;&gt;"Calendrier",K434="",N(N434)=0),"Compteur de départ manquant",IF(AND(E434&lt;&gt;"Calendrier",N(Q434)=0),"Relevé compteur manquant (Équipements)",IF(AND(I434&lt;&gt;"",ISNA(MATCH(I434,tech_name,0))),"Technicien inconnu",IF(AND(L434&lt;&gt;"",L434&lt;&gt;"Oui",L434&lt;&gt;"Non"),"Actif : Oui ou Non","OK")))))))))))))))))</f>
        <v/>
      </c>
      <c r="W434" s="67">
        <f>IFERROR(N(INDEX(eq_use,MATCH(B434,eq_code,0))),0)</f>
        <v>0.0</v>
      </c>
      <c r="X434" s="67" t="str">
        <f>IF(AND(ISNUMBER(S434),W434&gt;0),p_today+MAX(0,ROUNDUP(S434*7/W434,0)),"")</f>
        <v/>
      </c>
      <c r="Y434" s="67" t="str">
        <f>IF(AND(ISNUMBER(T434),OR(U434="En retard",U434="Bientôt",U434="À jour")),IF(AND(ISNUMBER(O434),ISNUMBER(X434)),MIN(F434,G434*7/W434),IF(ISNUMBER(O434),F434,G434*7/W434)),"")</f>
        <v/>
      </c>
      <c r="Z434" s="67" t="str">
        <f>IF(OR(U434="En retard",U434="Bientôt"),IF(U434="En retard",0,1)*1000000000+IF(AB434="A",0,IF(AB434="B",1,IF(AB434="C",2,3)))*100000000+IF(ISNUMBER(T434),T434,p_today)*1000+ROW()-5,"")</f>
        <v/>
      </c>
      <c r="AA434" s="67" t="str">
        <f>IF(Z434="","",COUNTIF($Z$6:$Z$505,"&lt;"&amp;Z434)+1)</f>
        <v/>
      </c>
      <c r="AB434" s="67" t="str">
        <f>IFERROR(INDEX(eq_crit,MATCH(B434,eq_code,0))&amp;"","")</f>
        <v/>
      </c>
    </row>
    <row r="435">
      <c r="A435" s="65" t="n"/>
      <c r="B435" s="66" t="n"/>
      <c r="C435" s="67" t="str">
        <f>IF(B435="","",IFERROR(INDEX(eq_des,MATCH(B435,eq_code,0))&amp;"","Équipement inconnu"))</f>
        <v/>
      </c>
      <c r="D435" s="66" t="n"/>
      <c r="E435" s="68" t="n"/>
      <c r="F435" s="69" t="n"/>
      <c r="G435" s="70" t="n"/>
      <c r="H435" s="71" t="n"/>
      <c r="I435" s="66" t="n"/>
      <c r="J435" s="72" t="n"/>
      <c r="K435" s="73" t="n"/>
      <c r="L435" s="68" t="n"/>
      <c r="M435" s="74" t="str">
        <f>IF(AND(A435="",B435="",D435=""),"",MAX(N(J435),IF(A435="",0,SUMPRODUCT(MAX((in_plan=A435)*in_prev*in_dnum)))))</f>
        <v/>
      </c>
      <c r="N435" s="75" t="str">
        <f>IF(AND(A435="",B435="",D435=""),"",MAX(N(K435),IF(A435="",0,SUMPRODUCT(MAX((in_plan=A435)*in_prev*in_cnum)))))</f>
        <v/>
      </c>
      <c r="O435" s="76" t="str">
        <f>IF(AND(OR(E435="Calendrier",E435="Au premier des deux"),N(F435)&gt;0,IF(N(M435)&gt;0,M435,IFERROR(N(INDEX(eq_start,MATCH(B435,eq_code,0))),0))&gt;0),IF(N(M435)&gt;0,M435,IFERROR(N(INDEX(eq_start,MATCH(B435,eq_code,0))),0))+F435,"")</f>
        <v/>
      </c>
      <c r="P435" s="75" t="str">
        <f>IF(AND(OR(E435="Compteur",E435="Au premier des deux"),N(G435)&gt;0),N(N435)+G435,"")</f>
        <v/>
      </c>
      <c r="Q435" s="75" t="str">
        <f>IF(B435="","",IFERROR(N(INDEX(eq_cnt,MATCH(B435,eq_code,0))),""))</f>
        <v/>
      </c>
      <c r="R435" s="77" t="str">
        <f>IF(ISNUMBER(O435),O435-p_today,"")</f>
        <v/>
      </c>
      <c r="S435" s="78" t="str">
        <f>IF(AND(ISNUMBER(P435),N(Q435)&gt;0),P435-Q435,"")</f>
        <v/>
      </c>
      <c r="T435" s="76" t="str">
        <f>IF(AND(ISNUMBER(O435),ISNUMBER(X435)),MIN(O435,X435),IF(ISNUMBER(O435),O435,X435))</f>
        <v/>
      </c>
      <c r="U435" s="79" t="str">
        <f>IF(AND(A435="",B435="",D435=""),"",IF(L435="Non","Inactif",IF(AND(NOT(ISNUMBER(R435)),NOT(ISNUMBER(S435))),"À compléter",IF(OR(AND(ISNUMBER(R435),N(R435)&lt;0),AND(ISNUMBER(S435),N(S435)&lt;0)),"En retard",IF(OR(AND(ISNUMBER(R435),N(R435)&lt;=p_soon),AND(ISNUMBER(S435),N(S435)&lt;=p_soon_pct*N(G435))),"Bientôt","À jour")))))</f>
        <v/>
      </c>
      <c r="V435" s="79" t="str">
        <f>IF(AND(A435="",B435="",D435=""),"",IF(A435="","N° de plan manquant",IF(COUNTIF($A$6:$A$505,A435)&gt;1,"N° de plan en double",IF(B435="","Équipement manquant",IF(ISNA(MATCH(B435,eq_code,0)),"Équipement inconnu",IF(D435="","Tâche manquante",IF(E435="","Déclenchement manquant",IF(AND(E435&lt;&gt;"Calendrier",E435&lt;&gt;"Compteur",E435&lt;&gt;"Au premier des deux"),"Déclenchement inconnu",IF(AND(E435&lt;&gt;"Compteur",OR(NOT(ISNUMBER(F435)),N(F435)&lt;=0)),"Périodicité en jours manquante",IF(AND(E435&lt;&gt;"Calendrier",OR(NOT(ISNUMBER(G435)),N(G435)&lt;=0)),"Périodicité compteur manquante",IF(AND(J435&lt;&gt;"",OR(NOT(ISNUMBER(J435)),N(J435)&lt;=0)),"Date de réalisation invalide",IF(AND(K435&lt;&gt;"",OR(NOT(ISNUMBER(K435)),N(K435)&lt;0)),"Compteur de réalisation invalide",IF(AND(E435&lt;&gt;"Compteur",N(M435)=0,IFERROR(N(INDEX(eq_start,MATCH(B435,eq_code,0))),0)=0),"Date de départ manquante",IF(AND(E435&lt;&gt;"Calendrier",K435="",N(N435)=0),"Compteur de départ manquant",IF(AND(E435&lt;&gt;"Calendrier",N(Q435)=0),"Relevé compteur manquant (Équipements)",IF(AND(I435&lt;&gt;"",ISNA(MATCH(I435,tech_name,0))),"Technicien inconnu",IF(AND(L435&lt;&gt;"",L435&lt;&gt;"Oui",L435&lt;&gt;"Non"),"Actif : Oui ou Non","OK")))))))))))))))))</f>
        <v/>
      </c>
      <c r="W435" s="67">
        <f>IFERROR(N(INDEX(eq_use,MATCH(B435,eq_code,0))),0)</f>
        <v>0.0</v>
      </c>
      <c r="X435" s="67" t="str">
        <f>IF(AND(ISNUMBER(S435),W435&gt;0),p_today+MAX(0,ROUNDUP(S435*7/W435,0)),"")</f>
        <v/>
      </c>
      <c r="Y435" s="67" t="str">
        <f>IF(AND(ISNUMBER(T435),OR(U435="En retard",U435="Bientôt",U435="À jour")),IF(AND(ISNUMBER(O435),ISNUMBER(X435)),MIN(F435,G435*7/W435),IF(ISNUMBER(O435),F435,G435*7/W435)),"")</f>
        <v/>
      </c>
      <c r="Z435" s="67" t="str">
        <f>IF(OR(U435="En retard",U435="Bientôt"),IF(U435="En retard",0,1)*1000000000+IF(AB435="A",0,IF(AB435="B",1,IF(AB435="C",2,3)))*100000000+IF(ISNUMBER(T435),T435,p_today)*1000+ROW()-5,"")</f>
        <v/>
      </c>
      <c r="AA435" s="67" t="str">
        <f>IF(Z435="","",COUNTIF($Z$6:$Z$505,"&lt;"&amp;Z435)+1)</f>
        <v/>
      </c>
      <c r="AB435" s="67" t="str">
        <f>IFERROR(INDEX(eq_crit,MATCH(B435,eq_code,0))&amp;"","")</f>
        <v/>
      </c>
    </row>
    <row r="436">
      <c r="A436" s="65" t="n"/>
      <c r="B436" s="66" t="n"/>
      <c r="C436" s="67" t="str">
        <f>IF(B436="","",IFERROR(INDEX(eq_des,MATCH(B436,eq_code,0))&amp;"","Équipement inconnu"))</f>
        <v/>
      </c>
      <c r="D436" s="66" t="n"/>
      <c r="E436" s="68" t="n"/>
      <c r="F436" s="69" t="n"/>
      <c r="G436" s="70" t="n"/>
      <c r="H436" s="71" t="n"/>
      <c r="I436" s="66" t="n"/>
      <c r="J436" s="72" t="n"/>
      <c r="K436" s="73" t="n"/>
      <c r="L436" s="68" t="n"/>
      <c r="M436" s="74" t="str">
        <f>IF(AND(A436="",B436="",D436=""),"",MAX(N(J436),IF(A436="",0,SUMPRODUCT(MAX((in_plan=A436)*in_prev*in_dnum)))))</f>
        <v/>
      </c>
      <c r="N436" s="75" t="str">
        <f>IF(AND(A436="",B436="",D436=""),"",MAX(N(K436),IF(A436="",0,SUMPRODUCT(MAX((in_plan=A436)*in_prev*in_cnum)))))</f>
        <v/>
      </c>
      <c r="O436" s="76" t="str">
        <f>IF(AND(OR(E436="Calendrier",E436="Au premier des deux"),N(F436)&gt;0,IF(N(M436)&gt;0,M436,IFERROR(N(INDEX(eq_start,MATCH(B436,eq_code,0))),0))&gt;0),IF(N(M436)&gt;0,M436,IFERROR(N(INDEX(eq_start,MATCH(B436,eq_code,0))),0))+F436,"")</f>
        <v/>
      </c>
      <c r="P436" s="75" t="str">
        <f>IF(AND(OR(E436="Compteur",E436="Au premier des deux"),N(G436)&gt;0),N(N436)+G436,"")</f>
        <v/>
      </c>
      <c r="Q436" s="75" t="str">
        <f>IF(B436="","",IFERROR(N(INDEX(eq_cnt,MATCH(B436,eq_code,0))),""))</f>
        <v/>
      </c>
      <c r="R436" s="77" t="str">
        <f>IF(ISNUMBER(O436),O436-p_today,"")</f>
        <v/>
      </c>
      <c r="S436" s="78" t="str">
        <f>IF(AND(ISNUMBER(P436),N(Q436)&gt;0),P436-Q436,"")</f>
        <v/>
      </c>
      <c r="T436" s="76" t="str">
        <f>IF(AND(ISNUMBER(O436),ISNUMBER(X436)),MIN(O436,X436),IF(ISNUMBER(O436),O436,X436))</f>
        <v/>
      </c>
      <c r="U436" s="79" t="str">
        <f>IF(AND(A436="",B436="",D436=""),"",IF(L436="Non","Inactif",IF(AND(NOT(ISNUMBER(R436)),NOT(ISNUMBER(S436))),"À compléter",IF(OR(AND(ISNUMBER(R436),N(R436)&lt;0),AND(ISNUMBER(S436),N(S436)&lt;0)),"En retard",IF(OR(AND(ISNUMBER(R436),N(R436)&lt;=p_soon),AND(ISNUMBER(S436),N(S436)&lt;=p_soon_pct*N(G436))),"Bientôt","À jour")))))</f>
        <v/>
      </c>
      <c r="V436" s="79" t="str">
        <f>IF(AND(A436="",B436="",D436=""),"",IF(A436="","N° de plan manquant",IF(COUNTIF($A$6:$A$505,A436)&gt;1,"N° de plan en double",IF(B436="","Équipement manquant",IF(ISNA(MATCH(B436,eq_code,0)),"Équipement inconnu",IF(D436="","Tâche manquante",IF(E436="","Déclenchement manquant",IF(AND(E436&lt;&gt;"Calendrier",E436&lt;&gt;"Compteur",E436&lt;&gt;"Au premier des deux"),"Déclenchement inconnu",IF(AND(E436&lt;&gt;"Compteur",OR(NOT(ISNUMBER(F436)),N(F436)&lt;=0)),"Périodicité en jours manquante",IF(AND(E436&lt;&gt;"Calendrier",OR(NOT(ISNUMBER(G436)),N(G436)&lt;=0)),"Périodicité compteur manquante",IF(AND(J436&lt;&gt;"",OR(NOT(ISNUMBER(J436)),N(J436)&lt;=0)),"Date de réalisation invalide",IF(AND(K436&lt;&gt;"",OR(NOT(ISNUMBER(K436)),N(K436)&lt;0)),"Compteur de réalisation invalide",IF(AND(E436&lt;&gt;"Compteur",N(M436)=0,IFERROR(N(INDEX(eq_start,MATCH(B436,eq_code,0))),0)=0),"Date de départ manquante",IF(AND(E436&lt;&gt;"Calendrier",K436="",N(N436)=0),"Compteur de départ manquant",IF(AND(E436&lt;&gt;"Calendrier",N(Q436)=0),"Relevé compteur manquant (Équipements)",IF(AND(I436&lt;&gt;"",ISNA(MATCH(I436,tech_name,0))),"Technicien inconnu",IF(AND(L436&lt;&gt;"",L436&lt;&gt;"Oui",L436&lt;&gt;"Non"),"Actif : Oui ou Non","OK")))))))))))))))))</f>
        <v/>
      </c>
      <c r="W436" s="67">
        <f>IFERROR(N(INDEX(eq_use,MATCH(B436,eq_code,0))),0)</f>
        <v>0.0</v>
      </c>
      <c r="X436" s="67" t="str">
        <f>IF(AND(ISNUMBER(S436),W436&gt;0),p_today+MAX(0,ROUNDUP(S436*7/W436,0)),"")</f>
        <v/>
      </c>
      <c r="Y436" s="67" t="str">
        <f>IF(AND(ISNUMBER(T436),OR(U436="En retard",U436="Bientôt",U436="À jour")),IF(AND(ISNUMBER(O436),ISNUMBER(X436)),MIN(F436,G436*7/W436),IF(ISNUMBER(O436),F436,G436*7/W436)),"")</f>
        <v/>
      </c>
      <c r="Z436" s="67" t="str">
        <f>IF(OR(U436="En retard",U436="Bientôt"),IF(U436="En retard",0,1)*1000000000+IF(AB436="A",0,IF(AB436="B",1,IF(AB436="C",2,3)))*100000000+IF(ISNUMBER(T436),T436,p_today)*1000+ROW()-5,"")</f>
        <v/>
      </c>
      <c r="AA436" s="67" t="str">
        <f>IF(Z436="","",COUNTIF($Z$6:$Z$505,"&lt;"&amp;Z436)+1)</f>
        <v/>
      </c>
      <c r="AB436" s="67" t="str">
        <f>IFERROR(INDEX(eq_crit,MATCH(B436,eq_code,0))&amp;"","")</f>
        <v/>
      </c>
    </row>
    <row r="437">
      <c r="A437" s="65" t="n"/>
      <c r="B437" s="66" t="n"/>
      <c r="C437" s="67" t="str">
        <f>IF(B437="","",IFERROR(INDEX(eq_des,MATCH(B437,eq_code,0))&amp;"","Équipement inconnu"))</f>
        <v/>
      </c>
      <c r="D437" s="66" t="n"/>
      <c r="E437" s="68" t="n"/>
      <c r="F437" s="69" t="n"/>
      <c r="G437" s="70" t="n"/>
      <c r="H437" s="71" t="n"/>
      <c r="I437" s="66" t="n"/>
      <c r="J437" s="72" t="n"/>
      <c r="K437" s="73" t="n"/>
      <c r="L437" s="68" t="n"/>
      <c r="M437" s="74" t="str">
        <f>IF(AND(A437="",B437="",D437=""),"",MAX(N(J437),IF(A437="",0,SUMPRODUCT(MAX((in_plan=A437)*in_prev*in_dnum)))))</f>
        <v/>
      </c>
      <c r="N437" s="75" t="str">
        <f>IF(AND(A437="",B437="",D437=""),"",MAX(N(K437),IF(A437="",0,SUMPRODUCT(MAX((in_plan=A437)*in_prev*in_cnum)))))</f>
        <v/>
      </c>
      <c r="O437" s="76" t="str">
        <f>IF(AND(OR(E437="Calendrier",E437="Au premier des deux"),N(F437)&gt;0,IF(N(M437)&gt;0,M437,IFERROR(N(INDEX(eq_start,MATCH(B437,eq_code,0))),0))&gt;0),IF(N(M437)&gt;0,M437,IFERROR(N(INDEX(eq_start,MATCH(B437,eq_code,0))),0))+F437,"")</f>
        <v/>
      </c>
      <c r="P437" s="75" t="str">
        <f>IF(AND(OR(E437="Compteur",E437="Au premier des deux"),N(G437)&gt;0),N(N437)+G437,"")</f>
        <v/>
      </c>
      <c r="Q437" s="75" t="str">
        <f>IF(B437="","",IFERROR(N(INDEX(eq_cnt,MATCH(B437,eq_code,0))),""))</f>
        <v/>
      </c>
      <c r="R437" s="77" t="str">
        <f>IF(ISNUMBER(O437),O437-p_today,"")</f>
        <v/>
      </c>
      <c r="S437" s="78" t="str">
        <f>IF(AND(ISNUMBER(P437),N(Q437)&gt;0),P437-Q437,"")</f>
        <v/>
      </c>
      <c r="T437" s="76" t="str">
        <f>IF(AND(ISNUMBER(O437),ISNUMBER(X437)),MIN(O437,X437),IF(ISNUMBER(O437),O437,X437))</f>
        <v/>
      </c>
      <c r="U437" s="79" t="str">
        <f>IF(AND(A437="",B437="",D437=""),"",IF(L437="Non","Inactif",IF(AND(NOT(ISNUMBER(R437)),NOT(ISNUMBER(S437))),"À compléter",IF(OR(AND(ISNUMBER(R437),N(R437)&lt;0),AND(ISNUMBER(S437),N(S437)&lt;0)),"En retard",IF(OR(AND(ISNUMBER(R437),N(R437)&lt;=p_soon),AND(ISNUMBER(S437),N(S437)&lt;=p_soon_pct*N(G437))),"Bientôt","À jour")))))</f>
        <v/>
      </c>
      <c r="V437" s="79" t="str">
        <f>IF(AND(A437="",B437="",D437=""),"",IF(A437="","N° de plan manquant",IF(COUNTIF($A$6:$A$505,A437)&gt;1,"N° de plan en double",IF(B437="","Équipement manquant",IF(ISNA(MATCH(B437,eq_code,0)),"Équipement inconnu",IF(D437="","Tâche manquante",IF(E437="","Déclenchement manquant",IF(AND(E437&lt;&gt;"Calendrier",E437&lt;&gt;"Compteur",E437&lt;&gt;"Au premier des deux"),"Déclenchement inconnu",IF(AND(E437&lt;&gt;"Compteur",OR(NOT(ISNUMBER(F437)),N(F437)&lt;=0)),"Périodicité en jours manquante",IF(AND(E437&lt;&gt;"Calendrier",OR(NOT(ISNUMBER(G437)),N(G437)&lt;=0)),"Périodicité compteur manquante",IF(AND(J437&lt;&gt;"",OR(NOT(ISNUMBER(J437)),N(J437)&lt;=0)),"Date de réalisation invalide",IF(AND(K437&lt;&gt;"",OR(NOT(ISNUMBER(K437)),N(K437)&lt;0)),"Compteur de réalisation invalide",IF(AND(E437&lt;&gt;"Compteur",N(M437)=0,IFERROR(N(INDEX(eq_start,MATCH(B437,eq_code,0))),0)=0),"Date de départ manquante",IF(AND(E437&lt;&gt;"Calendrier",K437="",N(N437)=0),"Compteur de départ manquant",IF(AND(E437&lt;&gt;"Calendrier",N(Q437)=0),"Relevé compteur manquant (Équipements)",IF(AND(I437&lt;&gt;"",ISNA(MATCH(I437,tech_name,0))),"Technicien inconnu",IF(AND(L437&lt;&gt;"",L437&lt;&gt;"Oui",L437&lt;&gt;"Non"),"Actif : Oui ou Non","OK")))))))))))))))))</f>
        <v/>
      </c>
      <c r="W437" s="67">
        <f>IFERROR(N(INDEX(eq_use,MATCH(B437,eq_code,0))),0)</f>
        <v>0.0</v>
      </c>
      <c r="X437" s="67" t="str">
        <f>IF(AND(ISNUMBER(S437),W437&gt;0),p_today+MAX(0,ROUNDUP(S437*7/W437,0)),"")</f>
        <v/>
      </c>
      <c r="Y437" s="67" t="str">
        <f>IF(AND(ISNUMBER(T437),OR(U437="En retard",U437="Bientôt",U437="À jour")),IF(AND(ISNUMBER(O437),ISNUMBER(X437)),MIN(F437,G437*7/W437),IF(ISNUMBER(O437),F437,G437*7/W437)),"")</f>
        <v/>
      </c>
      <c r="Z437" s="67" t="str">
        <f>IF(OR(U437="En retard",U437="Bientôt"),IF(U437="En retard",0,1)*1000000000+IF(AB437="A",0,IF(AB437="B",1,IF(AB437="C",2,3)))*100000000+IF(ISNUMBER(T437),T437,p_today)*1000+ROW()-5,"")</f>
        <v/>
      </c>
      <c r="AA437" s="67" t="str">
        <f>IF(Z437="","",COUNTIF($Z$6:$Z$505,"&lt;"&amp;Z437)+1)</f>
        <v/>
      </c>
      <c r="AB437" s="67" t="str">
        <f>IFERROR(INDEX(eq_crit,MATCH(B437,eq_code,0))&amp;"","")</f>
        <v/>
      </c>
    </row>
    <row r="438">
      <c r="A438" s="65" t="n"/>
      <c r="B438" s="66" t="n"/>
      <c r="C438" s="67" t="str">
        <f>IF(B438="","",IFERROR(INDEX(eq_des,MATCH(B438,eq_code,0))&amp;"","Équipement inconnu"))</f>
        <v/>
      </c>
      <c r="D438" s="66" t="n"/>
      <c r="E438" s="68" t="n"/>
      <c r="F438" s="69" t="n"/>
      <c r="G438" s="70" t="n"/>
      <c r="H438" s="71" t="n"/>
      <c r="I438" s="66" t="n"/>
      <c r="J438" s="72" t="n"/>
      <c r="K438" s="73" t="n"/>
      <c r="L438" s="68" t="n"/>
      <c r="M438" s="74" t="str">
        <f>IF(AND(A438="",B438="",D438=""),"",MAX(N(J438),IF(A438="",0,SUMPRODUCT(MAX((in_plan=A438)*in_prev*in_dnum)))))</f>
        <v/>
      </c>
      <c r="N438" s="75" t="str">
        <f>IF(AND(A438="",B438="",D438=""),"",MAX(N(K438),IF(A438="",0,SUMPRODUCT(MAX((in_plan=A438)*in_prev*in_cnum)))))</f>
        <v/>
      </c>
      <c r="O438" s="76" t="str">
        <f>IF(AND(OR(E438="Calendrier",E438="Au premier des deux"),N(F438)&gt;0,IF(N(M438)&gt;0,M438,IFERROR(N(INDEX(eq_start,MATCH(B438,eq_code,0))),0))&gt;0),IF(N(M438)&gt;0,M438,IFERROR(N(INDEX(eq_start,MATCH(B438,eq_code,0))),0))+F438,"")</f>
        <v/>
      </c>
      <c r="P438" s="75" t="str">
        <f>IF(AND(OR(E438="Compteur",E438="Au premier des deux"),N(G438)&gt;0),N(N438)+G438,"")</f>
        <v/>
      </c>
      <c r="Q438" s="75" t="str">
        <f>IF(B438="","",IFERROR(N(INDEX(eq_cnt,MATCH(B438,eq_code,0))),""))</f>
        <v/>
      </c>
      <c r="R438" s="77" t="str">
        <f>IF(ISNUMBER(O438),O438-p_today,"")</f>
        <v/>
      </c>
      <c r="S438" s="78" t="str">
        <f>IF(AND(ISNUMBER(P438),N(Q438)&gt;0),P438-Q438,"")</f>
        <v/>
      </c>
      <c r="T438" s="76" t="str">
        <f>IF(AND(ISNUMBER(O438),ISNUMBER(X438)),MIN(O438,X438),IF(ISNUMBER(O438),O438,X438))</f>
        <v/>
      </c>
      <c r="U438" s="79" t="str">
        <f>IF(AND(A438="",B438="",D438=""),"",IF(L438="Non","Inactif",IF(AND(NOT(ISNUMBER(R438)),NOT(ISNUMBER(S438))),"À compléter",IF(OR(AND(ISNUMBER(R438),N(R438)&lt;0),AND(ISNUMBER(S438),N(S438)&lt;0)),"En retard",IF(OR(AND(ISNUMBER(R438),N(R438)&lt;=p_soon),AND(ISNUMBER(S438),N(S438)&lt;=p_soon_pct*N(G438))),"Bientôt","À jour")))))</f>
        <v/>
      </c>
      <c r="V438" s="79" t="str">
        <f>IF(AND(A438="",B438="",D438=""),"",IF(A438="","N° de plan manquant",IF(COUNTIF($A$6:$A$505,A438)&gt;1,"N° de plan en double",IF(B438="","Équipement manquant",IF(ISNA(MATCH(B438,eq_code,0)),"Équipement inconnu",IF(D438="","Tâche manquante",IF(E438="","Déclenchement manquant",IF(AND(E438&lt;&gt;"Calendrier",E438&lt;&gt;"Compteur",E438&lt;&gt;"Au premier des deux"),"Déclenchement inconnu",IF(AND(E438&lt;&gt;"Compteur",OR(NOT(ISNUMBER(F438)),N(F438)&lt;=0)),"Périodicité en jours manquante",IF(AND(E438&lt;&gt;"Calendrier",OR(NOT(ISNUMBER(G438)),N(G438)&lt;=0)),"Périodicité compteur manquante",IF(AND(J438&lt;&gt;"",OR(NOT(ISNUMBER(J438)),N(J438)&lt;=0)),"Date de réalisation invalide",IF(AND(K438&lt;&gt;"",OR(NOT(ISNUMBER(K438)),N(K438)&lt;0)),"Compteur de réalisation invalide",IF(AND(E438&lt;&gt;"Compteur",N(M438)=0,IFERROR(N(INDEX(eq_start,MATCH(B438,eq_code,0))),0)=0),"Date de départ manquante",IF(AND(E438&lt;&gt;"Calendrier",K438="",N(N438)=0),"Compteur de départ manquant",IF(AND(E438&lt;&gt;"Calendrier",N(Q438)=0),"Relevé compteur manquant (Équipements)",IF(AND(I438&lt;&gt;"",ISNA(MATCH(I438,tech_name,0))),"Technicien inconnu",IF(AND(L438&lt;&gt;"",L438&lt;&gt;"Oui",L438&lt;&gt;"Non"),"Actif : Oui ou Non","OK")))))))))))))))))</f>
        <v/>
      </c>
      <c r="W438" s="67">
        <f>IFERROR(N(INDEX(eq_use,MATCH(B438,eq_code,0))),0)</f>
        <v>0.0</v>
      </c>
      <c r="X438" s="67" t="str">
        <f>IF(AND(ISNUMBER(S438),W438&gt;0),p_today+MAX(0,ROUNDUP(S438*7/W438,0)),"")</f>
        <v/>
      </c>
      <c r="Y438" s="67" t="str">
        <f>IF(AND(ISNUMBER(T438),OR(U438="En retard",U438="Bientôt",U438="À jour")),IF(AND(ISNUMBER(O438),ISNUMBER(X438)),MIN(F438,G438*7/W438),IF(ISNUMBER(O438),F438,G438*7/W438)),"")</f>
        <v/>
      </c>
      <c r="Z438" s="67" t="str">
        <f>IF(OR(U438="En retard",U438="Bientôt"),IF(U438="En retard",0,1)*1000000000+IF(AB438="A",0,IF(AB438="B",1,IF(AB438="C",2,3)))*100000000+IF(ISNUMBER(T438),T438,p_today)*1000+ROW()-5,"")</f>
        <v/>
      </c>
      <c r="AA438" s="67" t="str">
        <f>IF(Z438="","",COUNTIF($Z$6:$Z$505,"&lt;"&amp;Z438)+1)</f>
        <v/>
      </c>
      <c r="AB438" s="67" t="str">
        <f>IFERROR(INDEX(eq_crit,MATCH(B438,eq_code,0))&amp;"","")</f>
        <v/>
      </c>
    </row>
    <row r="439">
      <c r="A439" s="65" t="n"/>
      <c r="B439" s="66" t="n"/>
      <c r="C439" s="67" t="str">
        <f>IF(B439="","",IFERROR(INDEX(eq_des,MATCH(B439,eq_code,0))&amp;"","Équipement inconnu"))</f>
        <v/>
      </c>
      <c r="D439" s="66" t="n"/>
      <c r="E439" s="68" t="n"/>
      <c r="F439" s="69" t="n"/>
      <c r="G439" s="70" t="n"/>
      <c r="H439" s="71" t="n"/>
      <c r="I439" s="66" t="n"/>
      <c r="J439" s="72" t="n"/>
      <c r="K439" s="73" t="n"/>
      <c r="L439" s="68" t="n"/>
      <c r="M439" s="74" t="str">
        <f>IF(AND(A439="",B439="",D439=""),"",MAX(N(J439),IF(A439="",0,SUMPRODUCT(MAX((in_plan=A439)*in_prev*in_dnum)))))</f>
        <v/>
      </c>
      <c r="N439" s="75" t="str">
        <f>IF(AND(A439="",B439="",D439=""),"",MAX(N(K439),IF(A439="",0,SUMPRODUCT(MAX((in_plan=A439)*in_prev*in_cnum)))))</f>
        <v/>
      </c>
      <c r="O439" s="76" t="str">
        <f>IF(AND(OR(E439="Calendrier",E439="Au premier des deux"),N(F439)&gt;0,IF(N(M439)&gt;0,M439,IFERROR(N(INDEX(eq_start,MATCH(B439,eq_code,0))),0))&gt;0),IF(N(M439)&gt;0,M439,IFERROR(N(INDEX(eq_start,MATCH(B439,eq_code,0))),0))+F439,"")</f>
        <v/>
      </c>
      <c r="P439" s="75" t="str">
        <f>IF(AND(OR(E439="Compteur",E439="Au premier des deux"),N(G439)&gt;0),N(N439)+G439,"")</f>
        <v/>
      </c>
      <c r="Q439" s="75" t="str">
        <f>IF(B439="","",IFERROR(N(INDEX(eq_cnt,MATCH(B439,eq_code,0))),""))</f>
        <v/>
      </c>
      <c r="R439" s="77" t="str">
        <f>IF(ISNUMBER(O439),O439-p_today,"")</f>
        <v/>
      </c>
      <c r="S439" s="78" t="str">
        <f>IF(AND(ISNUMBER(P439),N(Q439)&gt;0),P439-Q439,"")</f>
        <v/>
      </c>
      <c r="T439" s="76" t="str">
        <f>IF(AND(ISNUMBER(O439),ISNUMBER(X439)),MIN(O439,X439),IF(ISNUMBER(O439),O439,X439))</f>
        <v/>
      </c>
      <c r="U439" s="79" t="str">
        <f>IF(AND(A439="",B439="",D439=""),"",IF(L439="Non","Inactif",IF(AND(NOT(ISNUMBER(R439)),NOT(ISNUMBER(S439))),"À compléter",IF(OR(AND(ISNUMBER(R439),N(R439)&lt;0),AND(ISNUMBER(S439),N(S439)&lt;0)),"En retard",IF(OR(AND(ISNUMBER(R439),N(R439)&lt;=p_soon),AND(ISNUMBER(S439),N(S439)&lt;=p_soon_pct*N(G439))),"Bientôt","À jour")))))</f>
        <v/>
      </c>
      <c r="V439" s="79" t="str">
        <f>IF(AND(A439="",B439="",D439=""),"",IF(A439="","N° de plan manquant",IF(COUNTIF($A$6:$A$505,A439)&gt;1,"N° de plan en double",IF(B439="","Équipement manquant",IF(ISNA(MATCH(B439,eq_code,0)),"Équipement inconnu",IF(D439="","Tâche manquante",IF(E439="","Déclenchement manquant",IF(AND(E439&lt;&gt;"Calendrier",E439&lt;&gt;"Compteur",E439&lt;&gt;"Au premier des deux"),"Déclenchement inconnu",IF(AND(E439&lt;&gt;"Compteur",OR(NOT(ISNUMBER(F439)),N(F439)&lt;=0)),"Périodicité en jours manquante",IF(AND(E439&lt;&gt;"Calendrier",OR(NOT(ISNUMBER(G439)),N(G439)&lt;=0)),"Périodicité compteur manquante",IF(AND(J439&lt;&gt;"",OR(NOT(ISNUMBER(J439)),N(J439)&lt;=0)),"Date de réalisation invalide",IF(AND(K439&lt;&gt;"",OR(NOT(ISNUMBER(K439)),N(K439)&lt;0)),"Compteur de réalisation invalide",IF(AND(E439&lt;&gt;"Compteur",N(M439)=0,IFERROR(N(INDEX(eq_start,MATCH(B439,eq_code,0))),0)=0),"Date de départ manquante",IF(AND(E439&lt;&gt;"Calendrier",K439="",N(N439)=0),"Compteur de départ manquant",IF(AND(E439&lt;&gt;"Calendrier",N(Q439)=0),"Relevé compteur manquant (Équipements)",IF(AND(I439&lt;&gt;"",ISNA(MATCH(I439,tech_name,0))),"Technicien inconnu",IF(AND(L439&lt;&gt;"",L439&lt;&gt;"Oui",L439&lt;&gt;"Non"),"Actif : Oui ou Non","OK")))))))))))))))))</f>
        <v/>
      </c>
      <c r="W439" s="67">
        <f>IFERROR(N(INDEX(eq_use,MATCH(B439,eq_code,0))),0)</f>
        <v>0.0</v>
      </c>
      <c r="X439" s="67" t="str">
        <f>IF(AND(ISNUMBER(S439),W439&gt;0),p_today+MAX(0,ROUNDUP(S439*7/W439,0)),"")</f>
        <v/>
      </c>
      <c r="Y439" s="67" t="str">
        <f>IF(AND(ISNUMBER(T439),OR(U439="En retard",U439="Bientôt",U439="À jour")),IF(AND(ISNUMBER(O439),ISNUMBER(X439)),MIN(F439,G439*7/W439),IF(ISNUMBER(O439),F439,G439*7/W439)),"")</f>
        <v/>
      </c>
      <c r="Z439" s="67" t="str">
        <f>IF(OR(U439="En retard",U439="Bientôt"),IF(U439="En retard",0,1)*1000000000+IF(AB439="A",0,IF(AB439="B",1,IF(AB439="C",2,3)))*100000000+IF(ISNUMBER(T439),T439,p_today)*1000+ROW()-5,"")</f>
        <v/>
      </c>
      <c r="AA439" s="67" t="str">
        <f>IF(Z439="","",COUNTIF($Z$6:$Z$505,"&lt;"&amp;Z439)+1)</f>
        <v/>
      </c>
      <c r="AB439" s="67" t="str">
        <f>IFERROR(INDEX(eq_crit,MATCH(B439,eq_code,0))&amp;"","")</f>
        <v/>
      </c>
    </row>
    <row r="440">
      <c r="A440" s="65" t="n"/>
      <c r="B440" s="66" t="n"/>
      <c r="C440" s="67" t="str">
        <f>IF(B440="","",IFERROR(INDEX(eq_des,MATCH(B440,eq_code,0))&amp;"","Équipement inconnu"))</f>
        <v/>
      </c>
      <c r="D440" s="66" t="n"/>
      <c r="E440" s="68" t="n"/>
      <c r="F440" s="69" t="n"/>
      <c r="G440" s="70" t="n"/>
      <c r="H440" s="71" t="n"/>
      <c r="I440" s="66" t="n"/>
      <c r="J440" s="72" t="n"/>
      <c r="K440" s="73" t="n"/>
      <c r="L440" s="68" t="n"/>
      <c r="M440" s="74" t="str">
        <f>IF(AND(A440="",B440="",D440=""),"",MAX(N(J440),IF(A440="",0,SUMPRODUCT(MAX((in_plan=A440)*in_prev*in_dnum)))))</f>
        <v/>
      </c>
      <c r="N440" s="75" t="str">
        <f>IF(AND(A440="",B440="",D440=""),"",MAX(N(K440),IF(A440="",0,SUMPRODUCT(MAX((in_plan=A440)*in_prev*in_cnum)))))</f>
        <v/>
      </c>
      <c r="O440" s="76" t="str">
        <f>IF(AND(OR(E440="Calendrier",E440="Au premier des deux"),N(F440)&gt;0,IF(N(M440)&gt;0,M440,IFERROR(N(INDEX(eq_start,MATCH(B440,eq_code,0))),0))&gt;0),IF(N(M440)&gt;0,M440,IFERROR(N(INDEX(eq_start,MATCH(B440,eq_code,0))),0))+F440,"")</f>
        <v/>
      </c>
      <c r="P440" s="75" t="str">
        <f>IF(AND(OR(E440="Compteur",E440="Au premier des deux"),N(G440)&gt;0),N(N440)+G440,"")</f>
        <v/>
      </c>
      <c r="Q440" s="75" t="str">
        <f>IF(B440="","",IFERROR(N(INDEX(eq_cnt,MATCH(B440,eq_code,0))),""))</f>
        <v/>
      </c>
      <c r="R440" s="77" t="str">
        <f>IF(ISNUMBER(O440),O440-p_today,"")</f>
        <v/>
      </c>
      <c r="S440" s="78" t="str">
        <f>IF(AND(ISNUMBER(P440),N(Q440)&gt;0),P440-Q440,"")</f>
        <v/>
      </c>
      <c r="T440" s="76" t="str">
        <f>IF(AND(ISNUMBER(O440),ISNUMBER(X440)),MIN(O440,X440),IF(ISNUMBER(O440),O440,X440))</f>
        <v/>
      </c>
      <c r="U440" s="79" t="str">
        <f>IF(AND(A440="",B440="",D440=""),"",IF(L440="Non","Inactif",IF(AND(NOT(ISNUMBER(R440)),NOT(ISNUMBER(S440))),"À compléter",IF(OR(AND(ISNUMBER(R440),N(R440)&lt;0),AND(ISNUMBER(S440),N(S440)&lt;0)),"En retard",IF(OR(AND(ISNUMBER(R440),N(R440)&lt;=p_soon),AND(ISNUMBER(S440),N(S440)&lt;=p_soon_pct*N(G440))),"Bientôt","À jour")))))</f>
        <v/>
      </c>
      <c r="V440" s="79" t="str">
        <f>IF(AND(A440="",B440="",D440=""),"",IF(A440="","N° de plan manquant",IF(COUNTIF($A$6:$A$505,A440)&gt;1,"N° de plan en double",IF(B440="","Équipement manquant",IF(ISNA(MATCH(B440,eq_code,0)),"Équipement inconnu",IF(D440="","Tâche manquante",IF(E440="","Déclenchement manquant",IF(AND(E440&lt;&gt;"Calendrier",E440&lt;&gt;"Compteur",E440&lt;&gt;"Au premier des deux"),"Déclenchement inconnu",IF(AND(E440&lt;&gt;"Compteur",OR(NOT(ISNUMBER(F440)),N(F440)&lt;=0)),"Périodicité en jours manquante",IF(AND(E440&lt;&gt;"Calendrier",OR(NOT(ISNUMBER(G440)),N(G440)&lt;=0)),"Périodicité compteur manquante",IF(AND(J440&lt;&gt;"",OR(NOT(ISNUMBER(J440)),N(J440)&lt;=0)),"Date de réalisation invalide",IF(AND(K440&lt;&gt;"",OR(NOT(ISNUMBER(K440)),N(K440)&lt;0)),"Compteur de réalisation invalide",IF(AND(E440&lt;&gt;"Compteur",N(M440)=0,IFERROR(N(INDEX(eq_start,MATCH(B440,eq_code,0))),0)=0),"Date de départ manquante",IF(AND(E440&lt;&gt;"Calendrier",K440="",N(N440)=0),"Compteur de départ manquant",IF(AND(E440&lt;&gt;"Calendrier",N(Q440)=0),"Relevé compteur manquant (Équipements)",IF(AND(I440&lt;&gt;"",ISNA(MATCH(I440,tech_name,0))),"Technicien inconnu",IF(AND(L440&lt;&gt;"",L440&lt;&gt;"Oui",L440&lt;&gt;"Non"),"Actif : Oui ou Non","OK")))))))))))))))))</f>
        <v/>
      </c>
      <c r="W440" s="67">
        <f>IFERROR(N(INDEX(eq_use,MATCH(B440,eq_code,0))),0)</f>
        <v>0.0</v>
      </c>
      <c r="X440" s="67" t="str">
        <f>IF(AND(ISNUMBER(S440),W440&gt;0),p_today+MAX(0,ROUNDUP(S440*7/W440,0)),"")</f>
        <v/>
      </c>
      <c r="Y440" s="67" t="str">
        <f>IF(AND(ISNUMBER(T440),OR(U440="En retard",U440="Bientôt",U440="À jour")),IF(AND(ISNUMBER(O440),ISNUMBER(X440)),MIN(F440,G440*7/W440),IF(ISNUMBER(O440),F440,G440*7/W440)),"")</f>
        <v/>
      </c>
      <c r="Z440" s="67" t="str">
        <f>IF(OR(U440="En retard",U440="Bientôt"),IF(U440="En retard",0,1)*1000000000+IF(AB440="A",0,IF(AB440="B",1,IF(AB440="C",2,3)))*100000000+IF(ISNUMBER(T440),T440,p_today)*1000+ROW()-5,"")</f>
        <v/>
      </c>
      <c r="AA440" s="67" t="str">
        <f>IF(Z440="","",COUNTIF($Z$6:$Z$505,"&lt;"&amp;Z440)+1)</f>
        <v/>
      </c>
      <c r="AB440" s="67" t="str">
        <f>IFERROR(INDEX(eq_crit,MATCH(B440,eq_code,0))&amp;"","")</f>
        <v/>
      </c>
    </row>
    <row r="441">
      <c r="A441" s="65" t="n"/>
      <c r="B441" s="66" t="n"/>
      <c r="C441" s="67" t="str">
        <f>IF(B441="","",IFERROR(INDEX(eq_des,MATCH(B441,eq_code,0))&amp;"","Équipement inconnu"))</f>
        <v/>
      </c>
      <c r="D441" s="66" t="n"/>
      <c r="E441" s="68" t="n"/>
      <c r="F441" s="69" t="n"/>
      <c r="G441" s="70" t="n"/>
      <c r="H441" s="71" t="n"/>
      <c r="I441" s="66" t="n"/>
      <c r="J441" s="72" t="n"/>
      <c r="K441" s="73" t="n"/>
      <c r="L441" s="68" t="n"/>
      <c r="M441" s="74" t="str">
        <f>IF(AND(A441="",B441="",D441=""),"",MAX(N(J441),IF(A441="",0,SUMPRODUCT(MAX((in_plan=A441)*in_prev*in_dnum)))))</f>
        <v/>
      </c>
      <c r="N441" s="75" t="str">
        <f>IF(AND(A441="",B441="",D441=""),"",MAX(N(K441),IF(A441="",0,SUMPRODUCT(MAX((in_plan=A441)*in_prev*in_cnum)))))</f>
        <v/>
      </c>
      <c r="O441" s="76" t="str">
        <f>IF(AND(OR(E441="Calendrier",E441="Au premier des deux"),N(F441)&gt;0,IF(N(M441)&gt;0,M441,IFERROR(N(INDEX(eq_start,MATCH(B441,eq_code,0))),0))&gt;0),IF(N(M441)&gt;0,M441,IFERROR(N(INDEX(eq_start,MATCH(B441,eq_code,0))),0))+F441,"")</f>
        <v/>
      </c>
      <c r="P441" s="75" t="str">
        <f>IF(AND(OR(E441="Compteur",E441="Au premier des deux"),N(G441)&gt;0),N(N441)+G441,"")</f>
        <v/>
      </c>
      <c r="Q441" s="75" t="str">
        <f>IF(B441="","",IFERROR(N(INDEX(eq_cnt,MATCH(B441,eq_code,0))),""))</f>
        <v/>
      </c>
      <c r="R441" s="77" t="str">
        <f>IF(ISNUMBER(O441),O441-p_today,"")</f>
        <v/>
      </c>
      <c r="S441" s="78" t="str">
        <f>IF(AND(ISNUMBER(P441),N(Q441)&gt;0),P441-Q441,"")</f>
        <v/>
      </c>
      <c r="T441" s="76" t="str">
        <f>IF(AND(ISNUMBER(O441),ISNUMBER(X441)),MIN(O441,X441),IF(ISNUMBER(O441),O441,X441))</f>
        <v/>
      </c>
      <c r="U441" s="79" t="str">
        <f>IF(AND(A441="",B441="",D441=""),"",IF(L441="Non","Inactif",IF(AND(NOT(ISNUMBER(R441)),NOT(ISNUMBER(S441))),"À compléter",IF(OR(AND(ISNUMBER(R441),N(R441)&lt;0),AND(ISNUMBER(S441),N(S441)&lt;0)),"En retard",IF(OR(AND(ISNUMBER(R441),N(R441)&lt;=p_soon),AND(ISNUMBER(S441),N(S441)&lt;=p_soon_pct*N(G441))),"Bientôt","À jour")))))</f>
        <v/>
      </c>
      <c r="V441" s="79" t="str">
        <f>IF(AND(A441="",B441="",D441=""),"",IF(A441="","N° de plan manquant",IF(COUNTIF($A$6:$A$505,A441)&gt;1,"N° de plan en double",IF(B441="","Équipement manquant",IF(ISNA(MATCH(B441,eq_code,0)),"Équipement inconnu",IF(D441="","Tâche manquante",IF(E441="","Déclenchement manquant",IF(AND(E441&lt;&gt;"Calendrier",E441&lt;&gt;"Compteur",E441&lt;&gt;"Au premier des deux"),"Déclenchement inconnu",IF(AND(E441&lt;&gt;"Compteur",OR(NOT(ISNUMBER(F441)),N(F441)&lt;=0)),"Périodicité en jours manquante",IF(AND(E441&lt;&gt;"Calendrier",OR(NOT(ISNUMBER(G441)),N(G441)&lt;=0)),"Périodicité compteur manquante",IF(AND(J441&lt;&gt;"",OR(NOT(ISNUMBER(J441)),N(J441)&lt;=0)),"Date de réalisation invalide",IF(AND(K441&lt;&gt;"",OR(NOT(ISNUMBER(K441)),N(K441)&lt;0)),"Compteur de réalisation invalide",IF(AND(E441&lt;&gt;"Compteur",N(M441)=0,IFERROR(N(INDEX(eq_start,MATCH(B441,eq_code,0))),0)=0),"Date de départ manquante",IF(AND(E441&lt;&gt;"Calendrier",K441="",N(N441)=0),"Compteur de départ manquant",IF(AND(E441&lt;&gt;"Calendrier",N(Q441)=0),"Relevé compteur manquant (Équipements)",IF(AND(I441&lt;&gt;"",ISNA(MATCH(I441,tech_name,0))),"Technicien inconnu",IF(AND(L441&lt;&gt;"",L441&lt;&gt;"Oui",L441&lt;&gt;"Non"),"Actif : Oui ou Non","OK")))))))))))))))))</f>
        <v/>
      </c>
      <c r="W441" s="67">
        <f>IFERROR(N(INDEX(eq_use,MATCH(B441,eq_code,0))),0)</f>
        <v>0.0</v>
      </c>
      <c r="X441" s="67" t="str">
        <f>IF(AND(ISNUMBER(S441),W441&gt;0),p_today+MAX(0,ROUNDUP(S441*7/W441,0)),"")</f>
        <v/>
      </c>
      <c r="Y441" s="67" t="str">
        <f>IF(AND(ISNUMBER(T441),OR(U441="En retard",U441="Bientôt",U441="À jour")),IF(AND(ISNUMBER(O441),ISNUMBER(X441)),MIN(F441,G441*7/W441),IF(ISNUMBER(O441),F441,G441*7/W441)),"")</f>
        <v/>
      </c>
      <c r="Z441" s="67" t="str">
        <f>IF(OR(U441="En retard",U441="Bientôt"),IF(U441="En retard",0,1)*1000000000+IF(AB441="A",0,IF(AB441="B",1,IF(AB441="C",2,3)))*100000000+IF(ISNUMBER(T441),T441,p_today)*1000+ROW()-5,"")</f>
        <v/>
      </c>
      <c r="AA441" s="67" t="str">
        <f>IF(Z441="","",COUNTIF($Z$6:$Z$505,"&lt;"&amp;Z441)+1)</f>
        <v/>
      </c>
      <c r="AB441" s="67" t="str">
        <f>IFERROR(INDEX(eq_crit,MATCH(B441,eq_code,0))&amp;"","")</f>
        <v/>
      </c>
    </row>
    <row r="442">
      <c r="A442" s="65" t="n"/>
      <c r="B442" s="66" t="n"/>
      <c r="C442" s="67" t="str">
        <f>IF(B442="","",IFERROR(INDEX(eq_des,MATCH(B442,eq_code,0))&amp;"","Équipement inconnu"))</f>
        <v/>
      </c>
      <c r="D442" s="66" t="n"/>
      <c r="E442" s="68" t="n"/>
      <c r="F442" s="69" t="n"/>
      <c r="G442" s="70" t="n"/>
      <c r="H442" s="71" t="n"/>
      <c r="I442" s="66" t="n"/>
      <c r="J442" s="72" t="n"/>
      <c r="K442" s="73" t="n"/>
      <c r="L442" s="68" t="n"/>
      <c r="M442" s="74" t="str">
        <f>IF(AND(A442="",B442="",D442=""),"",MAX(N(J442),IF(A442="",0,SUMPRODUCT(MAX((in_plan=A442)*in_prev*in_dnum)))))</f>
        <v/>
      </c>
      <c r="N442" s="75" t="str">
        <f>IF(AND(A442="",B442="",D442=""),"",MAX(N(K442),IF(A442="",0,SUMPRODUCT(MAX((in_plan=A442)*in_prev*in_cnum)))))</f>
        <v/>
      </c>
      <c r="O442" s="76" t="str">
        <f>IF(AND(OR(E442="Calendrier",E442="Au premier des deux"),N(F442)&gt;0,IF(N(M442)&gt;0,M442,IFERROR(N(INDEX(eq_start,MATCH(B442,eq_code,0))),0))&gt;0),IF(N(M442)&gt;0,M442,IFERROR(N(INDEX(eq_start,MATCH(B442,eq_code,0))),0))+F442,"")</f>
        <v/>
      </c>
      <c r="P442" s="75" t="str">
        <f>IF(AND(OR(E442="Compteur",E442="Au premier des deux"),N(G442)&gt;0),N(N442)+G442,"")</f>
        <v/>
      </c>
      <c r="Q442" s="75" t="str">
        <f>IF(B442="","",IFERROR(N(INDEX(eq_cnt,MATCH(B442,eq_code,0))),""))</f>
        <v/>
      </c>
      <c r="R442" s="77" t="str">
        <f>IF(ISNUMBER(O442),O442-p_today,"")</f>
        <v/>
      </c>
      <c r="S442" s="78" t="str">
        <f>IF(AND(ISNUMBER(P442),N(Q442)&gt;0),P442-Q442,"")</f>
        <v/>
      </c>
      <c r="T442" s="76" t="str">
        <f>IF(AND(ISNUMBER(O442),ISNUMBER(X442)),MIN(O442,X442),IF(ISNUMBER(O442),O442,X442))</f>
        <v/>
      </c>
      <c r="U442" s="79" t="str">
        <f>IF(AND(A442="",B442="",D442=""),"",IF(L442="Non","Inactif",IF(AND(NOT(ISNUMBER(R442)),NOT(ISNUMBER(S442))),"À compléter",IF(OR(AND(ISNUMBER(R442),N(R442)&lt;0),AND(ISNUMBER(S442),N(S442)&lt;0)),"En retard",IF(OR(AND(ISNUMBER(R442),N(R442)&lt;=p_soon),AND(ISNUMBER(S442),N(S442)&lt;=p_soon_pct*N(G442))),"Bientôt","À jour")))))</f>
        <v/>
      </c>
      <c r="V442" s="79" t="str">
        <f>IF(AND(A442="",B442="",D442=""),"",IF(A442="","N° de plan manquant",IF(COUNTIF($A$6:$A$505,A442)&gt;1,"N° de plan en double",IF(B442="","Équipement manquant",IF(ISNA(MATCH(B442,eq_code,0)),"Équipement inconnu",IF(D442="","Tâche manquante",IF(E442="","Déclenchement manquant",IF(AND(E442&lt;&gt;"Calendrier",E442&lt;&gt;"Compteur",E442&lt;&gt;"Au premier des deux"),"Déclenchement inconnu",IF(AND(E442&lt;&gt;"Compteur",OR(NOT(ISNUMBER(F442)),N(F442)&lt;=0)),"Périodicité en jours manquante",IF(AND(E442&lt;&gt;"Calendrier",OR(NOT(ISNUMBER(G442)),N(G442)&lt;=0)),"Périodicité compteur manquante",IF(AND(J442&lt;&gt;"",OR(NOT(ISNUMBER(J442)),N(J442)&lt;=0)),"Date de réalisation invalide",IF(AND(K442&lt;&gt;"",OR(NOT(ISNUMBER(K442)),N(K442)&lt;0)),"Compteur de réalisation invalide",IF(AND(E442&lt;&gt;"Compteur",N(M442)=0,IFERROR(N(INDEX(eq_start,MATCH(B442,eq_code,0))),0)=0),"Date de départ manquante",IF(AND(E442&lt;&gt;"Calendrier",K442="",N(N442)=0),"Compteur de départ manquant",IF(AND(E442&lt;&gt;"Calendrier",N(Q442)=0),"Relevé compteur manquant (Équipements)",IF(AND(I442&lt;&gt;"",ISNA(MATCH(I442,tech_name,0))),"Technicien inconnu",IF(AND(L442&lt;&gt;"",L442&lt;&gt;"Oui",L442&lt;&gt;"Non"),"Actif : Oui ou Non","OK")))))))))))))))))</f>
        <v/>
      </c>
      <c r="W442" s="67">
        <f>IFERROR(N(INDEX(eq_use,MATCH(B442,eq_code,0))),0)</f>
        <v>0.0</v>
      </c>
      <c r="X442" s="67" t="str">
        <f>IF(AND(ISNUMBER(S442),W442&gt;0),p_today+MAX(0,ROUNDUP(S442*7/W442,0)),"")</f>
        <v/>
      </c>
      <c r="Y442" s="67" t="str">
        <f>IF(AND(ISNUMBER(T442),OR(U442="En retard",U442="Bientôt",U442="À jour")),IF(AND(ISNUMBER(O442),ISNUMBER(X442)),MIN(F442,G442*7/W442),IF(ISNUMBER(O442),F442,G442*7/W442)),"")</f>
        <v/>
      </c>
      <c r="Z442" s="67" t="str">
        <f>IF(OR(U442="En retard",U442="Bientôt"),IF(U442="En retard",0,1)*1000000000+IF(AB442="A",0,IF(AB442="B",1,IF(AB442="C",2,3)))*100000000+IF(ISNUMBER(T442),T442,p_today)*1000+ROW()-5,"")</f>
        <v/>
      </c>
      <c r="AA442" s="67" t="str">
        <f>IF(Z442="","",COUNTIF($Z$6:$Z$505,"&lt;"&amp;Z442)+1)</f>
        <v/>
      </c>
      <c r="AB442" s="67" t="str">
        <f>IFERROR(INDEX(eq_crit,MATCH(B442,eq_code,0))&amp;"","")</f>
        <v/>
      </c>
    </row>
    <row r="443">
      <c r="A443" s="65" t="n"/>
      <c r="B443" s="66" t="n"/>
      <c r="C443" s="67" t="str">
        <f>IF(B443="","",IFERROR(INDEX(eq_des,MATCH(B443,eq_code,0))&amp;"","Équipement inconnu"))</f>
        <v/>
      </c>
      <c r="D443" s="66" t="n"/>
      <c r="E443" s="68" t="n"/>
      <c r="F443" s="69" t="n"/>
      <c r="G443" s="70" t="n"/>
      <c r="H443" s="71" t="n"/>
      <c r="I443" s="66" t="n"/>
      <c r="J443" s="72" t="n"/>
      <c r="K443" s="73" t="n"/>
      <c r="L443" s="68" t="n"/>
      <c r="M443" s="74" t="str">
        <f>IF(AND(A443="",B443="",D443=""),"",MAX(N(J443),IF(A443="",0,SUMPRODUCT(MAX((in_plan=A443)*in_prev*in_dnum)))))</f>
        <v/>
      </c>
      <c r="N443" s="75" t="str">
        <f>IF(AND(A443="",B443="",D443=""),"",MAX(N(K443),IF(A443="",0,SUMPRODUCT(MAX((in_plan=A443)*in_prev*in_cnum)))))</f>
        <v/>
      </c>
      <c r="O443" s="76" t="str">
        <f>IF(AND(OR(E443="Calendrier",E443="Au premier des deux"),N(F443)&gt;0,IF(N(M443)&gt;0,M443,IFERROR(N(INDEX(eq_start,MATCH(B443,eq_code,0))),0))&gt;0),IF(N(M443)&gt;0,M443,IFERROR(N(INDEX(eq_start,MATCH(B443,eq_code,0))),0))+F443,"")</f>
        <v/>
      </c>
      <c r="P443" s="75" t="str">
        <f>IF(AND(OR(E443="Compteur",E443="Au premier des deux"),N(G443)&gt;0),N(N443)+G443,"")</f>
        <v/>
      </c>
      <c r="Q443" s="75" t="str">
        <f>IF(B443="","",IFERROR(N(INDEX(eq_cnt,MATCH(B443,eq_code,0))),""))</f>
        <v/>
      </c>
      <c r="R443" s="77" t="str">
        <f>IF(ISNUMBER(O443),O443-p_today,"")</f>
        <v/>
      </c>
      <c r="S443" s="78" t="str">
        <f>IF(AND(ISNUMBER(P443),N(Q443)&gt;0),P443-Q443,"")</f>
        <v/>
      </c>
      <c r="T443" s="76" t="str">
        <f>IF(AND(ISNUMBER(O443),ISNUMBER(X443)),MIN(O443,X443),IF(ISNUMBER(O443),O443,X443))</f>
        <v/>
      </c>
      <c r="U443" s="79" t="str">
        <f>IF(AND(A443="",B443="",D443=""),"",IF(L443="Non","Inactif",IF(AND(NOT(ISNUMBER(R443)),NOT(ISNUMBER(S443))),"À compléter",IF(OR(AND(ISNUMBER(R443),N(R443)&lt;0),AND(ISNUMBER(S443),N(S443)&lt;0)),"En retard",IF(OR(AND(ISNUMBER(R443),N(R443)&lt;=p_soon),AND(ISNUMBER(S443),N(S443)&lt;=p_soon_pct*N(G443))),"Bientôt","À jour")))))</f>
        <v/>
      </c>
      <c r="V443" s="79" t="str">
        <f>IF(AND(A443="",B443="",D443=""),"",IF(A443="","N° de plan manquant",IF(COUNTIF($A$6:$A$505,A443)&gt;1,"N° de plan en double",IF(B443="","Équipement manquant",IF(ISNA(MATCH(B443,eq_code,0)),"Équipement inconnu",IF(D443="","Tâche manquante",IF(E443="","Déclenchement manquant",IF(AND(E443&lt;&gt;"Calendrier",E443&lt;&gt;"Compteur",E443&lt;&gt;"Au premier des deux"),"Déclenchement inconnu",IF(AND(E443&lt;&gt;"Compteur",OR(NOT(ISNUMBER(F443)),N(F443)&lt;=0)),"Périodicité en jours manquante",IF(AND(E443&lt;&gt;"Calendrier",OR(NOT(ISNUMBER(G443)),N(G443)&lt;=0)),"Périodicité compteur manquante",IF(AND(J443&lt;&gt;"",OR(NOT(ISNUMBER(J443)),N(J443)&lt;=0)),"Date de réalisation invalide",IF(AND(K443&lt;&gt;"",OR(NOT(ISNUMBER(K443)),N(K443)&lt;0)),"Compteur de réalisation invalide",IF(AND(E443&lt;&gt;"Compteur",N(M443)=0,IFERROR(N(INDEX(eq_start,MATCH(B443,eq_code,0))),0)=0),"Date de départ manquante",IF(AND(E443&lt;&gt;"Calendrier",K443="",N(N443)=0),"Compteur de départ manquant",IF(AND(E443&lt;&gt;"Calendrier",N(Q443)=0),"Relevé compteur manquant (Équipements)",IF(AND(I443&lt;&gt;"",ISNA(MATCH(I443,tech_name,0))),"Technicien inconnu",IF(AND(L443&lt;&gt;"",L443&lt;&gt;"Oui",L443&lt;&gt;"Non"),"Actif : Oui ou Non","OK")))))))))))))))))</f>
        <v/>
      </c>
      <c r="W443" s="67">
        <f>IFERROR(N(INDEX(eq_use,MATCH(B443,eq_code,0))),0)</f>
        <v>0.0</v>
      </c>
      <c r="X443" s="67" t="str">
        <f>IF(AND(ISNUMBER(S443),W443&gt;0),p_today+MAX(0,ROUNDUP(S443*7/W443,0)),"")</f>
        <v/>
      </c>
      <c r="Y443" s="67" t="str">
        <f>IF(AND(ISNUMBER(T443),OR(U443="En retard",U443="Bientôt",U443="À jour")),IF(AND(ISNUMBER(O443),ISNUMBER(X443)),MIN(F443,G443*7/W443),IF(ISNUMBER(O443),F443,G443*7/W443)),"")</f>
        <v/>
      </c>
      <c r="Z443" s="67" t="str">
        <f>IF(OR(U443="En retard",U443="Bientôt"),IF(U443="En retard",0,1)*1000000000+IF(AB443="A",0,IF(AB443="B",1,IF(AB443="C",2,3)))*100000000+IF(ISNUMBER(T443),T443,p_today)*1000+ROW()-5,"")</f>
        <v/>
      </c>
      <c r="AA443" s="67" t="str">
        <f>IF(Z443="","",COUNTIF($Z$6:$Z$505,"&lt;"&amp;Z443)+1)</f>
        <v/>
      </c>
      <c r="AB443" s="67" t="str">
        <f>IFERROR(INDEX(eq_crit,MATCH(B443,eq_code,0))&amp;"","")</f>
        <v/>
      </c>
    </row>
    <row r="444">
      <c r="A444" s="65" t="n"/>
      <c r="B444" s="66" t="n"/>
      <c r="C444" s="67" t="str">
        <f>IF(B444="","",IFERROR(INDEX(eq_des,MATCH(B444,eq_code,0))&amp;"","Équipement inconnu"))</f>
        <v/>
      </c>
      <c r="D444" s="66" t="n"/>
      <c r="E444" s="68" t="n"/>
      <c r="F444" s="69" t="n"/>
      <c r="G444" s="70" t="n"/>
      <c r="H444" s="71" t="n"/>
      <c r="I444" s="66" t="n"/>
      <c r="J444" s="72" t="n"/>
      <c r="K444" s="73" t="n"/>
      <c r="L444" s="68" t="n"/>
      <c r="M444" s="74" t="str">
        <f>IF(AND(A444="",B444="",D444=""),"",MAX(N(J444),IF(A444="",0,SUMPRODUCT(MAX((in_plan=A444)*in_prev*in_dnum)))))</f>
        <v/>
      </c>
      <c r="N444" s="75" t="str">
        <f>IF(AND(A444="",B444="",D444=""),"",MAX(N(K444),IF(A444="",0,SUMPRODUCT(MAX((in_plan=A444)*in_prev*in_cnum)))))</f>
        <v/>
      </c>
      <c r="O444" s="76" t="str">
        <f>IF(AND(OR(E444="Calendrier",E444="Au premier des deux"),N(F444)&gt;0,IF(N(M444)&gt;0,M444,IFERROR(N(INDEX(eq_start,MATCH(B444,eq_code,0))),0))&gt;0),IF(N(M444)&gt;0,M444,IFERROR(N(INDEX(eq_start,MATCH(B444,eq_code,0))),0))+F444,"")</f>
        <v/>
      </c>
      <c r="P444" s="75" t="str">
        <f>IF(AND(OR(E444="Compteur",E444="Au premier des deux"),N(G444)&gt;0),N(N444)+G444,"")</f>
        <v/>
      </c>
      <c r="Q444" s="75" t="str">
        <f>IF(B444="","",IFERROR(N(INDEX(eq_cnt,MATCH(B444,eq_code,0))),""))</f>
        <v/>
      </c>
      <c r="R444" s="77" t="str">
        <f>IF(ISNUMBER(O444),O444-p_today,"")</f>
        <v/>
      </c>
      <c r="S444" s="78" t="str">
        <f>IF(AND(ISNUMBER(P444),N(Q444)&gt;0),P444-Q444,"")</f>
        <v/>
      </c>
      <c r="T444" s="76" t="str">
        <f>IF(AND(ISNUMBER(O444),ISNUMBER(X444)),MIN(O444,X444),IF(ISNUMBER(O444),O444,X444))</f>
        <v/>
      </c>
      <c r="U444" s="79" t="str">
        <f>IF(AND(A444="",B444="",D444=""),"",IF(L444="Non","Inactif",IF(AND(NOT(ISNUMBER(R444)),NOT(ISNUMBER(S444))),"À compléter",IF(OR(AND(ISNUMBER(R444),N(R444)&lt;0),AND(ISNUMBER(S444),N(S444)&lt;0)),"En retard",IF(OR(AND(ISNUMBER(R444),N(R444)&lt;=p_soon),AND(ISNUMBER(S444),N(S444)&lt;=p_soon_pct*N(G444))),"Bientôt","À jour")))))</f>
        <v/>
      </c>
      <c r="V444" s="79" t="str">
        <f>IF(AND(A444="",B444="",D444=""),"",IF(A444="","N° de plan manquant",IF(COUNTIF($A$6:$A$505,A444)&gt;1,"N° de plan en double",IF(B444="","Équipement manquant",IF(ISNA(MATCH(B444,eq_code,0)),"Équipement inconnu",IF(D444="","Tâche manquante",IF(E444="","Déclenchement manquant",IF(AND(E444&lt;&gt;"Calendrier",E444&lt;&gt;"Compteur",E444&lt;&gt;"Au premier des deux"),"Déclenchement inconnu",IF(AND(E444&lt;&gt;"Compteur",OR(NOT(ISNUMBER(F444)),N(F444)&lt;=0)),"Périodicité en jours manquante",IF(AND(E444&lt;&gt;"Calendrier",OR(NOT(ISNUMBER(G444)),N(G444)&lt;=0)),"Périodicité compteur manquante",IF(AND(J444&lt;&gt;"",OR(NOT(ISNUMBER(J444)),N(J444)&lt;=0)),"Date de réalisation invalide",IF(AND(K444&lt;&gt;"",OR(NOT(ISNUMBER(K444)),N(K444)&lt;0)),"Compteur de réalisation invalide",IF(AND(E444&lt;&gt;"Compteur",N(M444)=0,IFERROR(N(INDEX(eq_start,MATCH(B444,eq_code,0))),0)=0),"Date de départ manquante",IF(AND(E444&lt;&gt;"Calendrier",K444="",N(N444)=0),"Compteur de départ manquant",IF(AND(E444&lt;&gt;"Calendrier",N(Q444)=0),"Relevé compteur manquant (Équipements)",IF(AND(I444&lt;&gt;"",ISNA(MATCH(I444,tech_name,0))),"Technicien inconnu",IF(AND(L444&lt;&gt;"",L444&lt;&gt;"Oui",L444&lt;&gt;"Non"),"Actif : Oui ou Non","OK")))))))))))))))))</f>
        <v/>
      </c>
      <c r="W444" s="67">
        <f>IFERROR(N(INDEX(eq_use,MATCH(B444,eq_code,0))),0)</f>
        <v>0.0</v>
      </c>
      <c r="X444" s="67" t="str">
        <f>IF(AND(ISNUMBER(S444),W444&gt;0),p_today+MAX(0,ROUNDUP(S444*7/W444,0)),"")</f>
        <v/>
      </c>
      <c r="Y444" s="67" t="str">
        <f>IF(AND(ISNUMBER(T444),OR(U444="En retard",U444="Bientôt",U444="À jour")),IF(AND(ISNUMBER(O444),ISNUMBER(X444)),MIN(F444,G444*7/W444),IF(ISNUMBER(O444),F444,G444*7/W444)),"")</f>
        <v/>
      </c>
      <c r="Z444" s="67" t="str">
        <f>IF(OR(U444="En retard",U444="Bientôt"),IF(U444="En retard",0,1)*1000000000+IF(AB444="A",0,IF(AB444="B",1,IF(AB444="C",2,3)))*100000000+IF(ISNUMBER(T444),T444,p_today)*1000+ROW()-5,"")</f>
        <v/>
      </c>
      <c r="AA444" s="67" t="str">
        <f>IF(Z444="","",COUNTIF($Z$6:$Z$505,"&lt;"&amp;Z444)+1)</f>
        <v/>
      </c>
      <c r="AB444" s="67" t="str">
        <f>IFERROR(INDEX(eq_crit,MATCH(B444,eq_code,0))&amp;"","")</f>
        <v/>
      </c>
    </row>
    <row r="445">
      <c r="A445" s="65" t="n"/>
      <c r="B445" s="66" t="n"/>
      <c r="C445" s="67" t="str">
        <f>IF(B445="","",IFERROR(INDEX(eq_des,MATCH(B445,eq_code,0))&amp;"","Équipement inconnu"))</f>
        <v/>
      </c>
      <c r="D445" s="66" t="n"/>
      <c r="E445" s="68" t="n"/>
      <c r="F445" s="69" t="n"/>
      <c r="G445" s="70" t="n"/>
      <c r="H445" s="71" t="n"/>
      <c r="I445" s="66" t="n"/>
      <c r="J445" s="72" t="n"/>
      <c r="K445" s="73" t="n"/>
      <c r="L445" s="68" t="n"/>
      <c r="M445" s="74" t="str">
        <f>IF(AND(A445="",B445="",D445=""),"",MAX(N(J445),IF(A445="",0,SUMPRODUCT(MAX((in_plan=A445)*in_prev*in_dnum)))))</f>
        <v/>
      </c>
      <c r="N445" s="75" t="str">
        <f>IF(AND(A445="",B445="",D445=""),"",MAX(N(K445),IF(A445="",0,SUMPRODUCT(MAX((in_plan=A445)*in_prev*in_cnum)))))</f>
        <v/>
      </c>
      <c r="O445" s="76" t="str">
        <f>IF(AND(OR(E445="Calendrier",E445="Au premier des deux"),N(F445)&gt;0,IF(N(M445)&gt;0,M445,IFERROR(N(INDEX(eq_start,MATCH(B445,eq_code,0))),0))&gt;0),IF(N(M445)&gt;0,M445,IFERROR(N(INDEX(eq_start,MATCH(B445,eq_code,0))),0))+F445,"")</f>
        <v/>
      </c>
      <c r="P445" s="75" t="str">
        <f>IF(AND(OR(E445="Compteur",E445="Au premier des deux"),N(G445)&gt;0),N(N445)+G445,"")</f>
        <v/>
      </c>
      <c r="Q445" s="75" t="str">
        <f>IF(B445="","",IFERROR(N(INDEX(eq_cnt,MATCH(B445,eq_code,0))),""))</f>
        <v/>
      </c>
      <c r="R445" s="77" t="str">
        <f>IF(ISNUMBER(O445),O445-p_today,"")</f>
        <v/>
      </c>
      <c r="S445" s="78" t="str">
        <f>IF(AND(ISNUMBER(P445),N(Q445)&gt;0),P445-Q445,"")</f>
        <v/>
      </c>
      <c r="T445" s="76" t="str">
        <f>IF(AND(ISNUMBER(O445),ISNUMBER(X445)),MIN(O445,X445),IF(ISNUMBER(O445),O445,X445))</f>
        <v/>
      </c>
      <c r="U445" s="79" t="str">
        <f>IF(AND(A445="",B445="",D445=""),"",IF(L445="Non","Inactif",IF(AND(NOT(ISNUMBER(R445)),NOT(ISNUMBER(S445))),"À compléter",IF(OR(AND(ISNUMBER(R445),N(R445)&lt;0),AND(ISNUMBER(S445),N(S445)&lt;0)),"En retard",IF(OR(AND(ISNUMBER(R445),N(R445)&lt;=p_soon),AND(ISNUMBER(S445),N(S445)&lt;=p_soon_pct*N(G445))),"Bientôt","À jour")))))</f>
        <v/>
      </c>
      <c r="V445" s="79" t="str">
        <f>IF(AND(A445="",B445="",D445=""),"",IF(A445="","N° de plan manquant",IF(COUNTIF($A$6:$A$505,A445)&gt;1,"N° de plan en double",IF(B445="","Équipement manquant",IF(ISNA(MATCH(B445,eq_code,0)),"Équipement inconnu",IF(D445="","Tâche manquante",IF(E445="","Déclenchement manquant",IF(AND(E445&lt;&gt;"Calendrier",E445&lt;&gt;"Compteur",E445&lt;&gt;"Au premier des deux"),"Déclenchement inconnu",IF(AND(E445&lt;&gt;"Compteur",OR(NOT(ISNUMBER(F445)),N(F445)&lt;=0)),"Périodicité en jours manquante",IF(AND(E445&lt;&gt;"Calendrier",OR(NOT(ISNUMBER(G445)),N(G445)&lt;=0)),"Périodicité compteur manquante",IF(AND(J445&lt;&gt;"",OR(NOT(ISNUMBER(J445)),N(J445)&lt;=0)),"Date de réalisation invalide",IF(AND(K445&lt;&gt;"",OR(NOT(ISNUMBER(K445)),N(K445)&lt;0)),"Compteur de réalisation invalide",IF(AND(E445&lt;&gt;"Compteur",N(M445)=0,IFERROR(N(INDEX(eq_start,MATCH(B445,eq_code,0))),0)=0),"Date de départ manquante",IF(AND(E445&lt;&gt;"Calendrier",K445="",N(N445)=0),"Compteur de départ manquant",IF(AND(E445&lt;&gt;"Calendrier",N(Q445)=0),"Relevé compteur manquant (Équipements)",IF(AND(I445&lt;&gt;"",ISNA(MATCH(I445,tech_name,0))),"Technicien inconnu",IF(AND(L445&lt;&gt;"",L445&lt;&gt;"Oui",L445&lt;&gt;"Non"),"Actif : Oui ou Non","OK")))))))))))))))))</f>
        <v/>
      </c>
      <c r="W445" s="67">
        <f>IFERROR(N(INDEX(eq_use,MATCH(B445,eq_code,0))),0)</f>
        <v>0.0</v>
      </c>
      <c r="X445" s="67" t="str">
        <f>IF(AND(ISNUMBER(S445),W445&gt;0),p_today+MAX(0,ROUNDUP(S445*7/W445,0)),"")</f>
        <v/>
      </c>
      <c r="Y445" s="67" t="str">
        <f>IF(AND(ISNUMBER(T445),OR(U445="En retard",U445="Bientôt",U445="À jour")),IF(AND(ISNUMBER(O445),ISNUMBER(X445)),MIN(F445,G445*7/W445),IF(ISNUMBER(O445),F445,G445*7/W445)),"")</f>
        <v/>
      </c>
      <c r="Z445" s="67" t="str">
        <f>IF(OR(U445="En retard",U445="Bientôt"),IF(U445="En retard",0,1)*1000000000+IF(AB445="A",0,IF(AB445="B",1,IF(AB445="C",2,3)))*100000000+IF(ISNUMBER(T445),T445,p_today)*1000+ROW()-5,"")</f>
        <v/>
      </c>
      <c r="AA445" s="67" t="str">
        <f>IF(Z445="","",COUNTIF($Z$6:$Z$505,"&lt;"&amp;Z445)+1)</f>
        <v/>
      </c>
      <c r="AB445" s="67" t="str">
        <f>IFERROR(INDEX(eq_crit,MATCH(B445,eq_code,0))&amp;"","")</f>
        <v/>
      </c>
    </row>
    <row r="446">
      <c r="A446" s="65" t="n"/>
      <c r="B446" s="66" t="n"/>
      <c r="C446" s="67" t="str">
        <f>IF(B446="","",IFERROR(INDEX(eq_des,MATCH(B446,eq_code,0))&amp;"","Équipement inconnu"))</f>
        <v/>
      </c>
      <c r="D446" s="66" t="n"/>
      <c r="E446" s="68" t="n"/>
      <c r="F446" s="69" t="n"/>
      <c r="G446" s="70" t="n"/>
      <c r="H446" s="71" t="n"/>
      <c r="I446" s="66" t="n"/>
      <c r="J446" s="72" t="n"/>
      <c r="K446" s="73" t="n"/>
      <c r="L446" s="68" t="n"/>
      <c r="M446" s="74" t="str">
        <f>IF(AND(A446="",B446="",D446=""),"",MAX(N(J446),IF(A446="",0,SUMPRODUCT(MAX((in_plan=A446)*in_prev*in_dnum)))))</f>
        <v/>
      </c>
      <c r="N446" s="75" t="str">
        <f>IF(AND(A446="",B446="",D446=""),"",MAX(N(K446),IF(A446="",0,SUMPRODUCT(MAX((in_plan=A446)*in_prev*in_cnum)))))</f>
        <v/>
      </c>
      <c r="O446" s="76" t="str">
        <f>IF(AND(OR(E446="Calendrier",E446="Au premier des deux"),N(F446)&gt;0,IF(N(M446)&gt;0,M446,IFERROR(N(INDEX(eq_start,MATCH(B446,eq_code,0))),0))&gt;0),IF(N(M446)&gt;0,M446,IFERROR(N(INDEX(eq_start,MATCH(B446,eq_code,0))),0))+F446,"")</f>
        <v/>
      </c>
      <c r="P446" s="75" t="str">
        <f>IF(AND(OR(E446="Compteur",E446="Au premier des deux"),N(G446)&gt;0),N(N446)+G446,"")</f>
        <v/>
      </c>
      <c r="Q446" s="75" t="str">
        <f>IF(B446="","",IFERROR(N(INDEX(eq_cnt,MATCH(B446,eq_code,0))),""))</f>
        <v/>
      </c>
      <c r="R446" s="77" t="str">
        <f>IF(ISNUMBER(O446),O446-p_today,"")</f>
        <v/>
      </c>
      <c r="S446" s="78" t="str">
        <f>IF(AND(ISNUMBER(P446),N(Q446)&gt;0),P446-Q446,"")</f>
        <v/>
      </c>
      <c r="T446" s="76" t="str">
        <f>IF(AND(ISNUMBER(O446),ISNUMBER(X446)),MIN(O446,X446),IF(ISNUMBER(O446),O446,X446))</f>
        <v/>
      </c>
      <c r="U446" s="79" t="str">
        <f>IF(AND(A446="",B446="",D446=""),"",IF(L446="Non","Inactif",IF(AND(NOT(ISNUMBER(R446)),NOT(ISNUMBER(S446))),"À compléter",IF(OR(AND(ISNUMBER(R446),N(R446)&lt;0),AND(ISNUMBER(S446),N(S446)&lt;0)),"En retard",IF(OR(AND(ISNUMBER(R446),N(R446)&lt;=p_soon),AND(ISNUMBER(S446),N(S446)&lt;=p_soon_pct*N(G446))),"Bientôt","À jour")))))</f>
        <v/>
      </c>
      <c r="V446" s="79" t="str">
        <f>IF(AND(A446="",B446="",D446=""),"",IF(A446="","N° de plan manquant",IF(COUNTIF($A$6:$A$505,A446)&gt;1,"N° de plan en double",IF(B446="","Équipement manquant",IF(ISNA(MATCH(B446,eq_code,0)),"Équipement inconnu",IF(D446="","Tâche manquante",IF(E446="","Déclenchement manquant",IF(AND(E446&lt;&gt;"Calendrier",E446&lt;&gt;"Compteur",E446&lt;&gt;"Au premier des deux"),"Déclenchement inconnu",IF(AND(E446&lt;&gt;"Compteur",OR(NOT(ISNUMBER(F446)),N(F446)&lt;=0)),"Périodicité en jours manquante",IF(AND(E446&lt;&gt;"Calendrier",OR(NOT(ISNUMBER(G446)),N(G446)&lt;=0)),"Périodicité compteur manquante",IF(AND(J446&lt;&gt;"",OR(NOT(ISNUMBER(J446)),N(J446)&lt;=0)),"Date de réalisation invalide",IF(AND(K446&lt;&gt;"",OR(NOT(ISNUMBER(K446)),N(K446)&lt;0)),"Compteur de réalisation invalide",IF(AND(E446&lt;&gt;"Compteur",N(M446)=0,IFERROR(N(INDEX(eq_start,MATCH(B446,eq_code,0))),0)=0),"Date de départ manquante",IF(AND(E446&lt;&gt;"Calendrier",K446="",N(N446)=0),"Compteur de départ manquant",IF(AND(E446&lt;&gt;"Calendrier",N(Q446)=0),"Relevé compteur manquant (Équipements)",IF(AND(I446&lt;&gt;"",ISNA(MATCH(I446,tech_name,0))),"Technicien inconnu",IF(AND(L446&lt;&gt;"",L446&lt;&gt;"Oui",L446&lt;&gt;"Non"),"Actif : Oui ou Non","OK")))))))))))))))))</f>
        <v/>
      </c>
      <c r="W446" s="67">
        <f>IFERROR(N(INDEX(eq_use,MATCH(B446,eq_code,0))),0)</f>
        <v>0.0</v>
      </c>
      <c r="X446" s="67" t="str">
        <f>IF(AND(ISNUMBER(S446),W446&gt;0),p_today+MAX(0,ROUNDUP(S446*7/W446,0)),"")</f>
        <v/>
      </c>
      <c r="Y446" s="67" t="str">
        <f>IF(AND(ISNUMBER(T446),OR(U446="En retard",U446="Bientôt",U446="À jour")),IF(AND(ISNUMBER(O446),ISNUMBER(X446)),MIN(F446,G446*7/W446),IF(ISNUMBER(O446),F446,G446*7/W446)),"")</f>
        <v/>
      </c>
      <c r="Z446" s="67" t="str">
        <f>IF(OR(U446="En retard",U446="Bientôt"),IF(U446="En retard",0,1)*1000000000+IF(AB446="A",0,IF(AB446="B",1,IF(AB446="C",2,3)))*100000000+IF(ISNUMBER(T446),T446,p_today)*1000+ROW()-5,"")</f>
        <v/>
      </c>
      <c r="AA446" s="67" t="str">
        <f>IF(Z446="","",COUNTIF($Z$6:$Z$505,"&lt;"&amp;Z446)+1)</f>
        <v/>
      </c>
      <c r="AB446" s="67" t="str">
        <f>IFERROR(INDEX(eq_crit,MATCH(B446,eq_code,0))&amp;"","")</f>
        <v/>
      </c>
    </row>
    <row r="447">
      <c r="A447" s="65" t="n"/>
      <c r="B447" s="66" t="n"/>
      <c r="C447" s="67" t="str">
        <f>IF(B447="","",IFERROR(INDEX(eq_des,MATCH(B447,eq_code,0))&amp;"","Équipement inconnu"))</f>
        <v/>
      </c>
      <c r="D447" s="66" t="n"/>
      <c r="E447" s="68" t="n"/>
      <c r="F447" s="69" t="n"/>
      <c r="G447" s="70" t="n"/>
      <c r="H447" s="71" t="n"/>
      <c r="I447" s="66" t="n"/>
      <c r="J447" s="72" t="n"/>
      <c r="K447" s="73" t="n"/>
      <c r="L447" s="68" t="n"/>
      <c r="M447" s="74" t="str">
        <f>IF(AND(A447="",B447="",D447=""),"",MAX(N(J447),IF(A447="",0,SUMPRODUCT(MAX((in_plan=A447)*in_prev*in_dnum)))))</f>
        <v/>
      </c>
      <c r="N447" s="75" t="str">
        <f>IF(AND(A447="",B447="",D447=""),"",MAX(N(K447),IF(A447="",0,SUMPRODUCT(MAX((in_plan=A447)*in_prev*in_cnum)))))</f>
        <v/>
      </c>
      <c r="O447" s="76" t="str">
        <f>IF(AND(OR(E447="Calendrier",E447="Au premier des deux"),N(F447)&gt;0,IF(N(M447)&gt;0,M447,IFERROR(N(INDEX(eq_start,MATCH(B447,eq_code,0))),0))&gt;0),IF(N(M447)&gt;0,M447,IFERROR(N(INDEX(eq_start,MATCH(B447,eq_code,0))),0))+F447,"")</f>
        <v/>
      </c>
      <c r="P447" s="75" t="str">
        <f>IF(AND(OR(E447="Compteur",E447="Au premier des deux"),N(G447)&gt;0),N(N447)+G447,"")</f>
        <v/>
      </c>
      <c r="Q447" s="75" t="str">
        <f>IF(B447="","",IFERROR(N(INDEX(eq_cnt,MATCH(B447,eq_code,0))),""))</f>
        <v/>
      </c>
      <c r="R447" s="77" t="str">
        <f>IF(ISNUMBER(O447),O447-p_today,"")</f>
        <v/>
      </c>
      <c r="S447" s="78" t="str">
        <f>IF(AND(ISNUMBER(P447),N(Q447)&gt;0),P447-Q447,"")</f>
        <v/>
      </c>
      <c r="T447" s="76" t="str">
        <f>IF(AND(ISNUMBER(O447),ISNUMBER(X447)),MIN(O447,X447),IF(ISNUMBER(O447),O447,X447))</f>
        <v/>
      </c>
      <c r="U447" s="79" t="str">
        <f>IF(AND(A447="",B447="",D447=""),"",IF(L447="Non","Inactif",IF(AND(NOT(ISNUMBER(R447)),NOT(ISNUMBER(S447))),"À compléter",IF(OR(AND(ISNUMBER(R447),N(R447)&lt;0),AND(ISNUMBER(S447),N(S447)&lt;0)),"En retard",IF(OR(AND(ISNUMBER(R447),N(R447)&lt;=p_soon),AND(ISNUMBER(S447),N(S447)&lt;=p_soon_pct*N(G447))),"Bientôt","À jour")))))</f>
        <v/>
      </c>
      <c r="V447" s="79" t="str">
        <f>IF(AND(A447="",B447="",D447=""),"",IF(A447="","N° de plan manquant",IF(COUNTIF($A$6:$A$505,A447)&gt;1,"N° de plan en double",IF(B447="","Équipement manquant",IF(ISNA(MATCH(B447,eq_code,0)),"Équipement inconnu",IF(D447="","Tâche manquante",IF(E447="","Déclenchement manquant",IF(AND(E447&lt;&gt;"Calendrier",E447&lt;&gt;"Compteur",E447&lt;&gt;"Au premier des deux"),"Déclenchement inconnu",IF(AND(E447&lt;&gt;"Compteur",OR(NOT(ISNUMBER(F447)),N(F447)&lt;=0)),"Périodicité en jours manquante",IF(AND(E447&lt;&gt;"Calendrier",OR(NOT(ISNUMBER(G447)),N(G447)&lt;=0)),"Périodicité compteur manquante",IF(AND(J447&lt;&gt;"",OR(NOT(ISNUMBER(J447)),N(J447)&lt;=0)),"Date de réalisation invalide",IF(AND(K447&lt;&gt;"",OR(NOT(ISNUMBER(K447)),N(K447)&lt;0)),"Compteur de réalisation invalide",IF(AND(E447&lt;&gt;"Compteur",N(M447)=0,IFERROR(N(INDEX(eq_start,MATCH(B447,eq_code,0))),0)=0),"Date de départ manquante",IF(AND(E447&lt;&gt;"Calendrier",K447="",N(N447)=0),"Compteur de départ manquant",IF(AND(E447&lt;&gt;"Calendrier",N(Q447)=0),"Relevé compteur manquant (Équipements)",IF(AND(I447&lt;&gt;"",ISNA(MATCH(I447,tech_name,0))),"Technicien inconnu",IF(AND(L447&lt;&gt;"",L447&lt;&gt;"Oui",L447&lt;&gt;"Non"),"Actif : Oui ou Non","OK")))))))))))))))))</f>
        <v/>
      </c>
      <c r="W447" s="67">
        <f>IFERROR(N(INDEX(eq_use,MATCH(B447,eq_code,0))),0)</f>
        <v>0.0</v>
      </c>
      <c r="X447" s="67" t="str">
        <f>IF(AND(ISNUMBER(S447),W447&gt;0),p_today+MAX(0,ROUNDUP(S447*7/W447,0)),"")</f>
        <v/>
      </c>
      <c r="Y447" s="67" t="str">
        <f>IF(AND(ISNUMBER(T447),OR(U447="En retard",U447="Bientôt",U447="À jour")),IF(AND(ISNUMBER(O447),ISNUMBER(X447)),MIN(F447,G447*7/W447),IF(ISNUMBER(O447),F447,G447*7/W447)),"")</f>
        <v/>
      </c>
      <c r="Z447" s="67" t="str">
        <f>IF(OR(U447="En retard",U447="Bientôt"),IF(U447="En retard",0,1)*1000000000+IF(AB447="A",0,IF(AB447="B",1,IF(AB447="C",2,3)))*100000000+IF(ISNUMBER(T447),T447,p_today)*1000+ROW()-5,"")</f>
        <v/>
      </c>
      <c r="AA447" s="67" t="str">
        <f>IF(Z447="","",COUNTIF($Z$6:$Z$505,"&lt;"&amp;Z447)+1)</f>
        <v/>
      </c>
      <c r="AB447" s="67" t="str">
        <f>IFERROR(INDEX(eq_crit,MATCH(B447,eq_code,0))&amp;"","")</f>
        <v/>
      </c>
    </row>
    <row r="448">
      <c r="A448" s="65" t="n"/>
      <c r="B448" s="66" t="n"/>
      <c r="C448" s="67" t="str">
        <f>IF(B448="","",IFERROR(INDEX(eq_des,MATCH(B448,eq_code,0))&amp;"","Équipement inconnu"))</f>
        <v/>
      </c>
      <c r="D448" s="66" t="n"/>
      <c r="E448" s="68" t="n"/>
      <c r="F448" s="69" t="n"/>
      <c r="G448" s="70" t="n"/>
      <c r="H448" s="71" t="n"/>
      <c r="I448" s="66" t="n"/>
      <c r="J448" s="72" t="n"/>
      <c r="K448" s="73" t="n"/>
      <c r="L448" s="68" t="n"/>
      <c r="M448" s="74" t="str">
        <f>IF(AND(A448="",B448="",D448=""),"",MAX(N(J448),IF(A448="",0,SUMPRODUCT(MAX((in_plan=A448)*in_prev*in_dnum)))))</f>
        <v/>
      </c>
      <c r="N448" s="75" t="str">
        <f>IF(AND(A448="",B448="",D448=""),"",MAX(N(K448),IF(A448="",0,SUMPRODUCT(MAX((in_plan=A448)*in_prev*in_cnum)))))</f>
        <v/>
      </c>
      <c r="O448" s="76" t="str">
        <f>IF(AND(OR(E448="Calendrier",E448="Au premier des deux"),N(F448)&gt;0,IF(N(M448)&gt;0,M448,IFERROR(N(INDEX(eq_start,MATCH(B448,eq_code,0))),0))&gt;0),IF(N(M448)&gt;0,M448,IFERROR(N(INDEX(eq_start,MATCH(B448,eq_code,0))),0))+F448,"")</f>
        <v/>
      </c>
      <c r="P448" s="75" t="str">
        <f>IF(AND(OR(E448="Compteur",E448="Au premier des deux"),N(G448)&gt;0),N(N448)+G448,"")</f>
        <v/>
      </c>
      <c r="Q448" s="75" t="str">
        <f>IF(B448="","",IFERROR(N(INDEX(eq_cnt,MATCH(B448,eq_code,0))),""))</f>
        <v/>
      </c>
      <c r="R448" s="77" t="str">
        <f>IF(ISNUMBER(O448),O448-p_today,"")</f>
        <v/>
      </c>
      <c r="S448" s="78" t="str">
        <f>IF(AND(ISNUMBER(P448),N(Q448)&gt;0),P448-Q448,"")</f>
        <v/>
      </c>
      <c r="T448" s="76" t="str">
        <f>IF(AND(ISNUMBER(O448),ISNUMBER(X448)),MIN(O448,X448),IF(ISNUMBER(O448),O448,X448))</f>
        <v/>
      </c>
      <c r="U448" s="79" t="str">
        <f>IF(AND(A448="",B448="",D448=""),"",IF(L448="Non","Inactif",IF(AND(NOT(ISNUMBER(R448)),NOT(ISNUMBER(S448))),"À compléter",IF(OR(AND(ISNUMBER(R448),N(R448)&lt;0),AND(ISNUMBER(S448),N(S448)&lt;0)),"En retard",IF(OR(AND(ISNUMBER(R448),N(R448)&lt;=p_soon),AND(ISNUMBER(S448),N(S448)&lt;=p_soon_pct*N(G448))),"Bientôt","À jour")))))</f>
        <v/>
      </c>
      <c r="V448" s="79" t="str">
        <f>IF(AND(A448="",B448="",D448=""),"",IF(A448="","N° de plan manquant",IF(COUNTIF($A$6:$A$505,A448)&gt;1,"N° de plan en double",IF(B448="","Équipement manquant",IF(ISNA(MATCH(B448,eq_code,0)),"Équipement inconnu",IF(D448="","Tâche manquante",IF(E448="","Déclenchement manquant",IF(AND(E448&lt;&gt;"Calendrier",E448&lt;&gt;"Compteur",E448&lt;&gt;"Au premier des deux"),"Déclenchement inconnu",IF(AND(E448&lt;&gt;"Compteur",OR(NOT(ISNUMBER(F448)),N(F448)&lt;=0)),"Périodicité en jours manquante",IF(AND(E448&lt;&gt;"Calendrier",OR(NOT(ISNUMBER(G448)),N(G448)&lt;=0)),"Périodicité compteur manquante",IF(AND(J448&lt;&gt;"",OR(NOT(ISNUMBER(J448)),N(J448)&lt;=0)),"Date de réalisation invalide",IF(AND(K448&lt;&gt;"",OR(NOT(ISNUMBER(K448)),N(K448)&lt;0)),"Compteur de réalisation invalide",IF(AND(E448&lt;&gt;"Compteur",N(M448)=0,IFERROR(N(INDEX(eq_start,MATCH(B448,eq_code,0))),0)=0),"Date de départ manquante",IF(AND(E448&lt;&gt;"Calendrier",K448="",N(N448)=0),"Compteur de départ manquant",IF(AND(E448&lt;&gt;"Calendrier",N(Q448)=0),"Relevé compteur manquant (Équipements)",IF(AND(I448&lt;&gt;"",ISNA(MATCH(I448,tech_name,0))),"Technicien inconnu",IF(AND(L448&lt;&gt;"",L448&lt;&gt;"Oui",L448&lt;&gt;"Non"),"Actif : Oui ou Non","OK")))))))))))))))))</f>
        <v/>
      </c>
      <c r="W448" s="67">
        <f>IFERROR(N(INDEX(eq_use,MATCH(B448,eq_code,0))),0)</f>
        <v>0.0</v>
      </c>
      <c r="X448" s="67" t="str">
        <f>IF(AND(ISNUMBER(S448),W448&gt;0),p_today+MAX(0,ROUNDUP(S448*7/W448,0)),"")</f>
        <v/>
      </c>
      <c r="Y448" s="67" t="str">
        <f>IF(AND(ISNUMBER(T448),OR(U448="En retard",U448="Bientôt",U448="À jour")),IF(AND(ISNUMBER(O448),ISNUMBER(X448)),MIN(F448,G448*7/W448),IF(ISNUMBER(O448),F448,G448*7/W448)),"")</f>
        <v/>
      </c>
      <c r="Z448" s="67" t="str">
        <f>IF(OR(U448="En retard",U448="Bientôt"),IF(U448="En retard",0,1)*1000000000+IF(AB448="A",0,IF(AB448="B",1,IF(AB448="C",2,3)))*100000000+IF(ISNUMBER(T448),T448,p_today)*1000+ROW()-5,"")</f>
        <v/>
      </c>
      <c r="AA448" s="67" t="str">
        <f>IF(Z448="","",COUNTIF($Z$6:$Z$505,"&lt;"&amp;Z448)+1)</f>
        <v/>
      </c>
      <c r="AB448" s="67" t="str">
        <f>IFERROR(INDEX(eq_crit,MATCH(B448,eq_code,0))&amp;"","")</f>
        <v/>
      </c>
    </row>
    <row r="449">
      <c r="A449" s="65" t="n"/>
      <c r="B449" s="66" t="n"/>
      <c r="C449" s="67" t="str">
        <f>IF(B449="","",IFERROR(INDEX(eq_des,MATCH(B449,eq_code,0))&amp;"","Équipement inconnu"))</f>
        <v/>
      </c>
      <c r="D449" s="66" t="n"/>
      <c r="E449" s="68" t="n"/>
      <c r="F449" s="69" t="n"/>
      <c r="G449" s="70" t="n"/>
      <c r="H449" s="71" t="n"/>
      <c r="I449" s="66" t="n"/>
      <c r="J449" s="72" t="n"/>
      <c r="K449" s="73" t="n"/>
      <c r="L449" s="68" t="n"/>
      <c r="M449" s="74" t="str">
        <f>IF(AND(A449="",B449="",D449=""),"",MAX(N(J449),IF(A449="",0,SUMPRODUCT(MAX((in_plan=A449)*in_prev*in_dnum)))))</f>
        <v/>
      </c>
      <c r="N449" s="75" t="str">
        <f>IF(AND(A449="",B449="",D449=""),"",MAX(N(K449),IF(A449="",0,SUMPRODUCT(MAX((in_plan=A449)*in_prev*in_cnum)))))</f>
        <v/>
      </c>
      <c r="O449" s="76" t="str">
        <f>IF(AND(OR(E449="Calendrier",E449="Au premier des deux"),N(F449)&gt;0,IF(N(M449)&gt;0,M449,IFERROR(N(INDEX(eq_start,MATCH(B449,eq_code,0))),0))&gt;0),IF(N(M449)&gt;0,M449,IFERROR(N(INDEX(eq_start,MATCH(B449,eq_code,0))),0))+F449,"")</f>
        <v/>
      </c>
      <c r="P449" s="75" t="str">
        <f>IF(AND(OR(E449="Compteur",E449="Au premier des deux"),N(G449)&gt;0),N(N449)+G449,"")</f>
        <v/>
      </c>
      <c r="Q449" s="75" t="str">
        <f>IF(B449="","",IFERROR(N(INDEX(eq_cnt,MATCH(B449,eq_code,0))),""))</f>
        <v/>
      </c>
      <c r="R449" s="77" t="str">
        <f>IF(ISNUMBER(O449),O449-p_today,"")</f>
        <v/>
      </c>
      <c r="S449" s="78" t="str">
        <f>IF(AND(ISNUMBER(P449),N(Q449)&gt;0),P449-Q449,"")</f>
        <v/>
      </c>
      <c r="T449" s="76" t="str">
        <f>IF(AND(ISNUMBER(O449),ISNUMBER(X449)),MIN(O449,X449),IF(ISNUMBER(O449),O449,X449))</f>
        <v/>
      </c>
      <c r="U449" s="79" t="str">
        <f>IF(AND(A449="",B449="",D449=""),"",IF(L449="Non","Inactif",IF(AND(NOT(ISNUMBER(R449)),NOT(ISNUMBER(S449))),"À compléter",IF(OR(AND(ISNUMBER(R449),N(R449)&lt;0),AND(ISNUMBER(S449),N(S449)&lt;0)),"En retard",IF(OR(AND(ISNUMBER(R449),N(R449)&lt;=p_soon),AND(ISNUMBER(S449),N(S449)&lt;=p_soon_pct*N(G449))),"Bientôt","À jour")))))</f>
        <v/>
      </c>
      <c r="V449" s="79" t="str">
        <f>IF(AND(A449="",B449="",D449=""),"",IF(A449="","N° de plan manquant",IF(COUNTIF($A$6:$A$505,A449)&gt;1,"N° de plan en double",IF(B449="","Équipement manquant",IF(ISNA(MATCH(B449,eq_code,0)),"Équipement inconnu",IF(D449="","Tâche manquante",IF(E449="","Déclenchement manquant",IF(AND(E449&lt;&gt;"Calendrier",E449&lt;&gt;"Compteur",E449&lt;&gt;"Au premier des deux"),"Déclenchement inconnu",IF(AND(E449&lt;&gt;"Compteur",OR(NOT(ISNUMBER(F449)),N(F449)&lt;=0)),"Périodicité en jours manquante",IF(AND(E449&lt;&gt;"Calendrier",OR(NOT(ISNUMBER(G449)),N(G449)&lt;=0)),"Périodicité compteur manquante",IF(AND(J449&lt;&gt;"",OR(NOT(ISNUMBER(J449)),N(J449)&lt;=0)),"Date de réalisation invalide",IF(AND(K449&lt;&gt;"",OR(NOT(ISNUMBER(K449)),N(K449)&lt;0)),"Compteur de réalisation invalide",IF(AND(E449&lt;&gt;"Compteur",N(M449)=0,IFERROR(N(INDEX(eq_start,MATCH(B449,eq_code,0))),0)=0),"Date de départ manquante",IF(AND(E449&lt;&gt;"Calendrier",K449="",N(N449)=0),"Compteur de départ manquant",IF(AND(E449&lt;&gt;"Calendrier",N(Q449)=0),"Relevé compteur manquant (Équipements)",IF(AND(I449&lt;&gt;"",ISNA(MATCH(I449,tech_name,0))),"Technicien inconnu",IF(AND(L449&lt;&gt;"",L449&lt;&gt;"Oui",L449&lt;&gt;"Non"),"Actif : Oui ou Non","OK")))))))))))))))))</f>
        <v/>
      </c>
      <c r="W449" s="67">
        <f>IFERROR(N(INDEX(eq_use,MATCH(B449,eq_code,0))),0)</f>
        <v>0.0</v>
      </c>
      <c r="X449" s="67" t="str">
        <f>IF(AND(ISNUMBER(S449),W449&gt;0),p_today+MAX(0,ROUNDUP(S449*7/W449,0)),"")</f>
        <v/>
      </c>
      <c r="Y449" s="67" t="str">
        <f>IF(AND(ISNUMBER(T449),OR(U449="En retard",U449="Bientôt",U449="À jour")),IF(AND(ISNUMBER(O449),ISNUMBER(X449)),MIN(F449,G449*7/W449),IF(ISNUMBER(O449),F449,G449*7/W449)),"")</f>
        <v/>
      </c>
      <c r="Z449" s="67" t="str">
        <f>IF(OR(U449="En retard",U449="Bientôt"),IF(U449="En retard",0,1)*1000000000+IF(AB449="A",0,IF(AB449="B",1,IF(AB449="C",2,3)))*100000000+IF(ISNUMBER(T449),T449,p_today)*1000+ROW()-5,"")</f>
        <v/>
      </c>
      <c r="AA449" s="67" t="str">
        <f>IF(Z449="","",COUNTIF($Z$6:$Z$505,"&lt;"&amp;Z449)+1)</f>
        <v/>
      </c>
      <c r="AB449" s="67" t="str">
        <f>IFERROR(INDEX(eq_crit,MATCH(B449,eq_code,0))&amp;"","")</f>
        <v/>
      </c>
    </row>
    <row r="450">
      <c r="A450" s="65" t="n"/>
      <c r="B450" s="66" t="n"/>
      <c r="C450" s="67" t="str">
        <f>IF(B450="","",IFERROR(INDEX(eq_des,MATCH(B450,eq_code,0))&amp;"","Équipement inconnu"))</f>
        <v/>
      </c>
      <c r="D450" s="66" t="n"/>
      <c r="E450" s="68" t="n"/>
      <c r="F450" s="69" t="n"/>
      <c r="G450" s="70" t="n"/>
      <c r="H450" s="71" t="n"/>
      <c r="I450" s="66" t="n"/>
      <c r="J450" s="72" t="n"/>
      <c r="K450" s="73" t="n"/>
      <c r="L450" s="68" t="n"/>
      <c r="M450" s="74" t="str">
        <f>IF(AND(A450="",B450="",D450=""),"",MAX(N(J450),IF(A450="",0,SUMPRODUCT(MAX((in_plan=A450)*in_prev*in_dnum)))))</f>
        <v/>
      </c>
      <c r="N450" s="75" t="str">
        <f>IF(AND(A450="",B450="",D450=""),"",MAX(N(K450),IF(A450="",0,SUMPRODUCT(MAX((in_plan=A450)*in_prev*in_cnum)))))</f>
        <v/>
      </c>
      <c r="O450" s="76" t="str">
        <f>IF(AND(OR(E450="Calendrier",E450="Au premier des deux"),N(F450)&gt;0,IF(N(M450)&gt;0,M450,IFERROR(N(INDEX(eq_start,MATCH(B450,eq_code,0))),0))&gt;0),IF(N(M450)&gt;0,M450,IFERROR(N(INDEX(eq_start,MATCH(B450,eq_code,0))),0))+F450,"")</f>
        <v/>
      </c>
      <c r="P450" s="75" t="str">
        <f>IF(AND(OR(E450="Compteur",E450="Au premier des deux"),N(G450)&gt;0),N(N450)+G450,"")</f>
        <v/>
      </c>
      <c r="Q450" s="75" t="str">
        <f>IF(B450="","",IFERROR(N(INDEX(eq_cnt,MATCH(B450,eq_code,0))),""))</f>
        <v/>
      </c>
      <c r="R450" s="77" t="str">
        <f>IF(ISNUMBER(O450),O450-p_today,"")</f>
        <v/>
      </c>
      <c r="S450" s="78" t="str">
        <f>IF(AND(ISNUMBER(P450),N(Q450)&gt;0),P450-Q450,"")</f>
        <v/>
      </c>
      <c r="T450" s="76" t="str">
        <f>IF(AND(ISNUMBER(O450),ISNUMBER(X450)),MIN(O450,X450),IF(ISNUMBER(O450),O450,X450))</f>
        <v/>
      </c>
      <c r="U450" s="79" t="str">
        <f>IF(AND(A450="",B450="",D450=""),"",IF(L450="Non","Inactif",IF(AND(NOT(ISNUMBER(R450)),NOT(ISNUMBER(S450))),"À compléter",IF(OR(AND(ISNUMBER(R450),N(R450)&lt;0),AND(ISNUMBER(S450),N(S450)&lt;0)),"En retard",IF(OR(AND(ISNUMBER(R450),N(R450)&lt;=p_soon),AND(ISNUMBER(S450),N(S450)&lt;=p_soon_pct*N(G450))),"Bientôt","À jour")))))</f>
        <v/>
      </c>
      <c r="V450" s="79" t="str">
        <f>IF(AND(A450="",B450="",D450=""),"",IF(A450="","N° de plan manquant",IF(COUNTIF($A$6:$A$505,A450)&gt;1,"N° de plan en double",IF(B450="","Équipement manquant",IF(ISNA(MATCH(B450,eq_code,0)),"Équipement inconnu",IF(D450="","Tâche manquante",IF(E450="","Déclenchement manquant",IF(AND(E450&lt;&gt;"Calendrier",E450&lt;&gt;"Compteur",E450&lt;&gt;"Au premier des deux"),"Déclenchement inconnu",IF(AND(E450&lt;&gt;"Compteur",OR(NOT(ISNUMBER(F450)),N(F450)&lt;=0)),"Périodicité en jours manquante",IF(AND(E450&lt;&gt;"Calendrier",OR(NOT(ISNUMBER(G450)),N(G450)&lt;=0)),"Périodicité compteur manquante",IF(AND(J450&lt;&gt;"",OR(NOT(ISNUMBER(J450)),N(J450)&lt;=0)),"Date de réalisation invalide",IF(AND(K450&lt;&gt;"",OR(NOT(ISNUMBER(K450)),N(K450)&lt;0)),"Compteur de réalisation invalide",IF(AND(E450&lt;&gt;"Compteur",N(M450)=0,IFERROR(N(INDEX(eq_start,MATCH(B450,eq_code,0))),0)=0),"Date de départ manquante",IF(AND(E450&lt;&gt;"Calendrier",K450="",N(N450)=0),"Compteur de départ manquant",IF(AND(E450&lt;&gt;"Calendrier",N(Q450)=0),"Relevé compteur manquant (Équipements)",IF(AND(I450&lt;&gt;"",ISNA(MATCH(I450,tech_name,0))),"Technicien inconnu",IF(AND(L450&lt;&gt;"",L450&lt;&gt;"Oui",L450&lt;&gt;"Non"),"Actif : Oui ou Non","OK")))))))))))))))))</f>
        <v/>
      </c>
      <c r="W450" s="67">
        <f>IFERROR(N(INDEX(eq_use,MATCH(B450,eq_code,0))),0)</f>
        <v>0.0</v>
      </c>
      <c r="X450" s="67" t="str">
        <f>IF(AND(ISNUMBER(S450),W450&gt;0),p_today+MAX(0,ROUNDUP(S450*7/W450,0)),"")</f>
        <v/>
      </c>
      <c r="Y450" s="67" t="str">
        <f>IF(AND(ISNUMBER(T450),OR(U450="En retard",U450="Bientôt",U450="À jour")),IF(AND(ISNUMBER(O450),ISNUMBER(X450)),MIN(F450,G450*7/W450),IF(ISNUMBER(O450),F450,G450*7/W450)),"")</f>
        <v/>
      </c>
      <c r="Z450" s="67" t="str">
        <f>IF(OR(U450="En retard",U450="Bientôt"),IF(U450="En retard",0,1)*1000000000+IF(AB450="A",0,IF(AB450="B",1,IF(AB450="C",2,3)))*100000000+IF(ISNUMBER(T450),T450,p_today)*1000+ROW()-5,"")</f>
        <v/>
      </c>
      <c r="AA450" s="67" t="str">
        <f>IF(Z450="","",COUNTIF($Z$6:$Z$505,"&lt;"&amp;Z450)+1)</f>
        <v/>
      </c>
      <c r="AB450" s="67" t="str">
        <f>IFERROR(INDEX(eq_crit,MATCH(B450,eq_code,0))&amp;"","")</f>
        <v/>
      </c>
    </row>
    <row r="451">
      <c r="A451" s="65" t="n"/>
      <c r="B451" s="66" t="n"/>
      <c r="C451" s="67" t="str">
        <f>IF(B451="","",IFERROR(INDEX(eq_des,MATCH(B451,eq_code,0))&amp;"","Équipement inconnu"))</f>
        <v/>
      </c>
      <c r="D451" s="66" t="n"/>
      <c r="E451" s="68" t="n"/>
      <c r="F451" s="69" t="n"/>
      <c r="G451" s="70" t="n"/>
      <c r="H451" s="71" t="n"/>
      <c r="I451" s="66" t="n"/>
      <c r="J451" s="72" t="n"/>
      <c r="K451" s="73" t="n"/>
      <c r="L451" s="68" t="n"/>
      <c r="M451" s="74" t="str">
        <f>IF(AND(A451="",B451="",D451=""),"",MAX(N(J451),IF(A451="",0,SUMPRODUCT(MAX((in_plan=A451)*in_prev*in_dnum)))))</f>
        <v/>
      </c>
      <c r="N451" s="75" t="str">
        <f>IF(AND(A451="",B451="",D451=""),"",MAX(N(K451),IF(A451="",0,SUMPRODUCT(MAX((in_plan=A451)*in_prev*in_cnum)))))</f>
        <v/>
      </c>
      <c r="O451" s="76" t="str">
        <f>IF(AND(OR(E451="Calendrier",E451="Au premier des deux"),N(F451)&gt;0,IF(N(M451)&gt;0,M451,IFERROR(N(INDEX(eq_start,MATCH(B451,eq_code,0))),0))&gt;0),IF(N(M451)&gt;0,M451,IFERROR(N(INDEX(eq_start,MATCH(B451,eq_code,0))),0))+F451,"")</f>
        <v/>
      </c>
      <c r="P451" s="75" t="str">
        <f>IF(AND(OR(E451="Compteur",E451="Au premier des deux"),N(G451)&gt;0),N(N451)+G451,"")</f>
        <v/>
      </c>
      <c r="Q451" s="75" t="str">
        <f>IF(B451="","",IFERROR(N(INDEX(eq_cnt,MATCH(B451,eq_code,0))),""))</f>
        <v/>
      </c>
      <c r="R451" s="77" t="str">
        <f>IF(ISNUMBER(O451),O451-p_today,"")</f>
        <v/>
      </c>
      <c r="S451" s="78" t="str">
        <f>IF(AND(ISNUMBER(P451),N(Q451)&gt;0),P451-Q451,"")</f>
        <v/>
      </c>
      <c r="T451" s="76" t="str">
        <f>IF(AND(ISNUMBER(O451),ISNUMBER(X451)),MIN(O451,X451),IF(ISNUMBER(O451),O451,X451))</f>
        <v/>
      </c>
      <c r="U451" s="79" t="str">
        <f>IF(AND(A451="",B451="",D451=""),"",IF(L451="Non","Inactif",IF(AND(NOT(ISNUMBER(R451)),NOT(ISNUMBER(S451))),"À compléter",IF(OR(AND(ISNUMBER(R451),N(R451)&lt;0),AND(ISNUMBER(S451),N(S451)&lt;0)),"En retard",IF(OR(AND(ISNUMBER(R451),N(R451)&lt;=p_soon),AND(ISNUMBER(S451),N(S451)&lt;=p_soon_pct*N(G451))),"Bientôt","À jour")))))</f>
        <v/>
      </c>
      <c r="V451" s="79" t="str">
        <f>IF(AND(A451="",B451="",D451=""),"",IF(A451="","N° de plan manquant",IF(COUNTIF($A$6:$A$505,A451)&gt;1,"N° de plan en double",IF(B451="","Équipement manquant",IF(ISNA(MATCH(B451,eq_code,0)),"Équipement inconnu",IF(D451="","Tâche manquante",IF(E451="","Déclenchement manquant",IF(AND(E451&lt;&gt;"Calendrier",E451&lt;&gt;"Compteur",E451&lt;&gt;"Au premier des deux"),"Déclenchement inconnu",IF(AND(E451&lt;&gt;"Compteur",OR(NOT(ISNUMBER(F451)),N(F451)&lt;=0)),"Périodicité en jours manquante",IF(AND(E451&lt;&gt;"Calendrier",OR(NOT(ISNUMBER(G451)),N(G451)&lt;=0)),"Périodicité compteur manquante",IF(AND(J451&lt;&gt;"",OR(NOT(ISNUMBER(J451)),N(J451)&lt;=0)),"Date de réalisation invalide",IF(AND(K451&lt;&gt;"",OR(NOT(ISNUMBER(K451)),N(K451)&lt;0)),"Compteur de réalisation invalide",IF(AND(E451&lt;&gt;"Compteur",N(M451)=0,IFERROR(N(INDEX(eq_start,MATCH(B451,eq_code,0))),0)=0),"Date de départ manquante",IF(AND(E451&lt;&gt;"Calendrier",K451="",N(N451)=0),"Compteur de départ manquant",IF(AND(E451&lt;&gt;"Calendrier",N(Q451)=0),"Relevé compteur manquant (Équipements)",IF(AND(I451&lt;&gt;"",ISNA(MATCH(I451,tech_name,0))),"Technicien inconnu",IF(AND(L451&lt;&gt;"",L451&lt;&gt;"Oui",L451&lt;&gt;"Non"),"Actif : Oui ou Non","OK")))))))))))))))))</f>
        <v/>
      </c>
      <c r="W451" s="67">
        <f>IFERROR(N(INDEX(eq_use,MATCH(B451,eq_code,0))),0)</f>
        <v>0.0</v>
      </c>
      <c r="X451" s="67" t="str">
        <f>IF(AND(ISNUMBER(S451),W451&gt;0),p_today+MAX(0,ROUNDUP(S451*7/W451,0)),"")</f>
        <v/>
      </c>
      <c r="Y451" s="67" t="str">
        <f>IF(AND(ISNUMBER(T451),OR(U451="En retard",U451="Bientôt",U451="À jour")),IF(AND(ISNUMBER(O451),ISNUMBER(X451)),MIN(F451,G451*7/W451),IF(ISNUMBER(O451),F451,G451*7/W451)),"")</f>
        <v/>
      </c>
      <c r="Z451" s="67" t="str">
        <f>IF(OR(U451="En retard",U451="Bientôt"),IF(U451="En retard",0,1)*1000000000+IF(AB451="A",0,IF(AB451="B",1,IF(AB451="C",2,3)))*100000000+IF(ISNUMBER(T451),T451,p_today)*1000+ROW()-5,"")</f>
        <v/>
      </c>
      <c r="AA451" s="67" t="str">
        <f>IF(Z451="","",COUNTIF($Z$6:$Z$505,"&lt;"&amp;Z451)+1)</f>
        <v/>
      </c>
      <c r="AB451" s="67" t="str">
        <f>IFERROR(INDEX(eq_crit,MATCH(B451,eq_code,0))&amp;"","")</f>
        <v/>
      </c>
    </row>
    <row r="452">
      <c r="A452" s="65" t="n"/>
      <c r="B452" s="66" t="n"/>
      <c r="C452" s="67" t="str">
        <f>IF(B452="","",IFERROR(INDEX(eq_des,MATCH(B452,eq_code,0))&amp;"","Équipement inconnu"))</f>
        <v/>
      </c>
      <c r="D452" s="66" t="n"/>
      <c r="E452" s="68" t="n"/>
      <c r="F452" s="69" t="n"/>
      <c r="G452" s="70" t="n"/>
      <c r="H452" s="71" t="n"/>
      <c r="I452" s="66" t="n"/>
      <c r="J452" s="72" t="n"/>
      <c r="K452" s="73" t="n"/>
      <c r="L452" s="68" t="n"/>
      <c r="M452" s="74" t="str">
        <f>IF(AND(A452="",B452="",D452=""),"",MAX(N(J452),IF(A452="",0,SUMPRODUCT(MAX((in_plan=A452)*in_prev*in_dnum)))))</f>
        <v/>
      </c>
      <c r="N452" s="75" t="str">
        <f>IF(AND(A452="",B452="",D452=""),"",MAX(N(K452),IF(A452="",0,SUMPRODUCT(MAX((in_plan=A452)*in_prev*in_cnum)))))</f>
        <v/>
      </c>
      <c r="O452" s="76" t="str">
        <f>IF(AND(OR(E452="Calendrier",E452="Au premier des deux"),N(F452)&gt;0,IF(N(M452)&gt;0,M452,IFERROR(N(INDEX(eq_start,MATCH(B452,eq_code,0))),0))&gt;0),IF(N(M452)&gt;0,M452,IFERROR(N(INDEX(eq_start,MATCH(B452,eq_code,0))),0))+F452,"")</f>
        <v/>
      </c>
      <c r="P452" s="75" t="str">
        <f>IF(AND(OR(E452="Compteur",E452="Au premier des deux"),N(G452)&gt;0),N(N452)+G452,"")</f>
        <v/>
      </c>
      <c r="Q452" s="75" t="str">
        <f>IF(B452="","",IFERROR(N(INDEX(eq_cnt,MATCH(B452,eq_code,0))),""))</f>
        <v/>
      </c>
      <c r="R452" s="77" t="str">
        <f>IF(ISNUMBER(O452),O452-p_today,"")</f>
        <v/>
      </c>
      <c r="S452" s="78" t="str">
        <f>IF(AND(ISNUMBER(P452),N(Q452)&gt;0),P452-Q452,"")</f>
        <v/>
      </c>
      <c r="T452" s="76" t="str">
        <f>IF(AND(ISNUMBER(O452),ISNUMBER(X452)),MIN(O452,X452),IF(ISNUMBER(O452),O452,X452))</f>
        <v/>
      </c>
      <c r="U452" s="79" t="str">
        <f>IF(AND(A452="",B452="",D452=""),"",IF(L452="Non","Inactif",IF(AND(NOT(ISNUMBER(R452)),NOT(ISNUMBER(S452))),"À compléter",IF(OR(AND(ISNUMBER(R452),N(R452)&lt;0),AND(ISNUMBER(S452),N(S452)&lt;0)),"En retard",IF(OR(AND(ISNUMBER(R452),N(R452)&lt;=p_soon),AND(ISNUMBER(S452),N(S452)&lt;=p_soon_pct*N(G452))),"Bientôt","À jour")))))</f>
        <v/>
      </c>
      <c r="V452" s="79" t="str">
        <f>IF(AND(A452="",B452="",D452=""),"",IF(A452="","N° de plan manquant",IF(COUNTIF($A$6:$A$505,A452)&gt;1,"N° de plan en double",IF(B452="","Équipement manquant",IF(ISNA(MATCH(B452,eq_code,0)),"Équipement inconnu",IF(D452="","Tâche manquante",IF(E452="","Déclenchement manquant",IF(AND(E452&lt;&gt;"Calendrier",E452&lt;&gt;"Compteur",E452&lt;&gt;"Au premier des deux"),"Déclenchement inconnu",IF(AND(E452&lt;&gt;"Compteur",OR(NOT(ISNUMBER(F452)),N(F452)&lt;=0)),"Périodicité en jours manquante",IF(AND(E452&lt;&gt;"Calendrier",OR(NOT(ISNUMBER(G452)),N(G452)&lt;=0)),"Périodicité compteur manquante",IF(AND(J452&lt;&gt;"",OR(NOT(ISNUMBER(J452)),N(J452)&lt;=0)),"Date de réalisation invalide",IF(AND(K452&lt;&gt;"",OR(NOT(ISNUMBER(K452)),N(K452)&lt;0)),"Compteur de réalisation invalide",IF(AND(E452&lt;&gt;"Compteur",N(M452)=0,IFERROR(N(INDEX(eq_start,MATCH(B452,eq_code,0))),0)=0),"Date de départ manquante",IF(AND(E452&lt;&gt;"Calendrier",K452="",N(N452)=0),"Compteur de départ manquant",IF(AND(E452&lt;&gt;"Calendrier",N(Q452)=0),"Relevé compteur manquant (Équipements)",IF(AND(I452&lt;&gt;"",ISNA(MATCH(I452,tech_name,0))),"Technicien inconnu",IF(AND(L452&lt;&gt;"",L452&lt;&gt;"Oui",L452&lt;&gt;"Non"),"Actif : Oui ou Non","OK")))))))))))))))))</f>
        <v/>
      </c>
      <c r="W452" s="67">
        <f>IFERROR(N(INDEX(eq_use,MATCH(B452,eq_code,0))),0)</f>
        <v>0.0</v>
      </c>
      <c r="X452" s="67" t="str">
        <f>IF(AND(ISNUMBER(S452),W452&gt;0),p_today+MAX(0,ROUNDUP(S452*7/W452,0)),"")</f>
        <v/>
      </c>
      <c r="Y452" s="67" t="str">
        <f>IF(AND(ISNUMBER(T452),OR(U452="En retard",U452="Bientôt",U452="À jour")),IF(AND(ISNUMBER(O452),ISNUMBER(X452)),MIN(F452,G452*7/W452),IF(ISNUMBER(O452),F452,G452*7/W452)),"")</f>
        <v/>
      </c>
      <c r="Z452" s="67" t="str">
        <f>IF(OR(U452="En retard",U452="Bientôt"),IF(U452="En retard",0,1)*1000000000+IF(AB452="A",0,IF(AB452="B",1,IF(AB452="C",2,3)))*100000000+IF(ISNUMBER(T452),T452,p_today)*1000+ROW()-5,"")</f>
        <v/>
      </c>
      <c r="AA452" s="67" t="str">
        <f>IF(Z452="","",COUNTIF($Z$6:$Z$505,"&lt;"&amp;Z452)+1)</f>
        <v/>
      </c>
      <c r="AB452" s="67" t="str">
        <f>IFERROR(INDEX(eq_crit,MATCH(B452,eq_code,0))&amp;"","")</f>
        <v/>
      </c>
    </row>
    <row r="453">
      <c r="A453" s="65" t="n"/>
      <c r="B453" s="66" t="n"/>
      <c r="C453" s="67" t="str">
        <f>IF(B453="","",IFERROR(INDEX(eq_des,MATCH(B453,eq_code,0))&amp;"","Équipement inconnu"))</f>
        <v/>
      </c>
      <c r="D453" s="66" t="n"/>
      <c r="E453" s="68" t="n"/>
      <c r="F453" s="69" t="n"/>
      <c r="G453" s="70" t="n"/>
      <c r="H453" s="71" t="n"/>
      <c r="I453" s="66" t="n"/>
      <c r="J453" s="72" t="n"/>
      <c r="K453" s="73" t="n"/>
      <c r="L453" s="68" t="n"/>
      <c r="M453" s="74" t="str">
        <f>IF(AND(A453="",B453="",D453=""),"",MAX(N(J453),IF(A453="",0,SUMPRODUCT(MAX((in_plan=A453)*in_prev*in_dnum)))))</f>
        <v/>
      </c>
      <c r="N453" s="75" t="str">
        <f>IF(AND(A453="",B453="",D453=""),"",MAX(N(K453),IF(A453="",0,SUMPRODUCT(MAX((in_plan=A453)*in_prev*in_cnum)))))</f>
        <v/>
      </c>
      <c r="O453" s="76" t="str">
        <f>IF(AND(OR(E453="Calendrier",E453="Au premier des deux"),N(F453)&gt;0,IF(N(M453)&gt;0,M453,IFERROR(N(INDEX(eq_start,MATCH(B453,eq_code,0))),0))&gt;0),IF(N(M453)&gt;0,M453,IFERROR(N(INDEX(eq_start,MATCH(B453,eq_code,0))),0))+F453,"")</f>
        <v/>
      </c>
      <c r="P453" s="75" t="str">
        <f>IF(AND(OR(E453="Compteur",E453="Au premier des deux"),N(G453)&gt;0),N(N453)+G453,"")</f>
        <v/>
      </c>
      <c r="Q453" s="75" t="str">
        <f>IF(B453="","",IFERROR(N(INDEX(eq_cnt,MATCH(B453,eq_code,0))),""))</f>
        <v/>
      </c>
      <c r="R453" s="77" t="str">
        <f>IF(ISNUMBER(O453),O453-p_today,"")</f>
        <v/>
      </c>
      <c r="S453" s="78" t="str">
        <f>IF(AND(ISNUMBER(P453),N(Q453)&gt;0),P453-Q453,"")</f>
        <v/>
      </c>
      <c r="T453" s="76" t="str">
        <f>IF(AND(ISNUMBER(O453),ISNUMBER(X453)),MIN(O453,X453),IF(ISNUMBER(O453),O453,X453))</f>
        <v/>
      </c>
      <c r="U453" s="79" t="str">
        <f>IF(AND(A453="",B453="",D453=""),"",IF(L453="Non","Inactif",IF(AND(NOT(ISNUMBER(R453)),NOT(ISNUMBER(S453))),"À compléter",IF(OR(AND(ISNUMBER(R453),N(R453)&lt;0),AND(ISNUMBER(S453),N(S453)&lt;0)),"En retard",IF(OR(AND(ISNUMBER(R453),N(R453)&lt;=p_soon),AND(ISNUMBER(S453),N(S453)&lt;=p_soon_pct*N(G453))),"Bientôt","À jour")))))</f>
        <v/>
      </c>
      <c r="V453" s="79" t="str">
        <f>IF(AND(A453="",B453="",D453=""),"",IF(A453="","N° de plan manquant",IF(COUNTIF($A$6:$A$505,A453)&gt;1,"N° de plan en double",IF(B453="","Équipement manquant",IF(ISNA(MATCH(B453,eq_code,0)),"Équipement inconnu",IF(D453="","Tâche manquante",IF(E453="","Déclenchement manquant",IF(AND(E453&lt;&gt;"Calendrier",E453&lt;&gt;"Compteur",E453&lt;&gt;"Au premier des deux"),"Déclenchement inconnu",IF(AND(E453&lt;&gt;"Compteur",OR(NOT(ISNUMBER(F453)),N(F453)&lt;=0)),"Périodicité en jours manquante",IF(AND(E453&lt;&gt;"Calendrier",OR(NOT(ISNUMBER(G453)),N(G453)&lt;=0)),"Périodicité compteur manquante",IF(AND(J453&lt;&gt;"",OR(NOT(ISNUMBER(J453)),N(J453)&lt;=0)),"Date de réalisation invalide",IF(AND(K453&lt;&gt;"",OR(NOT(ISNUMBER(K453)),N(K453)&lt;0)),"Compteur de réalisation invalide",IF(AND(E453&lt;&gt;"Compteur",N(M453)=0,IFERROR(N(INDEX(eq_start,MATCH(B453,eq_code,0))),0)=0),"Date de départ manquante",IF(AND(E453&lt;&gt;"Calendrier",K453="",N(N453)=0),"Compteur de départ manquant",IF(AND(E453&lt;&gt;"Calendrier",N(Q453)=0),"Relevé compteur manquant (Équipements)",IF(AND(I453&lt;&gt;"",ISNA(MATCH(I453,tech_name,0))),"Technicien inconnu",IF(AND(L453&lt;&gt;"",L453&lt;&gt;"Oui",L453&lt;&gt;"Non"),"Actif : Oui ou Non","OK")))))))))))))))))</f>
        <v/>
      </c>
      <c r="W453" s="67">
        <f>IFERROR(N(INDEX(eq_use,MATCH(B453,eq_code,0))),0)</f>
        <v>0.0</v>
      </c>
      <c r="X453" s="67" t="str">
        <f>IF(AND(ISNUMBER(S453),W453&gt;0),p_today+MAX(0,ROUNDUP(S453*7/W453,0)),"")</f>
        <v/>
      </c>
      <c r="Y453" s="67" t="str">
        <f>IF(AND(ISNUMBER(T453),OR(U453="En retard",U453="Bientôt",U453="À jour")),IF(AND(ISNUMBER(O453),ISNUMBER(X453)),MIN(F453,G453*7/W453),IF(ISNUMBER(O453),F453,G453*7/W453)),"")</f>
        <v/>
      </c>
      <c r="Z453" s="67" t="str">
        <f>IF(OR(U453="En retard",U453="Bientôt"),IF(U453="En retard",0,1)*1000000000+IF(AB453="A",0,IF(AB453="B",1,IF(AB453="C",2,3)))*100000000+IF(ISNUMBER(T453),T453,p_today)*1000+ROW()-5,"")</f>
        <v/>
      </c>
      <c r="AA453" s="67" t="str">
        <f>IF(Z453="","",COUNTIF($Z$6:$Z$505,"&lt;"&amp;Z453)+1)</f>
        <v/>
      </c>
      <c r="AB453" s="67" t="str">
        <f>IFERROR(INDEX(eq_crit,MATCH(B453,eq_code,0))&amp;"","")</f>
        <v/>
      </c>
    </row>
    <row r="454">
      <c r="A454" s="65" t="n"/>
      <c r="B454" s="66" t="n"/>
      <c r="C454" s="67" t="str">
        <f>IF(B454="","",IFERROR(INDEX(eq_des,MATCH(B454,eq_code,0))&amp;"","Équipement inconnu"))</f>
        <v/>
      </c>
      <c r="D454" s="66" t="n"/>
      <c r="E454" s="68" t="n"/>
      <c r="F454" s="69" t="n"/>
      <c r="G454" s="70" t="n"/>
      <c r="H454" s="71" t="n"/>
      <c r="I454" s="66" t="n"/>
      <c r="J454" s="72" t="n"/>
      <c r="K454" s="73" t="n"/>
      <c r="L454" s="68" t="n"/>
      <c r="M454" s="74" t="str">
        <f>IF(AND(A454="",B454="",D454=""),"",MAX(N(J454),IF(A454="",0,SUMPRODUCT(MAX((in_plan=A454)*in_prev*in_dnum)))))</f>
        <v/>
      </c>
      <c r="N454" s="75" t="str">
        <f>IF(AND(A454="",B454="",D454=""),"",MAX(N(K454),IF(A454="",0,SUMPRODUCT(MAX((in_plan=A454)*in_prev*in_cnum)))))</f>
        <v/>
      </c>
      <c r="O454" s="76" t="str">
        <f>IF(AND(OR(E454="Calendrier",E454="Au premier des deux"),N(F454)&gt;0,IF(N(M454)&gt;0,M454,IFERROR(N(INDEX(eq_start,MATCH(B454,eq_code,0))),0))&gt;0),IF(N(M454)&gt;0,M454,IFERROR(N(INDEX(eq_start,MATCH(B454,eq_code,0))),0))+F454,"")</f>
        <v/>
      </c>
      <c r="P454" s="75" t="str">
        <f>IF(AND(OR(E454="Compteur",E454="Au premier des deux"),N(G454)&gt;0),N(N454)+G454,"")</f>
        <v/>
      </c>
      <c r="Q454" s="75" t="str">
        <f>IF(B454="","",IFERROR(N(INDEX(eq_cnt,MATCH(B454,eq_code,0))),""))</f>
        <v/>
      </c>
      <c r="R454" s="77" t="str">
        <f>IF(ISNUMBER(O454),O454-p_today,"")</f>
        <v/>
      </c>
      <c r="S454" s="78" t="str">
        <f>IF(AND(ISNUMBER(P454),N(Q454)&gt;0),P454-Q454,"")</f>
        <v/>
      </c>
      <c r="T454" s="76" t="str">
        <f>IF(AND(ISNUMBER(O454),ISNUMBER(X454)),MIN(O454,X454),IF(ISNUMBER(O454),O454,X454))</f>
        <v/>
      </c>
      <c r="U454" s="79" t="str">
        <f>IF(AND(A454="",B454="",D454=""),"",IF(L454="Non","Inactif",IF(AND(NOT(ISNUMBER(R454)),NOT(ISNUMBER(S454))),"À compléter",IF(OR(AND(ISNUMBER(R454),N(R454)&lt;0),AND(ISNUMBER(S454),N(S454)&lt;0)),"En retard",IF(OR(AND(ISNUMBER(R454),N(R454)&lt;=p_soon),AND(ISNUMBER(S454),N(S454)&lt;=p_soon_pct*N(G454))),"Bientôt","À jour")))))</f>
        <v/>
      </c>
      <c r="V454" s="79" t="str">
        <f>IF(AND(A454="",B454="",D454=""),"",IF(A454="","N° de plan manquant",IF(COUNTIF($A$6:$A$505,A454)&gt;1,"N° de plan en double",IF(B454="","Équipement manquant",IF(ISNA(MATCH(B454,eq_code,0)),"Équipement inconnu",IF(D454="","Tâche manquante",IF(E454="","Déclenchement manquant",IF(AND(E454&lt;&gt;"Calendrier",E454&lt;&gt;"Compteur",E454&lt;&gt;"Au premier des deux"),"Déclenchement inconnu",IF(AND(E454&lt;&gt;"Compteur",OR(NOT(ISNUMBER(F454)),N(F454)&lt;=0)),"Périodicité en jours manquante",IF(AND(E454&lt;&gt;"Calendrier",OR(NOT(ISNUMBER(G454)),N(G454)&lt;=0)),"Périodicité compteur manquante",IF(AND(J454&lt;&gt;"",OR(NOT(ISNUMBER(J454)),N(J454)&lt;=0)),"Date de réalisation invalide",IF(AND(K454&lt;&gt;"",OR(NOT(ISNUMBER(K454)),N(K454)&lt;0)),"Compteur de réalisation invalide",IF(AND(E454&lt;&gt;"Compteur",N(M454)=0,IFERROR(N(INDEX(eq_start,MATCH(B454,eq_code,0))),0)=0),"Date de départ manquante",IF(AND(E454&lt;&gt;"Calendrier",K454="",N(N454)=0),"Compteur de départ manquant",IF(AND(E454&lt;&gt;"Calendrier",N(Q454)=0),"Relevé compteur manquant (Équipements)",IF(AND(I454&lt;&gt;"",ISNA(MATCH(I454,tech_name,0))),"Technicien inconnu",IF(AND(L454&lt;&gt;"",L454&lt;&gt;"Oui",L454&lt;&gt;"Non"),"Actif : Oui ou Non","OK")))))))))))))))))</f>
        <v/>
      </c>
      <c r="W454" s="67">
        <f>IFERROR(N(INDEX(eq_use,MATCH(B454,eq_code,0))),0)</f>
        <v>0.0</v>
      </c>
      <c r="X454" s="67" t="str">
        <f>IF(AND(ISNUMBER(S454),W454&gt;0),p_today+MAX(0,ROUNDUP(S454*7/W454,0)),"")</f>
        <v/>
      </c>
      <c r="Y454" s="67" t="str">
        <f>IF(AND(ISNUMBER(T454),OR(U454="En retard",U454="Bientôt",U454="À jour")),IF(AND(ISNUMBER(O454),ISNUMBER(X454)),MIN(F454,G454*7/W454),IF(ISNUMBER(O454),F454,G454*7/W454)),"")</f>
        <v/>
      </c>
      <c r="Z454" s="67" t="str">
        <f>IF(OR(U454="En retard",U454="Bientôt"),IF(U454="En retard",0,1)*1000000000+IF(AB454="A",0,IF(AB454="B",1,IF(AB454="C",2,3)))*100000000+IF(ISNUMBER(T454),T454,p_today)*1000+ROW()-5,"")</f>
        <v/>
      </c>
      <c r="AA454" s="67" t="str">
        <f>IF(Z454="","",COUNTIF($Z$6:$Z$505,"&lt;"&amp;Z454)+1)</f>
        <v/>
      </c>
      <c r="AB454" s="67" t="str">
        <f>IFERROR(INDEX(eq_crit,MATCH(B454,eq_code,0))&amp;"","")</f>
        <v/>
      </c>
    </row>
    <row r="455">
      <c r="A455" s="65" t="n"/>
      <c r="B455" s="66" t="n"/>
      <c r="C455" s="67" t="str">
        <f>IF(B455="","",IFERROR(INDEX(eq_des,MATCH(B455,eq_code,0))&amp;"","Équipement inconnu"))</f>
        <v/>
      </c>
      <c r="D455" s="66" t="n"/>
      <c r="E455" s="68" t="n"/>
      <c r="F455" s="69" t="n"/>
      <c r="G455" s="70" t="n"/>
      <c r="H455" s="71" t="n"/>
      <c r="I455" s="66" t="n"/>
      <c r="J455" s="72" t="n"/>
      <c r="K455" s="73" t="n"/>
      <c r="L455" s="68" t="n"/>
      <c r="M455" s="74" t="str">
        <f>IF(AND(A455="",B455="",D455=""),"",MAX(N(J455),IF(A455="",0,SUMPRODUCT(MAX((in_plan=A455)*in_prev*in_dnum)))))</f>
        <v/>
      </c>
      <c r="N455" s="75" t="str">
        <f>IF(AND(A455="",B455="",D455=""),"",MAX(N(K455),IF(A455="",0,SUMPRODUCT(MAX((in_plan=A455)*in_prev*in_cnum)))))</f>
        <v/>
      </c>
      <c r="O455" s="76" t="str">
        <f>IF(AND(OR(E455="Calendrier",E455="Au premier des deux"),N(F455)&gt;0,IF(N(M455)&gt;0,M455,IFERROR(N(INDEX(eq_start,MATCH(B455,eq_code,0))),0))&gt;0),IF(N(M455)&gt;0,M455,IFERROR(N(INDEX(eq_start,MATCH(B455,eq_code,0))),0))+F455,"")</f>
        <v/>
      </c>
      <c r="P455" s="75" t="str">
        <f>IF(AND(OR(E455="Compteur",E455="Au premier des deux"),N(G455)&gt;0),N(N455)+G455,"")</f>
        <v/>
      </c>
      <c r="Q455" s="75" t="str">
        <f>IF(B455="","",IFERROR(N(INDEX(eq_cnt,MATCH(B455,eq_code,0))),""))</f>
        <v/>
      </c>
      <c r="R455" s="77" t="str">
        <f>IF(ISNUMBER(O455),O455-p_today,"")</f>
        <v/>
      </c>
      <c r="S455" s="78" t="str">
        <f>IF(AND(ISNUMBER(P455),N(Q455)&gt;0),P455-Q455,"")</f>
        <v/>
      </c>
      <c r="T455" s="76" t="str">
        <f>IF(AND(ISNUMBER(O455),ISNUMBER(X455)),MIN(O455,X455),IF(ISNUMBER(O455),O455,X455))</f>
        <v/>
      </c>
      <c r="U455" s="79" t="str">
        <f>IF(AND(A455="",B455="",D455=""),"",IF(L455="Non","Inactif",IF(AND(NOT(ISNUMBER(R455)),NOT(ISNUMBER(S455))),"À compléter",IF(OR(AND(ISNUMBER(R455),N(R455)&lt;0),AND(ISNUMBER(S455),N(S455)&lt;0)),"En retard",IF(OR(AND(ISNUMBER(R455),N(R455)&lt;=p_soon),AND(ISNUMBER(S455),N(S455)&lt;=p_soon_pct*N(G455))),"Bientôt","À jour")))))</f>
        <v/>
      </c>
      <c r="V455" s="79" t="str">
        <f>IF(AND(A455="",B455="",D455=""),"",IF(A455="","N° de plan manquant",IF(COUNTIF($A$6:$A$505,A455)&gt;1,"N° de plan en double",IF(B455="","Équipement manquant",IF(ISNA(MATCH(B455,eq_code,0)),"Équipement inconnu",IF(D455="","Tâche manquante",IF(E455="","Déclenchement manquant",IF(AND(E455&lt;&gt;"Calendrier",E455&lt;&gt;"Compteur",E455&lt;&gt;"Au premier des deux"),"Déclenchement inconnu",IF(AND(E455&lt;&gt;"Compteur",OR(NOT(ISNUMBER(F455)),N(F455)&lt;=0)),"Périodicité en jours manquante",IF(AND(E455&lt;&gt;"Calendrier",OR(NOT(ISNUMBER(G455)),N(G455)&lt;=0)),"Périodicité compteur manquante",IF(AND(J455&lt;&gt;"",OR(NOT(ISNUMBER(J455)),N(J455)&lt;=0)),"Date de réalisation invalide",IF(AND(K455&lt;&gt;"",OR(NOT(ISNUMBER(K455)),N(K455)&lt;0)),"Compteur de réalisation invalide",IF(AND(E455&lt;&gt;"Compteur",N(M455)=0,IFERROR(N(INDEX(eq_start,MATCH(B455,eq_code,0))),0)=0),"Date de départ manquante",IF(AND(E455&lt;&gt;"Calendrier",K455="",N(N455)=0),"Compteur de départ manquant",IF(AND(E455&lt;&gt;"Calendrier",N(Q455)=0),"Relevé compteur manquant (Équipements)",IF(AND(I455&lt;&gt;"",ISNA(MATCH(I455,tech_name,0))),"Technicien inconnu",IF(AND(L455&lt;&gt;"",L455&lt;&gt;"Oui",L455&lt;&gt;"Non"),"Actif : Oui ou Non","OK")))))))))))))))))</f>
        <v/>
      </c>
      <c r="W455" s="67">
        <f>IFERROR(N(INDEX(eq_use,MATCH(B455,eq_code,0))),0)</f>
        <v>0.0</v>
      </c>
      <c r="X455" s="67" t="str">
        <f>IF(AND(ISNUMBER(S455),W455&gt;0),p_today+MAX(0,ROUNDUP(S455*7/W455,0)),"")</f>
        <v/>
      </c>
      <c r="Y455" s="67" t="str">
        <f>IF(AND(ISNUMBER(T455),OR(U455="En retard",U455="Bientôt",U455="À jour")),IF(AND(ISNUMBER(O455),ISNUMBER(X455)),MIN(F455,G455*7/W455),IF(ISNUMBER(O455),F455,G455*7/W455)),"")</f>
        <v/>
      </c>
      <c r="Z455" s="67" t="str">
        <f>IF(OR(U455="En retard",U455="Bientôt"),IF(U455="En retard",0,1)*1000000000+IF(AB455="A",0,IF(AB455="B",1,IF(AB455="C",2,3)))*100000000+IF(ISNUMBER(T455),T455,p_today)*1000+ROW()-5,"")</f>
        <v/>
      </c>
      <c r="AA455" s="67" t="str">
        <f>IF(Z455="","",COUNTIF($Z$6:$Z$505,"&lt;"&amp;Z455)+1)</f>
        <v/>
      </c>
      <c r="AB455" s="67" t="str">
        <f>IFERROR(INDEX(eq_crit,MATCH(B455,eq_code,0))&amp;"","")</f>
        <v/>
      </c>
    </row>
    <row r="456">
      <c r="A456" s="65" t="n"/>
      <c r="B456" s="66" t="n"/>
      <c r="C456" s="67" t="str">
        <f>IF(B456="","",IFERROR(INDEX(eq_des,MATCH(B456,eq_code,0))&amp;"","Équipement inconnu"))</f>
        <v/>
      </c>
      <c r="D456" s="66" t="n"/>
      <c r="E456" s="68" t="n"/>
      <c r="F456" s="69" t="n"/>
      <c r="G456" s="70" t="n"/>
      <c r="H456" s="71" t="n"/>
      <c r="I456" s="66" t="n"/>
      <c r="J456" s="72" t="n"/>
      <c r="K456" s="73" t="n"/>
      <c r="L456" s="68" t="n"/>
      <c r="M456" s="74" t="str">
        <f>IF(AND(A456="",B456="",D456=""),"",MAX(N(J456),IF(A456="",0,SUMPRODUCT(MAX((in_plan=A456)*in_prev*in_dnum)))))</f>
        <v/>
      </c>
      <c r="N456" s="75" t="str">
        <f>IF(AND(A456="",B456="",D456=""),"",MAX(N(K456),IF(A456="",0,SUMPRODUCT(MAX((in_plan=A456)*in_prev*in_cnum)))))</f>
        <v/>
      </c>
      <c r="O456" s="76" t="str">
        <f>IF(AND(OR(E456="Calendrier",E456="Au premier des deux"),N(F456)&gt;0,IF(N(M456)&gt;0,M456,IFERROR(N(INDEX(eq_start,MATCH(B456,eq_code,0))),0))&gt;0),IF(N(M456)&gt;0,M456,IFERROR(N(INDEX(eq_start,MATCH(B456,eq_code,0))),0))+F456,"")</f>
        <v/>
      </c>
      <c r="P456" s="75" t="str">
        <f>IF(AND(OR(E456="Compteur",E456="Au premier des deux"),N(G456)&gt;0),N(N456)+G456,"")</f>
        <v/>
      </c>
      <c r="Q456" s="75" t="str">
        <f>IF(B456="","",IFERROR(N(INDEX(eq_cnt,MATCH(B456,eq_code,0))),""))</f>
        <v/>
      </c>
      <c r="R456" s="77" t="str">
        <f>IF(ISNUMBER(O456),O456-p_today,"")</f>
        <v/>
      </c>
      <c r="S456" s="78" t="str">
        <f>IF(AND(ISNUMBER(P456),N(Q456)&gt;0),P456-Q456,"")</f>
        <v/>
      </c>
      <c r="T456" s="76" t="str">
        <f>IF(AND(ISNUMBER(O456),ISNUMBER(X456)),MIN(O456,X456),IF(ISNUMBER(O456),O456,X456))</f>
        <v/>
      </c>
      <c r="U456" s="79" t="str">
        <f>IF(AND(A456="",B456="",D456=""),"",IF(L456="Non","Inactif",IF(AND(NOT(ISNUMBER(R456)),NOT(ISNUMBER(S456))),"À compléter",IF(OR(AND(ISNUMBER(R456),N(R456)&lt;0),AND(ISNUMBER(S456),N(S456)&lt;0)),"En retard",IF(OR(AND(ISNUMBER(R456),N(R456)&lt;=p_soon),AND(ISNUMBER(S456),N(S456)&lt;=p_soon_pct*N(G456))),"Bientôt","À jour")))))</f>
        <v/>
      </c>
      <c r="V456" s="79" t="str">
        <f>IF(AND(A456="",B456="",D456=""),"",IF(A456="","N° de plan manquant",IF(COUNTIF($A$6:$A$505,A456)&gt;1,"N° de plan en double",IF(B456="","Équipement manquant",IF(ISNA(MATCH(B456,eq_code,0)),"Équipement inconnu",IF(D456="","Tâche manquante",IF(E456="","Déclenchement manquant",IF(AND(E456&lt;&gt;"Calendrier",E456&lt;&gt;"Compteur",E456&lt;&gt;"Au premier des deux"),"Déclenchement inconnu",IF(AND(E456&lt;&gt;"Compteur",OR(NOT(ISNUMBER(F456)),N(F456)&lt;=0)),"Périodicité en jours manquante",IF(AND(E456&lt;&gt;"Calendrier",OR(NOT(ISNUMBER(G456)),N(G456)&lt;=0)),"Périodicité compteur manquante",IF(AND(J456&lt;&gt;"",OR(NOT(ISNUMBER(J456)),N(J456)&lt;=0)),"Date de réalisation invalide",IF(AND(K456&lt;&gt;"",OR(NOT(ISNUMBER(K456)),N(K456)&lt;0)),"Compteur de réalisation invalide",IF(AND(E456&lt;&gt;"Compteur",N(M456)=0,IFERROR(N(INDEX(eq_start,MATCH(B456,eq_code,0))),0)=0),"Date de départ manquante",IF(AND(E456&lt;&gt;"Calendrier",K456="",N(N456)=0),"Compteur de départ manquant",IF(AND(E456&lt;&gt;"Calendrier",N(Q456)=0),"Relevé compteur manquant (Équipements)",IF(AND(I456&lt;&gt;"",ISNA(MATCH(I456,tech_name,0))),"Technicien inconnu",IF(AND(L456&lt;&gt;"",L456&lt;&gt;"Oui",L456&lt;&gt;"Non"),"Actif : Oui ou Non","OK")))))))))))))))))</f>
        <v/>
      </c>
      <c r="W456" s="67">
        <f>IFERROR(N(INDEX(eq_use,MATCH(B456,eq_code,0))),0)</f>
        <v>0.0</v>
      </c>
      <c r="X456" s="67" t="str">
        <f>IF(AND(ISNUMBER(S456),W456&gt;0),p_today+MAX(0,ROUNDUP(S456*7/W456,0)),"")</f>
        <v/>
      </c>
      <c r="Y456" s="67" t="str">
        <f>IF(AND(ISNUMBER(T456),OR(U456="En retard",U456="Bientôt",U456="À jour")),IF(AND(ISNUMBER(O456),ISNUMBER(X456)),MIN(F456,G456*7/W456),IF(ISNUMBER(O456),F456,G456*7/W456)),"")</f>
        <v/>
      </c>
      <c r="Z456" s="67" t="str">
        <f>IF(OR(U456="En retard",U456="Bientôt"),IF(U456="En retard",0,1)*1000000000+IF(AB456="A",0,IF(AB456="B",1,IF(AB456="C",2,3)))*100000000+IF(ISNUMBER(T456),T456,p_today)*1000+ROW()-5,"")</f>
        <v/>
      </c>
      <c r="AA456" s="67" t="str">
        <f>IF(Z456="","",COUNTIF($Z$6:$Z$505,"&lt;"&amp;Z456)+1)</f>
        <v/>
      </c>
      <c r="AB456" s="67" t="str">
        <f>IFERROR(INDEX(eq_crit,MATCH(B456,eq_code,0))&amp;"","")</f>
        <v/>
      </c>
    </row>
    <row r="457">
      <c r="A457" s="65" t="n"/>
      <c r="B457" s="66" t="n"/>
      <c r="C457" s="67" t="str">
        <f>IF(B457="","",IFERROR(INDEX(eq_des,MATCH(B457,eq_code,0))&amp;"","Équipement inconnu"))</f>
        <v/>
      </c>
      <c r="D457" s="66" t="n"/>
      <c r="E457" s="68" t="n"/>
      <c r="F457" s="69" t="n"/>
      <c r="G457" s="70" t="n"/>
      <c r="H457" s="71" t="n"/>
      <c r="I457" s="66" t="n"/>
      <c r="J457" s="72" t="n"/>
      <c r="K457" s="73" t="n"/>
      <c r="L457" s="68" t="n"/>
      <c r="M457" s="74" t="str">
        <f>IF(AND(A457="",B457="",D457=""),"",MAX(N(J457),IF(A457="",0,SUMPRODUCT(MAX((in_plan=A457)*in_prev*in_dnum)))))</f>
        <v/>
      </c>
      <c r="N457" s="75" t="str">
        <f>IF(AND(A457="",B457="",D457=""),"",MAX(N(K457),IF(A457="",0,SUMPRODUCT(MAX((in_plan=A457)*in_prev*in_cnum)))))</f>
        <v/>
      </c>
      <c r="O457" s="76" t="str">
        <f>IF(AND(OR(E457="Calendrier",E457="Au premier des deux"),N(F457)&gt;0,IF(N(M457)&gt;0,M457,IFERROR(N(INDEX(eq_start,MATCH(B457,eq_code,0))),0))&gt;0),IF(N(M457)&gt;0,M457,IFERROR(N(INDEX(eq_start,MATCH(B457,eq_code,0))),0))+F457,"")</f>
        <v/>
      </c>
      <c r="P457" s="75" t="str">
        <f>IF(AND(OR(E457="Compteur",E457="Au premier des deux"),N(G457)&gt;0),N(N457)+G457,"")</f>
        <v/>
      </c>
      <c r="Q457" s="75" t="str">
        <f>IF(B457="","",IFERROR(N(INDEX(eq_cnt,MATCH(B457,eq_code,0))),""))</f>
        <v/>
      </c>
      <c r="R457" s="77" t="str">
        <f>IF(ISNUMBER(O457),O457-p_today,"")</f>
        <v/>
      </c>
      <c r="S457" s="78" t="str">
        <f>IF(AND(ISNUMBER(P457),N(Q457)&gt;0),P457-Q457,"")</f>
        <v/>
      </c>
      <c r="T457" s="76" t="str">
        <f>IF(AND(ISNUMBER(O457),ISNUMBER(X457)),MIN(O457,X457),IF(ISNUMBER(O457),O457,X457))</f>
        <v/>
      </c>
      <c r="U457" s="79" t="str">
        <f>IF(AND(A457="",B457="",D457=""),"",IF(L457="Non","Inactif",IF(AND(NOT(ISNUMBER(R457)),NOT(ISNUMBER(S457))),"À compléter",IF(OR(AND(ISNUMBER(R457),N(R457)&lt;0),AND(ISNUMBER(S457),N(S457)&lt;0)),"En retard",IF(OR(AND(ISNUMBER(R457),N(R457)&lt;=p_soon),AND(ISNUMBER(S457),N(S457)&lt;=p_soon_pct*N(G457))),"Bientôt","À jour")))))</f>
        <v/>
      </c>
      <c r="V457" s="79" t="str">
        <f>IF(AND(A457="",B457="",D457=""),"",IF(A457="","N° de plan manquant",IF(COUNTIF($A$6:$A$505,A457)&gt;1,"N° de plan en double",IF(B457="","Équipement manquant",IF(ISNA(MATCH(B457,eq_code,0)),"Équipement inconnu",IF(D457="","Tâche manquante",IF(E457="","Déclenchement manquant",IF(AND(E457&lt;&gt;"Calendrier",E457&lt;&gt;"Compteur",E457&lt;&gt;"Au premier des deux"),"Déclenchement inconnu",IF(AND(E457&lt;&gt;"Compteur",OR(NOT(ISNUMBER(F457)),N(F457)&lt;=0)),"Périodicité en jours manquante",IF(AND(E457&lt;&gt;"Calendrier",OR(NOT(ISNUMBER(G457)),N(G457)&lt;=0)),"Périodicité compteur manquante",IF(AND(J457&lt;&gt;"",OR(NOT(ISNUMBER(J457)),N(J457)&lt;=0)),"Date de réalisation invalide",IF(AND(K457&lt;&gt;"",OR(NOT(ISNUMBER(K457)),N(K457)&lt;0)),"Compteur de réalisation invalide",IF(AND(E457&lt;&gt;"Compteur",N(M457)=0,IFERROR(N(INDEX(eq_start,MATCH(B457,eq_code,0))),0)=0),"Date de départ manquante",IF(AND(E457&lt;&gt;"Calendrier",K457="",N(N457)=0),"Compteur de départ manquant",IF(AND(E457&lt;&gt;"Calendrier",N(Q457)=0),"Relevé compteur manquant (Équipements)",IF(AND(I457&lt;&gt;"",ISNA(MATCH(I457,tech_name,0))),"Technicien inconnu",IF(AND(L457&lt;&gt;"",L457&lt;&gt;"Oui",L457&lt;&gt;"Non"),"Actif : Oui ou Non","OK")))))))))))))))))</f>
        <v/>
      </c>
      <c r="W457" s="67">
        <f>IFERROR(N(INDEX(eq_use,MATCH(B457,eq_code,0))),0)</f>
        <v>0.0</v>
      </c>
      <c r="X457" s="67" t="str">
        <f>IF(AND(ISNUMBER(S457),W457&gt;0),p_today+MAX(0,ROUNDUP(S457*7/W457,0)),"")</f>
        <v/>
      </c>
      <c r="Y457" s="67" t="str">
        <f>IF(AND(ISNUMBER(T457),OR(U457="En retard",U457="Bientôt",U457="À jour")),IF(AND(ISNUMBER(O457),ISNUMBER(X457)),MIN(F457,G457*7/W457),IF(ISNUMBER(O457),F457,G457*7/W457)),"")</f>
        <v/>
      </c>
      <c r="Z457" s="67" t="str">
        <f>IF(OR(U457="En retard",U457="Bientôt"),IF(U457="En retard",0,1)*1000000000+IF(AB457="A",0,IF(AB457="B",1,IF(AB457="C",2,3)))*100000000+IF(ISNUMBER(T457),T457,p_today)*1000+ROW()-5,"")</f>
        <v/>
      </c>
      <c r="AA457" s="67" t="str">
        <f>IF(Z457="","",COUNTIF($Z$6:$Z$505,"&lt;"&amp;Z457)+1)</f>
        <v/>
      </c>
      <c r="AB457" s="67" t="str">
        <f>IFERROR(INDEX(eq_crit,MATCH(B457,eq_code,0))&amp;"","")</f>
        <v/>
      </c>
    </row>
    <row r="458">
      <c r="A458" s="65" t="n"/>
      <c r="B458" s="66" t="n"/>
      <c r="C458" s="67" t="str">
        <f>IF(B458="","",IFERROR(INDEX(eq_des,MATCH(B458,eq_code,0))&amp;"","Équipement inconnu"))</f>
        <v/>
      </c>
      <c r="D458" s="66" t="n"/>
      <c r="E458" s="68" t="n"/>
      <c r="F458" s="69" t="n"/>
      <c r="G458" s="70" t="n"/>
      <c r="H458" s="71" t="n"/>
      <c r="I458" s="66" t="n"/>
      <c r="J458" s="72" t="n"/>
      <c r="K458" s="73" t="n"/>
      <c r="L458" s="68" t="n"/>
      <c r="M458" s="74" t="str">
        <f>IF(AND(A458="",B458="",D458=""),"",MAX(N(J458),IF(A458="",0,SUMPRODUCT(MAX((in_plan=A458)*in_prev*in_dnum)))))</f>
        <v/>
      </c>
      <c r="N458" s="75" t="str">
        <f>IF(AND(A458="",B458="",D458=""),"",MAX(N(K458),IF(A458="",0,SUMPRODUCT(MAX((in_plan=A458)*in_prev*in_cnum)))))</f>
        <v/>
      </c>
      <c r="O458" s="76" t="str">
        <f>IF(AND(OR(E458="Calendrier",E458="Au premier des deux"),N(F458)&gt;0,IF(N(M458)&gt;0,M458,IFERROR(N(INDEX(eq_start,MATCH(B458,eq_code,0))),0))&gt;0),IF(N(M458)&gt;0,M458,IFERROR(N(INDEX(eq_start,MATCH(B458,eq_code,0))),0))+F458,"")</f>
        <v/>
      </c>
      <c r="P458" s="75" t="str">
        <f>IF(AND(OR(E458="Compteur",E458="Au premier des deux"),N(G458)&gt;0),N(N458)+G458,"")</f>
        <v/>
      </c>
      <c r="Q458" s="75" t="str">
        <f>IF(B458="","",IFERROR(N(INDEX(eq_cnt,MATCH(B458,eq_code,0))),""))</f>
        <v/>
      </c>
      <c r="R458" s="77" t="str">
        <f>IF(ISNUMBER(O458),O458-p_today,"")</f>
        <v/>
      </c>
      <c r="S458" s="78" t="str">
        <f>IF(AND(ISNUMBER(P458),N(Q458)&gt;0),P458-Q458,"")</f>
        <v/>
      </c>
      <c r="T458" s="76" t="str">
        <f>IF(AND(ISNUMBER(O458),ISNUMBER(X458)),MIN(O458,X458),IF(ISNUMBER(O458),O458,X458))</f>
        <v/>
      </c>
      <c r="U458" s="79" t="str">
        <f>IF(AND(A458="",B458="",D458=""),"",IF(L458="Non","Inactif",IF(AND(NOT(ISNUMBER(R458)),NOT(ISNUMBER(S458))),"À compléter",IF(OR(AND(ISNUMBER(R458),N(R458)&lt;0),AND(ISNUMBER(S458),N(S458)&lt;0)),"En retard",IF(OR(AND(ISNUMBER(R458),N(R458)&lt;=p_soon),AND(ISNUMBER(S458),N(S458)&lt;=p_soon_pct*N(G458))),"Bientôt","À jour")))))</f>
        <v/>
      </c>
      <c r="V458" s="79" t="str">
        <f>IF(AND(A458="",B458="",D458=""),"",IF(A458="","N° de plan manquant",IF(COUNTIF($A$6:$A$505,A458)&gt;1,"N° de plan en double",IF(B458="","Équipement manquant",IF(ISNA(MATCH(B458,eq_code,0)),"Équipement inconnu",IF(D458="","Tâche manquante",IF(E458="","Déclenchement manquant",IF(AND(E458&lt;&gt;"Calendrier",E458&lt;&gt;"Compteur",E458&lt;&gt;"Au premier des deux"),"Déclenchement inconnu",IF(AND(E458&lt;&gt;"Compteur",OR(NOT(ISNUMBER(F458)),N(F458)&lt;=0)),"Périodicité en jours manquante",IF(AND(E458&lt;&gt;"Calendrier",OR(NOT(ISNUMBER(G458)),N(G458)&lt;=0)),"Périodicité compteur manquante",IF(AND(J458&lt;&gt;"",OR(NOT(ISNUMBER(J458)),N(J458)&lt;=0)),"Date de réalisation invalide",IF(AND(K458&lt;&gt;"",OR(NOT(ISNUMBER(K458)),N(K458)&lt;0)),"Compteur de réalisation invalide",IF(AND(E458&lt;&gt;"Compteur",N(M458)=0,IFERROR(N(INDEX(eq_start,MATCH(B458,eq_code,0))),0)=0),"Date de départ manquante",IF(AND(E458&lt;&gt;"Calendrier",K458="",N(N458)=0),"Compteur de départ manquant",IF(AND(E458&lt;&gt;"Calendrier",N(Q458)=0),"Relevé compteur manquant (Équipements)",IF(AND(I458&lt;&gt;"",ISNA(MATCH(I458,tech_name,0))),"Technicien inconnu",IF(AND(L458&lt;&gt;"",L458&lt;&gt;"Oui",L458&lt;&gt;"Non"),"Actif : Oui ou Non","OK")))))))))))))))))</f>
        <v/>
      </c>
      <c r="W458" s="67">
        <f>IFERROR(N(INDEX(eq_use,MATCH(B458,eq_code,0))),0)</f>
        <v>0.0</v>
      </c>
      <c r="X458" s="67" t="str">
        <f>IF(AND(ISNUMBER(S458),W458&gt;0),p_today+MAX(0,ROUNDUP(S458*7/W458,0)),"")</f>
        <v/>
      </c>
      <c r="Y458" s="67" t="str">
        <f>IF(AND(ISNUMBER(T458),OR(U458="En retard",U458="Bientôt",U458="À jour")),IF(AND(ISNUMBER(O458),ISNUMBER(X458)),MIN(F458,G458*7/W458),IF(ISNUMBER(O458),F458,G458*7/W458)),"")</f>
        <v/>
      </c>
      <c r="Z458" s="67" t="str">
        <f>IF(OR(U458="En retard",U458="Bientôt"),IF(U458="En retard",0,1)*1000000000+IF(AB458="A",0,IF(AB458="B",1,IF(AB458="C",2,3)))*100000000+IF(ISNUMBER(T458),T458,p_today)*1000+ROW()-5,"")</f>
        <v/>
      </c>
      <c r="AA458" s="67" t="str">
        <f>IF(Z458="","",COUNTIF($Z$6:$Z$505,"&lt;"&amp;Z458)+1)</f>
        <v/>
      </c>
      <c r="AB458" s="67" t="str">
        <f>IFERROR(INDEX(eq_crit,MATCH(B458,eq_code,0))&amp;"","")</f>
        <v/>
      </c>
    </row>
    <row r="459">
      <c r="A459" s="65" t="n"/>
      <c r="B459" s="66" t="n"/>
      <c r="C459" s="67" t="str">
        <f>IF(B459="","",IFERROR(INDEX(eq_des,MATCH(B459,eq_code,0))&amp;"","Équipement inconnu"))</f>
        <v/>
      </c>
      <c r="D459" s="66" t="n"/>
      <c r="E459" s="68" t="n"/>
      <c r="F459" s="69" t="n"/>
      <c r="G459" s="70" t="n"/>
      <c r="H459" s="71" t="n"/>
      <c r="I459" s="66" t="n"/>
      <c r="J459" s="72" t="n"/>
      <c r="K459" s="73" t="n"/>
      <c r="L459" s="68" t="n"/>
      <c r="M459" s="74" t="str">
        <f>IF(AND(A459="",B459="",D459=""),"",MAX(N(J459),IF(A459="",0,SUMPRODUCT(MAX((in_plan=A459)*in_prev*in_dnum)))))</f>
        <v/>
      </c>
      <c r="N459" s="75" t="str">
        <f>IF(AND(A459="",B459="",D459=""),"",MAX(N(K459),IF(A459="",0,SUMPRODUCT(MAX((in_plan=A459)*in_prev*in_cnum)))))</f>
        <v/>
      </c>
      <c r="O459" s="76" t="str">
        <f>IF(AND(OR(E459="Calendrier",E459="Au premier des deux"),N(F459)&gt;0,IF(N(M459)&gt;0,M459,IFERROR(N(INDEX(eq_start,MATCH(B459,eq_code,0))),0))&gt;0),IF(N(M459)&gt;0,M459,IFERROR(N(INDEX(eq_start,MATCH(B459,eq_code,0))),0))+F459,"")</f>
        <v/>
      </c>
      <c r="P459" s="75" t="str">
        <f>IF(AND(OR(E459="Compteur",E459="Au premier des deux"),N(G459)&gt;0),N(N459)+G459,"")</f>
        <v/>
      </c>
      <c r="Q459" s="75" t="str">
        <f>IF(B459="","",IFERROR(N(INDEX(eq_cnt,MATCH(B459,eq_code,0))),""))</f>
        <v/>
      </c>
      <c r="R459" s="77" t="str">
        <f>IF(ISNUMBER(O459),O459-p_today,"")</f>
        <v/>
      </c>
      <c r="S459" s="78" t="str">
        <f>IF(AND(ISNUMBER(P459),N(Q459)&gt;0),P459-Q459,"")</f>
        <v/>
      </c>
      <c r="T459" s="76" t="str">
        <f>IF(AND(ISNUMBER(O459),ISNUMBER(X459)),MIN(O459,X459),IF(ISNUMBER(O459),O459,X459))</f>
        <v/>
      </c>
      <c r="U459" s="79" t="str">
        <f>IF(AND(A459="",B459="",D459=""),"",IF(L459="Non","Inactif",IF(AND(NOT(ISNUMBER(R459)),NOT(ISNUMBER(S459))),"À compléter",IF(OR(AND(ISNUMBER(R459),N(R459)&lt;0),AND(ISNUMBER(S459),N(S459)&lt;0)),"En retard",IF(OR(AND(ISNUMBER(R459),N(R459)&lt;=p_soon),AND(ISNUMBER(S459),N(S459)&lt;=p_soon_pct*N(G459))),"Bientôt","À jour")))))</f>
        <v/>
      </c>
      <c r="V459" s="79" t="str">
        <f>IF(AND(A459="",B459="",D459=""),"",IF(A459="","N° de plan manquant",IF(COUNTIF($A$6:$A$505,A459)&gt;1,"N° de plan en double",IF(B459="","Équipement manquant",IF(ISNA(MATCH(B459,eq_code,0)),"Équipement inconnu",IF(D459="","Tâche manquante",IF(E459="","Déclenchement manquant",IF(AND(E459&lt;&gt;"Calendrier",E459&lt;&gt;"Compteur",E459&lt;&gt;"Au premier des deux"),"Déclenchement inconnu",IF(AND(E459&lt;&gt;"Compteur",OR(NOT(ISNUMBER(F459)),N(F459)&lt;=0)),"Périodicité en jours manquante",IF(AND(E459&lt;&gt;"Calendrier",OR(NOT(ISNUMBER(G459)),N(G459)&lt;=0)),"Périodicité compteur manquante",IF(AND(J459&lt;&gt;"",OR(NOT(ISNUMBER(J459)),N(J459)&lt;=0)),"Date de réalisation invalide",IF(AND(K459&lt;&gt;"",OR(NOT(ISNUMBER(K459)),N(K459)&lt;0)),"Compteur de réalisation invalide",IF(AND(E459&lt;&gt;"Compteur",N(M459)=0,IFERROR(N(INDEX(eq_start,MATCH(B459,eq_code,0))),0)=0),"Date de départ manquante",IF(AND(E459&lt;&gt;"Calendrier",K459="",N(N459)=0),"Compteur de départ manquant",IF(AND(E459&lt;&gt;"Calendrier",N(Q459)=0),"Relevé compteur manquant (Équipements)",IF(AND(I459&lt;&gt;"",ISNA(MATCH(I459,tech_name,0))),"Technicien inconnu",IF(AND(L459&lt;&gt;"",L459&lt;&gt;"Oui",L459&lt;&gt;"Non"),"Actif : Oui ou Non","OK")))))))))))))))))</f>
        <v/>
      </c>
      <c r="W459" s="67">
        <f>IFERROR(N(INDEX(eq_use,MATCH(B459,eq_code,0))),0)</f>
        <v>0.0</v>
      </c>
      <c r="X459" s="67" t="str">
        <f>IF(AND(ISNUMBER(S459),W459&gt;0),p_today+MAX(0,ROUNDUP(S459*7/W459,0)),"")</f>
        <v/>
      </c>
      <c r="Y459" s="67" t="str">
        <f>IF(AND(ISNUMBER(T459),OR(U459="En retard",U459="Bientôt",U459="À jour")),IF(AND(ISNUMBER(O459),ISNUMBER(X459)),MIN(F459,G459*7/W459),IF(ISNUMBER(O459),F459,G459*7/W459)),"")</f>
        <v/>
      </c>
      <c r="Z459" s="67" t="str">
        <f>IF(OR(U459="En retard",U459="Bientôt"),IF(U459="En retard",0,1)*1000000000+IF(AB459="A",0,IF(AB459="B",1,IF(AB459="C",2,3)))*100000000+IF(ISNUMBER(T459),T459,p_today)*1000+ROW()-5,"")</f>
        <v/>
      </c>
      <c r="AA459" s="67" t="str">
        <f>IF(Z459="","",COUNTIF($Z$6:$Z$505,"&lt;"&amp;Z459)+1)</f>
        <v/>
      </c>
      <c r="AB459" s="67" t="str">
        <f>IFERROR(INDEX(eq_crit,MATCH(B459,eq_code,0))&amp;"","")</f>
        <v/>
      </c>
    </row>
    <row r="460">
      <c r="A460" s="65" t="n"/>
      <c r="B460" s="66" t="n"/>
      <c r="C460" s="67" t="str">
        <f>IF(B460="","",IFERROR(INDEX(eq_des,MATCH(B460,eq_code,0))&amp;"","Équipement inconnu"))</f>
        <v/>
      </c>
      <c r="D460" s="66" t="n"/>
      <c r="E460" s="68" t="n"/>
      <c r="F460" s="69" t="n"/>
      <c r="G460" s="70" t="n"/>
      <c r="H460" s="71" t="n"/>
      <c r="I460" s="66" t="n"/>
      <c r="J460" s="72" t="n"/>
      <c r="K460" s="73" t="n"/>
      <c r="L460" s="68" t="n"/>
      <c r="M460" s="74" t="str">
        <f>IF(AND(A460="",B460="",D460=""),"",MAX(N(J460),IF(A460="",0,SUMPRODUCT(MAX((in_plan=A460)*in_prev*in_dnum)))))</f>
        <v/>
      </c>
      <c r="N460" s="75" t="str">
        <f>IF(AND(A460="",B460="",D460=""),"",MAX(N(K460),IF(A460="",0,SUMPRODUCT(MAX((in_plan=A460)*in_prev*in_cnum)))))</f>
        <v/>
      </c>
      <c r="O460" s="76" t="str">
        <f>IF(AND(OR(E460="Calendrier",E460="Au premier des deux"),N(F460)&gt;0,IF(N(M460)&gt;0,M460,IFERROR(N(INDEX(eq_start,MATCH(B460,eq_code,0))),0))&gt;0),IF(N(M460)&gt;0,M460,IFERROR(N(INDEX(eq_start,MATCH(B460,eq_code,0))),0))+F460,"")</f>
        <v/>
      </c>
      <c r="P460" s="75" t="str">
        <f>IF(AND(OR(E460="Compteur",E460="Au premier des deux"),N(G460)&gt;0),N(N460)+G460,"")</f>
        <v/>
      </c>
      <c r="Q460" s="75" t="str">
        <f>IF(B460="","",IFERROR(N(INDEX(eq_cnt,MATCH(B460,eq_code,0))),""))</f>
        <v/>
      </c>
      <c r="R460" s="77" t="str">
        <f>IF(ISNUMBER(O460),O460-p_today,"")</f>
        <v/>
      </c>
      <c r="S460" s="78" t="str">
        <f>IF(AND(ISNUMBER(P460),N(Q460)&gt;0),P460-Q460,"")</f>
        <v/>
      </c>
      <c r="T460" s="76" t="str">
        <f>IF(AND(ISNUMBER(O460),ISNUMBER(X460)),MIN(O460,X460),IF(ISNUMBER(O460),O460,X460))</f>
        <v/>
      </c>
      <c r="U460" s="79" t="str">
        <f>IF(AND(A460="",B460="",D460=""),"",IF(L460="Non","Inactif",IF(AND(NOT(ISNUMBER(R460)),NOT(ISNUMBER(S460))),"À compléter",IF(OR(AND(ISNUMBER(R460),N(R460)&lt;0),AND(ISNUMBER(S460),N(S460)&lt;0)),"En retard",IF(OR(AND(ISNUMBER(R460),N(R460)&lt;=p_soon),AND(ISNUMBER(S460),N(S460)&lt;=p_soon_pct*N(G460))),"Bientôt","À jour")))))</f>
        <v/>
      </c>
      <c r="V460" s="79" t="str">
        <f>IF(AND(A460="",B460="",D460=""),"",IF(A460="","N° de plan manquant",IF(COUNTIF($A$6:$A$505,A460)&gt;1,"N° de plan en double",IF(B460="","Équipement manquant",IF(ISNA(MATCH(B460,eq_code,0)),"Équipement inconnu",IF(D460="","Tâche manquante",IF(E460="","Déclenchement manquant",IF(AND(E460&lt;&gt;"Calendrier",E460&lt;&gt;"Compteur",E460&lt;&gt;"Au premier des deux"),"Déclenchement inconnu",IF(AND(E460&lt;&gt;"Compteur",OR(NOT(ISNUMBER(F460)),N(F460)&lt;=0)),"Périodicité en jours manquante",IF(AND(E460&lt;&gt;"Calendrier",OR(NOT(ISNUMBER(G460)),N(G460)&lt;=0)),"Périodicité compteur manquante",IF(AND(J460&lt;&gt;"",OR(NOT(ISNUMBER(J460)),N(J460)&lt;=0)),"Date de réalisation invalide",IF(AND(K460&lt;&gt;"",OR(NOT(ISNUMBER(K460)),N(K460)&lt;0)),"Compteur de réalisation invalide",IF(AND(E460&lt;&gt;"Compteur",N(M460)=0,IFERROR(N(INDEX(eq_start,MATCH(B460,eq_code,0))),0)=0),"Date de départ manquante",IF(AND(E460&lt;&gt;"Calendrier",K460="",N(N460)=0),"Compteur de départ manquant",IF(AND(E460&lt;&gt;"Calendrier",N(Q460)=0),"Relevé compteur manquant (Équipements)",IF(AND(I460&lt;&gt;"",ISNA(MATCH(I460,tech_name,0))),"Technicien inconnu",IF(AND(L460&lt;&gt;"",L460&lt;&gt;"Oui",L460&lt;&gt;"Non"),"Actif : Oui ou Non","OK")))))))))))))))))</f>
        <v/>
      </c>
      <c r="W460" s="67">
        <f>IFERROR(N(INDEX(eq_use,MATCH(B460,eq_code,0))),0)</f>
        <v>0.0</v>
      </c>
      <c r="X460" s="67" t="str">
        <f>IF(AND(ISNUMBER(S460),W460&gt;0),p_today+MAX(0,ROUNDUP(S460*7/W460,0)),"")</f>
        <v/>
      </c>
      <c r="Y460" s="67" t="str">
        <f>IF(AND(ISNUMBER(T460),OR(U460="En retard",U460="Bientôt",U460="À jour")),IF(AND(ISNUMBER(O460),ISNUMBER(X460)),MIN(F460,G460*7/W460),IF(ISNUMBER(O460),F460,G460*7/W460)),"")</f>
        <v/>
      </c>
      <c r="Z460" s="67" t="str">
        <f>IF(OR(U460="En retard",U460="Bientôt"),IF(U460="En retard",0,1)*1000000000+IF(AB460="A",0,IF(AB460="B",1,IF(AB460="C",2,3)))*100000000+IF(ISNUMBER(T460),T460,p_today)*1000+ROW()-5,"")</f>
        <v/>
      </c>
      <c r="AA460" s="67" t="str">
        <f>IF(Z460="","",COUNTIF($Z$6:$Z$505,"&lt;"&amp;Z460)+1)</f>
        <v/>
      </c>
      <c r="AB460" s="67" t="str">
        <f>IFERROR(INDEX(eq_crit,MATCH(B460,eq_code,0))&amp;"","")</f>
        <v/>
      </c>
    </row>
    <row r="461">
      <c r="A461" s="65" t="n"/>
      <c r="B461" s="66" t="n"/>
      <c r="C461" s="67" t="str">
        <f>IF(B461="","",IFERROR(INDEX(eq_des,MATCH(B461,eq_code,0))&amp;"","Équipement inconnu"))</f>
        <v/>
      </c>
      <c r="D461" s="66" t="n"/>
      <c r="E461" s="68" t="n"/>
      <c r="F461" s="69" t="n"/>
      <c r="G461" s="70" t="n"/>
      <c r="H461" s="71" t="n"/>
      <c r="I461" s="66" t="n"/>
      <c r="J461" s="72" t="n"/>
      <c r="K461" s="73" t="n"/>
      <c r="L461" s="68" t="n"/>
      <c r="M461" s="74" t="str">
        <f>IF(AND(A461="",B461="",D461=""),"",MAX(N(J461),IF(A461="",0,SUMPRODUCT(MAX((in_plan=A461)*in_prev*in_dnum)))))</f>
        <v/>
      </c>
      <c r="N461" s="75" t="str">
        <f>IF(AND(A461="",B461="",D461=""),"",MAX(N(K461),IF(A461="",0,SUMPRODUCT(MAX((in_plan=A461)*in_prev*in_cnum)))))</f>
        <v/>
      </c>
      <c r="O461" s="76" t="str">
        <f>IF(AND(OR(E461="Calendrier",E461="Au premier des deux"),N(F461)&gt;0,IF(N(M461)&gt;0,M461,IFERROR(N(INDEX(eq_start,MATCH(B461,eq_code,0))),0))&gt;0),IF(N(M461)&gt;0,M461,IFERROR(N(INDEX(eq_start,MATCH(B461,eq_code,0))),0))+F461,"")</f>
        <v/>
      </c>
      <c r="P461" s="75" t="str">
        <f>IF(AND(OR(E461="Compteur",E461="Au premier des deux"),N(G461)&gt;0),N(N461)+G461,"")</f>
        <v/>
      </c>
      <c r="Q461" s="75" t="str">
        <f>IF(B461="","",IFERROR(N(INDEX(eq_cnt,MATCH(B461,eq_code,0))),""))</f>
        <v/>
      </c>
      <c r="R461" s="77" t="str">
        <f>IF(ISNUMBER(O461),O461-p_today,"")</f>
        <v/>
      </c>
      <c r="S461" s="78" t="str">
        <f>IF(AND(ISNUMBER(P461),N(Q461)&gt;0),P461-Q461,"")</f>
        <v/>
      </c>
      <c r="T461" s="76" t="str">
        <f>IF(AND(ISNUMBER(O461),ISNUMBER(X461)),MIN(O461,X461),IF(ISNUMBER(O461),O461,X461))</f>
        <v/>
      </c>
      <c r="U461" s="79" t="str">
        <f>IF(AND(A461="",B461="",D461=""),"",IF(L461="Non","Inactif",IF(AND(NOT(ISNUMBER(R461)),NOT(ISNUMBER(S461))),"À compléter",IF(OR(AND(ISNUMBER(R461),N(R461)&lt;0),AND(ISNUMBER(S461),N(S461)&lt;0)),"En retard",IF(OR(AND(ISNUMBER(R461),N(R461)&lt;=p_soon),AND(ISNUMBER(S461),N(S461)&lt;=p_soon_pct*N(G461))),"Bientôt","À jour")))))</f>
        <v/>
      </c>
      <c r="V461" s="79" t="str">
        <f>IF(AND(A461="",B461="",D461=""),"",IF(A461="","N° de plan manquant",IF(COUNTIF($A$6:$A$505,A461)&gt;1,"N° de plan en double",IF(B461="","Équipement manquant",IF(ISNA(MATCH(B461,eq_code,0)),"Équipement inconnu",IF(D461="","Tâche manquante",IF(E461="","Déclenchement manquant",IF(AND(E461&lt;&gt;"Calendrier",E461&lt;&gt;"Compteur",E461&lt;&gt;"Au premier des deux"),"Déclenchement inconnu",IF(AND(E461&lt;&gt;"Compteur",OR(NOT(ISNUMBER(F461)),N(F461)&lt;=0)),"Périodicité en jours manquante",IF(AND(E461&lt;&gt;"Calendrier",OR(NOT(ISNUMBER(G461)),N(G461)&lt;=0)),"Périodicité compteur manquante",IF(AND(J461&lt;&gt;"",OR(NOT(ISNUMBER(J461)),N(J461)&lt;=0)),"Date de réalisation invalide",IF(AND(K461&lt;&gt;"",OR(NOT(ISNUMBER(K461)),N(K461)&lt;0)),"Compteur de réalisation invalide",IF(AND(E461&lt;&gt;"Compteur",N(M461)=0,IFERROR(N(INDEX(eq_start,MATCH(B461,eq_code,0))),0)=0),"Date de départ manquante",IF(AND(E461&lt;&gt;"Calendrier",K461="",N(N461)=0),"Compteur de départ manquant",IF(AND(E461&lt;&gt;"Calendrier",N(Q461)=0),"Relevé compteur manquant (Équipements)",IF(AND(I461&lt;&gt;"",ISNA(MATCH(I461,tech_name,0))),"Technicien inconnu",IF(AND(L461&lt;&gt;"",L461&lt;&gt;"Oui",L461&lt;&gt;"Non"),"Actif : Oui ou Non","OK")))))))))))))))))</f>
        <v/>
      </c>
      <c r="W461" s="67">
        <f>IFERROR(N(INDEX(eq_use,MATCH(B461,eq_code,0))),0)</f>
        <v>0.0</v>
      </c>
      <c r="X461" s="67" t="str">
        <f>IF(AND(ISNUMBER(S461),W461&gt;0),p_today+MAX(0,ROUNDUP(S461*7/W461,0)),"")</f>
        <v/>
      </c>
      <c r="Y461" s="67" t="str">
        <f>IF(AND(ISNUMBER(T461),OR(U461="En retard",U461="Bientôt",U461="À jour")),IF(AND(ISNUMBER(O461),ISNUMBER(X461)),MIN(F461,G461*7/W461),IF(ISNUMBER(O461),F461,G461*7/W461)),"")</f>
        <v/>
      </c>
      <c r="Z461" s="67" t="str">
        <f>IF(OR(U461="En retard",U461="Bientôt"),IF(U461="En retard",0,1)*1000000000+IF(AB461="A",0,IF(AB461="B",1,IF(AB461="C",2,3)))*100000000+IF(ISNUMBER(T461),T461,p_today)*1000+ROW()-5,"")</f>
        <v/>
      </c>
      <c r="AA461" s="67" t="str">
        <f>IF(Z461="","",COUNTIF($Z$6:$Z$505,"&lt;"&amp;Z461)+1)</f>
        <v/>
      </c>
      <c r="AB461" s="67" t="str">
        <f>IFERROR(INDEX(eq_crit,MATCH(B461,eq_code,0))&amp;"","")</f>
        <v/>
      </c>
    </row>
    <row r="462">
      <c r="A462" s="65" t="n"/>
      <c r="B462" s="66" t="n"/>
      <c r="C462" s="67" t="str">
        <f>IF(B462="","",IFERROR(INDEX(eq_des,MATCH(B462,eq_code,0))&amp;"","Équipement inconnu"))</f>
        <v/>
      </c>
      <c r="D462" s="66" t="n"/>
      <c r="E462" s="68" t="n"/>
      <c r="F462" s="69" t="n"/>
      <c r="G462" s="70" t="n"/>
      <c r="H462" s="71" t="n"/>
      <c r="I462" s="66" t="n"/>
      <c r="J462" s="72" t="n"/>
      <c r="K462" s="73" t="n"/>
      <c r="L462" s="68" t="n"/>
      <c r="M462" s="74" t="str">
        <f>IF(AND(A462="",B462="",D462=""),"",MAX(N(J462),IF(A462="",0,SUMPRODUCT(MAX((in_plan=A462)*in_prev*in_dnum)))))</f>
        <v/>
      </c>
      <c r="N462" s="75" t="str">
        <f>IF(AND(A462="",B462="",D462=""),"",MAX(N(K462),IF(A462="",0,SUMPRODUCT(MAX((in_plan=A462)*in_prev*in_cnum)))))</f>
        <v/>
      </c>
      <c r="O462" s="76" t="str">
        <f>IF(AND(OR(E462="Calendrier",E462="Au premier des deux"),N(F462)&gt;0,IF(N(M462)&gt;0,M462,IFERROR(N(INDEX(eq_start,MATCH(B462,eq_code,0))),0))&gt;0),IF(N(M462)&gt;0,M462,IFERROR(N(INDEX(eq_start,MATCH(B462,eq_code,0))),0))+F462,"")</f>
        <v/>
      </c>
      <c r="P462" s="75" t="str">
        <f>IF(AND(OR(E462="Compteur",E462="Au premier des deux"),N(G462)&gt;0),N(N462)+G462,"")</f>
        <v/>
      </c>
      <c r="Q462" s="75" t="str">
        <f>IF(B462="","",IFERROR(N(INDEX(eq_cnt,MATCH(B462,eq_code,0))),""))</f>
        <v/>
      </c>
      <c r="R462" s="77" t="str">
        <f>IF(ISNUMBER(O462),O462-p_today,"")</f>
        <v/>
      </c>
      <c r="S462" s="78" t="str">
        <f>IF(AND(ISNUMBER(P462),N(Q462)&gt;0),P462-Q462,"")</f>
        <v/>
      </c>
      <c r="T462" s="76" t="str">
        <f>IF(AND(ISNUMBER(O462),ISNUMBER(X462)),MIN(O462,X462),IF(ISNUMBER(O462),O462,X462))</f>
        <v/>
      </c>
      <c r="U462" s="79" t="str">
        <f>IF(AND(A462="",B462="",D462=""),"",IF(L462="Non","Inactif",IF(AND(NOT(ISNUMBER(R462)),NOT(ISNUMBER(S462))),"À compléter",IF(OR(AND(ISNUMBER(R462),N(R462)&lt;0),AND(ISNUMBER(S462),N(S462)&lt;0)),"En retard",IF(OR(AND(ISNUMBER(R462),N(R462)&lt;=p_soon),AND(ISNUMBER(S462),N(S462)&lt;=p_soon_pct*N(G462))),"Bientôt","À jour")))))</f>
        <v/>
      </c>
      <c r="V462" s="79" t="str">
        <f>IF(AND(A462="",B462="",D462=""),"",IF(A462="","N° de plan manquant",IF(COUNTIF($A$6:$A$505,A462)&gt;1,"N° de plan en double",IF(B462="","Équipement manquant",IF(ISNA(MATCH(B462,eq_code,0)),"Équipement inconnu",IF(D462="","Tâche manquante",IF(E462="","Déclenchement manquant",IF(AND(E462&lt;&gt;"Calendrier",E462&lt;&gt;"Compteur",E462&lt;&gt;"Au premier des deux"),"Déclenchement inconnu",IF(AND(E462&lt;&gt;"Compteur",OR(NOT(ISNUMBER(F462)),N(F462)&lt;=0)),"Périodicité en jours manquante",IF(AND(E462&lt;&gt;"Calendrier",OR(NOT(ISNUMBER(G462)),N(G462)&lt;=0)),"Périodicité compteur manquante",IF(AND(J462&lt;&gt;"",OR(NOT(ISNUMBER(J462)),N(J462)&lt;=0)),"Date de réalisation invalide",IF(AND(K462&lt;&gt;"",OR(NOT(ISNUMBER(K462)),N(K462)&lt;0)),"Compteur de réalisation invalide",IF(AND(E462&lt;&gt;"Compteur",N(M462)=0,IFERROR(N(INDEX(eq_start,MATCH(B462,eq_code,0))),0)=0),"Date de départ manquante",IF(AND(E462&lt;&gt;"Calendrier",K462="",N(N462)=0),"Compteur de départ manquant",IF(AND(E462&lt;&gt;"Calendrier",N(Q462)=0),"Relevé compteur manquant (Équipements)",IF(AND(I462&lt;&gt;"",ISNA(MATCH(I462,tech_name,0))),"Technicien inconnu",IF(AND(L462&lt;&gt;"",L462&lt;&gt;"Oui",L462&lt;&gt;"Non"),"Actif : Oui ou Non","OK")))))))))))))))))</f>
        <v/>
      </c>
      <c r="W462" s="67">
        <f>IFERROR(N(INDEX(eq_use,MATCH(B462,eq_code,0))),0)</f>
        <v>0.0</v>
      </c>
      <c r="X462" s="67" t="str">
        <f>IF(AND(ISNUMBER(S462),W462&gt;0),p_today+MAX(0,ROUNDUP(S462*7/W462,0)),"")</f>
        <v/>
      </c>
      <c r="Y462" s="67" t="str">
        <f>IF(AND(ISNUMBER(T462),OR(U462="En retard",U462="Bientôt",U462="À jour")),IF(AND(ISNUMBER(O462),ISNUMBER(X462)),MIN(F462,G462*7/W462),IF(ISNUMBER(O462),F462,G462*7/W462)),"")</f>
        <v/>
      </c>
      <c r="Z462" s="67" t="str">
        <f>IF(OR(U462="En retard",U462="Bientôt"),IF(U462="En retard",0,1)*1000000000+IF(AB462="A",0,IF(AB462="B",1,IF(AB462="C",2,3)))*100000000+IF(ISNUMBER(T462),T462,p_today)*1000+ROW()-5,"")</f>
        <v/>
      </c>
      <c r="AA462" s="67" t="str">
        <f>IF(Z462="","",COUNTIF($Z$6:$Z$505,"&lt;"&amp;Z462)+1)</f>
        <v/>
      </c>
      <c r="AB462" s="67" t="str">
        <f>IFERROR(INDEX(eq_crit,MATCH(B462,eq_code,0))&amp;"","")</f>
        <v/>
      </c>
    </row>
    <row r="463">
      <c r="A463" s="65" t="n"/>
      <c r="B463" s="66" t="n"/>
      <c r="C463" s="67" t="str">
        <f>IF(B463="","",IFERROR(INDEX(eq_des,MATCH(B463,eq_code,0))&amp;"","Équipement inconnu"))</f>
        <v/>
      </c>
      <c r="D463" s="66" t="n"/>
      <c r="E463" s="68" t="n"/>
      <c r="F463" s="69" t="n"/>
      <c r="G463" s="70" t="n"/>
      <c r="H463" s="71" t="n"/>
      <c r="I463" s="66" t="n"/>
      <c r="J463" s="72" t="n"/>
      <c r="K463" s="73" t="n"/>
      <c r="L463" s="68" t="n"/>
      <c r="M463" s="74" t="str">
        <f>IF(AND(A463="",B463="",D463=""),"",MAX(N(J463),IF(A463="",0,SUMPRODUCT(MAX((in_plan=A463)*in_prev*in_dnum)))))</f>
        <v/>
      </c>
      <c r="N463" s="75" t="str">
        <f>IF(AND(A463="",B463="",D463=""),"",MAX(N(K463),IF(A463="",0,SUMPRODUCT(MAX((in_plan=A463)*in_prev*in_cnum)))))</f>
        <v/>
      </c>
      <c r="O463" s="76" t="str">
        <f>IF(AND(OR(E463="Calendrier",E463="Au premier des deux"),N(F463)&gt;0,IF(N(M463)&gt;0,M463,IFERROR(N(INDEX(eq_start,MATCH(B463,eq_code,0))),0))&gt;0),IF(N(M463)&gt;0,M463,IFERROR(N(INDEX(eq_start,MATCH(B463,eq_code,0))),0))+F463,"")</f>
        <v/>
      </c>
      <c r="P463" s="75" t="str">
        <f>IF(AND(OR(E463="Compteur",E463="Au premier des deux"),N(G463)&gt;0),N(N463)+G463,"")</f>
        <v/>
      </c>
      <c r="Q463" s="75" t="str">
        <f>IF(B463="","",IFERROR(N(INDEX(eq_cnt,MATCH(B463,eq_code,0))),""))</f>
        <v/>
      </c>
      <c r="R463" s="77" t="str">
        <f>IF(ISNUMBER(O463),O463-p_today,"")</f>
        <v/>
      </c>
      <c r="S463" s="78" t="str">
        <f>IF(AND(ISNUMBER(P463),N(Q463)&gt;0),P463-Q463,"")</f>
        <v/>
      </c>
      <c r="T463" s="76" t="str">
        <f>IF(AND(ISNUMBER(O463),ISNUMBER(X463)),MIN(O463,X463),IF(ISNUMBER(O463),O463,X463))</f>
        <v/>
      </c>
      <c r="U463" s="79" t="str">
        <f>IF(AND(A463="",B463="",D463=""),"",IF(L463="Non","Inactif",IF(AND(NOT(ISNUMBER(R463)),NOT(ISNUMBER(S463))),"À compléter",IF(OR(AND(ISNUMBER(R463),N(R463)&lt;0),AND(ISNUMBER(S463),N(S463)&lt;0)),"En retard",IF(OR(AND(ISNUMBER(R463),N(R463)&lt;=p_soon),AND(ISNUMBER(S463),N(S463)&lt;=p_soon_pct*N(G463))),"Bientôt","À jour")))))</f>
        <v/>
      </c>
      <c r="V463" s="79" t="str">
        <f>IF(AND(A463="",B463="",D463=""),"",IF(A463="","N° de plan manquant",IF(COUNTIF($A$6:$A$505,A463)&gt;1,"N° de plan en double",IF(B463="","Équipement manquant",IF(ISNA(MATCH(B463,eq_code,0)),"Équipement inconnu",IF(D463="","Tâche manquante",IF(E463="","Déclenchement manquant",IF(AND(E463&lt;&gt;"Calendrier",E463&lt;&gt;"Compteur",E463&lt;&gt;"Au premier des deux"),"Déclenchement inconnu",IF(AND(E463&lt;&gt;"Compteur",OR(NOT(ISNUMBER(F463)),N(F463)&lt;=0)),"Périodicité en jours manquante",IF(AND(E463&lt;&gt;"Calendrier",OR(NOT(ISNUMBER(G463)),N(G463)&lt;=0)),"Périodicité compteur manquante",IF(AND(J463&lt;&gt;"",OR(NOT(ISNUMBER(J463)),N(J463)&lt;=0)),"Date de réalisation invalide",IF(AND(K463&lt;&gt;"",OR(NOT(ISNUMBER(K463)),N(K463)&lt;0)),"Compteur de réalisation invalide",IF(AND(E463&lt;&gt;"Compteur",N(M463)=0,IFERROR(N(INDEX(eq_start,MATCH(B463,eq_code,0))),0)=0),"Date de départ manquante",IF(AND(E463&lt;&gt;"Calendrier",K463="",N(N463)=0),"Compteur de départ manquant",IF(AND(E463&lt;&gt;"Calendrier",N(Q463)=0),"Relevé compteur manquant (Équipements)",IF(AND(I463&lt;&gt;"",ISNA(MATCH(I463,tech_name,0))),"Technicien inconnu",IF(AND(L463&lt;&gt;"",L463&lt;&gt;"Oui",L463&lt;&gt;"Non"),"Actif : Oui ou Non","OK")))))))))))))))))</f>
        <v/>
      </c>
      <c r="W463" s="67">
        <f>IFERROR(N(INDEX(eq_use,MATCH(B463,eq_code,0))),0)</f>
        <v>0.0</v>
      </c>
      <c r="X463" s="67" t="str">
        <f>IF(AND(ISNUMBER(S463),W463&gt;0),p_today+MAX(0,ROUNDUP(S463*7/W463,0)),"")</f>
        <v/>
      </c>
      <c r="Y463" s="67" t="str">
        <f>IF(AND(ISNUMBER(T463),OR(U463="En retard",U463="Bientôt",U463="À jour")),IF(AND(ISNUMBER(O463),ISNUMBER(X463)),MIN(F463,G463*7/W463),IF(ISNUMBER(O463),F463,G463*7/W463)),"")</f>
        <v/>
      </c>
      <c r="Z463" s="67" t="str">
        <f>IF(OR(U463="En retard",U463="Bientôt"),IF(U463="En retard",0,1)*1000000000+IF(AB463="A",0,IF(AB463="B",1,IF(AB463="C",2,3)))*100000000+IF(ISNUMBER(T463),T463,p_today)*1000+ROW()-5,"")</f>
        <v/>
      </c>
      <c r="AA463" s="67" t="str">
        <f>IF(Z463="","",COUNTIF($Z$6:$Z$505,"&lt;"&amp;Z463)+1)</f>
        <v/>
      </c>
      <c r="AB463" s="67" t="str">
        <f>IFERROR(INDEX(eq_crit,MATCH(B463,eq_code,0))&amp;"","")</f>
        <v/>
      </c>
    </row>
    <row r="464">
      <c r="A464" s="65" t="n"/>
      <c r="B464" s="66" t="n"/>
      <c r="C464" s="67" t="str">
        <f>IF(B464="","",IFERROR(INDEX(eq_des,MATCH(B464,eq_code,0))&amp;"","Équipement inconnu"))</f>
        <v/>
      </c>
      <c r="D464" s="66" t="n"/>
      <c r="E464" s="68" t="n"/>
      <c r="F464" s="69" t="n"/>
      <c r="G464" s="70" t="n"/>
      <c r="H464" s="71" t="n"/>
      <c r="I464" s="66" t="n"/>
      <c r="J464" s="72" t="n"/>
      <c r="K464" s="73" t="n"/>
      <c r="L464" s="68" t="n"/>
      <c r="M464" s="74" t="str">
        <f>IF(AND(A464="",B464="",D464=""),"",MAX(N(J464),IF(A464="",0,SUMPRODUCT(MAX((in_plan=A464)*in_prev*in_dnum)))))</f>
        <v/>
      </c>
      <c r="N464" s="75" t="str">
        <f>IF(AND(A464="",B464="",D464=""),"",MAX(N(K464),IF(A464="",0,SUMPRODUCT(MAX((in_plan=A464)*in_prev*in_cnum)))))</f>
        <v/>
      </c>
      <c r="O464" s="76" t="str">
        <f>IF(AND(OR(E464="Calendrier",E464="Au premier des deux"),N(F464)&gt;0,IF(N(M464)&gt;0,M464,IFERROR(N(INDEX(eq_start,MATCH(B464,eq_code,0))),0))&gt;0),IF(N(M464)&gt;0,M464,IFERROR(N(INDEX(eq_start,MATCH(B464,eq_code,0))),0))+F464,"")</f>
        <v/>
      </c>
      <c r="P464" s="75" t="str">
        <f>IF(AND(OR(E464="Compteur",E464="Au premier des deux"),N(G464)&gt;0),N(N464)+G464,"")</f>
        <v/>
      </c>
      <c r="Q464" s="75" t="str">
        <f>IF(B464="","",IFERROR(N(INDEX(eq_cnt,MATCH(B464,eq_code,0))),""))</f>
        <v/>
      </c>
      <c r="R464" s="77" t="str">
        <f>IF(ISNUMBER(O464),O464-p_today,"")</f>
        <v/>
      </c>
      <c r="S464" s="78" t="str">
        <f>IF(AND(ISNUMBER(P464),N(Q464)&gt;0),P464-Q464,"")</f>
        <v/>
      </c>
      <c r="T464" s="76" t="str">
        <f>IF(AND(ISNUMBER(O464),ISNUMBER(X464)),MIN(O464,X464),IF(ISNUMBER(O464),O464,X464))</f>
        <v/>
      </c>
      <c r="U464" s="79" t="str">
        <f>IF(AND(A464="",B464="",D464=""),"",IF(L464="Non","Inactif",IF(AND(NOT(ISNUMBER(R464)),NOT(ISNUMBER(S464))),"À compléter",IF(OR(AND(ISNUMBER(R464),N(R464)&lt;0),AND(ISNUMBER(S464),N(S464)&lt;0)),"En retard",IF(OR(AND(ISNUMBER(R464),N(R464)&lt;=p_soon),AND(ISNUMBER(S464),N(S464)&lt;=p_soon_pct*N(G464))),"Bientôt","À jour")))))</f>
        <v/>
      </c>
      <c r="V464" s="79" t="str">
        <f>IF(AND(A464="",B464="",D464=""),"",IF(A464="","N° de plan manquant",IF(COUNTIF($A$6:$A$505,A464)&gt;1,"N° de plan en double",IF(B464="","Équipement manquant",IF(ISNA(MATCH(B464,eq_code,0)),"Équipement inconnu",IF(D464="","Tâche manquante",IF(E464="","Déclenchement manquant",IF(AND(E464&lt;&gt;"Calendrier",E464&lt;&gt;"Compteur",E464&lt;&gt;"Au premier des deux"),"Déclenchement inconnu",IF(AND(E464&lt;&gt;"Compteur",OR(NOT(ISNUMBER(F464)),N(F464)&lt;=0)),"Périodicité en jours manquante",IF(AND(E464&lt;&gt;"Calendrier",OR(NOT(ISNUMBER(G464)),N(G464)&lt;=0)),"Périodicité compteur manquante",IF(AND(J464&lt;&gt;"",OR(NOT(ISNUMBER(J464)),N(J464)&lt;=0)),"Date de réalisation invalide",IF(AND(K464&lt;&gt;"",OR(NOT(ISNUMBER(K464)),N(K464)&lt;0)),"Compteur de réalisation invalide",IF(AND(E464&lt;&gt;"Compteur",N(M464)=0,IFERROR(N(INDEX(eq_start,MATCH(B464,eq_code,0))),0)=0),"Date de départ manquante",IF(AND(E464&lt;&gt;"Calendrier",K464="",N(N464)=0),"Compteur de départ manquant",IF(AND(E464&lt;&gt;"Calendrier",N(Q464)=0),"Relevé compteur manquant (Équipements)",IF(AND(I464&lt;&gt;"",ISNA(MATCH(I464,tech_name,0))),"Technicien inconnu",IF(AND(L464&lt;&gt;"",L464&lt;&gt;"Oui",L464&lt;&gt;"Non"),"Actif : Oui ou Non","OK")))))))))))))))))</f>
        <v/>
      </c>
      <c r="W464" s="67">
        <f>IFERROR(N(INDEX(eq_use,MATCH(B464,eq_code,0))),0)</f>
        <v>0.0</v>
      </c>
      <c r="X464" s="67" t="str">
        <f>IF(AND(ISNUMBER(S464),W464&gt;0),p_today+MAX(0,ROUNDUP(S464*7/W464,0)),"")</f>
        <v/>
      </c>
      <c r="Y464" s="67" t="str">
        <f>IF(AND(ISNUMBER(T464),OR(U464="En retard",U464="Bientôt",U464="À jour")),IF(AND(ISNUMBER(O464),ISNUMBER(X464)),MIN(F464,G464*7/W464),IF(ISNUMBER(O464),F464,G464*7/W464)),"")</f>
        <v/>
      </c>
      <c r="Z464" s="67" t="str">
        <f>IF(OR(U464="En retard",U464="Bientôt"),IF(U464="En retard",0,1)*1000000000+IF(AB464="A",0,IF(AB464="B",1,IF(AB464="C",2,3)))*100000000+IF(ISNUMBER(T464),T464,p_today)*1000+ROW()-5,"")</f>
        <v/>
      </c>
      <c r="AA464" s="67" t="str">
        <f>IF(Z464="","",COUNTIF($Z$6:$Z$505,"&lt;"&amp;Z464)+1)</f>
        <v/>
      </c>
      <c r="AB464" s="67" t="str">
        <f>IFERROR(INDEX(eq_crit,MATCH(B464,eq_code,0))&amp;"","")</f>
        <v/>
      </c>
    </row>
    <row r="465">
      <c r="A465" s="65" t="n"/>
      <c r="B465" s="66" t="n"/>
      <c r="C465" s="67" t="str">
        <f>IF(B465="","",IFERROR(INDEX(eq_des,MATCH(B465,eq_code,0))&amp;"","Équipement inconnu"))</f>
        <v/>
      </c>
      <c r="D465" s="66" t="n"/>
      <c r="E465" s="68" t="n"/>
      <c r="F465" s="69" t="n"/>
      <c r="G465" s="70" t="n"/>
      <c r="H465" s="71" t="n"/>
      <c r="I465" s="66" t="n"/>
      <c r="J465" s="72" t="n"/>
      <c r="K465" s="73" t="n"/>
      <c r="L465" s="68" t="n"/>
      <c r="M465" s="74" t="str">
        <f>IF(AND(A465="",B465="",D465=""),"",MAX(N(J465),IF(A465="",0,SUMPRODUCT(MAX((in_plan=A465)*in_prev*in_dnum)))))</f>
        <v/>
      </c>
      <c r="N465" s="75" t="str">
        <f>IF(AND(A465="",B465="",D465=""),"",MAX(N(K465),IF(A465="",0,SUMPRODUCT(MAX((in_plan=A465)*in_prev*in_cnum)))))</f>
        <v/>
      </c>
      <c r="O465" s="76" t="str">
        <f>IF(AND(OR(E465="Calendrier",E465="Au premier des deux"),N(F465)&gt;0,IF(N(M465)&gt;0,M465,IFERROR(N(INDEX(eq_start,MATCH(B465,eq_code,0))),0))&gt;0),IF(N(M465)&gt;0,M465,IFERROR(N(INDEX(eq_start,MATCH(B465,eq_code,0))),0))+F465,"")</f>
        <v/>
      </c>
      <c r="P465" s="75" t="str">
        <f>IF(AND(OR(E465="Compteur",E465="Au premier des deux"),N(G465)&gt;0),N(N465)+G465,"")</f>
        <v/>
      </c>
      <c r="Q465" s="75" t="str">
        <f>IF(B465="","",IFERROR(N(INDEX(eq_cnt,MATCH(B465,eq_code,0))),""))</f>
        <v/>
      </c>
      <c r="R465" s="77" t="str">
        <f>IF(ISNUMBER(O465),O465-p_today,"")</f>
        <v/>
      </c>
      <c r="S465" s="78" t="str">
        <f>IF(AND(ISNUMBER(P465),N(Q465)&gt;0),P465-Q465,"")</f>
        <v/>
      </c>
      <c r="T465" s="76" t="str">
        <f>IF(AND(ISNUMBER(O465),ISNUMBER(X465)),MIN(O465,X465),IF(ISNUMBER(O465),O465,X465))</f>
        <v/>
      </c>
      <c r="U465" s="79" t="str">
        <f>IF(AND(A465="",B465="",D465=""),"",IF(L465="Non","Inactif",IF(AND(NOT(ISNUMBER(R465)),NOT(ISNUMBER(S465))),"À compléter",IF(OR(AND(ISNUMBER(R465),N(R465)&lt;0),AND(ISNUMBER(S465),N(S465)&lt;0)),"En retard",IF(OR(AND(ISNUMBER(R465),N(R465)&lt;=p_soon),AND(ISNUMBER(S465),N(S465)&lt;=p_soon_pct*N(G465))),"Bientôt","À jour")))))</f>
        <v/>
      </c>
      <c r="V465" s="79" t="str">
        <f>IF(AND(A465="",B465="",D465=""),"",IF(A465="","N° de plan manquant",IF(COUNTIF($A$6:$A$505,A465)&gt;1,"N° de plan en double",IF(B465="","Équipement manquant",IF(ISNA(MATCH(B465,eq_code,0)),"Équipement inconnu",IF(D465="","Tâche manquante",IF(E465="","Déclenchement manquant",IF(AND(E465&lt;&gt;"Calendrier",E465&lt;&gt;"Compteur",E465&lt;&gt;"Au premier des deux"),"Déclenchement inconnu",IF(AND(E465&lt;&gt;"Compteur",OR(NOT(ISNUMBER(F465)),N(F465)&lt;=0)),"Périodicité en jours manquante",IF(AND(E465&lt;&gt;"Calendrier",OR(NOT(ISNUMBER(G465)),N(G465)&lt;=0)),"Périodicité compteur manquante",IF(AND(J465&lt;&gt;"",OR(NOT(ISNUMBER(J465)),N(J465)&lt;=0)),"Date de réalisation invalide",IF(AND(K465&lt;&gt;"",OR(NOT(ISNUMBER(K465)),N(K465)&lt;0)),"Compteur de réalisation invalide",IF(AND(E465&lt;&gt;"Compteur",N(M465)=0,IFERROR(N(INDEX(eq_start,MATCH(B465,eq_code,0))),0)=0),"Date de départ manquante",IF(AND(E465&lt;&gt;"Calendrier",K465="",N(N465)=0),"Compteur de départ manquant",IF(AND(E465&lt;&gt;"Calendrier",N(Q465)=0),"Relevé compteur manquant (Équipements)",IF(AND(I465&lt;&gt;"",ISNA(MATCH(I465,tech_name,0))),"Technicien inconnu",IF(AND(L465&lt;&gt;"",L465&lt;&gt;"Oui",L465&lt;&gt;"Non"),"Actif : Oui ou Non","OK")))))))))))))))))</f>
        <v/>
      </c>
      <c r="W465" s="67">
        <f>IFERROR(N(INDEX(eq_use,MATCH(B465,eq_code,0))),0)</f>
        <v>0.0</v>
      </c>
      <c r="X465" s="67" t="str">
        <f>IF(AND(ISNUMBER(S465),W465&gt;0),p_today+MAX(0,ROUNDUP(S465*7/W465,0)),"")</f>
        <v/>
      </c>
      <c r="Y465" s="67" t="str">
        <f>IF(AND(ISNUMBER(T465),OR(U465="En retard",U465="Bientôt",U465="À jour")),IF(AND(ISNUMBER(O465),ISNUMBER(X465)),MIN(F465,G465*7/W465),IF(ISNUMBER(O465),F465,G465*7/W465)),"")</f>
        <v/>
      </c>
      <c r="Z465" s="67" t="str">
        <f>IF(OR(U465="En retard",U465="Bientôt"),IF(U465="En retard",0,1)*1000000000+IF(AB465="A",0,IF(AB465="B",1,IF(AB465="C",2,3)))*100000000+IF(ISNUMBER(T465),T465,p_today)*1000+ROW()-5,"")</f>
        <v/>
      </c>
      <c r="AA465" s="67" t="str">
        <f>IF(Z465="","",COUNTIF($Z$6:$Z$505,"&lt;"&amp;Z465)+1)</f>
        <v/>
      </c>
      <c r="AB465" s="67" t="str">
        <f>IFERROR(INDEX(eq_crit,MATCH(B465,eq_code,0))&amp;"","")</f>
        <v/>
      </c>
    </row>
    <row r="466">
      <c r="A466" s="65" t="n"/>
      <c r="B466" s="66" t="n"/>
      <c r="C466" s="67" t="str">
        <f>IF(B466="","",IFERROR(INDEX(eq_des,MATCH(B466,eq_code,0))&amp;"","Équipement inconnu"))</f>
        <v/>
      </c>
      <c r="D466" s="66" t="n"/>
      <c r="E466" s="68" t="n"/>
      <c r="F466" s="69" t="n"/>
      <c r="G466" s="70" t="n"/>
      <c r="H466" s="71" t="n"/>
      <c r="I466" s="66" t="n"/>
      <c r="J466" s="72" t="n"/>
      <c r="K466" s="73" t="n"/>
      <c r="L466" s="68" t="n"/>
      <c r="M466" s="74" t="str">
        <f>IF(AND(A466="",B466="",D466=""),"",MAX(N(J466),IF(A466="",0,SUMPRODUCT(MAX((in_plan=A466)*in_prev*in_dnum)))))</f>
        <v/>
      </c>
      <c r="N466" s="75" t="str">
        <f>IF(AND(A466="",B466="",D466=""),"",MAX(N(K466),IF(A466="",0,SUMPRODUCT(MAX((in_plan=A466)*in_prev*in_cnum)))))</f>
        <v/>
      </c>
      <c r="O466" s="76" t="str">
        <f>IF(AND(OR(E466="Calendrier",E466="Au premier des deux"),N(F466)&gt;0,IF(N(M466)&gt;0,M466,IFERROR(N(INDEX(eq_start,MATCH(B466,eq_code,0))),0))&gt;0),IF(N(M466)&gt;0,M466,IFERROR(N(INDEX(eq_start,MATCH(B466,eq_code,0))),0))+F466,"")</f>
        <v/>
      </c>
      <c r="P466" s="75" t="str">
        <f>IF(AND(OR(E466="Compteur",E466="Au premier des deux"),N(G466)&gt;0),N(N466)+G466,"")</f>
        <v/>
      </c>
      <c r="Q466" s="75" t="str">
        <f>IF(B466="","",IFERROR(N(INDEX(eq_cnt,MATCH(B466,eq_code,0))),""))</f>
        <v/>
      </c>
      <c r="R466" s="77" t="str">
        <f>IF(ISNUMBER(O466),O466-p_today,"")</f>
        <v/>
      </c>
      <c r="S466" s="78" t="str">
        <f>IF(AND(ISNUMBER(P466),N(Q466)&gt;0),P466-Q466,"")</f>
        <v/>
      </c>
      <c r="T466" s="76" t="str">
        <f>IF(AND(ISNUMBER(O466),ISNUMBER(X466)),MIN(O466,X466),IF(ISNUMBER(O466),O466,X466))</f>
        <v/>
      </c>
      <c r="U466" s="79" t="str">
        <f>IF(AND(A466="",B466="",D466=""),"",IF(L466="Non","Inactif",IF(AND(NOT(ISNUMBER(R466)),NOT(ISNUMBER(S466))),"À compléter",IF(OR(AND(ISNUMBER(R466),N(R466)&lt;0),AND(ISNUMBER(S466),N(S466)&lt;0)),"En retard",IF(OR(AND(ISNUMBER(R466),N(R466)&lt;=p_soon),AND(ISNUMBER(S466),N(S466)&lt;=p_soon_pct*N(G466))),"Bientôt","À jour")))))</f>
        <v/>
      </c>
      <c r="V466" s="79" t="str">
        <f>IF(AND(A466="",B466="",D466=""),"",IF(A466="","N° de plan manquant",IF(COUNTIF($A$6:$A$505,A466)&gt;1,"N° de plan en double",IF(B466="","Équipement manquant",IF(ISNA(MATCH(B466,eq_code,0)),"Équipement inconnu",IF(D466="","Tâche manquante",IF(E466="","Déclenchement manquant",IF(AND(E466&lt;&gt;"Calendrier",E466&lt;&gt;"Compteur",E466&lt;&gt;"Au premier des deux"),"Déclenchement inconnu",IF(AND(E466&lt;&gt;"Compteur",OR(NOT(ISNUMBER(F466)),N(F466)&lt;=0)),"Périodicité en jours manquante",IF(AND(E466&lt;&gt;"Calendrier",OR(NOT(ISNUMBER(G466)),N(G466)&lt;=0)),"Périodicité compteur manquante",IF(AND(J466&lt;&gt;"",OR(NOT(ISNUMBER(J466)),N(J466)&lt;=0)),"Date de réalisation invalide",IF(AND(K466&lt;&gt;"",OR(NOT(ISNUMBER(K466)),N(K466)&lt;0)),"Compteur de réalisation invalide",IF(AND(E466&lt;&gt;"Compteur",N(M466)=0,IFERROR(N(INDEX(eq_start,MATCH(B466,eq_code,0))),0)=0),"Date de départ manquante",IF(AND(E466&lt;&gt;"Calendrier",K466="",N(N466)=0),"Compteur de départ manquant",IF(AND(E466&lt;&gt;"Calendrier",N(Q466)=0),"Relevé compteur manquant (Équipements)",IF(AND(I466&lt;&gt;"",ISNA(MATCH(I466,tech_name,0))),"Technicien inconnu",IF(AND(L466&lt;&gt;"",L466&lt;&gt;"Oui",L466&lt;&gt;"Non"),"Actif : Oui ou Non","OK")))))))))))))))))</f>
        <v/>
      </c>
      <c r="W466" s="67">
        <f>IFERROR(N(INDEX(eq_use,MATCH(B466,eq_code,0))),0)</f>
        <v>0.0</v>
      </c>
      <c r="X466" s="67" t="str">
        <f>IF(AND(ISNUMBER(S466),W466&gt;0),p_today+MAX(0,ROUNDUP(S466*7/W466,0)),"")</f>
        <v/>
      </c>
      <c r="Y466" s="67" t="str">
        <f>IF(AND(ISNUMBER(T466),OR(U466="En retard",U466="Bientôt",U466="À jour")),IF(AND(ISNUMBER(O466),ISNUMBER(X466)),MIN(F466,G466*7/W466),IF(ISNUMBER(O466),F466,G466*7/W466)),"")</f>
        <v/>
      </c>
      <c r="Z466" s="67" t="str">
        <f>IF(OR(U466="En retard",U466="Bientôt"),IF(U466="En retard",0,1)*1000000000+IF(AB466="A",0,IF(AB466="B",1,IF(AB466="C",2,3)))*100000000+IF(ISNUMBER(T466),T466,p_today)*1000+ROW()-5,"")</f>
        <v/>
      </c>
      <c r="AA466" s="67" t="str">
        <f>IF(Z466="","",COUNTIF($Z$6:$Z$505,"&lt;"&amp;Z466)+1)</f>
        <v/>
      </c>
      <c r="AB466" s="67" t="str">
        <f>IFERROR(INDEX(eq_crit,MATCH(B466,eq_code,0))&amp;"","")</f>
        <v/>
      </c>
    </row>
    <row r="467">
      <c r="A467" s="65" t="n"/>
      <c r="B467" s="66" t="n"/>
      <c r="C467" s="67" t="str">
        <f>IF(B467="","",IFERROR(INDEX(eq_des,MATCH(B467,eq_code,0))&amp;"","Équipement inconnu"))</f>
        <v/>
      </c>
      <c r="D467" s="66" t="n"/>
      <c r="E467" s="68" t="n"/>
      <c r="F467" s="69" t="n"/>
      <c r="G467" s="70" t="n"/>
      <c r="H467" s="71" t="n"/>
      <c r="I467" s="66" t="n"/>
      <c r="J467" s="72" t="n"/>
      <c r="K467" s="73" t="n"/>
      <c r="L467" s="68" t="n"/>
      <c r="M467" s="74" t="str">
        <f>IF(AND(A467="",B467="",D467=""),"",MAX(N(J467),IF(A467="",0,SUMPRODUCT(MAX((in_plan=A467)*in_prev*in_dnum)))))</f>
        <v/>
      </c>
      <c r="N467" s="75" t="str">
        <f>IF(AND(A467="",B467="",D467=""),"",MAX(N(K467),IF(A467="",0,SUMPRODUCT(MAX((in_plan=A467)*in_prev*in_cnum)))))</f>
        <v/>
      </c>
      <c r="O467" s="76" t="str">
        <f>IF(AND(OR(E467="Calendrier",E467="Au premier des deux"),N(F467)&gt;0,IF(N(M467)&gt;0,M467,IFERROR(N(INDEX(eq_start,MATCH(B467,eq_code,0))),0))&gt;0),IF(N(M467)&gt;0,M467,IFERROR(N(INDEX(eq_start,MATCH(B467,eq_code,0))),0))+F467,"")</f>
        <v/>
      </c>
      <c r="P467" s="75" t="str">
        <f>IF(AND(OR(E467="Compteur",E467="Au premier des deux"),N(G467)&gt;0),N(N467)+G467,"")</f>
        <v/>
      </c>
      <c r="Q467" s="75" t="str">
        <f>IF(B467="","",IFERROR(N(INDEX(eq_cnt,MATCH(B467,eq_code,0))),""))</f>
        <v/>
      </c>
      <c r="R467" s="77" t="str">
        <f>IF(ISNUMBER(O467),O467-p_today,"")</f>
        <v/>
      </c>
      <c r="S467" s="78" t="str">
        <f>IF(AND(ISNUMBER(P467),N(Q467)&gt;0),P467-Q467,"")</f>
        <v/>
      </c>
      <c r="T467" s="76" t="str">
        <f>IF(AND(ISNUMBER(O467),ISNUMBER(X467)),MIN(O467,X467),IF(ISNUMBER(O467),O467,X467))</f>
        <v/>
      </c>
      <c r="U467" s="79" t="str">
        <f>IF(AND(A467="",B467="",D467=""),"",IF(L467="Non","Inactif",IF(AND(NOT(ISNUMBER(R467)),NOT(ISNUMBER(S467))),"À compléter",IF(OR(AND(ISNUMBER(R467),N(R467)&lt;0),AND(ISNUMBER(S467),N(S467)&lt;0)),"En retard",IF(OR(AND(ISNUMBER(R467),N(R467)&lt;=p_soon),AND(ISNUMBER(S467),N(S467)&lt;=p_soon_pct*N(G467))),"Bientôt","À jour")))))</f>
        <v/>
      </c>
      <c r="V467" s="79" t="str">
        <f>IF(AND(A467="",B467="",D467=""),"",IF(A467="","N° de plan manquant",IF(COUNTIF($A$6:$A$505,A467)&gt;1,"N° de plan en double",IF(B467="","Équipement manquant",IF(ISNA(MATCH(B467,eq_code,0)),"Équipement inconnu",IF(D467="","Tâche manquante",IF(E467="","Déclenchement manquant",IF(AND(E467&lt;&gt;"Calendrier",E467&lt;&gt;"Compteur",E467&lt;&gt;"Au premier des deux"),"Déclenchement inconnu",IF(AND(E467&lt;&gt;"Compteur",OR(NOT(ISNUMBER(F467)),N(F467)&lt;=0)),"Périodicité en jours manquante",IF(AND(E467&lt;&gt;"Calendrier",OR(NOT(ISNUMBER(G467)),N(G467)&lt;=0)),"Périodicité compteur manquante",IF(AND(J467&lt;&gt;"",OR(NOT(ISNUMBER(J467)),N(J467)&lt;=0)),"Date de réalisation invalide",IF(AND(K467&lt;&gt;"",OR(NOT(ISNUMBER(K467)),N(K467)&lt;0)),"Compteur de réalisation invalide",IF(AND(E467&lt;&gt;"Compteur",N(M467)=0,IFERROR(N(INDEX(eq_start,MATCH(B467,eq_code,0))),0)=0),"Date de départ manquante",IF(AND(E467&lt;&gt;"Calendrier",K467="",N(N467)=0),"Compteur de départ manquant",IF(AND(E467&lt;&gt;"Calendrier",N(Q467)=0),"Relevé compteur manquant (Équipements)",IF(AND(I467&lt;&gt;"",ISNA(MATCH(I467,tech_name,0))),"Technicien inconnu",IF(AND(L467&lt;&gt;"",L467&lt;&gt;"Oui",L467&lt;&gt;"Non"),"Actif : Oui ou Non","OK")))))))))))))))))</f>
        <v/>
      </c>
      <c r="W467" s="67">
        <f>IFERROR(N(INDEX(eq_use,MATCH(B467,eq_code,0))),0)</f>
        <v>0.0</v>
      </c>
      <c r="X467" s="67" t="str">
        <f>IF(AND(ISNUMBER(S467),W467&gt;0),p_today+MAX(0,ROUNDUP(S467*7/W467,0)),"")</f>
        <v/>
      </c>
      <c r="Y467" s="67" t="str">
        <f>IF(AND(ISNUMBER(T467),OR(U467="En retard",U467="Bientôt",U467="À jour")),IF(AND(ISNUMBER(O467),ISNUMBER(X467)),MIN(F467,G467*7/W467),IF(ISNUMBER(O467),F467,G467*7/W467)),"")</f>
        <v/>
      </c>
      <c r="Z467" s="67" t="str">
        <f>IF(OR(U467="En retard",U467="Bientôt"),IF(U467="En retard",0,1)*1000000000+IF(AB467="A",0,IF(AB467="B",1,IF(AB467="C",2,3)))*100000000+IF(ISNUMBER(T467),T467,p_today)*1000+ROW()-5,"")</f>
        <v/>
      </c>
      <c r="AA467" s="67" t="str">
        <f>IF(Z467="","",COUNTIF($Z$6:$Z$505,"&lt;"&amp;Z467)+1)</f>
        <v/>
      </c>
      <c r="AB467" s="67" t="str">
        <f>IFERROR(INDEX(eq_crit,MATCH(B467,eq_code,0))&amp;"","")</f>
        <v/>
      </c>
    </row>
    <row r="468">
      <c r="A468" s="65" t="n"/>
      <c r="B468" s="66" t="n"/>
      <c r="C468" s="67" t="str">
        <f>IF(B468="","",IFERROR(INDEX(eq_des,MATCH(B468,eq_code,0))&amp;"","Équipement inconnu"))</f>
        <v/>
      </c>
      <c r="D468" s="66" t="n"/>
      <c r="E468" s="68" t="n"/>
      <c r="F468" s="69" t="n"/>
      <c r="G468" s="70" t="n"/>
      <c r="H468" s="71" t="n"/>
      <c r="I468" s="66" t="n"/>
      <c r="J468" s="72" t="n"/>
      <c r="K468" s="73" t="n"/>
      <c r="L468" s="68" t="n"/>
      <c r="M468" s="74" t="str">
        <f>IF(AND(A468="",B468="",D468=""),"",MAX(N(J468),IF(A468="",0,SUMPRODUCT(MAX((in_plan=A468)*in_prev*in_dnum)))))</f>
        <v/>
      </c>
      <c r="N468" s="75" t="str">
        <f>IF(AND(A468="",B468="",D468=""),"",MAX(N(K468),IF(A468="",0,SUMPRODUCT(MAX((in_plan=A468)*in_prev*in_cnum)))))</f>
        <v/>
      </c>
      <c r="O468" s="76" t="str">
        <f>IF(AND(OR(E468="Calendrier",E468="Au premier des deux"),N(F468)&gt;0,IF(N(M468)&gt;0,M468,IFERROR(N(INDEX(eq_start,MATCH(B468,eq_code,0))),0))&gt;0),IF(N(M468)&gt;0,M468,IFERROR(N(INDEX(eq_start,MATCH(B468,eq_code,0))),0))+F468,"")</f>
        <v/>
      </c>
      <c r="P468" s="75" t="str">
        <f>IF(AND(OR(E468="Compteur",E468="Au premier des deux"),N(G468)&gt;0),N(N468)+G468,"")</f>
        <v/>
      </c>
      <c r="Q468" s="75" t="str">
        <f>IF(B468="","",IFERROR(N(INDEX(eq_cnt,MATCH(B468,eq_code,0))),""))</f>
        <v/>
      </c>
      <c r="R468" s="77" t="str">
        <f>IF(ISNUMBER(O468),O468-p_today,"")</f>
        <v/>
      </c>
      <c r="S468" s="78" t="str">
        <f>IF(AND(ISNUMBER(P468),N(Q468)&gt;0),P468-Q468,"")</f>
        <v/>
      </c>
      <c r="T468" s="76" t="str">
        <f>IF(AND(ISNUMBER(O468),ISNUMBER(X468)),MIN(O468,X468),IF(ISNUMBER(O468),O468,X468))</f>
        <v/>
      </c>
      <c r="U468" s="79" t="str">
        <f>IF(AND(A468="",B468="",D468=""),"",IF(L468="Non","Inactif",IF(AND(NOT(ISNUMBER(R468)),NOT(ISNUMBER(S468))),"À compléter",IF(OR(AND(ISNUMBER(R468),N(R468)&lt;0),AND(ISNUMBER(S468),N(S468)&lt;0)),"En retard",IF(OR(AND(ISNUMBER(R468),N(R468)&lt;=p_soon),AND(ISNUMBER(S468),N(S468)&lt;=p_soon_pct*N(G468))),"Bientôt","À jour")))))</f>
        <v/>
      </c>
      <c r="V468" s="79" t="str">
        <f>IF(AND(A468="",B468="",D468=""),"",IF(A468="","N° de plan manquant",IF(COUNTIF($A$6:$A$505,A468)&gt;1,"N° de plan en double",IF(B468="","Équipement manquant",IF(ISNA(MATCH(B468,eq_code,0)),"Équipement inconnu",IF(D468="","Tâche manquante",IF(E468="","Déclenchement manquant",IF(AND(E468&lt;&gt;"Calendrier",E468&lt;&gt;"Compteur",E468&lt;&gt;"Au premier des deux"),"Déclenchement inconnu",IF(AND(E468&lt;&gt;"Compteur",OR(NOT(ISNUMBER(F468)),N(F468)&lt;=0)),"Périodicité en jours manquante",IF(AND(E468&lt;&gt;"Calendrier",OR(NOT(ISNUMBER(G468)),N(G468)&lt;=0)),"Périodicité compteur manquante",IF(AND(J468&lt;&gt;"",OR(NOT(ISNUMBER(J468)),N(J468)&lt;=0)),"Date de réalisation invalide",IF(AND(K468&lt;&gt;"",OR(NOT(ISNUMBER(K468)),N(K468)&lt;0)),"Compteur de réalisation invalide",IF(AND(E468&lt;&gt;"Compteur",N(M468)=0,IFERROR(N(INDEX(eq_start,MATCH(B468,eq_code,0))),0)=0),"Date de départ manquante",IF(AND(E468&lt;&gt;"Calendrier",K468="",N(N468)=0),"Compteur de départ manquant",IF(AND(E468&lt;&gt;"Calendrier",N(Q468)=0),"Relevé compteur manquant (Équipements)",IF(AND(I468&lt;&gt;"",ISNA(MATCH(I468,tech_name,0))),"Technicien inconnu",IF(AND(L468&lt;&gt;"",L468&lt;&gt;"Oui",L468&lt;&gt;"Non"),"Actif : Oui ou Non","OK")))))))))))))))))</f>
        <v/>
      </c>
      <c r="W468" s="67">
        <f>IFERROR(N(INDEX(eq_use,MATCH(B468,eq_code,0))),0)</f>
        <v>0.0</v>
      </c>
      <c r="X468" s="67" t="str">
        <f>IF(AND(ISNUMBER(S468),W468&gt;0),p_today+MAX(0,ROUNDUP(S468*7/W468,0)),"")</f>
        <v/>
      </c>
      <c r="Y468" s="67" t="str">
        <f>IF(AND(ISNUMBER(T468),OR(U468="En retard",U468="Bientôt",U468="À jour")),IF(AND(ISNUMBER(O468),ISNUMBER(X468)),MIN(F468,G468*7/W468),IF(ISNUMBER(O468),F468,G468*7/W468)),"")</f>
        <v/>
      </c>
      <c r="Z468" s="67" t="str">
        <f>IF(OR(U468="En retard",U468="Bientôt"),IF(U468="En retard",0,1)*1000000000+IF(AB468="A",0,IF(AB468="B",1,IF(AB468="C",2,3)))*100000000+IF(ISNUMBER(T468),T468,p_today)*1000+ROW()-5,"")</f>
        <v/>
      </c>
      <c r="AA468" s="67" t="str">
        <f>IF(Z468="","",COUNTIF($Z$6:$Z$505,"&lt;"&amp;Z468)+1)</f>
        <v/>
      </c>
      <c r="AB468" s="67" t="str">
        <f>IFERROR(INDEX(eq_crit,MATCH(B468,eq_code,0))&amp;"","")</f>
        <v/>
      </c>
    </row>
    <row r="469">
      <c r="A469" s="65" t="n"/>
      <c r="B469" s="66" t="n"/>
      <c r="C469" s="67" t="str">
        <f>IF(B469="","",IFERROR(INDEX(eq_des,MATCH(B469,eq_code,0))&amp;"","Équipement inconnu"))</f>
        <v/>
      </c>
      <c r="D469" s="66" t="n"/>
      <c r="E469" s="68" t="n"/>
      <c r="F469" s="69" t="n"/>
      <c r="G469" s="70" t="n"/>
      <c r="H469" s="71" t="n"/>
      <c r="I469" s="66" t="n"/>
      <c r="J469" s="72" t="n"/>
      <c r="K469" s="73" t="n"/>
      <c r="L469" s="68" t="n"/>
      <c r="M469" s="74" t="str">
        <f>IF(AND(A469="",B469="",D469=""),"",MAX(N(J469),IF(A469="",0,SUMPRODUCT(MAX((in_plan=A469)*in_prev*in_dnum)))))</f>
        <v/>
      </c>
      <c r="N469" s="75" t="str">
        <f>IF(AND(A469="",B469="",D469=""),"",MAX(N(K469),IF(A469="",0,SUMPRODUCT(MAX((in_plan=A469)*in_prev*in_cnum)))))</f>
        <v/>
      </c>
      <c r="O469" s="76" t="str">
        <f>IF(AND(OR(E469="Calendrier",E469="Au premier des deux"),N(F469)&gt;0,IF(N(M469)&gt;0,M469,IFERROR(N(INDEX(eq_start,MATCH(B469,eq_code,0))),0))&gt;0),IF(N(M469)&gt;0,M469,IFERROR(N(INDEX(eq_start,MATCH(B469,eq_code,0))),0))+F469,"")</f>
        <v/>
      </c>
      <c r="P469" s="75" t="str">
        <f>IF(AND(OR(E469="Compteur",E469="Au premier des deux"),N(G469)&gt;0),N(N469)+G469,"")</f>
        <v/>
      </c>
      <c r="Q469" s="75" t="str">
        <f>IF(B469="","",IFERROR(N(INDEX(eq_cnt,MATCH(B469,eq_code,0))),""))</f>
        <v/>
      </c>
      <c r="R469" s="77" t="str">
        <f>IF(ISNUMBER(O469),O469-p_today,"")</f>
        <v/>
      </c>
      <c r="S469" s="78" t="str">
        <f>IF(AND(ISNUMBER(P469),N(Q469)&gt;0),P469-Q469,"")</f>
        <v/>
      </c>
      <c r="T469" s="76" t="str">
        <f>IF(AND(ISNUMBER(O469),ISNUMBER(X469)),MIN(O469,X469),IF(ISNUMBER(O469),O469,X469))</f>
        <v/>
      </c>
      <c r="U469" s="79" t="str">
        <f>IF(AND(A469="",B469="",D469=""),"",IF(L469="Non","Inactif",IF(AND(NOT(ISNUMBER(R469)),NOT(ISNUMBER(S469))),"À compléter",IF(OR(AND(ISNUMBER(R469),N(R469)&lt;0),AND(ISNUMBER(S469),N(S469)&lt;0)),"En retard",IF(OR(AND(ISNUMBER(R469),N(R469)&lt;=p_soon),AND(ISNUMBER(S469),N(S469)&lt;=p_soon_pct*N(G469))),"Bientôt","À jour")))))</f>
        <v/>
      </c>
      <c r="V469" s="79" t="str">
        <f>IF(AND(A469="",B469="",D469=""),"",IF(A469="","N° de plan manquant",IF(COUNTIF($A$6:$A$505,A469)&gt;1,"N° de plan en double",IF(B469="","Équipement manquant",IF(ISNA(MATCH(B469,eq_code,0)),"Équipement inconnu",IF(D469="","Tâche manquante",IF(E469="","Déclenchement manquant",IF(AND(E469&lt;&gt;"Calendrier",E469&lt;&gt;"Compteur",E469&lt;&gt;"Au premier des deux"),"Déclenchement inconnu",IF(AND(E469&lt;&gt;"Compteur",OR(NOT(ISNUMBER(F469)),N(F469)&lt;=0)),"Périodicité en jours manquante",IF(AND(E469&lt;&gt;"Calendrier",OR(NOT(ISNUMBER(G469)),N(G469)&lt;=0)),"Périodicité compteur manquante",IF(AND(J469&lt;&gt;"",OR(NOT(ISNUMBER(J469)),N(J469)&lt;=0)),"Date de réalisation invalide",IF(AND(K469&lt;&gt;"",OR(NOT(ISNUMBER(K469)),N(K469)&lt;0)),"Compteur de réalisation invalide",IF(AND(E469&lt;&gt;"Compteur",N(M469)=0,IFERROR(N(INDEX(eq_start,MATCH(B469,eq_code,0))),0)=0),"Date de départ manquante",IF(AND(E469&lt;&gt;"Calendrier",K469="",N(N469)=0),"Compteur de départ manquant",IF(AND(E469&lt;&gt;"Calendrier",N(Q469)=0),"Relevé compteur manquant (Équipements)",IF(AND(I469&lt;&gt;"",ISNA(MATCH(I469,tech_name,0))),"Technicien inconnu",IF(AND(L469&lt;&gt;"",L469&lt;&gt;"Oui",L469&lt;&gt;"Non"),"Actif : Oui ou Non","OK")))))))))))))))))</f>
        <v/>
      </c>
      <c r="W469" s="67">
        <f>IFERROR(N(INDEX(eq_use,MATCH(B469,eq_code,0))),0)</f>
        <v>0.0</v>
      </c>
      <c r="X469" s="67" t="str">
        <f>IF(AND(ISNUMBER(S469),W469&gt;0),p_today+MAX(0,ROUNDUP(S469*7/W469,0)),"")</f>
        <v/>
      </c>
      <c r="Y469" s="67" t="str">
        <f>IF(AND(ISNUMBER(T469),OR(U469="En retard",U469="Bientôt",U469="À jour")),IF(AND(ISNUMBER(O469),ISNUMBER(X469)),MIN(F469,G469*7/W469),IF(ISNUMBER(O469),F469,G469*7/W469)),"")</f>
        <v/>
      </c>
      <c r="Z469" s="67" t="str">
        <f>IF(OR(U469="En retard",U469="Bientôt"),IF(U469="En retard",0,1)*1000000000+IF(AB469="A",0,IF(AB469="B",1,IF(AB469="C",2,3)))*100000000+IF(ISNUMBER(T469),T469,p_today)*1000+ROW()-5,"")</f>
        <v/>
      </c>
      <c r="AA469" s="67" t="str">
        <f>IF(Z469="","",COUNTIF($Z$6:$Z$505,"&lt;"&amp;Z469)+1)</f>
        <v/>
      </c>
      <c r="AB469" s="67" t="str">
        <f>IFERROR(INDEX(eq_crit,MATCH(B469,eq_code,0))&amp;"","")</f>
        <v/>
      </c>
    </row>
    <row r="470">
      <c r="A470" s="65" t="n"/>
      <c r="B470" s="66" t="n"/>
      <c r="C470" s="67" t="str">
        <f>IF(B470="","",IFERROR(INDEX(eq_des,MATCH(B470,eq_code,0))&amp;"","Équipement inconnu"))</f>
        <v/>
      </c>
      <c r="D470" s="66" t="n"/>
      <c r="E470" s="68" t="n"/>
      <c r="F470" s="69" t="n"/>
      <c r="G470" s="70" t="n"/>
      <c r="H470" s="71" t="n"/>
      <c r="I470" s="66" t="n"/>
      <c r="J470" s="72" t="n"/>
      <c r="K470" s="73" t="n"/>
      <c r="L470" s="68" t="n"/>
      <c r="M470" s="74" t="str">
        <f>IF(AND(A470="",B470="",D470=""),"",MAX(N(J470),IF(A470="",0,SUMPRODUCT(MAX((in_plan=A470)*in_prev*in_dnum)))))</f>
        <v/>
      </c>
      <c r="N470" s="75" t="str">
        <f>IF(AND(A470="",B470="",D470=""),"",MAX(N(K470),IF(A470="",0,SUMPRODUCT(MAX((in_plan=A470)*in_prev*in_cnum)))))</f>
        <v/>
      </c>
      <c r="O470" s="76" t="str">
        <f>IF(AND(OR(E470="Calendrier",E470="Au premier des deux"),N(F470)&gt;0,IF(N(M470)&gt;0,M470,IFERROR(N(INDEX(eq_start,MATCH(B470,eq_code,0))),0))&gt;0),IF(N(M470)&gt;0,M470,IFERROR(N(INDEX(eq_start,MATCH(B470,eq_code,0))),0))+F470,"")</f>
        <v/>
      </c>
      <c r="P470" s="75" t="str">
        <f>IF(AND(OR(E470="Compteur",E470="Au premier des deux"),N(G470)&gt;0),N(N470)+G470,"")</f>
        <v/>
      </c>
      <c r="Q470" s="75" t="str">
        <f>IF(B470="","",IFERROR(N(INDEX(eq_cnt,MATCH(B470,eq_code,0))),""))</f>
        <v/>
      </c>
      <c r="R470" s="77" t="str">
        <f>IF(ISNUMBER(O470),O470-p_today,"")</f>
        <v/>
      </c>
      <c r="S470" s="78" t="str">
        <f>IF(AND(ISNUMBER(P470),N(Q470)&gt;0),P470-Q470,"")</f>
        <v/>
      </c>
      <c r="T470" s="76" t="str">
        <f>IF(AND(ISNUMBER(O470),ISNUMBER(X470)),MIN(O470,X470),IF(ISNUMBER(O470),O470,X470))</f>
        <v/>
      </c>
      <c r="U470" s="79" t="str">
        <f>IF(AND(A470="",B470="",D470=""),"",IF(L470="Non","Inactif",IF(AND(NOT(ISNUMBER(R470)),NOT(ISNUMBER(S470))),"À compléter",IF(OR(AND(ISNUMBER(R470),N(R470)&lt;0),AND(ISNUMBER(S470),N(S470)&lt;0)),"En retard",IF(OR(AND(ISNUMBER(R470),N(R470)&lt;=p_soon),AND(ISNUMBER(S470),N(S470)&lt;=p_soon_pct*N(G470))),"Bientôt","À jour")))))</f>
        <v/>
      </c>
      <c r="V470" s="79" t="str">
        <f>IF(AND(A470="",B470="",D470=""),"",IF(A470="","N° de plan manquant",IF(COUNTIF($A$6:$A$505,A470)&gt;1,"N° de plan en double",IF(B470="","Équipement manquant",IF(ISNA(MATCH(B470,eq_code,0)),"Équipement inconnu",IF(D470="","Tâche manquante",IF(E470="","Déclenchement manquant",IF(AND(E470&lt;&gt;"Calendrier",E470&lt;&gt;"Compteur",E470&lt;&gt;"Au premier des deux"),"Déclenchement inconnu",IF(AND(E470&lt;&gt;"Compteur",OR(NOT(ISNUMBER(F470)),N(F470)&lt;=0)),"Périodicité en jours manquante",IF(AND(E470&lt;&gt;"Calendrier",OR(NOT(ISNUMBER(G470)),N(G470)&lt;=0)),"Périodicité compteur manquante",IF(AND(J470&lt;&gt;"",OR(NOT(ISNUMBER(J470)),N(J470)&lt;=0)),"Date de réalisation invalide",IF(AND(K470&lt;&gt;"",OR(NOT(ISNUMBER(K470)),N(K470)&lt;0)),"Compteur de réalisation invalide",IF(AND(E470&lt;&gt;"Compteur",N(M470)=0,IFERROR(N(INDEX(eq_start,MATCH(B470,eq_code,0))),0)=0),"Date de départ manquante",IF(AND(E470&lt;&gt;"Calendrier",K470="",N(N470)=0),"Compteur de départ manquant",IF(AND(E470&lt;&gt;"Calendrier",N(Q470)=0),"Relevé compteur manquant (Équipements)",IF(AND(I470&lt;&gt;"",ISNA(MATCH(I470,tech_name,0))),"Technicien inconnu",IF(AND(L470&lt;&gt;"",L470&lt;&gt;"Oui",L470&lt;&gt;"Non"),"Actif : Oui ou Non","OK")))))))))))))))))</f>
        <v/>
      </c>
      <c r="W470" s="67">
        <f>IFERROR(N(INDEX(eq_use,MATCH(B470,eq_code,0))),0)</f>
        <v>0.0</v>
      </c>
      <c r="X470" s="67" t="str">
        <f>IF(AND(ISNUMBER(S470),W470&gt;0),p_today+MAX(0,ROUNDUP(S470*7/W470,0)),"")</f>
        <v/>
      </c>
      <c r="Y470" s="67" t="str">
        <f>IF(AND(ISNUMBER(T470),OR(U470="En retard",U470="Bientôt",U470="À jour")),IF(AND(ISNUMBER(O470),ISNUMBER(X470)),MIN(F470,G470*7/W470),IF(ISNUMBER(O470),F470,G470*7/W470)),"")</f>
        <v/>
      </c>
      <c r="Z470" s="67" t="str">
        <f>IF(OR(U470="En retard",U470="Bientôt"),IF(U470="En retard",0,1)*1000000000+IF(AB470="A",0,IF(AB470="B",1,IF(AB470="C",2,3)))*100000000+IF(ISNUMBER(T470),T470,p_today)*1000+ROW()-5,"")</f>
        <v/>
      </c>
      <c r="AA470" s="67" t="str">
        <f>IF(Z470="","",COUNTIF($Z$6:$Z$505,"&lt;"&amp;Z470)+1)</f>
        <v/>
      </c>
      <c r="AB470" s="67" t="str">
        <f>IFERROR(INDEX(eq_crit,MATCH(B470,eq_code,0))&amp;"","")</f>
        <v/>
      </c>
    </row>
    <row r="471">
      <c r="A471" s="65" t="n"/>
      <c r="B471" s="66" t="n"/>
      <c r="C471" s="67" t="str">
        <f>IF(B471="","",IFERROR(INDEX(eq_des,MATCH(B471,eq_code,0))&amp;"","Équipement inconnu"))</f>
        <v/>
      </c>
      <c r="D471" s="66" t="n"/>
      <c r="E471" s="68" t="n"/>
      <c r="F471" s="69" t="n"/>
      <c r="G471" s="70" t="n"/>
      <c r="H471" s="71" t="n"/>
      <c r="I471" s="66" t="n"/>
      <c r="J471" s="72" t="n"/>
      <c r="K471" s="73" t="n"/>
      <c r="L471" s="68" t="n"/>
      <c r="M471" s="74" t="str">
        <f>IF(AND(A471="",B471="",D471=""),"",MAX(N(J471),IF(A471="",0,SUMPRODUCT(MAX((in_plan=A471)*in_prev*in_dnum)))))</f>
        <v/>
      </c>
      <c r="N471" s="75" t="str">
        <f>IF(AND(A471="",B471="",D471=""),"",MAX(N(K471),IF(A471="",0,SUMPRODUCT(MAX((in_plan=A471)*in_prev*in_cnum)))))</f>
        <v/>
      </c>
      <c r="O471" s="76" t="str">
        <f>IF(AND(OR(E471="Calendrier",E471="Au premier des deux"),N(F471)&gt;0,IF(N(M471)&gt;0,M471,IFERROR(N(INDEX(eq_start,MATCH(B471,eq_code,0))),0))&gt;0),IF(N(M471)&gt;0,M471,IFERROR(N(INDEX(eq_start,MATCH(B471,eq_code,0))),0))+F471,"")</f>
        <v/>
      </c>
      <c r="P471" s="75" t="str">
        <f>IF(AND(OR(E471="Compteur",E471="Au premier des deux"),N(G471)&gt;0),N(N471)+G471,"")</f>
        <v/>
      </c>
      <c r="Q471" s="75" t="str">
        <f>IF(B471="","",IFERROR(N(INDEX(eq_cnt,MATCH(B471,eq_code,0))),""))</f>
        <v/>
      </c>
      <c r="R471" s="77" t="str">
        <f>IF(ISNUMBER(O471),O471-p_today,"")</f>
        <v/>
      </c>
      <c r="S471" s="78" t="str">
        <f>IF(AND(ISNUMBER(P471),N(Q471)&gt;0),P471-Q471,"")</f>
        <v/>
      </c>
      <c r="T471" s="76" t="str">
        <f>IF(AND(ISNUMBER(O471),ISNUMBER(X471)),MIN(O471,X471),IF(ISNUMBER(O471),O471,X471))</f>
        <v/>
      </c>
      <c r="U471" s="79" t="str">
        <f>IF(AND(A471="",B471="",D471=""),"",IF(L471="Non","Inactif",IF(AND(NOT(ISNUMBER(R471)),NOT(ISNUMBER(S471))),"À compléter",IF(OR(AND(ISNUMBER(R471),N(R471)&lt;0),AND(ISNUMBER(S471),N(S471)&lt;0)),"En retard",IF(OR(AND(ISNUMBER(R471),N(R471)&lt;=p_soon),AND(ISNUMBER(S471),N(S471)&lt;=p_soon_pct*N(G471))),"Bientôt","À jour")))))</f>
        <v/>
      </c>
      <c r="V471" s="79" t="str">
        <f>IF(AND(A471="",B471="",D471=""),"",IF(A471="","N° de plan manquant",IF(COUNTIF($A$6:$A$505,A471)&gt;1,"N° de plan en double",IF(B471="","Équipement manquant",IF(ISNA(MATCH(B471,eq_code,0)),"Équipement inconnu",IF(D471="","Tâche manquante",IF(E471="","Déclenchement manquant",IF(AND(E471&lt;&gt;"Calendrier",E471&lt;&gt;"Compteur",E471&lt;&gt;"Au premier des deux"),"Déclenchement inconnu",IF(AND(E471&lt;&gt;"Compteur",OR(NOT(ISNUMBER(F471)),N(F471)&lt;=0)),"Périodicité en jours manquante",IF(AND(E471&lt;&gt;"Calendrier",OR(NOT(ISNUMBER(G471)),N(G471)&lt;=0)),"Périodicité compteur manquante",IF(AND(J471&lt;&gt;"",OR(NOT(ISNUMBER(J471)),N(J471)&lt;=0)),"Date de réalisation invalide",IF(AND(K471&lt;&gt;"",OR(NOT(ISNUMBER(K471)),N(K471)&lt;0)),"Compteur de réalisation invalide",IF(AND(E471&lt;&gt;"Compteur",N(M471)=0,IFERROR(N(INDEX(eq_start,MATCH(B471,eq_code,0))),0)=0),"Date de départ manquante",IF(AND(E471&lt;&gt;"Calendrier",K471="",N(N471)=0),"Compteur de départ manquant",IF(AND(E471&lt;&gt;"Calendrier",N(Q471)=0),"Relevé compteur manquant (Équipements)",IF(AND(I471&lt;&gt;"",ISNA(MATCH(I471,tech_name,0))),"Technicien inconnu",IF(AND(L471&lt;&gt;"",L471&lt;&gt;"Oui",L471&lt;&gt;"Non"),"Actif : Oui ou Non","OK")))))))))))))))))</f>
        <v/>
      </c>
      <c r="W471" s="67">
        <f>IFERROR(N(INDEX(eq_use,MATCH(B471,eq_code,0))),0)</f>
        <v>0.0</v>
      </c>
      <c r="X471" s="67" t="str">
        <f>IF(AND(ISNUMBER(S471),W471&gt;0),p_today+MAX(0,ROUNDUP(S471*7/W471,0)),"")</f>
        <v/>
      </c>
      <c r="Y471" s="67" t="str">
        <f>IF(AND(ISNUMBER(T471),OR(U471="En retard",U471="Bientôt",U471="À jour")),IF(AND(ISNUMBER(O471),ISNUMBER(X471)),MIN(F471,G471*7/W471),IF(ISNUMBER(O471),F471,G471*7/W471)),"")</f>
        <v/>
      </c>
      <c r="Z471" s="67" t="str">
        <f>IF(OR(U471="En retard",U471="Bientôt"),IF(U471="En retard",0,1)*1000000000+IF(AB471="A",0,IF(AB471="B",1,IF(AB471="C",2,3)))*100000000+IF(ISNUMBER(T471),T471,p_today)*1000+ROW()-5,"")</f>
        <v/>
      </c>
      <c r="AA471" s="67" t="str">
        <f>IF(Z471="","",COUNTIF($Z$6:$Z$505,"&lt;"&amp;Z471)+1)</f>
        <v/>
      </c>
      <c r="AB471" s="67" t="str">
        <f>IFERROR(INDEX(eq_crit,MATCH(B471,eq_code,0))&amp;"","")</f>
        <v/>
      </c>
    </row>
    <row r="472">
      <c r="A472" s="65" t="n"/>
      <c r="B472" s="66" t="n"/>
      <c r="C472" s="67" t="str">
        <f>IF(B472="","",IFERROR(INDEX(eq_des,MATCH(B472,eq_code,0))&amp;"","Équipement inconnu"))</f>
        <v/>
      </c>
      <c r="D472" s="66" t="n"/>
      <c r="E472" s="68" t="n"/>
      <c r="F472" s="69" t="n"/>
      <c r="G472" s="70" t="n"/>
      <c r="H472" s="71" t="n"/>
      <c r="I472" s="66" t="n"/>
      <c r="J472" s="72" t="n"/>
      <c r="K472" s="73" t="n"/>
      <c r="L472" s="68" t="n"/>
      <c r="M472" s="74" t="str">
        <f>IF(AND(A472="",B472="",D472=""),"",MAX(N(J472),IF(A472="",0,SUMPRODUCT(MAX((in_plan=A472)*in_prev*in_dnum)))))</f>
        <v/>
      </c>
      <c r="N472" s="75" t="str">
        <f>IF(AND(A472="",B472="",D472=""),"",MAX(N(K472),IF(A472="",0,SUMPRODUCT(MAX((in_plan=A472)*in_prev*in_cnum)))))</f>
        <v/>
      </c>
      <c r="O472" s="76" t="str">
        <f>IF(AND(OR(E472="Calendrier",E472="Au premier des deux"),N(F472)&gt;0,IF(N(M472)&gt;0,M472,IFERROR(N(INDEX(eq_start,MATCH(B472,eq_code,0))),0))&gt;0),IF(N(M472)&gt;0,M472,IFERROR(N(INDEX(eq_start,MATCH(B472,eq_code,0))),0))+F472,"")</f>
        <v/>
      </c>
      <c r="P472" s="75" t="str">
        <f>IF(AND(OR(E472="Compteur",E472="Au premier des deux"),N(G472)&gt;0),N(N472)+G472,"")</f>
        <v/>
      </c>
      <c r="Q472" s="75" t="str">
        <f>IF(B472="","",IFERROR(N(INDEX(eq_cnt,MATCH(B472,eq_code,0))),""))</f>
        <v/>
      </c>
      <c r="R472" s="77" t="str">
        <f>IF(ISNUMBER(O472),O472-p_today,"")</f>
        <v/>
      </c>
      <c r="S472" s="78" t="str">
        <f>IF(AND(ISNUMBER(P472),N(Q472)&gt;0),P472-Q472,"")</f>
        <v/>
      </c>
      <c r="T472" s="76" t="str">
        <f>IF(AND(ISNUMBER(O472),ISNUMBER(X472)),MIN(O472,X472),IF(ISNUMBER(O472),O472,X472))</f>
        <v/>
      </c>
      <c r="U472" s="79" t="str">
        <f>IF(AND(A472="",B472="",D472=""),"",IF(L472="Non","Inactif",IF(AND(NOT(ISNUMBER(R472)),NOT(ISNUMBER(S472))),"À compléter",IF(OR(AND(ISNUMBER(R472),N(R472)&lt;0),AND(ISNUMBER(S472),N(S472)&lt;0)),"En retard",IF(OR(AND(ISNUMBER(R472),N(R472)&lt;=p_soon),AND(ISNUMBER(S472),N(S472)&lt;=p_soon_pct*N(G472))),"Bientôt","À jour")))))</f>
        <v/>
      </c>
      <c r="V472" s="79" t="str">
        <f>IF(AND(A472="",B472="",D472=""),"",IF(A472="","N° de plan manquant",IF(COUNTIF($A$6:$A$505,A472)&gt;1,"N° de plan en double",IF(B472="","Équipement manquant",IF(ISNA(MATCH(B472,eq_code,0)),"Équipement inconnu",IF(D472="","Tâche manquante",IF(E472="","Déclenchement manquant",IF(AND(E472&lt;&gt;"Calendrier",E472&lt;&gt;"Compteur",E472&lt;&gt;"Au premier des deux"),"Déclenchement inconnu",IF(AND(E472&lt;&gt;"Compteur",OR(NOT(ISNUMBER(F472)),N(F472)&lt;=0)),"Périodicité en jours manquante",IF(AND(E472&lt;&gt;"Calendrier",OR(NOT(ISNUMBER(G472)),N(G472)&lt;=0)),"Périodicité compteur manquante",IF(AND(J472&lt;&gt;"",OR(NOT(ISNUMBER(J472)),N(J472)&lt;=0)),"Date de réalisation invalide",IF(AND(K472&lt;&gt;"",OR(NOT(ISNUMBER(K472)),N(K472)&lt;0)),"Compteur de réalisation invalide",IF(AND(E472&lt;&gt;"Compteur",N(M472)=0,IFERROR(N(INDEX(eq_start,MATCH(B472,eq_code,0))),0)=0),"Date de départ manquante",IF(AND(E472&lt;&gt;"Calendrier",K472="",N(N472)=0),"Compteur de départ manquant",IF(AND(E472&lt;&gt;"Calendrier",N(Q472)=0),"Relevé compteur manquant (Équipements)",IF(AND(I472&lt;&gt;"",ISNA(MATCH(I472,tech_name,0))),"Technicien inconnu",IF(AND(L472&lt;&gt;"",L472&lt;&gt;"Oui",L472&lt;&gt;"Non"),"Actif : Oui ou Non","OK")))))))))))))))))</f>
        <v/>
      </c>
      <c r="W472" s="67">
        <f>IFERROR(N(INDEX(eq_use,MATCH(B472,eq_code,0))),0)</f>
        <v>0.0</v>
      </c>
      <c r="X472" s="67" t="str">
        <f>IF(AND(ISNUMBER(S472),W472&gt;0),p_today+MAX(0,ROUNDUP(S472*7/W472,0)),"")</f>
        <v/>
      </c>
      <c r="Y472" s="67" t="str">
        <f>IF(AND(ISNUMBER(T472),OR(U472="En retard",U472="Bientôt",U472="À jour")),IF(AND(ISNUMBER(O472),ISNUMBER(X472)),MIN(F472,G472*7/W472),IF(ISNUMBER(O472),F472,G472*7/W472)),"")</f>
        <v/>
      </c>
      <c r="Z472" s="67" t="str">
        <f>IF(OR(U472="En retard",U472="Bientôt"),IF(U472="En retard",0,1)*1000000000+IF(AB472="A",0,IF(AB472="B",1,IF(AB472="C",2,3)))*100000000+IF(ISNUMBER(T472),T472,p_today)*1000+ROW()-5,"")</f>
        <v/>
      </c>
      <c r="AA472" s="67" t="str">
        <f>IF(Z472="","",COUNTIF($Z$6:$Z$505,"&lt;"&amp;Z472)+1)</f>
        <v/>
      </c>
      <c r="AB472" s="67" t="str">
        <f>IFERROR(INDEX(eq_crit,MATCH(B472,eq_code,0))&amp;"","")</f>
        <v/>
      </c>
    </row>
    <row r="473">
      <c r="A473" s="65" t="n"/>
      <c r="B473" s="66" t="n"/>
      <c r="C473" s="67" t="str">
        <f>IF(B473="","",IFERROR(INDEX(eq_des,MATCH(B473,eq_code,0))&amp;"","Équipement inconnu"))</f>
        <v/>
      </c>
      <c r="D473" s="66" t="n"/>
      <c r="E473" s="68" t="n"/>
      <c r="F473" s="69" t="n"/>
      <c r="G473" s="70" t="n"/>
      <c r="H473" s="71" t="n"/>
      <c r="I473" s="66" t="n"/>
      <c r="J473" s="72" t="n"/>
      <c r="K473" s="73" t="n"/>
      <c r="L473" s="68" t="n"/>
      <c r="M473" s="74" t="str">
        <f>IF(AND(A473="",B473="",D473=""),"",MAX(N(J473),IF(A473="",0,SUMPRODUCT(MAX((in_plan=A473)*in_prev*in_dnum)))))</f>
        <v/>
      </c>
      <c r="N473" s="75" t="str">
        <f>IF(AND(A473="",B473="",D473=""),"",MAX(N(K473),IF(A473="",0,SUMPRODUCT(MAX((in_plan=A473)*in_prev*in_cnum)))))</f>
        <v/>
      </c>
      <c r="O473" s="76" t="str">
        <f>IF(AND(OR(E473="Calendrier",E473="Au premier des deux"),N(F473)&gt;0,IF(N(M473)&gt;0,M473,IFERROR(N(INDEX(eq_start,MATCH(B473,eq_code,0))),0))&gt;0),IF(N(M473)&gt;0,M473,IFERROR(N(INDEX(eq_start,MATCH(B473,eq_code,0))),0))+F473,"")</f>
        <v/>
      </c>
      <c r="P473" s="75" t="str">
        <f>IF(AND(OR(E473="Compteur",E473="Au premier des deux"),N(G473)&gt;0),N(N473)+G473,"")</f>
        <v/>
      </c>
      <c r="Q473" s="75" t="str">
        <f>IF(B473="","",IFERROR(N(INDEX(eq_cnt,MATCH(B473,eq_code,0))),""))</f>
        <v/>
      </c>
      <c r="R473" s="77" t="str">
        <f>IF(ISNUMBER(O473),O473-p_today,"")</f>
        <v/>
      </c>
      <c r="S473" s="78" t="str">
        <f>IF(AND(ISNUMBER(P473),N(Q473)&gt;0),P473-Q473,"")</f>
        <v/>
      </c>
      <c r="T473" s="76" t="str">
        <f>IF(AND(ISNUMBER(O473),ISNUMBER(X473)),MIN(O473,X473),IF(ISNUMBER(O473),O473,X473))</f>
        <v/>
      </c>
      <c r="U473" s="79" t="str">
        <f>IF(AND(A473="",B473="",D473=""),"",IF(L473="Non","Inactif",IF(AND(NOT(ISNUMBER(R473)),NOT(ISNUMBER(S473))),"À compléter",IF(OR(AND(ISNUMBER(R473),N(R473)&lt;0),AND(ISNUMBER(S473),N(S473)&lt;0)),"En retard",IF(OR(AND(ISNUMBER(R473),N(R473)&lt;=p_soon),AND(ISNUMBER(S473),N(S473)&lt;=p_soon_pct*N(G473))),"Bientôt","À jour")))))</f>
        <v/>
      </c>
      <c r="V473" s="79" t="str">
        <f>IF(AND(A473="",B473="",D473=""),"",IF(A473="","N° de plan manquant",IF(COUNTIF($A$6:$A$505,A473)&gt;1,"N° de plan en double",IF(B473="","Équipement manquant",IF(ISNA(MATCH(B473,eq_code,0)),"Équipement inconnu",IF(D473="","Tâche manquante",IF(E473="","Déclenchement manquant",IF(AND(E473&lt;&gt;"Calendrier",E473&lt;&gt;"Compteur",E473&lt;&gt;"Au premier des deux"),"Déclenchement inconnu",IF(AND(E473&lt;&gt;"Compteur",OR(NOT(ISNUMBER(F473)),N(F473)&lt;=0)),"Périodicité en jours manquante",IF(AND(E473&lt;&gt;"Calendrier",OR(NOT(ISNUMBER(G473)),N(G473)&lt;=0)),"Périodicité compteur manquante",IF(AND(J473&lt;&gt;"",OR(NOT(ISNUMBER(J473)),N(J473)&lt;=0)),"Date de réalisation invalide",IF(AND(K473&lt;&gt;"",OR(NOT(ISNUMBER(K473)),N(K473)&lt;0)),"Compteur de réalisation invalide",IF(AND(E473&lt;&gt;"Compteur",N(M473)=0,IFERROR(N(INDEX(eq_start,MATCH(B473,eq_code,0))),0)=0),"Date de départ manquante",IF(AND(E473&lt;&gt;"Calendrier",K473="",N(N473)=0),"Compteur de départ manquant",IF(AND(E473&lt;&gt;"Calendrier",N(Q473)=0),"Relevé compteur manquant (Équipements)",IF(AND(I473&lt;&gt;"",ISNA(MATCH(I473,tech_name,0))),"Technicien inconnu",IF(AND(L473&lt;&gt;"",L473&lt;&gt;"Oui",L473&lt;&gt;"Non"),"Actif : Oui ou Non","OK")))))))))))))))))</f>
        <v/>
      </c>
      <c r="W473" s="67">
        <f>IFERROR(N(INDEX(eq_use,MATCH(B473,eq_code,0))),0)</f>
        <v>0.0</v>
      </c>
      <c r="X473" s="67" t="str">
        <f>IF(AND(ISNUMBER(S473),W473&gt;0),p_today+MAX(0,ROUNDUP(S473*7/W473,0)),"")</f>
        <v/>
      </c>
      <c r="Y473" s="67" t="str">
        <f>IF(AND(ISNUMBER(T473),OR(U473="En retard",U473="Bientôt",U473="À jour")),IF(AND(ISNUMBER(O473),ISNUMBER(X473)),MIN(F473,G473*7/W473),IF(ISNUMBER(O473),F473,G473*7/W473)),"")</f>
        <v/>
      </c>
      <c r="Z473" s="67" t="str">
        <f>IF(OR(U473="En retard",U473="Bientôt"),IF(U473="En retard",0,1)*1000000000+IF(AB473="A",0,IF(AB473="B",1,IF(AB473="C",2,3)))*100000000+IF(ISNUMBER(T473),T473,p_today)*1000+ROW()-5,"")</f>
        <v/>
      </c>
      <c r="AA473" s="67" t="str">
        <f>IF(Z473="","",COUNTIF($Z$6:$Z$505,"&lt;"&amp;Z473)+1)</f>
        <v/>
      </c>
      <c r="AB473" s="67" t="str">
        <f>IFERROR(INDEX(eq_crit,MATCH(B473,eq_code,0))&amp;"","")</f>
        <v/>
      </c>
    </row>
    <row r="474">
      <c r="A474" s="65" t="n"/>
      <c r="B474" s="66" t="n"/>
      <c r="C474" s="67" t="str">
        <f>IF(B474="","",IFERROR(INDEX(eq_des,MATCH(B474,eq_code,0))&amp;"","Équipement inconnu"))</f>
        <v/>
      </c>
      <c r="D474" s="66" t="n"/>
      <c r="E474" s="68" t="n"/>
      <c r="F474" s="69" t="n"/>
      <c r="G474" s="70" t="n"/>
      <c r="H474" s="71" t="n"/>
      <c r="I474" s="66" t="n"/>
      <c r="J474" s="72" t="n"/>
      <c r="K474" s="73" t="n"/>
      <c r="L474" s="68" t="n"/>
      <c r="M474" s="74" t="str">
        <f>IF(AND(A474="",B474="",D474=""),"",MAX(N(J474),IF(A474="",0,SUMPRODUCT(MAX((in_plan=A474)*in_prev*in_dnum)))))</f>
        <v/>
      </c>
      <c r="N474" s="75" t="str">
        <f>IF(AND(A474="",B474="",D474=""),"",MAX(N(K474),IF(A474="",0,SUMPRODUCT(MAX((in_plan=A474)*in_prev*in_cnum)))))</f>
        <v/>
      </c>
      <c r="O474" s="76" t="str">
        <f>IF(AND(OR(E474="Calendrier",E474="Au premier des deux"),N(F474)&gt;0,IF(N(M474)&gt;0,M474,IFERROR(N(INDEX(eq_start,MATCH(B474,eq_code,0))),0))&gt;0),IF(N(M474)&gt;0,M474,IFERROR(N(INDEX(eq_start,MATCH(B474,eq_code,0))),0))+F474,"")</f>
        <v/>
      </c>
      <c r="P474" s="75" t="str">
        <f>IF(AND(OR(E474="Compteur",E474="Au premier des deux"),N(G474)&gt;0),N(N474)+G474,"")</f>
        <v/>
      </c>
      <c r="Q474" s="75" t="str">
        <f>IF(B474="","",IFERROR(N(INDEX(eq_cnt,MATCH(B474,eq_code,0))),""))</f>
        <v/>
      </c>
      <c r="R474" s="77" t="str">
        <f>IF(ISNUMBER(O474),O474-p_today,"")</f>
        <v/>
      </c>
      <c r="S474" s="78" t="str">
        <f>IF(AND(ISNUMBER(P474),N(Q474)&gt;0),P474-Q474,"")</f>
        <v/>
      </c>
      <c r="T474" s="76" t="str">
        <f>IF(AND(ISNUMBER(O474),ISNUMBER(X474)),MIN(O474,X474),IF(ISNUMBER(O474),O474,X474))</f>
        <v/>
      </c>
      <c r="U474" s="79" t="str">
        <f>IF(AND(A474="",B474="",D474=""),"",IF(L474="Non","Inactif",IF(AND(NOT(ISNUMBER(R474)),NOT(ISNUMBER(S474))),"À compléter",IF(OR(AND(ISNUMBER(R474),N(R474)&lt;0),AND(ISNUMBER(S474),N(S474)&lt;0)),"En retard",IF(OR(AND(ISNUMBER(R474),N(R474)&lt;=p_soon),AND(ISNUMBER(S474),N(S474)&lt;=p_soon_pct*N(G474))),"Bientôt","À jour")))))</f>
        <v/>
      </c>
      <c r="V474" s="79" t="str">
        <f>IF(AND(A474="",B474="",D474=""),"",IF(A474="","N° de plan manquant",IF(COUNTIF($A$6:$A$505,A474)&gt;1,"N° de plan en double",IF(B474="","Équipement manquant",IF(ISNA(MATCH(B474,eq_code,0)),"Équipement inconnu",IF(D474="","Tâche manquante",IF(E474="","Déclenchement manquant",IF(AND(E474&lt;&gt;"Calendrier",E474&lt;&gt;"Compteur",E474&lt;&gt;"Au premier des deux"),"Déclenchement inconnu",IF(AND(E474&lt;&gt;"Compteur",OR(NOT(ISNUMBER(F474)),N(F474)&lt;=0)),"Périodicité en jours manquante",IF(AND(E474&lt;&gt;"Calendrier",OR(NOT(ISNUMBER(G474)),N(G474)&lt;=0)),"Périodicité compteur manquante",IF(AND(J474&lt;&gt;"",OR(NOT(ISNUMBER(J474)),N(J474)&lt;=0)),"Date de réalisation invalide",IF(AND(K474&lt;&gt;"",OR(NOT(ISNUMBER(K474)),N(K474)&lt;0)),"Compteur de réalisation invalide",IF(AND(E474&lt;&gt;"Compteur",N(M474)=0,IFERROR(N(INDEX(eq_start,MATCH(B474,eq_code,0))),0)=0),"Date de départ manquante",IF(AND(E474&lt;&gt;"Calendrier",K474="",N(N474)=0),"Compteur de départ manquant",IF(AND(E474&lt;&gt;"Calendrier",N(Q474)=0),"Relevé compteur manquant (Équipements)",IF(AND(I474&lt;&gt;"",ISNA(MATCH(I474,tech_name,0))),"Technicien inconnu",IF(AND(L474&lt;&gt;"",L474&lt;&gt;"Oui",L474&lt;&gt;"Non"),"Actif : Oui ou Non","OK")))))))))))))))))</f>
        <v/>
      </c>
      <c r="W474" s="67">
        <f>IFERROR(N(INDEX(eq_use,MATCH(B474,eq_code,0))),0)</f>
        <v>0.0</v>
      </c>
      <c r="X474" s="67" t="str">
        <f>IF(AND(ISNUMBER(S474),W474&gt;0),p_today+MAX(0,ROUNDUP(S474*7/W474,0)),"")</f>
        <v/>
      </c>
      <c r="Y474" s="67" t="str">
        <f>IF(AND(ISNUMBER(T474),OR(U474="En retard",U474="Bientôt",U474="À jour")),IF(AND(ISNUMBER(O474),ISNUMBER(X474)),MIN(F474,G474*7/W474),IF(ISNUMBER(O474),F474,G474*7/W474)),"")</f>
        <v/>
      </c>
      <c r="Z474" s="67" t="str">
        <f>IF(OR(U474="En retard",U474="Bientôt"),IF(U474="En retard",0,1)*1000000000+IF(AB474="A",0,IF(AB474="B",1,IF(AB474="C",2,3)))*100000000+IF(ISNUMBER(T474),T474,p_today)*1000+ROW()-5,"")</f>
        <v/>
      </c>
      <c r="AA474" s="67" t="str">
        <f>IF(Z474="","",COUNTIF($Z$6:$Z$505,"&lt;"&amp;Z474)+1)</f>
        <v/>
      </c>
      <c r="AB474" s="67" t="str">
        <f>IFERROR(INDEX(eq_crit,MATCH(B474,eq_code,0))&amp;"","")</f>
        <v/>
      </c>
    </row>
    <row r="475">
      <c r="A475" s="65" t="n"/>
      <c r="B475" s="66" t="n"/>
      <c r="C475" s="67" t="str">
        <f>IF(B475="","",IFERROR(INDEX(eq_des,MATCH(B475,eq_code,0))&amp;"","Équipement inconnu"))</f>
        <v/>
      </c>
      <c r="D475" s="66" t="n"/>
      <c r="E475" s="68" t="n"/>
      <c r="F475" s="69" t="n"/>
      <c r="G475" s="70" t="n"/>
      <c r="H475" s="71" t="n"/>
      <c r="I475" s="66" t="n"/>
      <c r="J475" s="72" t="n"/>
      <c r="K475" s="73" t="n"/>
      <c r="L475" s="68" t="n"/>
      <c r="M475" s="74" t="str">
        <f>IF(AND(A475="",B475="",D475=""),"",MAX(N(J475),IF(A475="",0,SUMPRODUCT(MAX((in_plan=A475)*in_prev*in_dnum)))))</f>
        <v/>
      </c>
      <c r="N475" s="75" t="str">
        <f>IF(AND(A475="",B475="",D475=""),"",MAX(N(K475),IF(A475="",0,SUMPRODUCT(MAX((in_plan=A475)*in_prev*in_cnum)))))</f>
        <v/>
      </c>
      <c r="O475" s="76" t="str">
        <f>IF(AND(OR(E475="Calendrier",E475="Au premier des deux"),N(F475)&gt;0,IF(N(M475)&gt;0,M475,IFERROR(N(INDEX(eq_start,MATCH(B475,eq_code,0))),0))&gt;0),IF(N(M475)&gt;0,M475,IFERROR(N(INDEX(eq_start,MATCH(B475,eq_code,0))),0))+F475,"")</f>
        <v/>
      </c>
      <c r="P475" s="75" t="str">
        <f>IF(AND(OR(E475="Compteur",E475="Au premier des deux"),N(G475)&gt;0),N(N475)+G475,"")</f>
        <v/>
      </c>
      <c r="Q475" s="75" t="str">
        <f>IF(B475="","",IFERROR(N(INDEX(eq_cnt,MATCH(B475,eq_code,0))),""))</f>
        <v/>
      </c>
      <c r="R475" s="77" t="str">
        <f>IF(ISNUMBER(O475),O475-p_today,"")</f>
        <v/>
      </c>
      <c r="S475" s="78" t="str">
        <f>IF(AND(ISNUMBER(P475),N(Q475)&gt;0),P475-Q475,"")</f>
        <v/>
      </c>
      <c r="T475" s="76" t="str">
        <f>IF(AND(ISNUMBER(O475),ISNUMBER(X475)),MIN(O475,X475),IF(ISNUMBER(O475),O475,X475))</f>
        <v/>
      </c>
      <c r="U475" s="79" t="str">
        <f>IF(AND(A475="",B475="",D475=""),"",IF(L475="Non","Inactif",IF(AND(NOT(ISNUMBER(R475)),NOT(ISNUMBER(S475))),"À compléter",IF(OR(AND(ISNUMBER(R475),N(R475)&lt;0),AND(ISNUMBER(S475),N(S475)&lt;0)),"En retard",IF(OR(AND(ISNUMBER(R475),N(R475)&lt;=p_soon),AND(ISNUMBER(S475),N(S475)&lt;=p_soon_pct*N(G475))),"Bientôt","À jour")))))</f>
        <v/>
      </c>
      <c r="V475" s="79" t="str">
        <f>IF(AND(A475="",B475="",D475=""),"",IF(A475="","N° de plan manquant",IF(COUNTIF($A$6:$A$505,A475)&gt;1,"N° de plan en double",IF(B475="","Équipement manquant",IF(ISNA(MATCH(B475,eq_code,0)),"Équipement inconnu",IF(D475="","Tâche manquante",IF(E475="","Déclenchement manquant",IF(AND(E475&lt;&gt;"Calendrier",E475&lt;&gt;"Compteur",E475&lt;&gt;"Au premier des deux"),"Déclenchement inconnu",IF(AND(E475&lt;&gt;"Compteur",OR(NOT(ISNUMBER(F475)),N(F475)&lt;=0)),"Périodicité en jours manquante",IF(AND(E475&lt;&gt;"Calendrier",OR(NOT(ISNUMBER(G475)),N(G475)&lt;=0)),"Périodicité compteur manquante",IF(AND(J475&lt;&gt;"",OR(NOT(ISNUMBER(J475)),N(J475)&lt;=0)),"Date de réalisation invalide",IF(AND(K475&lt;&gt;"",OR(NOT(ISNUMBER(K475)),N(K475)&lt;0)),"Compteur de réalisation invalide",IF(AND(E475&lt;&gt;"Compteur",N(M475)=0,IFERROR(N(INDEX(eq_start,MATCH(B475,eq_code,0))),0)=0),"Date de départ manquante",IF(AND(E475&lt;&gt;"Calendrier",K475="",N(N475)=0),"Compteur de départ manquant",IF(AND(E475&lt;&gt;"Calendrier",N(Q475)=0),"Relevé compteur manquant (Équipements)",IF(AND(I475&lt;&gt;"",ISNA(MATCH(I475,tech_name,0))),"Technicien inconnu",IF(AND(L475&lt;&gt;"",L475&lt;&gt;"Oui",L475&lt;&gt;"Non"),"Actif : Oui ou Non","OK")))))))))))))))))</f>
        <v/>
      </c>
      <c r="W475" s="67">
        <f>IFERROR(N(INDEX(eq_use,MATCH(B475,eq_code,0))),0)</f>
        <v>0.0</v>
      </c>
      <c r="X475" s="67" t="str">
        <f>IF(AND(ISNUMBER(S475),W475&gt;0),p_today+MAX(0,ROUNDUP(S475*7/W475,0)),"")</f>
        <v/>
      </c>
      <c r="Y475" s="67" t="str">
        <f>IF(AND(ISNUMBER(T475),OR(U475="En retard",U475="Bientôt",U475="À jour")),IF(AND(ISNUMBER(O475),ISNUMBER(X475)),MIN(F475,G475*7/W475),IF(ISNUMBER(O475),F475,G475*7/W475)),"")</f>
        <v/>
      </c>
      <c r="Z475" s="67" t="str">
        <f>IF(OR(U475="En retard",U475="Bientôt"),IF(U475="En retard",0,1)*1000000000+IF(AB475="A",0,IF(AB475="B",1,IF(AB475="C",2,3)))*100000000+IF(ISNUMBER(T475),T475,p_today)*1000+ROW()-5,"")</f>
        <v/>
      </c>
      <c r="AA475" s="67" t="str">
        <f>IF(Z475="","",COUNTIF($Z$6:$Z$505,"&lt;"&amp;Z475)+1)</f>
        <v/>
      </c>
      <c r="AB475" s="67" t="str">
        <f>IFERROR(INDEX(eq_crit,MATCH(B475,eq_code,0))&amp;"","")</f>
        <v/>
      </c>
    </row>
    <row r="476">
      <c r="A476" s="65" t="n"/>
      <c r="B476" s="66" t="n"/>
      <c r="C476" s="67" t="str">
        <f>IF(B476="","",IFERROR(INDEX(eq_des,MATCH(B476,eq_code,0))&amp;"","Équipement inconnu"))</f>
        <v/>
      </c>
      <c r="D476" s="66" t="n"/>
      <c r="E476" s="68" t="n"/>
      <c r="F476" s="69" t="n"/>
      <c r="G476" s="70" t="n"/>
      <c r="H476" s="71" t="n"/>
      <c r="I476" s="66" t="n"/>
      <c r="J476" s="72" t="n"/>
      <c r="K476" s="73" t="n"/>
      <c r="L476" s="68" t="n"/>
      <c r="M476" s="74" t="str">
        <f>IF(AND(A476="",B476="",D476=""),"",MAX(N(J476),IF(A476="",0,SUMPRODUCT(MAX((in_plan=A476)*in_prev*in_dnum)))))</f>
        <v/>
      </c>
      <c r="N476" s="75" t="str">
        <f>IF(AND(A476="",B476="",D476=""),"",MAX(N(K476),IF(A476="",0,SUMPRODUCT(MAX((in_plan=A476)*in_prev*in_cnum)))))</f>
        <v/>
      </c>
      <c r="O476" s="76" t="str">
        <f>IF(AND(OR(E476="Calendrier",E476="Au premier des deux"),N(F476)&gt;0,IF(N(M476)&gt;0,M476,IFERROR(N(INDEX(eq_start,MATCH(B476,eq_code,0))),0))&gt;0),IF(N(M476)&gt;0,M476,IFERROR(N(INDEX(eq_start,MATCH(B476,eq_code,0))),0))+F476,"")</f>
        <v/>
      </c>
      <c r="P476" s="75" t="str">
        <f>IF(AND(OR(E476="Compteur",E476="Au premier des deux"),N(G476)&gt;0),N(N476)+G476,"")</f>
        <v/>
      </c>
      <c r="Q476" s="75" t="str">
        <f>IF(B476="","",IFERROR(N(INDEX(eq_cnt,MATCH(B476,eq_code,0))),""))</f>
        <v/>
      </c>
      <c r="R476" s="77" t="str">
        <f>IF(ISNUMBER(O476),O476-p_today,"")</f>
        <v/>
      </c>
      <c r="S476" s="78" t="str">
        <f>IF(AND(ISNUMBER(P476),N(Q476)&gt;0),P476-Q476,"")</f>
        <v/>
      </c>
      <c r="T476" s="76" t="str">
        <f>IF(AND(ISNUMBER(O476),ISNUMBER(X476)),MIN(O476,X476),IF(ISNUMBER(O476),O476,X476))</f>
        <v/>
      </c>
      <c r="U476" s="79" t="str">
        <f>IF(AND(A476="",B476="",D476=""),"",IF(L476="Non","Inactif",IF(AND(NOT(ISNUMBER(R476)),NOT(ISNUMBER(S476))),"À compléter",IF(OR(AND(ISNUMBER(R476),N(R476)&lt;0),AND(ISNUMBER(S476),N(S476)&lt;0)),"En retard",IF(OR(AND(ISNUMBER(R476),N(R476)&lt;=p_soon),AND(ISNUMBER(S476),N(S476)&lt;=p_soon_pct*N(G476))),"Bientôt","À jour")))))</f>
        <v/>
      </c>
      <c r="V476" s="79" t="str">
        <f>IF(AND(A476="",B476="",D476=""),"",IF(A476="","N° de plan manquant",IF(COUNTIF($A$6:$A$505,A476)&gt;1,"N° de plan en double",IF(B476="","Équipement manquant",IF(ISNA(MATCH(B476,eq_code,0)),"Équipement inconnu",IF(D476="","Tâche manquante",IF(E476="","Déclenchement manquant",IF(AND(E476&lt;&gt;"Calendrier",E476&lt;&gt;"Compteur",E476&lt;&gt;"Au premier des deux"),"Déclenchement inconnu",IF(AND(E476&lt;&gt;"Compteur",OR(NOT(ISNUMBER(F476)),N(F476)&lt;=0)),"Périodicité en jours manquante",IF(AND(E476&lt;&gt;"Calendrier",OR(NOT(ISNUMBER(G476)),N(G476)&lt;=0)),"Périodicité compteur manquante",IF(AND(J476&lt;&gt;"",OR(NOT(ISNUMBER(J476)),N(J476)&lt;=0)),"Date de réalisation invalide",IF(AND(K476&lt;&gt;"",OR(NOT(ISNUMBER(K476)),N(K476)&lt;0)),"Compteur de réalisation invalide",IF(AND(E476&lt;&gt;"Compteur",N(M476)=0,IFERROR(N(INDEX(eq_start,MATCH(B476,eq_code,0))),0)=0),"Date de départ manquante",IF(AND(E476&lt;&gt;"Calendrier",K476="",N(N476)=0),"Compteur de départ manquant",IF(AND(E476&lt;&gt;"Calendrier",N(Q476)=0),"Relevé compteur manquant (Équipements)",IF(AND(I476&lt;&gt;"",ISNA(MATCH(I476,tech_name,0))),"Technicien inconnu",IF(AND(L476&lt;&gt;"",L476&lt;&gt;"Oui",L476&lt;&gt;"Non"),"Actif : Oui ou Non","OK")))))))))))))))))</f>
        <v/>
      </c>
      <c r="W476" s="67">
        <f>IFERROR(N(INDEX(eq_use,MATCH(B476,eq_code,0))),0)</f>
        <v>0.0</v>
      </c>
      <c r="X476" s="67" t="str">
        <f>IF(AND(ISNUMBER(S476),W476&gt;0),p_today+MAX(0,ROUNDUP(S476*7/W476,0)),"")</f>
        <v/>
      </c>
      <c r="Y476" s="67" t="str">
        <f>IF(AND(ISNUMBER(T476),OR(U476="En retard",U476="Bientôt",U476="À jour")),IF(AND(ISNUMBER(O476),ISNUMBER(X476)),MIN(F476,G476*7/W476),IF(ISNUMBER(O476),F476,G476*7/W476)),"")</f>
        <v/>
      </c>
      <c r="Z476" s="67" t="str">
        <f>IF(OR(U476="En retard",U476="Bientôt"),IF(U476="En retard",0,1)*1000000000+IF(AB476="A",0,IF(AB476="B",1,IF(AB476="C",2,3)))*100000000+IF(ISNUMBER(T476),T476,p_today)*1000+ROW()-5,"")</f>
        <v/>
      </c>
      <c r="AA476" s="67" t="str">
        <f>IF(Z476="","",COUNTIF($Z$6:$Z$505,"&lt;"&amp;Z476)+1)</f>
        <v/>
      </c>
      <c r="AB476" s="67" t="str">
        <f>IFERROR(INDEX(eq_crit,MATCH(B476,eq_code,0))&amp;"","")</f>
        <v/>
      </c>
    </row>
    <row r="477">
      <c r="A477" s="65" t="n"/>
      <c r="B477" s="66" t="n"/>
      <c r="C477" s="67" t="str">
        <f>IF(B477="","",IFERROR(INDEX(eq_des,MATCH(B477,eq_code,0))&amp;"","Équipement inconnu"))</f>
        <v/>
      </c>
      <c r="D477" s="66" t="n"/>
      <c r="E477" s="68" t="n"/>
      <c r="F477" s="69" t="n"/>
      <c r="G477" s="70" t="n"/>
      <c r="H477" s="71" t="n"/>
      <c r="I477" s="66" t="n"/>
      <c r="J477" s="72" t="n"/>
      <c r="K477" s="73" t="n"/>
      <c r="L477" s="68" t="n"/>
      <c r="M477" s="74" t="str">
        <f>IF(AND(A477="",B477="",D477=""),"",MAX(N(J477),IF(A477="",0,SUMPRODUCT(MAX((in_plan=A477)*in_prev*in_dnum)))))</f>
        <v/>
      </c>
      <c r="N477" s="75" t="str">
        <f>IF(AND(A477="",B477="",D477=""),"",MAX(N(K477),IF(A477="",0,SUMPRODUCT(MAX((in_plan=A477)*in_prev*in_cnum)))))</f>
        <v/>
      </c>
      <c r="O477" s="76" t="str">
        <f>IF(AND(OR(E477="Calendrier",E477="Au premier des deux"),N(F477)&gt;0,IF(N(M477)&gt;0,M477,IFERROR(N(INDEX(eq_start,MATCH(B477,eq_code,0))),0))&gt;0),IF(N(M477)&gt;0,M477,IFERROR(N(INDEX(eq_start,MATCH(B477,eq_code,0))),0))+F477,"")</f>
        <v/>
      </c>
      <c r="P477" s="75" t="str">
        <f>IF(AND(OR(E477="Compteur",E477="Au premier des deux"),N(G477)&gt;0),N(N477)+G477,"")</f>
        <v/>
      </c>
      <c r="Q477" s="75" t="str">
        <f>IF(B477="","",IFERROR(N(INDEX(eq_cnt,MATCH(B477,eq_code,0))),""))</f>
        <v/>
      </c>
      <c r="R477" s="77" t="str">
        <f>IF(ISNUMBER(O477),O477-p_today,"")</f>
        <v/>
      </c>
      <c r="S477" s="78" t="str">
        <f>IF(AND(ISNUMBER(P477),N(Q477)&gt;0),P477-Q477,"")</f>
        <v/>
      </c>
      <c r="T477" s="76" t="str">
        <f>IF(AND(ISNUMBER(O477),ISNUMBER(X477)),MIN(O477,X477),IF(ISNUMBER(O477),O477,X477))</f>
        <v/>
      </c>
      <c r="U477" s="79" t="str">
        <f>IF(AND(A477="",B477="",D477=""),"",IF(L477="Non","Inactif",IF(AND(NOT(ISNUMBER(R477)),NOT(ISNUMBER(S477))),"À compléter",IF(OR(AND(ISNUMBER(R477),N(R477)&lt;0),AND(ISNUMBER(S477),N(S477)&lt;0)),"En retard",IF(OR(AND(ISNUMBER(R477),N(R477)&lt;=p_soon),AND(ISNUMBER(S477),N(S477)&lt;=p_soon_pct*N(G477))),"Bientôt","À jour")))))</f>
        <v/>
      </c>
      <c r="V477" s="79" t="str">
        <f>IF(AND(A477="",B477="",D477=""),"",IF(A477="","N° de plan manquant",IF(COUNTIF($A$6:$A$505,A477)&gt;1,"N° de plan en double",IF(B477="","Équipement manquant",IF(ISNA(MATCH(B477,eq_code,0)),"Équipement inconnu",IF(D477="","Tâche manquante",IF(E477="","Déclenchement manquant",IF(AND(E477&lt;&gt;"Calendrier",E477&lt;&gt;"Compteur",E477&lt;&gt;"Au premier des deux"),"Déclenchement inconnu",IF(AND(E477&lt;&gt;"Compteur",OR(NOT(ISNUMBER(F477)),N(F477)&lt;=0)),"Périodicité en jours manquante",IF(AND(E477&lt;&gt;"Calendrier",OR(NOT(ISNUMBER(G477)),N(G477)&lt;=0)),"Périodicité compteur manquante",IF(AND(J477&lt;&gt;"",OR(NOT(ISNUMBER(J477)),N(J477)&lt;=0)),"Date de réalisation invalide",IF(AND(K477&lt;&gt;"",OR(NOT(ISNUMBER(K477)),N(K477)&lt;0)),"Compteur de réalisation invalide",IF(AND(E477&lt;&gt;"Compteur",N(M477)=0,IFERROR(N(INDEX(eq_start,MATCH(B477,eq_code,0))),0)=0),"Date de départ manquante",IF(AND(E477&lt;&gt;"Calendrier",K477="",N(N477)=0),"Compteur de départ manquant",IF(AND(E477&lt;&gt;"Calendrier",N(Q477)=0),"Relevé compteur manquant (Équipements)",IF(AND(I477&lt;&gt;"",ISNA(MATCH(I477,tech_name,0))),"Technicien inconnu",IF(AND(L477&lt;&gt;"",L477&lt;&gt;"Oui",L477&lt;&gt;"Non"),"Actif : Oui ou Non","OK")))))))))))))))))</f>
        <v/>
      </c>
      <c r="W477" s="67">
        <f>IFERROR(N(INDEX(eq_use,MATCH(B477,eq_code,0))),0)</f>
        <v>0.0</v>
      </c>
      <c r="X477" s="67" t="str">
        <f>IF(AND(ISNUMBER(S477),W477&gt;0),p_today+MAX(0,ROUNDUP(S477*7/W477,0)),"")</f>
        <v/>
      </c>
      <c r="Y477" s="67" t="str">
        <f>IF(AND(ISNUMBER(T477),OR(U477="En retard",U477="Bientôt",U477="À jour")),IF(AND(ISNUMBER(O477),ISNUMBER(X477)),MIN(F477,G477*7/W477),IF(ISNUMBER(O477),F477,G477*7/W477)),"")</f>
        <v/>
      </c>
      <c r="Z477" s="67" t="str">
        <f>IF(OR(U477="En retard",U477="Bientôt"),IF(U477="En retard",0,1)*1000000000+IF(AB477="A",0,IF(AB477="B",1,IF(AB477="C",2,3)))*100000000+IF(ISNUMBER(T477),T477,p_today)*1000+ROW()-5,"")</f>
        <v/>
      </c>
      <c r="AA477" s="67" t="str">
        <f>IF(Z477="","",COUNTIF($Z$6:$Z$505,"&lt;"&amp;Z477)+1)</f>
        <v/>
      </c>
      <c r="AB477" s="67" t="str">
        <f>IFERROR(INDEX(eq_crit,MATCH(B477,eq_code,0))&amp;"","")</f>
        <v/>
      </c>
    </row>
    <row r="478">
      <c r="A478" s="65" t="n"/>
      <c r="B478" s="66" t="n"/>
      <c r="C478" s="67" t="str">
        <f>IF(B478="","",IFERROR(INDEX(eq_des,MATCH(B478,eq_code,0))&amp;"","Équipement inconnu"))</f>
        <v/>
      </c>
      <c r="D478" s="66" t="n"/>
      <c r="E478" s="68" t="n"/>
      <c r="F478" s="69" t="n"/>
      <c r="G478" s="70" t="n"/>
      <c r="H478" s="71" t="n"/>
      <c r="I478" s="66" t="n"/>
      <c r="J478" s="72" t="n"/>
      <c r="K478" s="73" t="n"/>
      <c r="L478" s="68" t="n"/>
      <c r="M478" s="74" t="str">
        <f>IF(AND(A478="",B478="",D478=""),"",MAX(N(J478),IF(A478="",0,SUMPRODUCT(MAX((in_plan=A478)*in_prev*in_dnum)))))</f>
        <v/>
      </c>
      <c r="N478" s="75" t="str">
        <f>IF(AND(A478="",B478="",D478=""),"",MAX(N(K478),IF(A478="",0,SUMPRODUCT(MAX((in_plan=A478)*in_prev*in_cnum)))))</f>
        <v/>
      </c>
      <c r="O478" s="76" t="str">
        <f>IF(AND(OR(E478="Calendrier",E478="Au premier des deux"),N(F478)&gt;0,IF(N(M478)&gt;0,M478,IFERROR(N(INDEX(eq_start,MATCH(B478,eq_code,0))),0))&gt;0),IF(N(M478)&gt;0,M478,IFERROR(N(INDEX(eq_start,MATCH(B478,eq_code,0))),0))+F478,"")</f>
        <v/>
      </c>
      <c r="P478" s="75" t="str">
        <f>IF(AND(OR(E478="Compteur",E478="Au premier des deux"),N(G478)&gt;0),N(N478)+G478,"")</f>
        <v/>
      </c>
      <c r="Q478" s="75" t="str">
        <f>IF(B478="","",IFERROR(N(INDEX(eq_cnt,MATCH(B478,eq_code,0))),""))</f>
        <v/>
      </c>
      <c r="R478" s="77" t="str">
        <f>IF(ISNUMBER(O478),O478-p_today,"")</f>
        <v/>
      </c>
      <c r="S478" s="78" t="str">
        <f>IF(AND(ISNUMBER(P478),N(Q478)&gt;0),P478-Q478,"")</f>
        <v/>
      </c>
      <c r="T478" s="76" t="str">
        <f>IF(AND(ISNUMBER(O478),ISNUMBER(X478)),MIN(O478,X478),IF(ISNUMBER(O478),O478,X478))</f>
        <v/>
      </c>
      <c r="U478" s="79" t="str">
        <f>IF(AND(A478="",B478="",D478=""),"",IF(L478="Non","Inactif",IF(AND(NOT(ISNUMBER(R478)),NOT(ISNUMBER(S478))),"À compléter",IF(OR(AND(ISNUMBER(R478),N(R478)&lt;0),AND(ISNUMBER(S478),N(S478)&lt;0)),"En retard",IF(OR(AND(ISNUMBER(R478),N(R478)&lt;=p_soon),AND(ISNUMBER(S478),N(S478)&lt;=p_soon_pct*N(G478))),"Bientôt","À jour")))))</f>
        <v/>
      </c>
      <c r="V478" s="79" t="str">
        <f>IF(AND(A478="",B478="",D478=""),"",IF(A478="","N° de plan manquant",IF(COUNTIF($A$6:$A$505,A478)&gt;1,"N° de plan en double",IF(B478="","Équipement manquant",IF(ISNA(MATCH(B478,eq_code,0)),"Équipement inconnu",IF(D478="","Tâche manquante",IF(E478="","Déclenchement manquant",IF(AND(E478&lt;&gt;"Calendrier",E478&lt;&gt;"Compteur",E478&lt;&gt;"Au premier des deux"),"Déclenchement inconnu",IF(AND(E478&lt;&gt;"Compteur",OR(NOT(ISNUMBER(F478)),N(F478)&lt;=0)),"Périodicité en jours manquante",IF(AND(E478&lt;&gt;"Calendrier",OR(NOT(ISNUMBER(G478)),N(G478)&lt;=0)),"Périodicité compteur manquante",IF(AND(J478&lt;&gt;"",OR(NOT(ISNUMBER(J478)),N(J478)&lt;=0)),"Date de réalisation invalide",IF(AND(K478&lt;&gt;"",OR(NOT(ISNUMBER(K478)),N(K478)&lt;0)),"Compteur de réalisation invalide",IF(AND(E478&lt;&gt;"Compteur",N(M478)=0,IFERROR(N(INDEX(eq_start,MATCH(B478,eq_code,0))),0)=0),"Date de départ manquante",IF(AND(E478&lt;&gt;"Calendrier",K478="",N(N478)=0),"Compteur de départ manquant",IF(AND(E478&lt;&gt;"Calendrier",N(Q478)=0),"Relevé compteur manquant (Équipements)",IF(AND(I478&lt;&gt;"",ISNA(MATCH(I478,tech_name,0))),"Technicien inconnu",IF(AND(L478&lt;&gt;"",L478&lt;&gt;"Oui",L478&lt;&gt;"Non"),"Actif : Oui ou Non","OK")))))))))))))))))</f>
        <v/>
      </c>
      <c r="W478" s="67">
        <f>IFERROR(N(INDEX(eq_use,MATCH(B478,eq_code,0))),0)</f>
        <v>0.0</v>
      </c>
      <c r="X478" s="67" t="str">
        <f>IF(AND(ISNUMBER(S478),W478&gt;0),p_today+MAX(0,ROUNDUP(S478*7/W478,0)),"")</f>
        <v/>
      </c>
      <c r="Y478" s="67" t="str">
        <f>IF(AND(ISNUMBER(T478),OR(U478="En retard",U478="Bientôt",U478="À jour")),IF(AND(ISNUMBER(O478),ISNUMBER(X478)),MIN(F478,G478*7/W478),IF(ISNUMBER(O478),F478,G478*7/W478)),"")</f>
        <v/>
      </c>
      <c r="Z478" s="67" t="str">
        <f>IF(OR(U478="En retard",U478="Bientôt"),IF(U478="En retard",0,1)*1000000000+IF(AB478="A",0,IF(AB478="B",1,IF(AB478="C",2,3)))*100000000+IF(ISNUMBER(T478),T478,p_today)*1000+ROW()-5,"")</f>
        <v/>
      </c>
      <c r="AA478" s="67" t="str">
        <f>IF(Z478="","",COUNTIF($Z$6:$Z$505,"&lt;"&amp;Z478)+1)</f>
        <v/>
      </c>
      <c r="AB478" s="67" t="str">
        <f>IFERROR(INDEX(eq_crit,MATCH(B478,eq_code,0))&amp;"","")</f>
        <v/>
      </c>
    </row>
    <row r="479">
      <c r="A479" s="65" t="n"/>
      <c r="B479" s="66" t="n"/>
      <c r="C479" s="67" t="str">
        <f>IF(B479="","",IFERROR(INDEX(eq_des,MATCH(B479,eq_code,0))&amp;"","Équipement inconnu"))</f>
        <v/>
      </c>
      <c r="D479" s="66" t="n"/>
      <c r="E479" s="68" t="n"/>
      <c r="F479" s="69" t="n"/>
      <c r="G479" s="70" t="n"/>
      <c r="H479" s="71" t="n"/>
      <c r="I479" s="66" t="n"/>
      <c r="J479" s="72" t="n"/>
      <c r="K479" s="73" t="n"/>
      <c r="L479" s="68" t="n"/>
      <c r="M479" s="74" t="str">
        <f>IF(AND(A479="",B479="",D479=""),"",MAX(N(J479),IF(A479="",0,SUMPRODUCT(MAX((in_plan=A479)*in_prev*in_dnum)))))</f>
        <v/>
      </c>
      <c r="N479" s="75" t="str">
        <f>IF(AND(A479="",B479="",D479=""),"",MAX(N(K479),IF(A479="",0,SUMPRODUCT(MAX((in_plan=A479)*in_prev*in_cnum)))))</f>
        <v/>
      </c>
      <c r="O479" s="76" t="str">
        <f>IF(AND(OR(E479="Calendrier",E479="Au premier des deux"),N(F479)&gt;0,IF(N(M479)&gt;0,M479,IFERROR(N(INDEX(eq_start,MATCH(B479,eq_code,0))),0))&gt;0),IF(N(M479)&gt;0,M479,IFERROR(N(INDEX(eq_start,MATCH(B479,eq_code,0))),0))+F479,"")</f>
        <v/>
      </c>
      <c r="P479" s="75" t="str">
        <f>IF(AND(OR(E479="Compteur",E479="Au premier des deux"),N(G479)&gt;0),N(N479)+G479,"")</f>
        <v/>
      </c>
      <c r="Q479" s="75" t="str">
        <f>IF(B479="","",IFERROR(N(INDEX(eq_cnt,MATCH(B479,eq_code,0))),""))</f>
        <v/>
      </c>
      <c r="R479" s="77" t="str">
        <f>IF(ISNUMBER(O479),O479-p_today,"")</f>
        <v/>
      </c>
      <c r="S479" s="78" t="str">
        <f>IF(AND(ISNUMBER(P479),N(Q479)&gt;0),P479-Q479,"")</f>
        <v/>
      </c>
      <c r="T479" s="76" t="str">
        <f>IF(AND(ISNUMBER(O479),ISNUMBER(X479)),MIN(O479,X479),IF(ISNUMBER(O479),O479,X479))</f>
        <v/>
      </c>
      <c r="U479" s="79" t="str">
        <f>IF(AND(A479="",B479="",D479=""),"",IF(L479="Non","Inactif",IF(AND(NOT(ISNUMBER(R479)),NOT(ISNUMBER(S479))),"À compléter",IF(OR(AND(ISNUMBER(R479),N(R479)&lt;0),AND(ISNUMBER(S479),N(S479)&lt;0)),"En retard",IF(OR(AND(ISNUMBER(R479),N(R479)&lt;=p_soon),AND(ISNUMBER(S479),N(S479)&lt;=p_soon_pct*N(G479))),"Bientôt","À jour")))))</f>
        <v/>
      </c>
      <c r="V479" s="79" t="str">
        <f>IF(AND(A479="",B479="",D479=""),"",IF(A479="","N° de plan manquant",IF(COUNTIF($A$6:$A$505,A479)&gt;1,"N° de plan en double",IF(B479="","Équipement manquant",IF(ISNA(MATCH(B479,eq_code,0)),"Équipement inconnu",IF(D479="","Tâche manquante",IF(E479="","Déclenchement manquant",IF(AND(E479&lt;&gt;"Calendrier",E479&lt;&gt;"Compteur",E479&lt;&gt;"Au premier des deux"),"Déclenchement inconnu",IF(AND(E479&lt;&gt;"Compteur",OR(NOT(ISNUMBER(F479)),N(F479)&lt;=0)),"Périodicité en jours manquante",IF(AND(E479&lt;&gt;"Calendrier",OR(NOT(ISNUMBER(G479)),N(G479)&lt;=0)),"Périodicité compteur manquante",IF(AND(J479&lt;&gt;"",OR(NOT(ISNUMBER(J479)),N(J479)&lt;=0)),"Date de réalisation invalide",IF(AND(K479&lt;&gt;"",OR(NOT(ISNUMBER(K479)),N(K479)&lt;0)),"Compteur de réalisation invalide",IF(AND(E479&lt;&gt;"Compteur",N(M479)=0,IFERROR(N(INDEX(eq_start,MATCH(B479,eq_code,0))),0)=0),"Date de départ manquante",IF(AND(E479&lt;&gt;"Calendrier",K479="",N(N479)=0),"Compteur de départ manquant",IF(AND(E479&lt;&gt;"Calendrier",N(Q479)=0),"Relevé compteur manquant (Équipements)",IF(AND(I479&lt;&gt;"",ISNA(MATCH(I479,tech_name,0))),"Technicien inconnu",IF(AND(L479&lt;&gt;"",L479&lt;&gt;"Oui",L479&lt;&gt;"Non"),"Actif : Oui ou Non","OK")))))))))))))))))</f>
        <v/>
      </c>
      <c r="W479" s="67">
        <f>IFERROR(N(INDEX(eq_use,MATCH(B479,eq_code,0))),0)</f>
        <v>0.0</v>
      </c>
      <c r="X479" s="67" t="str">
        <f>IF(AND(ISNUMBER(S479),W479&gt;0),p_today+MAX(0,ROUNDUP(S479*7/W479,0)),"")</f>
        <v/>
      </c>
      <c r="Y479" s="67" t="str">
        <f>IF(AND(ISNUMBER(T479),OR(U479="En retard",U479="Bientôt",U479="À jour")),IF(AND(ISNUMBER(O479),ISNUMBER(X479)),MIN(F479,G479*7/W479),IF(ISNUMBER(O479),F479,G479*7/W479)),"")</f>
        <v/>
      </c>
      <c r="Z479" s="67" t="str">
        <f>IF(OR(U479="En retard",U479="Bientôt"),IF(U479="En retard",0,1)*1000000000+IF(AB479="A",0,IF(AB479="B",1,IF(AB479="C",2,3)))*100000000+IF(ISNUMBER(T479),T479,p_today)*1000+ROW()-5,"")</f>
        <v/>
      </c>
      <c r="AA479" s="67" t="str">
        <f>IF(Z479="","",COUNTIF($Z$6:$Z$505,"&lt;"&amp;Z479)+1)</f>
        <v/>
      </c>
      <c r="AB479" s="67" t="str">
        <f>IFERROR(INDEX(eq_crit,MATCH(B479,eq_code,0))&amp;"","")</f>
        <v/>
      </c>
    </row>
    <row r="480">
      <c r="A480" s="65" t="n"/>
      <c r="B480" s="66" t="n"/>
      <c r="C480" s="67" t="str">
        <f>IF(B480="","",IFERROR(INDEX(eq_des,MATCH(B480,eq_code,0))&amp;"","Équipement inconnu"))</f>
        <v/>
      </c>
      <c r="D480" s="66" t="n"/>
      <c r="E480" s="68" t="n"/>
      <c r="F480" s="69" t="n"/>
      <c r="G480" s="70" t="n"/>
      <c r="H480" s="71" t="n"/>
      <c r="I480" s="66" t="n"/>
      <c r="J480" s="72" t="n"/>
      <c r="K480" s="73" t="n"/>
      <c r="L480" s="68" t="n"/>
      <c r="M480" s="74" t="str">
        <f>IF(AND(A480="",B480="",D480=""),"",MAX(N(J480),IF(A480="",0,SUMPRODUCT(MAX((in_plan=A480)*in_prev*in_dnum)))))</f>
        <v/>
      </c>
      <c r="N480" s="75" t="str">
        <f>IF(AND(A480="",B480="",D480=""),"",MAX(N(K480),IF(A480="",0,SUMPRODUCT(MAX((in_plan=A480)*in_prev*in_cnum)))))</f>
        <v/>
      </c>
      <c r="O480" s="76" t="str">
        <f>IF(AND(OR(E480="Calendrier",E480="Au premier des deux"),N(F480)&gt;0,IF(N(M480)&gt;0,M480,IFERROR(N(INDEX(eq_start,MATCH(B480,eq_code,0))),0))&gt;0),IF(N(M480)&gt;0,M480,IFERROR(N(INDEX(eq_start,MATCH(B480,eq_code,0))),0))+F480,"")</f>
        <v/>
      </c>
      <c r="P480" s="75" t="str">
        <f>IF(AND(OR(E480="Compteur",E480="Au premier des deux"),N(G480)&gt;0),N(N480)+G480,"")</f>
        <v/>
      </c>
      <c r="Q480" s="75" t="str">
        <f>IF(B480="","",IFERROR(N(INDEX(eq_cnt,MATCH(B480,eq_code,0))),""))</f>
        <v/>
      </c>
      <c r="R480" s="77" t="str">
        <f>IF(ISNUMBER(O480),O480-p_today,"")</f>
        <v/>
      </c>
      <c r="S480" s="78" t="str">
        <f>IF(AND(ISNUMBER(P480),N(Q480)&gt;0),P480-Q480,"")</f>
        <v/>
      </c>
      <c r="T480" s="76" t="str">
        <f>IF(AND(ISNUMBER(O480),ISNUMBER(X480)),MIN(O480,X480),IF(ISNUMBER(O480),O480,X480))</f>
        <v/>
      </c>
      <c r="U480" s="79" t="str">
        <f>IF(AND(A480="",B480="",D480=""),"",IF(L480="Non","Inactif",IF(AND(NOT(ISNUMBER(R480)),NOT(ISNUMBER(S480))),"À compléter",IF(OR(AND(ISNUMBER(R480),N(R480)&lt;0),AND(ISNUMBER(S480),N(S480)&lt;0)),"En retard",IF(OR(AND(ISNUMBER(R480),N(R480)&lt;=p_soon),AND(ISNUMBER(S480),N(S480)&lt;=p_soon_pct*N(G480))),"Bientôt","À jour")))))</f>
        <v/>
      </c>
      <c r="V480" s="79" t="str">
        <f>IF(AND(A480="",B480="",D480=""),"",IF(A480="","N° de plan manquant",IF(COUNTIF($A$6:$A$505,A480)&gt;1,"N° de plan en double",IF(B480="","Équipement manquant",IF(ISNA(MATCH(B480,eq_code,0)),"Équipement inconnu",IF(D480="","Tâche manquante",IF(E480="","Déclenchement manquant",IF(AND(E480&lt;&gt;"Calendrier",E480&lt;&gt;"Compteur",E480&lt;&gt;"Au premier des deux"),"Déclenchement inconnu",IF(AND(E480&lt;&gt;"Compteur",OR(NOT(ISNUMBER(F480)),N(F480)&lt;=0)),"Périodicité en jours manquante",IF(AND(E480&lt;&gt;"Calendrier",OR(NOT(ISNUMBER(G480)),N(G480)&lt;=0)),"Périodicité compteur manquante",IF(AND(J480&lt;&gt;"",OR(NOT(ISNUMBER(J480)),N(J480)&lt;=0)),"Date de réalisation invalide",IF(AND(K480&lt;&gt;"",OR(NOT(ISNUMBER(K480)),N(K480)&lt;0)),"Compteur de réalisation invalide",IF(AND(E480&lt;&gt;"Compteur",N(M480)=0,IFERROR(N(INDEX(eq_start,MATCH(B480,eq_code,0))),0)=0),"Date de départ manquante",IF(AND(E480&lt;&gt;"Calendrier",K480="",N(N480)=0),"Compteur de départ manquant",IF(AND(E480&lt;&gt;"Calendrier",N(Q480)=0),"Relevé compteur manquant (Équipements)",IF(AND(I480&lt;&gt;"",ISNA(MATCH(I480,tech_name,0))),"Technicien inconnu",IF(AND(L480&lt;&gt;"",L480&lt;&gt;"Oui",L480&lt;&gt;"Non"),"Actif : Oui ou Non","OK")))))))))))))))))</f>
        <v/>
      </c>
      <c r="W480" s="67">
        <f>IFERROR(N(INDEX(eq_use,MATCH(B480,eq_code,0))),0)</f>
        <v>0.0</v>
      </c>
      <c r="X480" s="67" t="str">
        <f>IF(AND(ISNUMBER(S480),W480&gt;0),p_today+MAX(0,ROUNDUP(S480*7/W480,0)),"")</f>
        <v/>
      </c>
      <c r="Y480" s="67" t="str">
        <f>IF(AND(ISNUMBER(T480),OR(U480="En retard",U480="Bientôt",U480="À jour")),IF(AND(ISNUMBER(O480),ISNUMBER(X480)),MIN(F480,G480*7/W480),IF(ISNUMBER(O480),F480,G480*7/W480)),"")</f>
        <v/>
      </c>
      <c r="Z480" s="67" t="str">
        <f>IF(OR(U480="En retard",U480="Bientôt"),IF(U480="En retard",0,1)*1000000000+IF(AB480="A",0,IF(AB480="B",1,IF(AB480="C",2,3)))*100000000+IF(ISNUMBER(T480),T480,p_today)*1000+ROW()-5,"")</f>
        <v/>
      </c>
      <c r="AA480" s="67" t="str">
        <f>IF(Z480="","",COUNTIF($Z$6:$Z$505,"&lt;"&amp;Z480)+1)</f>
        <v/>
      </c>
      <c r="AB480" s="67" t="str">
        <f>IFERROR(INDEX(eq_crit,MATCH(B480,eq_code,0))&amp;"","")</f>
        <v/>
      </c>
    </row>
    <row r="481">
      <c r="A481" s="65" t="n"/>
      <c r="B481" s="66" t="n"/>
      <c r="C481" s="67" t="str">
        <f>IF(B481="","",IFERROR(INDEX(eq_des,MATCH(B481,eq_code,0))&amp;"","Équipement inconnu"))</f>
        <v/>
      </c>
      <c r="D481" s="66" t="n"/>
      <c r="E481" s="68" t="n"/>
      <c r="F481" s="69" t="n"/>
      <c r="G481" s="70" t="n"/>
      <c r="H481" s="71" t="n"/>
      <c r="I481" s="66" t="n"/>
      <c r="J481" s="72" t="n"/>
      <c r="K481" s="73" t="n"/>
      <c r="L481" s="68" t="n"/>
      <c r="M481" s="74" t="str">
        <f>IF(AND(A481="",B481="",D481=""),"",MAX(N(J481),IF(A481="",0,SUMPRODUCT(MAX((in_plan=A481)*in_prev*in_dnum)))))</f>
        <v/>
      </c>
      <c r="N481" s="75" t="str">
        <f>IF(AND(A481="",B481="",D481=""),"",MAX(N(K481),IF(A481="",0,SUMPRODUCT(MAX((in_plan=A481)*in_prev*in_cnum)))))</f>
        <v/>
      </c>
      <c r="O481" s="76" t="str">
        <f>IF(AND(OR(E481="Calendrier",E481="Au premier des deux"),N(F481)&gt;0,IF(N(M481)&gt;0,M481,IFERROR(N(INDEX(eq_start,MATCH(B481,eq_code,0))),0))&gt;0),IF(N(M481)&gt;0,M481,IFERROR(N(INDEX(eq_start,MATCH(B481,eq_code,0))),0))+F481,"")</f>
        <v/>
      </c>
      <c r="P481" s="75" t="str">
        <f>IF(AND(OR(E481="Compteur",E481="Au premier des deux"),N(G481)&gt;0),N(N481)+G481,"")</f>
        <v/>
      </c>
      <c r="Q481" s="75" t="str">
        <f>IF(B481="","",IFERROR(N(INDEX(eq_cnt,MATCH(B481,eq_code,0))),""))</f>
        <v/>
      </c>
      <c r="R481" s="77" t="str">
        <f>IF(ISNUMBER(O481),O481-p_today,"")</f>
        <v/>
      </c>
      <c r="S481" s="78" t="str">
        <f>IF(AND(ISNUMBER(P481),N(Q481)&gt;0),P481-Q481,"")</f>
        <v/>
      </c>
      <c r="T481" s="76" t="str">
        <f>IF(AND(ISNUMBER(O481),ISNUMBER(X481)),MIN(O481,X481),IF(ISNUMBER(O481),O481,X481))</f>
        <v/>
      </c>
      <c r="U481" s="79" t="str">
        <f>IF(AND(A481="",B481="",D481=""),"",IF(L481="Non","Inactif",IF(AND(NOT(ISNUMBER(R481)),NOT(ISNUMBER(S481))),"À compléter",IF(OR(AND(ISNUMBER(R481),N(R481)&lt;0),AND(ISNUMBER(S481),N(S481)&lt;0)),"En retard",IF(OR(AND(ISNUMBER(R481),N(R481)&lt;=p_soon),AND(ISNUMBER(S481),N(S481)&lt;=p_soon_pct*N(G481))),"Bientôt","À jour")))))</f>
        <v/>
      </c>
      <c r="V481" s="79" t="str">
        <f>IF(AND(A481="",B481="",D481=""),"",IF(A481="","N° de plan manquant",IF(COUNTIF($A$6:$A$505,A481)&gt;1,"N° de plan en double",IF(B481="","Équipement manquant",IF(ISNA(MATCH(B481,eq_code,0)),"Équipement inconnu",IF(D481="","Tâche manquante",IF(E481="","Déclenchement manquant",IF(AND(E481&lt;&gt;"Calendrier",E481&lt;&gt;"Compteur",E481&lt;&gt;"Au premier des deux"),"Déclenchement inconnu",IF(AND(E481&lt;&gt;"Compteur",OR(NOT(ISNUMBER(F481)),N(F481)&lt;=0)),"Périodicité en jours manquante",IF(AND(E481&lt;&gt;"Calendrier",OR(NOT(ISNUMBER(G481)),N(G481)&lt;=0)),"Périodicité compteur manquante",IF(AND(J481&lt;&gt;"",OR(NOT(ISNUMBER(J481)),N(J481)&lt;=0)),"Date de réalisation invalide",IF(AND(K481&lt;&gt;"",OR(NOT(ISNUMBER(K481)),N(K481)&lt;0)),"Compteur de réalisation invalide",IF(AND(E481&lt;&gt;"Compteur",N(M481)=0,IFERROR(N(INDEX(eq_start,MATCH(B481,eq_code,0))),0)=0),"Date de départ manquante",IF(AND(E481&lt;&gt;"Calendrier",K481="",N(N481)=0),"Compteur de départ manquant",IF(AND(E481&lt;&gt;"Calendrier",N(Q481)=0),"Relevé compteur manquant (Équipements)",IF(AND(I481&lt;&gt;"",ISNA(MATCH(I481,tech_name,0))),"Technicien inconnu",IF(AND(L481&lt;&gt;"",L481&lt;&gt;"Oui",L481&lt;&gt;"Non"),"Actif : Oui ou Non","OK")))))))))))))))))</f>
        <v/>
      </c>
      <c r="W481" s="67">
        <f>IFERROR(N(INDEX(eq_use,MATCH(B481,eq_code,0))),0)</f>
        <v>0.0</v>
      </c>
      <c r="X481" s="67" t="str">
        <f>IF(AND(ISNUMBER(S481),W481&gt;0),p_today+MAX(0,ROUNDUP(S481*7/W481,0)),"")</f>
        <v/>
      </c>
      <c r="Y481" s="67" t="str">
        <f>IF(AND(ISNUMBER(T481),OR(U481="En retard",U481="Bientôt",U481="À jour")),IF(AND(ISNUMBER(O481),ISNUMBER(X481)),MIN(F481,G481*7/W481),IF(ISNUMBER(O481),F481,G481*7/W481)),"")</f>
        <v/>
      </c>
      <c r="Z481" s="67" t="str">
        <f>IF(OR(U481="En retard",U481="Bientôt"),IF(U481="En retard",0,1)*1000000000+IF(AB481="A",0,IF(AB481="B",1,IF(AB481="C",2,3)))*100000000+IF(ISNUMBER(T481),T481,p_today)*1000+ROW()-5,"")</f>
        <v/>
      </c>
      <c r="AA481" s="67" t="str">
        <f>IF(Z481="","",COUNTIF($Z$6:$Z$505,"&lt;"&amp;Z481)+1)</f>
        <v/>
      </c>
      <c r="AB481" s="67" t="str">
        <f>IFERROR(INDEX(eq_crit,MATCH(B481,eq_code,0))&amp;"","")</f>
        <v/>
      </c>
    </row>
    <row r="482">
      <c r="A482" s="65" t="n"/>
      <c r="B482" s="66" t="n"/>
      <c r="C482" s="67" t="str">
        <f>IF(B482="","",IFERROR(INDEX(eq_des,MATCH(B482,eq_code,0))&amp;"","Équipement inconnu"))</f>
        <v/>
      </c>
      <c r="D482" s="66" t="n"/>
      <c r="E482" s="68" t="n"/>
      <c r="F482" s="69" t="n"/>
      <c r="G482" s="70" t="n"/>
      <c r="H482" s="71" t="n"/>
      <c r="I482" s="66" t="n"/>
      <c r="J482" s="72" t="n"/>
      <c r="K482" s="73" t="n"/>
      <c r="L482" s="68" t="n"/>
      <c r="M482" s="74" t="str">
        <f>IF(AND(A482="",B482="",D482=""),"",MAX(N(J482),IF(A482="",0,SUMPRODUCT(MAX((in_plan=A482)*in_prev*in_dnum)))))</f>
        <v/>
      </c>
      <c r="N482" s="75" t="str">
        <f>IF(AND(A482="",B482="",D482=""),"",MAX(N(K482),IF(A482="",0,SUMPRODUCT(MAX((in_plan=A482)*in_prev*in_cnum)))))</f>
        <v/>
      </c>
      <c r="O482" s="76" t="str">
        <f>IF(AND(OR(E482="Calendrier",E482="Au premier des deux"),N(F482)&gt;0,IF(N(M482)&gt;0,M482,IFERROR(N(INDEX(eq_start,MATCH(B482,eq_code,0))),0))&gt;0),IF(N(M482)&gt;0,M482,IFERROR(N(INDEX(eq_start,MATCH(B482,eq_code,0))),0))+F482,"")</f>
        <v/>
      </c>
      <c r="P482" s="75" t="str">
        <f>IF(AND(OR(E482="Compteur",E482="Au premier des deux"),N(G482)&gt;0),N(N482)+G482,"")</f>
        <v/>
      </c>
      <c r="Q482" s="75" t="str">
        <f>IF(B482="","",IFERROR(N(INDEX(eq_cnt,MATCH(B482,eq_code,0))),""))</f>
        <v/>
      </c>
      <c r="R482" s="77" t="str">
        <f>IF(ISNUMBER(O482),O482-p_today,"")</f>
        <v/>
      </c>
      <c r="S482" s="78" t="str">
        <f>IF(AND(ISNUMBER(P482),N(Q482)&gt;0),P482-Q482,"")</f>
        <v/>
      </c>
      <c r="T482" s="76" t="str">
        <f>IF(AND(ISNUMBER(O482),ISNUMBER(X482)),MIN(O482,X482),IF(ISNUMBER(O482),O482,X482))</f>
        <v/>
      </c>
      <c r="U482" s="79" t="str">
        <f>IF(AND(A482="",B482="",D482=""),"",IF(L482="Non","Inactif",IF(AND(NOT(ISNUMBER(R482)),NOT(ISNUMBER(S482))),"À compléter",IF(OR(AND(ISNUMBER(R482),N(R482)&lt;0),AND(ISNUMBER(S482),N(S482)&lt;0)),"En retard",IF(OR(AND(ISNUMBER(R482),N(R482)&lt;=p_soon),AND(ISNUMBER(S482),N(S482)&lt;=p_soon_pct*N(G482))),"Bientôt","À jour")))))</f>
        <v/>
      </c>
      <c r="V482" s="79" t="str">
        <f>IF(AND(A482="",B482="",D482=""),"",IF(A482="","N° de plan manquant",IF(COUNTIF($A$6:$A$505,A482)&gt;1,"N° de plan en double",IF(B482="","Équipement manquant",IF(ISNA(MATCH(B482,eq_code,0)),"Équipement inconnu",IF(D482="","Tâche manquante",IF(E482="","Déclenchement manquant",IF(AND(E482&lt;&gt;"Calendrier",E482&lt;&gt;"Compteur",E482&lt;&gt;"Au premier des deux"),"Déclenchement inconnu",IF(AND(E482&lt;&gt;"Compteur",OR(NOT(ISNUMBER(F482)),N(F482)&lt;=0)),"Périodicité en jours manquante",IF(AND(E482&lt;&gt;"Calendrier",OR(NOT(ISNUMBER(G482)),N(G482)&lt;=0)),"Périodicité compteur manquante",IF(AND(J482&lt;&gt;"",OR(NOT(ISNUMBER(J482)),N(J482)&lt;=0)),"Date de réalisation invalide",IF(AND(K482&lt;&gt;"",OR(NOT(ISNUMBER(K482)),N(K482)&lt;0)),"Compteur de réalisation invalide",IF(AND(E482&lt;&gt;"Compteur",N(M482)=0,IFERROR(N(INDEX(eq_start,MATCH(B482,eq_code,0))),0)=0),"Date de départ manquante",IF(AND(E482&lt;&gt;"Calendrier",K482="",N(N482)=0),"Compteur de départ manquant",IF(AND(E482&lt;&gt;"Calendrier",N(Q482)=0),"Relevé compteur manquant (Équipements)",IF(AND(I482&lt;&gt;"",ISNA(MATCH(I482,tech_name,0))),"Technicien inconnu",IF(AND(L482&lt;&gt;"",L482&lt;&gt;"Oui",L482&lt;&gt;"Non"),"Actif : Oui ou Non","OK")))))))))))))))))</f>
        <v/>
      </c>
      <c r="W482" s="67">
        <f>IFERROR(N(INDEX(eq_use,MATCH(B482,eq_code,0))),0)</f>
        <v>0.0</v>
      </c>
      <c r="X482" s="67" t="str">
        <f>IF(AND(ISNUMBER(S482),W482&gt;0),p_today+MAX(0,ROUNDUP(S482*7/W482,0)),"")</f>
        <v/>
      </c>
      <c r="Y482" s="67" t="str">
        <f>IF(AND(ISNUMBER(T482),OR(U482="En retard",U482="Bientôt",U482="À jour")),IF(AND(ISNUMBER(O482),ISNUMBER(X482)),MIN(F482,G482*7/W482),IF(ISNUMBER(O482),F482,G482*7/W482)),"")</f>
        <v/>
      </c>
      <c r="Z482" s="67" t="str">
        <f>IF(OR(U482="En retard",U482="Bientôt"),IF(U482="En retard",0,1)*1000000000+IF(AB482="A",0,IF(AB482="B",1,IF(AB482="C",2,3)))*100000000+IF(ISNUMBER(T482),T482,p_today)*1000+ROW()-5,"")</f>
        <v/>
      </c>
      <c r="AA482" s="67" t="str">
        <f>IF(Z482="","",COUNTIF($Z$6:$Z$505,"&lt;"&amp;Z482)+1)</f>
        <v/>
      </c>
      <c r="AB482" s="67" t="str">
        <f>IFERROR(INDEX(eq_crit,MATCH(B482,eq_code,0))&amp;"","")</f>
        <v/>
      </c>
    </row>
    <row r="483">
      <c r="A483" s="65" t="n"/>
      <c r="B483" s="66" t="n"/>
      <c r="C483" s="67" t="str">
        <f>IF(B483="","",IFERROR(INDEX(eq_des,MATCH(B483,eq_code,0))&amp;"","Équipement inconnu"))</f>
        <v/>
      </c>
      <c r="D483" s="66" t="n"/>
      <c r="E483" s="68" t="n"/>
      <c r="F483" s="69" t="n"/>
      <c r="G483" s="70" t="n"/>
      <c r="H483" s="71" t="n"/>
      <c r="I483" s="66" t="n"/>
      <c r="J483" s="72" t="n"/>
      <c r="K483" s="73" t="n"/>
      <c r="L483" s="68" t="n"/>
      <c r="M483" s="74" t="str">
        <f>IF(AND(A483="",B483="",D483=""),"",MAX(N(J483),IF(A483="",0,SUMPRODUCT(MAX((in_plan=A483)*in_prev*in_dnum)))))</f>
        <v/>
      </c>
      <c r="N483" s="75" t="str">
        <f>IF(AND(A483="",B483="",D483=""),"",MAX(N(K483),IF(A483="",0,SUMPRODUCT(MAX((in_plan=A483)*in_prev*in_cnum)))))</f>
        <v/>
      </c>
      <c r="O483" s="76" t="str">
        <f>IF(AND(OR(E483="Calendrier",E483="Au premier des deux"),N(F483)&gt;0,IF(N(M483)&gt;0,M483,IFERROR(N(INDEX(eq_start,MATCH(B483,eq_code,0))),0))&gt;0),IF(N(M483)&gt;0,M483,IFERROR(N(INDEX(eq_start,MATCH(B483,eq_code,0))),0))+F483,"")</f>
        <v/>
      </c>
      <c r="P483" s="75" t="str">
        <f>IF(AND(OR(E483="Compteur",E483="Au premier des deux"),N(G483)&gt;0),N(N483)+G483,"")</f>
        <v/>
      </c>
      <c r="Q483" s="75" t="str">
        <f>IF(B483="","",IFERROR(N(INDEX(eq_cnt,MATCH(B483,eq_code,0))),""))</f>
        <v/>
      </c>
      <c r="R483" s="77" t="str">
        <f>IF(ISNUMBER(O483),O483-p_today,"")</f>
        <v/>
      </c>
      <c r="S483" s="78" t="str">
        <f>IF(AND(ISNUMBER(P483),N(Q483)&gt;0),P483-Q483,"")</f>
        <v/>
      </c>
      <c r="T483" s="76" t="str">
        <f>IF(AND(ISNUMBER(O483),ISNUMBER(X483)),MIN(O483,X483),IF(ISNUMBER(O483),O483,X483))</f>
        <v/>
      </c>
      <c r="U483" s="79" t="str">
        <f>IF(AND(A483="",B483="",D483=""),"",IF(L483="Non","Inactif",IF(AND(NOT(ISNUMBER(R483)),NOT(ISNUMBER(S483))),"À compléter",IF(OR(AND(ISNUMBER(R483),N(R483)&lt;0),AND(ISNUMBER(S483),N(S483)&lt;0)),"En retard",IF(OR(AND(ISNUMBER(R483),N(R483)&lt;=p_soon),AND(ISNUMBER(S483),N(S483)&lt;=p_soon_pct*N(G483))),"Bientôt","À jour")))))</f>
        <v/>
      </c>
      <c r="V483" s="79" t="str">
        <f>IF(AND(A483="",B483="",D483=""),"",IF(A483="","N° de plan manquant",IF(COUNTIF($A$6:$A$505,A483)&gt;1,"N° de plan en double",IF(B483="","Équipement manquant",IF(ISNA(MATCH(B483,eq_code,0)),"Équipement inconnu",IF(D483="","Tâche manquante",IF(E483="","Déclenchement manquant",IF(AND(E483&lt;&gt;"Calendrier",E483&lt;&gt;"Compteur",E483&lt;&gt;"Au premier des deux"),"Déclenchement inconnu",IF(AND(E483&lt;&gt;"Compteur",OR(NOT(ISNUMBER(F483)),N(F483)&lt;=0)),"Périodicité en jours manquante",IF(AND(E483&lt;&gt;"Calendrier",OR(NOT(ISNUMBER(G483)),N(G483)&lt;=0)),"Périodicité compteur manquante",IF(AND(J483&lt;&gt;"",OR(NOT(ISNUMBER(J483)),N(J483)&lt;=0)),"Date de réalisation invalide",IF(AND(K483&lt;&gt;"",OR(NOT(ISNUMBER(K483)),N(K483)&lt;0)),"Compteur de réalisation invalide",IF(AND(E483&lt;&gt;"Compteur",N(M483)=0,IFERROR(N(INDEX(eq_start,MATCH(B483,eq_code,0))),0)=0),"Date de départ manquante",IF(AND(E483&lt;&gt;"Calendrier",K483="",N(N483)=0),"Compteur de départ manquant",IF(AND(E483&lt;&gt;"Calendrier",N(Q483)=0),"Relevé compteur manquant (Équipements)",IF(AND(I483&lt;&gt;"",ISNA(MATCH(I483,tech_name,0))),"Technicien inconnu",IF(AND(L483&lt;&gt;"",L483&lt;&gt;"Oui",L483&lt;&gt;"Non"),"Actif : Oui ou Non","OK")))))))))))))))))</f>
        <v/>
      </c>
      <c r="W483" s="67">
        <f>IFERROR(N(INDEX(eq_use,MATCH(B483,eq_code,0))),0)</f>
        <v>0.0</v>
      </c>
      <c r="X483" s="67" t="str">
        <f>IF(AND(ISNUMBER(S483),W483&gt;0),p_today+MAX(0,ROUNDUP(S483*7/W483,0)),"")</f>
        <v/>
      </c>
      <c r="Y483" s="67" t="str">
        <f>IF(AND(ISNUMBER(T483),OR(U483="En retard",U483="Bientôt",U483="À jour")),IF(AND(ISNUMBER(O483),ISNUMBER(X483)),MIN(F483,G483*7/W483),IF(ISNUMBER(O483),F483,G483*7/W483)),"")</f>
        <v/>
      </c>
      <c r="Z483" s="67" t="str">
        <f>IF(OR(U483="En retard",U483="Bientôt"),IF(U483="En retard",0,1)*1000000000+IF(AB483="A",0,IF(AB483="B",1,IF(AB483="C",2,3)))*100000000+IF(ISNUMBER(T483),T483,p_today)*1000+ROW()-5,"")</f>
        <v/>
      </c>
      <c r="AA483" s="67" t="str">
        <f>IF(Z483="","",COUNTIF($Z$6:$Z$505,"&lt;"&amp;Z483)+1)</f>
        <v/>
      </c>
      <c r="AB483" s="67" t="str">
        <f>IFERROR(INDEX(eq_crit,MATCH(B483,eq_code,0))&amp;"","")</f>
        <v/>
      </c>
    </row>
    <row r="484">
      <c r="A484" s="65" t="n"/>
      <c r="B484" s="66" t="n"/>
      <c r="C484" s="67" t="str">
        <f>IF(B484="","",IFERROR(INDEX(eq_des,MATCH(B484,eq_code,0))&amp;"","Équipement inconnu"))</f>
        <v/>
      </c>
      <c r="D484" s="66" t="n"/>
      <c r="E484" s="68" t="n"/>
      <c r="F484" s="69" t="n"/>
      <c r="G484" s="70" t="n"/>
      <c r="H484" s="71" t="n"/>
      <c r="I484" s="66" t="n"/>
      <c r="J484" s="72" t="n"/>
      <c r="K484" s="73" t="n"/>
      <c r="L484" s="68" t="n"/>
      <c r="M484" s="74" t="str">
        <f>IF(AND(A484="",B484="",D484=""),"",MAX(N(J484),IF(A484="",0,SUMPRODUCT(MAX((in_plan=A484)*in_prev*in_dnum)))))</f>
        <v/>
      </c>
      <c r="N484" s="75" t="str">
        <f>IF(AND(A484="",B484="",D484=""),"",MAX(N(K484),IF(A484="",0,SUMPRODUCT(MAX((in_plan=A484)*in_prev*in_cnum)))))</f>
        <v/>
      </c>
      <c r="O484" s="76" t="str">
        <f>IF(AND(OR(E484="Calendrier",E484="Au premier des deux"),N(F484)&gt;0,IF(N(M484)&gt;0,M484,IFERROR(N(INDEX(eq_start,MATCH(B484,eq_code,0))),0))&gt;0),IF(N(M484)&gt;0,M484,IFERROR(N(INDEX(eq_start,MATCH(B484,eq_code,0))),0))+F484,"")</f>
        <v/>
      </c>
      <c r="P484" s="75" t="str">
        <f>IF(AND(OR(E484="Compteur",E484="Au premier des deux"),N(G484)&gt;0),N(N484)+G484,"")</f>
        <v/>
      </c>
      <c r="Q484" s="75" t="str">
        <f>IF(B484="","",IFERROR(N(INDEX(eq_cnt,MATCH(B484,eq_code,0))),""))</f>
        <v/>
      </c>
      <c r="R484" s="77" t="str">
        <f>IF(ISNUMBER(O484),O484-p_today,"")</f>
        <v/>
      </c>
      <c r="S484" s="78" t="str">
        <f>IF(AND(ISNUMBER(P484),N(Q484)&gt;0),P484-Q484,"")</f>
        <v/>
      </c>
      <c r="T484" s="76" t="str">
        <f>IF(AND(ISNUMBER(O484),ISNUMBER(X484)),MIN(O484,X484),IF(ISNUMBER(O484),O484,X484))</f>
        <v/>
      </c>
      <c r="U484" s="79" t="str">
        <f>IF(AND(A484="",B484="",D484=""),"",IF(L484="Non","Inactif",IF(AND(NOT(ISNUMBER(R484)),NOT(ISNUMBER(S484))),"À compléter",IF(OR(AND(ISNUMBER(R484),N(R484)&lt;0),AND(ISNUMBER(S484),N(S484)&lt;0)),"En retard",IF(OR(AND(ISNUMBER(R484),N(R484)&lt;=p_soon),AND(ISNUMBER(S484),N(S484)&lt;=p_soon_pct*N(G484))),"Bientôt","À jour")))))</f>
        <v/>
      </c>
      <c r="V484" s="79" t="str">
        <f>IF(AND(A484="",B484="",D484=""),"",IF(A484="","N° de plan manquant",IF(COUNTIF($A$6:$A$505,A484)&gt;1,"N° de plan en double",IF(B484="","Équipement manquant",IF(ISNA(MATCH(B484,eq_code,0)),"Équipement inconnu",IF(D484="","Tâche manquante",IF(E484="","Déclenchement manquant",IF(AND(E484&lt;&gt;"Calendrier",E484&lt;&gt;"Compteur",E484&lt;&gt;"Au premier des deux"),"Déclenchement inconnu",IF(AND(E484&lt;&gt;"Compteur",OR(NOT(ISNUMBER(F484)),N(F484)&lt;=0)),"Périodicité en jours manquante",IF(AND(E484&lt;&gt;"Calendrier",OR(NOT(ISNUMBER(G484)),N(G484)&lt;=0)),"Périodicité compteur manquante",IF(AND(J484&lt;&gt;"",OR(NOT(ISNUMBER(J484)),N(J484)&lt;=0)),"Date de réalisation invalide",IF(AND(K484&lt;&gt;"",OR(NOT(ISNUMBER(K484)),N(K484)&lt;0)),"Compteur de réalisation invalide",IF(AND(E484&lt;&gt;"Compteur",N(M484)=0,IFERROR(N(INDEX(eq_start,MATCH(B484,eq_code,0))),0)=0),"Date de départ manquante",IF(AND(E484&lt;&gt;"Calendrier",K484="",N(N484)=0),"Compteur de départ manquant",IF(AND(E484&lt;&gt;"Calendrier",N(Q484)=0),"Relevé compteur manquant (Équipements)",IF(AND(I484&lt;&gt;"",ISNA(MATCH(I484,tech_name,0))),"Technicien inconnu",IF(AND(L484&lt;&gt;"",L484&lt;&gt;"Oui",L484&lt;&gt;"Non"),"Actif : Oui ou Non","OK")))))))))))))))))</f>
        <v/>
      </c>
      <c r="W484" s="67">
        <f>IFERROR(N(INDEX(eq_use,MATCH(B484,eq_code,0))),0)</f>
        <v>0.0</v>
      </c>
      <c r="X484" s="67" t="str">
        <f>IF(AND(ISNUMBER(S484),W484&gt;0),p_today+MAX(0,ROUNDUP(S484*7/W484,0)),"")</f>
        <v/>
      </c>
      <c r="Y484" s="67" t="str">
        <f>IF(AND(ISNUMBER(T484),OR(U484="En retard",U484="Bientôt",U484="À jour")),IF(AND(ISNUMBER(O484),ISNUMBER(X484)),MIN(F484,G484*7/W484),IF(ISNUMBER(O484),F484,G484*7/W484)),"")</f>
        <v/>
      </c>
      <c r="Z484" s="67" t="str">
        <f>IF(OR(U484="En retard",U484="Bientôt"),IF(U484="En retard",0,1)*1000000000+IF(AB484="A",0,IF(AB484="B",1,IF(AB484="C",2,3)))*100000000+IF(ISNUMBER(T484),T484,p_today)*1000+ROW()-5,"")</f>
        <v/>
      </c>
      <c r="AA484" s="67" t="str">
        <f>IF(Z484="","",COUNTIF($Z$6:$Z$505,"&lt;"&amp;Z484)+1)</f>
        <v/>
      </c>
      <c r="AB484" s="67" t="str">
        <f>IFERROR(INDEX(eq_crit,MATCH(B484,eq_code,0))&amp;"","")</f>
        <v/>
      </c>
    </row>
    <row r="485">
      <c r="A485" s="65" t="n"/>
      <c r="B485" s="66" t="n"/>
      <c r="C485" s="67" t="str">
        <f>IF(B485="","",IFERROR(INDEX(eq_des,MATCH(B485,eq_code,0))&amp;"","Équipement inconnu"))</f>
        <v/>
      </c>
      <c r="D485" s="66" t="n"/>
      <c r="E485" s="68" t="n"/>
      <c r="F485" s="69" t="n"/>
      <c r="G485" s="70" t="n"/>
      <c r="H485" s="71" t="n"/>
      <c r="I485" s="66" t="n"/>
      <c r="J485" s="72" t="n"/>
      <c r="K485" s="73" t="n"/>
      <c r="L485" s="68" t="n"/>
      <c r="M485" s="74" t="str">
        <f>IF(AND(A485="",B485="",D485=""),"",MAX(N(J485),IF(A485="",0,SUMPRODUCT(MAX((in_plan=A485)*in_prev*in_dnum)))))</f>
        <v/>
      </c>
      <c r="N485" s="75" t="str">
        <f>IF(AND(A485="",B485="",D485=""),"",MAX(N(K485),IF(A485="",0,SUMPRODUCT(MAX((in_plan=A485)*in_prev*in_cnum)))))</f>
        <v/>
      </c>
      <c r="O485" s="76" t="str">
        <f>IF(AND(OR(E485="Calendrier",E485="Au premier des deux"),N(F485)&gt;0,IF(N(M485)&gt;0,M485,IFERROR(N(INDEX(eq_start,MATCH(B485,eq_code,0))),0))&gt;0),IF(N(M485)&gt;0,M485,IFERROR(N(INDEX(eq_start,MATCH(B485,eq_code,0))),0))+F485,"")</f>
        <v/>
      </c>
      <c r="P485" s="75" t="str">
        <f>IF(AND(OR(E485="Compteur",E485="Au premier des deux"),N(G485)&gt;0),N(N485)+G485,"")</f>
        <v/>
      </c>
      <c r="Q485" s="75" t="str">
        <f>IF(B485="","",IFERROR(N(INDEX(eq_cnt,MATCH(B485,eq_code,0))),""))</f>
        <v/>
      </c>
      <c r="R485" s="77" t="str">
        <f>IF(ISNUMBER(O485),O485-p_today,"")</f>
        <v/>
      </c>
      <c r="S485" s="78" t="str">
        <f>IF(AND(ISNUMBER(P485),N(Q485)&gt;0),P485-Q485,"")</f>
        <v/>
      </c>
      <c r="T485" s="76" t="str">
        <f>IF(AND(ISNUMBER(O485),ISNUMBER(X485)),MIN(O485,X485),IF(ISNUMBER(O485),O485,X485))</f>
        <v/>
      </c>
      <c r="U485" s="79" t="str">
        <f>IF(AND(A485="",B485="",D485=""),"",IF(L485="Non","Inactif",IF(AND(NOT(ISNUMBER(R485)),NOT(ISNUMBER(S485))),"À compléter",IF(OR(AND(ISNUMBER(R485),N(R485)&lt;0),AND(ISNUMBER(S485),N(S485)&lt;0)),"En retard",IF(OR(AND(ISNUMBER(R485),N(R485)&lt;=p_soon),AND(ISNUMBER(S485),N(S485)&lt;=p_soon_pct*N(G485))),"Bientôt","À jour")))))</f>
        <v/>
      </c>
      <c r="V485" s="79" t="str">
        <f>IF(AND(A485="",B485="",D485=""),"",IF(A485="","N° de plan manquant",IF(COUNTIF($A$6:$A$505,A485)&gt;1,"N° de plan en double",IF(B485="","Équipement manquant",IF(ISNA(MATCH(B485,eq_code,0)),"Équipement inconnu",IF(D485="","Tâche manquante",IF(E485="","Déclenchement manquant",IF(AND(E485&lt;&gt;"Calendrier",E485&lt;&gt;"Compteur",E485&lt;&gt;"Au premier des deux"),"Déclenchement inconnu",IF(AND(E485&lt;&gt;"Compteur",OR(NOT(ISNUMBER(F485)),N(F485)&lt;=0)),"Périodicité en jours manquante",IF(AND(E485&lt;&gt;"Calendrier",OR(NOT(ISNUMBER(G485)),N(G485)&lt;=0)),"Périodicité compteur manquante",IF(AND(J485&lt;&gt;"",OR(NOT(ISNUMBER(J485)),N(J485)&lt;=0)),"Date de réalisation invalide",IF(AND(K485&lt;&gt;"",OR(NOT(ISNUMBER(K485)),N(K485)&lt;0)),"Compteur de réalisation invalide",IF(AND(E485&lt;&gt;"Compteur",N(M485)=0,IFERROR(N(INDEX(eq_start,MATCH(B485,eq_code,0))),0)=0),"Date de départ manquante",IF(AND(E485&lt;&gt;"Calendrier",K485="",N(N485)=0),"Compteur de départ manquant",IF(AND(E485&lt;&gt;"Calendrier",N(Q485)=0),"Relevé compteur manquant (Équipements)",IF(AND(I485&lt;&gt;"",ISNA(MATCH(I485,tech_name,0))),"Technicien inconnu",IF(AND(L485&lt;&gt;"",L485&lt;&gt;"Oui",L485&lt;&gt;"Non"),"Actif : Oui ou Non","OK")))))))))))))))))</f>
        <v/>
      </c>
      <c r="W485" s="67">
        <f>IFERROR(N(INDEX(eq_use,MATCH(B485,eq_code,0))),0)</f>
        <v>0.0</v>
      </c>
      <c r="X485" s="67" t="str">
        <f>IF(AND(ISNUMBER(S485),W485&gt;0),p_today+MAX(0,ROUNDUP(S485*7/W485,0)),"")</f>
        <v/>
      </c>
      <c r="Y485" s="67" t="str">
        <f>IF(AND(ISNUMBER(T485),OR(U485="En retard",U485="Bientôt",U485="À jour")),IF(AND(ISNUMBER(O485),ISNUMBER(X485)),MIN(F485,G485*7/W485),IF(ISNUMBER(O485),F485,G485*7/W485)),"")</f>
        <v/>
      </c>
      <c r="Z485" s="67" t="str">
        <f>IF(OR(U485="En retard",U485="Bientôt"),IF(U485="En retard",0,1)*1000000000+IF(AB485="A",0,IF(AB485="B",1,IF(AB485="C",2,3)))*100000000+IF(ISNUMBER(T485),T485,p_today)*1000+ROW()-5,"")</f>
        <v/>
      </c>
      <c r="AA485" s="67" t="str">
        <f>IF(Z485="","",COUNTIF($Z$6:$Z$505,"&lt;"&amp;Z485)+1)</f>
        <v/>
      </c>
      <c r="AB485" s="67" t="str">
        <f>IFERROR(INDEX(eq_crit,MATCH(B485,eq_code,0))&amp;"","")</f>
        <v/>
      </c>
    </row>
    <row r="486">
      <c r="A486" s="65" t="n"/>
      <c r="B486" s="66" t="n"/>
      <c r="C486" s="67" t="str">
        <f>IF(B486="","",IFERROR(INDEX(eq_des,MATCH(B486,eq_code,0))&amp;"","Équipement inconnu"))</f>
        <v/>
      </c>
      <c r="D486" s="66" t="n"/>
      <c r="E486" s="68" t="n"/>
      <c r="F486" s="69" t="n"/>
      <c r="G486" s="70" t="n"/>
      <c r="H486" s="71" t="n"/>
      <c r="I486" s="66" t="n"/>
      <c r="J486" s="72" t="n"/>
      <c r="K486" s="73" t="n"/>
      <c r="L486" s="68" t="n"/>
      <c r="M486" s="74" t="str">
        <f>IF(AND(A486="",B486="",D486=""),"",MAX(N(J486),IF(A486="",0,SUMPRODUCT(MAX((in_plan=A486)*in_prev*in_dnum)))))</f>
        <v/>
      </c>
      <c r="N486" s="75" t="str">
        <f>IF(AND(A486="",B486="",D486=""),"",MAX(N(K486),IF(A486="",0,SUMPRODUCT(MAX((in_plan=A486)*in_prev*in_cnum)))))</f>
        <v/>
      </c>
      <c r="O486" s="76" t="str">
        <f>IF(AND(OR(E486="Calendrier",E486="Au premier des deux"),N(F486)&gt;0,IF(N(M486)&gt;0,M486,IFERROR(N(INDEX(eq_start,MATCH(B486,eq_code,0))),0))&gt;0),IF(N(M486)&gt;0,M486,IFERROR(N(INDEX(eq_start,MATCH(B486,eq_code,0))),0))+F486,"")</f>
        <v/>
      </c>
      <c r="P486" s="75" t="str">
        <f>IF(AND(OR(E486="Compteur",E486="Au premier des deux"),N(G486)&gt;0),N(N486)+G486,"")</f>
        <v/>
      </c>
      <c r="Q486" s="75" t="str">
        <f>IF(B486="","",IFERROR(N(INDEX(eq_cnt,MATCH(B486,eq_code,0))),""))</f>
        <v/>
      </c>
      <c r="R486" s="77" t="str">
        <f>IF(ISNUMBER(O486),O486-p_today,"")</f>
        <v/>
      </c>
      <c r="S486" s="78" t="str">
        <f>IF(AND(ISNUMBER(P486),N(Q486)&gt;0),P486-Q486,"")</f>
        <v/>
      </c>
      <c r="T486" s="76" t="str">
        <f>IF(AND(ISNUMBER(O486),ISNUMBER(X486)),MIN(O486,X486),IF(ISNUMBER(O486),O486,X486))</f>
        <v/>
      </c>
      <c r="U486" s="79" t="str">
        <f>IF(AND(A486="",B486="",D486=""),"",IF(L486="Non","Inactif",IF(AND(NOT(ISNUMBER(R486)),NOT(ISNUMBER(S486))),"À compléter",IF(OR(AND(ISNUMBER(R486),N(R486)&lt;0),AND(ISNUMBER(S486),N(S486)&lt;0)),"En retard",IF(OR(AND(ISNUMBER(R486),N(R486)&lt;=p_soon),AND(ISNUMBER(S486),N(S486)&lt;=p_soon_pct*N(G486))),"Bientôt","À jour")))))</f>
        <v/>
      </c>
      <c r="V486" s="79" t="str">
        <f>IF(AND(A486="",B486="",D486=""),"",IF(A486="","N° de plan manquant",IF(COUNTIF($A$6:$A$505,A486)&gt;1,"N° de plan en double",IF(B486="","Équipement manquant",IF(ISNA(MATCH(B486,eq_code,0)),"Équipement inconnu",IF(D486="","Tâche manquante",IF(E486="","Déclenchement manquant",IF(AND(E486&lt;&gt;"Calendrier",E486&lt;&gt;"Compteur",E486&lt;&gt;"Au premier des deux"),"Déclenchement inconnu",IF(AND(E486&lt;&gt;"Compteur",OR(NOT(ISNUMBER(F486)),N(F486)&lt;=0)),"Périodicité en jours manquante",IF(AND(E486&lt;&gt;"Calendrier",OR(NOT(ISNUMBER(G486)),N(G486)&lt;=0)),"Périodicité compteur manquante",IF(AND(J486&lt;&gt;"",OR(NOT(ISNUMBER(J486)),N(J486)&lt;=0)),"Date de réalisation invalide",IF(AND(K486&lt;&gt;"",OR(NOT(ISNUMBER(K486)),N(K486)&lt;0)),"Compteur de réalisation invalide",IF(AND(E486&lt;&gt;"Compteur",N(M486)=0,IFERROR(N(INDEX(eq_start,MATCH(B486,eq_code,0))),0)=0),"Date de départ manquante",IF(AND(E486&lt;&gt;"Calendrier",K486="",N(N486)=0),"Compteur de départ manquant",IF(AND(E486&lt;&gt;"Calendrier",N(Q486)=0),"Relevé compteur manquant (Équipements)",IF(AND(I486&lt;&gt;"",ISNA(MATCH(I486,tech_name,0))),"Technicien inconnu",IF(AND(L486&lt;&gt;"",L486&lt;&gt;"Oui",L486&lt;&gt;"Non"),"Actif : Oui ou Non","OK")))))))))))))))))</f>
        <v/>
      </c>
      <c r="W486" s="67">
        <f>IFERROR(N(INDEX(eq_use,MATCH(B486,eq_code,0))),0)</f>
        <v>0.0</v>
      </c>
      <c r="X486" s="67" t="str">
        <f>IF(AND(ISNUMBER(S486),W486&gt;0),p_today+MAX(0,ROUNDUP(S486*7/W486,0)),"")</f>
        <v/>
      </c>
      <c r="Y486" s="67" t="str">
        <f>IF(AND(ISNUMBER(T486),OR(U486="En retard",U486="Bientôt",U486="À jour")),IF(AND(ISNUMBER(O486),ISNUMBER(X486)),MIN(F486,G486*7/W486),IF(ISNUMBER(O486),F486,G486*7/W486)),"")</f>
        <v/>
      </c>
      <c r="Z486" s="67" t="str">
        <f>IF(OR(U486="En retard",U486="Bientôt"),IF(U486="En retard",0,1)*1000000000+IF(AB486="A",0,IF(AB486="B",1,IF(AB486="C",2,3)))*100000000+IF(ISNUMBER(T486),T486,p_today)*1000+ROW()-5,"")</f>
        <v/>
      </c>
      <c r="AA486" s="67" t="str">
        <f>IF(Z486="","",COUNTIF($Z$6:$Z$505,"&lt;"&amp;Z486)+1)</f>
        <v/>
      </c>
      <c r="AB486" s="67" t="str">
        <f>IFERROR(INDEX(eq_crit,MATCH(B486,eq_code,0))&amp;"","")</f>
        <v/>
      </c>
    </row>
    <row r="487">
      <c r="A487" s="65" t="n"/>
      <c r="B487" s="66" t="n"/>
      <c r="C487" s="67" t="str">
        <f>IF(B487="","",IFERROR(INDEX(eq_des,MATCH(B487,eq_code,0))&amp;"","Équipement inconnu"))</f>
        <v/>
      </c>
      <c r="D487" s="66" t="n"/>
      <c r="E487" s="68" t="n"/>
      <c r="F487" s="69" t="n"/>
      <c r="G487" s="70" t="n"/>
      <c r="H487" s="71" t="n"/>
      <c r="I487" s="66" t="n"/>
      <c r="J487" s="72" t="n"/>
      <c r="K487" s="73" t="n"/>
      <c r="L487" s="68" t="n"/>
      <c r="M487" s="74" t="str">
        <f>IF(AND(A487="",B487="",D487=""),"",MAX(N(J487),IF(A487="",0,SUMPRODUCT(MAX((in_plan=A487)*in_prev*in_dnum)))))</f>
        <v/>
      </c>
      <c r="N487" s="75" t="str">
        <f>IF(AND(A487="",B487="",D487=""),"",MAX(N(K487),IF(A487="",0,SUMPRODUCT(MAX((in_plan=A487)*in_prev*in_cnum)))))</f>
        <v/>
      </c>
      <c r="O487" s="76" t="str">
        <f>IF(AND(OR(E487="Calendrier",E487="Au premier des deux"),N(F487)&gt;0,IF(N(M487)&gt;0,M487,IFERROR(N(INDEX(eq_start,MATCH(B487,eq_code,0))),0))&gt;0),IF(N(M487)&gt;0,M487,IFERROR(N(INDEX(eq_start,MATCH(B487,eq_code,0))),0))+F487,"")</f>
        <v/>
      </c>
      <c r="P487" s="75" t="str">
        <f>IF(AND(OR(E487="Compteur",E487="Au premier des deux"),N(G487)&gt;0),N(N487)+G487,"")</f>
        <v/>
      </c>
      <c r="Q487" s="75" t="str">
        <f>IF(B487="","",IFERROR(N(INDEX(eq_cnt,MATCH(B487,eq_code,0))),""))</f>
        <v/>
      </c>
      <c r="R487" s="77" t="str">
        <f>IF(ISNUMBER(O487),O487-p_today,"")</f>
        <v/>
      </c>
      <c r="S487" s="78" t="str">
        <f>IF(AND(ISNUMBER(P487),N(Q487)&gt;0),P487-Q487,"")</f>
        <v/>
      </c>
      <c r="T487" s="76" t="str">
        <f>IF(AND(ISNUMBER(O487),ISNUMBER(X487)),MIN(O487,X487),IF(ISNUMBER(O487),O487,X487))</f>
        <v/>
      </c>
      <c r="U487" s="79" t="str">
        <f>IF(AND(A487="",B487="",D487=""),"",IF(L487="Non","Inactif",IF(AND(NOT(ISNUMBER(R487)),NOT(ISNUMBER(S487))),"À compléter",IF(OR(AND(ISNUMBER(R487),N(R487)&lt;0),AND(ISNUMBER(S487),N(S487)&lt;0)),"En retard",IF(OR(AND(ISNUMBER(R487),N(R487)&lt;=p_soon),AND(ISNUMBER(S487),N(S487)&lt;=p_soon_pct*N(G487))),"Bientôt","À jour")))))</f>
        <v/>
      </c>
      <c r="V487" s="79" t="str">
        <f>IF(AND(A487="",B487="",D487=""),"",IF(A487="","N° de plan manquant",IF(COUNTIF($A$6:$A$505,A487)&gt;1,"N° de plan en double",IF(B487="","Équipement manquant",IF(ISNA(MATCH(B487,eq_code,0)),"Équipement inconnu",IF(D487="","Tâche manquante",IF(E487="","Déclenchement manquant",IF(AND(E487&lt;&gt;"Calendrier",E487&lt;&gt;"Compteur",E487&lt;&gt;"Au premier des deux"),"Déclenchement inconnu",IF(AND(E487&lt;&gt;"Compteur",OR(NOT(ISNUMBER(F487)),N(F487)&lt;=0)),"Périodicité en jours manquante",IF(AND(E487&lt;&gt;"Calendrier",OR(NOT(ISNUMBER(G487)),N(G487)&lt;=0)),"Périodicité compteur manquante",IF(AND(J487&lt;&gt;"",OR(NOT(ISNUMBER(J487)),N(J487)&lt;=0)),"Date de réalisation invalide",IF(AND(K487&lt;&gt;"",OR(NOT(ISNUMBER(K487)),N(K487)&lt;0)),"Compteur de réalisation invalide",IF(AND(E487&lt;&gt;"Compteur",N(M487)=0,IFERROR(N(INDEX(eq_start,MATCH(B487,eq_code,0))),0)=0),"Date de départ manquante",IF(AND(E487&lt;&gt;"Calendrier",K487="",N(N487)=0),"Compteur de départ manquant",IF(AND(E487&lt;&gt;"Calendrier",N(Q487)=0),"Relevé compteur manquant (Équipements)",IF(AND(I487&lt;&gt;"",ISNA(MATCH(I487,tech_name,0))),"Technicien inconnu",IF(AND(L487&lt;&gt;"",L487&lt;&gt;"Oui",L487&lt;&gt;"Non"),"Actif : Oui ou Non","OK")))))))))))))))))</f>
        <v/>
      </c>
      <c r="W487" s="67">
        <f>IFERROR(N(INDEX(eq_use,MATCH(B487,eq_code,0))),0)</f>
        <v>0.0</v>
      </c>
      <c r="X487" s="67" t="str">
        <f>IF(AND(ISNUMBER(S487),W487&gt;0),p_today+MAX(0,ROUNDUP(S487*7/W487,0)),"")</f>
        <v/>
      </c>
      <c r="Y487" s="67" t="str">
        <f>IF(AND(ISNUMBER(T487),OR(U487="En retard",U487="Bientôt",U487="À jour")),IF(AND(ISNUMBER(O487),ISNUMBER(X487)),MIN(F487,G487*7/W487),IF(ISNUMBER(O487),F487,G487*7/W487)),"")</f>
        <v/>
      </c>
      <c r="Z487" s="67" t="str">
        <f>IF(OR(U487="En retard",U487="Bientôt"),IF(U487="En retard",0,1)*1000000000+IF(AB487="A",0,IF(AB487="B",1,IF(AB487="C",2,3)))*100000000+IF(ISNUMBER(T487),T487,p_today)*1000+ROW()-5,"")</f>
        <v/>
      </c>
      <c r="AA487" s="67" t="str">
        <f>IF(Z487="","",COUNTIF($Z$6:$Z$505,"&lt;"&amp;Z487)+1)</f>
        <v/>
      </c>
      <c r="AB487" s="67" t="str">
        <f>IFERROR(INDEX(eq_crit,MATCH(B487,eq_code,0))&amp;"","")</f>
        <v/>
      </c>
    </row>
    <row r="488">
      <c r="A488" s="65" t="n"/>
      <c r="B488" s="66" t="n"/>
      <c r="C488" s="67" t="str">
        <f>IF(B488="","",IFERROR(INDEX(eq_des,MATCH(B488,eq_code,0))&amp;"","Équipement inconnu"))</f>
        <v/>
      </c>
      <c r="D488" s="66" t="n"/>
      <c r="E488" s="68" t="n"/>
      <c r="F488" s="69" t="n"/>
      <c r="G488" s="70" t="n"/>
      <c r="H488" s="71" t="n"/>
      <c r="I488" s="66" t="n"/>
      <c r="J488" s="72" t="n"/>
      <c r="K488" s="73" t="n"/>
      <c r="L488" s="68" t="n"/>
      <c r="M488" s="74" t="str">
        <f>IF(AND(A488="",B488="",D488=""),"",MAX(N(J488),IF(A488="",0,SUMPRODUCT(MAX((in_plan=A488)*in_prev*in_dnum)))))</f>
        <v/>
      </c>
      <c r="N488" s="75" t="str">
        <f>IF(AND(A488="",B488="",D488=""),"",MAX(N(K488),IF(A488="",0,SUMPRODUCT(MAX((in_plan=A488)*in_prev*in_cnum)))))</f>
        <v/>
      </c>
      <c r="O488" s="76" t="str">
        <f>IF(AND(OR(E488="Calendrier",E488="Au premier des deux"),N(F488)&gt;0,IF(N(M488)&gt;0,M488,IFERROR(N(INDEX(eq_start,MATCH(B488,eq_code,0))),0))&gt;0),IF(N(M488)&gt;0,M488,IFERROR(N(INDEX(eq_start,MATCH(B488,eq_code,0))),0))+F488,"")</f>
        <v/>
      </c>
      <c r="P488" s="75" t="str">
        <f>IF(AND(OR(E488="Compteur",E488="Au premier des deux"),N(G488)&gt;0),N(N488)+G488,"")</f>
        <v/>
      </c>
      <c r="Q488" s="75" t="str">
        <f>IF(B488="","",IFERROR(N(INDEX(eq_cnt,MATCH(B488,eq_code,0))),""))</f>
        <v/>
      </c>
      <c r="R488" s="77" t="str">
        <f>IF(ISNUMBER(O488),O488-p_today,"")</f>
        <v/>
      </c>
      <c r="S488" s="78" t="str">
        <f>IF(AND(ISNUMBER(P488),N(Q488)&gt;0),P488-Q488,"")</f>
        <v/>
      </c>
      <c r="T488" s="76" t="str">
        <f>IF(AND(ISNUMBER(O488),ISNUMBER(X488)),MIN(O488,X488),IF(ISNUMBER(O488),O488,X488))</f>
        <v/>
      </c>
      <c r="U488" s="79" t="str">
        <f>IF(AND(A488="",B488="",D488=""),"",IF(L488="Non","Inactif",IF(AND(NOT(ISNUMBER(R488)),NOT(ISNUMBER(S488))),"À compléter",IF(OR(AND(ISNUMBER(R488),N(R488)&lt;0),AND(ISNUMBER(S488),N(S488)&lt;0)),"En retard",IF(OR(AND(ISNUMBER(R488),N(R488)&lt;=p_soon),AND(ISNUMBER(S488),N(S488)&lt;=p_soon_pct*N(G488))),"Bientôt","À jour")))))</f>
        <v/>
      </c>
      <c r="V488" s="79" t="str">
        <f>IF(AND(A488="",B488="",D488=""),"",IF(A488="","N° de plan manquant",IF(COUNTIF($A$6:$A$505,A488)&gt;1,"N° de plan en double",IF(B488="","Équipement manquant",IF(ISNA(MATCH(B488,eq_code,0)),"Équipement inconnu",IF(D488="","Tâche manquante",IF(E488="","Déclenchement manquant",IF(AND(E488&lt;&gt;"Calendrier",E488&lt;&gt;"Compteur",E488&lt;&gt;"Au premier des deux"),"Déclenchement inconnu",IF(AND(E488&lt;&gt;"Compteur",OR(NOT(ISNUMBER(F488)),N(F488)&lt;=0)),"Périodicité en jours manquante",IF(AND(E488&lt;&gt;"Calendrier",OR(NOT(ISNUMBER(G488)),N(G488)&lt;=0)),"Périodicité compteur manquante",IF(AND(J488&lt;&gt;"",OR(NOT(ISNUMBER(J488)),N(J488)&lt;=0)),"Date de réalisation invalide",IF(AND(K488&lt;&gt;"",OR(NOT(ISNUMBER(K488)),N(K488)&lt;0)),"Compteur de réalisation invalide",IF(AND(E488&lt;&gt;"Compteur",N(M488)=0,IFERROR(N(INDEX(eq_start,MATCH(B488,eq_code,0))),0)=0),"Date de départ manquante",IF(AND(E488&lt;&gt;"Calendrier",K488="",N(N488)=0),"Compteur de départ manquant",IF(AND(E488&lt;&gt;"Calendrier",N(Q488)=0),"Relevé compteur manquant (Équipements)",IF(AND(I488&lt;&gt;"",ISNA(MATCH(I488,tech_name,0))),"Technicien inconnu",IF(AND(L488&lt;&gt;"",L488&lt;&gt;"Oui",L488&lt;&gt;"Non"),"Actif : Oui ou Non","OK")))))))))))))))))</f>
        <v/>
      </c>
      <c r="W488" s="67">
        <f>IFERROR(N(INDEX(eq_use,MATCH(B488,eq_code,0))),0)</f>
        <v>0.0</v>
      </c>
      <c r="X488" s="67" t="str">
        <f>IF(AND(ISNUMBER(S488),W488&gt;0),p_today+MAX(0,ROUNDUP(S488*7/W488,0)),"")</f>
        <v/>
      </c>
      <c r="Y488" s="67" t="str">
        <f>IF(AND(ISNUMBER(T488),OR(U488="En retard",U488="Bientôt",U488="À jour")),IF(AND(ISNUMBER(O488),ISNUMBER(X488)),MIN(F488,G488*7/W488),IF(ISNUMBER(O488),F488,G488*7/W488)),"")</f>
        <v/>
      </c>
      <c r="Z488" s="67" t="str">
        <f>IF(OR(U488="En retard",U488="Bientôt"),IF(U488="En retard",0,1)*1000000000+IF(AB488="A",0,IF(AB488="B",1,IF(AB488="C",2,3)))*100000000+IF(ISNUMBER(T488),T488,p_today)*1000+ROW()-5,"")</f>
        <v/>
      </c>
      <c r="AA488" s="67" t="str">
        <f>IF(Z488="","",COUNTIF($Z$6:$Z$505,"&lt;"&amp;Z488)+1)</f>
        <v/>
      </c>
      <c r="AB488" s="67" t="str">
        <f>IFERROR(INDEX(eq_crit,MATCH(B488,eq_code,0))&amp;"","")</f>
        <v/>
      </c>
    </row>
    <row r="489">
      <c r="A489" s="65" t="n"/>
      <c r="B489" s="66" t="n"/>
      <c r="C489" s="67" t="str">
        <f>IF(B489="","",IFERROR(INDEX(eq_des,MATCH(B489,eq_code,0))&amp;"","Équipement inconnu"))</f>
        <v/>
      </c>
      <c r="D489" s="66" t="n"/>
      <c r="E489" s="68" t="n"/>
      <c r="F489" s="69" t="n"/>
      <c r="G489" s="70" t="n"/>
      <c r="H489" s="71" t="n"/>
      <c r="I489" s="66" t="n"/>
      <c r="J489" s="72" t="n"/>
      <c r="K489" s="73" t="n"/>
      <c r="L489" s="68" t="n"/>
      <c r="M489" s="74" t="str">
        <f>IF(AND(A489="",B489="",D489=""),"",MAX(N(J489),IF(A489="",0,SUMPRODUCT(MAX((in_plan=A489)*in_prev*in_dnum)))))</f>
        <v/>
      </c>
      <c r="N489" s="75" t="str">
        <f>IF(AND(A489="",B489="",D489=""),"",MAX(N(K489),IF(A489="",0,SUMPRODUCT(MAX((in_plan=A489)*in_prev*in_cnum)))))</f>
        <v/>
      </c>
      <c r="O489" s="76" t="str">
        <f>IF(AND(OR(E489="Calendrier",E489="Au premier des deux"),N(F489)&gt;0,IF(N(M489)&gt;0,M489,IFERROR(N(INDEX(eq_start,MATCH(B489,eq_code,0))),0))&gt;0),IF(N(M489)&gt;0,M489,IFERROR(N(INDEX(eq_start,MATCH(B489,eq_code,0))),0))+F489,"")</f>
        <v/>
      </c>
      <c r="P489" s="75" t="str">
        <f>IF(AND(OR(E489="Compteur",E489="Au premier des deux"),N(G489)&gt;0),N(N489)+G489,"")</f>
        <v/>
      </c>
      <c r="Q489" s="75" t="str">
        <f>IF(B489="","",IFERROR(N(INDEX(eq_cnt,MATCH(B489,eq_code,0))),""))</f>
        <v/>
      </c>
      <c r="R489" s="77" t="str">
        <f>IF(ISNUMBER(O489),O489-p_today,"")</f>
        <v/>
      </c>
      <c r="S489" s="78" t="str">
        <f>IF(AND(ISNUMBER(P489),N(Q489)&gt;0),P489-Q489,"")</f>
        <v/>
      </c>
      <c r="T489" s="76" t="str">
        <f>IF(AND(ISNUMBER(O489),ISNUMBER(X489)),MIN(O489,X489),IF(ISNUMBER(O489),O489,X489))</f>
        <v/>
      </c>
      <c r="U489" s="79" t="str">
        <f>IF(AND(A489="",B489="",D489=""),"",IF(L489="Non","Inactif",IF(AND(NOT(ISNUMBER(R489)),NOT(ISNUMBER(S489))),"À compléter",IF(OR(AND(ISNUMBER(R489),N(R489)&lt;0),AND(ISNUMBER(S489),N(S489)&lt;0)),"En retard",IF(OR(AND(ISNUMBER(R489),N(R489)&lt;=p_soon),AND(ISNUMBER(S489),N(S489)&lt;=p_soon_pct*N(G489))),"Bientôt","À jour")))))</f>
        <v/>
      </c>
      <c r="V489" s="79" t="str">
        <f>IF(AND(A489="",B489="",D489=""),"",IF(A489="","N° de plan manquant",IF(COUNTIF($A$6:$A$505,A489)&gt;1,"N° de plan en double",IF(B489="","Équipement manquant",IF(ISNA(MATCH(B489,eq_code,0)),"Équipement inconnu",IF(D489="","Tâche manquante",IF(E489="","Déclenchement manquant",IF(AND(E489&lt;&gt;"Calendrier",E489&lt;&gt;"Compteur",E489&lt;&gt;"Au premier des deux"),"Déclenchement inconnu",IF(AND(E489&lt;&gt;"Compteur",OR(NOT(ISNUMBER(F489)),N(F489)&lt;=0)),"Périodicité en jours manquante",IF(AND(E489&lt;&gt;"Calendrier",OR(NOT(ISNUMBER(G489)),N(G489)&lt;=0)),"Périodicité compteur manquante",IF(AND(J489&lt;&gt;"",OR(NOT(ISNUMBER(J489)),N(J489)&lt;=0)),"Date de réalisation invalide",IF(AND(K489&lt;&gt;"",OR(NOT(ISNUMBER(K489)),N(K489)&lt;0)),"Compteur de réalisation invalide",IF(AND(E489&lt;&gt;"Compteur",N(M489)=0,IFERROR(N(INDEX(eq_start,MATCH(B489,eq_code,0))),0)=0),"Date de départ manquante",IF(AND(E489&lt;&gt;"Calendrier",K489="",N(N489)=0),"Compteur de départ manquant",IF(AND(E489&lt;&gt;"Calendrier",N(Q489)=0),"Relevé compteur manquant (Équipements)",IF(AND(I489&lt;&gt;"",ISNA(MATCH(I489,tech_name,0))),"Technicien inconnu",IF(AND(L489&lt;&gt;"",L489&lt;&gt;"Oui",L489&lt;&gt;"Non"),"Actif : Oui ou Non","OK")))))))))))))))))</f>
        <v/>
      </c>
      <c r="W489" s="67">
        <f>IFERROR(N(INDEX(eq_use,MATCH(B489,eq_code,0))),0)</f>
        <v>0.0</v>
      </c>
      <c r="X489" s="67" t="str">
        <f>IF(AND(ISNUMBER(S489),W489&gt;0),p_today+MAX(0,ROUNDUP(S489*7/W489,0)),"")</f>
        <v/>
      </c>
      <c r="Y489" s="67" t="str">
        <f>IF(AND(ISNUMBER(T489),OR(U489="En retard",U489="Bientôt",U489="À jour")),IF(AND(ISNUMBER(O489),ISNUMBER(X489)),MIN(F489,G489*7/W489),IF(ISNUMBER(O489),F489,G489*7/W489)),"")</f>
        <v/>
      </c>
      <c r="Z489" s="67" t="str">
        <f>IF(OR(U489="En retard",U489="Bientôt"),IF(U489="En retard",0,1)*1000000000+IF(AB489="A",0,IF(AB489="B",1,IF(AB489="C",2,3)))*100000000+IF(ISNUMBER(T489),T489,p_today)*1000+ROW()-5,"")</f>
        <v/>
      </c>
      <c r="AA489" s="67" t="str">
        <f>IF(Z489="","",COUNTIF($Z$6:$Z$505,"&lt;"&amp;Z489)+1)</f>
        <v/>
      </c>
      <c r="AB489" s="67" t="str">
        <f>IFERROR(INDEX(eq_crit,MATCH(B489,eq_code,0))&amp;"","")</f>
        <v/>
      </c>
    </row>
    <row r="490">
      <c r="A490" s="65" t="n"/>
      <c r="B490" s="66" t="n"/>
      <c r="C490" s="67" t="str">
        <f>IF(B490="","",IFERROR(INDEX(eq_des,MATCH(B490,eq_code,0))&amp;"","Équipement inconnu"))</f>
        <v/>
      </c>
      <c r="D490" s="66" t="n"/>
      <c r="E490" s="68" t="n"/>
      <c r="F490" s="69" t="n"/>
      <c r="G490" s="70" t="n"/>
      <c r="H490" s="71" t="n"/>
      <c r="I490" s="66" t="n"/>
      <c r="J490" s="72" t="n"/>
      <c r="K490" s="73" t="n"/>
      <c r="L490" s="68" t="n"/>
      <c r="M490" s="74" t="str">
        <f>IF(AND(A490="",B490="",D490=""),"",MAX(N(J490),IF(A490="",0,SUMPRODUCT(MAX((in_plan=A490)*in_prev*in_dnum)))))</f>
        <v/>
      </c>
      <c r="N490" s="75" t="str">
        <f>IF(AND(A490="",B490="",D490=""),"",MAX(N(K490),IF(A490="",0,SUMPRODUCT(MAX((in_plan=A490)*in_prev*in_cnum)))))</f>
        <v/>
      </c>
      <c r="O490" s="76" t="str">
        <f>IF(AND(OR(E490="Calendrier",E490="Au premier des deux"),N(F490)&gt;0,IF(N(M490)&gt;0,M490,IFERROR(N(INDEX(eq_start,MATCH(B490,eq_code,0))),0))&gt;0),IF(N(M490)&gt;0,M490,IFERROR(N(INDEX(eq_start,MATCH(B490,eq_code,0))),0))+F490,"")</f>
        <v/>
      </c>
      <c r="P490" s="75" t="str">
        <f>IF(AND(OR(E490="Compteur",E490="Au premier des deux"),N(G490)&gt;0),N(N490)+G490,"")</f>
        <v/>
      </c>
      <c r="Q490" s="75" t="str">
        <f>IF(B490="","",IFERROR(N(INDEX(eq_cnt,MATCH(B490,eq_code,0))),""))</f>
        <v/>
      </c>
      <c r="R490" s="77" t="str">
        <f>IF(ISNUMBER(O490),O490-p_today,"")</f>
        <v/>
      </c>
      <c r="S490" s="78" t="str">
        <f>IF(AND(ISNUMBER(P490),N(Q490)&gt;0),P490-Q490,"")</f>
        <v/>
      </c>
      <c r="T490" s="76" t="str">
        <f>IF(AND(ISNUMBER(O490),ISNUMBER(X490)),MIN(O490,X490),IF(ISNUMBER(O490),O490,X490))</f>
        <v/>
      </c>
      <c r="U490" s="79" t="str">
        <f>IF(AND(A490="",B490="",D490=""),"",IF(L490="Non","Inactif",IF(AND(NOT(ISNUMBER(R490)),NOT(ISNUMBER(S490))),"À compléter",IF(OR(AND(ISNUMBER(R490),N(R490)&lt;0),AND(ISNUMBER(S490),N(S490)&lt;0)),"En retard",IF(OR(AND(ISNUMBER(R490),N(R490)&lt;=p_soon),AND(ISNUMBER(S490),N(S490)&lt;=p_soon_pct*N(G490))),"Bientôt","À jour")))))</f>
        <v/>
      </c>
      <c r="V490" s="79" t="str">
        <f>IF(AND(A490="",B490="",D490=""),"",IF(A490="","N° de plan manquant",IF(COUNTIF($A$6:$A$505,A490)&gt;1,"N° de plan en double",IF(B490="","Équipement manquant",IF(ISNA(MATCH(B490,eq_code,0)),"Équipement inconnu",IF(D490="","Tâche manquante",IF(E490="","Déclenchement manquant",IF(AND(E490&lt;&gt;"Calendrier",E490&lt;&gt;"Compteur",E490&lt;&gt;"Au premier des deux"),"Déclenchement inconnu",IF(AND(E490&lt;&gt;"Compteur",OR(NOT(ISNUMBER(F490)),N(F490)&lt;=0)),"Périodicité en jours manquante",IF(AND(E490&lt;&gt;"Calendrier",OR(NOT(ISNUMBER(G490)),N(G490)&lt;=0)),"Périodicité compteur manquante",IF(AND(J490&lt;&gt;"",OR(NOT(ISNUMBER(J490)),N(J490)&lt;=0)),"Date de réalisation invalide",IF(AND(K490&lt;&gt;"",OR(NOT(ISNUMBER(K490)),N(K490)&lt;0)),"Compteur de réalisation invalide",IF(AND(E490&lt;&gt;"Compteur",N(M490)=0,IFERROR(N(INDEX(eq_start,MATCH(B490,eq_code,0))),0)=0),"Date de départ manquante",IF(AND(E490&lt;&gt;"Calendrier",K490="",N(N490)=0),"Compteur de départ manquant",IF(AND(E490&lt;&gt;"Calendrier",N(Q490)=0),"Relevé compteur manquant (Équipements)",IF(AND(I490&lt;&gt;"",ISNA(MATCH(I490,tech_name,0))),"Technicien inconnu",IF(AND(L490&lt;&gt;"",L490&lt;&gt;"Oui",L490&lt;&gt;"Non"),"Actif : Oui ou Non","OK")))))))))))))))))</f>
        <v/>
      </c>
      <c r="W490" s="67">
        <f>IFERROR(N(INDEX(eq_use,MATCH(B490,eq_code,0))),0)</f>
        <v>0.0</v>
      </c>
      <c r="X490" s="67" t="str">
        <f>IF(AND(ISNUMBER(S490),W490&gt;0),p_today+MAX(0,ROUNDUP(S490*7/W490,0)),"")</f>
        <v/>
      </c>
      <c r="Y490" s="67" t="str">
        <f>IF(AND(ISNUMBER(T490),OR(U490="En retard",U490="Bientôt",U490="À jour")),IF(AND(ISNUMBER(O490),ISNUMBER(X490)),MIN(F490,G490*7/W490),IF(ISNUMBER(O490),F490,G490*7/W490)),"")</f>
        <v/>
      </c>
      <c r="Z490" s="67" t="str">
        <f>IF(OR(U490="En retard",U490="Bientôt"),IF(U490="En retard",0,1)*1000000000+IF(AB490="A",0,IF(AB490="B",1,IF(AB490="C",2,3)))*100000000+IF(ISNUMBER(T490),T490,p_today)*1000+ROW()-5,"")</f>
        <v/>
      </c>
      <c r="AA490" s="67" t="str">
        <f>IF(Z490="","",COUNTIF($Z$6:$Z$505,"&lt;"&amp;Z490)+1)</f>
        <v/>
      </c>
      <c r="AB490" s="67" t="str">
        <f>IFERROR(INDEX(eq_crit,MATCH(B490,eq_code,0))&amp;"","")</f>
        <v/>
      </c>
    </row>
    <row r="491">
      <c r="A491" s="65" t="n"/>
      <c r="B491" s="66" t="n"/>
      <c r="C491" s="67" t="str">
        <f>IF(B491="","",IFERROR(INDEX(eq_des,MATCH(B491,eq_code,0))&amp;"","Équipement inconnu"))</f>
        <v/>
      </c>
      <c r="D491" s="66" t="n"/>
      <c r="E491" s="68" t="n"/>
      <c r="F491" s="69" t="n"/>
      <c r="G491" s="70" t="n"/>
      <c r="H491" s="71" t="n"/>
      <c r="I491" s="66" t="n"/>
      <c r="J491" s="72" t="n"/>
      <c r="K491" s="73" t="n"/>
      <c r="L491" s="68" t="n"/>
      <c r="M491" s="74" t="str">
        <f>IF(AND(A491="",B491="",D491=""),"",MAX(N(J491),IF(A491="",0,SUMPRODUCT(MAX((in_plan=A491)*in_prev*in_dnum)))))</f>
        <v/>
      </c>
      <c r="N491" s="75" t="str">
        <f>IF(AND(A491="",B491="",D491=""),"",MAX(N(K491),IF(A491="",0,SUMPRODUCT(MAX((in_plan=A491)*in_prev*in_cnum)))))</f>
        <v/>
      </c>
      <c r="O491" s="76" t="str">
        <f>IF(AND(OR(E491="Calendrier",E491="Au premier des deux"),N(F491)&gt;0,IF(N(M491)&gt;0,M491,IFERROR(N(INDEX(eq_start,MATCH(B491,eq_code,0))),0))&gt;0),IF(N(M491)&gt;0,M491,IFERROR(N(INDEX(eq_start,MATCH(B491,eq_code,0))),0))+F491,"")</f>
        <v/>
      </c>
      <c r="P491" s="75" t="str">
        <f>IF(AND(OR(E491="Compteur",E491="Au premier des deux"),N(G491)&gt;0),N(N491)+G491,"")</f>
        <v/>
      </c>
      <c r="Q491" s="75" t="str">
        <f>IF(B491="","",IFERROR(N(INDEX(eq_cnt,MATCH(B491,eq_code,0))),""))</f>
        <v/>
      </c>
      <c r="R491" s="77" t="str">
        <f>IF(ISNUMBER(O491),O491-p_today,"")</f>
        <v/>
      </c>
      <c r="S491" s="78" t="str">
        <f>IF(AND(ISNUMBER(P491),N(Q491)&gt;0),P491-Q491,"")</f>
        <v/>
      </c>
      <c r="T491" s="76" t="str">
        <f>IF(AND(ISNUMBER(O491),ISNUMBER(X491)),MIN(O491,X491),IF(ISNUMBER(O491),O491,X491))</f>
        <v/>
      </c>
      <c r="U491" s="79" t="str">
        <f>IF(AND(A491="",B491="",D491=""),"",IF(L491="Non","Inactif",IF(AND(NOT(ISNUMBER(R491)),NOT(ISNUMBER(S491))),"À compléter",IF(OR(AND(ISNUMBER(R491),N(R491)&lt;0),AND(ISNUMBER(S491),N(S491)&lt;0)),"En retard",IF(OR(AND(ISNUMBER(R491),N(R491)&lt;=p_soon),AND(ISNUMBER(S491),N(S491)&lt;=p_soon_pct*N(G491))),"Bientôt","À jour")))))</f>
        <v/>
      </c>
      <c r="V491" s="79" t="str">
        <f>IF(AND(A491="",B491="",D491=""),"",IF(A491="","N° de plan manquant",IF(COUNTIF($A$6:$A$505,A491)&gt;1,"N° de plan en double",IF(B491="","Équipement manquant",IF(ISNA(MATCH(B491,eq_code,0)),"Équipement inconnu",IF(D491="","Tâche manquante",IF(E491="","Déclenchement manquant",IF(AND(E491&lt;&gt;"Calendrier",E491&lt;&gt;"Compteur",E491&lt;&gt;"Au premier des deux"),"Déclenchement inconnu",IF(AND(E491&lt;&gt;"Compteur",OR(NOT(ISNUMBER(F491)),N(F491)&lt;=0)),"Périodicité en jours manquante",IF(AND(E491&lt;&gt;"Calendrier",OR(NOT(ISNUMBER(G491)),N(G491)&lt;=0)),"Périodicité compteur manquante",IF(AND(J491&lt;&gt;"",OR(NOT(ISNUMBER(J491)),N(J491)&lt;=0)),"Date de réalisation invalide",IF(AND(K491&lt;&gt;"",OR(NOT(ISNUMBER(K491)),N(K491)&lt;0)),"Compteur de réalisation invalide",IF(AND(E491&lt;&gt;"Compteur",N(M491)=0,IFERROR(N(INDEX(eq_start,MATCH(B491,eq_code,0))),0)=0),"Date de départ manquante",IF(AND(E491&lt;&gt;"Calendrier",K491="",N(N491)=0),"Compteur de départ manquant",IF(AND(E491&lt;&gt;"Calendrier",N(Q491)=0),"Relevé compteur manquant (Équipements)",IF(AND(I491&lt;&gt;"",ISNA(MATCH(I491,tech_name,0))),"Technicien inconnu",IF(AND(L491&lt;&gt;"",L491&lt;&gt;"Oui",L491&lt;&gt;"Non"),"Actif : Oui ou Non","OK")))))))))))))))))</f>
        <v/>
      </c>
      <c r="W491" s="67">
        <f>IFERROR(N(INDEX(eq_use,MATCH(B491,eq_code,0))),0)</f>
        <v>0.0</v>
      </c>
      <c r="X491" s="67" t="str">
        <f>IF(AND(ISNUMBER(S491),W491&gt;0),p_today+MAX(0,ROUNDUP(S491*7/W491,0)),"")</f>
        <v/>
      </c>
      <c r="Y491" s="67" t="str">
        <f>IF(AND(ISNUMBER(T491),OR(U491="En retard",U491="Bientôt",U491="À jour")),IF(AND(ISNUMBER(O491),ISNUMBER(X491)),MIN(F491,G491*7/W491),IF(ISNUMBER(O491),F491,G491*7/W491)),"")</f>
        <v/>
      </c>
      <c r="Z491" s="67" t="str">
        <f>IF(OR(U491="En retard",U491="Bientôt"),IF(U491="En retard",0,1)*1000000000+IF(AB491="A",0,IF(AB491="B",1,IF(AB491="C",2,3)))*100000000+IF(ISNUMBER(T491),T491,p_today)*1000+ROW()-5,"")</f>
        <v/>
      </c>
      <c r="AA491" s="67" t="str">
        <f>IF(Z491="","",COUNTIF($Z$6:$Z$505,"&lt;"&amp;Z491)+1)</f>
        <v/>
      </c>
      <c r="AB491" s="67" t="str">
        <f>IFERROR(INDEX(eq_crit,MATCH(B491,eq_code,0))&amp;"","")</f>
        <v/>
      </c>
    </row>
    <row r="492">
      <c r="A492" s="65" t="n"/>
      <c r="B492" s="66" t="n"/>
      <c r="C492" s="67" t="str">
        <f>IF(B492="","",IFERROR(INDEX(eq_des,MATCH(B492,eq_code,0))&amp;"","Équipement inconnu"))</f>
        <v/>
      </c>
      <c r="D492" s="66" t="n"/>
      <c r="E492" s="68" t="n"/>
      <c r="F492" s="69" t="n"/>
      <c r="G492" s="70" t="n"/>
      <c r="H492" s="71" t="n"/>
      <c r="I492" s="66" t="n"/>
      <c r="J492" s="72" t="n"/>
      <c r="K492" s="73" t="n"/>
      <c r="L492" s="68" t="n"/>
      <c r="M492" s="74" t="str">
        <f>IF(AND(A492="",B492="",D492=""),"",MAX(N(J492),IF(A492="",0,SUMPRODUCT(MAX((in_plan=A492)*in_prev*in_dnum)))))</f>
        <v/>
      </c>
      <c r="N492" s="75" t="str">
        <f>IF(AND(A492="",B492="",D492=""),"",MAX(N(K492),IF(A492="",0,SUMPRODUCT(MAX((in_plan=A492)*in_prev*in_cnum)))))</f>
        <v/>
      </c>
      <c r="O492" s="76" t="str">
        <f>IF(AND(OR(E492="Calendrier",E492="Au premier des deux"),N(F492)&gt;0,IF(N(M492)&gt;0,M492,IFERROR(N(INDEX(eq_start,MATCH(B492,eq_code,0))),0))&gt;0),IF(N(M492)&gt;0,M492,IFERROR(N(INDEX(eq_start,MATCH(B492,eq_code,0))),0))+F492,"")</f>
        <v/>
      </c>
      <c r="P492" s="75" t="str">
        <f>IF(AND(OR(E492="Compteur",E492="Au premier des deux"),N(G492)&gt;0),N(N492)+G492,"")</f>
        <v/>
      </c>
      <c r="Q492" s="75" t="str">
        <f>IF(B492="","",IFERROR(N(INDEX(eq_cnt,MATCH(B492,eq_code,0))),""))</f>
        <v/>
      </c>
      <c r="R492" s="77" t="str">
        <f>IF(ISNUMBER(O492),O492-p_today,"")</f>
        <v/>
      </c>
      <c r="S492" s="78" t="str">
        <f>IF(AND(ISNUMBER(P492),N(Q492)&gt;0),P492-Q492,"")</f>
        <v/>
      </c>
      <c r="T492" s="76" t="str">
        <f>IF(AND(ISNUMBER(O492),ISNUMBER(X492)),MIN(O492,X492),IF(ISNUMBER(O492),O492,X492))</f>
        <v/>
      </c>
      <c r="U492" s="79" t="str">
        <f>IF(AND(A492="",B492="",D492=""),"",IF(L492="Non","Inactif",IF(AND(NOT(ISNUMBER(R492)),NOT(ISNUMBER(S492))),"À compléter",IF(OR(AND(ISNUMBER(R492),N(R492)&lt;0),AND(ISNUMBER(S492),N(S492)&lt;0)),"En retard",IF(OR(AND(ISNUMBER(R492),N(R492)&lt;=p_soon),AND(ISNUMBER(S492),N(S492)&lt;=p_soon_pct*N(G492))),"Bientôt","À jour")))))</f>
        <v/>
      </c>
      <c r="V492" s="79" t="str">
        <f>IF(AND(A492="",B492="",D492=""),"",IF(A492="","N° de plan manquant",IF(COUNTIF($A$6:$A$505,A492)&gt;1,"N° de plan en double",IF(B492="","Équipement manquant",IF(ISNA(MATCH(B492,eq_code,0)),"Équipement inconnu",IF(D492="","Tâche manquante",IF(E492="","Déclenchement manquant",IF(AND(E492&lt;&gt;"Calendrier",E492&lt;&gt;"Compteur",E492&lt;&gt;"Au premier des deux"),"Déclenchement inconnu",IF(AND(E492&lt;&gt;"Compteur",OR(NOT(ISNUMBER(F492)),N(F492)&lt;=0)),"Périodicité en jours manquante",IF(AND(E492&lt;&gt;"Calendrier",OR(NOT(ISNUMBER(G492)),N(G492)&lt;=0)),"Périodicité compteur manquante",IF(AND(J492&lt;&gt;"",OR(NOT(ISNUMBER(J492)),N(J492)&lt;=0)),"Date de réalisation invalide",IF(AND(K492&lt;&gt;"",OR(NOT(ISNUMBER(K492)),N(K492)&lt;0)),"Compteur de réalisation invalide",IF(AND(E492&lt;&gt;"Compteur",N(M492)=0,IFERROR(N(INDEX(eq_start,MATCH(B492,eq_code,0))),0)=0),"Date de départ manquante",IF(AND(E492&lt;&gt;"Calendrier",K492="",N(N492)=0),"Compteur de départ manquant",IF(AND(E492&lt;&gt;"Calendrier",N(Q492)=0),"Relevé compteur manquant (Équipements)",IF(AND(I492&lt;&gt;"",ISNA(MATCH(I492,tech_name,0))),"Technicien inconnu",IF(AND(L492&lt;&gt;"",L492&lt;&gt;"Oui",L492&lt;&gt;"Non"),"Actif : Oui ou Non","OK")))))))))))))))))</f>
        <v/>
      </c>
      <c r="W492" s="67">
        <f>IFERROR(N(INDEX(eq_use,MATCH(B492,eq_code,0))),0)</f>
        <v>0.0</v>
      </c>
      <c r="X492" s="67" t="str">
        <f>IF(AND(ISNUMBER(S492),W492&gt;0),p_today+MAX(0,ROUNDUP(S492*7/W492,0)),"")</f>
        <v/>
      </c>
      <c r="Y492" s="67" t="str">
        <f>IF(AND(ISNUMBER(T492),OR(U492="En retard",U492="Bientôt",U492="À jour")),IF(AND(ISNUMBER(O492),ISNUMBER(X492)),MIN(F492,G492*7/W492),IF(ISNUMBER(O492),F492,G492*7/W492)),"")</f>
        <v/>
      </c>
      <c r="Z492" s="67" t="str">
        <f>IF(OR(U492="En retard",U492="Bientôt"),IF(U492="En retard",0,1)*1000000000+IF(AB492="A",0,IF(AB492="B",1,IF(AB492="C",2,3)))*100000000+IF(ISNUMBER(T492),T492,p_today)*1000+ROW()-5,"")</f>
        <v/>
      </c>
      <c r="AA492" s="67" t="str">
        <f>IF(Z492="","",COUNTIF($Z$6:$Z$505,"&lt;"&amp;Z492)+1)</f>
        <v/>
      </c>
      <c r="AB492" s="67" t="str">
        <f>IFERROR(INDEX(eq_crit,MATCH(B492,eq_code,0))&amp;"","")</f>
        <v/>
      </c>
    </row>
    <row r="493">
      <c r="A493" s="65" t="n"/>
      <c r="B493" s="66" t="n"/>
      <c r="C493" s="67" t="str">
        <f>IF(B493="","",IFERROR(INDEX(eq_des,MATCH(B493,eq_code,0))&amp;"","Équipement inconnu"))</f>
        <v/>
      </c>
      <c r="D493" s="66" t="n"/>
      <c r="E493" s="68" t="n"/>
      <c r="F493" s="69" t="n"/>
      <c r="G493" s="70" t="n"/>
      <c r="H493" s="71" t="n"/>
      <c r="I493" s="66" t="n"/>
      <c r="J493" s="72" t="n"/>
      <c r="K493" s="73" t="n"/>
      <c r="L493" s="68" t="n"/>
      <c r="M493" s="74" t="str">
        <f>IF(AND(A493="",B493="",D493=""),"",MAX(N(J493),IF(A493="",0,SUMPRODUCT(MAX((in_plan=A493)*in_prev*in_dnum)))))</f>
        <v/>
      </c>
      <c r="N493" s="75" t="str">
        <f>IF(AND(A493="",B493="",D493=""),"",MAX(N(K493),IF(A493="",0,SUMPRODUCT(MAX((in_plan=A493)*in_prev*in_cnum)))))</f>
        <v/>
      </c>
      <c r="O493" s="76" t="str">
        <f>IF(AND(OR(E493="Calendrier",E493="Au premier des deux"),N(F493)&gt;0,IF(N(M493)&gt;0,M493,IFERROR(N(INDEX(eq_start,MATCH(B493,eq_code,0))),0))&gt;0),IF(N(M493)&gt;0,M493,IFERROR(N(INDEX(eq_start,MATCH(B493,eq_code,0))),0))+F493,"")</f>
        <v/>
      </c>
      <c r="P493" s="75" t="str">
        <f>IF(AND(OR(E493="Compteur",E493="Au premier des deux"),N(G493)&gt;0),N(N493)+G493,"")</f>
        <v/>
      </c>
      <c r="Q493" s="75" t="str">
        <f>IF(B493="","",IFERROR(N(INDEX(eq_cnt,MATCH(B493,eq_code,0))),""))</f>
        <v/>
      </c>
      <c r="R493" s="77" t="str">
        <f>IF(ISNUMBER(O493),O493-p_today,"")</f>
        <v/>
      </c>
      <c r="S493" s="78" t="str">
        <f>IF(AND(ISNUMBER(P493),N(Q493)&gt;0),P493-Q493,"")</f>
        <v/>
      </c>
      <c r="T493" s="76" t="str">
        <f>IF(AND(ISNUMBER(O493),ISNUMBER(X493)),MIN(O493,X493),IF(ISNUMBER(O493),O493,X493))</f>
        <v/>
      </c>
      <c r="U493" s="79" t="str">
        <f>IF(AND(A493="",B493="",D493=""),"",IF(L493="Non","Inactif",IF(AND(NOT(ISNUMBER(R493)),NOT(ISNUMBER(S493))),"À compléter",IF(OR(AND(ISNUMBER(R493),N(R493)&lt;0),AND(ISNUMBER(S493),N(S493)&lt;0)),"En retard",IF(OR(AND(ISNUMBER(R493),N(R493)&lt;=p_soon),AND(ISNUMBER(S493),N(S493)&lt;=p_soon_pct*N(G493))),"Bientôt","À jour")))))</f>
        <v/>
      </c>
      <c r="V493" s="79" t="str">
        <f>IF(AND(A493="",B493="",D493=""),"",IF(A493="","N° de plan manquant",IF(COUNTIF($A$6:$A$505,A493)&gt;1,"N° de plan en double",IF(B493="","Équipement manquant",IF(ISNA(MATCH(B493,eq_code,0)),"Équipement inconnu",IF(D493="","Tâche manquante",IF(E493="","Déclenchement manquant",IF(AND(E493&lt;&gt;"Calendrier",E493&lt;&gt;"Compteur",E493&lt;&gt;"Au premier des deux"),"Déclenchement inconnu",IF(AND(E493&lt;&gt;"Compteur",OR(NOT(ISNUMBER(F493)),N(F493)&lt;=0)),"Périodicité en jours manquante",IF(AND(E493&lt;&gt;"Calendrier",OR(NOT(ISNUMBER(G493)),N(G493)&lt;=0)),"Périodicité compteur manquante",IF(AND(J493&lt;&gt;"",OR(NOT(ISNUMBER(J493)),N(J493)&lt;=0)),"Date de réalisation invalide",IF(AND(K493&lt;&gt;"",OR(NOT(ISNUMBER(K493)),N(K493)&lt;0)),"Compteur de réalisation invalide",IF(AND(E493&lt;&gt;"Compteur",N(M493)=0,IFERROR(N(INDEX(eq_start,MATCH(B493,eq_code,0))),0)=0),"Date de départ manquante",IF(AND(E493&lt;&gt;"Calendrier",K493="",N(N493)=0),"Compteur de départ manquant",IF(AND(E493&lt;&gt;"Calendrier",N(Q493)=0),"Relevé compteur manquant (Équipements)",IF(AND(I493&lt;&gt;"",ISNA(MATCH(I493,tech_name,0))),"Technicien inconnu",IF(AND(L493&lt;&gt;"",L493&lt;&gt;"Oui",L493&lt;&gt;"Non"),"Actif : Oui ou Non","OK")))))))))))))))))</f>
        <v/>
      </c>
      <c r="W493" s="67">
        <f>IFERROR(N(INDEX(eq_use,MATCH(B493,eq_code,0))),0)</f>
        <v>0.0</v>
      </c>
      <c r="X493" s="67" t="str">
        <f>IF(AND(ISNUMBER(S493),W493&gt;0),p_today+MAX(0,ROUNDUP(S493*7/W493,0)),"")</f>
        <v/>
      </c>
      <c r="Y493" s="67" t="str">
        <f>IF(AND(ISNUMBER(T493),OR(U493="En retard",U493="Bientôt",U493="À jour")),IF(AND(ISNUMBER(O493),ISNUMBER(X493)),MIN(F493,G493*7/W493),IF(ISNUMBER(O493),F493,G493*7/W493)),"")</f>
        <v/>
      </c>
      <c r="Z493" s="67" t="str">
        <f>IF(OR(U493="En retard",U493="Bientôt"),IF(U493="En retard",0,1)*1000000000+IF(AB493="A",0,IF(AB493="B",1,IF(AB493="C",2,3)))*100000000+IF(ISNUMBER(T493),T493,p_today)*1000+ROW()-5,"")</f>
        <v/>
      </c>
      <c r="AA493" s="67" t="str">
        <f>IF(Z493="","",COUNTIF($Z$6:$Z$505,"&lt;"&amp;Z493)+1)</f>
        <v/>
      </c>
      <c r="AB493" s="67" t="str">
        <f>IFERROR(INDEX(eq_crit,MATCH(B493,eq_code,0))&amp;"","")</f>
        <v/>
      </c>
    </row>
    <row r="494">
      <c r="A494" s="65" t="n"/>
      <c r="B494" s="66" t="n"/>
      <c r="C494" s="67" t="str">
        <f>IF(B494="","",IFERROR(INDEX(eq_des,MATCH(B494,eq_code,0))&amp;"","Équipement inconnu"))</f>
        <v/>
      </c>
      <c r="D494" s="66" t="n"/>
      <c r="E494" s="68" t="n"/>
      <c r="F494" s="69" t="n"/>
      <c r="G494" s="70" t="n"/>
      <c r="H494" s="71" t="n"/>
      <c r="I494" s="66" t="n"/>
      <c r="J494" s="72" t="n"/>
      <c r="K494" s="73" t="n"/>
      <c r="L494" s="68" t="n"/>
      <c r="M494" s="74" t="str">
        <f>IF(AND(A494="",B494="",D494=""),"",MAX(N(J494),IF(A494="",0,SUMPRODUCT(MAX((in_plan=A494)*in_prev*in_dnum)))))</f>
        <v/>
      </c>
      <c r="N494" s="75" t="str">
        <f>IF(AND(A494="",B494="",D494=""),"",MAX(N(K494),IF(A494="",0,SUMPRODUCT(MAX((in_plan=A494)*in_prev*in_cnum)))))</f>
        <v/>
      </c>
      <c r="O494" s="76" t="str">
        <f>IF(AND(OR(E494="Calendrier",E494="Au premier des deux"),N(F494)&gt;0,IF(N(M494)&gt;0,M494,IFERROR(N(INDEX(eq_start,MATCH(B494,eq_code,0))),0))&gt;0),IF(N(M494)&gt;0,M494,IFERROR(N(INDEX(eq_start,MATCH(B494,eq_code,0))),0))+F494,"")</f>
        <v/>
      </c>
      <c r="P494" s="75" t="str">
        <f>IF(AND(OR(E494="Compteur",E494="Au premier des deux"),N(G494)&gt;0),N(N494)+G494,"")</f>
        <v/>
      </c>
      <c r="Q494" s="75" t="str">
        <f>IF(B494="","",IFERROR(N(INDEX(eq_cnt,MATCH(B494,eq_code,0))),""))</f>
        <v/>
      </c>
      <c r="R494" s="77" t="str">
        <f>IF(ISNUMBER(O494),O494-p_today,"")</f>
        <v/>
      </c>
      <c r="S494" s="78" t="str">
        <f>IF(AND(ISNUMBER(P494),N(Q494)&gt;0),P494-Q494,"")</f>
        <v/>
      </c>
      <c r="T494" s="76" t="str">
        <f>IF(AND(ISNUMBER(O494),ISNUMBER(X494)),MIN(O494,X494),IF(ISNUMBER(O494),O494,X494))</f>
        <v/>
      </c>
      <c r="U494" s="79" t="str">
        <f>IF(AND(A494="",B494="",D494=""),"",IF(L494="Non","Inactif",IF(AND(NOT(ISNUMBER(R494)),NOT(ISNUMBER(S494))),"À compléter",IF(OR(AND(ISNUMBER(R494),N(R494)&lt;0),AND(ISNUMBER(S494),N(S494)&lt;0)),"En retard",IF(OR(AND(ISNUMBER(R494),N(R494)&lt;=p_soon),AND(ISNUMBER(S494),N(S494)&lt;=p_soon_pct*N(G494))),"Bientôt","À jour")))))</f>
        <v/>
      </c>
      <c r="V494" s="79" t="str">
        <f>IF(AND(A494="",B494="",D494=""),"",IF(A494="","N° de plan manquant",IF(COUNTIF($A$6:$A$505,A494)&gt;1,"N° de plan en double",IF(B494="","Équipement manquant",IF(ISNA(MATCH(B494,eq_code,0)),"Équipement inconnu",IF(D494="","Tâche manquante",IF(E494="","Déclenchement manquant",IF(AND(E494&lt;&gt;"Calendrier",E494&lt;&gt;"Compteur",E494&lt;&gt;"Au premier des deux"),"Déclenchement inconnu",IF(AND(E494&lt;&gt;"Compteur",OR(NOT(ISNUMBER(F494)),N(F494)&lt;=0)),"Périodicité en jours manquante",IF(AND(E494&lt;&gt;"Calendrier",OR(NOT(ISNUMBER(G494)),N(G494)&lt;=0)),"Périodicité compteur manquante",IF(AND(J494&lt;&gt;"",OR(NOT(ISNUMBER(J494)),N(J494)&lt;=0)),"Date de réalisation invalide",IF(AND(K494&lt;&gt;"",OR(NOT(ISNUMBER(K494)),N(K494)&lt;0)),"Compteur de réalisation invalide",IF(AND(E494&lt;&gt;"Compteur",N(M494)=0,IFERROR(N(INDEX(eq_start,MATCH(B494,eq_code,0))),0)=0),"Date de départ manquante",IF(AND(E494&lt;&gt;"Calendrier",K494="",N(N494)=0),"Compteur de départ manquant",IF(AND(E494&lt;&gt;"Calendrier",N(Q494)=0),"Relevé compteur manquant (Équipements)",IF(AND(I494&lt;&gt;"",ISNA(MATCH(I494,tech_name,0))),"Technicien inconnu",IF(AND(L494&lt;&gt;"",L494&lt;&gt;"Oui",L494&lt;&gt;"Non"),"Actif : Oui ou Non","OK")))))))))))))))))</f>
        <v/>
      </c>
      <c r="W494" s="67">
        <f>IFERROR(N(INDEX(eq_use,MATCH(B494,eq_code,0))),0)</f>
        <v>0.0</v>
      </c>
      <c r="X494" s="67" t="str">
        <f>IF(AND(ISNUMBER(S494),W494&gt;0),p_today+MAX(0,ROUNDUP(S494*7/W494,0)),"")</f>
        <v/>
      </c>
      <c r="Y494" s="67" t="str">
        <f>IF(AND(ISNUMBER(T494),OR(U494="En retard",U494="Bientôt",U494="À jour")),IF(AND(ISNUMBER(O494),ISNUMBER(X494)),MIN(F494,G494*7/W494),IF(ISNUMBER(O494),F494,G494*7/W494)),"")</f>
        <v/>
      </c>
      <c r="Z494" s="67" t="str">
        <f>IF(OR(U494="En retard",U494="Bientôt"),IF(U494="En retard",0,1)*1000000000+IF(AB494="A",0,IF(AB494="B",1,IF(AB494="C",2,3)))*100000000+IF(ISNUMBER(T494),T494,p_today)*1000+ROW()-5,"")</f>
        <v/>
      </c>
      <c r="AA494" s="67" t="str">
        <f>IF(Z494="","",COUNTIF($Z$6:$Z$505,"&lt;"&amp;Z494)+1)</f>
        <v/>
      </c>
      <c r="AB494" s="67" t="str">
        <f>IFERROR(INDEX(eq_crit,MATCH(B494,eq_code,0))&amp;"","")</f>
        <v/>
      </c>
    </row>
    <row r="495">
      <c r="A495" s="65" t="n"/>
      <c r="B495" s="66" t="n"/>
      <c r="C495" s="67" t="str">
        <f>IF(B495="","",IFERROR(INDEX(eq_des,MATCH(B495,eq_code,0))&amp;"","Équipement inconnu"))</f>
        <v/>
      </c>
      <c r="D495" s="66" t="n"/>
      <c r="E495" s="68" t="n"/>
      <c r="F495" s="69" t="n"/>
      <c r="G495" s="70" t="n"/>
      <c r="H495" s="71" t="n"/>
      <c r="I495" s="66" t="n"/>
      <c r="J495" s="72" t="n"/>
      <c r="K495" s="73" t="n"/>
      <c r="L495" s="68" t="n"/>
      <c r="M495" s="74" t="str">
        <f>IF(AND(A495="",B495="",D495=""),"",MAX(N(J495),IF(A495="",0,SUMPRODUCT(MAX((in_plan=A495)*in_prev*in_dnum)))))</f>
        <v/>
      </c>
      <c r="N495" s="75" t="str">
        <f>IF(AND(A495="",B495="",D495=""),"",MAX(N(K495),IF(A495="",0,SUMPRODUCT(MAX((in_plan=A495)*in_prev*in_cnum)))))</f>
        <v/>
      </c>
      <c r="O495" s="76" t="str">
        <f>IF(AND(OR(E495="Calendrier",E495="Au premier des deux"),N(F495)&gt;0,IF(N(M495)&gt;0,M495,IFERROR(N(INDEX(eq_start,MATCH(B495,eq_code,0))),0))&gt;0),IF(N(M495)&gt;0,M495,IFERROR(N(INDEX(eq_start,MATCH(B495,eq_code,0))),0))+F495,"")</f>
        <v/>
      </c>
      <c r="P495" s="75" t="str">
        <f>IF(AND(OR(E495="Compteur",E495="Au premier des deux"),N(G495)&gt;0),N(N495)+G495,"")</f>
        <v/>
      </c>
      <c r="Q495" s="75" t="str">
        <f>IF(B495="","",IFERROR(N(INDEX(eq_cnt,MATCH(B495,eq_code,0))),""))</f>
        <v/>
      </c>
      <c r="R495" s="77" t="str">
        <f>IF(ISNUMBER(O495),O495-p_today,"")</f>
        <v/>
      </c>
      <c r="S495" s="78" t="str">
        <f>IF(AND(ISNUMBER(P495),N(Q495)&gt;0),P495-Q495,"")</f>
        <v/>
      </c>
      <c r="T495" s="76" t="str">
        <f>IF(AND(ISNUMBER(O495),ISNUMBER(X495)),MIN(O495,X495),IF(ISNUMBER(O495),O495,X495))</f>
        <v/>
      </c>
      <c r="U495" s="79" t="str">
        <f>IF(AND(A495="",B495="",D495=""),"",IF(L495="Non","Inactif",IF(AND(NOT(ISNUMBER(R495)),NOT(ISNUMBER(S495))),"À compléter",IF(OR(AND(ISNUMBER(R495),N(R495)&lt;0),AND(ISNUMBER(S495),N(S495)&lt;0)),"En retard",IF(OR(AND(ISNUMBER(R495),N(R495)&lt;=p_soon),AND(ISNUMBER(S495),N(S495)&lt;=p_soon_pct*N(G495))),"Bientôt","À jour")))))</f>
        <v/>
      </c>
      <c r="V495" s="79" t="str">
        <f>IF(AND(A495="",B495="",D495=""),"",IF(A495="","N° de plan manquant",IF(COUNTIF($A$6:$A$505,A495)&gt;1,"N° de plan en double",IF(B495="","Équipement manquant",IF(ISNA(MATCH(B495,eq_code,0)),"Équipement inconnu",IF(D495="","Tâche manquante",IF(E495="","Déclenchement manquant",IF(AND(E495&lt;&gt;"Calendrier",E495&lt;&gt;"Compteur",E495&lt;&gt;"Au premier des deux"),"Déclenchement inconnu",IF(AND(E495&lt;&gt;"Compteur",OR(NOT(ISNUMBER(F495)),N(F495)&lt;=0)),"Périodicité en jours manquante",IF(AND(E495&lt;&gt;"Calendrier",OR(NOT(ISNUMBER(G495)),N(G495)&lt;=0)),"Périodicité compteur manquante",IF(AND(J495&lt;&gt;"",OR(NOT(ISNUMBER(J495)),N(J495)&lt;=0)),"Date de réalisation invalide",IF(AND(K495&lt;&gt;"",OR(NOT(ISNUMBER(K495)),N(K495)&lt;0)),"Compteur de réalisation invalide",IF(AND(E495&lt;&gt;"Compteur",N(M495)=0,IFERROR(N(INDEX(eq_start,MATCH(B495,eq_code,0))),0)=0),"Date de départ manquante",IF(AND(E495&lt;&gt;"Calendrier",K495="",N(N495)=0),"Compteur de départ manquant",IF(AND(E495&lt;&gt;"Calendrier",N(Q495)=0),"Relevé compteur manquant (Équipements)",IF(AND(I495&lt;&gt;"",ISNA(MATCH(I495,tech_name,0))),"Technicien inconnu",IF(AND(L495&lt;&gt;"",L495&lt;&gt;"Oui",L495&lt;&gt;"Non"),"Actif : Oui ou Non","OK")))))))))))))))))</f>
        <v/>
      </c>
      <c r="W495" s="67">
        <f>IFERROR(N(INDEX(eq_use,MATCH(B495,eq_code,0))),0)</f>
        <v>0.0</v>
      </c>
      <c r="X495" s="67" t="str">
        <f>IF(AND(ISNUMBER(S495),W495&gt;0),p_today+MAX(0,ROUNDUP(S495*7/W495,0)),"")</f>
        <v/>
      </c>
      <c r="Y495" s="67" t="str">
        <f>IF(AND(ISNUMBER(T495),OR(U495="En retard",U495="Bientôt",U495="À jour")),IF(AND(ISNUMBER(O495),ISNUMBER(X495)),MIN(F495,G495*7/W495),IF(ISNUMBER(O495),F495,G495*7/W495)),"")</f>
        <v/>
      </c>
      <c r="Z495" s="67" t="str">
        <f>IF(OR(U495="En retard",U495="Bientôt"),IF(U495="En retard",0,1)*1000000000+IF(AB495="A",0,IF(AB495="B",1,IF(AB495="C",2,3)))*100000000+IF(ISNUMBER(T495),T495,p_today)*1000+ROW()-5,"")</f>
        <v/>
      </c>
      <c r="AA495" s="67" t="str">
        <f>IF(Z495="","",COUNTIF($Z$6:$Z$505,"&lt;"&amp;Z495)+1)</f>
        <v/>
      </c>
      <c r="AB495" s="67" t="str">
        <f>IFERROR(INDEX(eq_crit,MATCH(B495,eq_code,0))&amp;"","")</f>
        <v/>
      </c>
    </row>
    <row r="496">
      <c r="A496" s="65" t="n"/>
      <c r="B496" s="66" t="n"/>
      <c r="C496" s="67" t="str">
        <f>IF(B496="","",IFERROR(INDEX(eq_des,MATCH(B496,eq_code,0))&amp;"","Équipement inconnu"))</f>
        <v/>
      </c>
      <c r="D496" s="66" t="n"/>
      <c r="E496" s="68" t="n"/>
      <c r="F496" s="69" t="n"/>
      <c r="G496" s="70" t="n"/>
      <c r="H496" s="71" t="n"/>
      <c r="I496" s="66" t="n"/>
      <c r="J496" s="72" t="n"/>
      <c r="K496" s="73" t="n"/>
      <c r="L496" s="68" t="n"/>
      <c r="M496" s="74" t="str">
        <f>IF(AND(A496="",B496="",D496=""),"",MAX(N(J496),IF(A496="",0,SUMPRODUCT(MAX((in_plan=A496)*in_prev*in_dnum)))))</f>
        <v/>
      </c>
      <c r="N496" s="75" t="str">
        <f>IF(AND(A496="",B496="",D496=""),"",MAX(N(K496),IF(A496="",0,SUMPRODUCT(MAX((in_plan=A496)*in_prev*in_cnum)))))</f>
        <v/>
      </c>
      <c r="O496" s="76" t="str">
        <f>IF(AND(OR(E496="Calendrier",E496="Au premier des deux"),N(F496)&gt;0,IF(N(M496)&gt;0,M496,IFERROR(N(INDEX(eq_start,MATCH(B496,eq_code,0))),0))&gt;0),IF(N(M496)&gt;0,M496,IFERROR(N(INDEX(eq_start,MATCH(B496,eq_code,0))),0))+F496,"")</f>
        <v/>
      </c>
      <c r="P496" s="75" t="str">
        <f>IF(AND(OR(E496="Compteur",E496="Au premier des deux"),N(G496)&gt;0),N(N496)+G496,"")</f>
        <v/>
      </c>
      <c r="Q496" s="75" t="str">
        <f>IF(B496="","",IFERROR(N(INDEX(eq_cnt,MATCH(B496,eq_code,0))),""))</f>
        <v/>
      </c>
      <c r="R496" s="77" t="str">
        <f>IF(ISNUMBER(O496),O496-p_today,"")</f>
        <v/>
      </c>
      <c r="S496" s="78" t="str">
        <f>IF(AND(ISNUMBER(P496),N(Q496)&gt;0),P496-Q496,"")</f>
        <v/>
      </c>
      <c r="T496" s="76" t="str">
        <f>IF(AND(ISNUMBER(O496),ISNUMBER(X496)),MIN(O496,X496),IF(ISNUMBER(O496),O496,X496))</f>
        <v/>
      </c>
      <c r="U496" s="79" t="str">
        <f>IF(AND(A496="",B496="",D496=""),"",IF(L496="Non","Inactif",IF(AND(NOT(ISNUMBER(R496)),NOT(ISNUMBER(S496))),"À compléter",IF(OR(AND(ISNUMBER(R496),N(R496)&lt;0),AND(ISNUMBER(S496),N(S496)&lt;0)),"En retard",IF(OR(AND(ISNUMBER(R496),N(R496)&lt;=p_soon),AND(ISNUMBER(S496),N(S496)&lt;=p_soon_pct*N(G496))),"Bientôt","À jour")))))</f>
        <v/>
      </c>
      <c r="V496" s="79" t="str">
        <f>IF(AND(A496="",B496="",D496=""),"",IF(A496="","N° de plan manquant",IF(COUNTIF($A$6:$A$505,A496)&gt;1,"N° de plan en double",IF(B496="","Équipement manquant",IF(ISNA(MATCH(B496,eq_code,0)),"Équipement inconnu",IF(D496="","Tâche manquante",IF(E496="","Déclenchement manquant",IF(AND(E496&lt;&gt;"Calendrier",E496&lt;&gt;"Compteur",E496&lt;&gt;"Au premier des deux"),"Déclenchement inconnu",IF(AND(E496&lt;&gt;"Compteur",OR(NOT(ISNUMBER(F496)),N(F496)&lt;=0)),"Périodicité en jours manquante",IF(AND(E496&lt;&gt;"Calendrier",OR(NOT(ISNUMBER(G496)),N(G496)&lt;=0)),"Périodicité compteur manquante",IF(AND(J496&lt;&gt;"",OR(NOT(ISNUMBER(J496)),N(J496)&lt;=0)),"Date de réalisation invalide",IF(AND(K496&lt;&gt;"",OR(NOT(ISNUMBER(K496)),N(K496)&lt;0)),"Compteur de réalisation invalide",IF(AND(E496&lt;&gt;"Compteur",N(M496)=0,IFERROR(N(INDEX(eq_start,MATCH(B496,eq_code,0))),0)=0),"Date de départ manquante",IF(AND(E496&lt;&gt;"Calendrier",K496="",N(N496)=0),"Compteur de départ manquant",IF(AND(E496&lt;&gt;"Calendrier",N(Q496)=0),"Relevé compteur manquant (Équipements)",IF(AND(I496&lt;&gt;"",ISNA(MATCH(I496,tech_name,0))),"Technicien inconnu",IF(AND(L496&lt;&gt;"",L496&lt;&gt;"Oui",L496&lt;&gt;"Non"),"Actif : Oui ou Non","OK")))))))))))))))))</f>
        <v/>
      </c>
      <c r="W496" s="67">
        <f>IFERROR(N(INDEX(eq_use,MATCH(B496,eq_code,0))),0)</f>
        <v>0.0</v>
      </c>
      <c r="X496" s="67" t="str">
        <f>IF(AND(ISNUMBER(S496),W496&gt;0),p_today+MAX(0,ROUNDUP(S496*7/W496,0)),"")</f>
        <v/>
      </c>
      <c r="Y496" s="67" t="str">
        <f>IF(AND(ISNUMBER(T496),OR(U496="En retard",U496="Bientôt",U496="À jour")),IF(AND(ISNUMBER(O496),ISNUMBER(X496)),MIN(F496,G496*7/W496),IF(ISNUMBER(O496),F496,G496*7/W496)),"")</f>
        <v/>
      </c>
      <c r="Z496" s="67" t="str">
        <f>IF(OR(U496="En retard",U496="Bientôt"),IF(U496="En retard",0,1)*1000000000+IF(AB496="A",0,IF(AB496="B",1,IF(AB496="C",2,3)))*100000000+IF(ISNUMBER(T496),T496,p_today)*1000+ROW()-5,"")</f>
        <v/>
      </c>
      <c r="AA496" s="67" t="str">
        <f>IF(Z496="","",COUNTIF($Z$6:$Z$505,"&lt;"&amp;Z496)+1)</f>
        <v/>
      </c>
      <c r="AB496" s="67" t="str">
        <f>IFERROR(INDEX(eq_crit,MATCH(B496,eq_code,0))&amp;"","")</f>
        <v/>
      </c>
    </row>
    <row r="497">
      <c r="A497" s="65" t="n"/>
      <c r="B497" s="66" t="n"/>
      <c r="C497" s="67" t="str">
        <f>IF(B497="","",IFERROR(INDEX(eq_des,MATCH(B497,eq_code,0))&amp;"","Équipement inconnu"))</f>
        <v/>
      </c>
      <c r="D497" s="66" t="n"/>
      <c r="E497" s="68" t="n"/>
      <c r="F497" s="69" t="n"/>
      <c r="G497" s="70" t="n"/>
      <c r="H497" s="71" t="n"/>
      <c r="I497" s="66" t="n"/>
      <c r="J497" s="72" t="n"/>
      <c r="K497" s="73" t="n"/>
      <c r="L497" s="68" t="n"/>
      <c r="M497" s="74" t="str">
        <f>IF(AND(A497="",B497="",D497=""),"",MAX(N(J497),IF(A497="",0,SUMPRODUCT(MAX((in_plan=A497)*in_prev*in_dnum)))))</f>
        <v/>
      </c>
      <c r="N497" s="75" t="str">
        <f>IF(AND(A497="",B497="",D497=""),"",MAX(N(K497),IF(A497="",0,SUMPRODUCT(MAX((in_plan=A497)*in_prev*in_cnum)))))</f>
        <v/>
      </c>
      <c r="O497" s="76" t="str">
        <f>IF(AND(OR(E497="Calendrier",E497="Au premier des deux"),N(F497)&gt;0,IF(N(M497)&gt;0,M497,IFERROR(N(INDEX(eq_start,MATCH(B497,eq_code,0))),0))&gt;0),IF(N(M497)&gt;0,M497,IFERROR(N(INDEX(eq_start,MATCH(B497,eq_code,0))),0))+F497,"")</f>
        <v/>
      </c>
      <c r="P497" s="75" t="str">
        <f>IF(AND(OR(E497="Compteur",E497="Au premier des deux"),N(G497)&gt;0),N(N497)+G497,"")</f>
        <v/>
      </c>
      <c r="Q497" s="75" t="str">
        <f>IF(B497="","",IFERROR(N(INDEX(eq_cnt,MATCH(B497,eq_code,0))),""))</f>
        <v/>
      </c>
      <c r="R497" s="77" t="str">
        <f>IF(ISNUMBER(O497),O497-p_today,"")</f>
        <v/>
      </c>
      <c r="S497" s="78" t="str">
        <f>IF(AND(ISNUMBER(P497),N(Q497)&gt;0),P497-Q497,"")</f>
        <v/>
      </c>
      <c r="T497" s="76" t="str">
        <f>IF(AND(ISNUMBER(O497),ISNUMBER(X497)),MIN(O497,X497),IF(ISNUMBER(O497),O497,X497))</f>
        <v/>
      </c>
      <c r="U497" s="79" t="str">
        <f>IF(AND(A497="",B497="",D497=""),"",IF(L497="Non","Inactif",IF(AND(NOT(ISNUMBER(R497)),NOT(ISNUMBER(S497))),"À compléter",IF(OR(AND(ISNUMBER(R497),N(R497)&lt;0),AND(ISNUMBER(S497),N(S497)&lt;0)),"En retard",IF(OR(AND(ISNUMBER(R497),N(R497)&lt;=p_soon),AND(ISNUMBER(S497),N(S497)&lt;=p_soon_pct*N(G497))),"Bientôt","À jour")))))</f>
        <v/>
      </c>
      <c r="V497" s="79" t="str">
        <f>IF(AND(A497="",B497="",D497=""),"",IF(A497="","N° de plan manquant",IF(COUNTIF($A$6:$A$505,A497)&gt;1,"N° de plan en double",IF(B497="","Équipement manquant",IF(ISNA(MATCH(B497,eq_code,0)),"Équipement inconnu",IF(D497="","Tâche manquante",IF(E497="","Déclenchement manquant",IF(AND(E497&lt;&gt;"Calendrier",E497&lt;&gt;"Compteur",E497&lt;&gt;"Au premier des deux"),"Déclenchement inconnu",IF(AND(E497&lt;&gt;"Compteur",OR(NOT(ISNUMBER(F497)),N(F497)&lt;=0)),"Périodicité en jours manquante",IF(AND(E497&lt;&gt;"Calendrier",OR(NOT(ISNUMBER(G497)),N(G497)&lt;=0)),"Périodicité compteur manquante",IF(AND(J497&lt;&gt;"",OR(NOT(ISNUMBER(J497)),N(J497)&lt;=0)),"Date de réalisation invalide",IF(AND(K497&lt;&gt;"",OR(NOT(ISNUMBER(K497)),N(K497)&lt;0)),"Compteur de réalisation invalide",IF(AND(E497&lt;&gt;"Compteur",N(M497)=0,IFERROR(N(INDEX(eq_start,MATCH(B497,eq_code,0))),0)=0),"Date de départ manquante",IF(AND(E497&lt;&gt;"Calendrier",K497="",N(N497)=0),"Compteur de départ manquant",IF(AND(E497&lt;&gt;"Calendrier",N(Q497)=0),"Relevé compteur manquant (Équipements)",IF(AND(I497&lt;&gt;"",ISNA(MATCH(I497,tech_name,0))),"Technicien inconnu",IF(AND(L497&lt;&gt;"",L497&lt;&gt;"Oui",L497&lt;&gt;"Non"),"Actif : Oui ou Non","OK")))))))))))))))))</f>
        <v/>
      </c>
      <c r="W497" s="67">
        <f>IFERROR(N(INDEX(eq_use,MATCH(B497,eq_code,0))),0)</f>
        <v>0.0</v>
      </c>
      <c r="X497" s="67" t="str">
        <f>IF(AND(ISNUMBER(S497),W497&gt;0),p_today+MAX(0,ROUNDUP(S497*7/W497,0)),"")</f>
        <v/>
      </c>
      <c r="Y497" s="67" t="str">
        <f>IF(AND(ISNUMBER(T497),OR(U497="En retard",U497="Bientôt",U497="À jour")),IF(AND(ISNUMBER(O497),ISNUMBER(X497)),MIN(F497,G497*7/W497),IF(ISNUMBER(O497),F497,G497*7/W497)),"")</f>
        <v/>
      </c>
      <c r="Z497" s="67" t="str">
        <f>IF(OR(U497="En retard",U497="Bientôt"),IF(U497="En retard",0,1)*1000000000+IF(AB497="A",0,IF(AB497="B",1,IF(AB497="C",2,3)))*100000000+IF(ISNUMBER(T497),T497,p_today)*1000+ROW()-5,"")</f>
        <v/>
      </c>
      <c r="AA497" s="67" t="str">
        <f>IF(Z497="","",COUNTIF($Z$6:$Z$505,"&lt;"&amp;Z497)+1)</f>
        <v/>
      </c>
      <c r="AB497" s="67" t="str">
        <f>IFERROR(INDEX(eq_crit,MATCH(B497,eq_code,0))&amp;"","")</f>
        <v/>
      </c>
    </row>
    <row r="498">
      <c r="A498" s="65" t="n"/>
      <c r="B498" s="66" t="n"/>
      <c r="C498" s="67" t="str">
        <f>IF(B498="","",IFERROR(INDEX(eq_des,MATCH(B498,eq_code,0))&amp;"","Équipement inconnu"))</f>
        <v/>
      </c>
      <c r="D498" s="66" t="n"/>
      <c r="E498" s="68" t="n"/>
      <c r="F498" s="69" t="n"/>
      <c r="G498" s="70" t="n"/>
      <c r="H498" s="71" t="n"/>
      <c r="I498" s="66" t="n"/>
      <c r="J498" s="72" t="n"/>
      <c r="K498" s="73" t="n"/>
      <c r="L498" s="68" t="n"/>
      <c r="M498" s="74" t="str">
        <f>IF(AND(A498="",B498="",D498=""),"",MAX(N(J498),IF(A498="",0,SUMPRODUCT(MAX((in_plan=A498)*in_prev*in_dnum)))))</f>
        <v/>
      </c>
      <c r="N498" s="75" t="str">
        <f>IF(AND(A498="",B498="",D498=""),"",MAX(N(K498),IF(A498="",0,SUMPRODUCT(MAX((in_plan=A498)*in_prev*in_cnum)))))</f>
        <v/>
      </c>
      <c r="O498" s="76" t="str">
        <f>IF(AND(OR(E498="Calendrier",E498="Au premier des deux"),N(F498)&gt;0,IF(N(M498)&gt;0,M498,IFERROR(N(INDEX(eq_start,MATCH(B498,eq_code,0))),0))&gt;0),IF(N(M498)&gt;0,M498,IFERROR(N(INDEX(eq_start,MATCH(B498,eq_code,0))),0))+F498,"")</f>
        <v/>
      </c>
      <c r="P498" s="75" t="str">
        <f>IF(AND(OR(E498="Compteur",E498="Au premier des deux"),N(G498)&gt;0),N(N498)+G498,"")</f>
        <v/>
      </c>
      <c r="Q498" s="75" t="str">
        <f>IF(B498="","",IFERROR(N(INDEX(eq_cnt,MATCH(B498,eq_code,0))),""))</f>
        <v/>
      </c>
      <c r="R498" s="77" t="str">
        <f>IF(ISNUMBER(O498),O498-p_today,"")</f>
        <v/>
      </c>
      <c r="S498" s="78" t="str">
        <f>IF(AND(ISNUMBER(P498),N(Q498)&gt;0),P498-Q498,"")</f>
        <v/>
      </c>
      <c r="T498" s="76" t="str">
        <f>IF(AND(ISNUMBER(O498),ISNUMBER(X498)),MIN(O498,X498),IF(ISNUMBER(O498),O498,X498))</f>
        <v/>
      </c>
      <c r="U498" s="79" t="str">
        <f>IF(AND(A498="",B498="",D498=""),"",IF(L498="Non","Inactif",IF(AND(NOT(ISNUMBER(R498)),NOT(ISNUMBER(S498))),"À compléter",IF(OR(AND(ISNUMBER(R498),N(R498)&lt;0),AND(ISNUMBER(S498),N(S498)&lt;0)),"En retard",IF(OR(AND(ISNUMBER(R498),N(R498)&lt;=p_soon),AND(ISNUMBER(S498),N(S498)&lt;=p_soon_pct*N(G498))),"Bientôt","À jour")))))</f>
        <v/>
      </c>
      <c r="V498" s="79" t="str">
        <f>IF(AND(A498="",B498="",D498=""),"",IF(A498="","N° de plan manquant",IF(COUNTIF($A$6:$A$505,A498)&gt;1,"N° de plan en double",IF(B498="","Équipement manquant",IF(ISNA(MATCH(B498,eq_code,0)),"Équipement inconnu",IF(D498="","Tâche manquante",IF(E498="","Déclenchement manquant",IF(AND(E498&lt;&gt;"Calendrier",E498&lt;&gt;"Compteur",E498&lt;&gt;"Au premier des deux"),"Déclenchement inconnu",IF(AND(E498&lt;&gt;"Compteur",OR(NOT(ISNUMBER(F498)),N(F498)&lt;=0)),"Périodicité en jours manquante",IF(AND(E498&lt;&gt;"Calendrier",OR(NOT(ISNUMBER(G498)),N(G498)&lt;=0)),"Périodicité compteur manquante",IF(AND(J498&lt;&gt;"",OR(NOT(ISNUMBER(J498)),N(J498)&lt;=0)),"Date de réalisation invalide",IF(AND(K498&lt;&gt;"",OR(NOT(ISNUMBER(K498)),N(K498)&lt;0)),"Compteur de réalisation invalide",IF(AND(E498&lt;&gt;"Compteur",N(M498)=0,IFERROR(N(INDEX(eq_start,MATCH(B498,eq_code,0))),0)=0),"Date de départ manquante",IF(AND(E498&lt;&gt;"Calendrier",K498="",N(N498)=0),"Compteur de départ manquant",IF(AND(E498&lt;&gt;"Calendrier",N(Q498)=0),"Relevé compteur manquant (Équipements)",IF(AND(I498&lt;&gt;"",ISNA(MATCH(I498,tech_name,0))),"Technicien inconnu",IF(AND(L498&lt;&gt;"",L498&lt;&gt;"Oui",L498&lt;&gt;"Non"),"Actif : Oui ou Non","OK")))))))))))))))))</f>
        <v/>
      </c>
      <c r="W498" s="67">
        <f>IFERROR(N(INDEX(eq_use,MATCH(B498,eq_code,0))),0)</f>
        <v>0.0</v>
      </c>
      <c r="X498" s="67" t="str">
        <f>IF(AND(ISNUMBER(S498),W498&gt;0),p_today+MAX(0,ROUNDUP(S498*7/W498,0)),"")</f>
        <v/>
      </c>
      <c r="Y498" s="67" t="str">
        <f>IF(AND(ISNUMBER(T498),OR(U498="En retard",U498="Bientôt",U498="À jour")),IF(AND(ISNUMBER(O498),ISNUMBER(X498)),MIN(F498,G498*7/W498),IF(ISNUMBER(O498),F498,G498*7/W498)),"")</f>
        <v/>
      </c>
      <c r="Z498" s="67" t="str">
        <f>IF(OR(U498="En retard",U498="Bientôt"),IF(U498="En retard",0,1)*1000000000+IF(AB498="A",0,IF(AB498="B",1,IF(AB498="C",2,3)))*100000000+IF(ISNUMBER(T498),T498,p_today)*1000+ROW()-5,"")</f>
        <v/>
      </c>
      <c r="AA498" s="67" t="str">
        <f>IF(Z498="","",COUNTIF($Z$6:$Z$505,"&lt;"&amp;Z498)+1)</f>
        <v/>
      </c>
      <c r="AB498" s="67" t="str">
        <f>IFERROR(INDEX(eq_crit,MATCH(B498,eq_code,0))&amp;"","")</f>
        <v/>
      </c>
    </row>
    <row r="499">
      <c r="A499" s="65" t="n"/>
      <c r="B499" s="66" t="n"/>
      <c r="C499" s="67" t="str">
        <f>IF(B499="","",IFERROR(INDEX(eq_des,MATCH(B499,eq_code,0))&amp;"","Équipement inconnu"))</f>
        <v/>
      </c>
      <c r="D499" s="66" t="n"/>
      <c r="E499" s="68" t="n"/>
      <c r="F499" s="69" t="n"/>
      <c r="G499" s="70" t="n"/>
      <c r="H499" s="71" t="n"/>
      <c r="I499" s="66" t="n"/>
      <c r="J499" s="72" t="n"/>
      <c r="K499" s="73" t="n"/>
      <c r="L499" s="68" t="n"/>
      <c r="M499" s="74" t="str">
        <f>IF(AND(A499="",B499="",D499=""),"",MAX(N(J499),IF(A499="",0,SUMPRODUCT(MAX((in_plan=A499)*in_prev*in_dnum)))))</f>
        <v/>
      </c>
      <c r="N499" s="75" t="str">
        <f>IF(AND(A499="",B499="",D499=""),"",MAX(N(K499),IF(A499="",0,SUMPRODUCT(MAX((in_plan=A499)*in_prev*in_cnum)))))</f>
        <v/>
      </c>
      <c r="O499" s="76" t="str">
        <f>IF(AND(OR(E499="Calendrier",E499="Au premier des deux"),N(F499)&gt;0,IF(N(M499)&gt;0,M499,IFERROR(N(INDEX(eq_start,MATCH(B499,eq_code,0))),0))&gt;0),IF(N(M499)&gt;0,M499,IFERROR(N(INDEX(eq_start,MATCH(B499,eq_code,0))),0))+F499,"")</f>
        <v/>
      </c>
      <c r="P499" s="75" t="str">
        <f>IF(AND(OR(E499="Compteur",E499="Au premier des deux"),N(G499)&gt;0),N(N499)+G499,"")</f>
        <v/>
      </c>
      <c r="Q499" s="75" t="str">
        <f>IF(B499="","",IFERROR(N(INDEX(eq_cnt,MATCH(B499,eq_code,0))),""))</f>
        <v/>
      </c>
      <c r="R499" s="77" t="str">
        <f>IF(ISNUMBER(O499),O499-p_today,"")</f>
        <v/>
      </c>
      <c r="S499" s="78" t="str">
        <f>IF(AND(ISNUMBER(P499),N(Q499)&gt;0),P499-Q499,"")</f>
        <v/>
      </c>
      <c r="T499" s="76" t="str">
        <f>IF(AND(ISNUMBER(O499),ISNUMBER(X499)),MIN(O499,X499),IF(ISNUMBER(O499),O499,X499))</f>
        <v/>
      </c>
      <c r="U499" s="79" t="str">
        <f>IF(AND(A499="",B499="",D499=""),"",IF(L499="Non","Inactif",IF(AND(NOT(ISNUMBER(R499)),NOT(ISNUMBER(S499))),"À compléter",IF(OR(AND(ISNUMBER(R499),N(R499)&lt;0),AND(ISNUMBER(S499),N(S499)&lt;0)),"En retard",IF(OR(AND(ISNUMBER(R499),N(R499)&lt;=p_soon),AND(ISNUMBER(S499),N(S499)&lt;=p_soon_pct*N(G499))),"Bientôt","À jour")))))</f>
        <v/>
      </c>
      <c r="V499" s="79" t="str">
        <f>IF(AND(A499="",B499="",D499=""),"",IF(A499="","N° de plan manquant",IF(COUNTIF($A$6:$A$505,A499)&gt;1,"N° de plan en double",IF(B499="","Équipement manquant",IF(ISNA(MATCH(B499,eq_code,0)),"Équipement inconnu",IF(D499="","Tâche manquante",IF(E499="","Déclenchement manquant",IF(AND(E499&lt;&gt;"Calendrier",E499&lt;&gt;"Compteur",E499&lt;&gt;"Au premier des deux"),"Déclenchement inconnu",IF(AND(E499&lt;&gt;"Compteur",OR(NOT(ISNUMBER(F499)),N(F499)&lt;=0)),"Périodicité en jours manquante",IF(AND(E499&lt;&gt;"Calendrier",OR(NOT(ISNUMBER(G499)),N(G499)&lt;=0)),"Périodicité compteur manquante",IF(AND(J499&lt;&gt;"",OR(NOT(ISNUMBER(J499)),N(J499)&lt;=0)),"Date de réalisation invalide",IF(AND(K499&lt;&gt;"",OR(NOT(ISNUMBER(K499)),N(K499)&lt;0)),"Compteur de réalisation invalide",IF(AND(E499&lt;&gt;"Compteur",N(M499)=0,IFERROR(N(INDEX(eq_start,MATCH(B499,eq_code,0))),0)=0),"Date de départ manquante",IF(AND(E499&lt;&gt;"Calendrier",K499="",N(N499)=0),"Compteur de départ manquant",IF(AND(E499&lt;&gt;"Calendrier",N(Q499)=0),"Relevé compteur manquant (Équipements)",IF(AND(I499&lt;&gt;"",ISNA(MATCH(I499,tech_name,0))),"Technicien inconnu",IF(AND(L499&lt;&gt;"",L499&lt;&gt;"Oui",L499&lt;&gt;"Non"),"Actif : Oui ou Non","OK")))))))))))))))))</f>
        <v/>
      </c>
      <c r="W499" s="67">
        <f>IFERROR(N(INDEX(eq_use,MATCH(B499,eq_code,0))),0)</f>
        <v>0.0</v>
      </c>
      <c r="X499" s="67" t="str">
        <f>IF(AND(ISNUMBER(S499),W499&gt;0),p_today+MAX(0,ROUNDUP(S499*7/W499,0)),"")</f>
        <v/>
      </c>
      <c r="Y499" s="67" t="str">
        <f>IF(AND(ISNUMBER(T499),OR(U499="En retard",U499="Bientôt",U499="À jour")),IF(AND(ISNUMBER(O499),ISNUMBER(X499)),MIN(F499,G499*7/W499),IF(ISNUMBER(O499),F499,G499*7/W499)),"")</f>
        <v/>
      </c>
      <c r="Z499" s="67" t="str">
        <f>IF(OR(U499="En retard",U499="Bientôt"),IF(U499="En retard",0,1)*1000000000+IF(AB499="A",0,IF(AB499="B",1,IF(AB499="C",2,3)))*100000000+IF(ISNUMBER(T499),T499,p_today)*1000+ROW()-5,"")</f>
        <v/>
      </c>
      <c r="AA499" s="67" t="str">
        <f>IF(Z499="","",COUNTIF($Z$6:$Z$505,"&lt;"&amp;Z499)+1)</f>
        <v/>
      </c>
      <c r="AB499" s="67" t="str">
        <f>IFERROR(INDEX(eq_crit,MATCH(B499,eq_code,0))&amp;"","")</f>
        <v/>
      </c>
    </row>
    <row r="500">
      <c r="A500" s="65" t="n"/>
      <c r="B500" s="66" t="n"/>
      <c r="C500" s="67" t="str">
        <f>IF(B500="","",IFERROR(INDEX(eq_des,MATCH(B500,eq_code,0))&amp;"","Équipement inconnu"))</f>
        <v/>
      </c>
      <c r="D500" s="66" t="n"/>
      <c r="E500" s="68" t="n"/>
      <c r="F500" s="69" t="n"/>
      <c r="G500" s="70" t="n"/>
      <c r="H500" s="71" t="n"/>
      <c r="I500" s="66" t="n"/>
      <c r="J500" s="72" t="n"/>
      <c r="K500" s="73" t="n"/>
      <c r="L500" s="68" t="n"/>
      <c r="M500" s="74" t="str">
        <f>IF(AND(A500="",B500="",D500=""),"",MAX(N(J500),IF(A500="",0,SUMPRODUCT(MAX((in_plan=A500)*in_prev*in_dnum)))))</f>
        <v/>
      </c>
      <c r="N500" s="75" t="str">
        <f>IF(AND(A500="",B500="",D500=""),"",MAX(N(K500),IF(A500="",0,SUMPRODUCT(MAX((in_plan=A500)*in_prev*in_cnum)))))</f>
        <v/>
      </c>
      <c r="O500" s="76" t="str">
        <f>IF(AND(OR(E500="Calendrier",E500="Au premier des deux"),N(F500)&gt;0,IF(N(M500)&gt;0,M500,IFERROR(N(INDEX(eq_start,MATCH(B500,eq_code,0))),0))&gt;0),IF(N(M500)&gt;0,M500,IFERROR(N(INDEX(eq_start,MATCH(B500,eq_code,0))),0))+F500,"")</f>
        <v/>
      </c>
      <c r="P500" s="75" t="str">
        <f>IF(AND(OR(E500="Compteur",E500="Au premier des deux"),N(G500)&gt;0),N(N500)+G500,"")</f>
        <v/>
      </c>
      <c r="Q500" s="75" t="str">
        <f>IF(B500="","",IFERROR(N(INDEX(eq_cnt,MATCH(B500,eq_code,0))),""))</f>
        <v/>
      </c>
      <c r="R500" s="77" t="str">
        <f>IF(ISNUMBER(O500),O500-p_today,"")</f>
        <v/>
      </c>
      <c r="S500" s="78" t="str">
        <f>IF(AND(ISNUMBER(P500),N(Q500)&gt;0),P500-Q500,"")</f>
        <v/>
      </c>
      <c r="T500" s="76" t="str">
        <f>IF(AND(ISNUMBER(O500),ISNUMBER(X500)),MIN(O500,X500),IF(ISNUMBER(O500),O500,X500))</f>
        <v/>
      </c>
      <c r="U500" s="79" t="str">
        <f>IF(AND(A500="",B500="",D500=""),"",IF(L500="Non","Inactif",IF(AND(NOT(ISNUMBER(R500)),NOT(ISNUMBER(S500))),"À compléter",IF(OR(AND(ISNUMBER(R500),N(R500)&lt;0),AND(ISNUMBER(S500),N(S500)&lt;0)),"En retard",IF(OR(AND(ISNUMBER(R500),N(R500)&lt;=p_soon),AND(ISNUMBER(S500),N(S500)&lt;=p_soon_pct*N(G500))),"Bientôt","À jour")))))</f>
        <v/>
      </c>
      <c r="V500" s="79" t="str">
        <f>IF(AND(A500="",B500="",D500=""),"",IF(A500="","N° de plan manquant",IF(COUNTIF($A$6:$A$505,A500)&gt;1,"N° de plan en double",IF(B500="","Équipement manquant",IF(ISNA(MATCH(B500,eq_code,0)),"Équipement inconnu",IF(D500="","Tâche manquante",IF(E500="","Déclenchement manquant",IF(AND(E500&lt;&gt;"Calendrier",E500&lt;&gt;"Compteur",E500&lt;&gt;"Au premier des deux"),"Déclenchement inconnu",IF(AND(E500&lt;&gt;"Compteur",OR(NOT(ISNUMBER(F500)),N(F500)&lt;=0)),"Périodicité en jours manquante",IF(AND(E500&lt;&gt;"Calendrier",OR(NOT(ISNUMBER(G500)),N(G500)&lt;=0)),"Périodicité compteur manquante",IF(AND(J500&lt;&gt;"",OR(NOT(ISNUMBER(J500)),N(J500)&lt;=0)),"Date de réalisation invalide",IF(AND(K500&lt;&gt;"",OR(NOT(ISNUMBER(K500)),N(K500)&lt;0)),"Compteur de réalisation invalide",IF(AND(E500&lt;&gt;"Compteur",N(M500)=0,IFERROR(N(INDEX(eq_start,MATCH(B500,eq_code,0))),0)=0),"Date de départ manquante",IF(AND(E500&lt;&gt;"Calendrier",K500="",N(N500)=0),"Compteur de départ manquant",IF(AND(E500&lt;&gt;"Calendrier",N(Q500)=0),"Relevé compteur manquant (Équipements)",IF(AND(I500&lt;&gt;"",ISNA(MATCH(I500,tech_name,0))),"Technicien inconnu",IF(AND(L500&lt;&gt;"",L500&lt;&gt;"Oui",L500&lt;&gt;"Non"),"Actif : Oui ou Non","OK")))))))))))))))))</f>
        <v/>
      </c>
      <c r="W500" s="67">
        <f>IFERROR(N(INDEX(eq_use,MATCH(B500,eq_code,0))),0)</f>
        <v>0.0</v>
      </c>
      <c r="X500" s="67" t="str">
        <f>IF(AND(ISNUMBER(S500),W500&gt;0),p_today+MAX(0,ROUNDUP(S500*7/W500,0)),"")</f>
        <v/>
      </c>
      <c r="Y500" s="67" t="str">
        <f>IF(AND(ISNUMBER(T500),OR(U500="En retard",U500="Bientôt",U500="À jour")),IF(AND(ISNUMBER(O500),ISNUMBER(X500)),MIN(F500,G500*7/W500),IF(ISNUMBER(O500),F500,G500*7/W500)),"")</f>
        <v/>
      </c>
      <c r="Z500" s="67" t="str">
        <f>IF(OR(U500="En retard",U500="Bientôt"),IF(U500="En retard",0,1)*1000000000+IF(AB500="A",0,IF(AB500="B",1,IF(AB500="C",2,3)))*100000000+IF(ISNUMBER(T500),T500,p_today)*1000+ROW()-5,"")</f>
        <v/>
      </c>
      <c r="AA500" s="67" t="str">
        <f>IF(Z500="","",COUNTIF($Z$6:$Z$505,"&lt;"&amp;Z500)+1)</f>
        <v/>
      </c>
      <c r="AB500" s="67" t="str">
        <f>IFERROR(INDEX(eq_crit,MATCH(B500,eq_code,0))&amp;"","")</f>
        <v/>
      </c>
    </row>
    <row r="501">
      <c r="A501" s="65" t="n"/>
      <c r="B501" s="66" t="n"/>
      <c r="C501" s="67" t="str">
        <f>IF(B501="","",IFERROR(INDEX(eq_des,MATCH(B501,eq_code,0))&amp;"","Équipement inconnu"))</f>
        <v/>
      </c>
      <c r="D501" s="66" t="n"/>
      <c r="E501" s="68" t="n"/>
      <c r="F501" s="69" t="n"/>
      <c r="G501" s="70" t="n"/>
      <c r="H501" s="71" t="n"/>
      <c r="I501" s="66" t="n"/>
      <c r="J501" s="72" t="n"/>
      <c r="K501" s="73" t="n"/>
      <c r="L501" s="68" t="n"/>
      <c r="M501" s="74" t="str">
        <f>IF(AND(A501="",B501="",D501=""),"",MAX(N(J501),IF(A501="",0,SUMPRODUCT(MAX((in_plan=A501)*in_prev*in_dnum)))))</f>
        <v/>
      </c>
      <c r="N501" s="75" t="str">
        <f>IF(AND(A501="",B501="",D501=""),"",MAX(N(K501),IF(A501="",0,SUMPRODUCT(MAX((in_plan=A501)*in_prev*in_cnum)))))</f>
        <v/>
      </c>
      <c r="O501" s="76" t="str">
        <f>IF(AND(OR(E501="Calendrier",E501="Au premier des deux"),N(F501)&gt;0,IF(N(M501)&gt;0,M501,IFERROR(N(INDEX(eq_start,MATCH(B501,eq_code,0))),0))&gt;0),IF(N(M501)&gt;0,M501,IFERROR(N(INDEX(eq_start,MATCH(B501,eq_code,0))),0))+F501,"")</f>
        <v/>
      </c>
      <c r="P501" s="75" t="str">
        <f>IF(AND(OR(E501="Compteur",E501="Au premier des deux"),N(G501)&gt;0),N(N501)+G501,"")</f>
        <v/>
      </c>
      <c r="Q501" s="75" t="str">
        <f>IF(B501="","",IFERROR(N(INDEX(eq_cnt,MATCH(B501,eq_code,0))),""))</f>
        <v/>
      </c>
      <c r="R501" s="77" t="str">
        <f>IF(ISNUMBER(O501),O501-p_today,"")</f>
        <v/>
      </c>
      <c r="S501" s="78" t="str">
        <f>IF(AND(ISNUMBER(P501),N(Q501)&gt;0),P501-Q501,"")</f>
        <v/>
      </c>
      <c r="T501" s="76" t="str">
        <f>IF(AND(ISNUMBER(O501),ISNUMBER(X501)),MIN(O501,X501),IF(ISNUMBER(O501),O501,X501))</f>
        <v/>
      </c>
      <c r="U501" s="79" t="str">
        <f>IF(AND(A501="",B501="",D501=""),"",IF(L501="Non","Inactif",IF(AND(NOT(ISNUMBER(R501)),NOT(ISNUMBER(S501))),"À compléter",IF(OR(AND(ISNUMBER(R501),N(R501)&lt;0),AND(ISNUMBER(S501),N(S501)&lt;0)),"En retard",IF(OR(AND(ISNUMBER(R501),N(R501)&lt;=p_soon),AND(ISNUMBER(S501),N(S501)&lt;=p_soon_pct*N(G501))),"Bientôt","À jour")))))</f>
        <v/>
      </c>
      <c r="V501" s="79" t="str">
        <f>IF(AND(A501="",B501="",D501=""),"",IF(A501="","N° de plan manquant",IF(COUNTIF($A$6:$A$505,A501)&gt;1,"N° de plan en double",IF(B501="","Équipement manquant",IF(ISNA(MATCH(B501,eq_code,0)),"Équipement inconnu",IF(D501="","Tâche manquante",IF(E501="","Déclenchement manquant",IF(AND(E501&lt;&gt;"Calendrier",E501&lt;&gt;"Compteur",E501&lt;&gt;"Au premier des deux"),"Déclenchement inconnu",IF(AND(E501&lt;&gt;"Compteur",OR(NOT(ISNUMBER(F501)),N(F501)&lt;=0)),"Périodicité en jours manquante",IF(AND(E501&lt;&gt;"Calendrier",OR(NOT(ISNUMBER(G501)),N(G501)&lt;=0)),"Périodicité compteur manquante",IF(AND(J501&lt;&gt;"",OR(NOT(ISNUMBER(J501)),N(J501)&lt;=0)),"Date de réalisation invalide",IF(AND(K501&lt;&gt;"",OR(NOT(ISNUMBER(K501)),N(K501)&lt;0)),"Compteur de réalisation invalide",IF(AND(E501&lt;&gt;"Compteur",N(M501)=0,IFERROR(N(INDEX(eq_start,MATCH(B501,eq_code,0))),0)=0),"Date de départ manquante",IF(AND(E501&lt;&gt;"Calendrier",K501="",N(N501)=0),"Compteur de départ manquant",IF(AND(E501&lt;&gt;"Calendrier",N(Q501)=0),"Relevé compteur manquant (Équipements)",IF(AND(I501&lt;&gt;"",ISNA(MATCH(I501,tech_name,0))),"Technicien inconnu",IF(AND(L501&lt;&gt;"",L501&lt;&gt;"Oui",L501&lt;&gt;"Non"),"Actif : Oui ou Non","OK")))))))))))))))))</f>
        <v/>
      </c>
      <c r="W501" s="67">
        <f>IFERROR(N(INDEX(eq_use,MATCH(B501,eq_code,0))),0)</f>
        <v>0.0</v>
      </c>
      <c r="X501" s="67" t="str">
        <f>IF(AND(ISNUMBER(S501),W501&gt;0),p_today+MAX(0,ROUNDUP(S501*7/W501,0)),"")</f>
        <v/>
      </c>
      <c r="Y501" s="67" t="str">
        <f>IF(AND(ISNUMBER(T501),OR(U501="En retard",U501="Bientôt",U501="À jour")),IF(AND(ISNUMBER(O501),ISNUMBER(X501)),MIN(F501,G501*7/W501),IF(ISNUMBER(O501),F501,G501*7/W501)),"")</f>
        <v/>
      </c>
      <c r="Z501" s="67" t="str">
        <f>IF(OR(U501="En retard",U501="Bientôt"),IF(U501="En retard",0,1)*1000000000+IF(AB501="A",0,IF(AB501="B",1,IF(AB501="C",2,3)))*100000000+IF(ISNUMBER(T501),T501,p_today)*1000+ROW()-5,"")</f>
        <v/>
      </c>
      <c r="AA501" s="67" t="str">
        <f>IF(Z501="","",COUNTIF($Z$6:$Z$505,"&lt;"&amp;Z501)+1)</f>
        <v/>
      </c>
      <c r="AB501" s="67" t="str">
        <f>IFERROR(INDEX(eq_crit,MATCH(B501,eq_code,0))&amp;"","")</f>
        <v/>
      </c>
    </row>
    <row r="502">
      <c r="A502" s="65" t="n"/>
      <c r="B502" s="66" t="n"/>
      <c r="C502" s="67" t="str">
        <f>IF(B502="","",IFERROR(INDEX(eq_des,MATCH(B502,eq_code,0))&amp;"","Équipement inconnu"))</f>
        <v/>
      </c>
      <c r="D502" s="66" t="n"/>
      <c r="E502" s="68" t="n"/>
      <c r="F502" s="69" t="n"/>
      <c r="G502" s="70" t="n"/>
      <c r="H502" s="71" t="n"/>
      <c r="I502" s="66" t="n"/>
      <c r="J502" s="72" t="n"/>
      <c r="K502" s="73" t="n"/>
      <c r="L502" s="68" t="n"/>
      <c r="M502" s="74" t="str">
        <f>IF(AND(A502="",B502="",D502=""),"",MAX(N(J502),IF(A502="",0,SUMPRODUCT(MAX((in_plan=A502)*in_prev*in_dnum)))))</f>
        <v/>
      </c>
      <c r="N502" s="75" t="str">
        <f>IF(AND(A502="",B502="",D502=""),"",MAX(N(K502),IF(A502="",0,SUMPRODUCT(MAX((in_plan=A502)*in_prev*in_cnum)))))</f>
        <v/>
      </c>
      <c r="O502" s="76" t="str">
        <f>IF(AND(OR(E502="Calendrier",E502="Au premier des deux"),N(F502)&gt;0,IF(N(M502)&gt;0,M502,IFERROR(N(INDEX(eq_start,MATCH(B502,eq_code,0))),0))&gt;0),IF(N(M502)&gt;0,M502,IFERROR(N(INDEX(eq_start,MATCH(B502,eq_code,0))),0))+F502,"")</f>
        <v/>
      </c>
      <c r="P502" s="75" t="str">
        <f>IF(AND(OR(E502="Compteur",E502="Au premier des deux"),N(G502)&gt;0),N(N502)+G502,"")</f>
        <v/>
      </c>
      <c r="Q502" s="75" t="str">
        <f>IF(B502="","",IFERROR(N(INDEX(eq_cnt,MATCH(B502,eq_code,0))),""))</f>
        <v/>
      </c>
      <c r="R502" s="77" t="str">
        <f>IF(ISNUMBER(O502),O502-p_today,"")</f>
        <v/>
      </c>
      <c r="S502" s="78" t="str">
        <f>IF(AND(ISNUMBER(P502),N(Q502)&gt;0),P502-Q502,"")</f>
        <v/>
      </c>
      <c r="T502" s="76" t="str">
        <f>IF(AND(ISNUMBER(O502),ISNUMBER(X502)),MIN(O502,X502),IF(ISNUMBER(O502),O502,X502))</f>
        <v/>
      </c>
      <c r="U502" s="79" t="str">
        <f>IF(AND(A502="",B502="",D502=""),"",IF(L502="Non","Inactif",IF(AND(NOT(ISNUMBER(R502)),NOT(ISNUMBER(S502))),"À compléter",IF(OR(AND(ISNUMBER(R502),N(R502)&lt;0),AND(ISNUMBER(S502),N(S502)&lt;0)),"En retard",IF(OR(AND(ISNUMBER(R502),N(R502)&lt;=p_soon),AND(ISNUMBER(S502),N(S502)&lt;=p_soon_pct*N(G502))),"Bientôt","À jour")))))</f>
        <v/>
      </c>
      <c r="V502" s="79" t="str">
        <f>IF(AND(A502="",B502="",D502=""),"",IF(A502="","N° de plan manquant",IF(COUNTIF($A$6:$A$505,A502)&gt;1,"N° de plan en double",IF(B502="","Équipement manquant",IF(ISNA(MATCH(B502,eq_code,0)),"Équipement inconnu",IF(D502="","Tâche manquante",IF(E502="","Déclenchement manquant",IF(AND(E502&lt;&gt;"Calendrier",E502&lt;&gt;"Compteur",E502&lt;&gt;"Au premier des deux"),"Déclenchement inconnu",IF(AND(E502&lt;&gt;"Compteur",OR(NOT(ISNUMBER(F502)),N(F502)&lt;=0)),"Périodicité en jours manquante",IF(AND(E502&lt;&gt;"Calendrier",OR(NOT(ISNUMBER(G502)),N(G502)&lt;=0)),"Périodicité compteur manquante",IF(AND(J502&lt;&gt;"",OR(NOT(ISNUMBER(J502)),N(J502)&lt;=0)),"Date de réalisation invalide",IF(AND(K502&lt;&gt;"",OR(NOT(ISNUMBER(K502)),N(K502)&lt;0)),"Compteur de réalisation invalide",IF(AND(E502&lt;&gt;"Compteur",N(M502)=0,IFERROR(N(INDEX(eq_start,MATCH(B502,eq_code,0))),0)=0),"Date de départ manquante",IF(AND(E502&lt;&gt;"Calendrier",K502="",N(N502)=0),"Compteur de départ manquant",IF(AND(E502&lt;&gt;"Calendrier",N(Q502)=0),"Relevé compteur manquant (Équipements)",IF(AND(I502&lt;&gt;"",ISNA(MATCH(I502,tech_name,0))),"Technicien inconnu",IF(AND(L502&lt;&gt;"",L502&lt;&gt;"Oui",L502&lt;&gt;"Non"),"Actif : Oui ou Non","OK")))))))))))))))))</f>
        <v/>
      </c>
      <c r="W502" s="67">
        <f>IFERROR(N(INDEX(eq_use,MATCH(B502,eq_code,0))),0)</f>
        <v>0.0</v>
      </c>
      <c r="X502" s="67" t="str">
        <f>IF(AND(ISNUMBER(S502),W502&gt;0),p_today+MAX(0,ROUNDUP(S502*7/W502,0)),"")</f>
        <v/>
      </c>
      <c r="Y502" s="67" t="str">
        <f>IF(AND(ISNUMBER(T502),OR(U502="En retard",U502="Bientôt",U502="À jour")),IF(AND(ISNUMBER(O502),ISNUMBER(X502)),MIN(F502,G502*7/W502),IF(ISNUMBER(O502),F502,G502*7/W502)),"")</f>
        <v/>
      </c>
      <c r="Z502" s="67" t="str">
        <f>IF(OR(U502="En retard",U502="Bientôt"),IF(U502="En retard",0,1)*1000000000+IF(AB502="A",0,IF(AB502="B",1,IF(AB502="C",2,3)))*100000000+IF(ISNUMBER(T502),T502,p_today)*1000+ROW()-5,"")</f>
        <v/>
      </c>
      <c r="AA502" s="67" t="str">
        <f>IF(Z502="","",COUNTIF($Z$6:$Z$505,"&lt;"&amp;Z502)+1)</f>
        <v/>
      </c>
      <c r="AB502" s="67" t="str">
        <f>IFERROR(INDEX(eq_crit,MATCH(B502,eq_code,0))&amp;"","")</f>
        <v/>
      </c>
    </row>
    <row r="503">
      <c r="A503" s="65" t="n"/>
      <c r="B503" s="66" t="n"/>
      <c r="C503" s="67" t="str">
        <f>IF(B503="","",IFERROR(INDEX(eq_des,MATCH(B503,eq_code,0))&amp;"","Équipement inconnu"))</f>
        <v/>
      </c>
      <c r="D503" s="66" t="n"/>
      <c r="E503" s="68" t="n"/>
      <c r="F503" s="69" t="n"/>
      <c r="G503" s="70" t="n"/>
      <c r="H503" s="71" t="n"/>
      <c r="I503" s="66" t="n"/>
      <c r="J503" s="72" t="n"/>
      <c r="K503" s="73" t="n"/>
      <c r="L503" s="68" t="n"/>
      <c r="M503" s="74" t="str">
        <f>IF(AND(A503="",B503="",D503=""),"",MAX(N(J503),IF(A503="",0,SUMPRODUCT(MAX((in_plan=A503)*in_prev*in_dnum)))))</f>
        <v/>
      </c>
      <c r="N503" s="75" t="str">
        <f>IF(AND(A503="",B503="",D503=""),"",MAX(N(K503),IF(A503="",0,SUMPRODUCT(MAX((in_plan=A503)*in_prev*in_cnum)))))</f>
        <v/>
      </c>
      <c r="O503" s="76" t="str">
        <f>IF(AND(OR(E503="Calendrier",E503="Au premier des deux"),N(F503)&gt;0,IF(N(M503)&gt;0,M503,IFERROR(N(INDEX(eq_start,MATCH(B503,eq_code,0))),0))&gt;0),IF(N(M503)&gt;0,M503,IFERROR(N(INDEX(eq_start,MATCH(B503,eq_code,0))),0))+F503,"")</f>
        <v/>
      </c>
      <c r="P503" s="75" t="str">
        <f>IF(AND(OR(E503="Compteur",E503="Au premier des deux"),N(G503)&gt;0),N(N503)+G503,"")</f>
        <v/>
      </c>
      <c r="Q503" s="75" t="str">
        <f>IF(B503="","",IFERROR(N(INDEX(eq_cnt,MATCH(B503,eq_code,0))),""))</f>
        <v/>
      </c>
      <c r="R503" s="77" t="str">
        <f>IF(ISNUMBER(O503),O503-p_today,"")</f>
        <v/>
      </c>
      <c r="S503" s="78" t="str">
        <f>IF(AND(ISNUMBER(P503),N(Q503)&gt;0),P503-Q503,"")</f>
        <v/>
      </c>
      <c r="T503" s="76" t="str">
        <f>IF(AND(ISNUMBER(O503),ISNUMBER(X503)),MIN(O503,X503),IF(ISNUMBER(O503),O503,X503))</f>
        <v/>
      </c>
      <c r="U503" s="79" t="str">
        <f>IF(AND(A503="",B503="",D503=""),"",IF(L503="Non","Inactif",IF(AND(NOT(ISNUMBER(R503)),NOT(ISNUMBER(S503))),"À compléter",IF(OR(AND(ISNUMBER(R503),N(R503)&lt;0),AND(ISNUMBER(S503),N(S503)&lt;0)),"En retard",IF(OR(AND(ISNUMBER(R503),N(R503)&lt;=p_soon),AND(ISNUMBER(S503),N(S503)&lt;=p_soon_pct*N(G503))),"Bientôt","À jour")))))</f>
        <v/>
      </c>
      <c r="V503" s="79" t="str">
        <f>IF(AND(A503="",B503="",D503=""),"",IF(A503="","N° de plan manquant",IF(COUNTIF($A$6:$A$505,A503)&gt;1,"N° de plan en double",IF(B503="","Équipement manquant",IF(ISNA(MATCH(B503,eq_code,0)),"Équipement inconnu",IF(D503="","Tâche manquante",IF(E503="","Déclenchement manquant",IF(AND(E503&lt;&gt;"Calendrier",E503&lt;&gt;"Compteur",E503&lt;&gt;"Au premier des deux"),"Déclenchement inconnu",IF(AND(E503&lt;&gt;"Compteur",OR(NOT(ISNUMBER(F503)),N(F503)&lt;=0)),"Périodicité en jours manquante",IF(AND(E503&lt;&gt;"Calendrier",OR(NOT(ISNUMBER(G503)),N(G503)&lt;=0)),"Périodicité compteur manquante",IF(AND(J503&lt;&gt;"",OR(NOT(ISNUMBER(J503)),N(J503)&lt;=0)),"Date de réalisation invalide",IF(AND(K503&lt;&gt;"",OR(NOT(ISNUMBER(K503)),N(K503)&lt;0)),"Compteur de réalisation invalide",IF(AND(E503&lt;&gt;"Compteur",N(M503)=0,IFERROR(N(INDEX(eq_start,MATCH(B503,eq_code,0))),0)=0),"Date de départ manquante",IF(AND(E503&lt;&gt;"Calendrier",K503="",N(N503)=0),"Compteur de départ manquant",IF(AND(E503&lt;&gt;"Calendrier",N(Q503)=0),"Relevé compteur manquant (Équipements)",IF(AND(I503&lt;&gt;"",ISNA(MATCH(I503,tech_name,0))),"Technicien inconnu",IF(AND(L503&lt;&gt;"",L503&lt;&gt;"Oui",L503&lt;&gt;"Non"),"Actif : Oui ou Non","OK")))))))))))))))))</f>
        <v/>
      </c>
      <c r="W503" s="67">
        <f>IFERROR(N(INDEX(eq_use,MATCH(B503,eq_code,0))),0)</f>
        <v>0.0</v>
      </c>
      <c r="X503" s="67" t="str">
        <f>IF(AND(ISNUMBER(S503),W503&gt;0),p_today+MAX(0,ROUNDUP(S503*7/W503,0)),"")</f>
        <v/>
      </c>
      <c r="Y503" s="67" t="str">
        <f>IF(AND(ISNUMBER(T503),OR(U503="En retard",U503="Bientôt",U503="À jour")),IF(AND(ISNUMBER(O503),ISNUMBER(X503)),MIN(F503,G503*7/W503),IF(ISNUMBER(O503),F503,G503*7/W503)),"")</f>
        <v/>
      </c>
      <c r="Z503" s="67" t="str">
        <f>IF(OR(U503="En retard",U503="Bientôt"),IF(U503="En retard",0,1)*1000000000+IF(AB503="A",0,IF(AB503="B",1,IF(AB503="C",2,3)))*100000000+IF(ISNUMBER(T503),T503,p_today)*1000+ROW()-5,"")</f>
        <v/>
      </c>
      <c r="AA503" s="67" t="str">
        <f>IF(Z503="","",COUNTIF($Z$6:$Z$505,"&lt;"&amp;Z503)+1)</f>
        <v/>
      </c>
      <c r="AB503" s="67" t="str">
        <f>IFERROR(INDEX(eq_crit,MATCH(B503,eq_code,0))&amp;"","")</f>
        <v/>
      </c>
    </row>
    <row r="504">
      <c r="A504" s="65" t="n"/>
      <c r="B504" s="66" t="n"/>
      <c r="C504" s="67" t="str">
        <f>IF(B504="","",IFERROR(INDEX(eq_des,MATCH(B504,eq_code,0))&amp;"","Équipement inconnu"))</f>
        <v/>
      </c>
      <c r="D504" s="66" t="n"/>
      <c r="E504" s="68" t="n"/>
      <c r="F504" s="69" t="n"/>
      <c r="G504" s="70" t="n"/>
      <c r="H504" s="71" t="n"/>
      <c r="I504" s="66" t="n"/>
      <c r="J504" s="72" t="n"/>
      <c r="K504" s="73" t="n"/>
      <c r="L504" s="68" t="n"/>
      <c r="M504" s="74" t="str">
        <f>IF(AND(A504="",B504="",D504=""),"",MAX(N(J504),IF(A504="",0,SUMPRODUCT(MAX((in_plan=A504)*in_prev*in_dnum)))))</f>
        <v/>
      </c>
      <c r="N504" s="75" t="str">
        <f>IF(AND(A504="",B504="",D504=""),"",MAX(N(K504),IF(A504="",0,SUMPRODUCT(MAX((in_plan=A504)*in_prev*in_cnum)))))</f>
        <v/>
      </c>
      <c r="O504" s="76" t="str">
        <f>IF(AND(OR(E504="Calendrier",E504="Au premier des deux"),N(F504)&gt;0,IF(N(M504)&gt;0,M504,IFERROR(N(INDEX(eq_start,MATCH(B504,eq_code,0))),0))&gt;0),IF(N(M504)&gt;0,M504,IFERROR(N(INDEX(eq_start,MATCH(B504,eq_code,0))),0))+F504,"")</f>
        <v/>
      </c>
      <c r="P504" s="75" t="str">
        <f>IF(AND(OR(E504="Compteur",E504="Au premier des deux"),N(G504)&gt;0),N(N504)+G504,"")</f>
        <v/>
      </c>
      <c r="Q504" s="75" t="str">
        <f>IF(B504="","",IFERROR(N(INDEX(eq_cnt,MATCH(B504,eq_code,0))),""))</f>
        <v/>
      </c>
      <c r="R504" s="77" t="str">
        <f>IF(ISNUMBER(O504),O504-p_today,"")</f>
        <v/>
      </c>
      <c r="S504" s="78" t="str">
        <f>IF(AND(ISNUMBER(P504),N(Q504)&gt;0),P504-Q504,"")</f>
        <v/>
      </c>
      <c r="T504" s="76" t="str">
        <f>IF(AND(ISNUMBER(O504),ISNUMBER(X504)),MIN(O504,X504),IF(ISNUMBER(O504),O504,X504))</f>
        <v/>
      </c>
      <c r="U504" s="79" t="str">
        <f>IF(AND(A504="",B504="",D504=""),"",IF(L504="Non","Inactif",IF(AND(NOT(ISNUMBER(R504)),NOT(ISNUMBER(S504))),"À compléter",IF(OR(AND(ISNUMBER(R504),N(R504)&lt;0),AND(ISNUMBER(S504),N(S504)&lt;0)),"En retard",IF(OR(AND(ISNUMBER(R504),N(R504)&lt;=p_soon),AND(ISNUMBER(S504),N(S504)&lt;=p_soon_pct*N(G504))),"Bientôt","À jour")))))</f>
        <v/>
      </c>
      <c r="V504" s="79" t="str">
        <f>IF(AND(A504="",B504="",D504=""),"",IF(A504="","N° de plan manquant",IF(COUNTIF($A$6:$A$505,A504)&gt;1,"N° de plan en double",IF(B504="","Équipement manquant",IF(ISNA(MATCH(B504,eq_code,0)),"Équipement inconnu",IF(D504="","Tâche manquante",IF(E504="","Déclenchement manquant",IF(AND(E504&lt;&gt;"Calendrier",E504&lt;&gt;"Compteur",E504&lt;&gt;"Au premier des deux"),"Déclenchement inconnu",IF(AND(E504&lt;&gt;"Compteur",OR(NOT(ISNUMBER(F504)),N(F504)&lt;=0)),"Périodicité en jours manquante",IF(AND(E504&lt;&gt;"Calendrier",OR(NOT(ISNUMBER(G504)),N(G504)&lt;=0)),"Périodicité compteur manquante",IF(AND(J504&lt;&gt;"",OR(NOT(ISNUMBER(J504)),N(J504)&lt;=0)),"Date de réalisation invalide",IF(AND(K504&lt;&gt;"",OR(NOT(ISNUMBER(K504)),N(K504)&lt;0)),"Compteur de réalisation invalide",IF(AND(E504&lt;&gt;"Compteur",N(M504)=0,IFERROR(N(INDEX(eq_start,MATCH(B504,eq_code,0))),0)=0),"Date de départ manquante",IF(AND(E504&lt;&gt;"Calendrier",K504="",N(N504)=0),"Compteur de départ manquant",IF(AND(E504&lt;&gt;"Calendrier",N(Q504)=0),"Relevé compteur manquant (Équipements)",IF(AND(I504&lt;&gt;"",ISNA(MATCH(I504,tech_name,0))),"Technicien inconnu",IF(AND(L504&lt;&gt;"",L504&lt;&gt;"Oui",L504&lt;&gt;"Non"),"Actif : Oui ou Non","OK")))))))))))))))))</f>
        <v/>
      </c>
      <c r="W504" s="67">
        <f>IFERROR(N(INDEX(eq_use,MATCH(B504,eq_code,0))),0)</f>
        <v>0.0</v>
      </c>
      <c r="X504" s="67" t="str">
        <f>IF(AND(ISNUMBER(S504),W504&gt;0),p_today+MAX(0,ROUNDUP(S504*7/W504,0)),"")</f>
        <v/>
      </c>
      <c r="Y504" s="67" t="str">
        <f>IF(AND(ISNUMBER(T504),OR(U504="En retard",U504="Bientôt",U504="À jour")),IF(AND(ISNUMBER(O504),ISNUMBER(X504)),MIN(F504,G504*7/W504),IF(ISNUMBER(O504),F504,G504*7/W504)),"")</f>
        <v/>
      </c>
      <c r="Z504" s="67" t="str">
        <f>IF(OR(U504="En retard",U504="Bientôt"),IF(U504="En retard",0,1)*1000000000+IF(AB504="A",0,IF(AB504="B",1,IF(AB504="C",2,3)))*100000000+IF(ISNUMBER(T504),T504,p_today)*1000+ROW()-5,"")</f>
        <v/>
      </c>
      <c r="AA504" s="67" t="str">
        <f>IF(Z504="","",COUNTIF($Z$6:$Z$505,"&lt;"&amp;Z504)+1)</f>
        <v/>
      </c>
      <c r="AB504" s="67" t="str">
        <f>IFERROR(INDEX(eq_crit,MATCH(B504,eq_code,0))&amp;"","")</f>
        <v/>
      </c>
    </row>
    <row r="505">
      <c r="A505" s="65" t="n"/>
      <c r="B505" s="66" t="n"/>
      <c r="C505" s="67" t="str">
        <f>IF(B505="","",IFERROR(INDEX(eq_des,MATCH(B505,eq_code,0))&amp;"","Équipement inconnu"))</f>
        <v/>
      </c>
      <c r="D505" s="66" t="n"/>
      <c r="E505" s="68" t="n"/>
      <c r="F505" s="69" t="n"/>
      <c r="G505" s="70" t="n"/>
      <c r="H505" s="71" t="n"/>
      <c r="I505" s="66" t="n"/>
      <c r="J505" s="72" t="n"/>
      <c r="K505" s="73" t="n"/>
      <c r="L505" s="68" t="n"/>
      <c r="M505" s="74" t="str">
        <f>IF(AND(A505="",B505="",D505=""),"",MAX(N(J505),IF(A505="",0,SUMPRODUCT(MAX((in_plan=A505)*in_prev*in_dnum)))))</f>
        <v/>
      </c>
      <c r="N505" s="75" t="str">
        <f>IF(AND(A505="",B505="",D505=""),"",MAX(N(K505),IF(A505="",0,SUMPRODUCT(MAX((in_plan=A505)*in_prev*in_cnum)))))</f>
        <v/>
      </c>
      <c r="O505" s="76" t="str">
        <f>IF(AND(OR(E505="Calendrier",E505="Au premier des deux"),N(F505)&gt;0,IF(N(M505)&gt;0,M505,IFERROR(N(INDEX(eq_start,MATCH(B505,eq_code,0))),0))&gt;0),IF(N(M505)&gt;0,M505,IFERROR(N(INDEX(eq_start,MATCH(B505,eq_code,0))),0))+F505,"")</f>
        <v/>
      </c>
      <c r="P505" s="75" t="str">
        <f>IF(AND(OR(E505="Compteur",E505="Au premier des deux"),N(G505)&gt;0),N(N505)+G505,"")</f>
        <v/>
      </c>
      <c r="Q505" s="75" t="str">
        <f>IF(B505="","",IFERROR(N(INDEX(eq_cnt,MATCH(B505,eq_code,0))),""))</f>
        <v/>
      </c>
      <c r="R505" s="77" t="str">
        <f>IF(ISNUMBER(O505),O505-p_today,"")</f>
        <v/>
      </c>
      <c r="S505" s="78" t="str">
        <f>IF(AND(ISNUMBER(P505),N(Q505)&gt;0),P505-Q505,"")</f>
        <v/>
      </c>
      <c r="T505" s="76" t="str">
        <f>IF(AND(ISNUMBER(O505),ISNUMBER(X505)),MIN(O505,X505),IF(ISNUMBER(O505),O505,X505))</f>
        <v/>
      </c>
      <c r="U505" s="79" t="str">
        <f>IF(AND(A505="",B505="",D505=""),"",IF(L505="Non","Inactif",IF(AND(NOT(ISNUMBER(R505)),NOT(ISNUMBER(S505))),"À compléter",IF(OR(AND(ISNUMBER(R505),N(R505)&lt;0),AND(ISNUMBER(S505),N(S505)&lt;0)),"En retard",IF(OR(AND(ISNUMBER(R505),N(R505)&lt;=p_soon),AND(ISNUMBER(S505),N(S505)&lt;=p_soon_pct*N(G505))),"Bientôt","À jour")))))</f>
        <v/>
      </c>
      <c r="V505" s="79" t="str">
        <f>IF(AND(A505="",B505="",D505=""),"",IF(A505="","N° de plan manquant",IF(COUNTIF($A$6:$A$505,A505)&gt;1,"N° de plan en double",IF(B505="","Équipement manquant",IF(ISNA(MATCH(B505,eq_code,0)),"Équipement inconnu",IF(D505="","Tâche manquante",IF(E505="","Déclenchement manquant",IF(AND(E505&lt;&gt;"Calendrier",E505&lt;&gt;"Compteur",E505&lt;&gt;"Au premier des deux"),"Déclenchement inconnu",IF(AND(E505&lt;&gt;"Compteur",OR(NOT(ISNUMBER(F505)),N(F505)&lt;=0)),"Périodicité en jours manquante",IF(AND(E505&lt;&gt;"Calendrier",OR(NOT(ISNUMBER(G505)),N(G505)&lt;=0)),"Périodicité compteur manquante",IF(AND(J505&lt;&gt;"",OR(NOT(ISNUMBER(J505)),N(J505)&lt;=0)),"Date de réalisation invalide",IF(AND(K505&lt;&gt;"",OR(NOT(ISNUMBER(K505)),N(K505)&lt;0)),"Compteur de réalisation invalide",IF(AND(E505&lt;&gt;"Compteur",N(M505)=0,IFERROR(N(INDEX(eq_start,MATCH(B505,eq_code,0))),0)=0),"Date de départ manquante",IF(AND(E505&lt;&gt;"Calendrier",K505="",N(N505)=0),"Compteur de départ manquant",IF(AND(E505&lt;&gt;"Calendrier",N(Q505)=0),"Relevé compteur manquant (Équipements)",IF(AND(I505&lt;&gt;"",ISNA(MATCH(I505,tech_name,0))),"Technicien inconnu",IF(AND(L505&lt;&gt;"",L505&lt;&gt;"Oui",L505&lt;&gt;"Non"),"Actif : Oui ou Non","OK")))))))))))))))))</f>
        <v/>
      </c>
      <c r="W505" s="67">
        <f>IFERROR(N(INDEX(eq_use,MATCH(B505,eq_code,0))),0)</f>
        <v>0.0</v>
      </c>
      <c r="X505" s="67" t="str">
        <f>IF(AND(ISNUMBER(S505),W505&gt;0),p_today+MAX(0,ROUNDUP(S505*7/W505,0)),"")</f>
        <v/>
      </c>
      <c r="Y505" s="67" t="str">
        <f>IF(AND(ISNUMBER(T505),OR(U505="En retard",U505="Bientôt",U505="À jour")),IF(AND(ISNUMBER(O505),ISNUMBER(X505)),MIN(F505,G505*7/W505),IF(ISNUMBER(O505),F505,G505*7/W505)),"")</f>
        <v/>
      </c>
      <c r="Z505" s="67" t="str">
        <f>IF(OR(U505="En retard",U505="Bientôt"),IF(U505="En retard",0,1)*1000000000+IF(AB505="A",0,IF(AB505="B",1,IF(AB505="C",2,3)))*100000000+IF(ISNUMBER(T505),T505,p_today)*1000+ROW()-5,"")</f>
        <v/>
      </c>
      <c r="AA505" s="67" t="str">
        <f>IF(Z505="","",COUNTIF($Z$6:$Z$505,"&lt;"&amp;Z505)+1)</f>
        <v/>
      </c>
      <c r="AB505" s="67" t="str">
        <f>IFERROR(INDEX(eq_crit,MATCH(B505,eq_code,0))&amp;"","")</f>
        <v/>
      </c>
    </row>
  </sheetData>
  <autoFilter ref="A5:V505"/>
  <mergeCells count="1">
    <mergeCell ref="T1:V1"/>
  </mergeCells>
  <conditionalFormatting sqref="U6:U505">
    <cfRule type="expression" priority="1" dxfId="3">
      <formula>$U6="En retard"</formula>
    </cfRule>
    <cfRule type="expression" priority="2" dxfId="4">
      <formula>$U6="Bientôt"</formula>
    </cfRule>
    <cfRule type="expression" priority="3" dxfId="0">
      <formula>$U6="À jour"</formula>
    </cfRule>
    <cfRule type="expression" priority="4" dxfId="5">
      <formula>$U6="Inactif"</formula>
    </cfRule>
    <cfRule type="expression" priority="5" dxfId="2">
      <formula>$U6="À compléter"</formula>
    </cfRule>
  </conditionalFormatting>
  <conditionalFormatting sqref="V6:V505">
    <cfRule type="expression" priority="6" dxfId="0">
      <formula>$V6="OK"</formula>
    </cfRule>
    <cfRule type="expression" priority="7" dxfId="3">
      <formula>AND($V6&lt;&gt;"",$V6&lt;&gt;"OK")</formula>
    </cfRule>
  </conditionalFormatting>
  <conditionalFormatting sqref="R6:S505">
    <cfRule type="expression" priority="8" dxfId="3">
      <formula>AND(ISNUMBER(R6),R6&lt;0,$U6&lt;&gt;"Inactif")</formula>
    </cfRule>
  </conditionalFormatting>
  <dataValidations count="11">
    <dataValidation sqref="A6:A505" showDropDown="0" showInputMessage="1" showErrorMessage="1" allowBlank="1" errorTitle="N° plan" error="Texte de 20 caractères au plus." promptTitle="N° plan" prompt="Numéro unique du plan, par exemple PM-001. Il relie les interventions au plan." type="textLength" operator="lessThanOrEqual">
      <formula1>20</formula1>
    </dataValidation>
    <dataValidation sqref="B6:B505" showDropDown="0" showInputMessage="1" showErrorMessage="1" allowBlank="1" errorTitle="Équipement" error="Choisissez l'équipement dans la liste (feuille Équipements)." promptTitle="Équipement" prompt="Choisissez l'équipement dans la liste (feuille Équipements)." type="list">
      <formula1>=eq_code</formula1>
    </dataValidation>
    <dataValidation sqref="D6:D505" showDropDown="0" showInputMessage="1" showErrorMessage="1" allowBlank="1" errorTitle="Tâche" error="Texte de 120 caractères au plus." promptTitle="Tâche" prompt="Ce qu'il faut faire : graissage, vidange, contrôle des sécurités..." type="textLength" operator="lessThanOrEqual">
      <formula1>120</formula1>
    </dataValidation>
    <dataValidation sqref="E6:E505" showDropDown="0" showInputMessage="1" showErrorMessage="1" allowBlank="1" errorTitle="Déclenchement" error="Calendrier (tous les N jours), Compteur (toutes les N heures, cycles...) ou Au premier des deux." promptTitle="Déclenchement" prompt="Calendrier (tous les N jours), Compteur (toutes les N heures, cycles...) ou Au premier des deux." type="list">
      <formula1>"Calendrier,Compteur,Au premier des deux"</formula1>
    </dataValidation>
    <dataValidation sqref="F6:F505" showDropDown="0" showInputMessage="1" showErrorMessage="1" allowBlank="1" errorTitle="Périodicité en jours" error="Nombre de jours entre deux réalisations : 7, 14, 30, 90, 180, 365." promptTitle="Périodicité en jours" prompt="Nombre de jours entre deux réalisations : 7, 14, 30, 90, 180, 365." type="whole" operator="between">
      <formula1>1</formula1>
      <formula2>3650</formula2>
    </dataValidation>
    <dataValidation sqref="G6:G505" showDropDown="0" showInputMessage="1" showErrorMessage="1" allowBlank="1" errorTitle="Périodicité compteur" error="Unités de compteur entre deux réalisations : 500 heures, 100 000 coups." promptTitle="Périodicité compteur" prompt="Unités de compteur entre deux réalisations : 500 heures, 100 000 coups." type="decimal" operator="greaterThan">
      <formula1>0</formula1>
    </dataValidation>
    <dataValidation sqref="H6:H505" showDropDown="0" showInputMessage="1" showErrorMessage="1" allowBlank="1" errorTitle="Durée estimée" error="Durée prévue d'une réalisation, en heures (0,5 = 30 minutes). Sert à la charge du calendrier." promptTitle="Durée estimée" prompt="Durée prévue d'une réalisation, en heures (0,5 = 30 minutes). Sert à la charge du calendrier." type="decimal" operator="greaterThanOrEqual">
      <formula1>0</formula1>
    </dataValidation>
    <dataValidation sqref="I6:I505" showDropDown="0" showInputMessage="1" showErrorMessage="1" allowBlank="1" errorTitle="Technicien" error="Technicien habituel (liste de la feuille Paramètres)." promptTitle="Technicien" prompt="Technicien habituel (liste de la feuille Paramètres)." type="list">
      <formula1>=tech_name</formula1>
    </dataValidation>
    <dataValidation sqref="J6:J505" showDropDown="0" showInputMessage="1" showErrorMessage="1" allowBlank="1" errorTitle="Dernière réalisation" error="Date de la dernière réalisation connue avant de tenir le journal (jj/mm/aaaa). Ensuite, le journal prend le relais." promptTitle="Dernière réalisation" prompt="Date de la dernière réalisation connue avant de tenir le journal (jj/mm/aaaa). Ensuite, le journal prend le relais." type="date" operator="between">
      <formula1>36526</formula1>
      <formula2>73051</formula2>
    </dataValidation>
    <dataValidation sqref="K6:K505" showDropDown="0" showInputMessage="1" showErrorMessage="1" allowBlank="1" errorTitle="Compteur de départ" error="Compteur de la machine à la dernière réalisation connue (plans au compteur)." promptTitle="Compteur de départ" prompt="Compteur de la machine à la dernière réalisation connue (plans au compteur)." type="decimal" operator="greaterThanOrEqual">
      <formula1>0</formula1>
    </dataValidation>
    <dataValidation sqref="L6:L505" showDropDown="0" showInputMessage="1" showErrorMessage="1" allowBlank="1" errorTitle="Actif" error="Oui (ou vide) = plan suivi. Non = plan en pause, ignoré par les alertes." promptTitle="Actif" prompt="Oui (ou vide) = plan suivi. Non = plan en pause, ignoré par les alertes." type="list">
      <formula1>"Oui,Non"</formula1>
    </dataValidation>
  </dataValidations>
  <hyperlinks>
    <hyperlink ref="T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Z2005"/>
  <sheetViews>
    <sheetView showGridLines="0" tabSelected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22" customWidth="1" min="4" max="4"/>
    <col width="12" customWidth="1" min="5" max="5"/>
    <col width="9" customWidth="1" min="6" max="6"/>
    <col width="36" customWidth="1" min="7" max="7"/>
    <col width="26" customWidth="1" min="8" max="8"/>
    <col width="11" customWidth="1" min="9" max="9"/>
    <col width="11" customWidth="1" min="10" max="10"/>
    <col width="9" customWidth="1" min="11" max="11"/>
    <col width="13" customWidth="1" min="12" max="12"/>
    <col width="17" customWidth="1" min="13" max="13"/>
    <col width="12" customWidth="1" min="14" max="14"/>
    <col width="12" customWidth="1" min="15" max="15"/>
    <col width="12" customWidth="1" min="16" max="16"/>
    <col width="13" customWidth="1" min="17" max="17"/>
    <col width="28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38" customHeight="1">
      <c r="A1" s="2" t="inlineStr">
        <is>
          <t>Interventions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4" t="inlineStr">
        <is>
          <t>Le journal de toutes les interventions. Un préventif terminé met à jour la dernière réalisation de son plan.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18" customHeight="1">
      <c r="Q3" s="16" t="inlineStr">
        <is>
          <t>Saisie</t>
        </is>
      </c>
      <c r="R3" s="17" t="inlineStr">
        <is>
          <t>Calcul auto</t>
        </is>
      </c>
    </row>
    <row r="5" ht="44" customHeight="1">
      <c r="A5" s="43" t="inlineStr">
        <is>
          <t>N°</t>
        </is>
      </c>
      <c r="B5" s="43" t="inlineStr">
        <is>
          <t>Date</t>
        </is>
      </c>
      <c r="C5" s="43" t="inlineStr">
        <is>
          <t>Équipement</t>
        </is>
      </c>
      <c r="D5" s="43" t="inlineStr">
        <is>
          <t>Désignation</t>
        </is>
      </c>
      <c r="E5" s="43" t="inlineStr">
        <is>
          <t>Type</t>
        </is>
      </c>
      <c r="F5" s="43" t="inlineStr">
        <is>
          <t>Plan lié</t>
        </is>
      </c>
      <c r="G5" s="43" t="inlineStr">
        <is>
          <t>Description (panne ou travail)</t>
        </is>
      </c>
      <c r="H5" s="43" t="inlineStr">
        <is>
          <t>Cause constatée</t>
        </is>
      </c>
      <c r="I5" s="43" t="inlineStr">
        <is>
          <t>Statut</t>
        </is>
      </c>
      <c r="J5" s="43" t="inlineStr">
        <is>
          <t>Compteur relevé</t>
        </is>
      </c>
      <c r="K5" s="43" t="inlineStr">
        <is>
          <t>Durée d'arrêt (h)</t>
        </is>
      </c>
      <c r="L5" s="43" t="inlineStr">
        <is>
          <t>Durée d'intervention (h)</t>
        </is>
      </c>
      <c r="M5" s="43" t="inlineStr">
        <is>
          <t>Technicien</t>
        </is>
      </c>
      <c r="N5" s="43" t="inlineStr">
        <is>
          <t>Coût pièces</t>
        </is>
      </c>
      <c r="O5" s="43" t="inlineStr">
        <is>
          <t>Main-d'oeuvre</t>
        </is>
      </c>
      <c r="P5" s="43" t="inlineStr">
        <is>
          <t>Autres coûts</t>
        </is>
      </c>
      <c r="Q5" s="43" t="inlineStr">
        <is>
          <t>Coût total</t>
        </is>
      </c>
      <c r="R5" s="43" t="inlineStr">
        <is>
          <t>Contrôle</t>
        </is>
      </c>
      <c r="S5" s="43" t="inlineStr">
        <is>
          <t>Date</t>
        </is>
      </c>
      <c r="T5" s="43" t="inlineStr">
        <is>
          <t>Compteur</t>
        </is>
      </c>
      <c r="U5" s="43" t="inlineStr">
        <is>
          <t>Arrêt</t>
        </is>
      </c>
      <c r="V5" s="43" t="inlineStr">
        <is>
          <t>Travail</t>
        </is>
      </c>
      <c r="W5" s="43" t="inlineStr">
        <is>
          <t>Fait</t>
        </is>
      </c>
      <c r="X5" s="43" t="inlineStr">
        <is>
          <t>Préventif fait</t>
        </is>
      </c>
      <c r="Y5" s="43" t="inlineStr">
        <is>
          <t>Pièces</t>
        </is>
      </c>
      <c r="Z5" s="43" t="inlineStr">
        <is>
          <t>Autres</t>
        </is>
      </c>
    </row>
    <row r="6">
      <c r="A6" s="79" t="str">
        <f>IF(COUNTA(B6:C6,E6:G6,I6)=0,"","BI-"&amp;RIGHT("0000"&amp;(ROW()-5),4))</f>
        <v/>
      </c>
      <c r="B6" s="72" t="n"/>
      <c r="C6" s="66" t="n"/>
      <c r="D6" s="67" t="str">
        <f>IF(C6="","",IFERROR(INDEX(eq_des,MATCH(C6,eq_code,0))&amp;"","Équipement inconnu"))</f>
        <v/>
      </c>
      <c r="E6" s="68" t="n"/>
      <c r="F6" s="68" t="n"/>
      <c r="G6" s="66" t="n"/>
      <c r="H6" s="66" t="n"/>
      <c r="I6" s="68" t="n"/>
      <c r="J6" s="73" t="n"/>
      <c r="K6" s="71" t="n"/>
      <c r="L6" s="71" t="n"/>
      <c r="M6" s="66" t="n"/>
      <c r="N6" s="80" t="n"/>
      <c r="O6" s="81" t="str">
        <f>IF(A6="","",ROUND(V6*IFERROR(N(INDEX(tech_rate,MATCH(M6,tech_name,0))),0),2))</f>
        <v/>
      </c>
      <c r="P6" s="80" t="n"/>
      <c r="Q6" s="81" t="str">
        <f>IF(A6="","",ROUND(Y6+O6+Z6,2))</f>
        <v/>
      </c>
      <c r="R6" s="79" t="str">
        <f>IF(A6="","",IF(S6=0,"Date manquante ou invalide",IF(C6="","Équipement manquant",IF(ISNA(MATCH(C6,eq_code,0)),"Équipement inconnu",IF(E6="","Type manquant",IF(AND(E6&lt;&gt;"Préventif",E6&lt;&gt;"Correctif",E6&lt;&gt;"Amélioratif"),"Type inconnu",IF(I6="","Statut manquant",IF(AND(I6&lt;&gt;"Terminée",I6&lt;&gt;"En cours",I6&lt;&gt;"À faire",I6&lt;&gt;"Annulée"),"Statut inconnu",IF(AND(E6="Préventif",F6=""),"Plan manquant (préventif)",IF(AND(F6&lt;&gt;"",ISNA(MATCH(F6,pl_num,0))),"Plan inconnu",IF(AND(F6&lt;&gt;"",IFERROR(INDEX(pl_eq,MATCH(F6,pl_num,0))&amp;"",C6)&lt;&gt;C6),"Plan d'un autre équipement",IF(AND(J6&lt;&gt;"",OR(NOT(ISNUMBER(J6)),N(J6)&lt;0)),"Compteur invalide",IF(OR(AND(K6&lt;&gt;"",OR(NOT(ISNUMBER(K6)),N(K6)&lt;0)),AND(L6&lt;&gt;"",OR(NOT(ISNUMBER(L6)),N(L6)&lt;0))),"Durée invalide",IF(OR(AND(N6&lt;&gt;"",OR(NOT(ISNUMBER(N6)),N(N6)&lt;0)),AND(P6&lt;&gt;"",OR(NOT(ISNUMBER(P6)),N(P6)&lt;0))),"Coût invalide",IF(AND(M6&lt;&gt;"",ISNA(MATCH(M6,tech_name,0))),"Technicien inconnu",IF(AND(I6="Terminée",S6&gt;p_today),"Terminée à une date future",IF(AND(I6="Terminée",V6=0),"Durée d'intervention manquante",IF(AND(I6="Terminée",E6="Préventif",T6=0,OR(IFERROR(INDEX(pl_trig,MATCH(F6,pl_num,0))&amp;"","")="Compteur",IFERROR(INDEX(pl_trig,MATCH(F6,pl_num,0))&amp;"","")="Au premier des deux")),"Compteur manquant (plan au compteur)","OK"))))))))))))))))))</f>
        <v/>
      </c>
      <c r="S6" s="67">
        <f>IF(AND(ISNUMBER(B6),N(B6)&gt;0),INT(B6),0)</f>
        <v>0.0</v>
      </c>
      <c r="T6" s="67">
        <f>IF(AND(ISNUMBER(J6),N(J6)&gt;=0),N(J6),0)</f>
        <v>0.0</v>
      </c>
      <c r="U6" s="67">
        <f>IF(AND(ISNUMBER(K6),N(K6)&gt;0),N(K6),0)</f>
        <v>0.0</v>
      </c>
      <c r="V6" s="67">
        <f>IF(AND(ISNUMBER(L6),N(L6)&gt;0),N(L6),0)</f>
        <v>0.0</v>
      </c>
      <c r="W6" s="67">
        <f>IF(AND(I6="Terminée",S6&gt;0,C6&lt;&gt;"",ISNUMBER(MATCH(C6,eq_code,0))),1,0)</f>
        <v>0.0</v>
      </c>
      <c r="X6" s="67">
        <f>IF(AND(W6=1,E6="Préventif"),1,0)</f>
        <v>0.0</v>
      </c>
      <c r="Y6" s="67">
        <f>IF(AND(ISNUMBER(N6),N(N6)&gt;0),N(N6),0)</f>
        <v>0.0</v>
      </c>
      <c r="Z6" s="67">
        <f>IF(AND(ISNUMBER(P6),N(P6)&gt;0),N(P6),0)</f>
        <v>0.0</v>
      </c>
    </row>
    <row r="7">
      <c r="A7" s="79" t="str">
        <f>IF(COUNTA(B7:C7,E7:G7,I7)=0,"","BI-"&amp;RIGHT("0000"&amp;(ROW()-5),4))</f>
        <v/>
      </c>
      <c r="B7" s="72" t="n"/>
      <c r="C7" s="66" t="n"/>
      <c r="D7" s="67" t="str">
        <f>IF(C7="","",IFERROR(INDEX(eq_des,MATCH(C7,eq_code,0))&amp;"","Équipement inconnu"))</f>
        <v/>
      </c>
      <c r="E7" s="68" t="n"/>
      <c r="F7" s="68" t="n"/>
      <c r="G7" s="66" t="n"/>
      <c r="H7" s="66" t="n"/>
      <c r="I7" s="68" t="n"/>
      <c r="J7" s="73" t="n"/>
      <c r="K7" s="71" t="n"/>
      <c r="L7" s="71" t="n"/>
      <c r="M7" s="66" t="n"/>
      <c r="N7" s="80" t="n"/>
      <c r="O7" s="81" t="str">
        <f>IF(A7="","",ROUND(V7*IFERROR(N(INDEX(tech_rate,MATCH(M7,tech_name,0))),0),2))</f>
        <v/>
      </c>
      <c r="P7" s="80" t="n"/>
      <c r="Q7" s="81" t="str">
        <f>IF(A7="","",ROUND(Y7+O7+Z7,2))</f>
        <v/>
      </c>
      <c r="R7" s="79" t="str">
        <f>IF(A7="","",IF(S7=0,"Date manquante ou invalide",IF(C7="","Équipement manquant",IF(ISNA(MATCH(C7,eq_code,0)),"Équipement inconnu",IF(E7="","Type manquant",IF(AND(E7&lt;&gt;"Préventif",E7&lt;&gt;"Correctif",E7&lt;&gt;"Amélioratif"),"Type inconnu",IF(I7="","Statut manquant",IF(AND(I7&lt;&gt;"Terminée",I7&lt;&gt;"En cours",I7&lt;&gt;"À faire",I7&lt;&gt;"Annulée"),"Statut inconnu",IF(AND(E7="Préventif",F7=""),"Plan manquant (préventif)",IF(AND(F7&lt;&gt;"",ISNA(MATCH(F7,pl_num,0))),"Plan inconnu",IF(AND(F7&lt;&gt;"",IFERROR(INDEX(pl_eq,MATCH(F7,pl_num,0))&amp;"",C7)&lt;&gt;C7),"Plan d'un autre équipement",IF(AND(J7&lt;&gt;"",OR(NOT(ISNUMBER(J7)),N(J7)&lt;0)),"Compteur invalide",IF(OR(AND(K7&lt;&gt;"",OR(NOT(ISNUMBER(K7)),N(K7)&lt;0)),AND(L7&lt;&gt;"",OR(NOT(ISNUMBER(L7)),N(L7)&lt;0))),"Durée invalide",IF(OR(AND(N7&lt;&gt;"",OR(NOT(ISNUMBER(N7)),N(N7)&lt;0)),AND(P7&lt;&gt;"",OR(NOT(ISNUMBER(P7)),N(P7)&lt;0))),"Coût invalide",IF(AND(M7&lt;&gt;"",ISNA(MATCH(M7,tech_name,0))),"Technicien inconnu",IF(AND(I7="Terminée",S7&gt;p_today),"Terminée à une date future",IF(AND(I7="Terminée",V7=0),"Durée d'intervention manquante",IF(AND(I7="Terminée",E7="Préventif",T7=0,OR(IFERROR(INDEX(pl_trig,MATCH(F7,pl_num,0))&amp;"","")="Compteur",IFERROR(INDEX(pl_trig,MATCH(F7,pl_num,0))&amp;"","")="Au premier des deux")),"Compteur manquant (plan au compteur)","OK"))))))))))))))))))</f>
        <v/>
      </c>
      <c r="S7" s="67">
        <f>IF(AND(ISNUMBER(B7),N(B7)&gt;0),INT(B7),0)</f>
        <v>0.0</v>
      </c>
      <c r="T7" s="67">
        <f>IF(AND(ISNUMBER(J7),N(J7)&gt;=0),N(J7),0)</f>
        <v>0.0</v>
      </c>
      <c r="U7" s="67">
        <f>IF(AND(ISNUMBER(K7),N(K7)&gt;0),N(K7),0)</f>
        <v>0.0</v>
      </c>
      <c r="V7" s="67">
        <f>IF(AND(ISNUMBER(L7),N(L7)&gt;0),N(L7),0)</f>
        <v>0.0</v>
      </c>
      <c r="W7" s="67">
        <f>IF(AND(I7="Terminée",S7&gt;0,C7&lt;&gt;"",ISNUMBER(MATCH(C7,eq_code,0))),1,0)</f>
        <v>0.0</v>
      </c>
      <c r="X7" s="67">
        <f>IF(AND(W7=1,E7="Préventif"),1,0)</f>
        <v>0.0</v>
      </c>
      <c r="Y7" s="67">
        <f>IF(AND(ISNUMBER(N7),N(N7)&gt;0),N(N7),0)</f>
        <v>0.0</v>
      </c>
      <c r="Z7" s="67">
        <f>IF(AND(ISNUMBER(P7),N(P7)&gt;0),N(P7),0)</f>
        <v>0.0</v>
      </c>
    </row>
    <row r="8">
      <c r="A8" s="79" t="str">
        <f>IF(COUNTA(B8:C8,E8:G8,I8)=0,"","BI-"&amp;RIGHT("0000"&amp;(ROW()-5),4))</f>
        <v/>
      </c>
      <c r="B8" s="72" t="n"/>
      <c r="C8" s="66" t="n"/>
      <c r="D8" s="67" t="str">
        <f>IF(C8="","",IFERROR(INDEX(eq_des,MATCH(C8,eq_code,0))&amp;"","Équipement inconnu"))</f>
        <v/>
      </c>
      <c r="E8" s="68" t="n"/>
      <c r="F8" s="68" t="n"/>
      <c r="G8" s="66" t="n"/>
      <c r="H8" s="66" t="n"/>
      <c r="I8" s="68" t="n"/>
      <c r="J8" s="73" t="n"/>
      <c r="K8" s="71" t="n"/>
      <c r="L8" s="71" t="n"/>
      <c r="M8" s="66" t="n"/>
      <c r="N8" s="80" t="n"/>
      <c r="O8" s="81" t="str">
        <f>IF(A8="","",ROUND(V8*IFERROR(N(INDEX(tech_rate,MATCH(M8,tech_name,0))),0),2))</f>
        <v/>
      </c>
      <c r="P8" s="80" t="n"/>
      <c r="Q8" s="81" t="str">
        <f>IF(A8="","",ROUND(Y8+O8+Z8,2))</f>
        <v/>
      </c>
      <c r="R8" s="79" t="str">
        <f>IF(A8="","",IF(S8=0,"Date manquante ou invalide",IF(C8="","Équipement manquant",IF(ISNA(MATCH(C8,eq_code,0)),"Équipement inconnu",IF(E8="","Type manquant",IF(AND(E8&lt;&gt;"Préventif",E8&lt;&gt;"Correctif",E8&lt;&gt;"Amélioratif"),"Type inconnu",IF(I8="","Statut manquant",IF(AND(I8&lt;&gt;"Terminée",I8&lt;&gt;"En cours",I8&lt;&gt;"À faire",I8&lt;&gt;"Annulée"),"Statut inconnu",IF(AND(E8="Préventif",F8=""),"Plan manquant (préventif)",IF(AND(F8&lt;&gt;"",ISNA(MATCH(F8,pl_num,0))),"Plan inconnu",IF(AND(F8&lt;&gt;"",IFERROR(INDEX(pl_eq,MATCH(F8,pl_num,0))&amp;"",C8)&lt;&gt;C8),"Plan d'un autre équipement",IF(AND(J8&lt;&gt;"",OR(NOT(ISNUMBER(J8)),N(J8)&lt;0)),"Compteur invalide",IF(OR(AND(K8&lt;&gt;"",OR(NOT(ISNUMBER(K8)),N(K8)&lt;0)),AND(L8&lt;&gt;"",OR(NOT(ISNUMBER(L8)),N(L8)&lt;0))),"Durée invalide",IF(OR(AND(N8&lt;&gt;"",OR(NOT(ISNUMBER(N8)),N(N8)&lt;0)),AND(P8&lt;&gt;"",OR(NOT(ISNUMBER(P8)),N(P8)&lt;0))),"Coût invalide",IF(AND(M8&lt;&gt;"",ISNA(MATCH(M8,tech_name,0))),"Technicien inconnu",IF(AND(I8="Terminée",S8&gt;p_today),"Terminée à une date future",IF(AND(I8="Terminée",V8=0),"Durée d'intervention manquante",IF(AND(I8="Terminée",E8="Préventif",T8=0,OR(IFERROR(INDEX(pl_trig,MATCH(F8,pl_num,0))&amp;"","")="Compteur",IFERROR(INDEX(pl_trig,MATCH(F8,pl_num,0))&amp;"","")="Au premier des deux")),"Compteur manquant (plan au compteur)","OK"))))))))))))))))))</f>
        <v/>
      </c>
      <c r="S8" s="67">
        <f>IF(AND(ISNUMBER(B8),N(B8)&gt;0),INT(B8),0)</f>
        <v>0.0</v>
      </c>
      <c r="T8" s="67">
        <f>IF(AND(ISNUMBER(J8),N(J8)&gt;=0),N(J8),0)</f>
        <v>0.0</v>
      </c>
      <c r="U8" s="67">
        <f>IF(AND(ISNUMBER(K8),N(K8)&gt;0),N(K8),0)</f>
        <v>0.0</v>
      </c>
      <c r="V8" s="67">
        <f>IF(AND(ISNUMBER(L8),N(L8)&gt;0),N(L8),0)</f>
        <v>0.0</v>
      </c>
      <c r="W8" s="67">
        <f>IF(AND(I8="Terminée",S8&gt;0,C8&lt;&gt;"",ISNUMBER(MATCH(C8,eq_code,0))),1,0)</f>
        <v>0.0</v>
      </c>
      <c r="X8" s="67">
        <f>IF(AND(W8=1,E8="Préventif"),1,0)</f>
        <v>0.0</v>
      </c>
      <c r="Y8" s="67">
        <f>IF(AND(ISNUMBER(N8),N(N8)&gt;0),N(N8),0)</f>
        <v>0.0</v>
      </c>
      <c r="Z8" s="67">
        <f>IF(AND(ISNUMBER(P8),N(P8)&gt;0),N(P8),0)</f>
        <v>0.0</v>
      </c>
    </row>
    <row r="9">
      <c r="A9" s="79" t="str">
        <f>IF(COUNTA(B9:C9,E9:G9,I9)=0,"","BI-"&amp;RIGHT("0000"&amp;(ROW()-5),4))</f>
        <v/>
      </c>
      <c r="B9" s="72" t="n"/>
      <c r="C9" s="66" t="n"/>
      <c r="D9" s="67" t="str">
        <f>IF(C9="","",IFERROR(INDEX(eq_des,MATCH(C9,eq_code,0))&amp;"","Équipement inconnu"))</f>
        <v/>
      </c>
      <c r="E9" s="68" t="n"/>
      <c r="F9" s="68" t="n"/>
      <c r="G9" s="66" t="n"/>
      <c r="H9" s="66" t="n"/>
      <c r="I9" s="68" t="n"/>
      <c r="J9" s="73" t="n"/>
      <c r="K9" s="71" t="n"/>
      <c r="L9" s="71" t="n"/>
      <c r="M9" s="66" t="n"/>
      <c r="N9" s="80" t="n"/>
      <c r="O9" s="81" t="str">
        <f>IF(A9="","",ROUND(V9*IFERROR(N(INDEX(tech_rate,MATCH(M9,tech_name,0))),0),2))</f>
        <v/>
      </c>
      <c r="P9" s="80" t="n"/>
      <c r="Q9" s="81" t="str">
        <f>IF(A9="","",ROUND(Y9+O9+Z9,2))</f>
        <v/>
      </c>
      <c r="R9" s="79" t="str">
        <f>IF(A9="","",IF(S9=0,"Date manquante ou invalide",IF(C9="","Équipement manquant",IF(ISNA(MATCH(C9,eq_code,0)),"Équipement inconnu",IF(E9="","Type manquant",IF(AND(E9&lt;&gt;"Préventif",E9&lt;&gt;"Correctif",E9&lt;&gt;"Amélioratif"),"Type inconnu",IF(I9="","Statut manquant",IF(AND(I9&lt;&gt;"Terminée",I9&lt;&gt;"En cours",I9&lt;&gt;"À faire",I9&lt;&gt;"Annulée"),"Statut inconnu",IF(AND(E9="Préventif",F9=""),"Plan manquant (préventif)",IF(AND(F9&lt;&gt;"",ISNA(MATCH(F9,pl_num,0))),"Plan inconnu",IF(AND(F9&lt;&gt;"",IFERROR(INDEX(pl_eq,MATCH(F9,pl_num,0))&amp;"",C9)&lt;&gt;C9),"Plan d'un autre équipement",IF(AND(J9&lt;&gt;"",OR(NOT(ISNUMBER(J9)),N(J9)&lt;0)),"Compteur invalide",IF(OR(AND(K9&lt;&gt;"",OR(NOT(ISNUMBER(K9)),N(K9)&lt;0)),AND(L9&lt;&gt;"",OR(NOT(ISNUMBER(L9)),N(L9)&lt;0))),"Durée invalide",IF(OR(AND(N9&lt;&gt;"",OR(NOT(ISNUMBER(N9)),N(N9)&lt;0)),AND(P9&lt;&gt;"",OR(NOT(ISNUMBER(P9)),N(P9)&lt;0))),"Coût invalide",IF(AND(M9&lt;&gt;"",ISNA(MATCH(M9,tech_name,0))),"Technicien inconnu",IF(AND(I9="Terminée",S9&gt;p_today),"Terminée à une date future",IF(AND(I9="Terminée",V9=0),"Durée d'intervention manquante",IF(AND(I9="Terminée",E9="Préventif",T9=0,OR(IFERROR(INDEX(pl_trig,MATCH(F9,pl_num,0))&amp;"","")="Compteur",IFERROR(INDEX(pl_trig,MATCH(F9,pl_num,0))&amp;"","")="Au premier des deux")),"Compteur manquant (plan au compteur)","OK"))))))))))))))))))</f>
        <v/>
      </c>
      <c r="S9" s="67">
        <f>IF(AND(ISNUMBER(B9),N(B9)&gt;0),INT(B9),0)</f>
        <v>0.0</v>
      </c>
      <c r="T9" s="67">
        <f>IF(AND(ISNUMBER(J9),N(J9)&gt;=0),N(J9),0)</f>
        <v>0.0</v>
      </c>
      <c r="U9" s="67">
        <f>IF(AND(ISNUMBER(K9),N(K9)&gt;0),N(K9),0)</f>
        <v>0.0</v>
      </c>
      <c r="V9" s="67">
        <f>IF(AND(ISNUMBER(L9),N(L9)&gt;0),N(L9),0)</f>
        <v>0.0</v>
      </c>
      <c r="W9" s="67">
        <f>IF(AND(I9="Terminée",S9&gt;0,C9&lt;&gt;"",ISNUMBER(MATCH(C9,eq_code,0))),1,0)</f>
        <v>0.0</v>
      </c>
      <c r="X9" s="67">
        <f>IF(AND(W9=1,E9="Préventif"),1,0)</f>
        <v>0.0</v>
      </c>
      <c r="Y9" s="67">
        <f>IF(AND(ISNUMBER(N9),N(N9)&gt;0),N(N9),0)</f>
        <v>0.0</v>
      </c>
      <c r="Z9" s="67">
        <f>IF(AND(ISNUMBER(P9),N(P9)&gt;0),N(P9),0)</f>
        <v>0.0</v>
      </c>
    </row>
    <row r="10">
      <c r="A10" s="79" t="str">
        <f>IF(COUNTA(B10:C10,E10:G10,I10)=0,"","BI-"&amp;RIGHT("0000"&amp;(ROW()-5),4))</f>
        <v/>
      </c>
      <c r="B10" s="72" t="n"/>
      <c r="C10" s="66" t="n"/>
      <c r="D10" s="67" t="str">
        <f>IF(C10="","",IFERROR(INDEX(eq_des,MATCH(C10,eq_code,0))&amp;"","Équipement inconnu"))</f>
        <v/>
      </c>
      <c r="E10" s="68" t="n"/>
      <c r="F10" s="68" t="n"/>
      <c r="G10" s="66" t="n"/>
      <c r="H10" s="66" t="n"/>
      <c r="I10" s="68" t="n"/>
      <c r="J10" s="73" t="n"/>
      <c r="K10" s="71" t="n"/>
      <c r="L10" s="71" t="n"/>
      <c r="M10" s="66" t="n"/>
      <c r="N10" s="80" t="n"/>
      <c r="O10" s="81" t="str">
        <f>IF(A10="","",ROUND(V10*IFERROR(N(INDEX(tech_rate,MATCH(M10,tech_name,0))),0),2))</f>
        <v/>
      </c>
      <c r="P10" s="80" t="n"/>
      <c r="Q10" s="81" t="str">
        <f>IF(A10="","",ROUND(Y10+O10+Z10,2))</f>
        <v/>
      </c>
      <c r="R10" s="79" t="str">
        <f>IF(A10="","",IF(S10=0,"Date manquante ou invalide",IF(C10="","Équipement manquant",IF(ISNA(MATCH(C10,eq_code,0)),"Équipement inconnu",IF(E10="","Type manquant",IF(AND(E10&lt;&gt;"Préventif",E10&lt;&gt;"Correctif",E10&lt;&gt;"Amélioratif"),"Type inconnu",IF(I10="","Statut manquant",IF(AND(I10&lt;&gt;"Terminée",I10&lt;&gt;"En cours",I10&lt;&gt;"À faire",I10&lt;&gt;"Annulée"),"Statut inconnu",IF(AND(E10="Préventif",F10=""),"Plan manquant (préventif)",IF(AND(F10&lt;&gt;"",ISNA(MATCH(F10,pl_num,0))),"Plan inconnu",IF(AND(F10&lt;&gt;"",IFERROR(INDEX(pl_eq,MATCH(F10,pl_num,0))&amp;"",C10)&lt;&gt;C10),"Plan d'un autre équipement",IF(AND(J10&lt;&gt;"",OR(NOT(ISNUMBER(J10)),N(J10)&lt;0)),"Compteur invalide",IF(OR(AND(K10&lt;&gt;"",OR(NOT(ISNUMBER(K10)),N(K10)&lt;0)),AND(L10&lt;&gt;"",OR(NOT(ISNUMBER(L10)),N(L10)&lt;0))),"Durée invalide",IF(OR(AND(N10&lt;&gt;"",OR(NOT(ISNUMBER(N10)),N(N10)&lt;0)),AND(P10&lt;&gt;"",OR(NOT(ISNUMBER(P10)),N(P10)&lt;0))),"Coût invalide",IF(AND(M10&lt;&gt;"",ISNA(MATCH(M10,tech_name,0))),"Technicien inconnu",IF(AND(I10="Terminée",S10&gt;p_today),"Terminée à une date future",IF(AND(I10="Terminée",V10=0),"Durée d'intervention manquante",IF(AND(I10="Terminée",E10="Préventif",T10=0,OR(IFERROR(INDEX(pl_trig,MATCH(F10,pl_num,0))&amp;"","")="Compteur",IFERROR(INDEX(pl_trig,MATCH(F10,pl_num,0))&amp;"","")="Au premier des deux")),"Compteur manquant (plan au compteur)","OK"))))))))))))))))))</f>
        <v/>
      </c>
      <c r="S10" s="67">
        <f>IF(AND(ISNUMBER(B10),N(B10)&gt;0),INT(B10),0)</f>
        <v>0.0</v>
      </c>
      <c r="T10" s="67">
        <f>IF(AND(ISNUMBER(J10),N(J10)&gt;=0),N(J10),0)</f>
        <v>0.0</v>
      </c>
      <c r="U10" s="67">
        <f>IF(AND(ISNUMBER(K10),N(K10)&gt;0),N(K10),0)</f>
        <v>0.0</v>
      </c>
      <c r="V10" s="67">
        <f>IF(AND(ISNUMBER(L10),N(L10)&gt;0),N(L10),0)</f>
        <v>0.0</v>
      </c>
      <c r="W10" s="67">
        <f>IF(AND(I10="Terminée",S10&gt;0,C10&lt;&gt;"",ISNUMBER(MATCH(C10,eq_code,0))),1,0)</f>
        <v>0.0</v>
      </c>
      <c r="X10" s="67">
        <f>IF(AND(W10=1,E10="Préventif"),1,0)</f>
        <v>0.0</v>
      </c>
      <c r="Y10" s="67">
        <f>IF(AND(ISNUMBER(N10),N(N10)&gt;0),N(N10),0)</f>
        <v>0.0</v>
      </c>
      <c r="Z10" s="67">
        <f>IF(AND(ISNUMBER(P10),N(P10)&gt;0),N(P10),0)</f>
        <v>0.0</v>
      </c>
    </row>
    <row r="11">
      <c r="A11" s="79" t="str">
        <f>IF(COUNTA(B11:C11,E11:G11,I11)=0,"","BI-"&amp;RIGHT("0000"&amp;(ROW()-5),4))</f>
        <v/>
      </c>
      <c r="B11" s="72" t="n"/>
      <c r="C11" s="66" t="n"/>
      <c r="D11" s="67" t="str">
        <f>IF(C11="","",IFERROR(INDEX(eq_des,MATCH(C11,eq_code,0))&amp;"","Équipement inconnu"))</f>
        <v/>
      </c>
      <c r="E11" s="68" t="n"/>
      <c r="F11" s="68" t="n"/>
      <c r="G11" s="66" t="n"/>
      <c r="H11" s="66" t="n"/>
      <c r="I11" s="68" t="n"/>
      <c r="J11" s="73" t="n"/>
      <c r="K11" s="71" t="n"/>
      <c r="L11" s="71" t="n"/>
      <c r="M11" s="66" t="n"/>
      <c r="N11" s="80" t="n"/>
      <c r="O11" s="81" t="str">
        <f>IF(A11="","",ROUND(V11*IFERROR(N(INDEX(tech_rate,MATCH(M11,tech_name,0))),0),2))</f>
        <v/>
      </c>
      <c r="P11" s="80" t="n"/>
      <c r="Q11" s="81" t="str">
        <f>IF(A11="","",ROUND(Y11+O11+Z11,2))</f>
        <v/>
      </c>
      <c r="R11" s="79" t="str">
        <f>IF(A11="","",IF(S11=0,"Date manquante ou invalide",IF(C11="","Équipement manquant",IF(ISNA(MATCH(C11,eq_code,0)),"Équipement inconnu",IF(E11="","Type manquant",IF(AND(E11&lt;&gt;"Préventif",E11&lt;&gt;"Correctif",E11&lt;&gt;"Amélioratif"),"Type inconnu",IF(I11="","Statut manquant",IF(AND(I11&lt;&gt;"Terminée",I11&lt;&gt;"En cours",I11&lt;&gt;"À faire",I11&lt;&gt;"Annulée"),"Statut inconnu",IF(AND(E11="Préventif",F11=""),"Plan manquant (préventif)",IF(AND(F11&lt;&gt;"",ISNA(MATCH(F11,pl_num,0))),"Plan inconnu",IF(AND(F11&lt;&gt;"",IFERROR(INDEX(pl_eq,MATCH(F11,pl_num,0))&amp;"",C11)&lt;&gt;C11),"Plan d'un autre équipement",IF(AND(J11&lt;&gt;"",OR(NOT(ISNUMBER(J11)),N(J11)&lt;0)),"Compteur invalide",IF(OR(AND(K11&lt;&gt;"",OR(NOT(ISNUMBER(K11)),N(K11)&lt;0)),AND(L11&lt;&gt;"",OR(NOT(ISNUMBER(L11)),N(L11)&lt;0))),"Durée invalide",IF(OR(AND(N11&lt;&gt;"",OR(NOT(ISNUMBER(N11)),N(N11)&lt;0)),AND(P11&lt;&gt;"",OR(NOT(ISNUMBER(P11)),N(P11)&lt;0))),"Coût invalide",IF(AND(M11&lt;&gt;"",ISNA(MATCH(M11,tech_name,0))),"Technicien inconnu",IF(AND(I11="Terminée",S11&gt;p_today),"Terminée à une date future",IF(AND(I11="Terminée",V11=0),"Durée d'intervention manquante",IF(AND(I11="Terminée",E11="Préventif",T11=0,OR(IFERROR(INDEX(pl_trig,MATCH(F11,pl_num,0))&amp;"","")="Compteur",IFERROR(INDEX(pl_trig,MATCH(F11,pl_num,0))&amp;"","")="Au premier des deux")),"Compteur manquant (plan au compteur)","OK"))))))))))))))))))</f>
        <v/>
      </c>
      <c r="S11" s="67">
        <f>IF(AND(ISNUMBER(B11),N(B11)&gt;0),INT(B11),0)</f>
        <v>0.0</v>
      </c>
      <c r="T11" s="67">
        <f>IF(AND(ISNUMBER(J11),N(J11)&gt;=0),N(J11),0)</f>
        <v>0.0</v>
      </c>
      <c r="U11" s="67">
        <f>IF(AND(ISNUMBER(K11),N(K11)&gt;0),N(K11),0)</f>
        <v>0.0</v>
      </c>
      <c r="V11" s="67">
        <f>IF(AND(ISNUMBER(L11),N(L11)&gt;0),N(L11),0)</f>
        <v>0.0</v>
      </c>
      <c r="W11" s="67">
        <f>IF(AND(I11="Terminée",S11&gt;0,C11&lt;&gt;"",ISNUMBER(MATCH(C11,eq_code,0))),1,0)</f>
        <v>0.0</v>
      </c>
      <c r="X11" s="67">
        <f>IF(AND(W11=1,E11="Préventif"),1,0)</f>
        <v>0.0</v>
      </c>
      <c r="Y11" s="67">
        <f>IF(AND(ISNUMBER(N11),N(N11)&gt;0),N(N11),0)</f>
        <v>0.0</v>
      </c>
      <c r="Z11" s="67">
        <f>IF(AND(ISNUMBER(P11),N(P11)&gt;0),N(P11),0)</f>
        <v>0.0</v>
      </c>
    </row>
    <row r="12">
      <c r="A12" s="79" t="str">
        <f>IF(COUNTA(B12:C12,E12:G12,I12)=0,"","BI-"&amp;RIGHT("0000"&amp;(ROW()-5),4))</f>
        <v/>
      </c>
      <c r="B12" s="72" t="n"/>
      <c r="C12" s="66" t="n"/>
      <c r="D12" s="67" t="str">
        <f>IF(C12="","",IFERROR(INDEX(eq_des,MATCH(C12,eq_code,0))&amp;"","Équipement inconnu"))</f>
        <v/>
      </c>
      <c r="E12" s="68" t="n"/>
      <c r="F12" s="68" t="n"/>
      <c r="G12" s="66" t="n"/>
      <c r="H12" s="66" t="n"/>
      <c r="I12" s="68" t="n"/>
      <c r="J12" s="73" t="n"/>
      <c r="K12" s="71" t="n"/>
      <c r="L12" s="71" t="n"/>
      <c r="M12" s="66" t="n"/>
      <c r="N12" s="80" t="n"/>
      <c r="O12" s="81" t="str">
        <f>IF(A12="","",ROUND(V12*IFERROR(N(INDEX(tech_rate,MATCH(M12,tech_name,0))),0),2))</f>
        <v/>
      </c>
      <c r="P12" s="80" t="n"/>
      <c r="Q12" s="81" t="str">
        <f>IF(A12="","",ROUND(Y12+O12+Z12,2))</f>
        <v/>
      </c>
      <c r="R12" s="79" t="str">
        <f>IF(A12="","",IF(S12=0,"Date manquante ou invalide",IF(C12="","Équipement manquant",IF(ISNA(MATCH(C12,eq_code,0)),"Équipement inconnu",IF(E12="","Type manquant",IF(AND(E12&lt;&gt;"Préventif",E12&lt;&gt;"Correctif",E12&lt;&gt;"Amélioratif"),"Type inconnu",IF(I12="","Statut manquant",IF(AND(I12&lt;&gt;"Terminée",I12&lt;&gt;"En cours",I12&lt;&gt;"À faire",I12&lt;&gt;"Annulée"),"Statut inconnu",IF(AND(E12="Préventif",F12=""),"Plan manquant (préventif)",IF(AND(F12&lt;&gt;"",ISNA(MATCH(F12,pl_num,0))),"Plan inconnu",IF(AND(F12&lt;&gt;"",IFERROR(INDEX(pl_eq,MATCH(F12,pl_num,0))&amp;"",C12)&lt;&gt;C12),"Plan d'un autre équipement",IF(AND(J12&lt;&gt;"",OR(NOT(ISNUMBER(J12)),N(J12)&lt;0)),"Compteur invalide",IF(OR(AND(K12&lt;&gt;"",OR(NOT(ISNUMBER(K12)),N(K12)&lt;0)),AND(L12&lt;&gt;"",OR(NOT(ISNUMBER(L12)),N(L12)&lt;0))),"Durée invalide",IF(OR(AND(N12&lt;&gt;"",OR(NOT(ISNUMBER(N12)),N(N12)&lt;0)),AND(P12&lt;&gt;"",OR(NOT(ISNUMBER(P12)),N(P12)&lt;0))),"Coût invalide",IF(AND(M12&lt;&gt;"",ISNA(MATCH(M12,tech_name,0))),"Technicien inconnu",IF(AND(I12="Terminée",S12&gt;p_today),"Terminée à une date future",IF(AND(I12="Terminée",V12=0),"Durée d'intervention manquante",IF(AND(I12="Terminée",E12="Préventif",T12=0,OR(IFERROR(INDEX(pl_trig,MATCH(F12,pl_num,0))&amp;"","")="Compteur",IFERROR(INDEX(pl_trig,MATCH(F12,pl_num,0))&amp;"","")="Au premier des deux")),"Compteur manquant (plan au compteur)","OK"))))))))))))))))))</f>
        <v/>
      </c>
      <c r="S12" s="67">
        <f>IF(AND(ISNUMBER(B12),N(B12)&gt;0),INT(B12),0)</f>
        <v>0.0</v>
      </c>
      <c r="T12" s="67">
        <f>IF(AND(ISNUMBER(J12),N(J12)&gt;=0),N(J12),0)</f>
        <v>0.0</v>
      </c>
      <c r="U12" s="67">
        <f>IF(AND(ISNUMBER(K12),N(K12)&gt;0),N(K12),0)</f>
        <v>0.0</v>
      </c>
      <c r="V12" s="67">
        <f>IF(AND(ISNUMBER(L12),N(L12)&gt;0),N(L12),0)</f>
        <v>0.0</v>
      </c>
      <c r="W12" s="67">
        <f>IF(AND(I12="Terminée",S12&gt;0,C12&lt;&gt;"",ISNUMBER(MATCH(C12,eq_code,0))),1,0)</f>
        <v>0.0</v>
      </c>
      <c r="X12" s="67">
        <f>IF(AND(W12=1,E12="Préventif"),1,0)</f>
        <v>0.0</v>
      </c>
      <c r="Y12" s="67">
        <f>IF(AND(ISNUMBER(N12),N(N12)&gt;0),N(N12),0)</f>
        <v>0.0</v>
      </c>
      <c r="Z12" s="67">
        <f>IF(AND(ISNUMBER(P12),N(P12)&gt;0),N(P12),0)</f>
        <v>0.0</v>
      </c>
    </row>
    <row r="13">
      <c r="A13" s="79" t="str">
        <f>IF(COUNTA(B13:C13,E13:G13,I13)=0,"","BI-"&amp;RIGHT("0000"&amp;(ROW()-5),4))</f>
        <v/>
      </c>
      <c r="B13" s="72" t="n"/>
      <c r="C13" s="66" t="n"/>
      <c r="D13" s="67" t="str">
        <f>IF(C13="","",IFERROR(INDEX(eq_des,MATCH(C13,eq_code,0))&amp;"","Équipement inconnu"))</f>
        <v/>
      </c>
      <c r="E13" s="68" t="n"/>
      <c r="F13" s="68" t="n"/>
      <c r="G13" s="66" t="n"/>
      <c r="H13" s="66" t="n"/>
      <c r="I13" s="68" t="n"/>
      <c r="J13" s="73" t="n"/>
      <c r="K13" s="71" t="n"/>
      <c r="L13" s="71" t="n"/>
      <c r="M13" s="66" t="n"/>
      <c r="N13" s="80" t="n"/>
      <c r="O13" s="81" t="str">
        <f>IF(A13="","",ROUND(V13*IFERROR(N(INDEX(tech_rate,MATCH(M13,tech_name,0))),0),2))</f>
        <v/>
      </c>
      <c r="P13" s="80" t="n"/>
      <c r="Q13" s="81" t="str">
        <f>IF(A13="","",ROUND(Y13+O13+Z13,2))</f>
        <v/>
      </c>
      <c r="R13" s="79" t="str">
        <f>IF(A13="","",IF(S13=0,"Date manquante ou invalide",IF(C13="","Équipement manquant",IF(ISNA(MATCH(C13,eq_code,0)),"Équipement inconnu",IF(E13="","Type manquant",IF(AND(E13&lt;&gt;"Préventif",E13&lt;&gt;"Correctif",E13&lt;&gt;"Amélioratif"),"Type inconnu",IF(I13="","Statut manquant",IF(AND(I13&lt;&gt;"Terminée",I13&lt;&gt;"En cours",I13&lt;&gt;"À faire",I13&lt;&gt;"Annulée"),"Statut inconnu",IF(AND(E13="Préventif",F13=""),"Plan manquant (préventif)",IF(AND(F13&lt;&gt;"",ISNA(MATCH(F13,pl_num,0))),"Plan inconnu",IF(AND(F13&lt;&gt;"",IFERROR(INDEX(pl_eq,MATCH(F13,pl_num,0))&amp;"",C13)&lt;&gt;C13),"Plan d'un autre équipement",IF(AND(J13&lt;&gt;"",OR(NOT(ISNUMBER(J13)),N(J13)&lt;0)),"Compteur invalide",IF(OR(AND(K13&lt;&gt;"",OR(NOT(ISNUMBER(K13)),N(K13)&lt;0)),AND(L13&lt;&gt;"",OR(NOT(ISNUMBER(L13)),N(L13)&lt;0))),"Durée invalide",IF(OR(AND(N13&lt;&gt;"",OR(NOT(ISNUMBER(N13)),N(N13)&lt;0)),AND(P13&lt;&gt;"",OR(NOT(ISNUMBER(P13)),N(P13)&lt;0))),"Coût invalide",IF(AND(M13&lt;&gt;"",ISNA(MATCH(M13,tech_name,0))),"Technicien inconnu",IF(AND(I13="Terminée",S13&gt;p_today),"Terminée à une date future",IF(AND(I13="Terminée",V13=0),"Durée d'intervention manquante",IF(AND(I13="Terminée",E13="Préventif",T13=0,OR(IFERROR(INDEX(pl_trig,MATCH(F13,pl_num,0))&amp;"","")="Compteur",IFERROR(INDEX(pl_trig,MATCH(F13,pl_num,0))&amp;"","")="Au premier des deux")),"Compteur manquant (plan au compteur)","OK"))))))))))))))))))</f>
        <v/>
      </c>
      <c r="S13" s="67">
        <f>IF(AND(ISNUMBER(B13),N(B13)&gt;0),INT(B13),0)</f>
        <v>0.0</v>
      </c>
      <c r="T13" s="67">
        <f>IF(AND(ISNUMBER(J13),N(J13)&gt;=0),N(J13),0)</f>
        <v>0.0</v>
      </c>
      <c r="U13" s="67">
        <f>IF(AND(ISNUMBER(K13),N(K13)&gt;0),N(K13),0)</f>
        <v>0.0</v>
      </c>
      <c r="V13" s="67">
        <f>IF(AND(ISNUMBER(L13),N(L13)&gt;0),N(L13),0)</f>
        <v>0.0</v>
      </c>
      <c r="W13" s="67">
        <f>IF(AND(I13="Terminée",S13&gt;0,C13&lt;&gt;"",ISNUMBER(MATCH(C13,eq_code,0))),1,0)</f>
        <v>0.0</v>
      </c>
      <c r="X13" s="67">
        <f>IF(AND(W13=1,E13="Préventif"),1,0)</f>
        <v>0.0</v>
      </c>
      <c r="Y13" s="67">
        <f>IF(AND(ISNUMBER(N13),N(N13)&gt;0),N(N13),0)</f>
        <v>0.0</v>
      </c>
      <c r="Z13" s="67">
        <f>IF(AND(ISNUMBER(P13),N(P13)&gt;0),N(P13),0)</f>
        <v>0.0</v>
      </c>
    </row>
    <row r="14">
      <c r="A14" s="79" t="str">
        <f>IF(COUNTA(B14:C14,E14:G14,I14)=0,"","BI-"&amp;RIGHT("0000"&amp;(ROW()-5),4))</f>
        <v/>
      </c>
      <c r="B14" s="72" t="n"/>
      <c r="C14" s="66" t="n"/>
      <c r="D14" s="67" t="str">
        <f>IF(C14="","",IFERROR(INDEX(eq_des,MATCH(C14,eq_code,0))&amp;"","Équipement inconnu"))</f>
        <v/>
      </c>
      <c r="E14" s="68" t="n"/>
      <c r="F14" s="68" t="n"/>
      <c r="G14" s="66" t="n"/>
      <c r="H14" s="66" t="n"/>
      <c r="I14" s="68" t="n"/>
      <c r="J14" s="73" t="n"/>
      <c r="K14" s="71" t="n"/>
      <c r="L14" s="71" t="n"/>
      <c r="M14" s="66" t="n"/>
      <c r="N14" s="80" t="n"/>
      <c r="O14" s="81" t="str">
        <f>IF(A14="","",ROUND(V14*IFERROR(N(INDEX(tech_rate,MATCH(M14,tech_name,0))),0),2))</f>
        <v/>
      </c>
      <c r="P14" s="80" t="n"/>
      <c r="Q14" s="81" t="str">
        <f>IF(A14="","",ROUND(Y14+O14+Z14,2))</f>
        <v/>
      </c>
      <c r="R14" s="79" t="str">
        <f>IF(A14="","",IF(S14=0,"Date manquante ou invalide",IF(C14="","Équipement manquant",IF(ISNA(MATCH(C14,eq_code,0)),"Équipement inconnu",IF(E14="","Type manquant",IF(AND(E14&lt;&gt;"Préventif",E14&lt;&gt;"Correctif",E14&lt;&gt;"Amélioratif"),"Type inconnu",IF(I14="","Statut manquant",IF(AND(I14&lt;&gt;"Terminée",I14&lt;&gt;"En cours",I14&lt;&gt;"À faire",I14&lt;&gt;"Annulée"),"Statut inconnu",IF(AND(E14="Préventif",F14=""),"Plan manquant (préventif)",IF(AND(F14&lt;&gt;"",ISNA(MATCH(F14,pl_num,0))),"Plan inconnu",IF(AND(F14&lt;&gt;"",IFERROR(INDEX(pl_eq,MATCH(F14,pl_num,0))&amp;"",C14)&lt;&gt;C14),"Plan d'un autre équipement",IF(AND(J14&lt;&gt;"",OR(NOT(ISNUMBER(J14)),N(J14)&lt;0)),"Compteur invalide",IF(OR(AND(K14&lt;&gt;"",OR(NOT(ISNUMBER(K14)),N(K14)&lt;0)),AND(L14&lt;&gt;"",OR(NOT(ISNUMBER(L14)),N(L14)&lt;0))),"Durée invalide",IF(OR(AND(N14&lt;&gt;"",OR(NOT(ISNUMBER(N14)),N(N14)&lt;0)),AND(P14&lt;&gt;"",OR(NOT(ISNUMBER(P14)),N(P14)&lt;0))),"Coût invalide",IF(AND(M14&lt;&gt;"",ISNA(MATCH(M14,tech_name,0))),"Technicien inconnu",IF(AND(I14="Terminée",S14&gt;p_today),"Terminée à une date future",IF(AND(I14="Terminée",V14=0),"Durée d'intervention manquante",IF(AND(I14="Terminée",E14="Préventif",T14=0,OR(IFERROR(INDEX(pl_trig,MATCH(F14,pl_num,0))&amp;"","")="Compteur",IFERROR(INDEX(pl_trig,MATCH(F14,pl_num,0))&amp;"","")="Au premier des deux")),"Compteur manquant (plan au compteur)","OK"))))))))))))))))))</f>
        <v/>
      </c>
      <c r="S14" s="67">
        <f>IF(AND(ISNUMBER(B14),N(B14)&gt;0),INT(B14),0)</f>
        <v>0.0</v>
      </c>
      <c r="T14" s="67">
        <f>IF(AND(ISNUMBER(J14),N(J14)&gt;=0),N(J14),0)</f>
        <v>0.0</v>
      </c>
      <c r="U14" s="67">
        <f>IF(AND(ISNUMBER(K14),N(K14)&gt;0),N(K14),0)</f>
        <v>0.0</v>
      </c>
      <c r="V14" s="67">
        <f>IF(AND(ISNUMBER(L14),N(L14)&gt;0),N(L14),0)</f>
        <v>0.0</v>
      </c>
      <c r="W14" s="67">
        <f>IF(AND(I14="Terminée",S14&gt;0,C14&lt;&gt;"",ISNUMBER(MATCH(C14,eq_code,0))),1,0)</f>
        <v>0.0</v>
      </c>
      <c r="X14" s="67">
        <f>IF(AND(W14=1,E14="Préventif"),1,0)</f>
        <v>0.0</v>
      </c>
      <c r="Y14" s="67">
        <f>IF(AND(ISNUMBER(N14),N(N14)&gt;0),N(N14),0)</f>
        <v>0.0</v>
      </c>
      <c r="Z14" s="67">
        <f>IF(AND(ISNUMBER(P14),N(P14)&gt;0),N(P14),0)</f>
        <v>0.0</v>
      </c>
    </row>
    <row r="15">
      <c r="A15" s="79" t="str">
        <f>IF(COUNTA(B15:C15,E15:G15,I15)=0,"","BI-"&amp;RIGHT("0000"&amp;(ROW()-5),4))</f>
        <v/>
      </c>
      <c r="B15" s="72" t="n"/>
      <c r="C15" s="66" t="n"/>
      <c r="D15" s="67" t="str">
        <f>IF(C15="","",IFERROR(INDEX(eq_des,MATCH(C15,eq_code,0))&amp;"","Équipement inconnu"))</f>
        <v/>
      </c>
      <c r="E15" s="68" t="n"/>
      <c r="F15" s="68" t="n"/>
      <c r="G15" s="66" t="n"/>
      <c r="H15" s="66" t="n"/>
      <c r="I15" s="68" t="n"/>
      <c r="J15" s="73" t="n"/>
      <c r="K15" s="71" t="n"/>
      <c r="L15" s="71" t="n"/>
      <c r="M15" s="66" t="n"/>
      <c r="N15" s="80" t="n"/>
      <c r="O15" s="81" t="str">
        <f>IF(A15="","",ROUND(V15*IFERROR(N(INDEX(tech_rate,MATCH(M15,tech_name,0))),0),2))</f>
        <v/>
      </c>
      <c r="P15" s="80" t="n"/>
      <c r="Q15" s="81" t="str">
        <f>IF(A15="","",ROUND(Y15+O15+Z15,2))</f>
        <v/>
      </c>
      <c r="R15" s="79" t="str">
        <f>IF(A15="","",IF(S15=0,"Date manquante ou invalide",IF(C15="","Équipement manquant",IF(ISNA(MATCH(C15,eq_code,0)),"Équipement inconnu",IF(E15="","Type manquant",IF(AND(E15&lt;&gt;"Préventif",E15&lt;&gt;"Correctif",E15&lt;&gt;"Amélioratif"),"Type inconnu",IF(I15="","Statut manquant",IF(AND(I15&lt;&gt;"Terminée",I15&lt;&gt;"En cours",I15&lt;&gt;"À faire",I15&lt;&gt;"Annulée"),"Statut inconnu",IF(AND(E15="Préventif",F15=""),"Plan manquant (préventif)",IF(AND(F15&lt;&gt;"",ISNA(MATCH(F15,pl_num,0))),"Plan inconnu",IF(AND(F15&lt;&gt;"",IFERROR(INDEX(pl_eq,MATCH(F15,pl_num,0))&amp;"",C15)&lt;&gt;C15),"Plan d'un autre équipement",IF(AND(J15&lt;&gt;"",OR(NOT(ISNUMBER(J15)),N(J15)&lt;0)),"Compteur invalide",IF(OR(AND(K15&lt;&gt;"",OR(NOT(ISNUMBER(K15)),N(K15)&lt;0)),AND(L15&lt;&gt;"",OR(NOT(ISNUMBER(L15)),N(L15)&lt;0))),"Durée invalide",IF(OR(AND(N15&lt;&gt;"",OR(NOT(ISNUMBER(N15)),N(N15)&lt;0)),AND(P15&lt;&gt;"",OR(NOT(ISNUMBER(P15)),N(P15)&lt;0))),"Coût invalide",IF(AND(M15&lt;&gt;"",ISNA(MATCH(M15,tech_name,0))),"Technicien inconnu",IF(AND(I15="Terminée",S15&gt;p_today),"Terminée à une date future",IF(AND(I15="Terminée",V15=0),"Durée d'intervention manquante",IF(AND(I15="Terminée",E15="Préventif",T15=0,OR(IFERROR(INDEX(pl_trig,MATCH(F15,pl_num,0))&amp;"","")="Compteur",IFERROR(INDEX(pl_trig,MATCH(F15,pl_num,0))&amp;"","")="Au premier des deux")),"Compteur manquant (plan au compteur)","OK"))))))))))))))))))</f>
        <v/>
      </c>
      <c r="S15" s="67">
        <f>IF(AND(ISNUMBER(B15),N(B15)&gt;0),INT(B15),0)</f>
        <v>0.0</v>
      </c>
      <c r="T15" s="67">
        <f>IF(AND(ISNUMBER(J15),N(J15)&gt;=0),N(J15),0)</f>
        <v>0.0</v>
      </c>
      <c r="U15" s="67">
        <f>IF(AND(ISNUMBER(K15),N(K15)&gt;0),N(K15),0)</f>
        <v>0.0</v>
      </c>
      <c r="V15" s="67">
        <f>IF(AND(ISNUMBER(L15),N(L15)&gt;0),N(L15),0)</f>
        <v>0.0</v>
      </c>
      <c r="W15" s="67">
        <f>IF(AND(I15="Terminée",S15&gt;0,C15&lt;&gt;"",ISNUMBER(MATCH(C15,eq_code,0))),1,0)</f>
        <v>0.0</v>
      </c>
      <c r="X15" s="67">
        <f>IF(AND(W15=1,E15="Préventif"),1,0)</f>
        <v>0.0</v>
      </c>
      <c r="Y15" s="67">
        <f>IF(AND(ISNUMBER(N15),N(N15)&gt;0),N(N15),0)</f>
        <v>0.0</v>
      </c>
      <c r="Z15" s="67">
        <f>IF(AND(ISNUMBER(P15),N(P15)&gt;0),N(P15),0)</f>
        <v>0.0</v>
      </c>
    </row>
    <row r="16">
      <c r="A16" s="79" t="str">
        <f>IF(COUNTA(B16:C16,E16:G16,I16)=0,"","BI-"&amp;RIGHT("0000"&amp;(ROW()-5),4))</f>
        <v/>
      </c>
      <c r="B16" s="72" t="n"/>
      <c r="C16" s="66" t="n"/>
      <c r="D16" s="67" t="str">
        <f>IF(C16="","",IFERROR(INDEX(eq_des,MATCH(C16,eq_code,0))&amp;"","Équipement inconnu"))</f>
        <v/>
      </c>
      <c r="E16" s="68" t="n"/>
      <c r="F16" s="68" t="n"/>
      <c r="G16" s="66" t="n"/>
      <c r="H16" s="66" t="n"/>
      <c r="I16" s="68" t="n"/>
      <c r="J16" s="73" t="n"/>
      <c r="K16" s="71" t="n"/>
      <c r="L16" s="71" t="n"/>
      <c r="M16" s="66" t="n"/>
      <c r="N16" s="80" t="n"/>
      <c r="O16" s="81" t="str">
        <f>IF(A16="","",ROUND(V16*IFERROR(N(INDEX(tech_rate,MATCH(M16,tech_name,0))),0),2))</f>
        <v/>
      </c>
      <c r="P16" s="80" t="n"/>
      <c r="Q16" s="81" t="str">
        <f>IF(A16="","",ROUND(Y16+O16+Z16,2))</f>
        <v/>
      </c>
      <c r="R16" s="79" t="str">
        <f>IF(A16="","",IF(S16=0,"Date manquante ou invalide",IF(C16="","Équipement manquant",IF(ISNA(MATCH(C16,eq_code,0)),"Équipement inconnu",IF(E16="","Type manquant",IF(AND(E16&lt;&gt;"Préventif",E16&lt;&gt;"Correctif",E16&lt;&gt;"Amélioratif"),"Type inconnu",IF(I16="","Statut manquant",IF(AND(I16&lt;&gt;"Terminée",I16&lt;&gt;"En cours",I16&lt;&gt;"À faire",I16&lt;&gt;"Annulée"),"Statut inconnu",IF(AND(E16="Préventif",F16=""),"Plan manquant (préventif)",IF(AND(F16&lt;&gt;"",ISNA(MATCH(F16,pl_num,0))),"Plan inconnu",IF(AND(F16&lt;&gt;"",IFERROR(INDEX(pl_eq,MATCH(F16,pl_num,0))&amp;"",C16)&lt;&gt;C16),"Plan d'un autre équipement",IF(AND(J16&lt;&gt;"",OR(NOT(ISNUMBER(J16)),N(J16)&lt;0)),"Compteur invalide",IF(OR(AND(K16&lt;&gt;"",OR(NOT(ISNUMBER(K16)),N(K16)&lt;0)),AND(L16&lt;&gt;"",OR(NOT(ISNUMBER(L16)),N(L16)&lt;0))),"Durée invalide",IF(OR(AND(N16&lt;&gt;"",OR(NOT(ISNUMBER(N16)),N(N16)&lt;0)),AND(P16&lt;&gt;"",OR(NOT(ISNUMBER(P16)),N(P16)&lt;0))),"Coût invalide",IF(AND(M16&lt;&gt;"",ISNA(MATCH(M16,tech_name,0))),"Technicien inconnu",IF(AND(I16="Terminée",S16&gt;p_today),"Terminée à une date future",IF(AND(I16="Terminée",V16=0),"Durée d'intervention manquante",IF(AND(I16="Terminée",E16="Préventif",T16=0,OR(IFERROR(INDEX(pl_trig,MATCH(F16,pl_num,0))&amp;"","")="Compteur",IFERROR(INDEX(pl_trig,MATCH(F16,pl_num,0))&amp;"","")="Au premier des deux")),"Compteur manquant (plan au compteur)","OK"))))))))))))))))))</f>
        <v/>
      </c>
      <c r="S16" s="67">
        <f>IF(AND(ISNUMBER(B16),N(B16)&gt;0),INT(B16),0)</f>
        <v>0.0</v>
      </c>
      <c r="T16" s="67">
        <f>IF(AND(ISNUMBER(J16),N(J16)&gt;=0),N(J16),0)</f>
        <v>0.0</v>
      </c>
      <c r="U16" s="67">
        <f>IF(AND(ISNUMBER(K16),N(K16)&gt;0),N(K16),0)</f>
        <v>0.0</v>
      </c>
      <c r="V16" s="67">
        <f>IF(AND(ISNUMBER(L16),N(L16)&gt;0),N(L16),0)</f>
        <v>0.0</v>
      </c>
      <c r="W16" s="67">
        <f>IF(AND(I16="Terminée",S16&gt;0,C16&lt;&gt;"",ISNUMBER(MATCH(C16,eq_code,0))),1,0)</f>
        <v>0.0</v>
      </c>
      <c r="X16" s="67">
        <f>IF(AND(W16=1,E16="Préventif"),1,0)</f>
        <v>0.0</v>
      </c>
      <c r="Y16" s="67">
        <f>IF(AND(ISNUMBER(N16),N(N16)&gt;0),N(N16),0)</f>
        <v>0.0</v>
      </c>
      <c r="Z16" s="67">
        <f>IF(AND(ISNUMBER(P16),N(P16)&gt;0),N(P16),0)</f>
        <v>0.0</v>
      </c>
    </row>
    <row r="17">
      <c r="A17" s="79" t="str">
        <f>IF(COUNTA(B17:C17,E17:G17,I17)=0,"","BI-"&amp;RIGHT("0000"&amp;(ROW()-5),4))</f>
        <v/>
      </c>
      <c r="B17" s="72" t="n"/>
      <c r="C17" s="66" t="n"/>
      <c r="D17" s="67" t="str">
        <f>IF(C17="","",IFERROR(INDEX(eq_des,MATCH(C17,eq_code,0))&amp;"","Équipement inconnu"))</f>
        <v/>
      </c>
      <c r="E17" s="68" t="n"/>
      <c r="F17" s="68" t="n"/>
      <c r="G17" s="66" t="n"/>
      <c r="H17" s="66" t="n"/>
      <c r="I17" s="68" t="n"/>
      <c r="J17" s="73" t="n"/>
      <c r="K17" s="71" t="n"/>
      <c r="L17" s="71" t="n"/>
      <c r="M17" s="66" t="n"/>
      <c r="N17" s="80" t="n"/>
      <c r="O17" s="81" t="str">
        <f>IF(A17="","",ROUND(V17*IFERROR(N(INDEX(tech_rate,MATCH(M17,tech_name,0))),0),2))</f>
        <v/>
      </c>
      <c r="P17" s="80" t="n"/>
      <c r="Q17" s="81" t="str">
        <f>IF(A17="","",ROUND(Y17+O17+Z17,2))</f>
        <v/>
      </c>
      <c r="R17" s="79" t="str">
        <f>IF(A17="","",IF(S17=0,"Date manquante ou invalide",IF(C17="","Équipement manquant",IF(ISNA(MATCH(C17,eq_code,0)),"Équipement inconnu",IF(E17="","Type manquant",IF(AND(E17&lt;&gt;"Préventif",E17&lt;&gt;"Correctif",E17&lt;&gt;"Amélioratif"),"Type inconnu",IF(I17="","Statut manquant",IF(AND(I17&lt;&gt;"Terminée",I17&lt;&gt;"En cours",I17&lt;&gt;"À faire",I17&lt;&gt;"Annulée"),"Statut inconnu",IF(AND(E17="Préventif",F17=""),"Plan manquant (préventif)",IF(AND(F17&lt;&gt;"",ISNA(MATCH(F17,pl_num,0))),"Plan inconnu",IF(AND(F17&lt;&gt;"",IFERROR(INDEX(pl_eq,MATCH(F17,pl_num,0))&amp;"",C17)&lt;&gt;C17),"Plan d'un autre équipement",IF(AND(J17&lt;&gt;"",OR(NOT(ISNUMBER(J17)),N(J17)&lt;0)),"Compteur invalide",IF(OR(AND(K17&lt;&gt;"",OR(NOT(ISNUMBER(K17)),N(K17)&lt;0)),AND(L17&lt;&gt;"",OR(NOT(ISNUMBER(L17)),N(L17)&lt;0))),"Durée invalide",IF(OR(AND(N17&lt;&gt;"",OR(NOT(ISNUMBER(N17)),N(N17)&lt;0)),AND(P17&lt;&gt;"",OR(NOT(ISNUMBER(P17)),N(P17)&lt;0))),"Coût invalide",IF(AND(M17&lt;&gt;"",ISNA(MATCH(M17,tech_name,0))),"Technicien inconnu",IF(AND(I17="Terminée",S17&gt;p_today),"Terminée à une date future",IF(AND(I17="Terminée",V17=0),"Durée d'intervention manquante",IF(AND(I17="Terminée",E17="Préventif",T17=0,OR(IFERROR(INDEX(pl_trig,MATCH(F17,pl_num,0))&amp;"","")="Compteur",IFERROR(INDEX(pl_trig,MATCH(F17,pl_num,0))&amp;"","")="Au premier des deux")),"Compteur manquant (plan au compteur)","OK"))))))))))))))))))</f>
        <v/>
      </c>
      <c r="S17" s="67">
        <f>IF(AND(ISNUMBER(B17),N(B17)&gt;0),INT(B17),0)</f>
        <v>0.0</v>
      </c>
      <c r="T17" s="67">
        <f>IF(AND(ISNUMBER(J17),N(J17)&gt;=0),N(J17),0)</f>
        <v>0.0</v>
      </c>
      <c r="U17" s="67">
        <f>IF(AND(ISNUMBER(K17),N(K17)&gt;0),N(K17),0)</f>
        <v>0.0</v>
      </c>
      <c r="V17" s="67">
        <f>IF(AND(ISNUMBER(L17),N(L17)&gt;0),N(L17),0)</f>
        <v>0.0</v>
      </c>
      <c r="W17" s="67">
        <f>IF(AND(I17="Terminée",S17&gt;0,C17&lt;&gt;"",ISNUMBER(MATCH(C17,eq_code,0))),1,0)</f>
        <v>0.0</v>
      </c>
      <c r="X17" s="67">
        <f>IF(AND(W17=1,E17="Préventif"),1,0)</f>
        <v>0.0</v>
      </c>
      <c r="Y17" s="67">
        <f>IF(AND(ISNUMBER(N17),N(N17)&gt;0),N(N17),0)</f>
        <v>0.0</v>
      </c>
      <c r="Z17" s="67">
        <f>IF(AND(ISNUMBER(P17),N(P17)&gt;0),N(P17),0)</f>
        <v>0.0</v>
      </c>
    </row>
    <row r="18">
      <c r="A18" s="79" t="str">
        <f>IF(COUNTA(B18:C18,E18:G18,I18)=0,"","BI-"&amp;RIGHT("0000"&amp;(ROW()-5),4))</f>
        <v/>
      </c>
      <c r="B18" s="72" t="n"/>
      <c r="C18" s="66" t="n"/>
      <c r="D18" s="67" t="str">
        <f>IF(C18="","",IFERROR(INDEX(eq_des,MATCH(C18,eq_code,0))&amp;"","Équipement inconnu"))</f>
        <v/>
      </c>
      <c r="E18" s="68" t="n"/>
      <c r="F18" s="68" t="n"/>
      <c r="G18" s="66" t="n"/>
      <c r="H18" s="66" t="n"/>
      <c r="I18" s="68" t="n"/>
      <c r="J18" s="73" t="n"/>
      <c r="K18" s="71" t="n"/>
      <c r="L18" s="71" t="n"/>
      <c r="M18" s="66" t="n"/>
      <c r="N18" s="80" t="n"/>
      <c r="O18" s="81" t="str">
        <f>IF(A18="","",ROUND(V18*IFERROR(N(INDEX(tech_rate,MATCH(M18,tech_name,0))),0),2))</f>
        <v/>
      </c>
      <c r="P18" s="80" t="n"/>
      <c r="Q18" s="81" t="str">
        <f>IF(A18="","",ROUND(Y18+O18+Z18,2))</f>
        <v/>
      </c>
      <c r="R18" s="79" t="str">
        <f>IF(A18="","",IF(S18=0,"Date manquante ou invalide",IF(C18="","Équipement manquant",IF(ISNA(MATCH(C18,eq_code,0)),"Équipement inconnu",IF(E18="","Type manquant",IF(AND(E18&lt;&gt;"Préventif",E18&lt;&gt;"Correctif",E18&lt;&gt;"Amélioratif"),"Type inconnu",IF(I18="","Statut manquant",IF(AND(I18&lt;&gt;"Terminée",I18&lt;&gt;"En cours",I18&lt;&gt;"À faire",I18&lt;&gt;"Annulée"),"Statut inconnu",IF(AND(E18="Préventif",F18=""),"Plan manquant (préventif)",IF(AND(F18&lt;&gt;"",ISNA(MATCH(F18,pl_num,0))),"Plan inconnu",IF(AND(F18&lt;&gt;"",IFERROR(INDEX(pl_eq,MATCH(F18,pl_num,0))&amp;"",C18)&lt;&gt;C18),"Plan d'un autre équipement",IF(AND(J18&lt;&gt;"",OR(NOT(ISNUMBER(J18)),N(J18)&lt;0)),"Compteur invalide",IF(OR(AND(K18&lt;&gt;"",OR(NOT(ISNUMBER(K18)),N(K18)&lt;0)),AND(L18&lt;&gt;"",OR(NOT(ISNUMBER(L18)),N(L18)&lt;0))),"Durée invalide",IF(OR(AND(N18&lt;&gt;"",OR(NOT(ISNUMBER(N18)),N(N18)&lt;0)),AND(P18&lt;&gt;"",OR(NOT(ISNUMBER(P18)),N(P18)&lt;0))),"Coût invalide",IF(AND(M18&lt;&gt;"",ISNA(MATCH(M18,tech_name,0))),"Technicien inconnu",IF(AND(I18="Terminée",S18&gt;p_today),"Terminée à une date future",IF(AND(I18="Terminée",V18=0),"Durée d'intervention manquante",IF(AND(I18="Terminée",E18="Préventif",T18=0,OR(IFERROR(INDEX(pl_trig,MATCH(F18,pl_num,0))&amp;"","")="Compteur",IFERROR(INDEX(pl_trig,MATCH(F18,pl_num,0))&amp;"","")="Au premier des deux")),"Compteur manquant (plan au compteur)","OK"))))))))))))))))))</f>
        <v/>
      </c>
      <c r="S18" s="67">
        <f>IF(AND(ISNUMBER(B18),N(B18)&gt;0),INT(B18),0)</f>
        <v>0.0</v>
      </c>
      <c r="T18" s="67">
        <f>IF(AND(ISNUMBER(J18),N(J18)&gt;=0),N(J18),0)</f>
        <v>0.0</v>
      </c>
      <c r="U18" s="67">
        <f>IF(AND(ISNUMBER(K18),N(K18)&gt;0),N(K18),0)</f>
        <v>0.0</v>
      </c>
      <c r="V18" s="67">
        <f>IF(AND(ISNUMBER(L18),N(L18)&gt;0),N(L18),0)</f>
        <v>0.0</v>
      </c>
      <c r="W18" s="67">
        <f>IF(AND(I18="Terminée",S18&gt;0,C18&lt;&gt;"",ISNUMBER(MATCH(C18,eq_code,0))),1,0)</f>
        <v>0.0</v>
      </c>
      <c r="X18" s="67">
        <f>IF(AND(W18=1,E18="Préventif"),1,0)</f>
        <v>0.0</v>
      </c>
      <c r="Y18" s="67">
        <f>IF(AND(ISNUMBER(N18),N(N18)&gt;0),N(N18),0)</f>
        <v>0.0</v>
      </c>
      <c r="Z18" s="67">
        <f>IF(AND(ISNUMBER(P18),N(P18)&gt;0),N(P18),0)</f>
        <v>0.0</v>
      </c>
    </row>
    <row r="19">
      <c r="A19" s="79" t="str">
        <f>IF(COUNTA(B19:C19,E19:G19,I19)=0,"","BI-"&amp;RIGHT("0000"&amp;(ROW()-5),4))</f>
        <v/>
      </c>
      <c r="B19" s="72" t="n"/>
      <c r="C19" s="66" t="n"/>
      <c r="D19" s="67" t="str">
        <f>IF(C19="","",IFERROR(INDEX(eq_des,MATCH(C19,eq_code,0))&amp;"","Équipement inconnu"))</f>
        <v/>
      </c>
      <c r="E19" s="68" t="n"/>
      <c r="F19" s="68" t="n"/>
      <c r="G19" s="66" t="n"/>
      <c r="H19" s="66" t="n"/>
      <c r="I19" s="68" t="n"/>
      <c r="J19" s="73" t="n"/>
      <c r="K19" s="71" t="n"/>
      <c r="L19" s="71" t="n"/>
      <c r="M19" s="66" t="n"/>
      <c r="N19" s="80" t="n"/>
      <c r="O19" s="81" t="str">
        <f>IF(A19="","",ROUND(V19*IFERROR(N(INDEX(tech_rate,MATCH(M19,tech_name,0))),0),2))</f>
        <v/>
      </c>
      <c r="P19" s="80" t="n"/>
      <c r="Q19" s="81" t="str">
        <f>IF(A19="","",ROUND(Y19+O19+Z19,2))</f>
        <v/>
      </c>
      <c r="R19" s="79" t="str">
        <f>IF(A19="","",IF(S19=0,"Date manquante ou invalide",IF(C19="","Équipement manquant",IF(ISNA(MATCH(C19,eq_code,0)),"Équipement inconnu",IF(E19="","Type manquant",IF(AND(E19&lt;&gt;"Préventif",E19&lt;&gt;"Correctif",E19&lt;&gt;"Amélioratif"),"Type inconnu",IF(I19="","Statut manquant",IF(AND(I19&lt;&gt;"Terminée",I19&lt;&gt;"En cours",I19&lt;&gt;"À faire",I19&lt;&gt;"Annulée"),"Statut inconnu",IF(AND(E19="Préventif",F19=""),"Plan manquant (préventif)",IF(AND(F19&lt;&gt;"",ISNA(MATCH(F19,pl_num,0))),"Plan inconnu",IF(AND(F19&lt;&gt;"",IFERROR(INDEX(pl_eq,MATCH(F19,pl_num,0))&amp;"",C19)&lt;&gt;C19),"Plan d'un autre équipement",IF(AND(J19&lt;&gt;"",OR(NOT(ISNUMBER(J19)),N(J19)&lt;0)),"Compteur invalide",IF(OR(AND(K19&lt;&gt;"",OR(NOT(ISNUMBER(K19)),N(K19)&lt;0)),AND(L19&lt;&gt;"",OR(NOT(ISNUMBER(L19)),N(L19)&lt;0))),"Durée invalide",IF(OR(AND(N19&lt;&gt;"",OR(NOT(ISNUMBER(N19)),N(N19)&lt;0)),AND(P19&lt;&gt;"",OR(NOT(ISNUMBER(P19)),N(P19)&lt;0))),"Coût invalide",IF(AND(M19&lt;&gt;"",ISNA(MATCH(M19,tech_name,0))),"Technicien inconnu",IF(AND(I19="Terminée",S19&gt;p_today),"Terminée à une date future",IF(AND(I19="Terminée",V19=0),"Durée d'intervention manquante",IF(AND(I19="Terminée",E19="Préventif",T19=0,OR(IFERROR(INDEX(pl_trig,MATCH(F19,pl_num,0))&amp;"","")="Compteur",IFERROR(INDEX(pl_trig,MATCH(F19,pl_num,0))&amp;"","")="Au premier des deux")),"Compteur manquant (plan au compteur)","OK"))))))))))))))))))</f>
        <v/>
      </c>
      <c r="S19" s="67">
        <f>IF(AND(ISNUMBER(B19),N(B19)&gt;0),INT(B19),0)</f>
        <v>0.0</v>
      </c>
      <c r="T19" s="67">
        <f>IF(AND(ISNUMBER(J19),N(J19)&gt;=0),N(J19),0)</f>
        <v>0.0</v>
      </c>
      <c r="U19" s="67">
        <f>IF(AND(ISNUMBER(K19),N(K19)&gt;0),N(K19),0)</f>
        <v>0.0</v>
      </c>
      <c r="V19" s="67">
        <f>IF(AND(ISNUMBER(L19),N(L19)&gt;0),N(L19),0)</f>
        <v>0.0</v>
      </c>
      <c r="W19" s="67">
        <f>IF(AND(I19="Terminée",S19&gt;0,C19&lt;&gt;"",ISNUMBER(MATCH(C19,eq_code,0))),1,0)</f>
        <v>0.0</v>
      </c>
      <c r="X19" s="67">
        <f>IF(AND(W19=1,E19="Préventif"),1,0)</f>
        <v>0.0</v>
      </c>
      <c r="Y19" s="67">
        <f>IF(AND(ISNUMBER(N19),N(N19)&gt;0),N(N19),0)</f>
        <v>0.0</v>
      </c>
      <c r="Z19" s="67">
        <f>IF(AND(ISNUMBER(P19),N(P19)&gt;0),N(P19),0)</f>
        <v>0.0</v>
      </c>
    </row>
    <row r="20">
      <c r="A20" s="79" t="str">
        <f>IF(COUNTA(B20:C20,E20:G20,I20)=0,"","BI-"&amp;RIGHT("0000"&amp;(ROW()-5),4))</f>
        <v/>
      </c>
      <c r="B20" s="72" t="n"/>
      <c r="C20" s="66" t="n"/>
      <c r="D20" s="67" t="str">
        <f>IF(C20="","",IFERROR(INDEX(eq_des,MATCH(C20,eq_code,0))&amp;"","Équipement inconnu"))</f>
        <v/>
      </c>
      <c r="E20" s="68" t="n"/>
      <c r="F20" s="68" t="n"/>
      <c r="G20" s="66" t="n"/>
      <c r="H20" s="66" t="n"/>
      <c r="I20" s="68" t="n"/>
      <c r="J20" s="73" t="n"/>
      <c r="K20" s="71" t="n"/>
      <c r="L20" s="71" t="n"/>
      <c r="M20" s="66" t="n"/>
      <c r="N20" s="80" t="n"/>
      <c r="O20" s="81" t="str">
        <f>IF(A20="","",ROUND(V20*IFERROR(N(INDEX(tech_rate,MATCH(M20,tech_name,0))),0),2))</f>
        <v/>
      </c>
      <c r="P20" s="80" t="n"/>
      <c r="Q20" s="81" t="str">
        <f>IF(A20="","",ROUND(Y20+O20+Z20,2))</f>
        <v/>
      </c>
      <c r="R20" s="79" t="str">
        <f>IF(A20="","",IF(S20=0,"Date manquante ou invalide",IF(C20="","Équipement manquant",IF(ISNA(MATCH(C20,eq_code,0)),"Équipement inconnu",IF(E20="","Type manquant",IF(AND(E20&lt;&gt;"Préventif",E20&lt;&gt;"Correctif",E20&lt;&gt;"Amélioratif"),"Type inconnu",IF(I20="","Statut manquant",IF(AND(I20&lt;&gt;"Terminée",I20&lt;&gt;"En cours",I20&lt;&gt;"À faire",I20&lt;&gt;"Annulée"),"Statut inconnu",IF(AND(E20="Préventif",F20=""),"Plan manquant (préventif)",IF(AND(F20&lt;&gt;"",ISNA(MATCH(F20,pl_num,0))),"Plan inconnu",IF(AND(F20&lt;&gt;"",IFERROR(INDEX(pl_eq,MATCH(F20,pl_num,0))&amp;"",C20)&lt;&gt;C20),"Plan d'un autre équipement",IF(AND(J20&lt;&gt;"",OR(NOT(ISNUMBER(J20)),N(J20)&lt;0)),"Compteur invalide",IF(OR(AND(K20&lt;&gt;"",OR(NOT(ISNUMBER(K20)),N(K20)&lt;0)),AND(L20&lt;&gt;"",OR(NOT(ISNUMBER(L20)),N(L20)&lt;0))),"Durée invalide",IF(OR(AND(N20&lt;&gt;"",OR(NOT(ISNUMBER(N20)),N(N20)&lt;0)),AND(P20&lt;&gt;"",OR(NOT(ISNUMBER(P20)),N(P20)&lt;0))),"Coût invalide",IF(AND(M20&lt;&gt;"",ISNA(MATCH(M20,tech_name,0))),"Technicien inconnu",IF(AND(I20="Terminée",S20&gt;p_today),"Terminée à une date future",IF(AND(I20="Terminée",V20=0),"Durée d'intervention manquante",IF(AND(I20="Terminée",E20="Préventif",T20=0,OR(IFERROR(INDEX(pl_trig,MATCH(F20,pl_num,0))&amp;"","")="Compteur",IFERROR(INDEX(pl_trig,MATCH(F20,pl_num,0))&amp;"","")="Au premier des deux")),"Compteur manquant (plan au compteur)","OK"))))))))))))))))))</f>
        <v/>
      </c>
      <c r="S20" s="67">
        <f>IF(AND(ISNUMBER(B20),N(B20)&gt;0),INT(B20),0)</f>
        <v>0.0</v>
      </c>
      <c r="T20" s="67">
        <f>IF(AND(ISNUMBER(J20),N(J20)&gt;=0),N(J20),0)</f>
        <v>0.0</v>
      </c>
      <c r="U20" s="67">
        <f>IF(AND(ISNUMBER(K20),N(K20)&gt;0),N(K20),0)</f>
        <v>0.0</v>
      </c>
      <c r="V20" s="67">
        <f>IF(AND(ISNUMBER(L20),N(L20)&gt;0),N(L20),0)</f>
        <v>0.0</v>
      </c>
      <c r="W20" s="67">
        <f>IF(AND(I20="Terminée",S20&gt;0,C20&lt;&gt;"",ISNUMBER(MATCH(C20,eq_code,0))),1,0)</f>
        <v>0.0</v>
      </c>
      <c r="X20" s="67">
        <f>IF(AND(W20=1,E20="Préventif"),1,0)</f>
        <v>0.0</v>
      </c>
      <c r="Y20" s="67">
        <f>IF(AND(ISNUMBER(N20),N(N20)&gt;0),N(N20),0)</f>
        <v>0.0</v>
      </c>
      <c r="Z20" s="67">
        <f>IF(AND(ISNUMBER(P20),N(P20)&gt;0),N(P20),0)</f>
        <v>0.0</v>
      </c>
    </row>
    <row r="21">
      <c r="A21" s="79" t="str">
        <f>IF(COUNTA(B21:C21,E21:G21,I21)=0,"","BI-"&amp;RIGHT("0000"&amp;(ROW()-5),4))</f>
        <v/>
      </c>
      <c r="B21" s="72" t="n"/>
      <c r="C21" s="66" t="n"/>
      <c r="D21" s="67" t="str">
        <f>IF(C21="","",IFERROR(INDEX(eq_des,MATCH(C21,eq_code,0))&amp;"","Équipement inconnu"))</f>
        <v/>
      </c>
      <c r="E21" s="68" t="n"/>
      <c r="F21" s="68" t="n"/>
      <c r="G21" s="66" t="n"/>
      <c r="H21" s="66" t="n"/>
      <c r="I21" s="68" t="n"/>
      <c r="J21" s="73" t="n"/>
      <c r="K21" s="71" t="n"/>
      <c r="L21" s="71" t="n"/>
      <c r="M21" s="66" t="n"/>
      <c r="N21" s="80" t="n"/>
      <c r="O21" s="81" t="str">
        <f>IF(A21="","",ROUND(V21*IFERROR(N(INDEX(tech_rate,MATCH(M21,tech_name,0))),0),2))</f>
        <v/>
      </c>
      <c r="P21" s="80" t="n"/>
      <c r="Q21" s="81" t="str">
        <f>IF(A21="","",ROUND(Y21+O21+Z21,2))</f>
        <v/>
      </c>
      <c r="R21" s="79" t="str">
        <f>IF(A21="","",IF(S21=0,"Date manquante ou invalide",IF(C21="","Équipement manquant",IF(ISNA(MATCH(C21,eq_code,0)),"Équipement inconnu",IF(E21="","Type manquant",IF(AND(E21&lt;&gt;"Préventif",E21&lt;&gt;"Correctif",E21&lt;&gt;"Amélioratif"),"Type inconnu",IF(I21="","Statut manquant",IF(AND(I21&lt;&gt;"Terminée",I21&lt;&gt;"En cours",I21&lt;&gt;"À faire",I21&lt;&gt;"Annulée"),"Statut inconnu",IF(AND(E21="Préventif",F21=""),"Plan manquant (préventif)",IF(AND(F21&lt;&gt;"",ISNA(MATCH(F21,pl_num,0))),"Plan inconnu",IF(AND(F21&lt;&gt;"",IFERROR(INDEX(pl_eq,MATCH(F21,pl_num,0))&amp;"",C21)&lt;&gt;C21),"Plan d'un autre équipement",IF(AND(J21&lt;&gt;"",OR(NOT(ISNUMBER(J21)),N(J21)&lt;0)),"Compteur invalide",IF(OR(AND(K21&lt;&gt;"",OR(NOT(ISNUMBER(K21)),N(K21)&lt;0)),AND(L21&lt;&gt;"",OR(NOT(ISNUMBER(L21)),N(L21)&lt;0))),"Durée invalide",IF(OR(AND(N21&lt;&gt;"",OR(NOT(ISNUMBER(N21)),N(N21)&lt;0)),AND(P21&lt;&gt;"",OR(NOT(ISNUMBER(P21)),N(P21)&lt;0))),"Coût invalide",IF(AND(M21&lt;&gt;"",ISNA(MATCH(M21,tech_name,0))),"Technicien inconnu",IF(AND(I21="Terminée",S21&gt;p_today),"Terminée à une date future",IF(AND(I21="Terminée",V21=0),"Durée d'intervention manquante",IF(AND(I21="Terminée",E21="Préventif",T21=0,OR(IFERROR(INDEX(pl_trig,MATCH(F21,pl_num,0))&amp;"","")="Compteur",IFERROR(INDEX(pl_trig,MATCH(F21,pl_num,0))&amp;"","")="Au premier des deux")),"Compteur manquant (plan au compteur)","OK"))))))))))))))))))</f>
        <v/>
      </c>
      <c r="S21" s="67">
        <f>IF(AND(ISNUMBER(B21),N(B21)&gt;0),INT(B21),0)</f>
        <v>0.0</v>
      </c>
      <c r="T21" s="67">
        <f>IF(AND(ISNUMBER(J21),N(J21)&gt;=0),N(J21),0)</f>
        <v>0.0</v>
      </c>
      <c r="U21" s="67">
        <f>IF(AND(ISNUMBER(K21),N(K21)&gt;0),N(K21),0)</f>
        <v>0.0</v>
      </c>
      <c r="V21" s="67">
        <f>IF(AND(ISNUMBER(L21),N(L21)&gt;0),N(L21),0)</f>
        <v>0.0</v>
      </c>
      <c r="W21" s="67">
        <f>IF(AND(I21="Terminée",S21&gt;0,C21&lt;&gt;"",ISNUMBER(MATCH(C21,eq_code,0))),1,0)</f>
        <v>0.0</v>
      </c>
      <c r="X21" s="67">
        <f>IF(AND(W21=1,E21="Préventif"),1,0)</f>
        <v>0.0</v>
      </c>
      <c r="Y21" s="67">
        <f>IF(AND(ISNUMBER(N21),N(N21)&gt;0),N(N21),0)</f>
        <v>0.0</v>
      </c>
      <c r="Z21" s="67">
        <f>IF(AND(ISNUMBER(P21),N(P21)&gt;0),N(P21),0)</f>
        <v>0.0</v>
      </c>
    </row>
    <row r="22">
      <c r="A22" s="79" t="str">
        <f>IF(COUNTA(B22:C22,E22:G22,I22)=0,"","BI-"&amp;RIGHT("0000"&amp;(ROW()-5),4))</f>
        <v/>
      </c>
      <c r="B22" s="72" t="n"/>
      <c r="C22" s="66" t="n"/>
      <c r="D22" s="67" t="str">
        <f>IF(C22="","",IFERROR(INDEX(eq_des,MATCH(C22,eq_code,0))&amp;"","Équipement inconnu"))</f>
        <v/>
      </c>
      <c r="E22" s="68" t="n"/>
      <c r="F22" s="68" t="n"/>
      <c r="G22" s="66" t="n"/>
      <c r="H22" s="66" t="n"/>
      <c r="I22" s="68" t="n"/>
      <c r="J22" s="73" t="n"/>
      <c r="K22" s="71" t="n"/>
      <c r="L22" s="71" t="n"/>
      <c r="M22" s="66" t="n"/>
      <c r="N22" s="80" t="n"/>
      <c r="O22" s="81" t="str">
        <f>IF(A22="","",ROUND(V22*IFERROR(N(INDEX(tech_rate,MATCH(M22,tech_name,0))),0),2))</f>
        <v/>
      </c>
      <c r="P22" s="80" t="n"/>
      <c r="Q22" s="81" t="str">
        <f>IF(A22="","",ROUND(Y22+O22+Z22,2))</f>
        <v/>
      </c>
      <c r="R22" s="79" t="str">
        <f>IF(A22="","",IF(S22=0,"Date manquante ou invalide",IF(C22="","Équipement manquant",IF(ISNA(MATCH(C22,eq_code,0)),"Équipement inconnu",IF(E22="","Type manquant",IF(AND(E22&lt;&gt;"Préventif",E22&lt;&gt;"Correctif",E22&lt;&gt;"Amélioratif"),"Type inconnu",IF(I22="","Statut manquant",IF(AND(I22&lt;&gt;"Terminée",I22&lt;&gt;"En cours",I22&lt;&gt;"À faire",I22&lt;&gt;"Annulée"),"Statut inconnu",IF(AND(E22="Préventif",F22=""),"Plan manquant (préventif)",IF(AND(F22&lt;&gt;"",ISNA(MATCH(F22,pl_num,0))),"Plan inconnu",IF(AND(F22&lt;&gt;"",IFERROR(INDEX(pl_eq,MATCH(F22,pl_num,0))&amp;"",C22)&lt;&gt;C22),"Plan d'un autre équipement",IF(AND(J22&lt;&gt;"",OR(NOT(ISNUMBER(J22)),N(J22)&lt;0)),"Compteur invalide",IF(OR(AND(K22&lt;&gt;"",OR(NOT(ISNUMBER(K22)),N(K22)&lt;0)),AND(L22&lt;&gt;"",OR(NOT(ISNUMBER(L22)),N(L22)&lt;0))),"Durée invalide",IF(OR(AND(N22&lt;&gt;"",OR(NOT(ISNUMBER(N22)),N(N22)&lt;0)),AND(P22&lt;&gt;"",OR(NOT(ISNUMBER(P22)),N(P22)&lt;0))),"Coût invalide",IF(AND(M22&lt;&gt;"",ISNA(MATCH(M22,tech_name,0))),"Technicien inconnu",IF(AND(I22="Terminée",S22&gt;p_today),"Terminée à une date future",IF(AND(I22="Terminée",V22=0),"Durée d'intervention manquante",IF(AND(I22="Terminée",E22="Préventif",T22=0,OR(IFERROR(INDEX(pl_trig,MATCH(F22,pl_num,0))&amp;"","")="Compteur",IFERROR(INDEX(pl_trig,MATCH(F22,pl_num,0))&amp;"","")="Au premier des deux")),"Compteur manquant (plan au compteur)","OK"))))))))))))))))))</f>
        <v/>
      </c>
      <c r="S22" s="67">
        <f>IF(AND(ISNUMBER(B22),N(B22)&gt;0),INT(B22),0)</f>
        <v>0.0</v>
      </c>
      <c r="T22" s="67">
        <f>IF(AND(ISNUMBER(J22),N(J22)&gt;=0),N(J22),0)</f>
        <v>0.0</v>
      </c>
      <c r="U22" s="67">
        <f>IF(AND(ISNUMBER(K22),N(K22)&gt;0),N(K22),0)</f>
        <v>0.0</v>
      </c>
      <c r="V22" s="67">
        <f>IF(AND(ISNUMBER(L22),N(L22)&gt;0),N(L22),0)</f>
        <v>0.0</v>
      </c>
      <c r="W22" s="67">
        <f>IF(AND(I22="Terminée",S22&gt;0,C22&lt;&gt;"",ISNUMBER(MATCH(C22,eq_code,0))),1,0)</f>
        <v>0.0</v>
      </c>
      <c r="X22" s="67">
        <f>IF(AND(W22=1,E22="Préventif"),1,0)</f>
        <v>0.0</v>
      </c>
      <c r="Y22" s="67">
        <f>IF(AND(ISNUMBER(N22),N(N22)&gt;0),N(N22),0)</f>
        <v>0.0</v>
      </c>
      <c r="Z22" s="67">
        <f>IF(AND(ISNUMBER(P22),N(P22)&gt;0),N(P22),0)</f>
        <v>0.0</v>
      </c>
    </row>
    <row r="23">
      <c r="A23" s="79" t="str">
        <f>IF(COUNTA(B23:C23,E23:G23,I23)=0,"","BI-"&amp;RIGHT("0000"&amp;(ROW()-5),4))</f>
        <v/>
      </c>
      <c r="B23" s="72" t="n"/>
      <c r="C23" s="66" t="n"/>
      <c r="D23" s="67" t="str">
        <f>IF(C23="","",IFERROR(INDEX(eq_des,MATCH(C23,eq_code,0))&amp;"","Équipement inconnu"))</f>
        <v/>
      </c>
      <c r="E23" s="68" t="n"/>
      <c r="F23" s="68" t="n"/>
      <c r="G23" s="66" t="n"/>
      <c r="H23" s="66" t="n"/>
      <c r="I23" s="68" t="n"/>
      <c r="J23" s="73" t="n"/>
      <c r="K23" s="71" t="n"/>
      <c r="L23" s="71" t="n"/>
      <c r="M23" s="66" t="n"/>
      <c r="N23" s="80" t="n"/>
      <c r="O23" s="81" t="str">
        <f>IF(A23="","",ROUND(V23*IFERROR(N(INDEX(tech_rate,MATCH(M23,tech_name,0))),0),2))</f>
        <v/>
      </c>
      <c r="P23" s="80" t="n"/>
      <c r="Q23" s="81" t="str">
        <f>IF(A23="","",ROUND(Y23+O23+Z23,2))</f>
        <v/>
      </c>
      <c r="R23" s="79" t="str">
        <f>IF(A23="","",IF(S23=0,"Date manquante ou invalide",IF(C23="","Équipement manquant",IF(ISNA(MATCH(C23,eq_code,0)),"Équipement inconnu",IF(E23="","Type manquant",IF(AND(E23&lt;&gt;"Préventif",E23&lt;&gt;"Correctif",E23&lt;&gt;"Amélioratif"),"Type inconnu",IF(I23="","Statut manquant",IF(AND(I23&lt;&gt;"Terminée",I23&lt;&gt;"En cours",I23&lt;&gt;"À faire",I23&lt;&gt;"Annulée"),"Statut inconnu",IF(AND(E23="Préventif",F23=""),"Plan manquant (préventif)",IF(AND(F23&lt;&gt;"",ISNA(MATCH(F23,pl_num,0))),"Plan inconnu",IF(AND(F23&lt;&gt;"",IFERROR(INDEX(pl_eq,MATCH(F23,pl_num,0))&amp;"",C23)&lt;&gt;C23),"Plan d'un autre équipement",IF(AND(J23&lt;&gt;"",OR(NOT(ISNUMBER(J23)),N(J23)&lt;0)),"Compteur invalide",IF(OR(AND(K23&lt;&gt;"",OR(NOT(ISNUMBER(K23)),N(K23)&lt;0)),AND(L23&lt;&gt;"",OR(NOT(ISNUMBER(L23)),N(L23)&lt;0))),"Durée invalide",IF(OR(AND(N23&lt;&gt;"",OR(NOT(ISNUMBER(N23)),N(N23)&lt;0)),AND(P23&lt;&gt;"",OR(NOT(ISNUMBER(P23)),N(P23)&lt;0))),"Coût invalide",IF(AND(M23&lt;&gt;"",ISNA(MATCH(M23,tech_name,0))),"Technicien inconnu",IF(AND(I23="Terminée",S23&gt;p_today),"Terminée à une date future",IF(AND(I23="Terminée",V23=0),"Durée d'intervention manquante",IF(AND(I23="Terminée",E23="Préventif",T23=0,OR(IFERROR(INDEX(pl_trig,MATCH(F23,pl_num,0))&amp;"","")="Compteur",IFERROR(INDEX(pl_trig,MATCH(F23,pl_num,0))&amp;"","")="Au premier des deux")),"Compteur manquant (plan au compteur)","OK"))))))))))))))))))</f>
        <v/>
      </c>
      <c r="S23" s="67">
        <f>IF(AND(ISNUMBER(B23),N(B23)&gt;0),INT(B23),0)</f>
        <v>0.0</v>
      </c>
      <c r="T23" s="67">
        <f>IF(AND(ISNUMBER(J23),N(J23)&gt;=0),N(J23),0)</f>
        <v>0.0</v>
      </c>
      <c r="U23" s="67">
        <f>IF(AND(ISNUMBER(K23),N(K23)&gt;0),N(K23),0)</f>
        <v>0.0</v>
      </c>
      <c r="V23" s="67">
        <f>IF(AND(ISNUMBER(L23),N(L23)&gt;0),N(L23),0)</f>
        <v>0.0</v>
      </c>
      <c r="W23" s="67">
        <f>IF(AND(I23="Terminée",S23&gt;0,C23&lt;&gt;"",ISNUMBER(MATCH(C23,eq_code,0))),1,0)</f>
        <v>0.0</v>
      </c>
      <c r="X23" s="67">
        <f>IF(AND(W23=1,E23="Préventif"),1,0)</f>
        <v>0.0</v>
      </c>
      <c r="Y23" s="67">
        <f>IF(AND(ISNUMBER(N23),N(N23)&gt;0),N(N23),0)</f>
        <v>0.0</v>
      </c>
      <c r="Z23" s="67">
        <f>IF(AND(ISNUMBER(P23),N(P23)&gt;0),N(P23),0)</f>
        <v>0.0</v>
      </c>
    </row>
    <row r="24">
      <c r="A24" s="79" t="str">
        <f>IF(COUNTA(B24:C24,E24:G24,I24)=0,"","BI-"&amp;RIGHT("0000"&amp;(ROW()-5),4))</f>
        <v/>
      </c>
      <c r="B24" s="72" t="n"/>
      <c r="C24" s="66" t="n"/>
      <c r="D24" s="67" t="str">
        <f>IF(C24="","",IFERROR(INDEX(eq_des,MATCH(C24,eq_code,0))&amp;"","Équipement inconnu"))</f>
        <v/>
      </c>
      <c r="E24" s="68" t="n"/>
      <c r="F24" s="68" t="n"/>
      <c r="G24" s="66" t="n"/>
      <c r="H24" s="66" t="n"/>
      <c r="I24" s="68" t="n"/>
      <c r="J24" s="73" t="n"/>
      <c r="K24" s="71" t="n"/>
      <c r="L24" s="71" t="n"/>
      <c r="M24" s="66" t="n"/>
      <c r="N24" s="80" t="n"/>
      <c r="O24" s="81" t="str">
        <f>IF(A24="","",ROUND(V24*IFERROR(N(INDEX(tech_rate,MATCH(M24,tech_name,0))),0),2))</f>
        <v/>
      </c>
      <c r="P24" s="80" t="n"/>
      <c r="Q24" s="81" t="str">
        <f>IF(A24="","",ROUND(Y24+O24+Z24,2))</f>
        <v/>
      </c>
      <c r="R24" s="79" t="str">
        <f>IF(A24="","",IF(S24=0,"Date manquante ou invalide",IF(C24="","Équipement manquant",IF(ISNA(MATCH(C24,eq_code,0)),"Équipement inconnu",IF(E24="","Type manquant",IF(AND(E24&lt;&gt;"Préventif",E24&lt;&gt;"Correctif",E24&lt;&gt;"Amélioratif"),"Type inconnu",IF(I24="","Statut manquant",IF(AND(I24&lt;&gt;"Terminée",I24&lt;&gt;"En cours",I24&lt;&gt;"À faire",I24&lt;&gt;"Annulée"),"Statut inconnu",IF(AND(E24="Préventif",F24=""),"Plan manquant (préventif)",IF(AND(F24&lt;&gt;"",ISNA(MATCH(F24,pl_num,0))),"Plan inconnu",IF(AND(F24&lt;&gt;"",IFERROR(INDEX(pl_eq,MATCH(F24,pl_num,0))&amp;"",C24)&lt;&gt;C24),"Plan d'un autre équipement",IF(AND(J24&lt;&gt;"",OR(NOT(ISNUMBER(J24)),N(J24)&lt;0)),"Compteur invalide",IF(OR(AND(K24&lt;&gt;"",OR(NOT(ISNUMBER(K24)),N(K24)&lt;0)),AND(L24&lt;&gt;"",OR(NOT(ISNUMBER(L24)),N(L24)&lt;0))),"Durée invalide",IF(OR(AND(N24&lt;&gt;"",OR(NOT(ISNUMBER(N24)),N(N24)&lt;0)),AND(P24&lt;&gt;"",OR(NOT(ISNUMBER(P24)),N(P24)&lt;0))),"Coût invalide",IF(AND(M24&lt;&gt;"",ISNA(MATCH(M24,tech_name,0))),"Technicien inconnu",IF(AND(I24="Terminée",S24&gt;p_today),"Terminée à une date future",IF(AND(I24="Terminée",V24=0),"Durée d'intervention manquante",IF(AND(I24="Terminée",E24="Préventif",T24=0,OR(IFERROR(INDEX(pl_trig,MATCH(F24,pl_num,0))&amp;"","")="Compteur",IFERROR(INDEX(pl_trig,MATCH(F24,pl_num,0))&amp;"","")="Au premier des deux")),"Compteur manquant (plan au compteur)","OK"))))))))))))))))))</f>
        <v/>
      </c>
      <c r="S24" s="67">
        <f>IF(AND(ISNUMBER(B24),N(B24)&gt;0),INT(B24),0)</f>
        <v>0.0</v>
      </c>
      <c r="T24" s="67">
        <f>IF(AND(ISNUMBER(J24),N(J24)&gt;=0),N(J24),0)</f>
        <v>0.0</v>
      </c>
      <c r="U24" s="67">
        <f>IF(AND(ISNUMBER(K24),N(K24)&gt;0),N(K24),0)</f>
        <v>0.0</v>
      </c>
      <c r="V24" s="67">
        <f>IF(AND(ISNUMBER(L24),N(L24)&gt;0),N(L24),0)</f>
        <v>0.0</v>
      </c>
      <c r="W24" s="67">
        <f>IF(AND(I24="Terminée",S24&gt;0,C24&lt;&gt;"",ISNUMBER(MATCH(C24,eq_code,0))),1,0)</f>
        <v>0.0</v>
      </c>
      <c r="X24" s="67">
        <f>IF(AND(W24=1,E24="Préventif"),1,0)</f>
        <v>0.0</v>
      </c>
      <c r="Y24" s="67">
        <f>IF(AND(ISNUMBER(N24),N(N24)&gt;0),N(N24),0)</f>
        <v>0.0</v>
      </c>
      <c r="Z24" s="67">
        <f>IF(AND(ISNUMBER(P24),N(P24)&gt;0),N(P24),0)</f>
        <v>0.0</v>
      </c>
    </row>
    <row r="25">
      <c r="A25" s="79" t="str">
        <f>IF(COUNTA(B25:C25,E25:G25,I25)=0,"","BI-"&amp;RIGHT("0000"&amp;(ROW()-5),4))</f>
        <v/>
      </c>
      <c r="B25" s="72" t="n"/>
      <c r="C25" s="66" t="n"/>
      <c r="D25" s="67" t="str">
        <f>IF(C25="","",IFERROR(INDEX(eq_des,MATCH(C25,eq_code,0))&amp;"","Équipement inconnu"))</f>
        <v/>
      </c>
      <c r="E25" s="68" t="n"/>
      <c r="F25" s="68" t="n"/>
      <c r="G25" s="66" t="n"/>
      <c r="H25" s="66" t="n"/>
      <c r="I25" s="68" t="n"/>
      <c r="J25" s="73" t="n"/>
      <c r="K25" s="71" t="n"/>
      <c r="L25" s="71" t="n"/>
      <c r="M25" s="66" t="n"/>
      <c r="N25" s="80" t="n"/>
      <c r="O25" s="81" t="str">
        <f>IF(A25="","",ROUND(V25*IFERROR(N(INDEX(tech_rate,MATCH(M25,tech_name,0))),0),2))</f>
        <v/>
      </c>
      <c r="P25" s="80" t="n"/>
      <c r="Q25" s="81" t="str">
        <f>IF(A25="","",ROUND(Y25+O25+Z25,2))</f>
        <v/>
      </c>
      <c r="R25" s="79" t="str">
        <f>IF(A25="","",IF(S25=0,"Date manquante ou invalide",IF(C25="","Équipement manquant",IF(ISNA(MATCH(C25,eq_code,0)),"Équipement inconnu",IF(E25="","Type manquant",IF(AND(E25&lt;&gt;"Préventif",E25&lt;&gt;"Correctif",E25&lt;&gt;"Amélioratif"),"Type inconnu",IF(I25="","Statut manquant",IF(AND(I25&lt;&gt;"Terminée",I25&lt;&gt;"En cours",I25&lt;&gt;"À faire",I25&lt;&gt;"Annulée"),"Statut inconnu",IF(AND(E25="Préventif",F25=""),"Plan manquant (préventif)",IF(AND(F25&lt;&gt;"",ISNA(MATCH(F25,pl_num,0))),"Plan inconnu",IF(AND(F25&lt;&gt;"",IFERROR(INDEX(pl_eq,MATCH(F25,pl_num,0))&amp;"",C25)&lt;&gt;C25),"Plan d'un autre équipement",IF(AND(J25&lt;&gt;"",OR(NOT(ISNUMBER(J25)),N(J25)&lt;0)),"Compteur invalide",IF(OR(AND(K25&lt;&gt;"",OR(NOT(ISNUMBER(K25)),N(K25)&lt;0)),AND(L25&lt;&gt;"",OR(NOT(ISNUMBER(L25)),N(L25)&lt;0))),"Durée invalide",IF(OR(AND(N25&lt;&gt;"",OR(NOT(ISNUMBER(N25)),N(N25)&lt;0)),AND(P25&lt;&gt;"",OR(NOT(ISNUMBER(P25)),N(P25)&lt;0))),"Coût invalide",IF(AND(M25&lt;&gt;"",ISNA(MATCH(M25,tech_name,0))),"Technicien inconnu",IF(AND(I25="Terminée",S25&gt;p_today),"Terminée à une date future",IF(AND(I25="Terminée",V25=0),"Durée d'intervention manquante",IF(AND(I25="Terminée",E25="Préventif",T25=0,OR(IFERROR(INDEX(pl_trig,MATCH(F25,pl_num,0))&amp;"","")="Compteur",IFERROR(INDEX(pl_trig,MATCH(F25,pl_num,0))&amp;"","")="Au premier des deux")),"Compteur manquant (plan au compteur)","OK"))))))))))))))))))</f>
        <v/>
      </c>
      <c r="S25" s="67">
        <f>IF(AND(ISNUMBER(B25),N(B25)&gt;0),INT(B25),0)</f>
        <v>0.0</v>
      </c>
      <c r="T25" s="67">
        <f>IF(AND(ISNUMBER(J25),N(J25)&gt;=0),N(J25),0)</f>
        <v>0.0</v>
      </c>
      <c r="U25" s="67">
        <f>IF(AND(ISNUMBER(K25),N(K25)&gt;0),N(K25),0)</f>
        <v>0.0</v>
      </c>
      <c r="V25" s="67">
        <f>IF(AND(ISNUMBER(L25),N(L25)&gt;0),N(L25),0)</f>
        <v>0.0</v>
      </c>
      <c r="W25" s="67">
        <f>IF(AND(I25="Terminée",S25&gt;0,C25&lt;&gt;"",ISNUMBER(MATCH(C25,eq_code,0))),1,0)</f>
        <v>0.0</v>
      </c>
      <c r="X25" s="67">
        <f>IF(AND(W25=1,E25="Préventif"),1,0)</f>
        <v>0.0</v>
      </c>
      <c r="Y25" s="67">
        <f>IF(AND(ISNUMBER(N25),N(N25)&gt;0),N(N25),0)</f>
        <v>0.0</v>
      </c>
      <c r="Z25" s="67">
        <f>IF(AND(ISNUMBER(P25),N(P25)&gt;0),N(P25),0)</f>
        <v>0.0</v>
      </c>
    </row>
    <row r="26">
      <c r="A26" s="79" t="str">
        <f>IF(COUNTA(B26:C26,E26:G26,I26)=0,"","BI-"&amp;RIGHT("0000"&amp;(ROW()-5),4))</f>
        <v/>
      </c>
      <c r="B26" s="72" t="n"/>
      <c r="C26" s="66" t="n"/>
      <c r="D26" s="67" t="str">
        <f>IF(C26="","",IFERROR(INDEX(eq_des,MATCH(C26,eq_code,0))&amp;"","Équipement inconnu"))</f>
        <v/>
      </c>
      <c r="E26" s="68" t="n"/>
      <c r="F26" s="68" t="n"/>
      <c r="G26" s="66" t="n"/>
      <c r="H26" s="66" t="n"/>
      <c r="I26" s="68" t="n"/>
      <c r="J26" s="73" t="n"/>
      <c r="K26" s="71" t="n"/>
      <c r="L26" s="71" t="n"/>
      <c r="M26" s="66" t="n"/>
      <c r="N26" s="80" t="n"/>
      <c r="O26" s="81" t="str">
        <f>IF(A26="","",ROUND(V26*IFERROR(N(INDEX(tech_rate,MATCH(M26,tech_name,0))),0),2))</f>
        <v/>
      </c>
      <c r="P26" s="80" t="n"/>
      <c r="Q26" s="81" t="str">
        <f>IF(A26="","",ROUND(Y26+O26+Z26,2))</f>
        <v/>
      </c>
      <c r="R26" s="79" t="str">
        <f>IF(A26="","",IF(S26=0,"Date manquante ou invalide",IF(C26="","Équipement manquant",IF(ISNA(MATCH(C26,eq_code,0)),"Équipement inconnu",IF(E26="","Type manquant",IF(AND(E26&lt;&gt;"Préventif",E26&lt;&gt;"Correctif",E26&lt;&gt;"Amélioratif"),"Type inconnu",IF(I26="","Statut manquant",IF(AND(I26&lt;&gt;"Terminée",I26&lt;&gt;"En cours",I26&lt;&gt;"À faire",I26&lt;&gt;"Annulée"),"Statut inconnu",IF(AND(E26="Préventif",F26=""),"Plan manquant (préventif)",IF(AND(F26&lt;&gt;"",ISNA(MATCH(F26,pl_num,0))),"Plan inconnu",IF(AND(F26&lt;&gt;"",IFERROR(INDEX(pl_eq,MATCH(F26,pl_num,0))&amp;"",C26)&lt;&gt;C26),"Plan d'un autre équipement",IF(AND(J26&lt;&gt;"",OR(NOT(ISNUMBER(J26)),N(J26)&lt;0)),"Compteur invalide",IF(OR(AND(K26&lt;&gt;"",OR(NOT(ISNUMBER(K26)),N(K26)&lt;0)),AND(L26&lt;&gt;"",OR(NOT(ISNUMBER(L26)),N(L26)&lt;0))),"Durée invalide",IF(OR(AND(N26&lt;&gt;"",OR(NOT(ISNUMBER(N26)),N(N26)&lt;0)),AND(P26&lt;&gt;"",OR(NOT(ISNUMBER(P26)),N(P26)&lt;0))),"Coût invalide",IF(AND(M26&lt;&gt;"",ISNA(MATCH(M26,tech_name,0))),"Technicien inconnu",IF(AND(I26="Terminée",S26&gt;p_today),"Terminée à une date future",IF(AND(I26="Terminée",V26=0),"Durée d'intervention manquante",IF(AND(I26="Terminée",E26="Préventif",T26=0,OR(IFERROR(INDEX(pl_trig,MATCH(F26,pl_num,0))&amp;"","")="Compteur",IFERROR(INDEX(pl_trig,MATCH(F26,pl_num,0))&amp;"","")="Au premier des deux")),"Compteur manquant (plan au compteur)","OK"))))))))))))))))))</f>
        <v/>
      </c>
      <c r="S26" s="67">
        <f>IF(AND(ISNUMBER(B26),N(B26)&gt;0),INT(B26),0)</f>
        <v>0.0</v>
      </c>
      <c r="T26" s="67">
        <f>IF(AND(ISNUMBER(J26),N(J26)&gt;=0),N(J26),0)</f>
        <v>0.0</v>
      </c>
      <c r="U26" s="67">
        <f>IF(AND(ISNUMBER(K26),N(K26)&gt;0),N(K26),0)</f>
        <v>0.0</v>
      </c>
      <c r="V26" s="67">
        <f>IF(AND(ISNUMBER(L26),N(L26)&gt;0),N(L26),0)</f>
        <v>0.0</v>
      </c>
      <c r="W26" s="67">
        <f>IF(AND(I26="Terminée",S26&gt;0,C26&lt;&gt;"",ISNUMBER(MATCH(C26,eq_code,0))),1,0)</f>
        <v>0.0</v>
      </c>
      <c r="X26" s="67">
        <f>IF(AND(W26=1,E26="Préventif"),1,0)</f>
        <v>0.0</v>
      </c>
      <c r="Y26" s="67">
        <f>IF(AND(ISNUMBER(N26),N(N26)&gt;0),N(N26),0)</f>
        <v>0.0</v>
      </c>
      <c r="Z26" s="67">
        <f>IF(AND(ISNUMBER(P26),N(P26)&gt;0),N(P26),0)</f>
        <v>0.0</v>
      </c>
    </row>
    <row r="27">
      <c r="A27" s="79" t="str">
        <f>IF(COUNTA(B27:C27,E27:G27,I27)=0,"","BI-"&amp;RIGHT("0000"&amp;(ROW()-5),4))</f>
        <v/>
      </c>
      <c r="B27" s="72" t="n"/>
      <c r="C27" s="66" t="n"/>
      <c r="D27" s="67" t="str">
        <f>IF(C27="","",IFERROR(INDEX(eq_des,MATCH(C27,eq_code,0))&amp;"","Équipement inconnu"))</f>
        <v/>
      </c>
      <c r="E27" s="68" t="n"/>
      <c r="F27" s="68" t="n"/>
      <c r="G27" s="66" t="n"/>
      <c r="H27" s="66" t="n"/>
      <c r="I27" s="68" t="n"/>
      <c r="J27" s="73" t="n"/>
      <c r="K27" s="71" t="n"/>
      <c r="L27" s="71" t="n"/>
      <c r="M27" s="66" t="n"/>
      <c r="N27" s="80" t="n"/>
      <c r="O27" s="81" t="str">
        <f>IF(A27="","",ROUND(V27*IFERROR(N(INDEX(tech_rate,MATCH(M27,tech_name,0))),0),2))</f>
        <v/>
      </c>
      <c r="P27" s="80" t="n"/>
      <c r="Q27" s="81" t="str">
        <f>IF(A27="","",ROUND(Y27+O27+Z27,2))</f>
        <v/>
      </c>
      <c r="R27" s="79" t="str">
        <f>IF(A27="","",IF(S27=0,"Date manquante ou invalide",IF(C27="","Équipement manquant",IF(ISNA(MATCH(C27,eq_code,0)),"Équipement inconnu",IF(E27="","Type manquant",IF(AND(E27&lt;&gt;"Préventif",E27&lt;&gt;"Correctif",E27&lt;&gt;"Amélioratif"),"Type inconnu",IF(I27="","Statut manquant",IF(AND(I27&lt;&gt;"Terminée",I27&lt;&gt;"En cours",I27&lt;&gt;"À faire",I27&lt;&gt;"Annulée"),"Statut inconnu",IF(AND(E27="Préventif",F27=""),"Plan manquant (préventif)",IF(AND(F27&lt;&gt;"",ISNA(MATCH(F27,pl_num,0))),"Plan inconnu",IF(AND(F27&lt;&gt;"",IFERROR(INDEX(pl_eq,MATCH(F27,pl_num,0))&amp;"",C27)&lt;&gt;C27),"Plan d'un autre équipement",IF(AND(J27&lt;&gt;"",OR(NOT(ISNUMBER(J27)),N(J27)&lt;0)),"Compteur invalide",IF(OR(AND(K27&lt;&gt;"",OR(NOT(ISNUMBER(K27)),N(K27)&lt;0)),AND(L27&lt;&gt;"",OR(NOT(ISNUMBER(L27)),N(L27)&lt;0))),"Durée invalide",IF(OR(AND(N27&lt;&gt;"",OR(NOT(ISNUMBER(N27)),N(N27)&lt;0)),AND(P27&lt;&gt;"",OR(NOT(ISNUMBER(P27)),N(P27)&lt;0))),"Coût invalide",IF(AND(M27&lt;&gt;"",ISNA(MATCH(M27,tech_name,0))),"Technicien inconnu",IF(AND(I27="Terminée",S27&gt;p_today),"Terminée à une date future",IF(AND(I27="Terminée",V27=0),"Durée d'intervention manquante",IF(AND(I27="Terminée",E27="Préventif",T27=0,OR(IFERROR(INDEX(pl_trig,MATCH(F27,pl_num,0))&amp;"","")="Compteur",IFERROR(INDEX(pl_trig,MATCH(F27,pl_num,0))&amp;"","")="Au premier des deux")),"Compteur manquant (plan au compteur)","OK"))))))))))))))))))</f>
        <v/>
      </c>
      <c r="S27" s="67">
        <f>IF(AND(ISNUMBER(B27),N(B27)&gt;0),INT(B27),0)</f>
        <v>0.0</v>
      </c>
      <c r="T27" s="67">
        <f>IF(AND(ISNUMBER(J27),N(J27)&gt;=0),N(J27),0)</f>
        <v>0.0</v>
      </c>
      <c r="U27" s="67">
        <f>IF(AND(ISNUMBER(K27),N(K27)&gt;0),N(K27),0)</f>
        <v>0.0</v>
      </c>
      <c r="V27" s="67">
        <f>IF(AND(ISNUMBER(L27),N(L27)&gt;0),N(L27),0)</f>
        <v>0.0</v>
      </c>
      <c r="W27" s="67">
        <f>IF(AND(I27="Terminée",S27&gt;0,C27&lt;&gt;"",ISNUMBER(MATCH(C27,eq_code,0))),1,0)</f>
        <v>0.0</v>
      </c>
      <c r="X27" s="67">
        <f>IF(AND(W27=1,E27="Préventif"),1,0)</f>
        <v>0.0</v>
      </c>
      <c r="Y27" s="67">
        <f>IF(AND(ISNUMBER(N27),N(N27)&gt;0),N(N27),0)</f>
        <v>0.0</v>
      </c>
      <c r="Z27" s="67">
        <f>IF(AND(ISNUMBER(P27),N(P27)&gt;0),N(P27),0)</f>
        <v>0.0</v>
      </c>
    </row>
    <row r="28">
      <c r="A28" s="79" t="str">
        <f>IF(COUNTA(B28:C28,E28:G28,I28)=0,"","BI-"&amp;RIGHT("0000"&amp;(ROW()-5),4))</f>
        <v/>
      </c>
      <c r="B28" s="72" t="n"/>
      <c r="C28" s="66" t="n"/>
      <c r="D28" s="67" t="str">
        <f>IF(C28="","",IFERROR(INDEX(eq_des,MATCH(C28,eq_code,0))&amp;"","Équipement inconnu"))</f>
        <v/>
      </c>
      <c r="E28" s="68" t="n"/>
      <c r="F28" s="68" t="n"/>
      <c r="G28" s="66" t="n"/>
      <c r="H28" s="66" t="n"/>
      <c r="I28" s="68" t="n"/>
      <c r="J28" s="73" t="n"/>
      <c r="K28" s="71" t="n"/>
      <c r="L28" s="71" t="n"/>
      <c r="M28" s="66" t="n"/>
      <c r="N28" s="80" t="n"/>
      <c r="O28" s="81" t="str">
        <f>IF(A28="","",ROUND(V28*IFERROR(N(INDEX(tech_rate,MATCH(M28,tech_name,0))),0),2))</f>
        <v/>
      </c>
      <c r="P28" s="80" t="n"/>
      <c r="Q28" s="81" t="str">
        <f>IF(A28="","",ROUND(Y28+O28+Z28,2))</f>
        <v/>
      </c>
      <c r="R28" s="79" t="str">
        <f>IF(A28="","",IF(S28=0,"Date manquante ou invalide",IF(C28="","Équipement manquant",IF(ISNA(MATCH(C28,eq_code,0)),"Équipement inconnu",IF(E28="","Type manquant",IF(AND(E28&lt;&gt;"Préventif",E28&lt;&gt;"Correctif",E28&lt;&gt;"Amélioratif"),"Type inconnu",IF(I28="","Statut manquant",IF(AND(I28&lt;&gt;"Terminée",I28&lt;&gt;"En cours",I28&lt;&gt;"À faire",I28&lt;&gt;"Annulée"),"Statut inconnu",IF(AND(E28="Préventif",F28=""),"Plan manquant (préventif)",IF(AND(F28&lt;&gt;"",ISNA(MATCH(F28,pl_num,0))),"Plan inconnu",IF(AND(F28&lt;&gt;"",IFERROR(INDEX(pl_eq,MATCH(F28,pl_num,0))&amp;"",C28)&lt;&gt;C28),"Plan d'un autre équipement",IF(AND(J28&lt;&gt;"",OR(NOT(ISNUMBER(J28)),N(J28)&lt;0)),"Compteur invalide",IF(OR(AND(K28&lt;&gt;"",OR(NOT(ISNUMBER(K28)),N(K28)&lt;0)),AND(L28&lt;&gt;"",OR(NOT(ISNUMBER(L28)),N(L28)&lt;0))),"Durée invalide",IF(OR(AND(N28&lt;&gt;"",OR(NOT(ISNUMBER(N28)),N(N28)&lt;0)),AND(P28&lt;&gt;"",OR(NOT(ISNUMBER(P28)),N(P28)&lt;0))),"Coût invalide",IF(AND(M28&lt;&gt;"",ISNA(MATCH(M28,tech_name,0))),"Technicien inconnu",IF(AND(I28="Terminée",S28&gt;p_today),"Terminée à une date future",IF(AND(I28="Terminée",V28=0),"Durée d'intervention manquante",IF(AND(I28="Terminée",E28="Préventif",T28=0,OR(IFERROR(INDEX(pl_trig,MATCH(F28,pl_num,0))&amp;"","")="Compteur",IFERROR(INDEX(pl_trig,MATCH(F28,pl_num,0))&amp;"","")="Au premier des deux")),"Compteur manquant (plan au compteur)","OK"))))))))))))))))))</f>
        <v/>
      </c>
      <c r="S28" s="67">
        <f>IF(AND(ISNUMBER(B28),N(B28)&gt;0),INT(B28),0)</f>
        <v>0.0</v>
      </c>
      <c r="T28" s="67">
        <f>IF(AND(ISNUMBER(J28),N(J28)&gt;=0),N(J28),0)</f>
        <v>0.0</v>
      </c>
      <c r="U28" s="67">
        <f>IF(AND(ISNUMBER(K28),N(K28)&gt;0),N(K28),0)</f>
        <v>0.0</v>
      </c>
      <c r="V28" s="67">
        <f>IF(AND(ISNUMBER(L28),N(L28)&gt;0),N(L28),0)</f>
        <v>0.0</v>
      </c>
      <c r="W28" s="67">
        <f>IF(AND(I28="Terminée",S28&gt;0,C28&lt;&gt;"",ISNUMBER(MATCH(C28,eq_code,0))),1,0)</f>
        <v>0.0</v>
      </c>
      <c r="X28" s="67">
        <f>IF(AND(W28=1,E28="Préventif"),1,0)</f>
        <v>0.0</v>
      </c>
      <c r="Y28" s="67">
        <f>IF(AND(ISNUMBER(N28),N(N28)&gt;0),N(N28),0)</f>
        <v>0.0</v>
      </c>
      <c r="Z28" s="67">
        <f>IF(AND(ISNUMBER(P28),N(P28)&gt;0),N(P28),0)</f>
        <v>0.0</v>
      </c>
    </row>
    <row r="29">
      <c r="A29" s="79" t="str">
        <f>IF(COUNTA(B29:C29,E29:G29,I29)=0,"","BI-"&amp;RIGHT("0000"&amp;(ROW()-5),4))</f>
        <v/>
      </c>
      <c r="B29" s="72" t="n"/>
      <c r="C29" s="66" t="n"/>
      <c r="D29" s="67" t="str">
        <f>IF(C29="","",IFERROR(INDEX(eq_des,MATCH(C29,eq_code,0))&amp;"","Équipement inconnu"))</f>
        <v/>
      </c>
      <c r="E29" s="68" t="n"/>
      <c r="F29" s="68" t="n"/>
      <c r="G29" s="66" t="n"/>
      <c r="H29" s="66" t="n"/>
      <c r="I29" s="68" t="n"/>
      <c r="J29" s="73" t="n"/>
      <c r="K29" s="71" t="n"/>
      <c r="L29" s="71" t="n"/>
      <c r="M29" s="66" t="n"/>
      <c r="N29" s="80" t="n"/>
      <c r="O29" s="81" t="str">
        <f>IF(A29="","",ROUND(V29*IFERROR(N(INDEX(tech_rate,MATCH(M29,tech_name,0))),0),2))</f>
        <v/>
      </c>
      <c r="P29" s="80" t="n"/>
      <c r="Q29" s="81" t="str">
        <f>IF(A29="","",ROUND(Y29+O29+Z29,2))</f>
        <v/>
      </c>
      <c r="R29" s="79" t="str">
        <f>IF(A29="","",IF(S29=0,"Date manquante ou invalide",IF(C29="","Équipement manquant",IF(ISNA(MATCH(C29,eq_code,0)),"Équipement inconnu",IF(E29="","Type manquant",IF(AND(E29&lt;&gt;"Préventif",E29&lt;&gt;"Correctif",E29&lt;&gt;"Amélioratif"),"Type inconnu",IF(I29="","Statut manquant",IF(AND(I29&lt;&gt;"Terminée",I29&lt;&gt;"En cours",I29&lt;&gt;"À faire",I29&lt;&gt;"Annulée"),"Statut inconnu",IF(AND(E29="Préventif",F29=""),"Plan manquant (préventif)",IF(AND(F29&lt;&gt;"",ISNA(MATCH(F29,pl_num,0))),"Plan inconnu",IF(AND(F29&lt;&gt;"",IFERROR(INDEX(pl_eq,MATCH(F29,pl_num,0))&amp;"",C29)&lt;&gt;C29),"Plan d'un autre équipement",IF(AND(J29&lt;&gt;"",OR(NOT(ISNUMBER(J29)),N(J29)&lt;0)),"Compteur invalide",IF(OR(AND(K29&lt;&gt;"",OR(NOT(ISNUMBER(K29)),N(K29)&lt;0)),AND(L29&lt;&gt;"",OR(NOT(ISNUMBER(L29)),N(L29)&lt;0))),"Durée invalide",IF(OR(AND(N29&lt;&gt;"",OR(NOT(ISNUMBER(N29)),N(N29)&lt;0)),AND(P29&lt;&gt;"",OR(NOT(ISNUMBER(P29)),N(P29)&lt;0))),"Coût invalide",IF(AND(M29&lt;&gt;"",ISNA(MATCH(M29,tech_name,0))),"Technicien inconnu",IF(AND(I29="Terminée",S29&gt;p_today),"Terminée à une date future",IF(AND(I29="Terminée",V29=0),"Durée d'intervention manquante",IF(AND(I29="Terminée",E29="Préventif",T29=0,OR(IFERROR(INDEX(pl_trig,MATCH(F29,pl_num,0))&amp;"","")="Compteur",IFERROR(INDEX(pl_trig,MATCH(F29,pl_num,0))&amp;"","")="Au premier des deux")),"Compteur manquant (plan au compteur)","OK"))))))))))))))))))</f>
        <v/>
      </c>
      <c r="S29" s="67">
        <f>IF(AND(ISNUMBER(B29),N(B29)&gt;0),INT(B29),0)</f>
        <v>0.0</v>
      </c>
      <c r="T29" s="67">
        <f>IF(AND(ISNUMBER(J29),N(J29)&gt;=0),N(J29),0)</f>
        <v>0.0</v>
      </c>
      <c r="U29" s="67">
        <f>IF(AND(ISNUMBER(K29),N(K29)&gt;0),N(K29),0)</f>
        <v>0.0</v>
      </c>
      <c r="V29" s="67">
        <f>IF(AND(ISNUMBER(L29),N(L29)&gt;0),N(L29),0)</f>
        <v>0.0</v>
      </c>
      <c r="W29" s="67">
        <f>IF(AND(I29="Terminée",S29&gt;0,C29&lt;&gt;"",ISNUMBER(MATCH(C29,eq_code,0))),1,0)</f>
        <v>0.0</v>
      </c>
      <c r="X29" s="67">
        <f>IF(AND(W29=1,E29="Préventif"),1,0)</f>
        <v>0.0</v>
      </c>
      <c r="Y29" s="67">
        <f>IF(AND(ISNUMBER(N29),N(N29)&gt;0),N(N29),0)</f>
        <v>0.0</v>
      </c>
      <c r="Z29" s="67">
        <f>IF(AND(ISNUMBER(P29),N(P29)&gt;0),N(P29),0)</f>
        <v>0.0</v>
      </c>
    </row>
    <row r="30">
      <c r="A30" s="79" t="str">
        <f>IF(COUNTA(B30:C30,E30:G30,I30)=0,"","BI-"&amp;RIGHT("0000"&amp;(ROW()-5),4))</f>
        <v/>
      </c>
      <c r="B30" s="72" t="n"/>
      <c r="C30" s="66" t="n"/>
      <c r="D30" s="67" t="str">
        <f>IF(C30="","",IFERROR(INDEX(eq_des,MATCH(C30,eq_code,0))&amp;"","Équipement inconnu"))</f>
        <v/>
      </c>
      <c r="E30" s="68" t="n"/>
      <c r="F30" s="68" t="n"/>
      <c r="G30" s="66" t="n"/>
      <c r="H30" s="66" t="n"/>
      <c r="I30" s="68" t="n"/>
      <c r="J30" s="73" t="n"/>
      <c r="K30" s="71" t="n"/>
      <c r="L30" s="71" t="n"/>
      <c r="M30" s="66" t="n"/>
      <c r="N30" s="80" t="n"/>
      <c r="O30" s="81" t="str">
        <f>IF(A30="","",ROUND(V30*IFERROR(N(INDEX(tech_rate,MATCH(M30,tech_name,0))),0),2))</f>
        <v/>
      </c>
      <c r="P30" s="80" t="n"/>
      <c r="Q30" s="81" t="str">
        <f>IF(A30="","",ROUND(Y30+O30+Z30,2))</f>
        <v/>
      </c>
      <c r="R30" s="79" t="str">
        <f>IF(A30="","",IF(S30=0,"Date manquante ou invalide",IF(C30="","Équipement manquant",IF(ISNA(MATCH(C30,eq_code,0)),"Équipement inconnu",IF(E30="","Type manquant",IF(AND(E30&lt;&gt;"Préventif",E30&lt;&gt;"Correctif",E30&lt;&gt;"Amélioratif"),"Type inconnu",IF(I30="","Statut manquant",IF(AND(I30&lt;&gt;"Terminée",I30&lt;&gt;"En cours",I30&lt;&gt;"À faire",I30&lt;&gt;"Annulée"),"Statut inconnu",IF(AND(E30="Préventif",F30=""),"Plan manquant (préventif)",IF(AND(F30&lt;&gt;"",ISNA(MATCH(F30,pl_num,0))),"Plan inconnu",IF(AND(F30&lt;&gt;"",IFERROR(INDEX(pl_eq,MATCH(F30,pl_num,0))&amp;"",C30)&lt;&gt;C30),"Plan d'un autre équipement",IF(AND(J30&lt;&gt;"",OR(NOT(ISNUMBER(J30)),N(J30)&lt;0)),"Compteur invalide",IF(OR(AND(K30&lt;&gt;"",OR(NOT(ISNUMBER(K30)),N(K30)&lt;0)),AND(L30&lt;&gt;"",OR(NOT(ISNUMBER(L30)),N(L30)&lt;0))),"Durée invalide",IF(OR(AND(N30&lt;&gt;"",OR(NOT(ISNUMBER(N30)),N(N30)&lt;0)),AND(P30&lt;&gt;"",OR(NOT(ISNUMBER(P30)),N(P30)&lt;0))),"Coût invalide",IF(AND(M30&lt;&gt;"",ISNA(MATCH(M30,tech_name,0))),"Technicien inconnu",IF(AND(I30="Terminée",S30&gt;p_today),"Terminée à une date future",IF(AND(I30="Terminée",V30=0),"Durée d'intervention manquante",IF(AND(I30="Terminée",E30="Préventif",T30=0,OR(IFERROR(INDEX(pl_trig,MATCH(F30,pl_num,0))&amp;"","")="Compteur",IFERROR(INDEX(pl_trig,MATCH(F30,pl_num,0))&amp;"","")="Au premier des deux")),"Compteur manquant (plan au compteur)","OK"))))))))))))))))))</f>
        <v/>
      </c>
      <c r="S30" s="67">
        <f>IF(AND(ISNUMBER(B30),N(B30)&gt;0),INT(B30),0)</f>
        <v>0.0</v>
      </c>
      <c r="T30" s="67">
        <f>IF(AND(ISNUMBER(J30),N(J30)&gt;=0),N(J30),0)</f>
        <v>0.0</v>
      </c>
      <c r="U30" s="67">
        <f>IF(AND(ISNUMBER(K30),N(K30)&gt;0),N(K30),0)</f>
        <v>0.0</v>
      </c>
      <c r="V30" s="67">
        <f>IF(AND(ISNUMBER(L30),N(L30)&gt;0),N(L30),0)</f>
        <v>0.0</v>
      </c>
      <c r="W30" s="67">
        <f>IF(AND(I30="Terminée",S30&gt;0,C30&lt;&gt;"",ISNUMBER(MATCH(C30,eq_code,0))),1,0)</f>
        <v>0.0</v>
      </c>
      <c r="X30" s="67">
        <f>IF(AND(W30=1,E30="Préventif"),1,0)</f>
        <v>0.0</v>
      </c>
      <c r="Y30" s="67">
        <f>IF(AND(ISNUMBER(N30),N(N30)&gt;0),N(N30),0)</f>
        <v>0.0</v>
      </c>
      <c r="Z30" s="67">
        <f>IF(AND(ISNUMBER(P30),N(P30)&gt;0),N(P30),0)</f>
        <v>0.0</v>
      </c>
    </row>
    <row r="31">
      <c r="A31" s="79" t="str">
        <f>IF(COUNTA(B31:C31,E31:G31,I31)=0,"","BI-"&amp;RIGHT("0000"&amp;(ROW()-5),4))</f>
        <v/>
      </c>
      <c r="B31" s="72" t="n"/>
      <c r="C31" s="66" t="n"/>
      <c r="D31" s="67" t="str">
        <f>IF(C31="","",IFERROR(INDEX(eq_des,MATCH(C31,eq_code,0))&amp;"","Équipement inconnu"))</f>
        <v/>
      </c>
      <c r="E31" s="68" t="n"/>
      <c r="F31" s="68" t="n"/>
      <c r="G31" s="66" t="n"/>
      <c r="H31" s="66" t="n"/>
      <c r="I31" s="68" t="n"/>
      <c r="J31" s="73" t="n"/>
      <c r="K31" s="71" t="n"/>
      <c r="L31" s="71" t="n"/>
      <c r="M31" s="66" t="n"/>
      <c r="N31" s="80" t="n"/>
      <c r="O31" s="81" t="str">
        <f>IF(A31="","",ROUND(V31*IFERROR(N(INDEX(tech_rate,MATCH(M31,tech_name,0))),0),2))</f>
        <v/>
      </c>
      <c r="P31" s="80" t="n"/>
      <c r="Q31" s="81" t="str">
        <f>IF(A31="","",ROUND(Y31+O31+Z31,2))</f>
        <v/>
      </c>
      <c r="R31" s="79" t="str">
        <f>IF(A31="","",IF(S31=0,"Date manquante ou invalide",IF(C31="","Équipement manquant",IF(ISNA(MATCH(C31,eq_code,0)),"Équipement inconnu",IF(E31="","Type manquant",IF(AND(E31&lt;&gt;"Préventif",E31&lt;&gt;"Correctif",E31&lt;&gt;"Amélioratif"),"Type inconnu",IF(I31="","Statut manquant",IF(AND(I31&lt;&gt;"Terminée",I31&lt;&gt;"En cours",I31&lt;&gt;"À faire",I31&lt;&gt;"Annulée"),"Statut inconnu",IF(AND(E31="Préventif",F31=""),"Plan manquant (préventif)",IF(AND(F31&lt;&gt;"",ISNA(MATCH(F31,pl_num,0))),"Plan inconnu",IF(AND(F31&lt;&gt;"",IFERROR(INDEX(pl_eq,MATCH(F31,pl_num,0))&amp;"",C31)&lt;&gt;C31),"Plan d'un autre équipement",IF(AND(J31&lt;&gt;"",OR(NOT(ISNUMBER(J31)),N(J31)&lt;0)),"Compteur invalide",IF(OR(AND(K31&lt;&gt;"",OR(NOT(ISNUMBER(K31)),N(K31)&lt;0)),AND(L31&lt;&gt;"",OR(NOT(ISNUMBER(L31)),N(L31)&lt;0))),"Durée invalide",IF(OR(AND(N31&lt;&gt;"",OR(NOT(ISNUMBER(N31)),N(N31)&lt;0)),AND(P31&lt;&gt;"",OR(NOT(ISNUMBER(P31)),N(P31)&lt;0))),"Coût invalide",IF(AND(M31&lt;&gt;"",ISNA(MATCH(M31,tech_name,0))),"Technicien inconnu",IF(AND(I31="Terminée",S31&gt;p_today),"Terminée à une date future",IF(AND(I31="Terminée",V31=0),"Durée d'intervention manquante",IF(AND(I31="Terminée",E31="Préventif",T31=0,OR(IFERROR(INDEX(pl_trig,MATCH(F31,pl_num,0))&amp;"","")="Compteur",IFERROR(INDEX(pl_trig,MATCH(F31,pl_num,0))&amp;"","")="Au premier des deux")),"Compteur manquant (plan au compteur)","OK"))))))))))))))))))</f>
        <v/>
      </c>
      <c r="S31" s="67">
        <f>IF(AND(ISNUMBER(B31),N(B31)&gt;0),INT(B31),0)</f>
        <v>0.0</v>
      </c>
      <c r="T31" s="67">
        <f>IF(AND(ISNUMBER(J31),N(J31)&gt;=0),N(J31),0)</f>
        <v>0.0</v>
      </c>
      <c r="U31" s="67">
        <f>IF(AND(ISNUMBER(K31),N(K31)&gt;0),N(K31),0)</f>
        <v>0.0</v>
      </c>
      <c r="V31" s="67">
        <f>IF(AND(ISNUMBER(L31),N(L31)&gt;0),N(L31),0)</f>
        <v>0.0</v>
      </c>
      <c r="W31" s="67">
        <f>IF(AND(I31="Terminée",S31&gt;0,C31&lt;&gt;"",ISNUMBER(MATCH(C31,eq_code,0))),1,0)</f>
        <v>0.0</v>
      </c>
      <c r="X31" s="67">
        <f>IF(AND(W31=1,E31="Préventif"),1,0)</f>
        <v>0.0</v>
      </c>
      <c r="Y31" s="67">
        <f>IF(AND(ISNUMBER(N31),N(N31)&gt;0),N(N31),0)</f>
        <v>0.0</v>
      </c>
      <c r="Z31" s="67">
        <f>IF(AND(ISNUMBER(P31),N(P31)&gt;0),N(P31),0)</f>
        <v>0.0</v>
      </c>
    </row>
    <row r="32">
      <c r="A32" s="79" t="str">
        <f>IF(COUNTA(B32:C32,E32:G32,I32)=0,"","BI-"&amp;RIGHT("0000"&amp;(ROW()-5),4))</f>
        <v/>
      </c>
      <c r="B32" s="72" t="n"/>
      <c r="C32" s="66" t="n"/>
      <c r="D32" s="67" t="str">
        <f>IF(C32="","",IFERROR(INDEX(eq_des,MATCH(C32,eq_code,0))&amp;"","Équipement inconnu"))</f>
        <v/>
      </c>
      <c r="E32" s="68" t="n"/>
      <c r="F32" s="68" t="n"/>
      <c r="G32" s="66" t="n"/>
      <c r="H32" s="66" t="n"/>
      <c r="I32" s="68" t="n"/>
      <c r="J32" s="73" t="n"/>
      <c r="K32" s="71" t="n"/>
      <c r="L32" s="71" t="n"/>
      <c r="M32" s="66" t="n"/>
      <c r="N32" s="80" t="n"/>
      <c r="O32" s="81" t="str">
        <f>IF(A32="","",ROUND(V32*IFERROR(N(INDEX(tech_rate,MATCH(M32,tech_name,0))),0),2))</f>
        <v/>
      </c>
      <c r="P32" s="80" t="n"/>
      <c r="Q32" s="81" t="str">
        <f>IF(A32="","",ROUND(Y32+O32+Z32,2))</f>
        <v/>
      </c>
      <c r="R32" s="79" t="str">
        <f>IF(A32="","",IF(S32=0,"Date manquante ou invalide",IF(C32="","Équipement manquant",IF(ISNA(MATCH(C32,eq_code,0)),"Équipement inconnu",IF(E32="","Type manquant",IF(AND(E32&lt;&gt;"Préventif",E32&lt;&gt;"Correctif",E32&lt;&gt;"Amélioratif"),"Type inconnu",IF(I32="","Statut manquant",IF(AND(I32&lt;&gt;"Terminée",I32&lt;&gt;"En cours",I32&lt;&gt;"À faire",I32&lt;&gt;"Annulée"),"Statut inconnu",IF(AND(E32="Préventif",F32=""),"Plan manquant (préventif)",IF(AND(F32&lt;&gt;"",ISNA(MATCH(F32,pl_num,0))),"Plan inconnu",IF(AND(F32&lt;&gt;"",IFERROR(INDEX(pl_eq,MATCH(F32,pl_num,0))&amp;"",C32)&lt;&gt;C32),"Plan d'un autre équipement",IF(AND(J32&lt;&gt;"",OR(NOT(ISNUMBER(J32)),N(J32)&lt;0)),"Compteur invalide",IF(OR(AND(K32&lt;&gt;"",OR(NOT(ISNUMBER(K32)),N(K32)&lt;0)),AND(L32&lt;&gt;"",OR(NOT(ISNUMBER(L32)),N(L32)&lt;0))),"Durée invalide",IF(OR(AND(N32&lt;&gt;"",OR(NOT(ISNUMBER(N32)),N(N32)&lt;0)),AND(P32&lt;&gt;"",OR(NOT(ISNUMBER(P32)),N(P32)&lt;0))),"Coût invalide",IF(AND(M32&lt;&gt;"",ISNA(MATCH(M32,tech_name,0))),"Technicien inconnu",IF(AND(I32="Terminée",S32&gt;p_today),"Terminée à une date future",IF(AND(I32="Terminée",V32=0),"Durée d'intervention manquante",IF(AND(I32="Terminée",E32="Préventif",T32=0,OR(IFERROR(INDEX(pl_trig,MATCH(F32,pl_num,0))&amp;"","")="Compteur",IFERROR(INDEX(pl_trig,MATCH(F32,pl_num,0))&amp;"","")="Au premier des deux")),"Compteur manquant (plan au compteur)","OK"))))))))))))))))))</f>
        <v/>
      </c>
      <c r="S32" s="67">
        <f>IF(AND(ISNUMBER(B32),N(B32)&gt;0),INT(B32),0)</f>
        <v>0.0</v>
      </c>
      <c r="T32" s="67">
        <f>IF(AND(ISNUMBER(J32),N(J32)&gt;=0),N(J32),0)</f>
        <v>0.0</v>
      </c>
      <c r="U32" s="67">
        <f>IF(AND(ISNUMBER(K32),N(K32)&gt;0),N(K32),0)</f>
        <v>0.0</v>
      </c>
      <c r="V32" s="67">
        <f>IF(AND(ISNUMBER(L32),N(L32)&gt;0),N(L32),0)</f>
        <v>0.0</v>
      </c>
      <c r="W32" s="67">
        <f>IF(AND(I32="Terminée",S32&gt;0,C32&lt;&gt;"",ISNUMBER(MATCH(C32,eq_code,0))),1,0)</f>
        <v>0.0</v>
      </c>
      <c r="X32" s="67">
        <f>IF(AND(W32=1,E32="Préventif"),1,0)</f>
        <v>0.0</v>
      </c>
      <c r="Y32" s="67">
        <f>IF(AND(ISNUMBER(N32),N(N32)&gt;0),N(N32),0)</f>
        <v>0.0</v>
      </c>
      <c r="Z32" s="67">
        <f>IF(AND(ISNUMBER(P32),N(P32)&gt;0),N(P32),0)</f>
        <v>0.0</v>
      </c>
    </row>
    <row r="33">
      <c r="A33" s="79" t="str">
        <f>IF(COUNTA(B33:C33,E33:G33,I33)=0,"","BI-"&amp;RIGHT("0000"&amp;(ROW()-5),4))</f>
        <v/>
      </c>
      <c r="B33" s="72" t="n"/>
      <c r="C33" s="66" t="n"/>
      <c r="D33" s="67" t="str">
        <f>IF(C33="","",IFERROR(INDEX(eq_des,MATCH(C33,eq_code,0))&amp;"","Équipement inconnu"))</f>
        <v/>
      </c>
      <c r="E33" s="68" t="n"/>
      <c r="F33" s="68" t="n"/>
      <c r="G33" s="66" t="n"/>
      <c r="H33" s="66" t="n"/>
      <c r="I33" s="68" t="n"/>
      <c r="J33" s="73" t="n"/>
      <c r="K33" s="71" t="n"/>
      <c r="L33" s="71" t="n"/>
      <c r="M33" s="66" t="n"/>
      <c r="N33" s="80" t="n"/>
      <c r="O33" s="81" t="str">
        <f>IF(A33="","",ROUND(V33*IFERROR(N(INDEX(tech_rate,MATCH(M33,tech_name,0))),0),2))</f>
        <v/>
      </c>
      <c r="P33" s="80" t="n"/>
      <c r="Q33" s="81" t="str">
        <f>IF(A33="","",ROUND(Y33+O33+Z33,2))</f>
        <v/>
      </c>
      <c r="R33" s="79" t="str">
        <f>IF(A33="","",IF(S33=0,"Date manquante ou invalide",IF(C33="","Équipement manquant",IF(ISNA(MATCH(C33,eq_code,0)),"Équipement inconnu",IF(E33="","Type manquant",IF(AND(E33&lt;&gt;"Préventif",E33&lt;&gt;"Correctif",E33&lt;&gt;"Amélioratif"),"Type inconnu",IF(I33="","Statut manquant",IF(AND(I33&lt;&gt;"Terminée",I33&lt;&gt;"En cours",I33&lt;&gt;"À faire",I33&lt;&gt;"Annulée"),"Statut inconnu",IF(AND(E33="Préventif",F33=""),"Plan manquant (préventif)",IF(AND(F33&lt;&gt;"",ISNA(MATCH(F33,pl_num,0))),"Plan inconnu",IF(AND(F33&lt;&gt;"",IFERROR(INDEX(pl_eq,MATCH(F33,pl_num,0))&amp;"",C33)&lt;&gt;C33),"Plan d'un autre équipement",IF(AND(J33&lt;&gt;"",OR(NOT(ISNUMBER(J33)),N(J33)&lt;0)),"Compteur invalide",IF(OR(AND(K33&lt;&gt;"",OR(NOT(ISNUMBER(K33)),N(K33)&lt;0)),AND(L33&lt;&gt;"",OR(NOT(ISNUMBER(L33)),N(L33)&lt;0))),"Durée invalide",IF(OR(AND(N33&lt;&gt;"",OR(NOT(ISNUMBER(N33)),N(N33)&lt;0)),AND(P33&lt;&gt;"",OR(NOT(ISNUMBER(P33)),N(P33)&lt;0))),"Coût invalide",IF(AND(M33&lt;&gt;"",ISNA(MATCH(M33,tech_name,0))),"Technicien inconnu",IF(AND(I33="Terminée",S33&gt;p_today),"Terminée à une date future",IF(AND(I33="Terminée",V33=0),"Durée d'intervention manquante",IF(AND(I33="Terminée",E33="Préventif",T33=0,OR(IFERROR(INDEX(pl_trig,MATCH(F33,pl_num,0))&amp;"","")="Compteur",IFERROR(INDEX(pl_trig,MATCH(F33,pl_num,0))&amp;"","")="Au premier des deux")),"Compteur manquant (plan au compteur)","OK"))))))))))))))))))</f>
        <v/>
      </c>
      <c r="S33" s="67">
        <f>IF(AND(ISNUMBER(B33),N(B33)&gt;0),INT(B33),0)</f>
        <v>0.0</v>
      </c>
      <c r="T33" s="67">
        <f>IF(AND(ISNUMBER(J33),N(J33)&gt;=0),N(J33),0)</f>
        <v>0.0</v>
      </c>
      <c r="U33" s="67">
        <f>IF(AND(ISNUMBER(K33),N(K33)&gt;0),N(K33),0)</f>
        <v>0.0</v>
      </c>
      <c r="V33" s="67">
        <f>IF(AND(ISNUMBER(L33),N(L33)&gt;0),N(L33),0)</f>
        <v>0.0</v>
      </c>
      <c r="W33" s="67">
        <f>IF(AND(I33="Terminée",S33&gt;0,C33&lt;&gt;"",ISNUMBER(MATCH(C33,eq_code,0))),1,0)</f>
        <v>0.0</v>
      </c>
      <c r="X33" s="67">
        <f>IF(AND(W33=1,E33="Préventif"),1,0)</f>
        <v>0.0</v>
      </c>
      <c r="Y33" s="67">
        <f>IF(AND(ISNUMBER(N33),N(N33)&gt;0),N(N33),0)</f>
        <v>0.0</v>
      </c>
      <c r="Z33" s="67">
        <f>IF(AND(ISNUMBER(P33),N(P33)&gt;0),N(P33),0)</f>
        <v>0.0</v>
      </c>
    </row>
    <row r="34">
      <c r="A34" s="79" t="str">
        <f>IF(COUNTA(B34:C34,E34:G34,I34)=0,"","BI-"&amp;RIGHT("0000"&amp;(ROW()-5),4))</f>
        <v/>
      </c>
      <c r="B34" s="72" t="n"/>
      <c r="C34" s="66" t="n"/>
      <c r="D34" s="67" t="str">
        <f>IF(C34="","",IFERROR(INDEX(eq_des,MATCH(C34,eq_code,0))&amp;"","Équipement inconnu"))</f>
        <v/>
      </c>
      <c r="E34" s="68" t="n"/>
      <c r="F34" s="68" t="n"/>
      <c r="G34" s="66" t="n"/>
      <c r="H34" s="66" t="n"/>
      <c r="I34" s="68" t="n"/>
      <c r="J34" s="73" t="n"/>
      <c r="K34" s="71" t="n"/>
      <c r="L34" s="71" t="n"/>
      <c r="M34" s="66" t="n"/>
      <c r="N34" s="80" t="n"/>
      <c r="O34" s="81" t="str">
        <f>IF(A34="","",ROUND(V34*IFERROR(N(INDEX(tech_rate,MATCH(M34,tech_name,0))),0),2))</f>
        <v/>
      </c>
      <c r="P34" s="80" t="n"/>
      <c r="Q34" s="81" t="str">
        <f>IF(A34="","",ROUND(Y34+O34+Z34,2))</f>
        <v/>
      </c>
      <c r="R34" s="79" t="str">
        <f>IF(A34="","",IF(S34=0,"Date manquante ou invalide",IF(C34="","Équipement manquant",IF(ISNA(MATCH(C34,eq_code,0)),"Équipement inconnu",IF(E34="","Type manquant",IF(AND(E34&lt;&gt;"Préventif",E34&lt;&gt;"Correctif",E34&lt;&gt;"Amélioratif"),"Type inconnu",IF(I34="","Statut manquant",IF(AND(I34&lt;&gt;"Terminée",I34&lt;&gt;"En cours",I34&lt;&gt;"À faire",I34&lt;&gt;"Annulée"),"Statut inconnu",IF(AND(E34="Préventif",F34=""),"Plan manquant (préventif)",IF(AND(F34&lt;&gt;"",ISNA(MATCH(F34,pl_num,0))),"Plan inconnu",IF(AND(F34&lt;&gt;"",IFERROR(INDEX(pl_eq,MATCH(F34,pl_num,0))&amp;"",C34)&lt;&gt;C34),"Plan d'un autre équipement",IF(AND(J34&lt;&gt;"",OR(NOT(ISNUMBER(J34)),N(J34)&lt;0)),"Compteur invalide",IF(OR(AND(K34&lt;&gt;"",OR(NOT(ISNUMBER(K34)),N(K34)&lt;0)),AND(L34&lt;&gt;"",OR(NOT(ISNUMBER(L34)),N(L34)&lt;0))),"Durée invalide",IF(OR(AND(N34&lt;&gt;"",OR(NOT(ISNUMBER(N34)),N(N34)&lt;0)),AND(P34&lt;&gt;"",OR(NOT(ISNUMBER(P34)),N(P34)&lt;0))),"Coût invalide",IF(AND(M34&lt;&gt;"",ISNA(MATCH(M34,tech_name,0))),"Technicien inconnu",IF(AND(I34="Terminée",S34&gt;p_today),"Terminée à une date future",IF(AND(I34="Terminée",V34=0),"Durée d'intervention manquante",IF(AND(I34="Terminée",E34="Préventif",T34=0,OR(IFERROR(INDEX(pl_trig,MATCH(F34,pl_num,0))&amp;"","")="Compteur",IFERROR(INDEX(pl_trig,MATCH(F34,pl_num,0))&amp;"","")="Au premier des deux")),"Compteur manquant (plan au compteur)","OK"))))))))))))))))))</f>
        <v/>
      </c>
      <c r="S34" s="67">
        <f>IF(AND(ISNUMBER(B34),N(B34)&gt;0),INT(B34),0)</f>
        <v>0.0</v>
      </c>
      <c r="T34" s="67">
        <f>IF(AND(ISNUMBER(J34),N(J34)&gt;=0),N(J34),0)</f>
        <v>0.0</v>
      </c>
      <c r="U34" s="67">
        <f>IF(AND(ISNUMBER(K34),N(K34)&gt;0),N(K34),0)</f>
        <v>0.0</v>
      </c>
      <c r="V34" s="67">
        <f>IF(AND(ISNUMBER(L34),N(L34)&gt;0),N(L34),0)</f>
        <v>0.0</v>
      </c>
      <c r="W34" s="67">
        <f>IF(AND(I34="Terminée",S34&gt;0,C34&lt;&gt;"",ISNUMBER(MATCH(C34,eq_code,0))),1,0)</f>
        <v>0.0</v>
      </c>
      <c r="X34" s="67">
        <f>IF(AND(W34=1,E34="Préventif"),1,0)</f>
        <v>0.0</v>
      </c>
      <c r="Y34" s="67">
        <f>IF(AND(ISNUMBER(N34),N(N34)&gt;0),N(N34),0)</f>
        <v>0.0</v>
      </c>
      <c r="Z34" s="67">
        <f>IF(AND(ISNUMBER(P34),N(P34)&gt;0),N(P34),0)</f>
        <v>0.0</v>
      </c>
    </row>
    <row r="35">
      <c r="A35" s="79" t="str">
        <f>IF(COUNTA(B35:C35,E35:G35,I35)=0,"","BI-"&amp;RIGHT("0000"&amp;(ROW()-5),4))</f>
        <v/>
      </c>
      <c r="B35" s="72" t="n"/>
      <c r="C35" s="66" t="n"/>
      <c r="D35" s="67" t="str">
        <f>IF(C35="","",IFERROR(INDEX(eq_des,MATCH(C35,eq_code,0))&amp;"","Équipement inconnu"))</f>
        <v/>
      </c>
      <c r="E35" s="68" t="n"/>
      <c r="F35" s="68" t="n"/>
      <c r="G35" s="66" t="n"/>
      <c r="H35" s="66" t="n"/>
      <c r="I35" s="68" t="n"/>
      <c r="J35" s="73" t="n"/>
      <c r="K35" s="71" t="n"/>
      <c r="L35" s="71" t="n"/>
      <c r="M35" s="66" t="n"/>
      <c r="N35" s="80" t="n"/>
      <c r="O35" s="81" t="str">
        <f>IF(A35="","",ROUND(V35*IFERROR(N(INDEX(tech_rate,MATCH(M35,tech_name,0))),0),2))</f>
        <v/>
      </c>
      <c r="P35" s="80" t="n"/>
      <c r="Q35" s="81" t="str">
        <f>IF(A35="","",ROUND(Y35+O35+Z35,2))</f>
        <v/>
      </c>
      <c r="R35" s="79" t="str">
        <f>IF(A35="","",IF(S35=0,"Date manquante ou invalide",IF(C35="","Équipement manquant",IF(ISNA(MATCH(C35,eq_code,0)),"Équipement inconnu",IF(E35="","Type manquant",IF(AND(E35&lt;&gt;"Préventif",E35&lt;&gt;"Correctif",E35&lt;&gt;"Amélioratif"),"Type inconnu",IF(I35="","Statut manquant",IF(AND(I35&lt;&gt;"Terminée",I35&lt;&gt;"En cours",I35&lt;&gt;"À faire",I35&lt;&gt;"Annulée"),"Statut inconnu",IF(AND(E35="Préventif",F35=""),"Plan manquant (préventif)",IF(AND(F35&lt;&gt;"",ISNA(MATCH(F35,pl_num,0))),"Plan inconnu",IF(AND(F35&lt;&gt;"",IFERROR(INDEX(pl_eq,MATCH(F35,pl_num,0))&amp;"",C35)&lt;&gt;C35),"Plan d'un autre équipement",IF(AND(J35&lt;&gt;"",OR(NOT(ISNUMBER(J35)),N(J35)&lt;0)),"Compteur invalide",IF(OR(AND(K35&lt;&gt;"",OR(NOT(ISNUMBER(K35)),N(K35)&lt;0)),AND(L35&lt;&gt;"",OR(NOT(ISNUMBER(L35)),N(L35)&lt;0))),"Durée invalide",IF(OR(AND(N35&lt;&gt;"",OR(NOT(ISNUMBER(N35)),N(N35)&lt;0)),AND(P35&lt;&gt;"",OR(NOT(ISNUMBER(P35)),N(P35)&lt;0))),"Coût invalide",IF(AND(M35&lt;&gt;"",ISNA(MATCH(M35,tech_name,0))),"Technicien inconnu",IF(AND(I35="Terminée",S35&gt;p_today),"Terminée à une date future",IF(AND(I35="Terminée",V35=0),"Durée d'intervention manquante",IF(AND(I35="Terminée",E35="Préventif",T35=0,OR(IFERROR(INDEX(pl_trig,MATCH(F35,pl_num,0))&amp;"","")="Compteur",IFERROR(INDEX(pl_trig,MATCH(F35,pl_num,0))&amp;"","")="Au premier des deux")),"Compteur manquant (plan au compteur)","OK"))))))))))))))))))</f>
        <v/>
      </c>
      <c r="S35" s="67">
        <f>IF(AND(ISNUMBER(B35),N(B35)&gt;0),INT(B35),0)</f>
        <v>0.0</v>
      </c>
      <c r="T35" s="67">
        <f>IF(AND(ISNUMBER(J35),N(J35)&gt;=0),N(J35),0)</f>
        <v>0.0</v>
      </c>
      <c r="U35" s="67">
        <f>IF(AND(ISNUMBER(K35),N(K35)&gt;0),N(K35),0)</f>
        <v>0.0</v>
      </c>
      <c r="V35" s="67">
        <f>IF(AND(ISNUMBER(L35),N(L35)&gt;0),N(L35),0)</f>
        <v>0.0</v>
      </c>
      <c r="W35" s="67">
        <f>IF(AND(I35="Terminée",S35&gt;0,C35&lt;&gt;"",ISNUMBER(MATCH(C35,eq_code,0))),1,0)</f>
        <v>0.0</v>
      </c>
      <c r="X35" s="67">
        <f>IF(AND(W35=1,E35="Préventif"),1,0)</f>
        <v>0.0</v>
      </c>
      <c r="Y35" s="67">
        <f>IF(AND(ISNUMBER(N35),N(N35)&gt;0),N(N35),0)</f>
        <v>0.0</v>
      </c>
      <c r="Z35" s="67">
        <f>IF(AND(ISNUMBER(P35),N(P35)&gt;0),N(P35),0)</f>
        <v>0.0</v>
      </c>
    </row>
    <row r="36">
      <c r="A36" s="79" t="str">
        <f>IF(COUNTA(B36:C36,E36:G36,I36)=0,"","BI-"&amp;RIGHT("0000"&amp;(ROW()-5),4))</f>
        <v/>
      </c>
      <c r="B36" s="72" t="n"/>
      <c r="C36" s="66" t="n"/>
      <c r="D36" s="67" t="str">
        <f>IF(C36="","",IFERROR(INDEX(eq_des,MATCH(C36,eq_code,0))&amp;"","Équipement inconnu"))</f>
        <v/>
      </c>
      <c r="E36" s="68" t="n"/>
      <c r="F36" s="68" t="n"/>
      <c r="G36" s="66" t="n"/>
      <c r="H36" s="66" t="n"/>
      <c r="I36" s="68" t="n"/>
      <c r="J36" s="73" t="n"/>
      <c r="K36" s="71" t="n"/>
      <c r="L36" s="71" t="n"/>
      <c r="M36" s="66" t="n"/>
      <c r="N36" s="80" t="n"/>
      <c r="O36" s="81" t="str">
        <f>IF(A36="","",ROUND(V36*IFERROR(N(INDEX(tech_rate,MATCH(M36,tech_name,0))),0),2))</f>
        <v/>
      </c>
      <c r="P36" s="80" t="n"/>
      <c r="Q36" s="81" t="str">
        <f>IF(A36="","",ROUND(Y36+O36+Z36,2))</f>
        <v/>
      </c>
      <c r="R36" s="79" t="str">
        <f>IF(A36="","",IF(S36=0,"Date manquante ou invalide",IF(C36="","Équipement manquant",IF(ISNA(MATCH(C36,eq_code,0)),"Équipement inconnu",IF(E36="","Type manquant",IF(AND(E36&lt;&gt;"Préventif",E36&lt;&gt;"Correctif",E36&lt;&gt;"Amélioratif"),"Type inconnu",IF(I36="","Statut manquant",IF(AND(I36&lt;&gt;"Terminée",I36&lt;&gt;"En cours",I36&lt;&gt;"À faire",I36&lt;&gt;"Annulée"),"Statut inconnu",IF(AND(E36="Préventif",F36=""),"Plan manquant (préventif)",IF(AND(F36&lt;&gt;"",ISNA(MATCH(F36,pl_num,0))),"Plan inconnu",IF(AND(F36&lt;&gt;"",IFERROR(INDEX(pl_eq,MATCH(F36,pl_num,0))&amp;"",C36)&lt;&gt;C36),"Plan d'un autre équipement",IF(AND(J36&lt;&gt;"",OR(NOT(ISNUMBER(J36)),N(J36)&lt;0)),"Compteur invalide",IF(OR(AND(K36&lt;&gt;"",OR(NOT(ISNUMBER(K36)),N(K36)&lt;0)),AND(L36&lt;&gt;"",OR(NOT(ISNUMBER(L36)),N(L36)&lt;0))),"Durée invalide",IF(OR(AND(N36&lt;&gt;"",OR(NOT(ISNUMBER(N36)),N(N36)&lt;0)),AND(P36&lt;&gt;"",OR(NOT(ISNUMBER(P36)),N(P36)&lt;0))),"Coût invalide",IF(AND(M36&lt;&gt;"",ISNA(MATCH(M36,tech_name,0))),"Technicien inconnu",IF(AND(I36="Terminée",S36&gt;p_today),"Terminée à une date future",IF(AND(I36="Terminée",V36=0),"Durée d'intervention manquante",IF(AND(I36="Terminée",E36="Préventif",T36=0,OR(IFERROR(INDEX(pl_trig,MATCH(F36,pl_num,0))&amp;"","")="Compteur",IFERROR(INDEX(pl_trig,MATCH(F36,pl_num,0))&amp;"","")="Au premier des deux")),"Compteur manquant (plan au compteur)","OK"))))))))))))))))))</f>
        <v/>
      </c>
      <c r="S36" s="67">
        <f>IF(AND(ISNUMBER(B36),N(B36)&gt;0),INT(B36),0)</f>
        <v>0.0</v>
      </c>
      <c r="T36" s="67">
        <f>IF(AND(ISNUMBER(J36),N(J36)&gt;=0),N(J36),0)</f>
        <v>0.0</v>
      </c>
      <c r="U36" s="67">
        <f>IF(AND(ISNUMBER(K36),N(K36)&gt;0),N(K36),0)</f>
        <v>0.0</v>
      </c>
      <c r="V36" s="67">
        <f>IF(AND(ISNUMBER(L36),N(L36)&gt;0),N(L36),0)</f>
        <v>0.0</v>
      </c>
      <c r="W36" s="67">
        <f>IF(AND(I36="Terminée",S36&gt;0,C36&lt;&gt;"",ISNUMBER(MATCH(C36,eq_code,0))),1,0)</f>
        <v>0.0</v>
      </c>
      <c r="X36" s="67">
        <f>IF(AND(W36=1,E36="Préventif"),1,0)</f>
        <v>0.0</v>
      </c>
      <c r="Y36" s="67">
        <f>IF(AND(ISNUMBER(N36),N(N36)&gt;0),N(N36),0)</f>
        <v>0.0</v>
      </c>
      <c r="Z36" s="67">
        <f>IF(AND(ISNUMBER(P36),N(P36)&gt;0),N(P36),0)</f>
        <v>0.0</v>
      </c>
    </row>
    <row r="37">
      <c r="A37" s="79" t="str">
        <f>IF(COUNTA(B37:C37,E37:G37,I37)=0,"","BI-"&amp;RIGHT("0000"&amp;(ROW()-5),4))</f>
        <v/>
      </c>
      <c r="B37" s="72" t="n"/>
      <c r="C37" s="66" t="n"/>
      <c r="D37" s="67" t="str">
        <f>IF(C37="","",IFERROR(INDEX(eq_des,MATCH(C37,eq_code,0))&amp;"","Équipement inconnu"))</f>
        <v/>
      </c>
      <c r="E37" s="68" t="n"/>
      <c r="F37" s="68" t="n"/>
      <c r="G37" s="66" t="n"/>
      <c r="H37" s="66" t="n"/>
      <c r="I37" s="68" t="n"/>
      <c r="J37" s="73" t="n"/>
      <c r="K37" s="71" t="n"/>
      <c r="L37" s="71" t="n"/>
      <c r="M37" s="66" t="n"/>
      <c r="N37" s="80" t="n"/>
      <c r="O37" s="81" t="str">
        <f>IF(A37="","",ROUND(V37*IFERROR(N(INDEX(tech_rate,MATCH(M37,tech_name,0))),0),2))</f>
        <v/>
      </c>
      <c r="P37" s="80" t="n"/>
      <c r="Q37" s="81" t="str">
        <f>IF(A37="","",ROUND(Y37+O37+Z37,2))</f>
        <v/>
      </c>
      <c r="R37" s="79" t="str">
        <f>IF(A37="","",IF(S37=0,"Date manquante ou invalide",IF(C37="","Équipement manquant",IF(ISNA(MATCH(C37,eq_code,0)),"Équipement inconnu",IF(E37="","Type manquant",IF(AND(E37&lt;&gt;"Préventif",E37&lt;&gt;"Correctif",E37&lt;&gt;"Amélioratif"),"Type inconnu",IF(I37="","Statut manquant",IF(AND(I37&lt;&gt;"Terminée",I37&lt;&gt;"En cours",I37&lt;&gt;"À faire",I37&lt;&gt;"Annulée"),"Statut inconnu",IF(AND(E37="Préventif",F37=""),"Plan manquant (préventif)",IF(AND(F37&lt;&gt;"",ISNA(MATCH(F37,pl_num,0))),"Plan inconnu",IF(AND(F37&lt;&gt;"",IFERROR(INDEX(pl_eq,MATCH(F37,pl_num,0))&amp;"",C37)&lt;&gt;C37),"Plan d'un autre équipement",IF(AND(J37&lt;&gt;"",OR(NOT(ISNUMBER(J37)),N(J37)&lt;0)),"Compteur invalide",IF(OR(AND(K37&lt;&gt;"",OR(NOT(ISNUMBER(K37)),N(K37)&lt;0)),AND(L37&lt;&gt;"",OR(NOT(ISNUMBER(L37)),N(L37)&lt;0))),"Durée invalide",IF(OR(AND(N37&lt;&gt;"",OR(NOT(ISNUMBER(N37)),N(N37)&lt;0)),AND(P37&lt;&gt;"",OR(NOT(ISNUMBER(P37)),N(P37)&lt;0))),"Coût invalide",IF(AND(M37&lt;&gt;"",ISNA(MATCH(M37,tech_name,0))),"Technicien inconnu",IF(AND(I37="Terminée",S37&gt;p_today),"Terminée à une date future",IF(AND(I37="Terminée",V37=0),"Durée d'intervention manquante",IF(AND(I37="Terminée",E37="Préventif",T37=0,OR(IFERROR(INDEX(pl_trig,MATCH(F37,pl_num,0))&amp;"","")="Compteur",IFERROR(INDEX(pl_trig,MATCH(F37,pl_num,0))&amp;"","")="Au premier des deux")),"Compteur manquant (plan au compteur)","OK"))))))))))))))))))</f>
        <v/>
      </c>
      <c r="S37" s="67">
        <f>IF(AND(ISNUMBER(B37),N(B37)&gt;0),INT(B37),0)</f>
        <v>0.0</v>
      </c>
      <c r="T37" s="67">
        <f>IF(AND(ISNUMBER(J37),N(J37)&gt;=0),N(J37),0)</f>
        <v>0.0</v>
      </c>
      <c r="U37" s="67">
        <f>IF(AND(ISNUMBER(K37),N(K37)&gt;0),N(K37),0)</f>
        <v>0.0</v>
      </c>
      <c r="V37" s="67">
        <f>IF(AND(ISNUMBER(L37),N(L37)&gt;0),N(L37),0)</f>
        <v>0.0</v>
      </c>
      <c r="W37" s="67">
        <f>IF(AND(I37="Terminée",S37&gt;0,C37&lt;&gt;"",ISNUMBER(MATCH(C37,eq_code,0))),1,0)</f>
        <v>0.0</v>
      </c>
      <c r="X37" s="67">
        <f>IF(AND(W37=1,E37="Préventif"),1,0)</f>
        <v>0.0</v>
      </c>
      <c r="Y37" s="67">
        <f>IF(AND(ISNUMBER(N37),N(N37)&gt;0),N(N37),0)</f>
        <v>0.0</v>
      </c>
      <c r="Z37" s="67">
        <f>IF(AND(ISNUMBER(P37),N(P37)&gt;0),N(P37),0)</f>
        <v>0.0</v>
      </c>
    </row>
    <row r="38">
      <c r="A38" s="79" t="str">
        <f>IF(COUNTA(B38:C38,E38:G38,I38)=0,"","BI-"&amp;RIGHT("0000"&amp;(ROW()-5),4))</f>
        <v/>
      </c>
      <c r="B38" s="72" t="n"/>
      <c r="C38" s="66" t="n"/>
      <c r="D38" s="67" t="str">
        <f>IF(C38="","",IFERROR(INDEX(eq_des,MATCH(C38,eq_code,0))&amp;"","Équipement inconnu"))</f>
        <v/>
      </c>
      <c r="E38" s="68" t="n"/>
      <c r="F38" s="68" t="n"/>
      <c r="G38" s="66" t="n"/>
      <c r="H38" s="66" t="n"/>
      <c r="I38" s="68" t="n"/>
      <c r="J38" s="73" t="n"/>
      <c r="K38" s="71" t="n"/>
      <c r="L38" s="71" t="n"/>
      <c r="M38" s="66" t="n"/>
      <c r="N38" s="80" t="n"/>
      <c r="O38" s="81" t="str">
        <f>IF(A38="","",ROUND(V38*IFERROR(N(INDEX(tech_rate,MATCH(M38,tech_name,0))),0),2))</f>
        <v/>
      </c>
      <c r="P38" s="80" t="n"/>
      <c r="Q38" s="81" t="str">
        <f>IF(A38="","",ROUND(Y38+O38+Z38,2))</f>
        <v/>
      </c>
      <c r="R38" s="79" t="str">
        <f>IF(A38="","",IF(S38=0,"Date manquante ou invalide",IF(C38="","Équipement manquant",IF(ISNA(MATCH(C38,eq_code,0)),"Équipement inconnu",IF(E38="","Type manquant",IF(AND(E38&lt;&gt;"Préventif",E38&lt;&gt;"Correctif",E38&lt;&gt;"Amélioratif"),"Type inconnu",IF(I38="","Statut manquant",IF(AND(I38&lt;&gt;"Terminée",I38&lt;&gt;"En cours",I38&lt;&gt;"À faire",I38&lt;&gt;"Annulée"),"Statut inconnu",IF(AND(E38="Préventif",F38=""),"Plan manquant (préventif)",IF(AND(F38&lt;&gt;"",ISNA(MATCH(F38,pl_num,0))),"Plan inconnu",IF(AND(F38&lt;&gt;"",IFERROR(INDEX(pl_eq,MATCH(F38,pl_num,0))&amp;"",C38)&lt;&gt;C38),"Plan d'un autre équipement",IF(AND(J38&lt;&gt;"",OR(NOT(ISNUMBER(J38)),N(J38)&lt;0)),"Compteur invalide",IF(OR(AND(K38&lt;&gt;"",OR(NOT(ISNUMBER(K38)),N(K38)&lt;0)),AND(L38&lt;&gt;"",OR(NOT(ISNUMBER(L38)),N(L38)&lt;0))),"Durée invalide",IF(OR(AND(N38&lt;&gt;"",OR(NOT(ISNUMBER(N38)),N(N38)&lt;0)),AND(P38&lt;&gt;"",OR(NOT(ISNUMBER(P38)),N(P38)&lt;0))),"Coût invalide",IF(AND(M38&lt;&gt;"",ISNA(MATCH(M38,tech_name,0))),"Technicien inconnu",IF(AND(I38="Terminée",S38&gt;p_today),"Terminée à une date future",IF(AND(I38="Terminée",V38=0),"Durée d'intervention manquante",IF(AND(I38="Terminée",E38="Préventif",T38=0,OR(IFERROR(INDEX(pl_trig,MATCH(F38,pl_num,0))&amp;"","")="Compteur",IFERROR(INDEX(pl_trig,MATCH(F38,pl_num,0))&amp;"","")="Au premier des deux")),"Compteur manquant (plan au compteur)","OK"))))))))))))))))))</f>
        <v/>
      </c>
      <c r="S38" s="67">
        <f>IF(AND(ISNUMBER(B38),N(B38)&gt;0),INT(B38),0)</f>
        <v>0.0</v>
      </c>
      <c r="T38" s="67">
        <f>IF(AND(ISNUMBER(J38),N(J38)&gt;=0),N(J38),0)</f>
        <v>0.0</v>
      </c>
      <c r="U38" s="67">
        <f>IF(AND(ISNUMBER(K38),N(K38)&gt;0),N(K38),0)</f>
        <v>0.0</v>
      </c>
      <c r="V38" s="67">
        <f>IF(AND(ISNUMBER(L38),N(L38)&gt;0),N(L38),0)</f>
        <v>0.0</v>
      </c>
      <c r="W38" s="67">
        <f>IF(AND(I38="Terminée",S38&gt;0,C38&lt;&gt;"",ISNUMBER(MATCH(C38,eq_code,0))),1,0)</f>
        <v>0.0</v>
      </c>
      <c r="X38" s="67">
        <f>IF(AND(W38=1,E38="Préventif"),1,0)</f>
        <v>0.0</v>
      </c>
      <c r="Y38" s="67">
        <f>IF(AND(ISNUMBER(N38),N(N38)&gt;0),N(N38),0)</f>
        <v>0.0</v>
      </c>
      <c r="Z38" s="67">
        <f>IF(AND(ISNUMBER(P38),N(P38)&gt;0),N(P38),0)</f>
        <v>0.0</v>
      </c>
    </row>
    <row r="39">
      <c r="A39" s="79" t="str">
        <f>IF(COUNTA(B39:C39,E39:G39,I39)=0,"","BI-"&amp;RIGHT("0000"&amp;(ROW()-5),4))</f>
        <v/>
      </c>
      <c r="B39" s="72" t="n"/>
      <c r="C39" s="66" t="n"/>
      <c r="D39" s="67" t="str">
        <f>IF(C39="","",IFERROR(INDEX(eq_des,MATCH(C39,eq_code,0))&amp;"","Équipement inconnu"))</f>
        <v/>
      </c>
      <c r="E39" s="68" t="n"/>
      <c r="F39" s="68" t="n"/>
      <c r="G39" s="66" t="n"/>
      <c r="H39" s="66" t="n"/>
      <c r="I39" s="68" t="n"/>
      <c r="J39" s="73" t="n"/>
      <c r="K39" s="71" t="n"/>
      <c r="L39" s="71" t="n"/>
      <c r="M39" s="66" t="n"/>
      <c r="N39" s="80" t="n"/>
      <c r="O39" s="81" t="str">
        <f>IF(A39="","",ROUND(V39*IFERROR(N(INDEX(tech_rate,MATCH(M39,tech_name,0))),0),2))</f>
        <v/>
      </c>
      <c r="P39" s="80" t="n"/>
      <c r="Q39" s="81" t="str">
        <f>IF(A39="","",ROUND(Y39+O39+Z39,2))</f>
        <v/>
      </c>
      <c r="R39" s="79" t="str">
        <f>IF(A39="","",IF(S39=0,"Date manquante ou invalide",IF(C39="","Équipement manquant",IF(ISNA(MATCH(C39,eq_code,0)),"Équipement inconnu",IF(E39="","Type manquant",IF(AND(E39&lt;&gt;"Préventif",E39&lt;&gt;"Correctif",E39&lt;&gt;"Amélioratif"),"Type inconnu",IF(I39="","Statut manquant",IF(AND(I39&lt;&gt;"Terminée",I39&lt;&gt;"En cours",I39&lt;&gt;"À faire",I39&lt;&gt;"Annulée"),"Statut inconnu",IF(AND(E39="Préventif",F39=""),"Plan manquant (préventif)",IF(AND(F39&lt;&gt;"",ISNA(MATCH(F39,pl_num,0))),"Plan inconnu",IF(AND(F39&lt;&gt;"",IFERROR(INDEX(pl_eq,MATCH(F39,pl_num,0))&amp;"",C39)&lt;&gt;C39),"Plan d'un autre équipement",IF(AND(J39&lt;&gt;"",OR(NOT(ISNUMBER(J39)),N(J39)&lt;0)),"Compteur invalide",IF(OR(AND(K39&lt;&gt;"",OR(NOT(ISNUMBER(K39)),N(K39)&lt;0)),AND(L39&lt;&gt;"",OR(NOT(ISNUMBER(L39)),N(L39)&lt;0))),"Durée invalide",IF(OR(AND(N39&lt;&gt;"",OR(NOT(ISNUMBER(N39)),N(N39)&lt;0)),AND(P39&lt;&gt;"",OR(NOT(ISNUMBER(P39)),N(P39)&lt;0))),"Coût invalide",IF(AND(M39&lt;&gt;"",ISNA(MATCH(M39,tech_name,0))),"Technicien inconnu",IF(AND(I39="Terminée",S39&gt;p_today),"Terminée à une date future",IF(AND(I39="Terminée",V39=0),"Durée d'intervention manquante",IF(AND(I39="Terminée",E39="Préventif",T39=0,OR(IFERROR(INDEX(pl_trig,MATCH(F39,pl_num,0))&amp;"","")="Compteur",IFERROR(INDEX(pl_trig,MATCH(F39,pl_num,0))&amp;"","")="Au premier des deux")),"Compteur manquant (plan au compteur)","OK"))))))))))))))))))</f>
        <v/>
      </c>
      <c r="S39" s="67">
        <f>IF(AND(ISNUMBER(B39),N(B39)&gt;0),INT(B39),0)</f>
        <v>0.0</v>
      </c>
      <c r="T39" s="67">
        <f>IF(AND(ISNUMBER(J39),N(J39)&gt;=0),N(J39),0)</f>
        <v>0.0</v>
      </c>
      <c r="U39" s="67">
        <f>IF(AND(ISNUMBER(K39),N(K39)&gt;0),N(K39),0)</f>
        <v>0.0</v>
      </c>
      <c r="V39" s="67">
        <f>IF(AND(ISNUMBER(L39),N(L39)&gt;0),N(L39),0)</f>
        <v>0.0</v>
      </c>
      <c r="W39" s="67">
        <f>IF(AND(I39="Terminée",S39&gt;0,C39&lt;&gt;"",ISNUMBER(MATCH(C39,eq_code,0))),1,0)</f>
        <v>0.0</v>
      </c>
      <c r="X39" s="67">
        <f>IF(AND(W39=1,E39="Préventif"),1,0)</f>
        <v>0.0</v>
      </c>
      <c r="Y39" s="67">
        <f>IF(AND(ISNUMBER(N39),N(N39)&gt;0),N(N39),0)</f>
        <v>0.0</v>
      </c>
      <c r="Z39" s="67">
        <f>IF(AND(ISNUMBER(P39),N(P39)&gt;0),N(P39),0)</f>
        <v>0.0</v>
      </c>
    </row>
    <row r="40">
      <c r="A40" s="79" t="str">
        <f>IF(COUNTA(B40:C40,E40:G40,I40)=0,"","BI-"&amp;RIGHT("0000"&amp;(ROW()-5),4))</f>
        <v/>
      </c>
      <c r="B40" s="72" t="n"/>
      <c r="C40" s="66" t="n"/>
      <c r="D40" s="67" t="str">
        <f>IF(C40="","",IFERROR(INDEX(eq_des,MATCH(C40,eq_code,0))&amp;"","Équipement inconnu"))</f>
        <v/>
      </c>
      <c r="E40" s="68" t="n"/>
      <c r="F40" s="68" t="n"/>
      <c r="G40" s="66" t="n"/>
      <c r="H40" s="66" t="n"/>
      <c r="I40" s="68" t="n"/>
      <c r="J40" s="73" t="n"/>
      <c r="K40" s="71" t="n"/>
      <c r="L40" s="71" t="n"/>
      <c r="M40" s="66" t="n"/>
      <c r="N40" s="80" t="n"/>
      <c r="O40" s="81" t="str">
        <f>IF(A40="","",ROUND(V40*IFERROR(N(INDEX(tech_rate,MATCH(M40,tech_name,0))),0),2))</f>
        <v/>
      </c>
      <c r="P40" s="80" t="n"/>
      <c r="Q40" s="81" t="str">
        <f>IF(A40="","",ROUND(Y40+O40+Z40,2))</f>
        <v/>
      </c>
      <c r="R40" s="79" t="str">
        <f>IF(A40="","",IF(S40=0,"Date manquante ou invalide",IF(C40="","Équipement manquant",IF(ISNA(MATCH(C40,eq_code,0)),"Équipement inconnu",IF(E40="","Type manquant",IF(AND(E40&lt;&gt;"Préventif",E40&lt;&gt;"Correctif",E40&lt;&gt;"Amélioratif"),"Type inconnu",IF(I40="","Statut manquant",IF(AND(I40&lt;&gt;"Terminée",I40&lt;&gt;"En cours",I40&lt;&gt;"À faire",I40&lt;&gt;"Annulée"),"Statut inconnu",IF(AND(E40="Préventif",F40=""),"Plan manquant (préventif)",IF(AND(F40&lt;&gt;"",ISNA(MATCH(F40,pl_num,0))),"Plan inconnu",IF(AND(F40&lt;&gt;"",IFERROR(INDEX(pl_eq,MATCH(F40,pl_num,0))&amp;"",C40)&lt;&gt;C40),"Plan d'un autre équipement",IF(AND(J40&lt;&gt;"",OR(NOT(ISNUMBER(J40)),N(J40)&lt;0)),"Compteur invalide",IF(OR(AND(K40&lt;&gt;"",OR(NOT(ISNUMBER(K40)),N(K40)&lt;0)),AND(L40&lt;&gt;"",OR(NOT(ISNUMBER(L40)),N(L40)&lt;0))),"Durée invalide",IF(OR(AND(N40&lt;&gt;"",OR(NOT(ISNUMBER(N40)),N(N40)&lt;0)),AND(P40&lt;&gt;"",OR(NOT(ISNUMBER(P40)),N(P40)&lt;0))),"Coût invalide",IF(AND(M40&lt;&gt;"",ISNA(MATCH(M40,tech_name,0))),"Technicien inconnu",IF(AND(I40="Terminée",S40&gt;p_today),"Terminée à une date future",IF(AND(I40="Terminée",V40=0),"Durée d'intervention manquante",IF(AND(I40="Terminée",E40="Préventif",T40=0,OR(IFERROR(INDEX(pl_trig,MATCH(F40,pl_num,0))&amp;"","")="Compteur",IFERROR(INDEX(pl_trig,MATCH(F40,pl_num,0))&amp;"","")="Au premier des deux")),"Compteur manquant (plan au compteur)","OK"))))))))))))))))))</f>
        <v/>
      </c>
      <c r="S40" s="67">
        <f>IF(AND(ISNUMBER(B40),N(B40)&gt;0),INT(B40),0)</f>
        <v>0.0</v>
      </c>
      <c r="T40" s="67">
        <f>IF(AND(ISNUMBER(J40),N(J40)&gt;=0),N(J40),0)</f>
        <v>0.0</v>
      </c>
      <c r="U40" s="67">
        <f>IF(AND(ISNUMBER(K40),N(K40)&gt;0),N(K40),0)</f>
        <v>0.0</v>
      </c>
      <c r="V40" s="67">
        <f>IF(AND(ISNUMBER(L40),N(L40)&gt;0),N(L40),0)</f>
        <v>0.0</v>
      </c>
      <c r="W40" s="67">
        <f>IF(AND(I40="Terminée",S40&gt;0,C40&lt;&gt;"",ISNUMBER(MATCH(C40,eq_code,0))),1,0)</f>
        <v>0.0</v>
      </c>
      <c r="X40" s="67">
        <f>IF(AND(W40=1,E40="Préventif"),1,0)</f>
        <v>0.0</v>
      </c>
      <c r="Y40" s="67">
        <f>IF(AND(ISNUMBER(N40),N(N40)&gt;0),N(N40),0)</f>
        <v>0.0</v>
      </c>
      <c r="Z40" s="67">
        <f>IF(AND(ISNUMBER(P40),N(P40)&gt;0),N(P40),0)</f>
        <v>0.0</v>
      </c>
    </row>
    <row r="41">
      <c r="A41" s="79" t="str">
        <f>IF(COUNTA(B41:C41,E41:G41,I41)=0,"","BI-"&amp;RIGHT("0000"&amp;(ROW()-5),4))</f>
        <v/>
      </c>
      <c r="B41" s="72" t="n"/>
      <c r="C41" s="66" t="n"/>
      <c r="D41" s="67" t="str">
        <f>IF(C41="","",IFERROR(INDEX(eq_des,MATCH(C41,eq_code,0))&amp;"","Équipement inconnu"))</f>
        <v/>
      </c>
      <c r="E41" s="68" t="n"/>
      <c r="F41" s="68" t="n"/>
      <c r="G41" s="66" t="n"/>
      <c r="H41" s="66" t="n"/>
      <c r="I41" s="68" t="n"/>
      <c r="J41" s="73" t="n"/>
      <c r="K41" s="71" t="n"/>
      <c r="L41" s="71" t="n"/>
      <c r="M41" s="66" t="n"/>
      <c r="N41" s="80" t="n"/>
      <c r="O41" s="81" t="str">
        <f>IF(A41="","",ROUND(V41*IFERROR(N(INDEX(tech_rate,MATCH(M41,tech_name,0))),0),2))</f>
        <v/>
      </c>
      <c r="P41" s="80" t="n"/>
      <c r="Q41" s="81" t="str">
        <f>IF(A41="","",ROUND(Y41+O41+Z41,2))</f>
        <v/>
      </c>
      <c r="R41" s="79" t="str">
        <f>IF(A41="","",IF(S41=0,"Date manquante ou invalide",IF(C41="","Équipement manquant",IF(ISNA(MATCH(C41,eq_code,0)),"Équipement inconnu",IF(E41="","Type manquant",IF(AND(E41&lt;&gt;"Préventif",E41&lt;&gt;"Correctif",E41&lt;&gt;"Amélioratif"),"Type inconnu",IF(I41="","Statut manquant",IF(AND(I41&lt;&gt;"Terminée",I41&lt;&gt;"En cours",I41&lt;&gt;"À faire",I41&lt;&gt;"Annulée"),"Statut inconnu",IF(AND(E41="Préventif",F41=""),"Plan manquant (préventif)",IF(AND(F41&lt;&gt;"",ISNA(MATCH(F41,pl_num,0))),"Plan inconnu",IF(AND(F41&lt;&gt;"",IFERROR(INDEX(pl_eq,MATCH(F41,pl_num,0))&amp;"",C41)&lt;&gt;C41),"Plan d'un autre équipement",IF(AND(J41&lt;&gt;"",OR(NOT(ISNUMBER(J41)),N(J41)&lt;0)),"Compteur invalide",IF(OR(AND(K41&lt;&gt;"",OR(NOT(ISNUMBER(K41)),N(K41)&lt;0)),AND(L41&lt;&gt;"",OR(NOT(ISNUMBER(L41)),N(L41)&lt;0))),"Durée invalide",IF(OR(AND(N41&lt;&gt;"",OR(NOT(ISNUMBER(N41)),N(N41)&lt;0)),AND(P41&lt;&gt;"",OR(NOT(ISNUMBER(P41)),N(P41)&lt;0))),"Coût invalide",IF(AND(M41&lt;&gt;"",ISNA(MATCH(M41,tech_name,0))),"Technicien inconnu",IF(AND(I41="Terminée",S41&gt;p_today),"Terminée à une date future",IF(AND(I41="Terminée",V41=0),"Durée d'intervention manquante",IF(AND(I41="Terminée",E41="Préventif",T41=0,OR(IFERROR(INDEX(pl_trig,MATCH(F41,pl_num,0))&amp;"","")="Compteur",IFERROR(INDEX(pl_trig,MATCH(F41,pl_num,0))&amp;"","")="Au premier des deux")),"Compteur manquant (plan au compteur)","OK"))))))))))))))))))</f>
        <v/>
      </c>
      <c r="S41" s="67">
        <f>IF(AND(ISNUMBER(B41),N(B41)&gt;0),INT(B41),0)</f>
        <v>0.0</v>
      </c>
      <c r="T41" s="67">
        <f>IF(AND(ISNUMBER(J41),N(J41)&gt;=0),N(J41),0)</f>
        <v>0.0</v>
      </c>
      <c r="U41" s="67">
        <f>IF(AND(ISNUMBER(K41),N(K41)&gt;0),N(K41),0)</f>
        <v>0.0</v>
      </c>
      <c r="V41" s="67">
        <f>IF(AND(ISNUMBER(L41),N(L41)&gt;0),N(L41),0)</f>
        <v>0.0</v>
      </c>
      <c r="W41" s="67">
        <f>IF(AND(I41="Terminée",S41&gt;0,C41&lt;&gt;"",ISNUMBER(MATCH(C41,eq_code,0))),1,0)</f>
        <v>0.0</v>
      </c>
      <c r="X41" s="67">
        <f>IF(AND(W41=1,E41="Préventif"),1,0)</f>
        <v>0.0</v>
      </c>
      <c r="Y41" s="67">
        <f>IF(AND(ISNUMBER(N41),N(N41)&gt;0),N(N41),0)</f>
        <v>0.0</v>
      </c>
      <c r="Z41" s="67">
        <f>IF(AND(ISNUMBER(P41),N(P41)&gt;0),N(P41),0)</f>
        <v>0.0</v>
      </c>
    </row>
    <row r="42">
      <c r="A42" s="79" t="str">
        <f>IF(COUNTA(B42:C42,E42:G42,I42)=0,"","BI-"&amp;RIGHT("0000"&amp;(ROW()-5),4))</f>
        <v/>
      </c>
      <c r="B42" s="72" t="n"/>
      <c r="C42" s="66" t="n"/>
      <c r="D42" s="67" t="str">
        <f>IF(C42="","",IFERROR(INDEX(eq_des,MATCH(C42,eq_code,0))&amp;"","Équipement inconnu"))</f>
        <v/>
      </c>
      <c r="E42" s="68" t="n"/>
      <c r="F42" s="68" t="n"/>
      <c r="G42" s="66" t="n"/>
      <c r="H42" s="66" t="n"/>
      <c r="I42" s="68" t="n"/>
      <c r="J42" s="73" t="n"/>
      <c r="K42" s="71" t="n"/>
      <c r="L42" s="71" t="n"/>
      <c r="M42" s="66" t="n"/>
      <c r="N42" s="80" t="n"/>
      <c r="O42" s="81" t="str">
        <f>IF(A42="","",ROUND(V42*IFERROR(N(INDEX(tech_rate,MATCH(M42,tech_name,0))),0),2))</f>
        <v/>
      </c>
      <c r="P42" s="80" t="n"/>
      <c r="Q42" s="81" t="str">
        <f>IF(A42="","",ROUND(Y42+O42+Z42,2))</f>
        <v/>
      </c>
      <c r="R42" s="79" t="str">
        <f>IF(A42="","",IF(S42=0,"Date manquante ou invalide",IF(C42="","Équipement manquant",IF(ISNA(MATCH(C42,eq_code,0)),"Équipement inconnu",IF(E42="","Type manquant",IF(AND(E42&lt;&gt;"Préventif",E42&lt;&gt;"Correctif",E42&lt;&gt;"Amélioratif"),"Type inconnu",IF(I42="","Statut manquant",IF(AND(I42&lt;&gt;"Terminée",I42&lt;&gt;"En cours",I42&lt;&gt;"À faire",I42&lt;&gt;"Annulée"),"Statut inconnu",IF(AND(E42="Préventif",F42=""),"Plan manquant (préventif)",IF(AND(F42&lt;&gt;"",ISNA(MATCH(F42,pl_num,0))),"Plan inconnu",IF(AND(F42&lt;&gt;"",IFERROR(INDEX(pl_eq,MATCH(F42,pl_num,0))&amp;"",C42)&lt;&gt;C42),"Plan d'un autre équipement",IF(AND(J42&lt;&gt;"",OR(NOT(ISNUMBER(J42)),N(J42)&lt;0)),"Compteur invalide",IF(OR(AND(K42&lt;&gt;"",OR(NOT(ISNUMBER(K42)),N(K42)&lt;0)),AND(L42&lt;&gt;"",OR(NOT(ISNUMBER(L42)),N(L42)&lt;0))),"Durée invalide",IF(OR(AND(N42&lt;&gt;"",OR(NOT(ISNUMBER(N42)),N(N42)&lt;0)),AND(P42&lt;&gt;"",OR(NOT(ISNUMBER(P42)),N(P42)&lt;0))),"Coût invalide",IF(AND(M42&lt;&gt;"",ISNA(MATCH(M42,tech_name,0))),"Technicien inconnu",IF(AND(I42="Terminée",S42&gt;p_today),"Terminée à une date future",IF(AND(I42="Terminée",V42=0),"Durée d'intervention manquante",IF(AND(I42="Terminée",E42="Préventif",T42=0,OR(IFERROR(INDEX(pl_trig,MATCH(F42,pl_num,0))&amp;"","")="Compteur",IFERROR(INDEX(pl_trig,MATCH(F42,pl_num,0))&amp;"","")="Au premier des deux")),"Compteur manquant (plan au compteur)","OK"))))))))))))))))))</f>
        <v/>
      </c>
      <c r="S42" s="67">
        <f>IF(AND(ISNUMBER(B42),N(B42)&gt;0),INT(B42),0)</f>
        <v>0.0</v>
      </c>
      <c r="T42" s="67">
        <f>IF(AND(ISNUMBER(J42),N(J42)&gt;=0),N(J42),0)</f>
        <v>0.0</v>
      </c>
      <c r="U42" s="67">
        <f>IF(AND(ISNUMBER(K42),N(K42)&gt;0),N(K42),0)</f>
        <v>0.0</v>
      </c>
      <c r="V42" s="67">
        <f>IF(AND(ISNUMBER(L42),N(L42)&gt;0),N(L42),0)</f>
        <v>0.0</v>
      </c>
      <c r="W42" s="67">
        <f>IF(AND(I42="Terminée",S42&gt;0,C42&lt;&gt;"",ISNUMBER(MATCH(C42,eq_code,0))),1,0)</f>
        <v>0.0</v>
      </c>
      <c r="X42" s="67">
        <f>IF(AND(W42=1,E42="Préventif"),1,0)</f>
        <v>0.0</v>
      </c>
      <c r="Y42" s="67">
        <f>IF(AND(ISNUMBER(N42),N(N42)&gt;0),N(N42),0)</f>
        <v>0.0</v>
      </c>
      <c r="Z42" s="67">
        <f>IF(AND(ISNUMBER(P42),N(P42)&gt;0),N(P42),0)</f>
        <v>0.0</v>
      </c>
    </row>
    <row r="43">
      <c r="A43" s="79" t="str">
        <f>IF(COUNTA(B43:C43,E43:G43,I43)=0,"","BI-"&amp;RIGHT("0000"&amp;(ROW()-5),4))</f>
        <v/>
      </c>
      <c r="B43" s="72" t="n"/>
      <c r="C43" s="66" t="n"/>
      <c r="D43" s="67" t="str">
        <f>IF(C43="","",IFERROR(INDEX(eq_des,MATCH(C43,eq_code,0))&amp;"","Équipement inconnu"))</f>
        <v/>
      </c>
      <c r="E43" s="68" t="n"/>
      <c r="F43" s="68" t="n"/>
      <c r="G43" s="66" t="n"/>
      <c r="H43" s="66" t="n"/>
      <c r="I43" s="68" t="n"/>
      <c r="J43" s="73" t="n"/>
      <c r="K43" s="71" t="n"/>
      <c r="L43" s="71" t="n"/>
      <c r="M43" s="66" t="n"/>
      <c r="N43" s="80" t="n"/>
      <c r="O43" s="81" t="str">
        <f>IF(A43="","",ROUND(V43*IFERROR(N(INDEX(tech_rate,MATCH(M43,tech_name,0))),0),2))</f>
        <v/>
      </c>
      <c r="P43" s="80" t="n"/>
      <c r="Q43" s="81" t="str">
        <f>IF(A43="","",ROUND(Y43+O43+Z43,2))</f>
        <v/>
      </c>
      <c r="R43" s="79" t="str">
        <f>IF(A43="","",IF(S43=0,"Date manquante ou invalide",IF(C43="","Équipement manquant",IF(ISNA(MATCH(C43,eq_code,0)),"Équipement inconnu",IF(E43="","Type manquant",IF(AND(E43&lt;&gt;"Préventif",E43&lt;&gt;"Correctif",E43&lt;&gt;"Amélioratif"),"Type inconnu",IF(I43="","Statut manquant",IF(AND(I43&lt;&gt;"Terminée",I43&lt;&gt;"En cours",I43&lt;&gt;"À faire",I43&lt;&gt;"Annulée"),"Statut inconnu",IF(AND(E43="Préventif",F43=""),"Plan manquant (préventif)",IF(AND(F43&lt;&gt;"",ISNA(MATCH(F43,pl_num,0))),"Plan inconnu",IF(AND(F43&lt;&gt;"",IFERROR(INDEX(pl_eq,MATCH(F43,pl_num,0))&amp;"",C43)&lt;&gt;C43),"Plan d'un autre équipement",IF(AND(J43&lt;&gt;"",OR(NOT(ISNUMBER(J43)),N(J43)&lt;0)),"Compteur invalide",IF(OR(AND(K43&lt;&gt;"",OR(NOT(ISNUMBER(K43)),N(K43)&lt;0)),AND(L43&lt;&gt;"",OR(NOT(ISNUMBER(L43)),N(L43)&lt;0))),"Durée invalide",IF(OR(AND(N43&lt;&gt;"",OR(NOT(ISNUMBER(N43)),N(N43)&lt;0)),AND(P43&lt;&gt;"",OR(NOT(ISNUMBER(P43)),N(P43)&lt;0))),"Coût invalide",IF(AND(M43&lt;&gt;"",ISNA(MATCH(M43,tech_name,0))),"Technicien inconnu",IF(AND(I43="Terminée",S43&gt;p_today),"Terminée à une date future",IF(AND(I43="Terminée",V43=0),"Durée d'intervention manquante",IF(AND(I43="Terminée",E43="Préventif",T43=0,OR(IFERROR(INDEX(pl_trig,MATCH(F43,pl_num,0))&amp;"","")="Compteur",IFERROR(INDEX(pl_trig,MATCH(F43,pl_num,0))&amp;"","")="Au premier des deux")),"Compteur manquant (plan au compteur)","OK"))))))))))))))))))</f>
        <v/>
      </c>
      <c r="S43" s="67">
        <f>IF(AND(ISNUMBER(B43),N(B43)&gt;0),INT(B43),0)</f>
        <v>0.0</v>
      </c>
      <c r="T43" s="67">
        <f>IF(AND(ISNUMBER(J43),N(J43)&gt;=0),N(J43),0)</f>
        <v>0.0</v>
      </c>
      <c r="U43" s="67">
        <f>IF(AND(ISNUMBER(K43),N(K43)&gt;0),N(K43),0)</f>
        <v>0.0</v>
      </c>
      <c r="V43" s="67">
        <f>IF(AND(ISNUMBER(L43),N(L43)&gt;0),N(L43),0)</f>
        <v>0.0</v>
      </c>
      <c r="W43" s="67">
        <f>IF(AND(I43="Terminée",S43&gt;0,C43&lt;&gt;"",ISNUMBER(MATCH(C43,eq_code,0))),1,0)</f>
        <v>0.0</v>
      </c>
      <c r="X43" s="67">
        <f>IF(AND(W43=1,E43="Préventif"),1,0)</f>
        <v>0.0</v>
      </c>
      <c r="Y43" s="67">
        <f>IF(AND(ISNUMBER(N43),N(N43)&gt;0),N(N43),0)</f>
        <v>0.0</v>
      </c>
      <c r="Z43" s="67">
        <f>IF(AND(ISNUMBER(P43),N(P43)&gt;0),N(P43),0)</f>
        <v>0.0</v>
      </c>
    </row>
    <row r="44">
      <c r="A44" s="79" t="str">
        <f>IF(COUNTA(B44:C44,E44:G44,I44)=0,"","BI-"&amp;RIGHT("0000"&amp;(ROW()-5),4))</f>
        <v/>
      </c>
      <c r="B44" s="72" t="n"/>
      <c r="C44" s="66" t="n"/>
      <c r="D44" s="67" t="str">
        <f>IF(C44="","",IFERROR(INDEX(eq_des,MATCH(C44,eq_code,0))&amp;"","Équipement inconnu"))</f>
        <v/>
      </c>
      <c r="E44" s="68" t="n"/>
      <c r="F44" s="68" t="n"/>
      <c r="G44" s="66" t="n"/>
      <c r="H44" s="66" t="n"/>
      <c r="I44" s="68" t="n"/>
      <c r="J44" s="73" t="n"/>
      <c r="K44" s="71" t="n"/>
      <c r="L44" s="71" t="n"/>
      <c r="M44" s="66" t="n"/>
      <c r="N44" s="80" t="n"/>
      <c r="O44" s="81" t="str">
        <f>IF(A44="","",ROUND(V44*IFERROR(N(INDEX(tech_rate,MATCH(M44,tech_name,0))),0),2))</f>
        <v/>
      </c>
      <c r="P44" s="80" t="n"/>
      <c r="Q44" s="81" t="str">
        <f>IF(A44="","",ROUND(Y44+O44+Z44,2))</f>
        <v/>
      </c>
      <c r="R44" s="79" t="str">
        <f>IF(A44="","",IF(S44=0,"Date manquante ou invalide",IF(C44="","Équipement manquant",IF(ISNA(MATCH(C44,eq_code,0)),"Équipement inconnu",IF(E44="","Type manquant",IF(AND(E44&lt;&gt;"Préventif",E44&lt;&gt;"Correctif",E44&lt;&gt;"Amélioratif"),"Type inconnu",IF(I44="","Statut manquant",IF(AND(I44&lt;&gt;"Terminée",I44&lt;&gt;"En cours",I44&lt;&gt;"À faire",I44&lt;&gt;"Annulée"),"Statut inconnu",IF(AND(E44="Préventif",F44=""),"Plan manquant (préventif)",IF(AND(F44&lt;&gt;"",ISNA(MATCH(F44,pl_num,0))),"Plan inconnu",IF(AND(F44&lt;&gt;"",IFERROR(INDEX(pl_eq,MATCH(F44,pl_num,0))&amp;"",C44)&lt;&gt;C44),"Plan d'un autre équipement",IF(AND(J44&lt;&gt;"",OR(NOT(ISNUMBER(J44)),N(J44)&lt;0)),"Compteur invalide",IF(OR(AND(K44&lt;&gt;"",OR(NOT(ISNUMBER(K44)),N(K44)&lt;0)),AND(L44&lt;&gt;"",OR(NOT(ISNUMBER(L44)),N(L44)&lt;0))),"Durée invalide",IF(OR(AND(N44&lt;&gt;"",OR(NOT(ISNUMBER(N44)),N(N44)&lt;0)),AND(P44&lt;&gt;"",OR(NOT(ISNUMBER(P44)),N(P44)&lt;0))),"Coût invalide",IF(AND(M44&lt;&gt;"",ISNA(MATCH(M44,tech_name,0))),"Technicien inconnu",IF(AND(I44="Terminée",S44&gt;p_today),"Terminée à une date future",IF(AND(I44="Terminée",V44=0),"Durée d'intervention manquante",IF(AND(I44="Terminée",E44="Préventif",T44=0,OR(IFERROR(INDEX(pl_trig,MATCH(F44,pl_num,0))&amp;"","")="Compteur",IFERROR(INDEX(pl_trig,MATCH(F44,pl_num,0))&amp;"","")="Au premier des deux")),"Compteur manquant (plan au compteur)","OK"))))))))))))))))))</f>
        <v/>
      </c>
      <c r="S44" s="67">
        <f>IF(AND(ISNUMBER(B44),N(B44)&gt;0),INT(B44),0)</f>
        <v>0.0</v>
      </c>
      <c r="T44" s="67">
        <f>IF(AND(ISNUMBER(J44),N(J44)&gt;=0),N(J44),0)</f>
        <v>0.0</v>
      </c>
      <c r="U44" s="67">
        <f>IF(AND(ISNUMBER(K44),N(K44)&gt;0),N(K44),0)</f>
        <v>0.0</v>
      </c>
      <c r="V44" s="67">
        <f>IF(AND(ISNUMBER(L44),N(L44)&gt;0),N(L44),0)</f>
        <v>0.0</v>
      </c>
      <c r="W44" s="67">
        <f>IF(AND(I44="Terminée",S44&gt;0,C44&lt;&gt;"",ISNUMBER(MATCH(C44,eq_code,0))),1,0)</f>
        <v>0.0</v>
      </c>
      <c r="X44" s="67">
        <f>IF(AND(W44=1,E44="Préventif"),1,0)</f>
        <v>0.0</v>
      </c>
      <c r="Y44" s="67">
        <f>IF(AND(ISNUMBER(N44),N(N44)&gt;0),N(N44),0)</f>
        <v>0.0</v>
      </c>
      <c r="Z44" s="67">
        <f>IF(AND(ISNUMBER(P44),N(P44)&gt;0),N(P44),0)</f>
        <v>0.0</v>
      </c>
    </row>
    <row r="45">
      <c r="A45" s="79" t="str">
        <f>IF(COUNTA(B45:C45,E45:G45,I45)=0,"","BI-"&amp;RIGHT("0000"&amp;(ROW()-5),4))</f>
        <v/>
      </c>
      <c r="B45" s="72" t="n"/>
      <c r="C45" s="66" t="n"/>
      <c r="D45" s="67" t="str">
        <f>IF(C45="","",IFERROR(INDEX(eq_des,MATCH(C45,eq_code,0))&amp;"","Équipement inconnu"))</f>
        <v/>
      </c>
      <c r="E45" s="68" t="n"/>
      <c r="F45" s="68" t="n"/>
      <c r="G45" s="66" t="n"/>
      <c r="H45" s="66" t="n"/>
      <c r="I45" s="68" t="n"/>
      <c r="J45" s="73" t="n"/>
      <c r="K45" s="71" t="n"/>
      <c r="L45" s="71" t="n"/>
      <c r="M45" s="66" t="n"/>
      <c r="N45" s="80" t="n"/>
      <c r="O45" s="81" t="str">
        <f>IF(A45="","",ROUND(V45*IFERROR(N(INDEX(tech_rate,MATCH(M45,tech_name,0))),0),2))</f>
        <v/>
      </c>
      <c r="P45" s="80" t="n"/>
      <c r="Q45" s="81" t="str">
        <f>IF(A45="","",ROUND(Y45+O45+Z45,2))</f>
        <v/>
      </c>
      <c r="R45" s="79" t="str">
        <f>IF(A45="","",IF(S45=0,"Date manquante ou invalide",IF(C45="","Équipement manquant",IF(ISNA(MATCH(C45,eq_code,0)),"Équipement inconnu",IF(E45="","Type manquant",IF(AND(E45&lt;&gt;"Préventif",E45&lt;&gt;"Correctif",E45&lt;&gt;"Amélioratif"),"Type inconnu",IF(I45="","Statut manquant",IF(AND(I45&lt;&gt;"Terminée",I45&lt;&gt;"En cours",I45&lt;&gt;"À faire",I45&lt;&gt;"Annulée"),"Statut inconnu",IF(AND(E45="Préventif",F45=""),"Plan manquant (préventif)",IF(AND(F45&lt;&gt;"",ISNA(MATCH(F45,pl_num,0))),"Plan inconnu",IF(AND(F45&lt;&gt;"",IFERROR(INDEX(pl_eq,MATCH(F45,pl_num,0))&amp;"",C45)&lt;&gt;C45),"Plan d'un autre équipement",IF(AND(J45&lt;&gt;"",OR(NOT(ISNUMBER(J45)),N(J45)&lt;0)),"Compteur invalide",IF(OR(AND(K45&lt;&gt;"",OR(NOT(ISNUMBER(K45)),N(K45)&lt;0)),AND(L45&lt;&gt;"",OR(NOT(ISNUMBER(L45)),N(L45)&lt;0))),"Durée invalide",IF(OR(AND(N45&lt;&gt;"",OR(NOT(ISNUMBER(N45)),N(N45)&lt;0)),AND(P45&lt;&gt;"",OR(NOT(ISNUMBER(P45)),N(P45)&lt;0))),"Coût invalide",IF(AND(M45&lt;&gt;"",ISNA(MATCH(M45,tech_name,0))),"Technicien inconnu",IF(AND(I45="Terminée",S45&gt;p_today),"Terminée à une date future",IF(AND(I45="Terminée",V45=0),"Durée d'intervention manquante",IF(AND(I45="Terminée",E45="Préventif",T45=0,OR(IFERROR(INDEX(pl_trig,MATCH(F45,pl_num,0))&amp;"","")="Compteur",IFERROR(INDEX(pl_trig,MATCH(F45,pl_num,0))&amp;"","")="Au premier des deux")),"Compteur manquant (plan au compteur)","OK"))))))))))))))))))</f>
        <v/>
      </c>
      <c r="S45" s="67">
        <f>IF(AND(ISNUMBER(B45),N(B45)&gt;0),INT(B45),0)</f>
        <v>0.0</v>
      </c>
      <c r="T45" s="67">
        <f>IF(AND(ISNUMBER(J45),N(J45)&gt;=0),N(J45),0)</f>
        <v>0.0</v>
      </c>
      <c r="U45" s="67">
        <f>IF(AND(ISNUMBER(K45),N(K45)&gt;0),N(K45),0)</f>
        <v>0.0</v>
      </c>
      <c r="V45" s="67">
        <f>IF(AND(ISNUMBER(L45),N(L45)&gt;0),N(L45),0)</f>
        <v>0.0</v>
      </c>
      <c r="W45" s="67">
        <f>IF(AND(I45="Terminée",S45&gt;0,C45&lt;&gt;"",ISNUMBER(MATCH(C45,eq_code,0))),1,0)</f>
        <v>0.0</v>
      </c>
      <c r="X45" s="67">
        <f>IF(AND(W45=1,E45="Préventif"),1,0)</f>
        <v>0.0</v>
      </c>
      <c r="Y45" s="67">
        <f>IF(AND(ISNUMBER(N45),N(N45)&gt;0),N(N45),0)</f>
        <v>0.0</v>
      </c>
      <c r="Z45" s="67">
        <f>IF(AND(ISNUMBER(P45),N(P45)&gt;0),N(P45),0)</f>
        <v>0.0</v>
      </c>
    </row>
    <row r="46">
      <c r="A46" s="79" t="str">
        <f>IF(COUNTA(B46:C46,E46:G46,I46)=0,"","BI-"&amp;RIGHT("0000"&amp;(ROW()-5),4))</f>
        <v/>
      </c>
      <c r="B46" s="72" t="n"/>
      <c r="C46" s="66" t="n"/>
      <c r="D46" s="67" t="str">
        <f>IF(C46="","",IFERROR(INDEX(eq_des,MATCH(C46,eq_code,0))&amp;"","Équipement inconnu"))</f>
        <v/>
      </c>
      <c r="E46" s="68" t="n"/>
      <c r="F46" s="68" t="n"/>
      <c r="G46" s="66" t="n"/>
      <c r="H46" s="66" t="n"/>
      <c r="I46" s="68" t="n"/>
      <c r="J46" s="73" t="n"/>
      <c r="K46" s="71" t="n"/>
      <c r="L46" s="71" t="n"/>
      <c r="M46" s="66" t="n"/>
      <c r="N46" s="80" t="n"/>
      <c r="O46" s="81" t="str">
        <f>IF(A46="","",ROUND(V46*IFERROR(N(INDEX(tech_rate,MATCH(M46,tech_name,0))),0),2))</f>
        <v/>
      </c>
      <c r="P46" s="80" t="n"/>
      <c r="Q46" s="81" t="str">
        <f>IF(A46="","",ROUND(Y46+O46+Z46,2))</f>
        <v/>
      </c>
      <c r="R46" s="79" t="str">
        <f>IF(A46="","",IF(S46=0,"Date manquante ou invalide",IF(C46="","Équipement manquant",IF(ISNA(MATCH(C46,eq_code,0)),"Équipement inconnu",IF(E46="","Type manquant",IF(AND(E46&lt;&gt;"Préventif",E46&lt;&gt;"Correctif",E46&lt;&gt;"Amélioratif"),"Type inconnu",IF(I46="","Statut manquant",IF(AND(I46&lt;&gt;"Terminée",I46&lt;&gt;"En cours",I46&lt;&gt;"À faire",I46&lt;&gt;"Annulée"),"Statut inconnu",IF(AND(E46="Préventif",F46=""),"Plan manquant (préventif)",IF(AND(F46&lt;&gt;"",ISNA(MATCH(F46,pl_num,0))),"Plan inconnu",IF(AND(F46&lt;&gt;"",IFERROR(INDEX(pl_eq,MATCH(F46,pl_num,0))&amp;"",C46)&lt;&gt;C46),"Plan d'un autre équipement",IF(AND(J46&lt;&gt;"",OR(NOT(ISNUMBER(J46)),N(J46)&lt;0)),"Compteur invalide",IF(OR(AND(K46&lt;&gt;"",OR(NOT(ISNUMBER(K46)),N(K46)&lt;0)),AND(L46&lt;&gt;"",OR(NOT(ISNUMBER(L46)),N(L46)&lt;0))),"Durée invalide",IF(OR(AND(N46&lt;&gt;"",OR(NOT(ISNUMBER(N46)),N(N46)&lt;0)),AND(P46&lt;&gt;"",OR(NOT(ISNUMBER(P46)),N(P46)&lt;0))),"Coût invalide",IF(AND(M46&lt;&gt;"",ISNA(MATCH(M46,tech_name,0))),"Technicien inconnu",IF(AND(I46="Terminée",S46&gt;p_today),"Terminée à une date future",IF(AND(I46="Terminée",V46=0),"Durée d'intervention manquante",IF(AND(I46="Terminée",E46="Préventif",T46=0,OR(IFERROR(INDEX(pl_trig,MATCH(F46,pl_num,0))&amp;"","")="Compteur",IFERROR(INDEX(pl_trig,MATCH(F46,pl_num,0))&amp;"","")="Au premier des deux")),"Compteur manquant (plan au compteur)","OK"))))))))))))))))))</f>
        <v/>
      </c>
      <c r="S46" s="67">
        <f>IF(AND(ISNUMBER(B46),N(B46)&gt;0),INT(B46),0)</f>
        <v>0.0</v>
      </c>
      <c r="T46" s="67">
        <f>IF(AND(ISNUMBER(J46),N(J46)&gt;=0),N(J46),0)</f>
        <v>0.0</v>
      </c>
      <c r="U46" s="67">
        <f>IF(AND(ISNUMBER(K46),N(K46)&gt;0),N(K46),0)</f>
        <v>0.0</v>
      </c>
      <c r="V46" s="67">
        <f>IF(AND(ISNUMBER(L46),N(L46)&gt;0),N(L46),0)</f>
        <v>0.0</v>
      </c>
      <c r="W46" s="67">
        <f>IF(AND(I46="Terminée",S46&gt;0,C46&lt;&gt;"",ISNUMBER(MATCH(C46,eq_code,0))),1,0)</f>
        <v>0.0</v>
      </c>
      <c r="X46" s="67">
        <f>IF(AND(W46=1,E46="Préventif"),1,0)</f>
        <v>0.0</v>
      </c>
      <c r="Y46" s="67">
        <f>IF(AND(ISNUMBER(N46),N(N46)&gt;0),N(N46),0)</f>
        <v>0.0</v>
      </c>
      <c r="Z46" s="67">
        <f>IF(AND(ISNUMBER(P46),N(P46)&gt;0),N(P46),0)</f>
        <v>0.0</v>
      </c>
    </row>
    <row r="47">
      <c r="A47" s="79" t="str">
        <f>IF(COUNTA(B47:C47,E47:G47,I47)=0,"","BI-"&amp;RIGHT("0000"&amp;(ROW()-5),4))</f>
        <v/>
      </c>
      <c r="B47" s="72" t="n"/>
      <c r="C47" s="66" t="n"/>
      <c r="D47" s="67" t="str">
        <f>IF(C47="","",IFERROR(INDEX(eq_des,MATCH(C47,eq_code,0))&amp;"","Équipement inconnu"))</f>
        <v/>
      </c>
      <c r="E47" s="68" t="n"/>
      <c r="F47" s="68" t="n"/>
      <c r="G47" s="66" t="n"/>
      <c r="H47" s="66" t="n"/>
      <c r="I47" s="68" t="n"/>
      <c r="J47" s="73" t="n"/>
      <c r="K47" s="71" t="n"/>
      <c r="L47" s="71" t="n"/>
      <c r="M47" s="66" t="n"/>
      <c r="N47" s="80" t="n"/>
      <c r="O47" s="81" t="str">
        <f>IF(A47="","",ROUND(V47*IFERROR(N(INDEX(tech_rate,MATCH(M47,tech_name,0))),0),2))</f>
        <v/>
      </c>
      <c r="P47" s="80" t="n"/>
      <c r="Q47" s="81" t="str">
        <f>IF(A47="","",ROUND(Y47+O47+Z47,2))</f>
        <v/>
      </c>
      <c r="R47" s="79" t="str">
        <f>IF(A47="","",IF(S47=0,"Date manquante ou invalide",IF(C47="","Équipement manquant",IF(ISNA(MATCH(C47,eq_code,0)),"Équipement inconnu",IF(E47="","Type manquant",IF(AND(E47&lt;&gt;"Préventif",E47&lt;&gt;"Correctif",E47&lt;&gt;"Amélioratif"),"Type inconnu",IF(I47="","Statut manquant",IF(AND(I47&lt;&gt;"Terminée",I47&lt;&gt;"En cours",I47&lt;&gt;"À faire",I47&lt;&gt;"Annulée"),"Statut inconnu",IF(AND(E47="Préventif",F47=""),"Plan manquant (préventif)",IF(AND(F47&lt;&gt;"",ISNA(MATCH(F47,pl_num,0))),"Plan inconnu",IF(AND(F47&lt;&gt;"",IFERROR(INDEX(pl_eq,MATCH(F47,pl_num,0))&amp;"",C47)&lt;&gt;C47),"Plan d'un autre équipement",IF(AND(J47&lt;&gt;"",OR(NOT(ISNUMBER(J47)),N(J47)&lt;0)),"Compteur invalide",IF(OR(AND(K47&lt;&gt;"",OR(NOT(ISNUMBER(K47)),N(K47)&lt;0)),AND(L47&lt;&gt;"",OR(NOT(ISNUMBER(L47)),N(L47)&lt;0))),"Durée invalide",IF(OR(AND(N47&lt;&gt;"",OR(NOT(ISNUMBER(N47)),N(N47)&lt;0)),AND(P47&lt;&gt;"",OR(NOT(ISNUMBER(P47)),N(P47)&lt;0))),"Coût invalide",IF(AND(M47&lt;&gt;"",ISNA(MATCH(M47,tech_name,0))),"Technicien inconnu",IF(AND(I47="Terminée",S47&gt;p_today),"Terminée à une date future",IF(AND(I47="Terminée",V47=0),"Durée d'intervention manquante",IF(AND(I47="Terminée",E47="Préventif",T47=0,OR(IFERROR(INDEX(pl_trig,MATCH(F47,pl_num,0))&amp;"","")="Compteur",IFERROR(INDEX(pl_trig,MATCH(F47,pl_num,0))&amp;"","")="Au premier des deux")),"Compteur manquant (plan au compteur)","OK"))))))))))))))))))</f>
        <v/>
      </c>
      <c r="S47" s="67">
        <f>IF(AND(ISNUMBER(B47),N(B47)&gt;0),INT(B47),0)</f>
        <v>0.0</v>
      </c>
      <c r="T47" s="67">
        <f>IF(AND(ISNUMBER(J47),N(J47)&gt;=0),N(J47),0)</f>
        <v>0.0</v>
      </c>
      <c r="U47" s="67">
        <f>IF(AND(ISNUMBER(K47),N(K47)&gt;0),N(K47),0)</f>
        <v>0.0</v>
      </c>
      <c r="V47" s="67">
        <f>IF(AND(ISNUMBER(L47),N(L47)&gt;0),N(L47),0)</f>
        <v>0.0</v>
      </c>
      <c r="W47" s="67">
        <f>IF(AND(I47="Terminée",S47&gt;0,C47&lt;&gt;"",ISNUMBER(MATCH(C47,eq_code,0))),1,0)</f>
        <v>0.0</v>
      </c>
      <c r="X47" s="67">
        <f>IF(AND(W47=1,E47="Préventif"),1,0)</f>
        <v>0.0</v>
      </c>
      <c r="Y47" s="67">
        <f>IF(AND(ISNUMBER(N47),N(N47)&gt;0),N(N47),0)</f>
        <v>0.0</v>
      </c>
      <c r="Z47" s="67">
        <f>IF(AND(ISNUMBER(P47),N(P47)&gt;0),N(P47),0)</f>
        <v>0.0</v>
      </c>
    </row>
    <row r="48">
      <c r="A48" s="79" t="str">
        <f>IF(COUNTA(B48:C48,E48:G48,I48)=0,"","BI-"&amp;RIGHT("0000"&amp;(ROW()-5),4))</f>
        <v/>
      </c>
      <c r="B48" s="72" t="n"/>
      <c r="C48" s="66" t="n"/>
      <c r="D48" s="67" t="str">
        <f>IF(C48="","",IFERROR(INDEX(eq_des,MATCH(C48,eq_code,0))&amp;"","Équipement inconnu"))</f>
        <v/>
      </c>
      <c r="E48" s="68" t="n"/>
      <c r="F48" s="68" t="n"/>
      <c r="G48" s="66" t="n"/>
      <c r="H48" s="66" t="n"/>
      <c r="I48" s="68" t="n"/>
      <c r="J48" s="73" t="n"/>
      <c r="K48" s="71" t="n"/>
      <c r="L48" s="71" t="n"/>
      <c r="M48" s="66" t="n"/>
      <c r="N48" s="80" t="n"/>
      <c r="O48" s="81" t="str">
        <f>IF(A48="","",ROUND(V48*IFERROR(N(INDEX(tech_rate,MATCH(M48,tech_name,0))),0),2))</f>
        <v/>
      </c>
      <c r="P48" s="80" t="n"/>
      <c r="Q48" s="81" t="str">
        <f>IF(A48="","",ROUND(Y48+O48+Z48,2))</f>
        <v/>
      </c>
      <c r="R48" s="79" t="str">
        <f>IF(A48="","",IF(S48=0,"Date manquante ou invalide",IF(C48="","Équipement manquant",IF(ISNA(MATCH(C48,eq_code,0)),"Équipement inconnu",IF(E48="","Type manquant",IF(AND(E48&lt;&gt;"Préventif",E48&lt;&gt;"Correctif",E48&lt;&gt;"Amélioratif"),"Type inconnu",IF(I48="","Statut manquant",IF(AND(I48&lt;&gt;"Terminée",I48&lt;&gt;"En cours",I48&lt;&gt;"À faire",I48&lt;&gt;"Annulée"),"Statut inconnu",IF(AND(E48="Préventif",F48=""),"Plan manquant (préventif)",IF(AND(F48&lt;&gt;"",ISNA(MATCH(F48,pl_num,0))),"Plan inconnu",IF(AND(F48&lt;&gt;"",IFERROR(INDEX(pl_eq,MATCH(F48,pl_num,0))&amp;"",C48)&lt;&gt;C48),"Plan d'un autre équipement",IF(AND(J48&lt;&gt;"",OR(NOT(ISNUMBER(J48)),N(J48)&lt;0)),"Compteur invalide",IF(OR(AND(K48&lt;&gt;"",OR(NOT(ISNUMBER(K48)),N(K48)&lt;0)),AND(L48&lt;&gt;"",OR(NOT(ISNUMBER(L48)),N(L48)&lt;0))),"Durée invalide",IF(OR(AND(N48&lt;&gt;"",OR(NOT(ISNUMBER(N48)),N(N48)&lt;0)),AND(P48&lt;&gt;"",OR(NOT(ISNUMBER(P48)),N(P48)&lt;0))),"Coût invalide",IF(AND(M48&lt;&gt;"",ISNA(MATCH(M48,tech_name,0))),"Technicien inconnu",IF(AND(I48="Terminée",S48&gt;p_today),"Terminée à une date future",IF(AND(I48="Terminée",V48=0),"Durée d'intervention manquante",IF(AND(I48="Terminée",E48="Préventif",T48=0,OR(IFERROR(INDEX(pl_trig,MATCH(F48,pl_num,0))&amp;"","")="Compteur",IFERROR(INDEX(pl_trig,MATCH(F48,pl_num,0))&amp;"","")="Au premier des deux")),"Compteur manquant (plan au compteur)","OK"))))))))))))))))))</f>
        <v/>
      </c>
      <c r="S48" s="67">
        <f>IF(AND(ISNUMBER(B48),N(B48)&gt;0),INT(B48),0)</f>
        <v>0.0</v>
      </c>
      <c r="T48" s="67">
        <f>IF(AND(ISNUMBER(J48),N(J48)&gt;=0),N(J48),0)</f>
        <v>0.0</v>
      </c>
      <c r="U48" s="67">
        <f>IF(AND(ISNUMBER(K48),N(K48)&gt;0),N(K48),0)</f>
        <v>0.0</v>
      </c>
      <c r="V48" s="67">
        <f>IF(AND(ISNUMBER(L48),N(L48)&gt;0),N(L48),0)</f>
        <v>0.0</v>
      </c>
      <c r="W48" s="67">
        <f>IF(AND(I48="Terminée",S48&gt;0,C48&lt;&gt;"",ISNUMBER(MATCH(C48,eq_code,0))),1,0)</f>
        <v>0.0</v>
      </c>
      <c r="X48" s="67">
        <f>IF(AND(W48=1,E48="Préventif"),1,0)</f>
        <v>0.0</v>
      </c>
      <c r="Y48" s="67">
        <f>IF(AND(ISNUMBER(N48),N(N48)&gt;0),N(N48),0)</f>
        <v>0.0</v>
      </c>
      <c r="Z48" s="67">
        <f>IF(AND(ISNUMBER(P48),N(P48)&gt;0),N(P48),0)</f>
        <v>0.0</v>
      </c>
    </row>
    <row r="49">
      <c r="A49" s="79" t="str">
        <f>IF(COUNTA(B49:C49,E49:G49,I49)=0,"","BI-"&amp;RIGHT("0000"&amp;(ROW()-5),4))</f>
        <v/>
      </c>
      <c r="B49" s="72" t="n"/>
      <c r="C49" s="66" t="n"/>
      <c r="D49" s="67" t="str">
        <f>IF(C49="","",IFERROR(INDEX(eq_des,MATCH(C49,eq_code,0))&amp;"","Équipement inconnu"))</f>
        <v/>
      </c>
      <c r="E49" s="68" t="n"/>
      <c r="F49" s="68" t="n"/>
      <c r="G49" s="66" t="n"/>
      <c r="H49" s="66" t="n"/>
      <c r="I49" s="68" t="n"/>
      <c r="J49" s="73" t="n"/>
      <c r="K49" s="71" t="n"/>
      <c r="L49" s="71" t="n"/>
      <c r="M49" s="66" t="n"/>
      <c r="N49" s="80" t="n"/>
      <c r="O49" s="81" t="str">
        <f>IF(A49="","",ROUND(V49*IFERROR(N(INDEX(tech_rate,MATCH(M49,tech_name,0))),0),2))</f>
        <v/>
      </c>
      <c r="P49" s="80" t="n"/>
      <c r="Q49" s="81" t="str">
        <f>IF(A49="","",ROUND(Y49+O49+Z49,2))</f>
        <v/>
      </c>
      <c r="R49" s="79" t="str">
        <f>IF(A49="","",IF(S49=0,"Date manquante ou invalide",IF(C49="","Équipement manquant",IF(ISNA(MATCH(C49,eq_code,0)),"Équipement inconnu",IF(E49="","Type manquant",IF(AND(E49&lt;&gt;"Préventif",E49&lt;&gt;"Correctif",E49&lt;&gt;"Amélioratif"),"Type inconnu",IF(I49="","Statut manquant",IF(AND(I49&lt;&gt;"Terminée",I49&lt;&gt;"En cours",I49&lt;&gt;"À faire",I49&lt;&gt;"Annulée"),"Statut inconnu",IF(AND(E49="Préventif",F49=""),"Plan manquant (préventif)",IF(AND(F49&lt;&gt;"",ISNA(MATCH(F49,pl_num,0))),"Plan inconnu",IF(AND(F49&lt;&gt;"",IFERROR(INDEX(pl_eq,MATCH(F49,pl_num,0))&amp;"",C49)&lt;&gt;C49),"Plan d'un autre équipement",IF(AND(J49&lt;&gt;"",OR(NOT(ISNUMBER(J49)),N(J49)&lt;0)),"Compteur invalide",IF(OR(AND(K49&lt;&gt;"",OR(NOT(ISNUMBER(K49)),N(K49)&lt;0)),AND(L49&lt;&gt;"",OR(NOT(ISNUMBER(L49)),N(L49)&lt;0))),"Durée invalide",IF(OR(AND(N49&lt;&gt;"",OR(NOT(ISNUMBER(N49)),N(N49)&lt;0)),AND(P49&lt;&gt;"",OR(NOT(ISNUMBER(P49)),N(P49)&lt;0))),"Coût invalide",IF(AND(M49&lt;&gt;"",ISNA(MATCH(M49,tech_name,0))),"Technicien inconnu",IF(AND(I49="Terminée",S49&gt;p_today),"Terminée à une date future",IF(AND(I49="Terminée",V49=0),"Durée d'intervention manquante",IF(AND(I49="Terminée",E49="Préventif",T49=0,OR(IFERROR(INDEX(pl_trig,MATCH(F49,pl_num,0))&amp;"","")="Compteur",IFERROR(INDEX(pl_trig,MATCH(F49,pl_num,0))&amp;"","")="Au premier des deux")),"Compteur manquant (plan au compteur)","OK"))))))))))))))))))</f>
        <v/>
      </c>
      <c r="S49" s="67">
        <f>IF(AND(ISNUMBER(B49),N(B49)&gt;0),INT(B49),0)</f>
        <v>0.0</v>
      </c>
      <c r="T49" s="67">
        <f>IF(AND(ISNUMBER(J49),N(J49)&gt;=0),N(J49),0)</f>
        <v>0.0</v>
      </c>
      <c r="U49" s="67">
        <f>IF(AND(ISNUMBER(K49),N(K49)&gt;0),N(K49),0)</f>
        <v>0.0</v>
      </c>
      <c r="V49" s="67">
        <f>IF(AND(ISNUMBER(L49),N(L49)&gt;0),N(L49),0)</f>
        <v>0.0</v>
      </c>
      <c r="W49" s="67">
        <f>IF(AND(I49="Terminée",S49&gt;0,C49&lt;&gt;"",ISNUMBER(MATCH(C49,eq_code,0))),1,0)</f>
        <v>0.0</v>
      </c>
      <c r="X49" s="67">
        <f>IF(AND(W49=1,E49="Préventif"),1,0)</f>
        <v>0.0</v>
      </c>
      <c r="Y49" s="67">
        <f>IF(AND(ISNUMBER(N49),N(N49)&gt;0),N(N49),0)</f>
        <v>0.0</v>
      </c>
      <c r="Z49" s="67">
        <f>IF(AND(ISNUMBER(P49),N(P49)&gt;0),N(P49),0)</f>
        <v>0.0</v>
      </c>
    </row>
    <row r="50">
      <c r="A50" s="79" t="str">
        <f>IF(COUNTA(B50:C50,E50:G50,I50)=0,"","BI-"&amp;RIGHT("0000"&amp;(ROW()-5),4))</f>
        <v/>
      </c>
      <c r="B50" s="72" t="n"/>
      <c r="C50" s="66" t="n"/>
      <c r="D50" s="67" t="str">
        <f>IF(C50="","",IFERROR(INDEX(eq_des,MATCH(C50,eq_code,0))&amp;"","Équipement inconnu"))</f>
        <v/>
      </c>
      <c r="E50" s="68" t="n"/>
      <c r="F50" s="68" t="n"/>
      <c r="G50" s="66" t="n"/>
      <c r="H50" s="66" t="n"/>
      <c r="I50" s="68" t="n"/>
      <c r="J50" s="73" t="n"/>
      <c r="K50" s="71" t="n"/>
      <c r="L50" s="71" t="n"/>
      <c r="M50" s="66" t="n"/>
      <c r="N50" s="80" t="n"/>
      <c r="O50" s="81" t="str">
        <f>IF(A50="","",ROUND(V50*IFERROR(N(INDEX(tech_rate,MATCH(M50,tech_name,0))),0),2))</f>
        <v/>
      </c>
      <c r="P50" s="80" t="n"/>
      <c r="Q50" s="81" t="str">
        <f>IF(A50="","",ROUND(Y50+O50+Z50,2))</f>
        <v/>
      </c>
      <c r="R50" s="79" t="str">
        <f>IF(A50="","",IF(S50=0,"Date manquante ou invalide",IF(C50="","Équipement manquant",IF(ISNA(MATCH(C50,eq_code,0)),"Équipement inconnu",IF(E50="","Type manquant",IF(AND(E50&lt;&gt;"Préventif",E50&lt;&gt;"Correctif",E50&lt;&gt;"Amélioratif"),"Type inconnu",IF(I50="","Statut manquant",IF(AND(I50&lt;&gt;"Terminée",I50&lt;&gt;"En cours",I50&lt;&gt;"À faire",I50&lt;&gt;"Annulée"),"Statut inconnu",IF(AND(E50="Préventif",F50=""),"Plan manquant (préventif)",IF(AND(F50&lt;&gt;"",ISNA(MATCH(F50,pl_num,0))),"Plan inconnu",IF(AND(F50&lt;&gt;"",IFERROR(INDEX(pl_eq,MATCH(F50,pl_num,0))&amp;"",C50)&lt;&gt;C50),"Plan d'un autre équipement",IF(AND(J50&lt;&gt;"",OR(NOT(ISNUMBER(J50)),N(J50)&lt;0)),"Compteur invalide",IF(OR(AND(K50&lt;&gt;"",OR(NOT(ISNUMBER(K50)),N(K50)&lt;0)),AND(L50&lt;&gt;"",OR(NOT(ISNUMBER(L50)),N(L50)&lt;0))),"Durée invalide",IF(OR(AND(N50&lt;&gt;"",OR(NOT(ISNUMBER(N50)),N(N50)&lt;0)),AND(P50&lt;&gt;"",OR(NOT(ISNUMBER(P50)),N(P50)&lt;0))),"Coût invalide",IF(AND(M50&lt;&gt;"",ISNA(MATCH(M50,tech_name,0))),"Technicien inconnu",IF(AND(I50="Terminée",S50&gt;p_today),"Terminée à une date future",IF(AND(I50="Terminée",V50=0),"Durée d'intervention manquante",IF(AND(I50="Terminée",E50="Préventif",T50=0,OR(IFERROR(INDEX(pl_trig,MATCH(F50,pl_num,0))&amp;"","")="Compteur",IFERROR(INDEX(pl_trig,MATCH(F50,pl_num,0))&amp;"","")="Au premier des deux")),"Compteur manquant (plan au compteur)","OK"))))))))))))))))))</f>
        <v/>
      </c>
      <c r="S50" s="67">
        <f>IF(AND(ISNUMBER(B50),N(B50)&gt;0),INT(B50),0)</f>
        <v>0.0</v>
      </c>
      <c r="T50" s="67">
        <f>IF(AND(ISNUMBER(J50),N(J50)&gt;=0),N(J50),0)</f>
        <v>0.0</v>
      </c>
      <c r="U50" s="67">
        <f>IF(AND(ISNUMBER(K50),N(K50)&gt;0),N(K50),0)</f>
        <v>0.0</v>
      </c>
      <c r="V50" s="67">
        <f>IF(AND(ISNUMBER(L50),N(L50)&gt;0),N(L50),0)</f>
        <v>0.0</v>
      </c>
      <c r="W50" s="67">
        <f>IF(AND(I50="Terminée",S50&gt;0,C50&lt;&gt;"",ISNUMBER(MATCH(C50,eq_code,0))),1,0)</f>
        <v>0.0</v>
      </c>
      <c r="X50" s="67">
        <f>IF(AND(W50=1,E50="Préventif"),1,0)</f>
        <v>0.0</v>
      </c>
      <c r="Y50" s="67">
        <f>IF(AND(ISNUMBER(N50),N(N50)&gt;0),N(N50),0)</f>
        <v>0.0</v>
      </c>
      <c r="Z50" s="67">
        <f>IF(AND(ISNUMBER(P50),N(P50)&gt;0),N(P50),0)</f>
        <v>0.0</v>
      </c>
    </row>
    <row r="51">
      <c r="A51" s="79" t="str">
        <f>IF(COUNTA(B51:C51,E51:G51,I51)=0,"","BI-"&amp;RIGHT("0000"&amp;(ROW()-5),4))</f>
        <v/>
      </c>
      <c r="B51" s="72" t="n"/>
      <c r="C51" s="66" t="n"/>
      <c r="D51" s="67" t="str">
        <f>IF(C51="","",IFERROR(INDEX(eq_des,MATCH(C51,eq_code,0))&amp;"","Équipement inconnu"))</f>
        <v/>
      </c>
      <c r="E51" s="68" t="n"/>
      <c r="F51" s="68" t="n"/>
      <c r="G51" s="66" t="n"/>
      <c r="H51" s="66" t="n"/>
      <c r="I51" s="68" t="n"/>
      <c r="J51" s="73" t="n"/>
      <c r="K51" s="71" t="n"/>
      <c r="L51" s="71" t="n"/>
      <c r="M51" s="66" t="n"/>
      <c r="N51" s="80" t="n"/>
      <c r="O51" s="81" t="str">
        <f>IF(A51="","",ROUND(V51*IFERROR(N(INDEX(tech_rate,MATCH(M51,tech_name,0))),0),2))</f>
        <v/>
      </c>
      <c r="P51" s="80" t="n"/>
      <c r="Q51" s="81" t="str">
        <f>IF(A51="","",ROUND(Y51+O51+Z51,2))</f>
        <v/>
      </c>
      <c r="R51" s="79" t="str">
        <f>IF(A51="","",IF(S51=0,"Date manquante ou invalide",IF(C51="","Équipement manquant",IF(ISNA(MATCH(C51,eq_code,0)),"Équipement inconnu",IF(E51="","Type manquant",IF(AND(E51&lt;&gt;"Préventif",E51&lt;&gt;"Correctif",E51&lt;&gt;"Amélioratif"),"Type inconnu",IF(I51="","Statut manquant",IF(AND(I51&lt;&gt;"Terminée",I51&lt;&gt;"En cours",I51&lt;&gt;"À faire",I51&lt;&gt;"Annulée"),"Statut inconnu",IF(AND(E51="Préventif",F51=""),"Plan manquant (préventif)",IF(AND(F51&lt;&gt;"",ISNA(MATCH(F51,pl_num,0))),"Plan inconnu",IF(AND(F51&lt;&gt;"",IFERROR(INDEX(pl_eq,MATCH(F51,pl_num,0))&amp;"",C51)&lt;&gt;C51),"Plan d'un autre équipement",IF(AND(J51&lt;&gt;"",OR(NOT(ISNUMBER(J51)),N(J51)&lt;0)),"Compteur invalide",IF(OR(AND(K51&lt;&gt;"",OR(NOT(ISNUMBER(K51)),N(K51)&lt;0)),AND(L51&lt;&gt;"",OR(NOT(ISNUMBER(L51)),N(L51)&lt;0))),"Durée invalide",IF(OR(AND(N51&lt;&gt;"",OR(NOT(ISNUMBER(N51)),N(N51)&lt;0)),AND(P51&lt;&gt;"",OR(NOT(ISNUMBER(P51)),N(P51)&lt;0))),"Coût invalide",IF(AND(M51&lt;&gt;"",ISNA(MATCH(M51,tech_name,0))),"Technicien inconnu",IF(AND(I51="Terminée",S51&gt;p_today),"Terminée à une date future",IF(AND(I51="Terminée",V51=0),"Durée d'intervention manquante",IF(AND(I51="Terminée",E51="Préventif",T51=0,OR(IFERROR(INDEX(pl_trig,MATCH(F51,pl_num,0))&amp;"","")="Compteur",IFERROR(INDEX(pl_trig,MATCH(F51,pl_num,0))&amp;"","")="Au premier des deux")),"Compteur manquant (plan au compteur)","OK"))))))))))))))))))</f>
        <v/>
      </c>
      <c r="S51" s="67">
        <f>IF(AND(ISNUMBER(B51),N(B51)&gt;0),INT(B51),0)</f>
        <v>0.0</v>
      </c>
      <c r="T51" s="67">
        <f>IF(AND(ISNUMBER(J51),N(J51)&gt;=0),N(J51),0)</f>
        <v>0.0</v>
      </c>
      <c r="U51" s="67">
        <f>IF(AND(ISNUMBER(K51),N(K51)&gt;0),N(K51),0)</f>
        <v>0.0</v>
      </c>
      <c r="V51" s="67">
        <f>IF(AND(ISNUMBER(L51),N(L51)&gt;0),N(L51),0)</f>
        <v>0.0</v>
      </c>
      <c r="W51" s="67">
        <f>IF(AND(I51="Terminée",S51&gt;0,C51&lt;&gt;"",ISNUMBER(MATCH(C51,eq_code,0))),1,0)</f>
        <v>0.0</v>
      </c>
      <c r="X51" s="67">
        <f>IF(AND(W51=1,E51="Préventif"),1,0)</f>
        <v>0.0</v>
      </c>
      <c r="Y51" s="67">
        <f>IF(AND(ISNUMBER(N51),N(N51)&gt;0),N(N51),0)</f>
        <v>0.0</v>
      </c>
      <c r="Z51" s="67">
        <f>IF(AND(ISNUMBER(P51),N(P51)&gt;0),N(P51),0)</f>
        <v>0.0</v>
      </c>
    </row>
    <row r="52">
      <c r="A52" s="79" t="str">
        <f>IF(COUNTA(B52:C52,E52:G52,I52)=0,"","BI-"&amp;RIGHT("0000"&amp;(ROW()-5),4))</f>
        <v/>
      </c>
      <c r="B52" s="72" t="n"/>
      <c r="C52" s="66" t="n"/>
      <c r="D52" s="67" t="str">
        <f>IF(C52="","",IFERROR(INDEX(eq_des,MATCH(C52,eq_code,0))&amp;"","Équipement inconnu"))</f>
        <v/>
      </c>
      <c r="E52" s="68" t="n"/>
      <c r="F52" s="68" t="n"/>
      <c r="G52" s="66" t="n"/>
      <c r="H52" s="66" t="n"/>
      <c r="I52" s="68" t="n"/>
      <c r="J52" s="73" t="n"/>
      <c r="K52" s="71" t="n"/>
      <c r="L52" s="71" t="n"/>
      <c r="M52" s="66" t="n"/>
      <c r="N52" s="80" t="n"/>
      <c r="O52" s="81" t="str">
        <f>IF(A52="","",ROUND(V52*IFERROR(N(INDEX(tech_rate,MATCH(M52,tech_name,0))),0),2))</f>
        <v/>
      </c>
      <c r="P52" s="80" t="n"/>
      <c r="Q52" s="81" t="str">
        <f>IF(A52="","",ROUND(Y52+O52+Z52,2))</f>
        <v/>
      </c>
      <c r="R52" s="79" t="str">
        <f>IF(A52="","",IF(S52=0,"Date manquante ou invalide",IF(C52="","Équipement manquant",IF(ISNA(MATCH(C52,eq_code,0)),"Équipement inconnu",IF(E52="","Type manquant",IF(AND(E52&lt;&gt;"Préventif",E52&lt;&gt;"Correctif",E52&lt;&gt;"Amélioratif"),"Type inconnu",IF(I52="","Statut manquant",IF(AND(I52&lt;&gt;"Terminée",I52&lt;&gt;"En cours",I52&lt;&gt;"À faire",I52&lt;&gt;"Annulée"),"Statut inconnu",IF(AND(E52="Préventif",F52=""),"Plan manquant (préventif)",IF(AND(F52&lt;&gt;"",ISNA(MATCH(F52,pl_num,0))),"Plan inconnu",IF(AND(F52&lt;&gt;"",IFERROR(INDEX(pl_eq,MATCH(F52,pl_num,0))&amp;"",C52)&lt;&gt;C52),"Plan d'un autre équipement",IF(AND(J52&lt;&gt;"",OR(NOT(ISNUMBER(J52)),N(J52)&lt;0)),"Compteur invalide",IF(OR(AND(K52&lt;&gt;"",OR(NOT(ISNUMBER(K52)),N(K52)&lt;0)),AND(L52&lt;&gt;"",OR(NOT(ISNUMBER(L52)),N(L52)&lt;0))),"Durée invalide",IF(OR(AND(N52&lt;&gt;"",OR(NOT(ISNUMBER(N52)),N(N52)&lt;0)),AND(P52&lt;&gt;"",OR(NOT(ISNUMBER(P52)),N(P52)&lt;0))),"Coût invalide",IF(AND(M52&lt;&gt;"",ISNA(MATCH(M52,tech_name,0))),"Technicien inconnu",IF(AND(I52="Terminée",S52&gt;p_today),"Terminée à une date future",IF(AND(I52="Terminée",V52=0),"Durée d'intervention manquante",IF(AND(I52="Terminée",E52="Préventif",T52=0,OR(IFERROR(INDEX(pl_trig,MATCH(F52,pl_num,0))&amp;"","")="Compteur",IFERROR(INDEX(pl_trig,MATCH(F52,pl_num,0))&amp;"","")="Au premier des deux")),"Compteur manquant (plan au compteur)","OK"))))))))))))))))))</f>
        <v/>
      </c>
      <c r="S52" s="67">
        <f>IF(AND(ISNUMBER(B52),N(B52)&gt;0),INT(B52),0)</f>
        <v>0.0</v>
      </c>
      <c r="T52" s="67">
        <f>IF(AND(ISNUMBER(J52),N(J52)&gt;=0),N(J52),0)</f>
        <v>0.0</v>
      </c>
      <c r="U52" s="67">
        <f>IF(AND(ISNUMBER(K52),N(K52)&gt;0),N(K52),0)</f>
        <v>0.0</v>
      </c>
      <c r="V52" s="67">
        <f>IF(AND(ISNUMBER(L52),N(L52)&gt;0),N(L52),0)</f>
        <v>0.0</v>
      </c>
      <c r="W52" s="67">
        <f>IF(AND(I52="Terminée",S52&gt;0,C52&lt;&gt;"",ISNUMBER(MATCH(C52,eq_code,0))),1,0)</f>
        <v>0.0</v>
      </c>
      <c r="X52" s="67">
        <f>IF(AND(W52=1,E52="Préventif"),1,0)</f>
        <v>0.0</v>
      </c>
      <c r="Y52" s="67">
        <f>IF(AND(ISNUMBER(N52),N(N52)&gt;0),N(N52),0)</f>
        <v>0.0</v>
      </c>
      <c r="Z52" s="67">
        <f>IF(AND(ISNUMBER(P52),N(P52)&gt;0),N(P52),0)</f>
        <v>0.0</v>
      </c>
    </row>
    <row r="53">
      <c r="A53" s="79" t="str">
        <f>IF(COUNTA(B53:C53,E53:G53,I53)=0,"","BI-"&amp;RIGHT("0000"&amp;(ROW()-5),4))</f>
        <v/>
      </c>
      <c r="B53" s="72" t="n"/>
      <c r="C53" s="66" t="n"/>
      <c r="D53" s="67" t="str">
        <f>IF(C53="","",IFERROR(INDEX(eq_des,MATCH(C53,eq_code,0))&amp;"","Équipement inconnu"))</f>
        <v/>
      </c>
      <c r="E53" s="68" t="n"/>
      <c r="F53" s="68" t="n"/>
      <c r="G53" s="66" t="n"/>
      <c r="H53" s="66" t="n"/>
      <c r="I53" s="68" t="n"/>
      <c r="J53" s="73" t="n"/>
      <c r="K53" s="71" t="n"/>
      <c r="L53" s="71" t="n"/>
      <c r="M53" s="66" t="n"/>
      <c r="N53" s="80" t="n"/>
      <c r="O53" s="81" t="str">
        <f>IF(A53="","",ROUND(V53*IFERROR(N(INDEX(tech_rate,MATCH(M53,tech_name,0))),0),2))</f>
        <v/>
      </c>
      <c r="P53" s="80" t="n"/>
      <c r="Q53" s="81" t="str">
        <f>IF(A53="","",ROUND(Y53+O53+Z53,2))</f>
        <v/>
      </c>
      <c r="R53" s="79" t="str">
        <f>IF(A53="","",IF(S53=0,"Date manquante ou invalide",IF(C53="","Équipement manquant",IF(ISNA(MATCH(C53,eq_code,0)),"Équipement inconnu",IF(E53="","Type manquant",IF(AND(E53&lt;&gt;"Préventif",E53&lt;&gt;"Correctif",E53&lt;&gt;"Amélioratif"),"Type inconnu",IF(I53="","Statut manquant",IF(AND(I53&lt;&gt;"Terminée",I53&lt;&gt;"En cours",I53&lt;&gt;"À faire",I53&lt;&gt;"Annulée"),"Statut inconnu",IF(AND(E53="Préventif",F53=""),"Plan manquant (préventif)",IF(AND(F53&lt;&gt;"",ISNA(MATCH(F53,pl_num,0))),"Plan inconnu",IF(AND(F53&lt;&gt;"",IFERROR(INDEX(pl_eq,MATCH(F53,pl_num,0))&amp;"",C53)&lt;&gt;C53),"Plan d'un autre équipement",IF(AND(J53&lt;&gt;"",OR(NOT(ISNUMBER(J53)),N(J53)&lt;0)),"Compteur invalide",IF(OR(AND(K53&lt;&gt;"",OR(NOT(ISNUMBER(K53)),N(K53)&lt;0)),AND(L53&lt;&gt;"",OR(NOT(ISNUMBER(L53)),N(L53)&lt;0))),"Durée invalide",IF(OR(AND(N53&lt;&gt;"",OR(NOT(ISNUMBER(N53)),N(N53)&lt;0)),AND(P53&lt;&gt;"",OR(NOT(ISNUMBER(P53)),N(P53)&lt;0))),"Coût invalide",IF(AND(M53&lt;&gt;"",ISNA(MATCH(M53,tech_name,0))),"Technicien inconnu",IF(AND(I53="Terminée",S53&gt;p_today),"Terminée à une date future",IF(AND(I53="Terminée",V53=0),"Durée d'intervention manquante",IF(AND(I53="Terminée",E53="Préventif",T53=0,OR(IFERROR(INDEX(pl_trig,MATCH(F53,pl_num,0))&amp;"","")="Compteur",IFERROR(INDEX(pl_trig,MATCH(F53,pl_num,0))&amp;"","")="Au premier des deux")),"Compteur manquant (plan au compteur)","OK"))))))))))))))))))</f>
        <v/>
      </c>
      <c r="S53" s="67">
        <f>IF(AND(ISNUMBER(B53),N(B53)&gt;0),INT(B53),0)</f>
        <v>0.0</v>
      </c>
      <c r="T53" s="67">
        <f>IF(AND(ISNUMBER(J53),N(J53)&gt;=0),N(J53),0)</f>
        <v>0.0</v>
      </c>
      <c r="U53" s="67">
        <f>IF(AND(ISNUMBER(K53),N(K53)&gt;0),N(K53),0)</f>
        <v>0.0</v>
      </c>
      <c r="V53" s="67">
        <f>IF(AND(ISNUMBER(L53),N(L53)&gt;0),N(L53),0)</f>
        <v>0.0</v>
      </c>
      <c r="W53" s="67">
        <f>IF(AND(I53="Terminée",S53&gt;0,C53&lt;&gt;"",ISNUMBER(MATCH(C53,eq_code,0))),1,0)</f>
        <v>0.0</v>
      </c>
      <c r="X53" s="67">
        <f>IF(AND(W53=1,E53="Préventif"),1,0)</f>
        <v>0.0</v>
      </c>
      <c r="Y53" s="67">
        <f>IF(AND(ISNUMBER(N53),N(N53)&gt;0),N(N53),0)</f>
        <v>0.0</v>
      </c>
      <c r="Z53" s="67">
        <f>IF(AND(ISNUMBER(P53),N(P53)&gt;0),N(P53),0)</f>
        <v>0.0</v>
      </c>
    </row>
    <row r="54">
      <c r="A54" s="79" t="str">
        <f>IF(COUNTA(B54:C54,E54:G54,I54)=0,"","BI-"&amp;RIGHT("0000"&amp;(ROW()-5),4))</f>
        <v/>
      </c>
      <c r="B54" s="72" t="n"/>
      <c r="C54" s="66" t="n"/>
      <c r="D54" s="67" t="str">
        <f>IF(C54="","",IFERROR(INDEX(eq_des,MATCH(C54,eq_code,0))&amp;"","Équipement inconnu"))</f>
        <v/>
      </c>
      <c r="E54" s="68" t="n"/>
      <c r="F54" s="68" t="n"/>
      <c r="G54" s="66" t="n"/>
      <c r="H54" s="66" t="n"/>
      <c r="I54" s="68" t="n"/>
      <c r="J54" s="73" t="n"/>
      <c r="K54" s="71" t="n"/>
      <c r="L54" s="71" t="n"/>
      <c r="M54" s="66" t="n"/>
      <c r="N54" s="80" t="n"/>
      <c r="O54" s="81" t="str">
        <f>IF(A54="","",ROUND(V54*IFERROR(N(INDEX(tech_rate,MATCH(M54,tech_name,0))),0),2))</f>
        <v/>
      </c>
      <c r="P54" s="80" t="n"/>
      <c r="Q54" s="81" t="str">
        <f>IF(A54="","",ROUND(Y54+O54+Z54,2))</f>
        <v/>
      </c>
      <c r="R54" s="79" t="str">
        <f>IF(A54="","",IF(S54=0,"Date manquante ou invalide",IF(C54="","Équipement manquant",IF(ISNA(MATCH(C54,eq_code,0)),"Équipement inconnu",IF(E54="","Type manquant",IF(AND(E54&lt;&gt;"Préventif",E54&lt;&gt;"Correctif",E54&lt;&gt;"Amélioratif"),"Type inconnu",IF(I54="","Statut manquant",IF(AND(I54&lt;&gt;"Terminée",I54&lt;&gt;"En cours",I54&lt;&gt;"À faire",I54&lt;&gt;"Annulée"),"Statut inconnu",IF(AND(E54="Préventif",F54=""),"Plan manquant (préventif)",IF(AND(F54&lt;&gt;"",ISNA(MATCH(F54,pl_num,0))),"Plan inconnu",IF(AND(F54&lt;&gt;"",IFERROR(INDEX(pl_eq,MATCH(F54,pl_num,0))&amp;"",C54)&lt;&gt;C54),"Plan d'un autre équipement",IF(AND(J54&lt;&gt;"",OR(NOT(ISNUMBER(J54)),N(J54)&lt;0)),"Compteur invalide",IF(OR(AND(K54&lt;&gt;"",OR(NOT(ISNUMBER(K54)),N(K54)&lt;0)),AND(L54&lt;&gt;"",OR(NOT(ISNUMBER(L54)),N(L54)&lt;0))),"Durée invalide",IF(OR(AND(N54&lt;&gt;"",OR(NOT(ISNUMBER(N54)),N(N54)&lt;0)),AND(P54&lt;&gt;"",OR(NOT(ISNUMBER(P54)),N(P54)&lt;0))),"Coût invalide",IF(AND(M54&lt;&gt;"",ISNA(MATCH(M54,tech_name,0))),"Technicien inconnu",IF(AND(I54="Terminée",S54&gt;p_today),"Terminée à une date future",IF(AND(I54="Terminée",V54=0),"Durée d'intervention manquante",IF(AND(I54="Terminée",E54="Préventif",T54=0,OR(IFERROR(INDEX(pl_trig,MATCH(F54,pl_num,0))&amp;"","")="Compteur",IFERROR(INDEX(pl_trig,MATCH(F54,pl_num,0))&amp;"","")="Au premier des deux")),"Compteur manquant (plan au compteur)","OK"))))))))))))))))))</f>
        <v/>
      </c>
      <c r="S54" s="67">
        <f>IF(AND(ISNUMBER(B54),N(B54)&gt;0),INT(B54),0)</f>
        <v>0.0</v>
      </c>
      <c r="T54" s="67">
        <f>IF(AND(ISNUMBER(J54),N(J54)&gt;=0),N(J54),0)</f>
        <v>0.0</v>
      </c>
      <c r="U54" s="67">
        <f>IF(AND(ISNUMBER(K54),N(K54)&gt;0),N(K54),0)</f>
        <v>0.0</v>
      </c>
      <c r="V54" s="67">
        <f>IF(AND(ISNUMBER(L54),N(L54)&gt;0),N(L54),0)</f>
        <v>0.0</v>
      </c>
      <c r="W54" s="67">
        <f>IF(AND(I54="Terminée",S54&gt;0,C54&lt;&gt;"",ISNUMBER(MATCH(C54,eq_code,0))),1,0)</f>
        <v>0.0</v>
      </c>
      <c r="X54" s="67">
        <f>IF(AND(W54=1,E54="Préventif"),1,0)</f>
        <v>0.0</v>
      </c>
      <c r="Y54" s="67">
        <f>IF(AND(ISNUMBER(N54),N(N54)&gt;0),N(N54),0)</f>
        <v>0.0</v>
      </c>
      <c r="Z54" s="67">
        <f>IF(AND(ISNUMBER(P54),N(P54)&gt;0),N(P54),0)</f>
        <v>0.0</v>
      </c>
    </row>
    <row r="55">
      <c r="A55" s="79" t="str">
        <f>IF(COUNTA(B55:C55,E55:G55,I55)=0,"","BI-"&amp;RIGHT("0000"&amp;(ROW()-5),4))</f>
        <v/>
      </c>
      <c r="B55" s="72" t="n"/>
      <c r="C55" s="66" t="n"/>
      <c r="D55" s="67" t="str">
        <f>IF(C55="","",IFERROR(INDEX(eq_des,MATCH(C55,eq_code,0))&amp;"","Équipement inconnu"))</f>
        <v/>
      </c>
      <c r="E55" s="68" t="n"/>
      <c r="F55" s="68" t="n"/>
      <c r="G55" s="66" t="n"/>
      <c r="H55" s="66" t="n"/>
      <c r="I55" s="68" t="n"/>
      <c r="J55" s="73" t="n"/>
      <c r="K55" s="71" t="n"/>
      <c r="L55" s="71" t="n"/>
      <c r="M55" s="66" t="n"/>
      <c r="N55" s="80" t="n"/>
      <c r="O55" s="81" t="str">
        <f>IF(A55="","",ROUND(V55*IFERROR(N(INDEX(tech_rate,MATCH(M55,tech_name,0))),0),2))</f>
        <v/>
      </c>
      <c r="P55" s="80" t="n"/>
      <c r="Q55" s="81" t="str">
        <f>IF(A55="","",ROUND(Y55+O55+Z55,2))</f>
        <v/>
      </c>
      <c r="R55" s="79" t="str">
        <f>IF(A55="","",IF(S55=0,"Date manquante ou invalide",IF(C55="","Équipement manquant",IF(ISNA(MATCH(C55,eq_code,0)),"Équipement inconnu",IF(E55="","Type manquant",IF(AND(E55&lt;&gt;"Préventif",E55&lt;&gt;"Correctif",E55&lt;&gt;"Amélioratif"),"Type inconnu",IF(I55="","Statut manquant",IF(AND(I55&lt;&gt;"Terminée",I55&lt;&gt;"En cours",I55&lt;&gt;"À faire",I55&lt;&gt;"Annulée"),"Statut inconnu",IF(AND(E55="Préventif",F55=""),"Plan manquant (préventif)",IF(AND(F55&lt;&gt;"",ISNA(MATCH(F55,pl_num,0))),"Plan inconnu",IF(AND(F55&lt;&gt;"",IFERROR(INDEX(pl_eq,MATCH(F55,pl_num,0))&amp;"",C55)&lt;&gt;C55),"Plan d'un autre équipement",IF(AND(J55&lt;&gt;"",OR(NOT(ISNUMBER(J55)),N(J55)&lt;0)),"Compteur invalide",IF(OR(AND(K55&lt;&gt;"",OR(NOT(ISNUMBER(K55)),N(K55)&lt;0)),AND(L55&lt;&gt;"",OR(NOT(ISNUMBER(L55)),N(L55)&lt;0))),"Durée invalide",IF(OR(AND(N55&lt;&gt;"",OR(NOT(ISNUMBER(N55)),N(N55)&lt;0)),AND(P55&lt;&gt;"",OR(NOT(ISNUMBER(P55)),N(P55)&lt;0))),"Coût invalide",IF(AND(M55&lt;&gt;"",ISNA(MATCH(M55,tech_name,0))),"Technicien inconnu",IF(AND(I55="Terminée",S55&gt;p_today),"Terminée à une date future",IF(AND(I55="Terminée",V55=0),"Durée d'intervention manquante",IF(AND(I55="Terminée",E55="Préventif",T55=0,OR(IFERROR(INDEX(pl_trig,MATCH(F55,pl_num,0))&amp;"","")="Compteur",IFERROR(INDEX(pl_trig,MATCH(F55,pl_num,0))&amp;"","")="Au premier des deux")),"Compteur manquant (plan au compteur)","OK"))))))))))))))))))</f>
        <v/>
      </c>
      <c r="S55" s="67">
        <f>IF(AND(ISNUMBER(B55),N(B55)&gt;0),INT(B55),0)</f>
        <v>0.0</v>
      </c>
      <c r="T55" s="67">
        <f>IF(AND(ISNUMBER(J55),N(J55)&gt;=0),N(J55),0)</f>
        <v>0.0</v>
      </c>
      <c r="U55" s="67">
        <f>IF(AND(ISNUMBER(K55),N(K55)&gt;0),N(K55),0)</f>
        <v>0.0</v>
      </c>
      <c r="V55" s="67">
        <f>IF(AND(ISNUMBER(L55),N(L55)&gt;0),N(L55),0)</f>
        <v>0.0</v>
      </c>
      <c r="W55" s="67">
        <f>IF(AND(I55="Terminée",S55&gt;0,C55&lt;&gt;"",ISNUMBER(MATCH(C55,eq_code,0))),1,0)</f>
        <v>0.0</v>
      </c>
      <c r="X55" s="67">
        <f>IF(AND(W55=1,E55="Préventif"),1,0)</f>
        <v>0.0</v>
      </c>
      <c r="Y55" s="67">
        <f>IF(AND(ISNUMBER(N55),N(N55)&gt;0),N(N55),0)</f>
        <v>0.0</v>
      </c>
      <c r="Z55" s="67">
        <f>IF(AND(ISNUMBER(P55),N(P55)&gt;0),N(P55),0)</f>
        <v>0.0</v>
      </c>
    </row>
    <row r="56">
      <c r="A56" s="79" t="str">
        <f>IF(COUNTA(B56:C56,E56:G56,I56)=0,"","BI-"&amp;RIGHT("0000"&amp;(ROW()-5),4))</f>
        <v/>
      </c>
      <c r="B56" s="72" t="n"/>
      <c r="C56" s="66" t="n"/>
      <c r="D56" s="67" t="str">
        <f>IF(C56="","",IFERROR(INDEX(eq_des,MATCH(C56,eq_code,0))&amp;"","Équipement inconnu"))</f>
        <v/>
      </c>
      <c r="E56" s="68" t="n"/>
      <c r="F56" s="68" t="n"/>
      <c r="G56" s="66" t="n"/>
      <c r="H56" s="66" t="n"/>
      <c r="I56" s="68" t="n"/>
      <c r="J56" s="73" t="n"/>
      <c r="K56" s="71" t="n"/>
      <c r="L56" s="71" t="n"/>
      <c r="M56" s="66" t="n"/>
      <c r="N56" s="80" t="n"/>
      <c r="O56" s="81" t="str">
        <f>IF(A56="","",ROUND(V56*IFERROR(N(INDEX(tech_rate,MATCH(M56,tech_name,0))),0),2))</f>
        <v/>
      </c>
      <c r="P56" s="80" t="n"/>
      <c r="Q56" s="81" t="str">
        <f>IF(A56="","",ROUND(Y56+O56+Z56,2))</f>
        <v/>
      </c>
      <c r="R56" s="79" t="str">
        <f>IF(A56="","",IF(S56=0,"Date manquante ou invalide",IF(C56="","Équipement manquant",IF(ISNA(MATCH(C56,eq_code,0)),"Équipement inconnu",IF(E56="","Type manquant",IF(AND(E56&lt;&gt;"Préventif",E56&lt;&gt;"Correctif",E56&lt;&gt;"Amélioratif"),"Type inconnu",IF(I56="","Statut manquant",IF(AND(I56&lt;&gt;"Terminée",I56&lt;&gt;"En cours",I56&lt;&gt;"À faire",I56&lt;&gt;"Annulée"),"Statut inconnu",IF(AND(E56="Préventif",F56=""),"Plan manquant (préventif)",IF(AND(F56&lt;&gt;"",ISNA(MATCH(F56,pl_num,0))),"Plan inconnu",IF(AND(F56&lt;&gt;"",IFERROR(INDEX(pl_eq,MATCH(F56,pl_num,0))&amp;"",C56)&lt;&gt;C56),"Plan d'un autre équipement",IF(AND(J56&lt;&gt;"",OR(NOT(ISNUMBER(J56)),N(J56)&lt;0)),"Compteur invalide",IF(OR(AND(K56&lt;&gt;"",OR(NOT(ISNUMBER(K56)),N(K56)&lt;0)),AND(L56&lt;&gt;"",OR(NOT(ISNUMBER(L56)),N(L56)&lt;0))),"Durée invalide",IF(OR(AND(N56&lt;&gt;"",OR(NOT(ISNUMBER(N56)),N(N56)&lt;0)),AND(P56&lt;&gt;"",OR(NOT(ISNUMBER(P56)),N(P56)&lt;0))),"Coût invalide",IF(AND(M56&lt;&gt;"",ISNA(MATCH(M56,tech_name,0))),"Technicien inconnu",IF(AND(I56="Terminée",S56&gt;p_today),"Terminée à une date future",IF(AND(I56="Terminée",V56=0),"Durée d'intervention manquante",IF(AND(I56="Terminée",E56="Préventif",T56=0,OR(IFERROR(INDEX(pl_trig,MATCH(F56,pl_num,0))&amp;"","")="Compteur",IFERROR(INDEX(pl_trig,MATCH(F56,pl_num,0))&amp;"","")="Au premier des deux")),"Compteur manquant (plan au compteur)","OK"))))))))))))))))))</f>
        <v/>
      </c>
      <c r="S56" s="67">
        <f>IF(AND(ISNUMBER(B56),N(B56)&gt;0),INT(B56),0)</f>
        <v>0.0</v>
      </c>
      <c r="T56" s="67">
        <f>IF(AND(ISNUMBER(J56),N(J56)&gt;=0),N(J56),0)</f>
        <v>0.0</v>
      </c>
      <c r="U56" s="67">
        <f>IF(AND(ISNUMBER(K56),N(K56)&gt;0),N(K56),0)</f>
        <v>0.0</v>
      </c>
      <c r="V56" s="67">
        <f>IF(AND(ISNUMBER(L56),N(L56)&gt;0),N(L56),0)</f>
        <v>0.0</v>
      </c>
      <c r="W56" s="67">
        <f>IF(AND(I56="Terminée",S56&gt;0,C56&lt;&gt;"",ISNUMBER(MATCH(C56,eq_code,0))),1,0)</f>
        <v>0.0</v>
      </c>
      <c r="X56" s="67">
        <f>IF(AND(W56=1,E56="Préventif"),1,0)</f>
        <v>0.0</v>
      </c>
      <c r="Y56" s="67">
        <f>IF(AND(ISNUMBER(N56),N(N56)&gt;0),N(N56),0)</f>
        <v>0.0</v>
      </c>
      <c r="Z56" s="67">
        <f>IF(AND(ISNUMBER(P56),N(P56)&gt;0),N(P56),0)</f>
        <v>0.0</v>
      </c>
    </row>
    <row r="57">
      <c r="A57" s="79" t="str">
        <f>IF(COUNTA(B57:C57,E57:G57,I57)=0,"","BI-"&amp;RIGHT("0000"&amp;(ROW()-5),4))</f>
        <v/>
      </c>
      <c r="B57" s="72" t="n"/>
      <c r="C57" s="66" t="n"/>
      <c r="D57" s="67" t="str">
        <f>IF(C57="","",IFERROR(INDEX(eq_des,MATCH(C57,eq_code,0))&amp;"","Équipement inconnu"))</f>
        <v/>
      </c>
      <c r="E57" s="68" t="n"/>
      <c r="F57" s="68" t="n"/>
      <c r="G57" s="66" t="n"/>
      <c r="H57" s="66" t="n"/>
      <c r="I57" s="68" t="n"/>
      <c r="J57" s="73" t="n"/>
      <c r="K57" s="71" t="n"/>
      <c r="L57" s="71" t="n"/>
      <c r="M57" s="66" t="n"/>
      <c r="N57" s="80" t="n"/>
      <c r="O57" s="81" t="str">
        <f>IF(A57="","",ROUND(V57*IFERROR(N(INDEX(tech_rate,MATCH(M57,tech_name,0))),0),2))</f>
        <v/>
      </c>
      <c r="P57" s="80" t="n"/>
      <c r="Q57" s="81" t="str">
        <f>IF(A57="","",ROUND(Y57+O57+Z57,2))</f>
        <v/>
      </c>
      <c r="R57" s="79" t="str">
        <f>IF(A57="","",IF(S57=0,"Date manquante ou invalide",IF(C57="","Équipement manquant",IF(ISNA(MATCH(C57,eq_code,0)),"Équipement inconnu",IF(E57="","Type manquant",IF(AND(E57&lt;&gt;"Préventif",E57&lt;&gt;"Correctif",E57&lt;&gt;"Amélioratif"),"Type inconnu",IF(I57="","Statut manquant",IF(AND(I57&lt;&gt;"Terminée",I57&lt;&gt;"En cours",I57&lt;&gt;"À faire",I57&lt;&gt;"Annulée"),"Statut inconnu",IF(AND(E57="Préventif",F57=""),"Plan manquant (préventif)",IF(AND(F57&lt;&gt;"",ISNA(MATCH(F57,pl_num,0))),"Plan inconnu",IF(AND(F57&lt;&gt;"",IFERROR(INDEX(pl_eq,MATCH(F57,pl_num,0))&amp;"",C57)&lt;&gt;C57),"Plan d'un autre équipement",IF(AND(J57&lt;&gt;"",OR(NOT(ISNUMBER(J57)),N(J57)&lt;0)),"Compteur invalide",IF(OR(AND(K57&lt;&gt;"",OR(NOT(ISNUMBER(K57)),N(K57)&lt;0)),AND(L57&lt;&gt;"",OR(NOT(ISNUMBER(L57)),N(L57)&lt;0))),"Durée invalide",IF(OR(AND(N57&lt;&gt;"",OR(NOT(ISNUMBER(N57)),N(N57)&lt;0)),AND(P57&lt;&gt;"",OR(NOT(ISNUMBER(P57)),N(P57)&lt;0))),"Coût invalide",IF(AND(M57&lt;&gt;"",ISNA(MATCH(M57,tech_name,0))),"Technicien inconnu",IF(AND(I57="Terminée",S57&gt;p_today),"Terminée à une date future",IF(AND(I57="Terminée",V57=0),"Durée d'intervention manquante",IF(AND(I57="Terminée",E57="Préventif",T57=0,OR(IFERROR(INDEX(pl_trig,MATCH(F57,pl_num,0))&amp;"","")="Compteur",IFERROR(INDEX(pl_trig,MATCH(F57,pl_num,0))&amp;"","")="Au premier des deux")),"Compteur manquant (plan au compteur)","OK"))))))))))))))))))</f>
        <v/>
      </c>
      <c r="S57" s="67">
        <f>IF(AND(ISNUMBER(B57),N(B57)&gt;0),INT(B57),0)</f>
        <v>0.0</v>
      </c>
      <c r="T57" s="67">
        <f>IF(AND(ISNUMBER(J57),N(J57)&gt;=0),N(J57),0)</f>
        <v>0.0</v>
      </c>
      <c r="U57" s="67">
        <f>IF(AND(ISNUMBER(K57),N(K57)&gt;0),N(K57),0)</f>
        <v>0.0</v>
      </c>
      <c r="V57" s="67">
        <f>IF(AND(ISNUMBER(L57),N(L57)&gt;0),N(L57),0)</f>
        <v>0.0</v>
      </c>
      <c r="W57" s="67">
        <f>IF(AND(I57="Terminée",S57&gt;0,C57&lt;&gt;"",ISNUMBER(MATCH(C57,eq_code,0))),1,0)</f>
        <v>0.0</v>
      </c>
      <c r="X57" s="67">
        <f>IF(AND(W57=1,E57="Préventif"),1,0)</f>
        <v>0.0</v>
      </c>
      <c r="Y57" s="67">
        <f>IF(AND(ISNUMBER(N57),N(N57)&gt;0),N(N57),0)</f>
        <v>0.0</v>
      </c>
      <c r="Z57" s="67">
        <f>IF(AND(ISNUMBER(P57),N(P57)&gt;0),N(P57),0)</f>
        <v>0.0</v>
      </c>
    </row>
    <row r="58">
      <c r="A58" s="79" t="str">
        <f>IF(COUNTA(B58:C58,E58:G58,I58)=0,"","BI-"&amp;RIGHT("0000"&amp;(ROW()-5),4))</f>
        <v/>
      </c>
      <c r="B58" s="72" t="n"/>
      <c r="C58" s="66" t="n"/>
      <c r="D58" s="67" t="str">
        <f>IF(C58="","",IFERROR(INDEX(eq_des,MATCH(C58,eq_code,0))&amp;"","Équipement inconnu"))</f>
        <v/>
      </c>
      <c r="E58" s="68" t="n"/>
      <c r="F58" s="68" t="n"/>
      <c r="G58" s="66" t="n"/>
      <c r="H58" s="66" t="n"/>
      <c r="I58" s="68" t="n"/>
      <c r="J58" s="73" t="n"/>
      <c r="K58" s="71" t="n"/>
      <c r="L58" s="71" t="n"/>
      <c r="M58" s="66" t="n"/>
      <c r="N58" s="80" t="n"/>
      <c r="O58" s="81" t="str">
        <f>IF(A58="","",ROUND(V58*IFERROR(N(INDEX(tech_rate,MATCH(M58,tech_name,0))),0),2))</f>
        <v/>
      </c>
      <c r="P58" s="80" t="n"/>
      <c r="Q58" s="81" t="str">
        <f>IF(A58="","",ROUND(Y58+O58+Z58,2))</f>
        <v/>
      </c>
      <c r="R58" s="79" t="str">
        <f>IF(A58="","",IF(S58=0,"Date manquante ou invalide",IF(C58="","Équipement manquant",IF(ISNA(MATCH(C58,eq_code,0)),"Équipement inconnu",IF(E58="","Type manquant",IF(AND(E58&lt;&gt;"Préventif",E58&lt;&gt;"Correctif",E58&lt;&gt;"Amélioratif"),"Type inconnu",IF(I58="","Statut manquant",IF(AND(I58&lt;&gt;"Terminée",I58&lt;&gt;"En cours",I58&lt;&gt;"À faire",I58&lt;&gt;"Annulée"),"Statut inconnu",IF(AND(E58="Préventif",F58=""),"Plan manquant (préventif)",IF(AND(F58&lt;&gt;"",ISNA(MATCH(F58,pl_num,0))),"Plan inconnu",IF(AND(F58&lt;&gt;"",IFERROR(INDEX(pl_eq,MATCH(F58,pl_num,0))&amp;"",C58)&lt;&gt;C58),"Plan d'un autre équipement",IF(AND(J58&lt;&gt;"",OR(NOT(ISNUMBER(J58)),N(J58)&lt;0)),"Compteur invalide",IF(OR(AND(K58&lt;&gt;"",OR(NOT(ISNUMBER(K58)),N(K58)&lt;0)),AND(L58&lt;&gt;"",OR(NOT(ISNUMBER(L58)),N(L58)&lt;0))),"Durée invalide",IF(OR(AND(N58&lt;&gt;"",OR(NOT(ISNUMBER(N58)),N(N58)&lt;0)),AND(P58&lt;&gt;"",OR(NOT(ISNUMBER(P58)),N(P58)&lt;0))),"Coût invalide",IF(AND(M58&lt;&gt;"",ISNA(MATCH(M58,tech_name,0))),"Technicien inconnu",IF(AND(I58="Terminée",S58&gt;p_today),"Terminée à une date future",IF(AND(I58="Terminée",V58=0),"Durée d'intervention manquante",IF(AND(I58="Terminée",E58="Préventif",T58=0,OR(IFERROR(INDEX(pl_trig,MATCH(F58,pl_num,0))&amp;"","")="Compteur",IFERROR(INDEX(pl_trig,MATCH(F58,pl_num,0))&amp;"","")="Au premier des deux")),"Compteur manquant (plan au compteur)","OK"))))))))))))))))))</f>
        <v/>
      </c>
      <c r="S58" s="67">
        <f>IF(AND(ISNUMBER(B58),N(B58)&gt;0),INT(B58),0)</f>
        <v>0.0</v>
      </c>
      <c r="T58" s="67">
        <f>IF(AND(ISNUMBER(J58),N(J58)&gt;=0),N(J58),0)</f>
        <v>0.0</v>
      </c>
      <c r="U58" s="67">
        <f>IF(AND(ISNUMBER(K58),N(K58)&gt;0),N(K58),0)</f>
        <v>0.0</v>
      </c>
      <c r="V58" s="67">
        <f>IF(AND(ISNUMBER(L58),N(L58)&gt;0),N(L58),0)</f>
        <v>0.0</v>
      </c>
      <c r="W58" s="67">
        <f>IF(AND(I58="Terminée",S58&gt;0,C58&lt;&gt;"",ISNUMBER(MATCH(C58,eq_code,0))),1,0)</f>
        <v>0.0</v>
      </c>
      <c r="X58" s="67">
        <f>IF(AND(W58=1,E58="Préventif"),1,0)</f>
        <v>0.0</v>
      </c>
      <c r="Y58" s="67">
        <f>IF(AND(ISNUMBER(N58),N(N58)&gt;0),N(N58),0)</f>
        <v>0.0</v>
      </c>
      <c r="Z58" s="67">
        <f>IF(AND(ISNUMBER(P58),N(P58)&gt;0),N(P58),0)</f>
        <v>0.0</v>
      </c>
    </row>
    <row r="59">
      <c r="A59" s="79" t="str">
        <f>IF(COUNTA(B59:C59,E59:G59,I59)=0,"","BI-"&amp;RIGHT("0000"&amp;(ROW()-5),4))</f>
        <v/>
      </c>
      <c r="B59" s="72" t="n"/>
      <c r="C59" s="66" t="n"/>
      <c r="D59" s="67" t="str">
        <f>IF(C59="","",IFERROR(INDEX(eq_des,MATCH(C59,eq_code,0))&amp;"","Équipement inconnu"))</f>
        <v/>
      </c>
      <c r="E59" s="68" t="n"/>
      <c r="F59" s="68" t="n"/>
      <c r="G59" s="66" t="n"/>
      <c r="H59" s="66" t="n"/>
      <c r="I59" s="68" t="n"/>
      <c r="J59" s="73" t="n"/>
      <c r="K59" s="71" t="n"/>
      <c r="L59" s="71" t="n"/>
      <c r="M59" s="66" t="n"/>
      <c r="N59" s="80" t="n"/>
      <c r="O59" s="81" t="str">
        <f>IF(A59="","",ROUND(V59*IFERROR(N(INDEX(tech_rate,MATCH(M59,tech_name,0))),0),2))</f>
        <v/>
      </c>
      <c r="P59" s="80" t="n"/>
      <c r="Q59" s="81" t="str">
        <f>IF(A59="","",ROUND(Y59+O59+Z59,2))</f>
        <v/>
      </c>
      <c r="R59" s="79" t="str">
        <f>IF(A59="","",IF(S59=0,"Date manquante ou invalide",IF(C59="","Équipement manquant",IF(ISNA(MATCH(C59,eq_code,0)),"Équipement inconnu",IF(E59="","Type manquant",IF(AND(E59&lt;&gt;"Préventif",E59&lt;&gt;"Correctif",E59&lt;&gt;"Amélioratif"),"Type inconnu",IF(I59="","Statut manquant",IF(AND(I59&lt;&gt;"Terminée",I59&lt;&gt;"En cours",I59&lt;&gt;"À faire",I59&lt;&gt;"Annulée"),"Statut inconnu",IF(AND(E59="Préventif",F59=""),"Plan manquant (préventif)",IF(AND(F59&lt;&gt;"",ISNA(MATCH(F59,pl_num,0))),"Plan inconnu",IF(AND(F59&lt;&gt;"",IFERROR(INDEX(pl_eq,MATCH(F59,pl_num,0))&amp;"",C59)&lt;&gt;C59),"Plan d'un autre équipement",IF(AND(J59&lt;&gt;"",OR(NOT(ISNUMBER(J59)),N(J59)&lt;0)),"Compteur invalide",IF(OR(AND(K59&lt;&gt;"",OR(NOT(ISNUMBER(K59)),N(K59)&lt;0)),AND(L59&lt;&gt;"",OR(NOT(ISNUMBER(L59)),N(L59)&lt;0))),"Durée invalide",IF(OR(AND(N59&lt;&gt;"",OR(NOT(ISNUMBER(N59)),N(N59)&lt;0)),AND(P59&lt;&gt;"",OR(NOT(ISNUMBER(P59)),N(P59)&lt;0))),"Coût invalide",IF(AND(M59&lt;&gt;"",ISNA(MATCH(M59,tech_name,0))),"Technicien inconnu",IF(AND(I59="Terminée",S59&gt;p_today),"Terminée à une date future",IF(AND(I59="Terminée",V59=0),"Durée d'intervention manquante",IF(AND(I59="Terminée",E59="Préventif",T59=0,OR(IFERROR(INDEX(pl_trig,MATCH(F59,pl_num,0))&amp;"","")="Compteur",IFERROR(INDEX(pl_trig,MATCH(F59,pl_num,0))&amp;"","")="Au premier des deux")),"Compteur manquant (plan au compteur)","OK"))))))))))))))))))</f>
        <v/>
      </c>
      <c r="S59" s="67">
        <f>IF(AND(ISNUMBER(B59),N(B59)&gt;0),INT(B59),0)</f>
        <v>0.0</v>
      </c>
      <c r="T59" s="67">
        <f>IF(AND(ISNUMBER(J59),N(J59)&gt;=0),N(J59),0)</f>
        <v>0.0</v>
      </c>
      <c r="U59" s="67">
        <f>IF(AND(ISNUMBER(K59),N(K59)&gt;0),N(K59),0)</f>
        <v>0.0</v>
      </c>
      <c r="V59" s="67">
        <f>IF(AND(ISNUMBER(L59),N(L59)&gt;0),N(L59),0)</f>
        <v>0.0</v>
      </c>
      <c r="W59" s="67">
        <f>IF(AND(I59="Terminée",S59&gt;0,C59&lt;&gt;"",ISNUMBER(MATCH(C59,eq_code,0))),1,0)</f>
        <v>0.0</v>
      </c>
      <c r="X59" s="67">
        <f>IF(AND(W59=1,E59="Préventif"),1,0)</f>
        <v>0.0</v>
      </c>
      <c r="Y59" s="67">
        <f>IF(AND(ISNUMBER(N59),N(N59)&gt;0),N(N59),0)</f>
        <v>0.0</v>
      </c>
      <c r="Z59" s="67">
        <f>IF(AND(ISNUMBER(P59),N(P59)&gt;0),N(P59),0)</f>
        <v>0.0</v>
      </c>
    </row>
    <row r="60">
      <c r="A60" s="79" t="str">
        <f>IF(COUNTA(B60:C60,E60:G60,I60)=0,"","BI-"&amp;RIGHT("0000"&amp;(ROW()-5),4))</f>
        <v/>
      </c>
      <c r="B60" s="72" t="n"/>
      <c r="C60" s="66" t="n"/>
      <c r="D60" s="67" t="str">
        <f>IF(C60="","",IFERROR(INDEX(eq_des,MATCH(C60,eq_code,0))&amp;"","Équipement inconnu"))</f>
        <v/>
      </c>
      <c r="E60" s="68" t="n"/>
      <c r="F60" s="68" t="n"/>
      <c r="G60" s="66" t="n"/>
      <c r="H60" s="66" t="n"/>
      <c r="I60" s="68" t="n"/>
      <c r="J60" s="73" t="n"/>
      <c r="K60" s="71" t="n"/>
      <c r="L60" s="71" t="n"/>
      <c r="M60" s="66" t="n"/>
      <c r="N60" s="80" t="n"/>
      <c r="O60" s="81" t="str">
        <f>IF(A60="","",ROUND(V60*IFERROR(N(INDEX(tech_rate,MATCH(M60,tech_name,0))),0),2))</f>
        <v/>
      </c>
      <c r="P60" s="80" t="n"/>
      <c r="Q60" s="81" t="str">
        <f>IF(A60="","",ROUND(Y60+O60+Z60,2))</f>
        <v/>
      </c>
      <c r="R60" s="79" t="str">
        <f>IF(A60="","",IF(S60=0,"Date manquante ou invalide",IF(C60="","Équipement manquant",IF(ISNA(MATCH(C60,eq_code,0)),"Équipement inconnu",IF(E60="","Type manquant",IF(AND(E60&lt;&gt;"Préventif",E60&lt;&gt;"Correctif",E60&lt;&gt;"Amélioratif"),"Type inconnu",IF(I60="","Statut manquant",IF(AND(I60&lt;&gt;"Terminée",I60&lt;&gt;"En cours",I60&lt;&gt;"À faire",I60&lt;&gt;"Annulée"),"Statut inconnu",IF(AND(E60="Préventif",F60=""),"Plan manquant (préventif)",IF(AND(F60&lt;&gt;"",ISNA(MATCH(F60,pl_num,0))),"Plan inconnu",IF(AND(F60&lt;&gt;"",IFERROR(INDEX(pl_eq,MATCH(F60,pl_num,0))&amp;"",C60)&lt;&gt;C60),"Plan d'un autre équipement",IF(AND(J60&lt;&gt;"",OR(NOT(ISNUMBER(J60)),N(J60)&lt;0)),"Compteur invalide",IF(OR(AND(K60&lt;&gt;"",OR(NOT(ISNUMBER(K60)),N(K60)&lt;0)),AND(L60&lt;&gt;"",OR(NOT(ISNUMBER(L60)),N(L60)&lt;0))),"Durée invalide",IF(OR(AND(N60&lt;&gt;"",OR(NOT(ISNUMBER(N60)),N(N60)&lt;0)),AND(P60&lt;&gt;"",OR(NOT(ISNUMBER(P60)),N(P60)&lt;0))),"Coût invalide",IF(AND(M60&lt;&gt;"",ISNA(MATCH(M60,tech_name,0))),"Technicien inconnu",IF(AND(I60="Terminée",S60&gt;p_today),"Terminée à une date future",IF(AND(I60="Terminée",V60=0),"Durée d'intervention manquante",IF(AND(I60="Terminée",E60="Préventif",T60=0,OR(IFERROR(INDEX(pl_trig,MATCH(F60,pl_num,0))&amp;"","")="Compteur",IFERROR(INDEX(pl_trig,MATCH(F60,pl_num,0))&amp;"","")="Au premier des deux")),"Compteur manquant (plan au compteur)","OK"))))))))))))))))))</f>
        <v/>
      </c>
      <c r="S60" s="67">
        <f>IF(AND(ISNUMBER(B60),N(B60)&gt;0),INT(B60),0)</f>
        <v>0.0</v>
      </c>
      <c r="T60" s="67">
        <f>IF(AND(ISNUMBER(J60),N(J60)&gt;=0),N(J60),0)</f>
        <v>0.0</v>
      </c>
      <c r="U60" s="67">
        <f>IF(AND(ISNUMBER(K60),N(K60)&gt;0),N(K60),0)</f>
        <v>0.0</v>
      </c>
      <c r="V60" s="67">
        <f>IF(AND(ISNUMBER(L60),N(L60)&gt;0),N(L60),0)</f>
        <v>0.0</v>
      </c>
      <c r="W60" s="67">
        <f>IF(AND(I60="Terminée",S60&gt;0,C60&lt;&gt;"",ISNUMBER(MATCH(C60,eq_code,0))),1,0)</f>
        <v>0.0</v>
      </c>
      <c r="X60" s="67">
        <f>IF(AND(W60=1,E60="Préventif"),1,0)</f>
        <v>0.0</v>
      </c>
      <c r="Y60" s="67">
        <f>IF(AND(ISNUMBER(N60),N(N60)&gt;0),N(N60),0)</f>
        <v>0.0</v>
      </c>
      <c r="Z60" s="67">
        <f>IF(AND(ISNUMBER(P60),N(P60)&gt;0),N(P60),0)</f>
        <v>0.0</v>
      </c>
    </row>
    <row r="61">
      <c r="A61" s="79" t="str">
        <f>IF(COUNTA(B61:C61,E61:G61,I61)=0,"","BI-"&amp;RIGHT("0000"&amp;(ROW()-5),4))</f>
        <v/>
      </c>
      <c r="B61" s="72" t="n"/>
      <c r="C61" s="66" t="n"/>
      <c r="D61" s="67" t="str">
        <f>IF(C61="","",IFERROR(INDEX(eq_des,MATCH(C61,eq_code,0))&amp;"","Équipement inconnu"))</f>
        <v/>
      </c>
      <c r="E61" s="68" t="n"/>
      <c r="F61" s="68" t="n"/>
      <c r="G61" s="66" t="n"/>
      <c r="H61" s="66" t="n"/>
      <c r="I61" s="68" t="n"/>
      <c r="J61" s="73" t="n"/>
      <c r="K61" s="71" t="n"/>
      <c r="L61" s="71" t="n"/>
      <c r="M61" s="66" t="n"/>
      <c r="N61" s="80" t="n"/>
      <c r="O61" s="81" t="str">
        <f>IF(A61="","",ROUND(V61*IFERROR(N(INDEX(tech_rate,MATCH(M61,tech_name,0))),0),2))</f>
        <v/>
      </c>
      <c r="P61" s="80" t="n"/>
      <c r="Q61" s="81" t="str">
        <f>IF(A61="","",ROUND(Y61+O61+Z61,2))</f>
        <v/>
      </c>
      <c r="R61" s="79" t="str">
        <f>IF(A61="","",IF(S61=0,"Date manquante ou invalide",IF(C61="","Équipement manquant",IF(ISNA(MATCH(C61,eq_code,0)),"Équipement inconnu",IF(E61="","Type manquant",IF(AND(E61&lt;&gt;"Préventif",E61&lt;&gt;"Correctif",E61&lt;&gt;"Amélioratif"),"Type inconnu",IF(I61="","Statut manquant",IF(AND(I61&lt;&gt;"Terminée",I61&lt;&gt;"En cours",I61&lt;&gt;"À faire",I61&lt;&gt;"Annulée"),"Statut inconnu",IF(AND(E61="Préventif",F61=""),"Plan manquant (préventif)",IF(AND(F61&lt;&gt;"",ISNA(MATCH(F61,pl_num,0))),"Plan inconnu",IF(AND(F61&lt;&gt;"",IFERROR(INDEX(pl_eq,MATCH(F61,pl_num,0))&amp;"",C61)&lt;&gt;C61),"Plan d'un autre équipement",IF(AND(J61&lt;&gt;"",OR(NOT(ISNUMBER(J61)),N(J61)&lt;0)),"Compteur invalide",IF(OR(AND(K61&lt;&gt;"",OR(NOT(ISNUMBER(K61)),N(K61)&lt;0)),AND(L61&lt;&gt;"",OR(NOT(ISNUMBER(L61)),N(L61)&lt;0))),"Durée invalide",IF(OR(AND(N61&lt;&gt;"",OR(NOT(ISNUMBER(N61)),N(N61)&lt;0)),AND(P61&lt;&gt;"",OR(NOT(ISNUMBER(P61)),N(P61)&lt;0))),"Coût invalide",IF(AND(M61&lt;&gt;"",ISNA(MATCH(M61,tech_name,0))),"Technicien inconnu",IF(AND(I61="Terminée",S61&gt;p_today),"Terminée à une date future",IF(AND(I61="Terminée",V61=0),"Durée d'intervention manquante",IF(AND(I61="Terminée",E61="Préventif",T61=0,OR(IFERROR(INDEX(pl_trig,MATCH(F61,pl_num,0))&amp;"","")="Compteur",IFERROR(INDEX(pl_trig,MATCH(F61,pl_num,0))&amp;"","")="Au premier des deux")),"Compteur manquant (plan au compteur)","OK"))))))))))))))))))</f>
        <v/>
      </c>
      <c r="S61" s="67">
        <f>IF(AND(ISNUMBER(B61),N(B61)&gt;0),INT(B61),0)</f>
        <v>0.0</v>
      </c>
      <c r="T61" s="67">
        <f>IF(AND(ISNUMBER(J61),N(J61)&gt;=0),N(J61),0)</f>
        <v>0.0</v>
      </c>
      <c r="U61" s="67">
        <f>IF(AND(ISNUMBER(K61),N(K61)&gt;0),N(K61),0)</f>
        <v>0.0</v>
      </c>
      <c r="V61" s="67">
        <f>IF(AND(ISNUMBER(L61),N(L61)&gt;0),N(L61),0)</f>
        <v>0.0</v>
      </c>
      <c r="W61" s="67">
        <f>IF(AND(I61="Terminée",S61&gt;0,C61&lt;&gt;"",ISNUMBER(MATCH(C61,eq_code,0))),1,0)</f>
        <v>0.0</v>
      </c>
      <c r="X61" s="67">
        <f>IF(AND(W61=1,E61="Préventif"),1,0)</f>
        <v>0.0</v>
      </c>
      <c r="Y61" s="67">
        <f>IF(AND(ISNUMBER(N61),N(N61)&gt;0),N(N61),0)</f>
        <v>0.0</v>
      </c>
      <c r="Z61" s="67">
        <f>IF(AND(ISNUMBER(P61),N(P61)&gt;0),N(P61),0)</f>
        <v>0.0</v>
      </c>
    </row>
    <row r="62">
      <c r="A62" s="79" t="str">
        <f>IF(COUNTA(B62:C62,E62:G62,I62)=0,"","BI-"&amp;RIGHT("0000"&amp;(ROW()-5),4))</f>
        <v/>
      </c>
      <c r="B62" s="72" t="n"/>
      <c r="C62" s="66" t="n"/>
      <c r="D62" s="67" t="str">
        <f>IF(C62="","",IFERROR(INDEX(eq_des,MATCH(C62,eq_code,0))&amp;"","Équipement inconnu"))</f>
        <v/>
      </c>
      <c r="E62" s="68" t="n"/>
      <c r="F62" s="68" t="n"/>
      <c r="G62" s="66" t="n"/>
      <c r="H62" s="66" t="n"/>
      <c r="I62" s="68" t="n"/>
      <c r="J62" s="73" t="n"/>
      <c r="K62" s="71" t="n"/>
      <c r="L62" s="71" t="n"/>
      <c r="M62" s="66" t="n"/>
      <c r="N62" s="80" t="n"/>
      <c r="O62" s="81" t="str">
        <f>IF(A62="","",ROUND(V62*IFERROR(N(INDEX(tech_rate,MATCH(M62,tech_name,0))),0),2))</f>
        <v/>
      </c>
      <c r="P62" s="80" t="n"/>
      <c r="Q62" s="81" t="str">
        <f>IF(A62="","",ROUND(Y62+O62+Z62,2))</f>
        <v/>
      </c>
      <c r="R62" s="79" t="str">
        <f>IF(A62="","",IF(S62=0,"Date manquante ou invalide",IF(C62="","Équipement manquant",IF(ISNA(MATCH(C62,eq_code,0)),"Équipement inconnu",IF(E62="","Type manquant",IF(AND(E62&lt;&gt;"Préventif",E62&lt;&gt;"Correctif",E62&lt;&gt;"Amélioratif"),"Type inconnu",IF(I62="","Statut manquant",IF(AND(I62&lt;&gt;"Terminée",I62&lt;&gt;"En cours",I62&lt;&gt;"À faire",I62&lt;&gt;"Annulée"),"Statut inconnu",IF(AND(E62="Préventif",F62=""),"Plan manquant (préventif)",IF(AND(F62&lt;&gt;"",ISNA(MATCH(F62,pl_num,0))),"Plan inconnu",IF(AND(F62&lt;&gt;"",IFERROR(INDEX(pl_eq,MATCH(F62,pl_num,0))&amp;"",C62)&lt;&gt;C62),"Plan d'un autre équipement",IF(AND(J62&lt;&gt;"",OR(NOT(ISNUMBER(J62)),N(J62)&lt;0)),"Compteur invalide",IF(OR(AND(K62&lt;&gt;"",OR(NOT(ISNUMBER(K62)),N(K62)&lt;0)),AND(L62&lt;&gt;"",OR(NOT(ISNUMBER(L62)),N(L62)&lt;0))),"Durée invalide",IF(OR(AND(N62&lt;&gt;"",OR(NOT(ISNUMBER(N62)),N(N62)&lt;0)),AND(P62&lt;&gt;"",OR(NOT(ISNUMBER(P62)),N(P62)&lt;0))),"Coût invalide",IF(AND(M62&lt;&gt;"",ISNA(MATCH(M62,tech_name,0))),"Technicien inconnu",IF(AND(I62="Terminée",S62&gt;p_today),"Terminée à une date future",IF(AND(I62="Terminée",V62=0),"Durée d'intervention manquante",IF(AND(I62="Terminée",E62="Préventif",T62=0,OR(IFERROR(INDEX(pl_trig,MATCH(F62,pl_num,0))&amp;"","")="Compteur",IFERROR(INDEX(pl_trig,MATCH(F62,pl_num,0))&amp;"","")="Au premier des deux")),"Compteur manquant (plan au compteur)","OK"))))))))))))))))))</f>
        <v/>
      </c>
      <c r="S62" s="67">
        <f>IF(AND(ISNUMBER(B62),N(B62)&gt;0),INT(B62),0)</f>
        <v>0.0</v>
      </c>
      <c r="T62" s="67">
        <f>IF(AND(ISNUMBER(J62),N(J62)&gt;=0),N(J62),0)</f>
        <v>0.0</v>
      </c>
      <c r="U62" s="67">
        <f>IF(AND(ISNUMBER(K62),N(K62)&gt;0),N(K62),0)</f>
        <v>0.0</v>
      </c>
      <c r="V62" s="67">
        <f>IF(AND(ISNUMBER(L62),N(L62)&gt;0),N(L62),0)</f>
        <v>0.0</v>
      </c>
      <c r="W62" s="67">
        <f>IF(AND(I62="Terminée",S62&gt;0,C62&lt;&gt;"",ISNUMBER(MATCH(C62,eq_code,0))),1,0)</f>
        <v>0.0</v>
      </c>
      <c r="X62" s="67">
        <f>IF(AND(W62=1,E62="Préventif"),1,0)</f>
        <v>0.0</v>
      </c>
      <c r="Y62" s="67">
        <f>IF(AND(ISNUMBER(N62),N(N62)&gt;0),N(N62),0)</f>
        <v>0.0</v>
      </c>
      <c r="Z62" s="67">
        <f>IF(AND(ISNUMBER(P62),N(P62)&gt;0),N(P62),0)</f>
        <v>0.0</v>
      </c>
    </row>
    <row r="63">
      <c r="A63" s="79" t="str">
        <f>IF(COUNTA(B63:C63,E63:G63,I63)=0,"","BI-"&amp;RIGHT("0000"&amp;(ROW()-5),4))</f>
        <v/>
      </c>
      <c r="B63" s="72" t="n"/>
      <c r="C63" s="66" t="n"/>
      <c r="D63" s="67" t="str">
        <f>IF(C63="","",IFERROR(INDEX(eq_des,MATCH(C63,eq_code,0))&amp;"","Équipement inconnu"))</f>
        <v/>
      </c>
      <c r="E63" s="68" t="n"/>
      <c r="F63" s="68" t="n"/>
      <c r="G63" s="66" t="n"/>
      <c r="H63" s="66" t="n"/>
      <c r="I63" s="68" t="n"/>
      <c r="J63" s="73" t="n"/>
      <c r="K63" s="71" t="n"/>
      <c r="L63" s="71" t="n"/>
      <c r="M63" s="66" t="n"/>
      <c r="N63" s="80" t="n"/>
      <c r="O63" s="81" t="str">
        <f>IF(A63="","",ROUND(V63*IFERROR(N(INDEX(tech_rate,MATCH(M63,tech_name,0))),0),2))</f>
        <v/>
      </c>
      <c r="P63" s="80" t="n"/>
      <c r="Q63" s="81" t="str">
        <f>IF(A63="","",ROUND(Y63+O63+Z63,2))</f>
        <v/>
      </c>
      <c r="R63" s="79" t="str">
        <f>IF(A63="","",IF(S63=0,"Date manquante ou invalide",IF(C63="","Équipement manquant",IF(ISNA(MATCH(C63,eq_code,0)),"Équipement inconnu",IF(E63="","Type manquant",IF(AND(E63&lt;&gt;"Préventif",E63&lt;&gt;"Correctif",E63&lt;&gt;"Amélioratif"),"Type inconnu",IF(I63="","Statut manquant",IF(AND(I63&lt;&gt;"Terminée",I63&lt;&gt;"En cours",I63&lt;&gt;"À faire",I63&lt;&gt;"Annulée"),"Statut inconnu",IF(AND(E63="Préventif",F63=""),"Plan manquant (préventif)",IF(AND(F63&lt;&gt;"",ISNA(MATCH(F63,pl_num,0))),"Plan inconnu",IF(AND(F63&lt;&gt;"",IFERROR(INDEX(pl_eq,MATCH(F63,pl_num,0))&amp;"",C63)&lt;&gt;C63),"Plan d'un autre équipement",IF(AND(J63&lt;&gt;"",OR(NOT(ISNUMBER(J63)),N(J63)&lt;0)),"Compteur invalide",IF(OR(AND(K63&lt;&gt;"",OR(NOT(ISNUMBER(K63)),N(K63)&lt;0)),AND(L63&lt;&gt;"",OR(NOT(ISNUMBER(L63)),N(L63)&lt;0))),"Durée invalide",IF(OR(AND(N63&lt;&gt;"",OR(NOT(ISNUMBER(N63)),N(N63)&lt;0)),AND(P63&lt;&gt;"",OR(NOT(ISNUMBER(P63)),N(P63)&lt;0))),"Coût invalide",IF(AND(M63&lt;&gt;"",ISNA(MATCH(M63,tech_name,0))),"Technicien inconnu",IF(AND(I63="Terminée",S63&gt;p_today),"Terminée à une date future",IF(AND(I63="Terminée",V63=0),"Durée d'intervention manquante",IF(AND(I63="Terminée",E63="Préventif",T63=0,OR(IFERROR(INDEX(pl_trig,MATCH(F63,pl_num,0))&amp;"","")="Compteur",IFERROR(INDEX(pl_trig,MATCH(F63,pl_num,0))&amp;"","")="Au premier des deux")),"Compteur manquant (plan au compteur)","OK"))))))))))))))))))</f>
        <v/>
      </c>
      <c r="S63" s="67">
        <f>IF(AND(ISNUMBER(B63),N(B63)&gt;0),INT(B63),0)</f>
        <v>0.0</v>
      </c>
      <c r="T63" s="67">
        <f>IF(AND(ISNUMBER(J63),N(J63)&gt;=0),N(J63),0)</f>
        <v>0.0</v>
      </c>
      <c r="U63" s="67">
        <f>IF(AND(ISNUMBER(K63),N(K63)&gt;0),N(K63),0)</f>
        <v>0.0</v>
      </c>
      <c r="V63" s="67">
        <f>IF(AND(ISNUMBER(L63),N(L63)&gt;0),N(L63),0)</f>
        <v>0.0</v>
      </c>
      <c r="W63" s="67">
        <f>IF(AND(I63="Terminée",S63&gt;0,C63&lt;&gt;"",ISNUMBER(MATCH(C63,eq_code,0))),1,0)</f>
        <v>0.0</v>
      </c>
      <c r="X63" s="67">
        <f>IF(AND(W63=1,E63="Préventif"),1,0)</f>
        <v>0.0</v>
      </c>
      <c r="Y63" s="67">
        <f>IF(AND(ISNUMBER(N63),N(N63)&gt;0),N(N63),0)</f>
        <v>0.0</v>
      </c>
      <c r="Z63" s="67">
        <f>IF(AND(ISNUMBER(P63),N(P63)&gt;0),N(P63),0)</f>
        <v>0.0</v>
      </c>
    </row>
    <row r="64">
      <c r="A64" s="79" t="str">
        <f>IF(COUNTA(B64:C64,E64:G64,I64)=0,"","BI-"&amp;RIGHT("0000"&amp;(ROW()-5),4))</f>
        <v/>
      </c>
      <c r="B64" s="72" t="n"/>
      <c r="C64" s="66" t="n"/>
      <c r="D64" s="67" t="str">
        <f>IF(C64="","",IFERROR(INDEX(eq_des,MATCH(C64,eq_code,0))&amp;"","Équipement inconnu"))</f>
        <v/>
      </c>
      <c r="E64" s="68" t="n"/>
      <c r="F64" s="68" t="n"/>
      <c r="G64" s="66" t="n"/>
      <c r="H64" s="66" t="n"/>
      <c r="I64" s="68" t="n"/>
      <c r="J64" s="73" t="n"/>
      <c r="K64" s="71" t="n"/>
      <c r="L64" s="71" t="n"/>
      <c r="M64" s="66" t="n"/>
      <c r="N64" s="80" t="n"/>
      <c r="O64" s="81" t="str">
        <f>IF(A64="","",ROUND(V64*IFERROR(N(INDEX(tech_rate,MATCH(M64,tech_name,0))),0),2))</f>
        <v/>
      </c>
      <c r="P64" s="80" t="n"/>
      <c r="Q64" s="81" t="str">
        <f>IF(A64="","",ROUND(Y64+O64+Z64,2))</f>
        <v/>
      </c>
      <c r="R64" s="79" t="str">
        <f>IF(A64="","",IF(S64=0,"Date manquante ou invalide",IF(C64="","Équipement manquant",IF(ISNA(MATCH(C64,eq_code,0)),"Équipement inconnu",IF(E64="","Type manquant",IF(AND(E64&lt;&gt;"Préventif",E64&lt;&gt;"Correctif",E64&lt;&gt;"Amélioratif"),"Type inconnu",IF(I64="","Statut manquant",IF(AND(I64&lt;&gt;"Terminée",I64&lt;&gt;"En cours",I64&lt;&gt;"À faire",I64&lt;&gt;"Annulée"),"Statut inconnu",IF(AND(E64="Préventif",F64=""),"Plan manquant (préventif)",IF(AND(F64&lt;&gt;"",ISNA(MATCH(F64,pl_num,0))),"Plan inconnu",IF(AND(F64&lt;&gt;"",IFERROR(INDEX(pl_eq,MATCH(F64,pl_num,0))&amp;"",C64)&lt;&gt;C64),"Plan d'un autre équipement",IF(AND(J64&lt;&gt;"",OR(NOT(ISNUMBER(J64)),N(J64)&lt;0)),"Compteur invalide",IF(OR(AND(K64&lt;&gt;"",OR(NOT(ISNUMBER(K64)),N(K64)&lt;0)),AND(L64&lt;&gt;"",OR(NOT(ISNUMBER(L64)),N(L64)&lt;0))),"Durée invalide",IF(OR(AND(N64&lt;&gt;"",OR(NOT(ISNUMBER(N64)),N(N64)&lt;0)),AND(P64&lt;&gt;"",OR(NOT(ISNUMBER(P64)),N(P64)&lt;0))),"Coût invalide",IF(AND(M64&lt;&gt;"",ISNA(MATCH(M64,tech_name,0))),"Technicien inconnu",IF(AND(I64="Terminée",S64&gt;p_today),"Terminée à une date future",IF(AND(I64="Terminée",V64=0),"Durée d'intervention manquante",IF(AND(I64="Terminée",E64="Préventif",T64=0,OR(IFERROR(INDEX(pl_trig,MATCH(F64,pl_num,0))&amp;"","")="Compteur",IFERROR(INDEX(pl_trig,MATCH(F64,pl_num,0))&amp;"","")="Au premier des deux")),"Compteur manquant (plan au compteur)","OK"))))))))))))))))))</f>
        <v/>
      </c>
      <c r="S64" s="67">
        <f>IF(AND(ISNUMBER(B64),N(B64)&gt;0),INT(B64),0)</f>
        <v>0.0</v>
      </c>
      <c r="T64" s="67">
        <f>IF(AND(ISNUMBER(J64),N(J64)&gt;=0),N(J64),0)</f>
        <v>0.0</v>
      </c>
      <c r="U64" s="67">
        <f>IF(AND(ISNUMBER(K64),N(K64)&gt;0),N(K64),0)</f>
        <v>0.0</v>
      </c>
      <c r="V64" s="67">
        <f>IF(AND(ISNUMBER(L64),N(L64)&gt;0),N(L64),0)</f>
        <v>0.0</v>
      </c>
      <c r="W64" s="67">
        <f>IF(AND(I64="Terminée",S64&gt;0,C64&lt;&gt;"",ISNUMBER(MATCH(C64,eq_code,0))),1,0)</f>
        <v>0.0</v>
      </c>
      <c r="X64" s="67">
        <f>IF(AND(W64=1,E64="Préventif"),1,0)</f>
        <v>0.0</v>
      </c>
      <c r="Y64" s="67">
        <f>IF(AND(ISNUMBER(N64),N(N64)&gt;0),N(N64),0)</f>
        <v>0.0</v>
      </c>
      <c r="Z64" s="67">
        <f>IF(AND(ISNUMBER(P64),N(P64)&gt;0),N(P64),0)</f>
        <v>0.0</v>
      </c>
    </row>
    <row r="65">
      <c r="A65" s="79" t="str">
        <f>IF(COUNTA(B65:C65,E65:G65,I65)=0,"","BI-"&amp;RIGHT("0000"&amp;(ROW()-5),4))</f>
        <v/>
      </c>
      <c r="B65" s="72" t="n"/>
      <c r="C65" s="66" t="n"/>
      <c r="D65" s="67" t="str">
        <f>IF(C65="","",IFERROR(INDEX(eq_des,MATCH(C65,eq_code,0))&amp;"","Équipement inconnu"))</f>
        <v/>
      </c>
      <c r="E65" s="68" t="n"/>
      <c r="F65" s="68" t="n"/>
      <c r="G65" s="66" t="n"/>
      <c r="H65" s="66" t="n"/>
      <c r="I65" s="68" t="n"/>
      <c r="J65" s="73" t="n"/>
      <c r="K65" s="71" t="n"/>
      <c r="L65" s="71" t="n"/>
      <c r="M65" s="66" t="n"/>
      <c r="N65" s="80" t="n"/>
      <c r="O65" s="81" t="str">
        <f>IF(A65="","",ROUND(V65*IFERROR(N(INDEX(tech_rate,MATCH(M65,tech_name,0))),0),2))</f>
        <v/>
      </c>
      <c r="P65" s="80" t="n"/>
      <c r="Q65" s="81" t="str">
        <f>IF(A65="","",ROUND(Y65+O65+Z65,2))</f>
        <v/>
      </c>
      <c r="R65" s="79" t="str">
        <f>IF(A65="","",IF(S65=0,"Date manquante ou invalide",IF(C65="","Équipement manquant",IF(ISNA(MATCH(C65,eq_code,0)),"Équipement inconnu",IF(E65="","Type manquant",IF(AND(E65&lt;&gt;"Préventif",E65&lt;&gt;"Correctif",E65&lt;&gt;"Amélioratif"),"Type inconnu",IF(I65="","Statut manquant",IF(AND(I65&lt;&gt;"Terminée",I65&lt;&gt;"En cours",I65&lt;&gt;"À faire",I65&lt;&gt;"Annulée"),"Statut inconnu",IF(AND(E65="Préventif",F65=""),"Plan manquant (préventif)",IF(AND(F65&lt;&gt;"",ISNA(MATCH(F65,pl_num,0))),"Plan inconnu",IF(AND(F65&lt;&gt;"",IFERROR(INDEX(pl_eq,MATCH(F65,pl_num,0))&amp;"",C65)&lt;&gt;C65),"Plan d'un autre équipement",IF(AND(J65&lt;&gt;"",OR(NOT(ISNUMBER(J65)),N(J65)&lt;0)),"Compteur invalide",IF(OR(AND(K65&lt;&gt;"",OR(NOT(ISNUMBER(K65)),N(K65)&lt;0)),AND(L65&lt;&gt;"",OR(NOT(ISNUMBER(L65)),N(L65)&lt;0))),"Durée invalide",IF(OR(AND(N65&lt;&gt;"",OR(NOT(ISNUMBER(N65)),N(N65)&lt;0)),AND(P65&lt;&gt;"",OR(NOT(ISNUMBER(P65)),N(P65)&lt;0))),"Coût invalide",IF(AND(M65&lt;&gt;"",ISNA(MATCH(M65,tech_name,0))),"Technicien inconnu",IF(AND(I65="Terminée",S65&gt;p_today),"Terminée à une date future",IF(AND(I65="Terminée",V65=0),"Durée d'intervention manquante",IF(AND(I65="Terminée",E65="Préventif",T65=0,OR(IFERROR(INDEX(pl_trig,MATCH(F65,pl_num,0))&amp;"","")="Compteur",IFERROR(INDEX(pl_trig,MATCH(F65,pl_num,0))&amp;"","")="Au premier des deux")),"Compteur manquant (plan au compteur)","OK"))))))))))))))))))</f>
        <v/>
      </c>
      <c r="S65" s="67">
        <f>IF(AND(ISNUMBER(B65),N(B65)&gt;0),INT(B65),0)</f>
        <v>0.0</v>
      </c>
      <c r="T65" s="67">
        <f>IF(AND(ISNUMBER(J65),N(J65)&gt;=0),N(J65),0)</f>
        <v>0.0</v>
      </c>
      <c r="U65" s="67">
        <f>IF(AND(ISNUMBER(K65),N(K65)&gt;0),N(K65),0)</f>
        <v>0.0</v>
      </c>
      <c r="V65" s="67">
        <f>IF(AND(ISNUMBER(L65),N(L65)&gt;0),N(L65),0)</f>
        <v>0.0</v>
      </c>
      <c r="W65" s="67">
        <f>IF(AND(I65="Terminée",S65&gt;0,C65&lt;&gt;"",ISNUMBER(MATCH(C65,eq_code,0))),1,0)</f>
        <v>0.0</v>
      </c>
      <c r="X65" s="67">
        <f>IF(AND(W65=1,E65="Préventif"),1,0)</f>
        <v>0.0</v>
      </c>
      <c r="Y65" s="67">
        <f>IF(AND(ISNUMBER(N65),N(N65)&gt;0),N(N65),0)</f>
        <v>0.0</v>
      </c>
      <c r="Z65" s="67">
        <f>IF(AND(ISNUMBER(P65),N(P65)&gt;0),N(P65),0)</f>
        <v>0.0</v>
      </c>
    </row>
    <row r="66">
      <c r="A66" s="79" t="str">
        <f>IF(COUNTA(B66:C66,E66:G66,I66)=0,"","BI-"&amp;RIGHT("0000"&amp;(ROW()-5),4))</f>
        <v/>
      </c>
      <c r="B66" s="72" t="n"/>
      <c r="C66" s="66" t="n"/>
      <c r="D66" s="67" t="str">
        <f>IF(C66="","",IFERROR(INDEX(eq_des,MATCH(C66,eq_code,0))&amp;"","Équipement inconnu"))</f>
        <v/>
      </c>
      <c r="E66" s="68" t="n"/>
      <c r="F66" s="68" t="n"/>
      <c r="G66" s="66" t="n"/>
      <c r="H66" s="66" t="n"/>
      <c r="I66" s="68" t="n"/>
      <c r="J66" s="73" t="n"/>
      <c r="K66" s="71" t="n"/>
      <c r="L66" s="71" t="n"/>
      <c r="M66" s="66" t="n"/>
      <c r="N66" s="80" t="n"/>
      <c r="O66" s="81" t="str">
        <f>IF(A66="","",ROUND(V66*IFERROR(N(INDEX(tech_rate,MATCH(M66,tech_name,0))),0),2))</f>
        <v/>
      </c>
      <c r="P66" s="80" t="n"/>
      <c r="Q66" s="81" t="str">
        <f>IF(A66="","",ROUND(Y66+O66+Z66,2))</f>
        <v/>
      </c>
      <c r="R66" s="79" t="str">
        <f>IF(A66="","",IF(S66=0,"Date manquante ou invalide",IF(C66="","Équipement manquant",IF(ISNA(MATCH(C66,eq_code,0)),"Équipement inconnu",IF(E66="","Type manquant",IF(AND(E66&lt;&gt;"Préventif",E66&lt;&gt;"Correctif",E66&lt;&gt;"Amélioratif"),"Type inconnu",IF(I66="","Statut manquant",IF(AND(I66&lt;&gt;"Terminée",I66&lt;&gt;"En cours",I66&lt;&gt;"À faire",I66&lt;&gt;"Annulée"),"Statut inconnu",IF(AND(E66="Préventif",F66=""),"Plan manquant (préventif)",IF(AND(F66&lt;&gt;"",ISNA(MATCH(F66,pl_num,0))),"Plan inconnu",IF(AND(F66&lt;&gt;"",IFERROR(INDEX(pl_eq,MATCH(F66,pl_num,0))&amp;"",C66)&lt;&gt;C66),"Plan d'un autre équipement",IF(AND(J66&lt;&gt;"",OR(NOT(ISNUMBER(J66)),N(J66)&lt;0)),"Compteur invalide",IF(OR(AND(K66&lt;&gt;"",OR(NOT(ISNUMBER(K66)),N(K66)&lt;0)),AND(L66&lt;&gt;"",OR(NOT(ISNUMBER(L66)),N(L66)&lt;0))),"Durée invalide",IF(OR(AND(N66&lt;&gt;"",OR(NOT(ISNUMBER(N66)),N(N66)&lt;0)),AND(P66&lt;&gt;"",OR(NOT(ISNUMBER(P66)),N(P66)&lt;0))),"Coût invalide",IF(AND(M66&lt;&gt;"",ISNA(MATCH(M66,tech_name,0))),"Technicien inconnu",IF(AND(I66="Terminée",S66&gt;p_today),"Terminée à une date future",IF(AND(I66="Terminée",V66=0),"Durée d'intervention manquante",IF(AND(I66="Terminée",E66="Préventif",T66=0,OR(IFERROR(INDEX(pl_trig,MATCH(F66,pl_num,0))&amp;"","")="Compteur",IFERROR(INDEX(pl_trig,MATCH(F66,pl_num,0))&amp;"","")="Au premier des deux")),"Compteur manquant (plan au compteur)","OK"))))))))))))))))))</f>
        <v/>
      </c>
      <c r="S66" s="67">
        <f>IF(AND(ISNUMBER(B66),N(B66)&gt;0),INT(B66),0)</f>
        <v>0.0</v>
      </c>
      <c r="T66" s="67">
        <f>IF(AND(ISNUMBER(J66),N(J66)&gt;=0),N(J66),0)</f>
        <v>0.0</v>
      </c>
      <c r="U66" s="67">
        <f>IF(AND(ISNUMBER(K66),N(K66)&gt;0),N(K66),0)</f>
        <v>0.0</v>
      </c>
      <c r="V66" s="67">
        <f>IF(AND(ISNUMBER(L66),N(L66)&gt;0),N(L66),0)</f>
        <v>0.0</v>
      </c>
      <c r="W66" s="67">
        <f>IF(AND(I66="Terminée",S66&gt;0,C66&lt;&gt;"",ISNUMBER(MATCH(C66,eq_code,0))),1,0)</f>
        <v>0.0</v>
      </c>
      <c r="X66" s="67">
        <f>IF(AND(W66=1,E66="Préventif"),1,0)</f>
        <v>0.0</v>
      </c>
      <c r="Y66" s="67">
        <f>IF(AND(ISNUMBER(N66),N(N66)&gt;0),N(N66),0)</f>
        <v>0.0</v>
      </c>
      <c r="Z66" s="67">
        <f>IF(AND(ISNUMBER(P66),N(P66)&gt;0),N(P66),0)</f>
        <v>0.0</v>
      </c>
    </row>
    <row r="67">
      <c r="A67" s="79" t="str">
        <f>IF(COUNTA(B67:C67,E67:G67,I67)=0,"","BI-"&amp;RIGHT("0000"&amp;(ROW()-5),4))</f>
        <v/>
      </c>
      <c r="B67" s="72" t="n"/>
      <c r="C67" s="66" t="n"/>
      <c r="D67" s="67" t="str">
        <f>IF(C67="","",IFERROR(INDEX(eq_des,MATCH(C67,eq_code,0))&amp;"","Équipement inconnu"))</f>
        <v/>
      </c>
      <c r="E67" s="68" t="n"/>
      <c r="F67" s="68" t="n"/>
      <c r="G67" s="66" t="n"/>
      <c r="H67" s="66" t="n"/>
      <c r="I67" s="68" t="n"/>
      <c r="J67" s="73" t="n"/>
      <c r="K67" s="71" t="n"/>
      <c r="L67" s="71" t="n"/>
      <c r="M67" s="66" t="n"/>
      <c r="N67" s="80" t="n"/>
      <c r="O67" s="81" t="str">
        <f>IF(A67="","",ROUND(V67*IFERROR(N(INDEX(tech_rate,MATCH(M67,tech_name,0))),0),2))</f>
        <v/>
      </c>
      <c r="P67" s="80" t="n"/>
      <c r="Q67" s="81" t="str">
        <f>IF(A67="","",ROUND(Y67+O67+Z67,2))</f>
        <v/>
      </c>
      <c r="R67" s="79" t="str">
        <f>IF(A67="","",IF(S67=0,"Date manquante ou invalide",IF(C67="","Équipement manquant",IF(ISNA(MATCH(C67,eq_code,0)),"Équipement inconnu",IF(E67="","Type manquant",IF(AND(E67&lt;&gt;"Préventif",E67&lt;&gt;"Correctif",E67&lt;&gt;"Amélioratif"),"Type inconnu",IF(I67="","Statut manquant",IF(AND(I67&lt;&gt;"Terminée",I67&lt;&gt;"En cours",I67&lt;&gt;"À faire",I67&lt;&gt;"Annulée"),"Statut inconnu",IF(AND(E67="Préventif",F67=""),"Plan manquant (préventif)",IF(AND(F67&lt;&gt;"",ISNA(MATCH(F67,pl_num,0))),"Plan inconnu",IF(AND(F67&lt;&gt;"",IFERROR(INDEX(pl_eq,MATCH(F67,pl_num,0))&amp;"",C67)&lt;&gt;C67),"Plan d'un autre équipement",IF(AND(J67&lt;&gt;"",OR(NOT(ISNUMBER(J67)),N(J67)&lt;0)),"Compteur invalide",IF(OR(AND(K67&lt;&gt;"",OR(NOT(ISNUMBER(K67)),N(K67)&lt;0)),AND(L67&lt;&gt;"",OR(NOT(ISNUMBER(L67)),N(L67)&lt;0))),"Durée invalide",IF(OR(AND(N67&lt;&gt;"",OR(NOT(ISNUMBER(N67)),N(N67)&lt;0)),AND(P67&lt;&gt;"",OR(NOT(ISNUMBER(P67)),N(P67)&lt;0))),"Coût invalide",IF(AND(M67&lt;&gt;"",ISNA(MATCH(M67,tech_name,0))),"Technicien inconnu",IF(AND(I67="Terminée",S67&gt;p_today),"Terminée à une date future",IF(AND(I67="Terminée",V67=0),"Durée d'intervention manquante",IF(AND(I67="Terminée",E67="Préventif",T67=0,OR(IFERROR(INDEX(pl_trig,MATCH(F67,pl_num,0))&amp;"","")="Compteur",IFERROR(INDEX(pl_trig,MATCH(F67,pl_num,0))&amp;"","")="Au premier des deux")),"Compteur manquant (plan au compteur)","OK"))))))))))))))))))</f>
        <v/>
      </c>
      <c r="S67" s="67">
        <f>IF(AND(ISNUMBER(B67),N(B67)&gt;0),INT(B67),0)</f>
        <v>0.0</v>
      </c>
      <c r="T67" s="67">
        <f>IF(AND(ISNUMBER(J67),N(J67)&gt;=0),N(J67),0)</f>
        <v>0.0</v>
      </c>
      <c r="U67" s="67">
        <f>IF(AND(ISNUMBER(K67),N(K67)&gt;0),N(K67),0)</f>
        <v>0.0</v>
      </c>
      <c r="V67" s="67">
        <f>IF(AND(ISNUMBER(L67),N(L67)&gt;0),N(L67),0)</f>
        <v>0.0</v>
      </c>
      <c r="W67" s="67">
        <f>IF(AND(I67="Terminée",S67&gt;0,C67&lt;&gt;"",ISNUMBER(MATCH(C67,eq_code,0))),1,0)</f>
        <v>0.0</v>
      </c>
      <c r="X67" s="67">
        <f>IF(AND(W67=1,E67="Préventif"),1,0)</f>
        <v>0.0</v>
      </c>
      <c r="Y67" s="67">
        <f>IF(AND(ISNUMBER(N67),N(N67)&gt;0),N(N67),0)</f>
        <v>0.0</v>
      </c>
      <c r="Z67" s="67">
        <f>IF(AND(ISNUMBER(P67),N(P67)&gt;0),N(P67),0)</f>
        <v>0.0</v>
      </c>
    </row>
    <row r="68">
      <c r="A68" s="79" t="str">
        <f>IF(COUNTA(B68:C68,E68:G68,I68)=0,"","BI-"&amp;RIGHT("0000"&amp;(ROW()-5),4))</f>
        <v/>
      </c>
      <c r="B68" s="72" t="n"/>
      <c r="C68" s="66" t="n"/>
      <c r="D68" s="67" t="str">
        <f>IF(C68="","",IFERROR(INDEX(eq_des,MATCH(C68,eq_code,0))&amp;"","Équipement inconnu"))</f>
        <v/>
      </c>
      <c r="E68" s="68" t="n"/>
      <c r="F68" s="68" t="n"/>
      <c r="G68" s="66" t="n"/>
      <c r="H68" s="66" t="n"/>
      <c r="I68" s="68" t="n"/>
      <c r="J68" s="73" t="n"/>
      <c r="K68" s="71" t="n"/>
      <c r="L68" s="71" t="n"/>
      <c r="M68" s="66" t="n"/>
      <c r="N68" s="80" t="n"/>
      <c r="O68" s="81" t="str">
        <f>IF(A68="","",ROUND(V68*IFERROR(N(INDEX(tech_rate,MATCH(M68,tech_name,0))),0),2))</f>
        <v/>
      </c>
      <c r="P68" s="80" t="n"/>
      <c r="Q68" s="81" t="str">
        <f>IF(A68="","",ROUND(Y68+O68+Z68,2))</f>
        <v/>
      </c>
      <c r="R68" s="79" t="str">
        <f>IF(A68="","",IF(S68=0,"Date manquante ou invalide",IF(C68="","Équipement manquant",IF(ISNA(MATCH(C68,eq_code,0)),"Équipement inconnu",IF(E68="","Type manquant",IF(AND(E68&lt;&gt;"Préventif",E68&lt;&gt;"Correctif",E68&lt;&gt;"Amélioratif"),"Type inconnu",IF(I68="","Statut manquant",IF(AND(I68&lt;&gt;"Terminée",I68&lt;&gt;"En cours",I68&lt;&gt;"À faire",I68&lt;&gt;"Annulée"),"Statut inconnu",IF(AND(E68="Préventif",F68=""),"Plan manquant (préventif)",IF(AND(F68&lt;&gt;"",ISNA(MATCH(F68,pl_num,0))),"Plan inconnu",IF(AND(F68&lt;&gt;"",IFERROR(INDEX(pl_eq,MATCH(F68,pl_num,0))&amp;"",C68)&lt;&gt;C68),"Plan d'un autre équipement",IF(AND(J68&lt;&gt;"",OR(NOT(ISNUMBER(J68)),N(J68)&lt;0)),"Compteur invalide",IF(OR(AND(K68&lt;&gt;"",OR(NOT(ISNUMBER(K68)),N(K68)&lt;0)),AND(L68&lt;&gt;"",OR(NOT(ISNUMBER(L68)),N(L68)&lt;0))),"Durée invalide",IF(OR(AND(N68&lt;&gt;"",OR(NOT(ISNUMBER(N68)),N(N68)&lt;0)),AND(P68&lt;&gt;"",OR(NOT(ISNUMBER(P68)),N(P68)&lt;0))),"Coût invalide",IF(AND(M68&lt;&gt;"",ISNA(MATCH(M68,tech_name,0))),"Technicien inconnu",IF(AND(I68="Terminée",S68&gt;p_today),"Terminée à une date future",IF(AND(I68="Terminée",V68=0),"Durée d'intervention manquante",IF(AND(I68="Terminée",E68="Préventif",T68=0,OR(IFERROR(INDEX(pl_trig,MATCH(F68,pl_num,0))&amp;"","")="Compteur",IFERROR(INDEX(pl_trig,MATCH(F68,pl_num,0))&amp;"","")="Au premier des deux")),"Compteur manquant (plan au compteur)","OK"))))))))))))))))))</f>
        <v/>
      </c>
      <c r="S68" s="67">
        <f>IF(AND(ISNUMBER(B68),N(B68)&gt;0),INT(B68),0)</f>
        <v>0.0</v>
      </c>
      <c r="T68" s="67">
        <f>IF(AND(ISNUMBER(J68),N(J68)&gt;=0),N(J68),0)</f>
        <v>0.0</v>
      </c>
      <c r="U68" s="67">
        <f>IF(AND(ISNUMBER(K68),N(K68)&gt;0),N(K68),0)</f>
        <v>0.0</v>
      </c>
      <c r="V68" s="67">
        <f>IF(AND(ISNUMBER(L68),N(L68)&gt;0),N(L68),0)</f>
        <v>0.0</v>
      </c>
      <c r="W68" s="67">
        <f>IF(AND(I68="Terminée",S68&gt;0,C68&lt;&gt;"",ISNUMBER(MATCH(C68,eq_code,0))),1,0)</f>
        <v>0.0</v>
      </c>
      <c r="X68" s="67">
        <f>IF(AND(W68=1,E68="Préventif"),1,0)</f>
        <v>0.0</v>
      </c>
      <c r="Y68" s="67">
        <f>IF(AND(ISNUMBER(N68),N(N68)&gt;0),N(N68),0)</f>
        <v>0.0</v>
      </c>
      <c r="Z68" s="67">
        <f>IF(AND(ISNUMBER(P68),N(P68)&gt;0),N(P68),0)</f>
        <v>0.0</v>
      </c>
    </row>
    <row r="69">
      <c r="A69" s="79" t="str">
        <f>IF(COUNTA(B69:C69,E69:G69,I69)=0,"","BI-"&amp;RIGHT("0000"&amp;(ROW()-5),4))</f>
        <v/>
      </c>
      <c r="B69" s="72" t="n"/>
      <c r="C69" s="66" t="n"/>
      <c r="D69" s="67" t="str">
        <f>IF(C69="","",IFERROR(INDEX(eq_des,MATCH(C69,eq_code,0))&amp;"","Équipement inconnu"))</f>
        <v/>
      </c>
      <c r="E69" s="68" t="n"/>
      <c r="F69" s="68" t="n"/>
      <c r="G69" s="66" t="n"/>
      <c r="H69" s="66" t="n"/>
      <c r="I69" s="68" t="n"/>
      <c r="J69" s="73" t="n"/>
      <c r="K69" s="71" t="n"/>
      <c r="L69" s="71" t="n"/>
      <c r="M69" s="66" t="n"/>
      <c r="N69" s="80" t="n"/>
      <c r="O69" s="81" t="str">
        <f>IF(A69="","",ROUND(V69*IFERROR(N(INDEX(tech_rate,MATCH(M69,tech_name,0))),0),2))</f>
        <v/>
      </c>
      <c r="P69" s="80" t="n"/>
      <c r="Q69" s="81" t="str">
        <f>IF(A69="","",ROUND(Y69+O69+Z69,2))</f>
        <v/>
      </c>
      <c r="R69" s="79" t="str">
        <f>IF(A69="","",IF(S69=0,"Date manquante ou invalide",IF(C69="","Équipement manquant",IF(ISNA(MATCH(C69,eq_code,0)),"Équipement inconnu",IF(E69="","Type manquant",IF(AND(E69&lt;&gt;"Préventif",E69&lt;&gt;"Correctif",E69&lt;&gt;"Amélioratif"),"Type inconnu",IF(I69="","Statut manquant",IF(AND(I69&lt;&gt;"Terminée",I69&lt;&gt;"En cours",I69&lt;&gt;"À faire",I69&lt;&gt;"Annulée"),"Statut inconnu",IF(AND(E69="Préventif",F69=""),"Plan manquant (préventif)",IF(AND(F69&lt;&gt;"",ISNA(MATCH(F69,pl_num,0))),"Plan inconnu",IF(AND(F69&lt;&gt;"",IFERROR(INDEX(pl_eq,MATCH(F69,pl_num,0))&amp;"",C69)&lt;&gt;C69),"Plan d'un autre équipement",IF(AND(J69&lt;&gt;"",OR(NOT(ISNUMBER(J69)),N(J69)&lt;0)),"Compteur invalide",IF(OR(AND(K69&lt;&gt;"",OR(NOT(ISNUMBER(K69)),N(K69)&lt;0)),AND(L69&lt;&gt;"",OR(NOT(ISNUMBER(L69)),N(L69)&lt;0))),"Durée invalide",IF(OR(AND(N69&lt;&gt;"",OR(NOT(ISNUMBER(N69)),N(N69)&lt;0)),AND(P69&lt;&gt;"",OR(NOT(ISNUMBER(P69)),N(P69)&lt;0))),"Coût invalide",IF(AND(M69&lt;&gt;"",ISNA(MATCH(M69,tech_name,0))),"Technicien inconnu",IF(AND(I69="Terminée",S69&gt;p_today),"Terminée à une date future",IF(AND(I69="Terminée",V69=0),"Durée d'intervention manquante",IF(AND(I69="Terminée",E69="Préventif",T69=0,OR(IFERROR(INDEX(pl_trig,MATCH(F69,pl_num,0))&amp;"","")="Compteur",IFERROR(INDEX(pl_trig,MATCH(F69,pl_num,0))&amp;"","")="Au premier des deux")),"Compteur manquant (plan au compteur)","OK"))))))))))))))))))</f>
        <v/>
      </c>
      <c r="S69" s="67">
        <f>IF(AND(ISNUMBER(B69),N(B69)&gt;0),INT(B69),0)</f>
        <v>0.0</v>
      </c>
      <c r="T69" s="67">
        <f>IF(AND(ISNUMBER(J69),N(J69)&gt;=0),N(J69),0)</f>
        <v>0.0</v>
      </c>
      <c r="U69" s="67">
        <f>IF(AND(ISNUMBER(K69),N(K69)&gt;0),N(K69),0)</f>
        <v>0.0</v>
      </c>
      <c r="V69" s="67">
        <f>IF(AND(ISNUMBER(L69),N(L69)&gt;0),N(L69),0)</f>
        <v>0.0</v>
      </c>
      <c r="W69" s="67">
        <f>IF(AND(I69="Terminée",S69&gt;0,C69&lt;&gt;"",ISNUMBER(MATCH(C69,eq_code,0))),1,0)</f>
        <v>0.0</v>
      </c>
      <c r="X69" s="67">
        <f>IF(AND(W69=1,E69="Préventif"),1,0)</f>
        <v>0.0</v>
      </c>
      <c r="Y69" s="67">
        <f>IF(AND(ISNUMBER(N69),N(N69)&gt;0),N(N69),0)</f>
        <v>0.0</v>
      </c>
      <c r="Z69" s="67">
        <f>IF(AND(ISNUMBER(P69),N(P69)&gt;0),N(P69),0)</f>
        <v>0.0</v>
      </c>
    </row>
    <row r="70">
      <c r="A70" s="79" t="str">
        <f>IF(COUNTA(B70:C70,E70:G70,I70)=0,"","BI-"&amp;RIGHT("0000"&amp;(ROW()-5),4))</f>
        <v/>
      </c>
      <c r="B70" s="72" t="n"/>
      <c r="C70" s="66" t="n"/>
      <c r="D70" s="67" t="str">
        <f>IF(C70="","",IFERROR(INDEX(eq_des,MATCH(C70,eq_code,0))&amp;"","Équipement inconnu"))</f>
        <v/>
      </c>
      <c r="E70" s="68" t="n"/>
      <c r="F70" s="68" t="n"/>
      <c r="G70" s="66" t="n"/>
      <c r="H70" s="66" t="n"/>
      <c r="I70" s="68" t="n"/>
      <c r="J70" s="73" t="n"/>
      <c r="K70" s="71" t="n"/>
      <c r="L70" s="71" t="n"/>
      <c r="M70" s="66" t="n"/>
      <c r="N70" s="80" t="n"/>
      <c r="O70" s="81" t="str">
        <f>IF(A70="","",ROUND(V70*IFERROR(N(INDEX(tech_rate,MATCH(M70,tech_name,0))),0),2))</f>
        <v/>
      </c>
      <c r="P70" s="80" t="n"/>
      <c r="Q70" s="81" t="str">
        <f>IF(A70="","",ROUND(Y70+O70+Z70,2))</f>
        <v/>
      </c>
      <c r="R70" s="79" t="str">
        <f>IF(A70="","",IF(S70=0,"Date manquante ou invalide",IF(C70="","Équipement manquant",IF(ISNA(MATCH(C70,eq_code,0)),"Équipement inconnu",IF(E70="","Type manquant",IF(AND(E70&lt;&gt;"Préventif",E70&lt;&gt;"Correctif",E70&lt;&gt;"Amélioratif"),"Type inconnu",IF(I70="","Statut manquant",IF(AND(I70&lt;&gt;"Terminée",I70&lt;&gt;"En cours",I70&lt;&gt;"À faire",I70&lt;&gt;"Annulée"),"Statut inconnu",IF(AND(E70="Préventif",F70=""),"Plan manquant (préventif)",IF(AND(F70&lt;&gt;"",ISNA(MATCH(F70,pl_num,0))),"Plan inconnu",IF(AND(F70&lt;&gt;"",IFERROR(INDEX(pl_eq,MATCH(F70,pl_num,0))&amp;"",C70)&lt;&gt;C70),"Plan d'un autre équipement",IF(AND(J70&lt;&gt;"",OR(NOT(ISNUMBER(J70)),N(J70)&lt;0)),"Compteur invalide",IF(OR(AND(K70&lt;&gt;"",OR(NOT(ISNUMBER(K70)),N(K70)&lt;0)),AND(L70&lt;&gt;"",OR(NOT(ISNUMBER(L70)),N(L70)&lt;0))),"Durée invalide",IF(OR(AND(N70&lt;&gt;"",OR(NOT(ISNUMBER(N70)),N(N70)&lt;0)),AND(P70&lt;&gt;"",OR(NOT(ISNUMBER(P70)),N(P70)&lt;0))),"Coût invalide",IF(AND(M70&lt;&gt;"",ISNA(MATCH(M70,tech_name,0))),"Technicien inconnu",IF(AND(I70="Terminée",S70&gt;p_today),"Terminée à une date future",IF(AND(I70="Terminée",V70=0),"Durée d'intervention manquante",IF(AND(I70="Terminée",E70="Préventif",T70=0,OR(IFERROR(INDEX(pl_trig,MATCH(F70,pl_num,0))&amp;"","")="Compteur",IFERROR(INDEX(pl_trig,MATCH(F70,pl_num,0))&amp;"","")="Au premier des deux")),"Compteur manquant (plan au compteur)","OK"))))))))))))))))))</f>
        <v/>
      </c>
      <c r="S70" s="67">
        <f>IF(AND(ISNUMBER(B70),N(B70)&gt;0),INT(B70),0)</f>
        <v>0.0</v>
      </c>
      <c r="T70" s="67">
        <f>IF(AND(ISNUMBER(J70),N(J70)&gt;=0),N(J70),0)</f>
        <v>0.0</v>
      </c>
      <c r="U70" s="67">
        <f>IF(AND(ISNUMBER(K70),N(K70)&gt;0),N(K70),0)</f>
        <v>0.0</v>
      </c>
      <c r="V70" s="67">
        <f>IF(AND(ISNUMBER(L70),N(L70)&gt;0),N(L70),0)</f>
        <v>0.0</v>
      </c>
      <c r="W70" s="67">
        <f>IF(AND(I70="Terminée",S70&gt;0,C70&lt;&gt;"",ISNUMBER(MATCH(C70,eq_code,0))),1,0)</f>
        <v>0.0</v>
      </c>
      <c r="X70" s="67">
        <f>IF(AND(W70=1,E70="Préventif"),1,0)</f>
        <v>0.0</v>
      </c>
      <c r="Y70" s="67">
        <f>IF(AND(ISNUMBER(N70),N(N70)&gt;0),N(N70),0)</f>
        <v>0.0</v>
      </c>
      <c r="Z70" s="67">
        <f>IF(AND(ISNUMBER(P70),N(P70)&gt;0),N(P70),0)</f>
        <v>0.0</v>
      </c>
    </row>
    <row r="71">
      <c r="A71" s="79" t="str">
        <f>IF(COUNTA(B71:C71,E71:G71,I71)=0,"","BI-"&amp;RIGHT("0000"&amp;(ROW()-5),4))</f>
        <v/>
      </c>
      <c r="B71" s="72" t="n"/>
      <c r="C71" s="66" t="n"/>
      <c r="D71" s="67" t="str">
        <f>IF(C71="","",IFERROR(INDEX(eq_des,MATCH(C71,eq_code,0))&amp;"","Équipement inconnu"))</f>
        <v/>
      </c>
      <c r="E71" s="68" t="n"/>
      <c r="F71" s="68" t="n"/>
      <c r="G71" s="66" t="n"/>
      <c r="H71" s="66" t="n"/>
      <c r="I71" s="68" t="n"/>
      <c r="J71" s="73" t="n"/>
      <c r="K71" s="71" t="n"/>
      <c r="L71" s="71" t="n"/>
      <c r="M71" s="66" t="n"/>
      <c r="N71" s="80" t="n"/>
      <c r="O71" s="81" t="str">
        <f>IF(A71="","",ROUND(V71*IFERROR(N(INDEX(tech_rate,MATCH(M71,tech_name,0))),0),2))</f>
        <v/>
      </c>
      <c r="P71" s="80" t="n"/>
      <c r="Q71" s="81" t="str">
        <f>IF(A71="","",ROUND(Y71+O71+Z71,2))</f>
        <v/>
      </c>
      <c r="R71" s="79" t="str">
        <f>IF(A71="","",IF(S71=0,"Date manquante ou invalide",IF(C71="","Équipement manquant",IF(ISNA(MATCH(C71,eq_code,0)),"Équipement inconnu",IF(E71="","Type manquant",IF(AND(E71&lt;&gt;"Préventif",E71&lt;&gt;"Correctif",E71&lt;&gt;"Amélioratif"),"Type inconnu",IF(I71="","Statut manquant",IF(AND(I71&lt;&gt;"Terminée",I71&lt;&gt;"En cours",I71&lt;&gt;"À faire",I71&lt;&gt;"Annulée"),"Statut inconnu",IF(AND(E71="Préventif",F71=""),"Plan manquant (préventif)",IF(AND(F71&lt;&gt;"",ISNA(MATCH(F71,pl_num,0))),"Plan inconnu",IF(AND(F71&lt;&gt;"",IFERROR(INDEX(pl_eq,MATCH(F71,pl_num,0))&amp;"",C71)&lt;&gt;C71),"Plan d'un autre équipement",IF(AND(J71&lt;&gt;"",OR(NOT(ISNUMBER(J71)),N(J71)&lt;0)),"Compteur invalide",IF(OR(AND(K71&lt;&gt;"",OR(NOT(ISNUMBER(K71)),N(K71)&lt;0)),AND(L71&lt;&gt;"",OR(NOT(ISNUMBER(L71)),N(L71)&lt;0))),"Durée invalide",IF(OR(AND(N71&lt;&gt;"",OR(NOT(ISNUMBER(N71)),N(N71)&lt;0)),AND(P71&lt;&gt;"",OR(NOT(ISNUMBER(P71)),N(P71)&lt;0))),"Coût invalide",IF(AND(M71&lt;&gt;"",ISNA(MATCH(M71,tech_name,0))),"Technicien inconnu",IF(AND(I71="Terminée",S71&gt;p_today),"Terminée à une date future",IF(AND(I71="Terminée",V71=0),"Durée d'intervention manquante",IF(AND(I71="Terminée",E71="Préventif",T71=0,OR(IFERROR(INDEX(pl_trig,MATCH(F71,pl_num,0))&amp;"","")="Compteur",IFERROR(INDEX(pl_trig,MATCH(F71,pl_num,0))&amp;"","")="Au premier des deux")),"Compteur manquant (plan au compteur)","OK"))))))))))))))))))</f>
        <v/>
      </c>
      <c r="S71" s="67">
        <f>IF(AND(ISNUMBER(B71),N(B71)&gt;0),INT(B71),0)</f>
        <v>0.0</v>
      </c>
      <c r="T71" s="67">
        <f>IF(AND(ISNUMBER(J71),N(J71)&gt;=0),N(J71),0)</f>
        <v>0.0</v>
      </c>
      <c r="U71" s="67">
        <f>IF(AND(ISNUMBER(K71),N(K71)&gt;0),N(K71),0)</f>
        <v>0.0</v>
      </c>
      <c r="V71" s="67">
        <f>IF(AND(ISNUMBER(L71),N(L71)&gt;0),N(L71),0)</f>
        <v>0.0</v>
      </c>
      <c r="W71" s="67">
        <f>IF(AND(I71="Terminée",S71&gt;0,C71&lt;&gt;"",ISNUMBER(MATCH(C71,eq_code,0))),1,0)</f>
        <v>0.0</v>
      </c>
      <c r="X71" s="67">
        <f>IF(AND(W71=1,E71="Préventif"),1,0)</f>
        <v>0.0</v>
      </c>
      <c r="Y71" s="67">
        <f>IF(AND(ISNUMBER(N71),N(N71)&gt;0),N(N71),0)</f>
        <v>0.0</v>
      </c>
      <c r="Z71" s="67">
        <f>IF(AND(ISNUMBER(P71),N(P71)&gt;0),N(P71),0)</f>
        <v>0.0</v>
      </c>
    </row>
    <row r="72">
      <c r="A72" s="79" t="str">
        <f>IF(COUNTA(B72:C72,E72:G72,I72)=0,"","BI-"&amp;RIGHT("0000"&amp;(ROW()-5),4))</f>
        <v/>
      </c>
      <c r="B72" s="72" t="n"/>
      <c r="C72" s="66" t="n"/>
      <c r="D72" s="67" t="str">
        <f>IF(C72="","",IFERROR(INDEX(eq_des,MATCH(C72,eq_code,0))&amp;"","Équipement inconnu"))</f>
        <v/>
      </c>
      <c r="E72" s="68" t="n"/>
      <c r="F72" s="68" t="n"/>
      <c r="G72" s="66" t="n"/>
      <c r="H72" s="66" t="n"/>
      <c r="I72" s="68" t="n"/>
      <c r="J72" s="73" t="n"/>
      <c r="K72" s="71" t="n"/>
      <c r="L72" s="71" t="n"/>
      <c r="M72" s="66" t="n"/>
      <c r="N72" s="80" t="n"/>
      <c r="O72" s="81" t="str">
        <f>IF(A72="","",ROUND(V72*IFERROR(N(INDEX(tech_rate,MATCH(M72,tech_name,0))),0),2))</f>
        <v/>
      </c>
      <c r="P72" s="80" t="n"/>
      <c r="Q72" s="81" t="str">
        <f>IF(A72="","",ROUND(Y72+O72+Z72,2))</f>
        <v/>
      </c>
      <c r="R72" s="79" t="str">
        <f>IF(A72="","",IF(S72=0,"Date manquante ou invalide",IF(C72="","Équipement manquant",IF(ISNA(MATCH(C72,eq_code,0)),"Équipement inconnu",IF(E72="","Type manquant",IF(AND(E72&lt;&gt;"Préventif",E72&lt;&gt;"Correctif",E72&lt;&gt;"Amélioratif"),"Type inconnu",IF(I72="","Statut manquant",IF(AND(I72&lt;&gt;"Terminée",I72&lt;&gt;"En cours",I72&lt;&gt;"À faire",I72&lt;&gt;"Annulée"),"Statut inconnu",IF(AND(E72="Préventif",F72=""),"Plan manquant (préventif)",IF(AND(F72&lt;&gt;"",ISNA(MATCH(F72,pl_num,0))),"Plan inconnu",IF(AND(F72&lt;&gt;"",IFERROR(INDEX(pl_eq,MATCH(F72,pl_num,0))&amp;"",C72)&lt;&gt;C72),"Plan d'un autre équipement",IF(AND(J72&lt;&gt;"",OR(NOT(ISNUMBER(J72)),N(J72)&lt;0)),"Compteur invalide",IF(OR(AND(K72&lt;&gt;"",OR(NOT(ISNUMBER(K72)),N(K72)&lt;0)),AND(L72&lt;&gt;"",OR(NOT(ISNUMBER(L72)),N(L72)&lt;0))),"Durée invalide",IF(OR(AND(N72&lt;&gt;"",OR(NOT(ISNUMBER(N72)),N(N72)&lt;0)),AND(P72&lt;&gt;"",OR(NOT(ISNUMBER(P72)),N(P72)&lt;0))),"Coût invalide",IF(AND(M72&lt;&gt;"",ISNA(MATCH(M72,tech_name,0))),"Technicien inconnu",IF(AND(I72="Terminée",S72&gt;p_today),"Terminée à une date future",IF(AND(I72="Terminée",V72=0),"Durée d'intervention manquante",IF(AND(I72="Terminée",E72="Préventif",T72=0,OR(IFERROR(INDEX(pl_trig,MATCH(F72,pl_num,0))&amp;"","")="Compteur",IFERROR(INDEX(pl_trig,MATCH(F72,pl_num,0))&amp;"","")="Au premier des deux")),"Compteur manquant (plan au compteur)","OK"))))))))))))))))))</f>
        <v/>
      </c>
      <c r="S72" s="67">
        <f>IF(AND(ISNUMBER(B72),N(B72)&gt;0),INT(B72),0)</f>
        <v>0.0</v>
      </c>
      <c r="T72" s="67">
        <f>IF(AND(ISNUMBER(J72),N(J72)&gt;=0),N(J72),0)</f>
        <v>0.0</v>
      </c>
      <c r="U72" s="67">
        <f>IF(AND(ISNUMBER(K72),N(K72)&gt;0),N(K72),0)</f>
        <v>0.0</v>
      </c>
      <c r="V72" s="67">
        <f>IF(AND(ISNUMBER(L72),N(L72)&gt;0),N(L72),0)</f>
        <v>0.0</v>
      </c>
      <c r="W72" s="67">
        <f>IF(AND(I72="Terminée",S72&gt;0,C72&lt;&gt;"",ISNUMBER(MATCH(C72,eq_code,0))),1,0)</f>
        <v>0.0</v>
      </c>
      <c r="X72" s="67">
        <f>IF(AND(W72=1,E72="Préventif"),1,0)</f>
        <v>0.0</v>
      </c>
      <c r="Y72" s="67">
        <f>IF(AND(ISNUMBER(N72),N(N72)&gt;0),N(N72),0)</f>
        <v>0.0</v>
      </c>
      <c r="Z72" s="67">
        <f>IF(AND(ISNUMBER(P72),N(P72)&gt;0),N(P72),0)</f>
        <v>0.0</v>
      </c>
    </row>
    <row r="73">
      <c r="A73" s="79" t="str">
        <f>IF(COUNTA(B73:C73,E73:G73,I73)=0,"","BI-"&amp;RIGHT("0000"&amp;(ROW()-5),4))</f>
        <v/>
      </c>
      <c r="B73" s="72" t="n"/>
      <c r="C73" s="66" t="n"/>
      <c r="D73" s="67" t="str">
        <f>IF(C73="","",IFERROR(INDEX(eq_des,MATCH(C73,eq_code,0))&amp;"","Équipement inconnu"))</f>
        <v/>
      </c>
      <c r="E73" s="68" t="n"/>
      <c r="F73" s="68" t="n"/>
      <c r="G73" s="66" t="n"/>
      <c r="H73" s="66" t="n"/>
      <c r="I73" s="68" t="n"/>
      <c r="J73" s="73" t="n"/>
      <c r="K73" s="71" t="n"/>
      <c r="L73" s="71" t="n"/>
      <c r="M73" s="66" t="n"/>
      <c r="N73" s="80" t="n"/>
      <c r="O73" s="81" t="str">
        <f>IF(A73="","",ROUND(V73*IFERROR(N(INDEX(tech_rate,MATCH(M73,tech_name,0))),0),2))</f>
        <v/>
      </c>
      <c r="P73" s="80" t="n"/>
      <c r="Q73" s="81" t="str">
        <f>IF(A73="","",ROUND(Y73+O73+Z73,2))</f>
        <v/>
      </c>
      <c r="R73" s="79" t="str">
        <f>IF(A73="","",IF(S73=0,"Date manquante ou invalide",IF(C73="","Équipement manquant",IF(ISNA(MATCH(C73,eq_code,0)),"Équipement inconnu",IF(E73="","Type manquant",IF(AND(E73&lt;&gt;"Préventif",E73&lt;&gt;"Correctif",E73&lt;&gt;"Amélioratif"),"Type inconnu",IF(I73="","Statut manquant",IF(AND(I73&lt;&gt;"Terminée",I73&lt;&gt;"En cours",I73&lt;&gt;"À faire",I73&lt;&gt;"Annulée"),"Statut inconnu",IF(AND(E73="Préventif",F73=""),"Plan manquant (préventif)",IF(AND(F73&lt;&gt;"",ISNA(MATCH(F73,pl_num,0))),"Plan inconnu",IF(AND(F73&lt;&gt;"",IFERROR(INDEX(pl_eq,MATCH(F73,pl_num,0))&amp;"",C73)&lt;&gt;C73),"Plan d'un autre équipement",IF(AND(J73&lt;&gt;"",OR(NOT(ISNUMBER(J73)),N(J73)&lt;0)),"Compteur invalide",IF(OR(AND(K73&lt;&gt;"",OR(NOT(ISNUMBER(K73)),N(K73)&lt;0)),AND(L73&lt;&gt;"",OR(NOT(ISNUMBER(L73)),N(L73)&lt;0))),"Durée invalide",IF(OR(AND(N73&lt;&gt;"",OR(NOT(ISNUMBER(N73)),N(N73)&lt;0)),AND(P73&lt;&gt;"",OR(NOT(ISNUMBER(P73)),N(P73)&lt;0))),"Coût invalide",IF(AND(M73&lt;&gt;"",ISNA(MATCH(M73,tech_name,0))),"Technicien inconnu",IF(AND(I73="Terminée",S73&gt;p_today),"Terminée à une date future",IF(AND(I73="Terminée",V73=0),"Durée d'intervention manquante",IF(AND(I73="Terminée",E73="Préventif",T73=0,OR(IFERROR(INDEX(pl_trig,MATCH(F73,pl_num,0))&amp;"","")="Compteur",IFERROR(INDEX(pl_trig,MATCH(F73,pl_num,0))&amp;"","")="Au premier des deux")),"Compteur manquant (plan au compteur)","OK"))))))))))))))))))</f>
        <v/>
      </c>
      <c r="S73" s="67">
        <f>IF(AND(ISNUMBER(B73),N(B73)&gt;0),INT(B73),0)</f>
        <v>0.0</v>
      </c>
      <c r="T73" s="67">
        <f>IF(AND(ISNUMBER(J73),N(J73)&gt;=0),N(J73),0)</f>
        <v>0.0</v>
      </c>
      <c r="U73" s="67">
        <f>IF(AND(ISNUMBER(K73),N(K73)&gt;0),N(K73),0)</f>
        <v>0.0</v>
      </c>
      <c r="V73" s="67">
        <f>IF(AND(ISNUMBER(L73),N(L73)&gt;0),N(L73),0)</f>
        <v>0.0</v>
      </c>
      <c r="W73" s="67">
        <f>IF(AND(I73="Terminée",S73&gt;0,C73&lt;&gt;"",ISNUMBER(MATCH(C73,eq_code,0))),1,0)</f>
        <v>0.0</v>
      </c>
      <c r="X73" s="67">
        <f>IF(AND(W73=1,E73="Préventif"),1,0)</f>
        <v>0.0</v>
      </c>
      <c r="Y73" s="67">
        <f>IF(AND(ISNUMBER(N73),N(N73)&gt;0),N(N73),0)</f>
        <v>0.0</v>
      </c>
      <c r="Z73" s="67">
        <f>IF(AND(ISNUMBER(P73),N(P73)&gt;0),N(P73),0)</f>
        <v>0.0</v>
      </c>
    </row>
    <row r="74">
      <c r="A74" s="79" t="str">
        <f>IF(COUNTA(B74:C74,E74:G74,I74)=0,"","BI-"&amp;RIGHT("0000"&amp;(ROW()-5),4))</f>
        <v/>
      </c>
      <c r="B74" s="72" t="n"/>
      <c r="C74" s="66" t="n"/>
      <c r="D74" s="67" t="str">
        <f>IF(C74="","",IFERROR(INDEX(eq_des,MATCH(C74,eq_code,0))&amp;"","Équipement inconnu"))</f>
        <v/>
      </c>
      <c r="E74" s="68" t="n"/>
      <c r="F74" s="68" t="n"/>
      <c r="G74" s="66" t="n"/>
      <c r="H74" s="66" t="n"/>
      <c r="I74" s="68" t="n"/>
      <c r="J74" s="73" t="n"/>
      <c r="K74" s="71" t="n"/>
      <c r="L74" s="71" t="n"/>
      <c r="M74" s="66" t="n"/>
      <c r="N74" s="80" t="n"/>
      <c r="O74" s="81" t="str">
        <f>IF(A74="","",ROUND(V74*IFERROR(N(INDEX(tech_rate,MATCH(M74,tech_name,0))),0),2))</f>
        <v/>
      </c>
      <c r="P74" s="80" t="n"/>
      <c r="Q74" s="81" t="str">
        <f>IF(A74="","",ROUND(Y74+O74+Z74,2))</f>
        <v/>
      </c>
      <c r="R74" s="79" t="str">
        <f>IF(A74="","",IF(S74=0,"Date manquante ou invalide",IF(C74="","Équipement manquant",IF(ISNA(MATCH(C74,eq_code,0)),"Équipement inconnu",IF(E74="","Type manquant",IF(AND(E74&lt;&gt;"Préventif",E74&lt;&gt;"Correctif",E74&lt;&gt;"Amélioratif"),"Type inconnu",IF(I74="","Statut manquant",IF(AND(I74&lt;&gt;"Terminée",I74&lt;&gt;"En cours",I74&lt;&gt;"À faire",I74&lt;&gt;"Annulée"),"Statut inconnu",IF(AND(E74="Préventif",F74=""),"Plan manquant (préventif)",IF(AND(F74&lt;&gt;"",ISNA(MATCH(F74,pl_num,0))),"Plan inconnu",IF(AND(F74&lt;&gt;"",IFERROR(INDEX(pl_eq,MATCH(F74,pl_num,0))&amp;"",C74)&lt;&gt;C74),"Plan d'un autre équipement",IF(AND(J74&lt;&gt;"",OR(NOT(ISNUMBER(J74)),N(J74)&lt;0)),"Compteur invalide",IF(OR(AND(K74&lt;&gt;"",OR(NOT(ISNUMBER(K74)),N(K74)&lt;0)),AND(L74&lt;&gt;"",OR(NOT(ISNUMBER(L74)),N(L74)&lt;0))),"Durée invalide",IF(OR(AND(N74&lt;&gt;"",OR(NOT(ISNUMBER(N74)),N(N74)&lt;0)),AND(P74&lt;&gt;"",OR(NOT(ISNUMBER(P74)),N(P74)&lt;0))),"Coût invalide",IF(AND(M74&lt;&gt;"",ISNA(MATCH(M74,tech_name,0))),"Technicien inconnu",IF(AND(I74="Terminée",S74&gt;p_today),"Terminée à une date future",IF(AND(I74="Terminée",V74=0),"Durée d'intervention manquante",IF(AND(I74="Terminée",E74="Préventif",T74=0,OR(IFERROR(INDEX(pl_trig,MATCH(F74,pl_num,0))&amp;"","")="Compteur",IFERROR(INDEX(pl_trig,MATCH(F74,pl_num,0))&amp;"","")="Au premier des deux")),"Compteur manquant (plan au compteur)","OK"))))))))))))))))))</f>
        <v/>
      </c>
      <c r="S74" s="67">
        <f>IF(AND(ISNUMBER(B74),N(B74)&gt;0),INT(B74),0)</f>
        <v>0.0</v>
      </c>
      <c r="T74" s="67">
        <f>IF(AND(ISNUMBER(J74),N(J74)&gt;=0),N(J74),0)</f>
        <v>0.0</v>
      </c>
      <c r="U74" s="67">
        <f>IF(AND(ISNUMBER(K74),N(K74)&gt;0),N(K74),0)</f>
        <v>0.0</v>
      </c>
      <c r="V74" s="67">
        <f>IF(AND(ISNUMBER(L74),N(L74)&gt;0),N(L74),0)</f>
        <v>0.0</v>
      </c>
      <c r="W74" s="67">
        <f>IF(AND(I74="Terminée",S74&gt;0,C74&lt;&gt;"",ISNUMBER(MATCH(C74,eq_code,0))),1,0)</f>
        <v>0.0</v>
      </c>
      <c r="X74" s="67">
        <f>IF(AND(W74=1,E74="Préventif"),1,0)</f>
        <v>0.0</v>
      </c>
      <c r="Y74" s="67">
        <f>IF(AND(ISNUMBER(N74),N(N74)&gt;0),N(N74),0)</f>
        <v>0.0</v>
      </c>
      <c r="Z74" s="67">
        <f>IF(AND(ISNUMBER(P74),N(P74)&gt;0),N(P74),0)</f>
        <v>0.0</v>
      </c>
    </row>
    <row r="75">
      <c r="A75" s="79" t="str">
        <f>IF(COUNTA(B75:C75,E75:G75,I75)=0,"","BI-"&amp;RIGHT("0000"&amp;(ROW()-5),4))</f>
        <v/>
      </c>
      <c r="B75" s="72" t="n"/>
      <c r="C75" s="66" t="n"/>
      <c r="D75" s="67" t="str">
        <f>IF(C75="","",IFERROR(INDEX(eq_des,MATCH(C75,eq_code,0))&amp;"","Équipement inconnu"))</f>
        <v/>
      </c>
      <c r="E75" s="68" t="n"/>
      <c r="F75" s="68" t="n"/>
      <c r="G75" s="66" t="n"/>
      <c r="H75" s="66" t="n"/>
      <c r="I75" s="68" t="n"/>
      <c r="J75" s="73" t="n"/>
      <c r="K75" s="71" t="n"/>
      <c r="L75" s="71" t="n"/>
      <c r="M75" s="66" t="n"/>
      <c r="N75" s="80" t="n"/>
      <c r="O75" s="81" t="str">
        <f>IF(A75="","",ROUND(V75*IFERROR(N(INDEX(tech_rate,MATCH(M75,tech_name,0))),0),2))</f>
        <v/>
      </c>
      <c r="P75" s="80" t="n"/>
      <c r="Q75" s="81" t="str">
        <f>IF(A75="","",ROUND(Y75+O75+Z75,2))</f>
        <v/>
      </c>
      <c r="R75" s="79" t="str">
        <f>IF(A75="","",IF(S75=0,"Date manquante ou invalide",IF(C75="","Équipement manquant",IF(ISNA(MATCH(C75,eq_code,0)),"Équipement inconnu",IF(E75="","Type manquant",IF(AND(E75&lt;&gt;"Préventif",E75&lt;&gt;"Correctif",E75&lt;&gt;"Amélioratif"),"Type inconnu",IF(I75="","Statut manquant",IF(AND(I75&lt;&gt;"Terminée",I75&lt;&gt;"En cours",I75&lt;&gt;"À faire",I75&lt;&gt;"Annulée"),"Statut inconnu",IF(AND(E75="Préventif",F75=""),"Plan manquant (préventif)",IF(AND(F75&lt;&gt;"",ISNA(MATCH(F75,pl_num,0))),"Plan inconnu",IF(AND(F75&lt;&gt;"",IFERROR(INDEX(pl_eq,MATCH(F75,pl_num,0))&amp;"",C75)&lt;&gt;C75),"Plan d'un autre équipement",IF(AND(J75&lt;&gt;"",OR(NOT(ISNUMBER(J75)),N(J75)&lt;0)),"Compteur invalide",IF(OR(AND(K75&lt;&gt;"",OR(NOT(ISNUMBER(K75)),N(K75)&lt;0)),AND(L75&lt;&gt;"",OR(NOT(ISNUMBER(L75)),N(L75)&lt;0))),"Durée invalide",IF(OR(AND(N75&lt;&gt;"",OR(NOT(ISNUMBER(N75)),N(N75)&lt;0)),AND(P75&lt;&gt;"",OR(NOT(ISNUMBER(P75)),N(P75)&lt;0))),"Coût invalide",IF(AND(M75&lt;&gt;"",ISNA(MATCH(M75,tech_name,0))),"Technicien inconnu",IF(AND(I75="Terminée",S75&gt;p_today),"Terminée à une date future",IF(AND(I75="Terminée",V75=0),"Durée d'intervention manquante",IF(AND(I75="Terminée",E75="Préventif",T75=0,OR(IFERROR(INDEX(pl_trig,MATCH(F75,pl_num,0))&amp;"","")="Compteur",IFERROR(INDEX(pl_trig,MATCH(F75,pl_num,0))&amp;"","")="Au premier des deux")),"Compteur manquant (plan au compteur)","OK"))))))))))))))))))</f>
        <v/>
      </c>
      <c r="S75" s="67">
        <f>IF(AND(ISNUMBER(B75),N(B75)&gt;0),INT(B75),0)</f>
        <v>0.0</v>
      </c>
      <c r="T75" s="67">
        <f>IF(AND(ISNUMBER(J75),N(J75)&gt;=0),N(J75),0)</f>
        <v>0.0</v>
      </c>
      <c r="U75" s="67">
        <f>IF(AND(ISNUMBER(K75),N(K75)&gt;0),N(K75),0)</f>
        <v>0.0</v>
      </c>
      <c r="V75" s="67">
        <f>IF(AND(ISNUMBER(L75),N(L75)&gt;0),N(L75),0)</f>
        <v>0.0</v>
      </c>
      <c r="W75" s="67">
        <f>IF(AND(I75="Terminée",S75&gt;0,C75&lt;&gt;"",ISNUMBER(MATCH(C75,eq_code,0))),1,0)</f>
        <v>0.0</v>
      </c>
      <c r="X75" s="67">
        <f>IF(AND(W75=1,E75="Préventif"),1,0)</f>
        <v>0.0</v>
      </c>
      <c r="Y75" s="67">
        <f>IF(AND(ISNUMBER(N75),N(N75)&gt;0),N(N75),0)</f>
        <v>0.0</v>
      </c>
      <c r="Z75" s="67">
        <f>IF(AND(ISNUMBER(P75),N(P75)&gt;0),N(P75),0)</f>
        <v>0.0</v>
      </c>
    </row>
    <row r="76">
      <c r="A76" s="79" t="str">
        <f>IF(COUNTA(B76:C76,E76:G76,I76)=0,"","BI-"&amp;RIGHT("0000"&amp;(ROW()-5),4))</f>
        <v/>
      </c>
      <c r="B76" s="72" t="n"/>
      <c r="C76" s="66" t="n"/>
      <c r="D76" s="67" t="str">
        <f>IF(C76="","",IFERROR(INDEX(eq_des,MATCH(C76,eq_code,0))&amp;"","Équipement inconnu"))</f>
        <v/>
      </c>
      <c r="E76" s="68" t="n"/>
      <c r="F76" s="68" t="n"/>
      <c r="G76" s="66" t="n"/>
      <c r="H76" s="66" t="n"/>
      <c r="I76" s="68" t="n"/>
      <c r="J76" s="73" t="n"/>
      <c r="K76" s="71" t="n"/>
      <c r="L76" s="71" t="n"/>
      <c r="M76" s="66" t="n"/>
      <c r="N76" s="80" t="n"/>
      <c r="O76" s="81" t="str">
        <f>IF(A76="","",ROUND(V76*IFERROR(N(INDEX(tech_rate,MATCH(M76,tech_name,0))),0),2))</f>
        <v/>
      </c>
      <c r="P76" s="80" t="n"/>
      <c r="Q76" s="81" t="str">
        <f>IF(A76="","",ROUND(Y76+O76+Z76,2))</f>
        <v/>
      </c>
      <c r="R76" s="79" t="str">
        <f>IF(A76="","",IF(S76=0,"Date manquante ou invalide",IF(C76="","Équipement manquant",IF(ISNA(MATCH(C76,eq_code,0)),"Équipement inconnu",IF(E76="","Type manquant",IF(AND(E76&lt;&gt;"Préventif",E76&lt;&gt;"Correctif",E76&lt;&gt;"Amélioratif"),"Type inconnu",IF(I76="","Statut manquant",IF(AND(I76&lt;&gt;"Terminée",I76&lt;&gt;"En cours",I76&lt;&gt;"À faire",I76&lt;&gt;"Annulée"),"Statut inconnu",IF(AND(E76="Préventif",F76=""),"Plan manquant (préventif)",IF(AND(F76&lt;&gt;"",ISNA(MATCH(F76,pl_num,0))),"Plan inconnu",IF(AND(F76&lt;&gt;"",IFERROR(INDEX(pl_eq,MATCH(F76,pl_num,0))&amp;"",C76)&lt;&gt;C76),"Plan d'un autre équipement",IF(AND(J76&lt;&gt;"",OR(NOT(ISNUMBER(J76)),N(J76)&lt;0)),"Compteur invalide",IF(OR(AND(K76&lt;&gt;"",OR(NOT(ISNUMBER(K76)),N(K76)&lt;0)),AND(L76&lt;&gt;"",OR(NOT(ISNUMBER(L76)),N(L76)&lt;0))),"Durée invalide",IF(OR(AND(N76&lt;&gt;"",OR(NOT(ISNUMBER(N76)),N(N76)&lt;0)),AND(P76&lt;&gt;"",OR(NOT(ISNUMBER(P76)),N(P76)&lt;0))),"Coût invalide",IF(AND(M76&lt;&gt;"",ISNA(MATCH(M76,tech_name,0))),"Technicien inconnu",IF(AND(I76="Terminée",S76&gt;p_today),"Terminée à une date future",IF(AND(I76="Terminée",V76=0),"Durée d'intervention manquante",IF(AND(I76="Terminée",E76="Préventif",T76=0,OR(IFERROR(INDEX(pl_trig,MATCH(F76,pl_num,0))&amp;"","")="Compteur",IFERROR(INDEX(pl_trig,MATCH(F76,pl_num,0))&amp;"","")="Au premier des deux")),"Compteur manquant (plan au compteur)","OK"))))))))))))))))))</f>
        <v/>
      </c>
      <c r="S76" s="67">
        <f>IF(AND(ISNUMBER(B76),N(B76)&gt;0),INT(B76),0)</f>
        <v>0.0</v>
      </c>
      <c r="T76" s="67">
        <f>IF(AND(ISNUMBER(J76),N(J76)&gt;=0),N(J76),0)</f>
        <v>0.0</v>
      </c>
      <c r="U76" s="67">
        <f>IF(AND(ISNUMBER(K76),N(K76)&gt;0),N(K76),0)</f>
        <v>0.0</v>
      </c>
      <c r="V76" s="67">
        <f>IF(AND(ISNUMBER(L76),N(L76)&gt;0),N(L76),0)</f>
        <v>0.0</v>
      </c>
      <c r="W76" s="67">
        <f>IF(AND(I76="Terminée",S76&gt;0,C76&lt;&gt;"",ISNUMBER(MATCH(C76,eq_code,0))),1,0)</f>
        <v>0.0</v>
      </c>
      <c r="X76" s="67">
        <f>IF(AND(W76=1,E76="Préventif"),1,0)</f>
        <v>0.0</v>
      </c>
      <c r="Y76" s="67">
        <f>IF(AND(ISNUMBER(N76),N(N76)&gt;0),N(N76),0)</f>
        <v>0.0</v>
      </c>
      <c r="Z76" s="67">
        <f>IF(AND(ISNUMBER(P76),N(P76)&gt;0),N(P76),0)</f>
        <v>0.0</v>
      </c>
    </row>
    <row r="77">
      <c r="A77" s="79" t="str">
        <f>IF(COUNTA(B77:C77,E77:G77,I77)=0,"","BI-"&amp;RIGHT("0000"&amp;(ROW()-5),4))</f>
        <v/>
      </c>
      <c r="B77" s="72" t="n"/>
      <c r="C77" s="66" t="n"/>
      <c r="D77" s="67" t="str">
        <f>IF(C77="","",IFERROR(INDEX(eq_des,MATCH(C77,eq_code,0))&amp;"","Équipement inconnu"))</f>
        <v/>
      </c>
      <c r="E77" s="68" t="n"/>
      <c r="F77" s="68" t="n"/>
      <c r="G77" s="66" t="n"/>
      <c r="H77" s="66" t="n"/>
      <c r="I77" s="68" t="n"/>
      <c r="J77" s="73" t="n"/>
      <c r="K77" s="71" t="n"/>
      <c r="L77" s="71" t="n"/>
      <c r="M77" s="66" t="n"/>
      <c r="N77" s="80" t="n"/>
      <c r="O77" s="81" t="str">
        <f>IF(A77="","",ROUND(V77*IFERROR(N(INDEX(tech_rate,MATCH(M77,tech_name,0))),0),2))</f>
        <v/>
      </c>
      <c r="P77" s="80" t="n"/>
      <c r="Q77" s="81" t="str">
        <f>IF(A77="","",ROUND(Y77+O77+Z77,2))</f>
        <v/>
      </c>
      <c r="R77" s="79" t="str">
        <f>IF(A77="","",IF(S77=0,"Date manquante ou invalide",IF(C77="","Équipement manquant",IF(ISNA(MATCH(C77,eq_code,0)),"Équipement inconnu",IF(E77="","Type manquant",IF(AND(E77&lt;&gt;"Préventif",E77&lt;&gt;"Correctif",E77&lt;&gt;"Amélioratif"),"Type inconnu",IF(I77="","Statut manquant",IF(AND(I77&lt;&gt;"Terminée",I77&lt;&gt;"En cours",I77&lt;&gt;"À faire",I77&lt;&gt;"Annulée"),"Statut inconnu",IF(AND(E77="Préventif",F77=""),"Plan manquant (préventif)",IF(AND(F77&lt;&gt;"",ISNA(MATCH(F77,pl_num,0))),"Plan inconnu",IF(AND(F77&lt;&gt;"",IFERROR(INDEX(pl_eq,MATCH(F77,pl_num,0))&amp;"",C77)&lt;&gt;C77),"Plan d'un autre équipement",IF(AND(J77&lt;&gt;"",OR(NOT(ISNUMBER(J77)),N(J77)&lt;0)),"Compteur invalide",IF(OR(AND(K77&lt;&gt;"",OR(NOT(ISNUMBER(K77)),N(K77)&lt;0)),AND(L77&lt;&gt;"",OR(NOT(ISNUMBER(L77)),N(L77)&lt;0))),"Durée invalide",IF(OR(AND(N77&lt;&gt;"",OR(NOT(ISNUMBER(N77)),N(N77)&lt;0)),AND(P77&lt;&gt;"",OR(NOT(ISNUMBER(P77)),N(P77)&lt;0))),"Coût invalide",IF(AND(M77&lt;&gt;"",ISNA(MATCH(M77,tech_name,0))),"Technicien inconnu",IF(AND(I77="Terminée",S77&gt;p_today),"Terminée à une date future",IF(AND(I77="Terminée",V77=0),"Durée d'intervention manquante",IF(AND(I77="Terminée",E77="Préventif",T77=0,OR(IFERROR(INDEX(pl_trig,MATCH(F77,pl_num,0))&amp;"","")="Compteur",IFERROR(INDEX(pl_trig,MATCH(F77,pl_num,0))&amp;"","")="Au premier des deux")),"Compteur manquant (plan au compteur)","OK"))))))))))))))))))</f>
        <v/>
      </c>
      <c r="S77" s="67">
        <f>IF(AND(ISNUMBER(B77),N(B77)&gt;0),INT(B77),0)</f>
        <v>0.0</v>
      </c>
      <c r="T77" s="67">
        <f>IF(AND(ISNUMBER(J77),N(J77)&gt;=0),N(J77),0)</f>
        <v>0.0</v>
      </c>
      <c r="U77" s="67">
        <f>IF(AND(ISNUMBER(K77),N(K77)&gt;0),N(K77),0)</f>
        <v>0.0</v>
      </c>
      <c r="V77" s="67">
        <f>IF(AND(ISNUMBER(L77),N(L77)&gt;0),N(L77),0)</f>
        <v>0.0</v>
      </c>
      <c r="W77" s="67">
        <f>IF(AND(I77="Terminée",S77&gt;0,C77&lt;&gt;"",ISNUMBER(MATCH(C77,eq_code,0))),1,0)</f>
        <v>0.0</v>
      </c>
      <c r="X77" s="67">
        <f>IF(AND(W77=1,E77="Préventif"),1,0)</f>
        <v>0.0</v>
      </c>
      <c r="Y77" s="67">
        <f>IF(AND(ISNUMBER(N77),N(N77)&gt;0),N(N77),0)</f>
        <v>0.0</v>
      </c>
      <c r="Z77" s="67">
        <f>IF(AND(ISNUMBER(P77),N(P77)&gt;0),N(P77),0)</f>
        <v>0.0</v>
      </c>
    </row>
    <row r="78">
      <c r="A78" s="79" t="str">
        <f>IF(COUNTA(B78:C78,E78:G78,I78)=0,"","BI-"&amp;RIGHT("0000"&amp;(ROW()-5),4))</f>
        <v/>
      </c>
      <c r="B78" s="72" t="n"/>
      <c r="C78" s="66" t="n"/>
      <c r="D78" s="67" t="str">
        <f>IF(C78="","",IFERROR(INDEX(eq_des,MATCH(C78,eq_code,0))&amp;"","Équipement inconnu"))</f>
        <v/>
      </c>
      <c r="E78" s="68" t="n"/>
      <c r="F78" s="68" t="n"/>
      <c r="G78" s="66" t="n"/>
      <c r="H78" s="66" t="n"/>
      <c r="I78" s="68" t="n"/>
      <c r="J78" s="73" t="n"/>
      <c r="K78" s="71" t="n"/>
      <c r="L78" s="71" t="n"/>
      <c r="M78" s="66" t="n"/>
      <c r="N78" s="80" t="n"/>
      <c r="O78" s="81" t="str">
        <f>IF(A78="","",ROUND(V78*IFERROR(N(INDEX(tech_rate,MATCH(M78,tech_name,0))),0),2))</f>
        <v/>
      </c>
      <c r="P78" s="80" t="n"/>
      <c r="Q78" s="81" t="str">
        <f>IF(A78="","",ROUND(Y78+O78+Z78,2))</f>
        <v/>
      </c>
      <c r="R78" s="79" t="str">
        <f>IF(A78="","",IF(S78=0,"Date manquante ou invalide",IF(C78="","Équipement manquant",IF(ISNA(MATCH(C78,eq_code,0)),"Équipement inconnu",IF(E78="","Type manquant",IF(AND(E78&lt;&gt;"Préventif",E78&lt;&gt;"Correctif",E78&lt;&gt;"Amélioratif"),"Type inconnu",IF(I78="","Statut manquant",IF(AND(I78&lt;&gt;"Terminée",I78&lt;&gt;"En cours",I78&lt;&gt;"À faire",I78&lt;&gt;"Annulée"),"Statut inconnu",IF(AND(E78="Préventif",F78=""),"Plan manquant (préventif)",IF(AND(F78&lt;&gt;"",ISNA(MATCH(F78,pl_num,0))),"Plan inconnu",IF(AND(F78&lt;&gt;"",IFERROR(INDEX(pl_eq,MATCH(F78,pl_num,0))&amp;"",C78)&lt;&gt;C78),"Plan d'un autre équipement",IF(AND(J78&lt;&gt;"",OR(NOT(ISNUMBER(J78)),N(J78)&lt;0)),"Compteur invalide",IF(OR(AND(K78&lt;&gt;"",OR(NOT(ISNUMBER(K78)),N(K78)&lt;0)),AND(L78&lt;&gt;"",OR(NOT(ISNUMBER(L78)),N(L78)&lt;0))),"Durée invalide",IF(OR(AND(N78&lt;&gt;"",OR(NOT(ISNUMBER(N78)),N(N78)&lt;0)),AND(P78&lt;&gt;"",OR(NOT(ISNUMBER(P78)),N(P78)&lt;0))),"Coût invalide",IF(AND(M78&lt;&gt;"",ISNA(MATCH(M78,tech_name,0))),"Technicien inconnu",IF(AND(I78="Terminée",S78&gt;p_today),"Terminée à une date future",IF(AND(I78="Terminée",V78=0),"Durée d'intervention manquante",IF(AND(I78="Terminée",E78="Préventif",T78=0,OR(IFERROR(INDEX(pl_trig,MATCH(F78,pl_num,0))&amp;"","")="Compteur",IFERROR(INDEX(pl_trig,MATCH(F78,pl_num,0))&amp;"","")="Au premier des deux")),"Compteur manquant (plan au compteur)","OK"))))))))))))))))))</f>
        <v/>
      </c>
      <c r="S78" s="67">
        <f>IF(AND(ISNUMBER(B78),N(B78)&gt;0),INT(B78),0)</f>
        <v>0.0</v>
      </c>
      <c r="T78" s="67">
        <f>IF(AND(ISNUMBER(J78),N(J78)&gt;=0),N(J78),0)</f>
        <v>0.0</v>
      </c>
      <c r="U78" s="67">
        <f>IF(AND(ISNUMBER(K78),N(K78)&gt;0),N(K78),0)</f>
        <v>0.0</v>
      </c>
      <c r="V78" s="67">
        <f>IF(AND(ISNUMBER(L78),N(L78)&gt;0),N(L78),0)</f>
        <v>0.0</v>
      </c>
      <c r="W78" s="67">
        <f>IF(AND(I78="Terminée",S78&gt;0,C78&lt;&gt;"",ISNUMBER(MATCH(C78,eq_code,0))),1,0)</f>
        <v>0.0</v>
      </c>
      <c r="X78" s="67">
        <f>IF(AND(W78=1,E78="Préventif"),1,0)</f>
        <v>0.0</v>
      </c>
      <c r="Y78" s="67">
        <f>IF(AND(ISNUMBER(N78),N(N78)&gt;0),N(N78),0)</f>
        <v>0.0</v>
      </c>
      <c r="Z78" s="67">
        <f>IF(AND(ISNUMBER(P78),N(P78)&gt;0),N(P78),0)</f>
        <v>0.0</v>
      </c>
    </row>
    <row r="79">
      <c r="A79" s="79" t="str">
        <f>IF(COUNTA(B79:C79,E79:G79,I79)=0,"","BI-"&amp;RIGHT("0000"&amp;(ROW()-5),4))</f>
        <v/>
      </c>
      <c r="B79" s="72" t="n"/>
      <c r="C79" s="66" t="n"/>
      <c r="D79" s="67" t="str">
        <f>IF(C79="","",IFERROR(INDEX(eq_des,MATCH(C79,eq_code,0))&amp;"","Équipement inconnu"))</f>
        <v/>
      </c>
      <c r="E79" s="68" t="n"/>
      <c r="F79" s="68" t="n"/>
      <c r="G79" s="66" t="n"/>
      <c r="H79" s="66" t="n"/>
      <c r="I79" s="68" t="n"/>
      <c r="J79" s="73" t="n"/>
      <c r="K79" s="71" t="n"/>
      <c r="L79" s="71" t="n"/>
      <c r="M79" s="66" t="n"/>
      <c r="N79" s="80" t="n"/>
      <c r="O79" s="81" t="str">
        <f>IF(A79="","",ROUND(V79*IFERROR(N(INDEX(tech_rate,MATCH(M79,tech_name,0))),0),2))</f>
        <v/>
      </c>
      <c r="P79" s="80" t="n"/>
      <c r="Q79" s="81" t="str">
        <f>IF(A79="","",ROUND(Y79+O79+Z79,2))</f>
        <v/>
      </c>
      <c r="R79" s="79" t="str">
        <f>IF(A79="","",IF(S79=0,"Date manquante ou invalide",IF(C79="","Équipement manquant",IF(ISNA(MATCH(C79,eq_code,0)),"Équipement inconnu",IF(E79="","Type manquant",IF(AND(E79&lt;&gt;"Préventif",E79&lt;&gt;"Correctif",E79&lt;&gt;"Amélioratif"),"Type inconnu",IF(I79="","Statut manquant",IF(AND(I79&lt;&gt;"Terminée",I79&lt;&gt;"En cours",I79&lt;&gt;"À faire",I79&lt;&gt;"Annulée"),"Statut inconnu",IF(AND(E79="Préventif",F79=""),"Plan manquant (préventif)",IF(AND(F79&lt;&gt;"",ISNA(MATCH(F79,pl_num,0))),"Plan inconnu",IF(AND(F79&lt;&gt;"",IFERROR(INDEX(pl_eq,MATCH(F79,pl_num,0))&amp;"",C79)&lt;&gt;C79),"Plan d'un autre équipement",IF(AND(J79&lt;&gt;"",OR(NOT(ISNUMBER(J79)),N(J79)&lt;0)),"Compteur invalide",IF(OR(AND(K79&lt;&gt;"",OR(NOT(ISNUMBER(K79)),N(K79)&lt;0)),AND(L79&lt;&gt;"",OR(NOT(ISNUMBER(L79)),N(L79)&lt;0))),"Durée invalide",IF(OR(AND(N79&lt;&gt;"",OR(NOT(ISNUMBER(N79)),N(N79)&lt;0)),AND(P79&lt;&gt;"",OR(NOT(ISNUMBER(P79)),N(P79)&lt;0))),"Coût invalide",IF(AND(M79&lt;&gt;"",ISNA(MATCH(M79,tech_name,0))),"Technicien inconnu",IF(AND(I79="Terminée",S79&gt;p_today),"Terminée à une date future",IF(AND(I79="Terminée",V79=0),"Durée d'intervention manquante",IF(AND(I79="Terminée",E79="Préventif",T79=0,OR(IFERROR(INDEX(pl_trig,MATCH(F79,pl_num,0))&amp;"","")="Compteur",IFERROR(INDEX(pl_trig,MATCH(F79,pl_num,0))&amp;"","")="Au premier des deux")),"Compteur manquant (plan au compteur)","OK"))))))))))))))))))</f>
        <v/>
      </c>
      <c r="S79" s="67">
        <f>IF(AND(ISNUMBER(B79),N(B79)&gt;0),INT(B79),0)</f>
        <v>0.0</v>
      </c>
      <c r="T79" s="67">
        <f>IF(AND(ISNUMBER(J79),N(J79)&gt;=0),N(J79),0)</f>
        <v>0.0</v>
      </c>
      <c r="U79" s="67">
        <f>IF(AND(ISNUMBER(K79),N(K79)&gt;0),N(K79),0)</f>
        <v>0.0</v>
      </c>
      <c r="V79" s="67">
        <f>IF(AND(ISNUMBER(L79),N(L79)&gt;0),N(L79),0)</f>
        <v>0.0</v>
      </c>
      <c r="W79" s="67">
        <f>IF(AND(I79="Terminée",S79&gt;0,C79&lt;&gt;"",ISNUMBER(MATCH(C79,eq_code,0))),1,0)</f>
        <v>0.0</v>
      </c>
      <c r="X79" s="67">
        <f>IF(AND(W79=1,E79="Préventif"),1,0)</f>
        <v>0.0</v>
      </c>
      <c r="Y79" s="67">
        <f>IF(AND(ISNUMBER(N79),N(N79)&gt;0),N(N79),0)</f>
        <v>0.0</v>
      </c>
      <c r="Z79" s="67">
        <f>IF(AND(ISNUMBER(P79),N(P79)&gt;0),N(P79),0)</f>
        <v>0.0</v>
      </c>
    </row>
    <row r="80">
      <c r="A80" s="79" t="str">
        <f>IF(COUNTA(B80:C80,E80:G80,I80)=0,"","BI-"&amp;RIGHT("0000"&amp;(ROW()-5),4))</f>
        <v/>
      </c>
      <c r="B80" s="72" t="n"/>
      <c r="C80" s="66" t="n"/>
      <c r="D80" s="67" t="str">
        <f>IF(C80="","",IFERROR(INDEX(eq_des,MATCH(C80,eq_code,0))&amp;"","Équipement inconnu"))</f>
        <v/>
      </c>
      <c r="E80" s="68" t="n"/>
      <c r="F80" s="68" t="n"/>
      <c r="G80" s="66" t="n"/>
      <c r="H80" s="66" t="n"/>
      <c r="I80" s="68" t="n"/>
      <c r="J80" s="73" t="n"/>
      <c r="K80" s="71" t="n"/>
      <c r="L80" s="71" t="n"/>
      <c r="M80" s="66" t="n"/>
      <c r="N80" s="80" t="n"/>
      <c r="O80" s="81" t="str">
        <f>IF(A80="","",ROUND(V80*IFERROR(N(INDEX(tech_rate,MATCH(M80,tech_name,0))),0),2))</f>
        <v/>
      </c>
      <c r="P80" s="80" t="n"/>
      <c r="Q80" s="81" t="str">
        <f>IF(A80="","",ROUND(Y80+O80+Z80,2))</f>
        <v/>
      </c>
      <c r="R80" s="79" t="str">
        <f>IF(A80="","",IF(S80=0,"Date manquante ou invalide",IF(C80="","Équipement manquant",IF(ISNA(MATCH(C80,eq_code,0)),"Équipement inconnu",IF(E80="","Type manquant",IF(AND(E80&lt;&gt;"Préventif",E80&lt;&gt;"Correctif",E80&lt;&gt;"Amélioratif"),"Type inconnu",IF(I80="","Statut manquant",IF(AND(I80&lt;&gt;"Terminée",I80&lt;&gt;"En cours",I80&lt;&gt;"À faire",I80&lt;&gt;"Annulée"),"Statut inconnu",IF(AND(E80="Préventif",F80=""),"Plan manquant (préventif)",IF(AND(F80&lt;&gt;"",ISNA(MATCH(F80,pl_num,0))),"Plan inconnu",IF(AND(F80&lt;&gt;"",IFERROR(INDEX(pl_eq,MATCH(F80,pl_num,0))&amp;"",C80)&lt;&gt;C80),"Plan d'un autre équipement",IF(AND(J80&lt;&gt;"",OR(NOT(ISNUMBER(J80)),N(J80)&lt;0)),"Compteur invalide",IF(OR(AND(K80&lt;&gt;"",OR(NOT(ISNUMBER(K80)),N(K80)&lt;0)),AND(L80&lt;&gt;"",OR(NOT(ISNUMBER(L80)),N(L80)&lt;0))),"Durée invalide",IF(OR(AND(N80&lt;&gt;"",OR(NOT(ISNUMBER(N80)),N(N80)&lt;0)),AND(P80&lt;&gt;"",OR(NOT(ISNUMBER(P80)),N(P80)&lt;0))),"Coût invalide",IF(AND(M80&lt;&gt;"",ISNA(MATCH(M80,tech_name,0))),"Technicien inconnu",IF(AND(I80="Terminée",S80&gt;p_today),"Terminée à une date future",IF(AND(I80="Terminée",V80=0),"Durée d'intervention manquante",IF(AND(I80="Terminée",E80="Préventif",T80=0,OR(IFERROR(INDEX(pl_trig,MATCH(F80,pl_num,0))&amp;"","")="Compteur",IFERROR(INDEX(pl_trig,MATCH(F80,pl_num,0))&amp;"","")="Au premier des deux")),"Compteur manquant (plan au compteur)","OK"))))))))))))))))))</f>
        <v/>
      </c>
      <c r="S80" s="67">
        <f>IF(AND(ISNUMBER(B80),N(B80)&gt;0),INT(B80),0)</f>
        <v>0.0</v>
      </c>
      <c r="T80" s="67">
        <f>IF(AND(ISNUMBER(J80),N(J80)&gt;=0),N(J80),0)</f>
        <v>0.0</v>
      </c>
      <c r="U80" s="67">
        <f>IF(AND(ISNUMBER(K80),N(K80)&gt;0),N(K80),0)</f>
        <v>0.0</v>
      </c>
      <c r="V80" s="67">
        <f>IF(AND(ISNUMBER(L80),N(L80)&gt;0),N(L80),0)</f>
        <v>0.0</v>
      </c>
      <c r="W80" s="67">
        <f>IF(AND(I80="Terminée",S80&gt;0,C80&lt;&gt;"",ISNUMBER(MATCH(C80,eq_code,0))),1,0)</f>
        <v>0.0</v>
      </c>
      <c r="X80" s="67">
        <f>IF(AND(W80=1,E80="Préventif"),1,0)</f>
        <v>0.0</v>
      </c>
      <c r="Y80" s="67">
        <f>IF(AND(ISNUMBER(N80),N(N80)&gt;0),N(N80),0)</f>
        <v>0.0</v>
      </c>
      <c r="Z80" s="67">
        <f>IF(AND(ISNUMBER(P80),N(P80)&gt;0),N(P80),0)</f>
        <v>0.0</v>
      </c>
    </row>
    <row r="81">
      <c r="A81" s="79" t="str">
        <f>IF(COUNTA(B81:C81,E81:G81,I81)=0,"","BI-"&amp;RIGHT("0000"&amp;(ROW()-5),4))</f>
        <v/>
      </c>
      <c r="B81" s="72" t="n"/>
      <c r="C81" s="66" t="n"/>
      <c r="D81" s="67" t="str">
        <f>IF(C81="","",IFERROR(INDEX(eq_des,MATCH(C81,eq_code,0))&amp;"","Équipement inconnu"))</f>
        <v/>
      </c>
      <c r="E81" s="68" t="n"/>
      <c r="F81" s="68" t="n"/>
      <c r="G81" s="66" t="n"/>
      <c r="H81" s="66" t="n"/>
      <c r="I81" s="68" t="n"/>
      <c r="J81" s="73" t="n"/>
      <c r="K81" s="71" t="n"/>
      <c r="L81" s="71" t="n"/>
      <c r="M81" s="66" t="n"/>
      <c r="N81" s="80" t="n"/>
      <c r="O81" s="81" t="str">
        <f>IF(A81="","",ROUND(V81*IFERROR(N(INDEX(tech_rate,MATCH(M81,tech_name,0))),0),2))</f>
        <v/>
      </c>
      <c r="P81" s="80" t="n"/>
      <c r="Q81" s="81" t="str">
        <f>IF(A81="","",ROUND(Y81+O81+Z81,2))</f>
        <v/>
      </c>
      <c r="R81" s="79" t="str">
        <f>IF(A81="","",IF(S81=0,"Date manquante ou invalide",IF(C81="","Équipement manquant",IF(ISNA(MATCH(C81,eq_code,0)),"Équipement inconnu",IF(E81="","Type manquant",IF(AND(E81&lt;&gt;"Préventif",E81&lt;&gt;"Correctif",E81&lt;&gt;"Amélioratif"),"Type inconnu",IF(I81="","Statut manquant",IF(AND(I81&lt;&gt;"Terminée",I81&lt;&gt;"En cours",I81&lt;&gt;"À faire",I81&lt;&gt;"Annulée"),"Statut inconnu",IF(AND(E81="Préventif",F81=""),"Plan manquant (préventif)",IF(AND(F81&lt;&gt;"",ISNA(MATCH(F81,pl_num,0))),"Plan inconnu",IF(AND(F81&lt;&gt;"",IFERROR(INDEX(pl_eq,MATCH(F81,pl_num,0))&amp;"",C81)&lt;&gt;C81),"Plan d'un autre équipement",IF(AND(J81&lt;&gt;"",OR(NOT(ISNUMBER(J81)),N(J81)&lt;0)),"Compteur invalide",IF(OR(AND(K81&lt;&gt;"",OR(NOT(ISNUMBER(K81)),N(K81)&lt;0)),AND(L81&lt;&gt;"",OR(NOT(ISNUMBER(L81)),N(L81)&lt;0))),"Durée invalide",IF(OR(AND(N81&lt;&gt;"",OR(NOT(ISNUMBER(N81)),N(N81)&lt;0)),AND(P81&lt;&gt;"",OR(NOT(ISNUMBER(P81)),N(P81)&lt;0))),"Coût invalide",IF(AND(M81&lt;&gt;"",ISNA(MATCH(M81,tech_name,0))),"Technicien inconnu",IF(AND(I81="Terminée",S81&gt;p_today),"Terminée à une date future",IF(AND(I81="Terminée",V81=0),"Durée d'intervention manquante",IF(AND(I81="Terminée",E81="Préventif",T81=0,OR(IFERROR(INDEX(pl_trig,MATCH(F81,pl_num,0))&amp;"","")="Compteur",IFERROR(INDEX(pl_trig,MATCH(F81,pl_num,0))&amp;"","")="Au premier des deux")),"Compteur manquant (plan au compteur)","OK"))))))))))))))))))</f>
        <v/>
      </c>
      <c r="S81" s="67">
        <f>IF(AND(ISNUMBER(B81),N(B81)&gt;0),INT(B81),0)</f>
        <v>0.0</v>
      </c>
      <c r="T81" s="67">
        <f>IF(AND(ISNUMBER(J81),N(J81)&gt;=0),N(J81),0)</f>
        <v>0.0</v>
      </c>
      <c r="U81" s="67">
        <f>IF(AND(ISNUMBER(K81),N(K81)&gt;0),N(K81),0)</f>
        <v>0.0</v>
      </c>
      <c r="V81" s="67">
        <f>IF(AND(ISNUMBER(L81),N(L81)&gt;0),N(L81),0)</f>
        <v>0.0</v>
      </c>
      <c r="W81" s="67">
        <f>IF(AND(I81="Terminée",S81&gt;0,C81&lt;&gt;"",ISNUMBER(MATCH(C81,eq_code,0))),1,0)</f>
        <v>0.0</v>
      </c>
      <c r="X81" s="67">
        <f>IF(AND(W81=1,E81="Préventif"),1,0)</f>
        <v>0.0</v>
      </c>
      <c r="Y81" s="67">
        <f>IF(AND(ISNUMBER(N81),N(N81)&gt;0),N(N81),0)</f>
        <v>0.0</v>
      </c>
      <c r="Z81" s="67">
        <f>IF(AND(ISNUMBER(P81),N(P81)&gt;0),N(P81),0)</f>
        <v>0.0</v>
      </c>
    </row>
    <row r="82">
      <c r="A82" s="79" t="str">
        <f>IF(COUNTA(B82:C82,E82:G82,I82)=0,"","BI-"&amp;RIGHT("0000"&amp;(ROW()-5),4))</f>
        <v/>
      </c>
      <c r="B82" s="72" t="n"/>
      <c r="C82" s="66" t="n"/>
      <c r="D82" s="67" t="str">
        <f>IF(C82="","",IFERROR(INDEX(eq_des,MATCH(C82,eq_code,0))&amp;"","Équipement inconnu"))</f>
        <v/>
      </c>
      <c r="E82" s="68" t="n"/>
      <c r="F82" s="68" t="n"/>
      <c r="G82" s="66" t="n"/>
      <c r="H82" s="66" t="n"/>
      <c r="I82" s="68" t="n"/>
      <c r="J82" s="73" t="n"/>
      <c r="K82" s="71" t="n"/>
      <c r="L82" s="71" t="n"/>
      <c r="M82" s="66" t="n"/>
      <c r="N82" s="80" t="n"/>
      <c r="O82" s="81" t="str">
        <f>IF(A82="","",ROUND(V82*IFERROR(N(INDEX(tech_rate,MATCH(M82,tech_name,0))),0),2))</f>
        <v/>
      </c>
      <c r="P82" s="80" t="n"/>
      <c r="Q82" s="81" t="str">
        <f>IF(A82="","",ROUND(Y82+O82+Z82,2))</f>
        <v/>
      </c>
      <c r="R82" s="79" t="str">
        <f>IF(A82="","",IF(S82=0,"Date manquante ou invalide",IF(C82="","Équipement manquant",IF(ISNA(MATCH(C82,eq_code,0)),"Équipement inconnu",IF(E82="","Type manquant",IF(AND(E82&lt;&gt;"Préventif",E82&lt;&gt;"Correctif",E82&lt;&gt;"Amélioratif"),"Type inconnu",IF(I82="","Statut manquant",IF(AND(I82&lt;&gt;"Terminée",I82&lt;&gt;"En cours",I82&lt;&gt;"À faire",I82&lt;&gt;"Annulée"),"Statut inconnu",IF(AND(E82="Préventif",F82=""),"Plan manquant (préventif)",IF(AND(F82&lt;&gt;"",ISNA(MATCH(F82,pl_num,0))),"Plan inconnu",IF(AND(F82&lt;&gt;"",IFERROR(INDEX(pl_eq,MATCH(F82,pl_num,0))&amp;"",C82)&lt;&gt;C82),"Plan d'un autre équipement",IF(AND(J82&lt;&gt;"",OR(NOT(ISNUMBER(J82)),N(J82)&lt;0)),"Compteur invalide",IF(OR(AND(K82&lt;&gt;"",OR(NOT(ISNUMBER(K82)),N(K82)&lt;0)),AND(L82&lt;&gt;"",OR(NOT(ISNUMBER(L82)),N(L82)&lt;0))),"Durée invalide",IF(OR(AND(N82&lt;&gt;"",OR(NOT(ISNUMBER(N82)),N(N82)&lt;0)),AND(P82&lt;&gt;"",OR(NOT(ISNUMBER(P82)),N(P82)&lt;0))),"Coût invalide",IF(AND(M82&lt;&gt;"",ISNA(MATCH(M82,tech_name,0))),"Technicien inconnu",IF(AND(I82="Terminée",S82&gt;p_today),"Terminée à une date future",IF(AND(I82="Terminée",V82=0),"Durée d'intervention manquante",IF(AND(I82="Terminée",E82="Préventif",T82=0,OR(IFERROR(INDEX(pl_trig,MATCH(F82,pl_num,0))&amp;"","")="Compteur",IFERROR(INDEX(pl_trig,MATCH(F82,pl_num,0))&amp;"","")="Au premier des deux")),"Compteur manquant (plan au compteur)","OK"))))))))))))))))))</f>
        <v/>
      </c>
      <c r="S82" s="67">
        <f>IF(AND(ISNUMBER(B82),N(B82)&gt;0),INT(B82),0)</f>
        <v>0.0</v>
      </c>
      <c r="T82" s="67">
        <f>IF(AND(ISNUMBER(J82),N(J82)&gt;=0),N(J82),0)</f>
        <v>0.0</v>
      </c>
      <c r="U82" s="67">
        <f>IF(AND(ISNUMBER(K82),N(K82)&gt;0),N(K82),0)</f>
        <v>0.0</v>
      </c>
      <c r="V82" s="67">
        <f>IF(AND(ISNUMBER(L82),N(L82)&gt;0),N(L82),0)</f>
        <v>0.0</v>
      </c>
      <c r="W82" s="67">
        <f>IF(AND(I82="Terminée",S82&gt;0,C82&lt;&gt;"",ISNUMBER(MATCH(C82,eq_code,0))),1,0)</f>
        <v>0.0</v>
      </c>
      <c r="X82" s="67">
        <f>IF(AND(W82=1,E82="Préventif"),1,0)</f>
        <v>0.0</v>
      </c>
      <c r="Y82" s="67">
        <f>IF(AND(ISNUMBER(N82),N(N82)&gt;0),N(N82),0)</f>
        <v>0.0</v>
      </c>
      <c r="Z82" s="67">
        <f>IF(AND(ISNUMBER(P82),N(P82)&gt;0),N(P82),0)</f>
        <v>0.0</v>
      </c>
    </row>
    <row r="83">
      <c r="A83" s="79" t="str">
        <f>IF(COUNTA(B83:C83,E83:G83,I83)=0,"","BI-"&amp;RIGHT("0000"&amp;(ROW()-5),4))</f>
        <v/>
      </c>
      <c r="B83" s="72" t="n"/>
      <c r="C83" s="66" t="n"/>
      <c r="D83" s="67" t="str">
        <f>IF(C83="","",IFERROR(INDEX(eq_des,MATCH(C83,eq_code,0))&amp;"","Équipement inconnu"))</f>
        <v/>
      </c>
      <c r="E83" s="68" t="n"/>
      <c r="F83" s="68" t="n"/>
      <c r="G83" s="66" t="n"/>
      <c r="H83" s="66" t="n"/>
      <c r="I83" s="68" t="n"/>
      <c r="J83" s="73" t="n"/>
      <c r="K83" s="71" t="n"/>
      <c r="L83" s="71" t="n"/>
      <c r="M83" s="66" t="n"/>
      <c r="N83" s="80" t="n"/>
      <c r="O83" s="81" t="str">
        <f>IF(A83="","",ROUND(V83*IFERROR(N(INDEX(tech_rate,MATCH(M83,tech_name,0))),0),2))</f>
        <v/>
      </c>
      <c r="P83" s="80" t="n"/>
      <c r="Q83" s="81" t="str">
        <f>IF(A83="","",ROUND(Y83+O83+Z83,2))</f>
        <v/>
      </c>
      <c r="R83" s="79" t="str">
        <f>IF(A83="","",IF(S83=0,"Date manquante ou invalide",IF(C83="","Équipement manquant",IF(ISNA(MATCH(C83,eq_code,0)),"Équipement inconnu",IF(E83="","Type manquant",IF(AND(E83&lt;&gt;"Préventif",E83&lt;&gt;"Correctif",E83&lt;&gt;"Amélioratif"),"Type inconnu",IF(I83="","Statut manquant",IF(AND(I83&lt;&gt;"Terminée",I83&lt;&gt;"En cours",I83&lt;&gt;"À faire",I83&lt;&gt;"Annulée"),"Statut inconnu",IF(AND(E83="Préventif",F83=""),"Plan manquant (préventif)",IF(AND(F83&lt;&gt;"",ISNA(MATCH(F83,pl_num,0))),"Plan inconnu",IF(AND(F83&lt;&gt;"",IFERROR(INDEX(pl_eq,MATCH(F83,pl_num,0))&amp;"",C83)&lt;&gt;C83),"Plan d'un autre équipement",IF(AND(J83&lt;&gt;"",OR(NOT(ISNUMBER(J83)),N(J83)&lt;0)),"Compteur invalide",IF(OR(AND(K83&lt;&gt;"",OR(NOT(ISNUMBER(K83)),N(K83)&lt;0)),AND(L83&lt;&gt;"",OR(NOT(ISNUMBER(L83)),N(L83)&lt;0))),"Durée invalide",IF(OR(AND(N83&lt;&gt;"",OR(NOT(ISNUMBER(N83)),N(N83)&lt;0)),AND(P83&lt;&gt;"",OR(NOT(ISNUMBER(P83)),N(P83)&lt;0))),"Coût invalide",IF(AND(M83&lt;&gt;"",ISNA(MATCH(M83,tech_name,0))),"Technicien inconnu",IF(AND(I83="Terminée",S83&gt;p_today),"Terminée à une date future",IF(AND(I83="Terminée",V83=0),"Durée d'intervention manquante",IF(AND(I83="Terminée",E83="Préventif",T83=0,OR(IFERROR(INDEX(pl_trig,MATCH(F83,pl_num,0))&amp;"","")="Compteur",IFERROR(INDEX(pl_trig,MATCH(F83,pl_num,0))&amp;"","")="Au premier des deux")),"Compteur manquant (plan au compteur)","OK"))))))))))))))))))</f>
        <v/>
      </c>
      <c r="S83" s="67">
        <f>IF(AND(ISNUMBER(B83),N(B83)&gt;0),INT(B83),0)</f>
        <v>0.0</v>
      </c>
      <c r="T83" s="67">
        <f>IF(AND(ISNUMBER(J83),N(J83)&gt;=0),N(J83),0)</f>
        <v>0.0</v>
      </c>
      <c r="U83" s="67">
        <f>IF(AND(ISNUMBER(K83),N(K83)&gt;0),N(K83),0)</f>
        <v>0.0</v>
      </c>
      <c r="V83" s="67">
        <f>IF(AND(ISNUMBER(L83),N(L83)&gt;0),N(L83),0)</f>
        <v>0.0</v>
      </c>
      <c r="W83" s="67">
        <f>IF(AND(I83="Terminée",S83&gt;0,C83&lt;&gt;"",ISNUMBER(MATCH(C83,eq_code,0))),1,0)</f>
        <v>0.0</v>
      </c>
      <c r="X83" s="67">
        <f>IF(AND(W83=1,E83="Préventif"),1,0)</f>
        <v>0.0</v>
      </c>
      <c r="Y83" s="67">
        <f>IF(AND(ISNUMBER(N83),N(N83)&gt;0),N(N83),0)</f>
        <v>0.0</v>
      </c>
      <c r="Z83" s="67">
        <f>IF(AND(ISNUMBER(P83),N(P83)&gt;0),N(P83),0)</f>
        <v>0.0</v>
      </c>
    </row>
    <row r="84">
      <c r="A84" s="79" t="str">
        <f>IF(COUNTA(B84:C84,E84:G84,I84)=0,"","BI-"&amp;RIGHT("0000"&amp;(ROW()-5),4))</f>
        <v/>
      </c>
      <c r="B84" s="72" t="n"/>
      <c r="C84" s="66" t="n"/>
      <c r="D84" s="67" t="str">
        <f>IF(C84="","",IFERROR(INDEX(eq_des,MATCH(C84,eq_code,0))&amp;"","Équipement inconnu"))</f>
        <v/>
      </c>
      <c r="E84" s="68" t="n"/>
      <c r="F84" s="68" t="n"/>
      <c r="G84" s="66" t="n"/>
      <c r="H84" s="66" t="n"/>
      <c r="I84" s="68" t="n"/>
      <c r="J84" s="73" t="n"/>
      <c r="K84" s="71" t="n"/>
      <c r="L84" s="71" t="n"/>
      <c r="M84" s="66" t="n"/>
      <c r="N84" s="80" t="n"/>
      <c r="O84" s="81" t="str">
        <f>IF(A84="","",ROUND(V84*IFERROR(N(INDEX(tech_rate,MATCH(M84,tech_name,0))),0),2))</f>
        <v/>
      </c>
      <c r="P84" s="80" t="n"/>
      <c r="Q84" s="81" t="str">
        <f>IF(A84="","",ROUND(Y84+O84+Z84,2))</f>
        <v/>
      </c>
      <c r="R84" s="79" t="str">
        <f>IF(A84="","",IF(S84=0,"Date manquante ou invalide",IF(C84="","Équipement manquant",IF(ISNA(MATCH(C84,eq_code,0)),"Équipement inconnu",IF(E84="","Type manquant",IF(AND(E84&lt;&gt;"Préventif",E84&lt;&gt;"Correctif",E84&lt;&gt;"Amélioratif"),"Type inconnu",IF(I84="","Statut manquant",IF(AND(I84&lt;&gt;"Terminée",I84&lt;&gt;"En cours",I84&lt;&gt;"À faire",I84&lt;&gt;"Annulée"),"Statut inconnu",IF(AND(E84="Préventif",F84=""),"Plan manquant (préventif)",IF(AND(F84&lt;&gt;"",ISNA(MATCH(F84,pl_num,0))),"Plan inconnu",IF(AND(F84&lt;&gt;"",IFERROR(INDEX(pl_eq,MATCH(F84,pl_num,0))&amp;"",C84)&lt;&gt;C84),"Plan d'un autre équipement",IF(AND(J84&lt;&gt;"",OR(NOT(ISNUMBER(J84)),N(J84)&lt;0)),"Compteur invalide",IF(OR(AND(K84&lt;&gt;"",OR(NOT(ISNUMBER(K84)),N(K84)&lt;0)),AND(L84&lt;&gt;"",OR(NOT(ISNUMBER(L84)),N(L84)&lt;0))),"Durée invalide",IF(OR(AND(N84&lt;&gt;"",OR(NOT(ISNUMBER(N84)),N(N84)&lt;0)),AND(P84&lt;&gt;"",OR(NOT(ISNUMBER(P84)),N(P84)&lt;0))),"Coût invalide",IF(AND(M84&lt;&gt;"",ISNA(MATCH(M84,tech_name,0))),"Technicien inconnu",IF(AND(I84="Terminée",S84&gt;p_today),"Terminée à une date future",IF(AND(I84="Terminée",V84=0),"Durée d'intervention manquante",IF(AND(I84="Terminée",E84="Préventif",T84=0,OR(IFERROR(INDEX(pl_trig,MATCH(F84,pl_num,0))&amp;"","")="Compteur",IFERROR(INDEX(pl_trig,MATCH(F84,pl_num,0))&amp;"","")="Au premier des deux")),"Compteur manquant (plan au compteur)","OK"))))))))))))))))))</f>
        <v/>
      </c>
      <c r="S84" s="67">
        <f>IF(AND(ISNUMBER(B84),N(B84)&gt;0),INT(B84),0)</f>
        <v>0.0</v>
      </c>
      <c r="T84" s="67">
        <f>IF(AND(ISNUMBER(J84),N(J84)&gt;=0),N(J84),0)</f>
        <v>0.0</v>
      </c>
      <c r="U84" s="67">
        <f>IF(AND(ISNUMBER(K84),N(K84)&gt;0),N(K84),0)</f>
        <v>0.0</v>
      </c>
      <c r="V84" s="67">
        <f>IF(AND(ISNUMBER(L84),N(L84)&gt;0),N(L84),0)</f>
        <v>0.0</v>
      </c>
      <c r="W84" s="67">
        <f>IF(AND(I84="Terminée",S84&gt;0,C84&lt;&gt;"",ISNUMBER(MATCH(C84,eq_code,0))),1,0)</f>
        <v>0.0</v>
      </c>
      <c r="X84" s="67">
        <f>IF(AND(W84=1,E84="Préventif"),1,0)</f>
        <v>0.0</v>
      </c>
      <c r="Y84" s="67">
        <f>IF(AND(ISNUMBER(N84),N(N84)&gt;0),N(N84),0)</f>
        <v>0.0</v>
      </c>
      <c r="Z84" s="67">
        <f>IF(AND(ISNUMBER(P84),N(P84)&gt;0),N(P84),0)</f>
        <v>0.0</v>
      </c>
    </row>
    <row r="85">
      <c r="A85" s="79" t="str">
        <f>IF(COUNTA(B85:C85,E85:G85,I85)=0,"","BI-"&amp;RIGHT("0000"&amp;(ROW()-5),4))</f>
        <v/>
      </c>
      <c r="B85" s="72" t="n"/>
      <c r="C85" s="66" t="n"/>
      <c r="D85" s="67" t="str">
        <f>IF(C85="","",IFERROR(INDEX(eq_des,MATCH(C85,eq_code,0))&amp;"","Équipement inconnu"))</f>
        <v/>
      </c>
      <c r="E85" s="68" t="n"/>
      <c r="F85" s="68" t="n"/>
      <c r="G85" s="66" t="n"/>
      <c r="H85" s="66" t="n"/>
      <c r="I85" s="68" t="n"/>
      <c r="J85" s="73" t="n"/>
      <c r="K85" s="71" t="n"/>
      <c r="L85" s="71" t="n"/>
      <c r="M85" s="66" t="n"/>
      <c r="N85" s="80" t="n"/>
      <c r="O85" s="81" t="str">
        <f>IF(A85="","",ROUND(V85*IFERROR(N(INDEX(tech_rate,MATCH(M85,tech_name,0))),0),2))</f>
        <v/>
      </c>
      <c r="P85" s="80" t="n"/>
      <c r="Q85" s="81" t="str">
        <f>IF(A85="","",ROUND(Y85+O85+Z85,2))</f>
        <v/>
      </c>
      <c r="R85" s="79" t="str">
        <f>IF(A85="","",IF(S85=0,"Date manquante ou invalide",IF(C85="","Équipement manquant",IF(ISNA(MATCH(C85,eq_code,0)),"Équipement inconnu",IF(E85="","Type manquant",IF(AND(E85&lt;&gt;"Préventif",E85&lt;&gt;"Correctif",E85&lt;&gt;"Amélioratif"),"Type inconnu",IF(I85="","Statut manquant",IF(AND(I85&lt;&gt;"Terminée",I85&lt;&gt;"En cours",I85&lt;&gt;"À faire",I85&lt;&gt;"Annulée"),"Statut inconnu",IF(AND(E85="Préventif",F85=""),"Plan manquant (préventif)",IF(AND(F85&lt;&gt;"",ISNA(MATCH(F85,pl_num,0))),"Plan inconnu",IF(AND(F85&lt;&gt;"",IFERROR(INDEX(pl_eq,MATCH(F85,pl_num,0))&amp;"",C85)&lt;&gt;C85),"Plan d'un autre équipement",IF(AND(J85&lt;&gt;"",OR(NOT(ISNUMBER(J85)),N(J85)&lt;0)),"Compteur invalide",IF(OR(AND(K85&lt;&gt;"",OR(NOT(ISNUMBER(K85)),N(K85)&lt;0)),AND(L85&lt;&gt;"",OR(NOT(ISNUMBER(L85)),N(L85)&lt;0))),"Durée invalide",IF(OR(AND(N85&lt;&gt;"",OR(NOT(ISNUMBER(N85)),N(N85)&lt;0)),AND(P85&lt;&gt;"",OR(NOT(ISNUMBER(P85)),N(P85)&lt;0))),"Coût invalide",IF(AND(M85&lt;&gt;"",ISNA(MATCH(M85,tech_name,0))),"Technicien inconnu",IF(AND(I85="Terminée",S85&gt;p_today),"Terminée à une date future",IF(AND(I85="Terminée",V85=0),"Durée d'intervention manquante",IF(AND(I85="Terminée",E85="Préventif",T85=0,OR(IFERROR(INDEX(pl_trig,MATCH(F85,pl_num,0))&amp;"","")="Compteur",IFERROR(INDEX(pl_trig,MATCH(F85,pl_num,0))&amp;"","")="Au premier des deux")),"Compteur manquant (plan au compteur)","OK"))))))))))))))))))</f>
        <v/>
      </c>
      <c r="S85" s="67">
        <f>IF(AND(ISNUMBER(B85),N(B85)&gt;0),INT(B85),0)</f>
        <v>0.0</v>
      </c>
      <c r="T85" s="67">
        <f>IF(AND(ISNUMBER(J85),N(J85)&gt;=0),N(J85),0)</f>
        <v>0.0</v>
      </c>
      <c r="U85" s="67">
        <f>IF(AND(ISNUMBER(K85),N(K85)&gt;0),N(K85),0)</f>
        <v>0.0</v>
      </c>
      <c r="V85" s="67">
        <f>IF(AND(ISNUMBER(L85),N(L85)&gt;0),N(L85),0)</f>
        <v>0.0</v>
      </c>
      <c r="W85" s="67">
        <f>IF(AND(I85="Terminée",S85&gt;0,C85&lt;&gt;"",ISNUMBER(MATCH(C85,eq_code,0))),1,0)</f>
        <v>0.0</v>
      </c>
      <c r="X85" s="67">
        <f>IF(AND(W85=1,E85="Préventif"),1,0)</f>
        <v>0.0</v>
      </c>
      <c r="Y85" s="67">
        <f>IF(AND(ISNUMBER(N85),N(N85)&gt;0),N(N85),0)</f>
        <v>0.0</v>
      </c>
      <c r="Z85" s="67">
        <f>IF(AND(ISNUMBER(P85),N(P85)&gt;0),N(P85),0)</f>
        <v>0.0</v>
      </c>
    </row>
    <row r="86">
      <c r="A86" s="79" t="str">
        <f>IF(COUNTA(B86:C86,E86:G86,I86)=0,"","BI-"&amp;RIGHT("0000"&amp;(ROW()-5),4))</f>
        <v/>
      </c>
      <c r="B86" s="72" t="n"/>
      <c r="C86" s="66" t="n"/>
      <c r="D86" s="67" t="str">
        <f>IF(C86="","",IFERROR(INDEX(eq_des,MATCH(C86,eq_code,0))&amp;"","Équipement inconnu"))</f>
        <v/>
      </c>
      <c r="E86" s="68" t="n"/>
      <c r="F86" s="68" t="n"/>
      <c r="G86" s="66" t="n"/>
      <c r="H86" s="66" t="n"/>
      <c r="I86" s="68" t="n"/>
      <c r="J86" s="73" t="n"/>
      <c r="K86" s="71" t="n"/>
      <c r="L86" s="71" t="n"/>
      <c r="M86" s="66" t="n"/>
      <c r="N86" s="80" t="n"/>
      <c r="O86" s="81" t="str">
        <f>IF(A86="","",ROUND(V86*IFERROR(N(INDEX(tech_rate,MATCH(M86,tech_name,0))),0),2))</f>
        <v/>
      </c>
      <c r="P86" s="80" t="n"/>
      <c r="Q86" s="81" t="str">
        <f>IF(A86="","",ROUND(Y86+O86+Z86,2))</f>
        <v/>
      </c>
      <c r="R86" s="79" t="str">
        <f>IF(A86="","",IF(S86=0,"Date manquante ou invalide",IF(C86="","Équipement manquant",IF(ISNA(MATCH(C86,eq_code,0)),"Équipement inconnu",IF(E86="","Type manquant",IF(AND(E86&lt;&gt;"Préventif",E86&lt;&gt;"Correctif",E86&lt;&gt;"Amélioratif"),"Type inconnu",IF(I86="","Statut manquant",IF(AND(I86&lt;&gt;"Terminée",I86&lt;&gt;"En cours",I86&lt;&gt;"À faire",I86&lt;&gt;"Annulée"),"Statut inconnu",IF(AND(E86="Préventif",F86=""),"Plan manquant (préventif)",IF(AND(F86&lt;&gt;"",ISNA(MATCH(F86,pl_num,0))),"Plan inconnu",IF(AND(F86&lt;&gt;"",IFERROR(INDEX(pl_eq,MATCH(F86,pl_num,0))&amp;"",C86)&lt;&gt;C86),"Plan d'un autre équipement",IF(AND(J86&lt;&gt;"",OR(NOT(ISNUMBER(J86)),N(J86)&lt;0)),"Compteur invalide",IF(OR(AND(K86&lt;&gt;"",OR(NOT(ISNUMBER(K86)),N(K86)&lt;0)),AND(L86&lt;&gt;"",OR(NOT(ISNUMBER(L86)),N(L86)&lt;0))),"Durée invalide",IF(OR(AND(N86&lt;&gt;"",OR(NOT(ISNUMBER(N86)),N(N86)&lt;0)),AND(P86&lt;&gt;"",OR(NOT(ISNUMBER(P86)),N(P86)&lt;0))),"Coût invalide",IF(AND(M86&lt;&gt;"",ISNA(MATCH(M86,tech_name,0))),"Technicien inconnu",IF(AND(I86="Terminée",S86&gt;p_today),"Terminée à une date future",IF(AND(I86="Terminée",V86=0),"Durée d'intervention manquante",IF(AND(I86="Terminée",E86="Préventif",T86=0,OR(IFERROR(INDEX(pl_trig,MATCH(F86,pl_num,0))&amp;"","")="Compteur",IFERROR(INDEX(pl_trig,MATCH(F86,pl_num,0))&amp;"","")="Au premier des deux")),"Compteur manquant (plan au compteur)","OK"))))))))))))))))))</f>
        <v/>
      </c>
      <c r="S86" s="67">
        <f>IF(AND(ISNUMBER(B86),N(B86)&gt;0),INT(B86),0)</f>
        <v>0.0</v>
      </c>
      <c r="T86" s="67">
        <f>IF(AND(ISNUMBER(J86),N(J86)&gt;=0),N(J86),0)</f>
        <v>0.0</v>
      </c>
      <c r="U86" s="67">
        <f>IF(AND(ISNUMBER(K86),N(K86)&gt;0),N(K86),0)</f>
        <v>0.0</v>
      </c>
      <c r="V86" s="67">
        <f>IF(AND(ISNUMBER(L86),N(L86)&gt;0),N(L86),0)</f>
        <v>0.0</v>
      </c>
      <c r="W86" s="67">
        <f>IF(AND(I86="Terminée",S86&gt;0,C86&lt;&gt;"",ISNUMBER(MATCH(C86,eq_code,0))),1,0)</f>
        <v>0.0</v>
      </c>
      <c r="X86" s="67">
        <f>IF(AND(W86=1,E86="Préventif"),1,0)</f>
        <v>0.0</v>
      </c>
      <c r="Y86" s="67">
        <f>IF(AND(ISNUMBER(N86),N(N86)&gt;0),N(N86),0)</f>
        <v>0.0</v>
      </c>
      <c r="Z86" s="67">
        <f>IF(AND(ISNUMBER(P86),N(P86)&gt;0),N(P86),0)</f>
        <v>0.0</v>
      </c>
    </row>
    <row r="87">
      <c r="A87" s="79" t="str">
        <f>IF(COUNTA(B87:C87,E87:G87,I87)=0,"","BI-"&amp;RIGHT("0000"&amp;(ROW()-5),4))</f>
        <v/>
      </c>
      <c r="B87" s="72" t="n"/>
      <c r="C87" s="66" t="n"/>
      <c r="D87" s="67" t="str">
        <f>IF(C87="","",IFERROR(INDEX(eq_des,MATCH(C87,eq_code,0))&amp;"","Équipement inconnu"))</f>
        <v/>
      </c>
      <c r="E87" s="68" t="n"/>
      <c r="F87" s="68" t="n"/>
      <c r="G87" s="66" t="n"/>
      <c r="H87" s="66" t="n"/>
      <c r="I87" s="68" t="n"/>
      <c r="J87" s="73" t="n"/>
      <c r="K87" s="71" t="n"/>
      <c r="L87" s="71" t="n"/>
      <c r="M87" s="66" t="n"/>
      <c r="N87" s="80" t="n"/>
      <c r="O87" s="81" t="str">
        <f>IF(A87="","",ROUND(V87*IFERROR(N(INDEX(tech_rate,MATCH(M87,tech_name,0))),0),2))</f>
        <v/>
      </c>
      <c r="P87" s="80" t="n"/>
      <c r="Q87" s="81" t="str">
        <f>IF(A87="","",ROUND(Y87+O87+Z87,2))</f>
        <v/>
      </c>
      <c r="R87" s="79" t="str">
        <f>IF(A87="","",IF(S87=0,"Date manquante ou invalide",IF(C87="","Équipement manquant",IF(ISNA(MATCH(C87,eq_code,0)),"Équipement inconnu",IF(E87="","Type manquant",IF(AND(E87&lt;&gt;"Préventif",E87&lt;&gt;"Correctif",E87&lt;&gt;"Amélioratif"),"Type inconnu",IF(I87="","Statut manquant",IF(AND(I87&lt;&gt;"Terminée",I87&lt;&gt;"En cours",I87&lt;&gt;"À faire",I87&lt;&gt;"Annulée"),"Statut inconnu",IF(AND(E87="Préventif",F87=""),"Plan manquant (préventif)",IF(AND(F87&lt;&gt;"",ISNA(MATCH(F87,pl_num,0))),"Plan inconnu",IF(AND(F87&lt;&gt;"",IFERROR(INDEX(pl_eq,MATCH(F87,pl_num,0))&amp;"",C87)&lt;&gt;C87),"Plan d'un autre équipement",IF(AND(J87&lt;&gt;"",OR(NOT(ISNUMBER(J87)),N(J87)&lt;0)),"Compteur invalide",IF(OR(AND(K87&lt;&gt;"",OR(NOT(ISNUMBER(K87)),N(K87)&lt;0)),AND(L87&lt;&gt;"",OR(NOT(ISNUMBER(L87)),N(L87)&lt;0))),"Durée invalide",IF(OR(AND(N87&lt;&gt;"",OR(NOT(ISNUMBER(N87)),N(N87)&lt;0)),AND(P87&lt;&gt;"",OR(NOT(ISNUMBER(P87)),N(P87)&lt;0))),"Coût invalide",IF(AND(M87&lt;&gt;"",ISNA(MATCH(M87,tech_name,0))),"Technicien inconnu",IF(AND(I87="Terminée",S87&gt;p_today),"Terminée à une date future",IF(AND(I87="Terminée",V87=0),"Durée d'intervention manquante",IF(AND(I87="Terminée",E87="Préventif",T87=0,OR(IFERROR(INDEX(pl_trig,MATCH(F87,pl_num,0))&amp;"","")="Compteur",IFERROR(INDEX(pl_trig,MATCH(F87,pl_num,0))&amp;"","")="Au premier des deux")),"Compteur manquant (plan au compteur)","OK"))))))))))))))))))</f>
        <v/>
      </c>
      <c r="S87" s="67">
        <f>IF(AND(ISNUMBER(B87),N(B87)&gt;0),INT(B87),0)</f>
        <v>0.0</v>
      </c>
      <c r="T87" s="67">
        <f>IF(AND(ISNUMBER(J87),N(J87)&gt;=0),N(J87),0)</f>
        <v>0.0</v>
      </c>
      <c r="U87" s="67">
        <f>IF(AND(ISNUMBER(K87),N(K87)&gt;0),N(K87),0)</f>
        <v>0.0</v>
      </c>
      <c r="V87" s="67">
        <f>IF(AND(ISNUMBER(L87),N(L87)&gt;0),N(L87),0)</f>
        <v>0.0</v>
      </c>
      <c r="W87" s="67">
        <f>IF(AND(I87="Terminée",S87&gt;0,C87&lt;&gt;"",ISNUMBER(MATCH(C87,eq_code,0))),1,0)</f>
        <v>0.0</v>
      </c>
      <c r="X87" s="67">
        <f>IF(AND(W87=1,E87="Préventif"),1,0)</f>
        <v>0.0</v>
      </c>
      <c r="Y87" s="67">
        <f>IF(AND(ISNUMBER(N87),N(N87)&gt;0),N(N87),0)</f>
        <v>0.0</v>
      </c>
      <c r="Z87" s="67">
        <f>IF(AND(ISNUMBER(P87),N(P87)&gt;0),N(P87),0)</f>
        <v>0.0</v>
      </c>
    </row>
    <row r="88">
      <c r="A88" s="79" t="str">
        <f>IF(COUNTA(B88:C88,E88:G88,I88)=0,"","BI-"&amp;RIGHT("0000"&amp;(ROW()-5),4))</f>
        <v/>
      </c>
      <c r="B88" s="72" t="n"/>
      <c r="C88" s="66" t="n"/>
      <c r="D88" s="67" t="str">
        <f>IF(C88="","",IFERROR(INDEX(eq_des,MATCH(C88,eq_code,0))&amp;"","Équipement inconnu"))</f>
        <v/>
      </c>
      <c r="E88" s="68" t="n"/>
      <c r="F88" s="68" t="n"/>
      <c r="G88" s="66" t="n"/>
      <c r="H88" s="66" t="n"/>
      <c r="I88" s="68" t="n"/>
      <c r="J88" s="73" t="n"/>
      <c r="K88" s="71" t="n"/>
      <c r="L88" s="71" t="n"/>
      <c r="M88" s="66" t="n"/>
      <c r="N88" s="80" t="n"/>
      <c r="O88" s="81" t="str">
        <f>IF(A88="","",ROUND(V88*IFERROR(N(INDEX(tech_rate,MATCH(M88,tech_name,0))),0),2))</f>
        <v/>
      </c>
      <c r="P88" s="80" t="n"/>
      <c r="Q88" s="81" t="str">
        <f>IF(A88="","",ROUND(Y88+O88+Z88,2))</f>
        <v/>
      </c>
      <c r="R88" s="79" t="str">
        <f>IF(A88="","",IF(S88=0,"Date manquante ou invalide",IF(C88="","Équipement manquant",IF(ISNA(MATCH(C88,eq_code,0)),"Équipement inconnu",IF(E88="","Type manquant",IF(AND(E88&lt;&gt;"Préventif",E88&lt;&gt;"Correctif",E88&lt;&gt;"Amélioratif"),"Type inconnu",IF(I88="","Statut manquant",IF(AND(I88&lt;&gt;"Terminée",I88&lt;&gt;"En cours",I88&lt;&gt;"À faire",I88&lt;&gt;"Annulée"),"Statut inconnu",IF(AND(E88="Préventif",F88=""),"Plan manquant (préventif)",IF(AND(F88&lt;&gt;"",ISNA(MATCH(F88,pl_num,0))),"Plan inconnu",IF(AND(F88&lt;&gt;"",IFERROR(INDEX(pl_eq,MATCH(F88,pl_num,0))&amp;"",C88)&lt;&gt;C88),"Plan d'un autre équipement",IF(AND(J88&lt;&gt;"",OR(NOT(ISNUMBER(J88)),N(J88)&lt;0)),"Compteur invalide",IF(OR(AND(K88&lt;&gt;"",OR(NOT(ISNUMBER(K88)),N(K88)&lt;0)),AND(L88&lt;&gt;"",OR(NOT(ISNUMBER(L88)),N(L88)&lt;0))),"Durée invalide",IF(OR(AND(N88&lt;&gt;"",OR(NOT(ISNUMBER(N88)),N(N88)&lt;0)),AND(P88&lt;&gt;"",OR(NOT(ISNUMBER(P88)),N(P88)&lt;0))),"Coût invalide",IF(AND(M88&lt;&gt;"",ISNA(MATCH(M88,tech_name,0))),"Technicien inconnu",IF(AND(I88="Terminée",S88&gt;p_today),"Terminée à une date future",IF(AND(I88="Terminée",V88=0),"Durée d'intervention manquante",IF(AND(I88="Terminée",E88="Préventif",T88=0,OR(IFERROR(INDEX(pl_trig,MATCH(F88,pl_num,0))&amp;"","")="Compteur",IFERROR(INDEX(pl_trig,MATCH(F88,pl_num,0))&amp;"","")="Au premier des deux")),"Compteur manquant (plan au compteur)","OK"))))))))))))))))))</f>
        <v/>
      </c>
      <c r="S88" s="67">
        <f>IF(AND(ISNUMBER(B88),N(B88)&gt;0),INT(B88),0)</f>
        <v>0.0</v>
      </c>
      <c r="T88" s="67">
        <f>IF(AND(ISNUMBER(J88),N(J88)&gt;=0),N(J88),0)</f>
        <v>0.0</v>
      </c>
      <c r="U88" s="67">
        <f>IF(AND(ISNUMBER(K88),N(K88)&gt;0),N(K88),0)</f>
        <v>0.0</v>
      </c>
      <c r="V88" s="67">
        <f>IF(AND(ISNUMBER(L88),N(L88)&gt;0),N(L88),0)</f>
        <v>0.0</v>
      </c>
      <c r="W88" s="67">
        <f>IF(AND(I88="Terminée",S88&gt;0,C88&lt;&gt;"",ISNUMBER(MATCH(C88,eq_code,0))),1,0)</f>
        <v>0.0</v>
      </c>
      <c r="X88" s="67">
        <f>IF(AND(W88=1,E88="Préventif"),1,0)</f>
        <v>0.0</v>
      </c>
      <c r="Y88" s="67">
        <f>IF(AND(ISNUMBER(N88),N(N88)&gt;0),N(N88),0)</f>
        <v>0.0</v>
      </c>
      <c r="Z88" s="67">
        <f>IF(AND(ISNUMBER(P88),N(P88)&gt;0),N(P88),0)</f>
        <v>0.0</v>
      </c>
    </row>
    <row r="89">
      <c r="A89" s="79" t="str">
        <f>IF(COUNTA(B89:C89,E89:G89,I89)=0,"","BI-"&amp;RIGHT("0000"&amp;(ROW()-5),4))</f>
        <v/>
      </c>
      <c r="B89" s="72" t="n"/>
      <c r="C89" s="66" t="n"/>
      <c r="D89" s="67" t="str">
        <f>IF(C89="","",IFERROR(INDEX(eq_des,MATCH(C89,eq_code,0))&amp;"","Équipement inconnu"))</f>
        <v/>
      </c>
      <c r="E89" s="68" t="n"/>
      <c r="F89" s="68" t="n"/>
      <c r="G89" s="66" t="n"/>
      <c r="H89" s="66" t="n"/>
      <c r="I89" s="68" t="n"/>
      <c r="J89" s="73" t="n"/>
      <c r="K89" s="71" t="n"/>
      <c r="L89" s="71" t="n"/>
      <c r="M89" s="66" t="n"/>
      <c r="N89" s="80" t="n"/>
      <c r="O89" s="81" t="str">
        <f>IF(A89="","",ROUND(V89*IFERROR(N(INDEX(tech_rate,MATCH(M89,tech_name,0))),0),2))</f>
        <v/>
      </c>
      <c r="P89" s="80" t="n"/>
      <c r="Q89" s="81" t="str">
        <f>IF(A89="","",ROUND(Y89+O89+Z89,2))</f>
        <v/>
      </c>
      <c r="R89" s="79" t="str">
        <f>IF(A89="","",IF(S89=0,"Date manquante ou invalide",IF(C89="","Équipement manquant",IF(ISNA(MATCH(C89,eq_code,0)),"Équipement inconnu",IF(E89="","Type manquant",IF(AND(E89&lt;&gt;"Préventif",E89&lt;&gt;"Correctif",E89&lt;&gt;"Amélioratif"),"Type inconnu",IF(I89="","Statut manquant",IF(AND(I89&lt;&gt;"Terminée",I89&lt;&gt;"En cours",I89&lt;&gt;"À faire",I89&lt;&gt;"Annulée"),"Statut inconnu",IF(AND(E89="Préventif",F89=""),"Plan manquant (préventif)",IF(AND(F89&lt;&gt;"",ISNA(MATCH(F89,pl_num,0))),"Plan inconnu",IF(AND(F89&lt;&gt;"",IFERROR(INDEX(pl_eq,MATCH(F89,pl_num,0))&amp;"",C89)&lt;&gt;C89),"Plan d'un autre équipement",IF(AND(J89&lt;&gt;"",OR(NOT(ISNUMBER(J89)),N(J89)&lt;0)),"Compteur invalide",IF(OR(AND(K89&lt;&gt;"",OR(NOT(ISNUMBER(K89)),N(K89)&lt;0)),AND(L89&lt;&gt;"",OR(NOT(ISNUMBER(L89)),N(L89)&lt;0))),"Durée invalide",IF(OR(AND(N89&lt;&gt;"",OR(NOT(ISNUMBER(N89)),N(N89)&lt;0)),AND(P89&lt;&gt;"",OR(NOT(ISNUMBER(P89)),N(P89)&lt;0))),"Coût invalide",IF(AND(M89&lt;&gt;"",ISNA(MATCH(M89,tech_name,0))),"Technicien inconnu",IF(AND(I89="Terminée",S89&gt;p_today),"Terminée à une date future",IF(AND(I89="Terminée",V89=0),"Durée d'intervention manquante",IF(AND(I89="Terminée",E89="Préventif",T89=0,OR(IFERROR(INDEX(pl_trig,MATCH(F89,pl_num,0))&amp;"","")="Compteur",IFERROR(INDEX(pl_trig,MATCH(F89,pl_num,0))&amp;"","")="Au premier des deux")),"Compteur manquant (plan au compteur)","OK"))))))))))))))))))</f>
        <v/>
      </c>
      <c r="S89" s="67">
        <f>IF(AND(ISNUMBER(B89),N(B89)&gt;0),INT(B89),0)</f>
        <v>0.0</v>
      </c>
      <c r="T89" s="67">
        <f>IF(AND(ISNUMBER(J89),N(J89)&gt;=0),N(J89),0)</f>
        <v>0.0</v>
      </c>
      <c r="U89" s="67">
        <f>IF(AND(ISNUMBER(K89),N(K89)&gt;0),N(K89),0)</f>
        <v>0.0</v>
      </c>
      <c r="V89" s="67">
        <f>IF(AND(ISNUMBER(L89),N(L89)&gt;0),N(L89),0)</f>
        <v>0.0</v>
      </c>
      <c r="W89" s="67">
        <f>IF(AND(I89="Terminée",S89&gt;0,C89&lt;&gt;"",ISNUMBER(MATCH(C89,eq_code,0))),1,0)</f>
        <v>0.0</v>
      </c>
      <c r="X89" s="67">
        <f>IF(AND(W89=1,E89="Préventif"),1,0)</f>
        <v>0.0</v>
      </c>
      <c r="Y89" s="67">
        <f>IF(AND(ISNUMBER(N89),N(N89)&gt;0),N(N89),0)</f>
        <v>0.0</v>
      </c>
      <c r="Z89" s="67">
        <f>IF(AND(ISNUMBER(P89),N(P89)&gt;0),N(P89),0)</f>
        <v>0.0</v>
      </c>
    </row>
    <row r="90">
      <c r="A90" s="79" t="str">
        <f>IF(COUNTA(B90:C90,E90:G90,I90)=0,"","BI-"&amp;RIGHT("0000"&amp;(ROW()-5),4))</f>
        <v/>
      </c>
      <c r="B90" s="72" t="n"/>
      <c r="C90" s="66" t="n"/>
      <c r="D90" s="67" t="str">
        <f>IF(C90="","",IFERROR(INDEX(eq_des,MATCH(C90,eq_code,0))&amp;"","Équipement inconnu"))</f>
        <v/>
      </c>
      <c r="E90" s="68" t="n"/>
      <c r="F90" s="68" t="n"/>
      <c r="G90" s="66" t="n"/>
      <c r="H90" s="66" t="n"/>
      <c r="I90" s="68" t="n"/>
      <c r="J90" s="73" t="n"/>
      <c r="K90" s="71" t="n"/>
      <c r="L90" s="71" t="n"/>
      <c r="M90" s="66" t="n"/>
      <c r="N90" s="80" t="n"/>
      <c r="O90" s="81" t="str">
        <f>IF(A90="","",ROUND(V90*IFERROR(N(INDEX(tech_rate,MATCH(M90,tech_name,0))),0),2))</f>
        <v/>
      </c>
      <c r="P90" s="80" t="n"/>
      <c r="Q90" s="81" t="str">
        <f>IF(A90="","",ROUND(Y90+O90+Z90,2))</f>
        <v/>
      </c>
      <c r="R90" s="79" t="str">
        <f>IF(A90="","",IF(S90=0,"Date manquante ou invalide",IF(C90="","Équipement manquant",IF(ISNA(MATCH(C90,eq_code,0)),"Équipement inconnu",IF(E90="","Type manquant",IF(AND(E90&lt;&gt;"Préventif",E90&lt;&gt;"Correctif",E90&lt;&gt;"Amélioratif"),"Type inconnu",IF(I90="","Statut manquant",IF(AND(I90&lt;&gt;"Terminée",I90&lt;&gt;"En cours",I90&lt;&gt;"À faire",I90&lt;&gt;"Annulée"),"Statut inconnu",IF(AND(E90="Préventif",F90=""),"Plan manquant (préventif)",IF(AND(F90&lt;&gt;"",ISNA(MATCH(F90,pl_num,0))),"Plan inconnu",IF(AND(F90&lt;&gt;"",IFERROR(INDEX(pl_eq,MATCH(F90,pl_num,0))&amp;"",C90)&lt;&gt;C90),"Plan d'un autre équipement",IF(AND(J90&lt;&gt;"",OR(NOT(ISNUMBER(J90)),N(J90)&lt;0)),"Compteur invalide",IF(OR(AND(K90&lt;&gt;"",OR(NOT(ISNUMBER(K90)),N(K90)&lt;0)),AND(L90&lt;&gt;"",OR(NOT(ISNUMBER(L90)),N(L90)&lt;0))),"Durée invalide",IF(OR(AND(N90&lt;&gt;"",OR(NOT(ISNUMBER(N90)),N(N90)&lt;0)),AND(P90&lt;&gt;"",OR(NOT(ISNUMBER(P90)),N(P90)&lt;0))),"Coût invalide",IF(AND(M90&lt;&gt;"",ISNA(MATCH(M90,tech_name,0))),"Technicien inconnu",IF(AND(I90="Terminée",S90&gt;p_today),"Terminée à une date future",IF(AND(I90="Terminée",V90=0),"Durée d'intervention manquante",IF(AND(I90="Terminée",E90="Préventif",T90=0,OR(IFERROR(INDEX(pl_trig,MATCH(F90,pl_num,0))&amp;"","")="Compteur",IFERROR(INDEX(pl_trig,MATCH(F90,pl_num,0))&amp;"","")="Au premier des deux")),"Compteur manquant (plan au compteur)","OK"))))))))))))))))))</f>
        <v/>
      </c>
      <c r="S90" s="67">
        <f>IF(AND(ISNUMBER(B90),N(B90)&gt;0),INT(B90),0)</f>
        <v>0.0</v>
      </c>
      <c r="T90" s="67">
        <f>IF(AND(ISNUMBER(J90),N(J90)&gt;=0),N(J90),0)</f>
        <v>0.0</v>
      </c>
      <c r="U90" s="67">
        <f>IF(AND(ISNUMBER(K90),N(K90)&gt;0),N(K90),0)</f>
        <v>0.0</v>
      </c>
      <c r="V90" s="67">
        <f>IF(AND(ISNUMBER(L90),N(L90)&gt;0),N(L90),0)</f>
        <v>0.0</v>
      </c>
      <c r="W90" s="67">
        <f>IF(AND(I90="Terminée",S90&gt;0,C90&lt;&gt;"",ISNUMBER(MATCH(C90,eq_code,0))),1,0)</f>
        <v>0.0</v>
      </c>
      <c r="X90" s="67">
        <f>IF(AND(W90=1,E90="Préventif"),1,0)</f>
        <v>0.0</v>
      </c>
      <c r="Y90" s="67">
        <f>IF(AND(ISNUMBER(N90),N(N90)&gt;0),N(N90),0)</f>
        <v>0.0</v>
      </c>
      <c r="Z90" s="67">
        <f>IF(AND(ISNUMBER(P90),N(P90)&gt;0),N(P90),0)</f>
        <v>0.0</v>
      </c>
    </row>
    <row r="91">
      <c r="A91" s="79" t="str">
        <f>IF(COUNTA(B91:C91,E91:G91,I91)=0,"","BI-"&amp;RIGHT("0000"&amp;(ROW()-5),4))</f>
        <v/>
      </c>
      <c r="B91" s="72" t="n"/>
      <c r="C91" s="66" t="n"/>
      <c r="D91" s="67" t="str">
        <f>IF(C91="","",IFERROR(INDEX(eq_des,MATCH(C91,eq_code,0))&amp;"","Équipement inconnu"))</f>
        <v/>
      </c>
      <c r="E91" s="68" t="n"/>
      <c r="F91" s="68" t="n"/>
      <c r="G91" s="66" t="n"/>
      <c r="H91" s="66" t="n"/>
      <c r="I91" s="68" t="n"/>
      <c r="J91" s="73" t="n"/>
      <c r="K91" s="71" t="n"/>
      <c r="L91" s="71" t="n"/>
      <c r="M91" s="66" t="n"/>
      <c r="N91" s="80" t="n"/>
      <c r="O91" s="81" t="str">
        <f>IF(A91="","",ROUND(V91*IFERROR(N(INDEX(tech_rate,MATCH(M91,tech_name,0))),0),2))</f>
        <v/>
      </c>
      <c r="P91" s="80" t="n"/>
      <c r="Q91" s="81" t="str">
        <f>IF(A91="","",ROUND(Y91+O91+Z91,2))</f>
        <v/>
      </c>
      <c r="R91" s="79" t="str">
        <f>IF(A91="","",IF(S91=0,"Date manquante ou invalide",IF(C91="","Équipement manquant",IF(ISNA(MATCH(C91,eq_code,0)),"Équipement inconnu",IF(E91="","Type manquant",IF(AND(E91&lt;&gt;"Préventif",E91&lt;&gt;"Correctif",E91&lt;&gt;"Amélioratif"),"Type inconnu",IF(I91="","Statut manquant",IF(AND(I91&lt;&gt;"Terminée",I91&lt;&gt;"En cours",I91&lt;&gt;"À faire",I91&lt;&gt;"Annulée"),"Statut inconnu",IF(AND(E91="Préventif",F91=""),"Plan manquant (préventif)",IF(AND(F91&lt;&gt;"",ISNA(MATCH(F91,pl_num,0))),"Plan inconnu",IF(AND(F91&lt;&gt;"",IFERROR(INDEX(pl_eq,MATCH(F91,pl_num,0))&amp;"",C91)&lt;&gt;C91),"Plan d'un autre équipement",IF(AND(J91&lt;&gt;"",OR(NOT(ISNUMBER(J91)),N(J91)&lt;0)),"Compteur invalide",IF(OR(AND(K91&lt;&gt;"",OR(NOT(ISNUMBER(K91)),N(K91)&lt;0)),AND(L91&lt;&gt;"",OR(NOT(ISNUMBER(L91)),N(L91)&lt;0))),"Durée invalide",IF(OR(AND(N91&lt;&gt;"",OR(NOT(ISNUMBER(N91)),N(N91)&lt;0)),AND(P91&lt;&gt;"",OR(NOT(ISNUMBER(P91)),N(P91)&lt;0))),"Coût invalide",IF(AND(M91&lt;&gt;"",ISNA(MATCH(M91,tech_name,0))),"Technicien inconnu",IF(AND(I91="Terminée",S91&gt;p_today),"Terminée à une date future",IF(AND(I91="Terminée",V91=0),"Durée d'intervention manquante",IF(AND(I91="Terminée",E91="Préventif",T91=0,OR(IFERROR(INDEX(pl_trig,MATCH(F91,pl_num,0))&amp;"","")="Compteur",IFERROR(INDEX(pl_trig,MATCH(F91,pl_num,0))&amp;"","")="Au premier des deux")),"Compteur manquant (plan au compteur)","OK"))))))))))))))))))</f>
        <v/>
      </c>
      <c r="S91" s="67">
        <f>IF(AND(ISNUMBER(B91),N(B91)&gt;0),INT(B91),0)</f>
        <v>0.0</v>
      </c>
      <c r="T91" s="67">
        <f>IF(AND(ISNUMBER(J91),N(J91)&gt;=0),N(J91),0)</f>
        <v>0.0</v>
      </c>
      <c r="U91" s="67">
        <f>IF(AND(ISNUMBER(K91),N(K91)&gt;0),N(K91),0)</f>
        <v>0.0</v>
      </c>
      <c r="V91" s="67">
        <f>IF(AND(ISNUMBER(L91),N(L91)&gt;0),N(L91),0)</f>
        <v>0.0</v>
      </c>
      <c r="W91" s="67">
        <f>IF(AND(I91="Terminée",S91&gt;0,C91&lt;&gt;"",ISNUMBER(MATCH(C91,eq_code,0))),1,0)</f>
        <v>0.0</v>
      </c>
      <c r="X91" s="67">
        <f>IF(AND(W91=1,E91="Préventif"),1,0)</f>
        <v>0.0</v>
      </c>
      <c r="Y91" s="67">
        <f>IF(AND(ISNUMBER(N91),N(N91)&gt;0),N(N91),0)</f>
        <v>0.0</v>
      </c>
      <c r="Z91" s="67">
        <f>IF(AND(ISNUMBER(P91),N(P91)&gt;0),N(P91),0)</f>
        <v>0.0</v>
      </c>
    </row>
    <row r="92">
      <c r="A92" s="79" t="str">
        <f>IF(COUNTA(B92:C92,E92:G92,I92)=0,"","BI-"&amp;RIGHT("0000"&amp;(ROW()-5),4))</f>
        <v/>
      </c>
      <c r="B92" s="72" t="n"/>
      <c r="C92" s="66" t="n"/>
      <c r="D92" s="67" t="str">
        <f>IF(C92="","",IFERROR(INDEX(eq_des,MATCH(C92,eq_code,0))&amp;"","Équipement inconnu"))</f>
        <v/>
      </c>
      <c r="E92" s="68" t="n"/>
      <c r="F92" s="68" t="n"/>
      <c r="G92" s="66" t="n"/>
      <c r="H92" s="66" t="n"/>
      <c r="I92" s="68" t="n"/>
      <c r="J92" s="73" t="n"/>
      <c r="K92" s="71" t="n"/>
      <c r="L92" s="71" t="n"/>
      <c r="M92" s="66" t="n"/>
      <c r="N92" s="80" t="n"/>
      <c r="O92" s="81" t="str">
        <f>IF(A92="","",ROUND(V92*IFERROR(N(INDEX(tech_rate,MATCH(M92,tech_name,0))),0),2))</f>
        <v/>
      </c>
      <c r="P92" s="80" t="n"/>
      <c r="Q92" s="81" t="str">
        <f>IF(A92="","",ROUND(Y92+O92+Z92,2))</f>
        <v/>
      </c>
      <c r="R92" s="79" t="str">
        <f>IF(A92="","",IF(S92=0,"Date manquante ou invalide",IF(C92="","Équipement manquant",IF(ISNA(MATCH(C92,eq_code,0)),"Équipement inconnu",IF(E92="","Type manquant",IF(AND(E92&lt;&gt;"Préventif",E92&lt;&gt;"Correctif",E92&lt;&gt;"Amélioratif"),"Type inconnu",IF(I92="","Statut manquant",IF(AND(I92&lt;&gt;"Terminée",I92&lt;&gt;"En cours",I92&lt;&gt;"À faire",I92&lt;&gt;"Annulée"),"Statut inconnu",IF(AND(E92="Préventif",F92=""),"Plan manquant (préventif)",IF(AND(F92&lt;&gt;"",ISNA(MATCH(F92,pl_num,0))),"Plan inconnu",IF(AND(F92&lt;&gt;"",IFERROR(INDEX(pl_eq,MATCH(F92,pl_num,0))&amp;"",C92)&lt;&gt;C92),"Plan d'un autre équipement",IF(AND(J92&lt;&gt;"",OR(NOT(ISNUMBER(J92)),N(J92)&lt;0)),"Compteur invalide",IF(OR(AND(K92&lt;&gt;"",OR(NOT(ISNUMBER(K92)),N(K92)&lt;0)),AND(L92&lt;&gt;"",OR(NOT(ISNUMBER(L92)),N(L92)&lt;0))),"Durée invalide",IF(OR(AND(N92&lt;&gt;"",OR(NOT(ISNUMBER(N92)),N(N92)&lt;0)),AND(P92&lt;&gt;"",OR(NOT(ISNUMBER(P92)),N(P92)&lt;0))),"Coût invalide",IF(AND(M92&lt;&gt;"",ISNA(MATCH(M92,tech_name,0))),"Technicien inconnu",IF(AND(I92="Terminée",S92&gt;p_today),"Terminée à une date future",IF(AND(I92="Terminée",V92=0),"Durée d'intervention manquante",IF(AND(I92="Terminée",E92="Préventif",T92=0,OR(IFERROR(INDEX(pl_trig,MATCH(F92,pl_num,0))&amp;"","")="Compteur",IFERROR(INDEX(pl_trig,MATCH(F92,pl_num,0))&amp;"","")="Au premier des deux")),"Compteur manquant (plan au compteur)","OK"))))))))))))))))))</f>
        <v/>
      </c>
      <c r="S92" s="67">
        <f>IF(AND(ISNUMBER(B92),N(B92)&gt;0),INT(B92),0)</f>
        <v>0.0</v>
      </c>
      <c r="T92" s="67">
        <f>IF(AND(ISNUMBER(J92),N(J92)&gt;=0),N(J92),0)</f>
        <v>0.0</v>
      </c>
      <c r="U92" s="67">
        <f>IF(AND(ISNUMBER(K92),N(K92)&gt;0),N(K92),0)</f>
        <v>0.0</v>
      </c>
      <c r="V92" s="67">
        <f>IF(AND(ISNUMBER(L92),N(L92)&gt;0),N(L92),0)</f>
        <v>0.0</v>
      </c>
      <c r="W92" s="67">
        <f>IF(AND(I92="Terminée",S92&gt;0,C92&lt;&gt;"",ISNUMBER(MATCH(C92,eq_code,0))),1,0)</f>
        <v>0.0</v>
      </c>
      <c r="X92" s="67">
        <f>IF(AND(W92=1,E92="Préventif"),1,0)</f>
        <v>0.0</v>
      </c>
      <c r="Y92" s="67">
        <f>IF(AND(ISNUMBER(N92),N(N92)&gt;0),N(N92),0)</f>
        <v>0.0</v>
      </c>
      <c r="Z92" s="67">
        <f>IF(AND(ISNUMBER(P92),N(P92)&gt;0),N(P92),0)</f>
        <v>0.0</v>
      </c>
    </row>
    <row r="93">
      <c r="A93" s="79" t="str">
        <f>IF(COUNTA(B93:C93,E93:G93,I93)=0,"","BI-"&amp;RIGHT("0000"&amp;(ROW()-5),4))</f>
        <v/>
      </c>
      <c r="B93" s="72" t="n"/>
      <c r="C93" s="66" t="n"/>
      <c r="D93" s="67" t="str">
        <f>IF(C93="","",IFERROR(INDEX(eq_des,MATCH(C93,eq_code,0))&amp;"","Équipement inconnu"))</f>
        <v/>
      </c>
      <c r="E93" s="68" t="n"/>
      <c r="F93" s="68" t="n"/>
      <c r="G93" s="66" t="n"/>
      <c r="H93" s="66" t="n"/>
      <c r="I93" s="68" t="n"/>
      <c r="J93" s="73" t="n"/>
      <c r="K93" s="71" t="n"/>
      <c r="L93" s="71" t="n"/>
      <c r="M93" s="66" t="n"/>
      <c r="N93" s="80" t="n"/>
      <c r="O93" s="81" t="str">
        <f>IF(A93="","",ROUND(V93*IFERROR(N(INDEX(tech_rate,MATCH(M93,tech_name,0))),0),2))</f>
        <v/>
      </c>
      <c r="P93" s="80" t="n"/>
      <c r="Q93" s="81" t="str">
        <f>IF(A93="","",ROUND(Y93+O93+Z93,2))</f>
        <v/>
      </c>
      <c r="R93" s="79" t="str">
        <f>IF(A93="","",IF(S93=0,"Date manquante ou invalide",IF(C93="","Équipement manquant",IF(ISNA(MATCH(C93,eq_code,0)),"Équipement inconnu",IF(E93="","Type manquant",IF(AND(E93&lt;&gt;"Préventif",E93&lt;&gt;"Correctif",E93&lt;&gt;"Amélioratif"),"Type inconnu",IF(I93="","Statut manquant",IF(AND(I93&lt;&gt;"Terminée",I93&lt;&gt;"En cours",I93&lt;&gt;"À faire",I93&lt;&gt;"Annulée"),"Statut inconnu",IF(AND(E93="Préventif",F93=""),"Plan manquant (préventif)",IF(AND(F93&lt;&gt;"",ISNA(MATCH(F93,pl_num,0))),"Plan inconnu",IF(AND(F93&lt;&gt;"",IFERROR(INDEX(pl_eq,MATCH(F93,pl_num,0))&amp;"",C93)&lt;&gt;C93),"Plan d'un autre équipement",IF(AND(J93&lt;&gt;"",OR(NOT(ISNUMBER(J93)),N(J93)&lt;0)),"Compteur invalide",IF(OR(AND(K93&lt;&gt;"",OR(NOT(ISNUMBER(K93)),N(K93)&lt;0)),AND(L93&lt;&gt;"",OR(NOT(ISNUMBER(L93)),N(L93)&lt;0))),"Durée invalide",IF(OR(AND(N93&lt;&gt;"",OR(NOT(ISNUMBER(N93)),N(N93)&lt;0)),AND(P93&lt;&gt;"",OR(NOT(ISNUMBER(P93)),N(P93)&lt;0))),"Coût invalide",IF(AND(M93&lt;&gt;"",ISNA(MATCH(M93,tech_name,0))),"Technicien inconnu",IF(AND(I93="Terminée",S93&gt;p_today),"Terminée à une date future",IF(AND(I93="Terminée",V93=0),"Durée d'intervention manquante",IF(AND(I93="Terminée",E93="Préventif",T93=0,OR(IFERROR(INDEX(pl_trig,MATCH(F93,pl_num,0))&amp;"","")="Compteur",IFERROR(INDEX(pl_trig,MATCH(F93,pl_num,0))&amp;"","")="Au premier des deux")),"Compteur manquant (plan au compteur)","OK"))))))))))))))))))</f>
        <v/>
      </c>
      <c r="S93" s="67">
        <f>IF(AND(ISNUMBER(B93),N(B93)&gt;0),INT(B93),0)</f>
        <v>0.0</v>
      </c>
      <c r="T93" s="67">
        <f>IF(AND(ISNUMBER(J93),N(J93)&gt;=0),N(J93),0)</f>
        <v>0.0</v>
      </c>
      <c r="U93" s="67">
        <f>IF(AND(ISNUMBER(K93),N(K93)&gt;0),N(K93),0)</f>
        <v>0.0</v>
      </c>
      <c r="V93" s="67">
        <f>IF(AND(ISNUMBER(L93),N(L93)&gt;0),N(L93),0)</f>
        <v>0.0</v>
      </c>
      <c r="W93" s="67">
        <f>IF(AND(I93="Terminée",S93&gt;0,C93&lt;&gt;"",ISNUMBER(MATCH(C93,eq_code,0))),1,0)</f>
        <v>0.0</v>
      </c>
      <c r="X93" s="67">
        <f>IF(AND(W93=1,E93="Préventif"),1,0)</f>
        <v>0.0</v>
      </c>
      <c r="Y93" s="67">
        <f>IF(AND(ISNUMBER(N93),N(N93)&gt;0),N(N93),0)</f>
        <v>0.0</v>
      </c>
      <c r="Z93" s="67">
        <f>IF(AND(ISNUMBER(P93),N(P93)&gt;0),N(P93),0)</f>
        <v>0.0</v>
      </c>
    </row>
    <row r="94">
      <c r="A94" s="79" t="str">
        <f>IF(COUNTA(B94:C94,E94:G94,I94)=0,"","BI-"&amp;RIGHT("0000"&amp;(ROW()-5),4))</f>
        <v/>
      </c>
      <c r="B94" s="72" t="n"/>
      <c r="C94" s="66" t="n"/>
      <c r="D94" s="67" t="str">
        <f>IF(C94="","",IFERROR(INDEX(eq_des,MATCH(C94,eq_code,0))&amp;"","Équipement inconnu"))</f>
        <v/>
      </c>
      <c r="E94" s="68" t="n"/>
      <c r="F94" s="68" t="n"/>
      <c r="G94" s="66" t="n"/>
      <c r="H94" s="66" t="n"/>
      <c r="I94" s="68" t="n"/>
      <c r="J94" s="73" t="n"/>
      <c r="K94" s="71" t="n"/>
      <c r="L94" s="71" t="n"/>
      <c r="M94" s="66" t="n"/>
      <c r="N94" s="80" t="n"/>
      <c r="O94" s="81" t="str">
        <f>IF(A94="","",ROUND(V94*IFERROR(N(INDEX(tech_rate,MATCH(M94,tech_name,0))),0),2))</f>
        <v/>
      </c>
      <c r="P94" s="80" t="n"/>
      <c r="Q94" s="81" t="str">
        <f>IF(A94="","",ROUND(Y94+O94+Z94,2))</f>
        <v/>
      </c>
      <c r="R94" s="79" t="str">
        <f>IF(A94="","",IF(S94=0,"Date manquante ou invalide",IF(C94="","Équipement manquant",IF(ISNA(MATCH(C94,eq_code,0)),"Équipement inconnu",IF(E94="","Type manquant",IF(AND(E94&lt;&gt;"Préventif",E94&lt;&gt;"Correctif",E94&lt;&gt;"Amélioratif"),"Type inconnu",IF(I94="","Statut manquant",IF(AND(I94&lt;&gt;"Terminée",I94&lt;&gt;"En cours",I94&lt;&gt;"À faire",I94&lt;&gt;"Annulée"),"Statut inconnu",IF(AND(E94="Préventif",F94=""),"Plan manquant (préventif)",IF(AND(F94&lt;&gt;"",ISNA(MATCH(F94,pl_num,0))),"Plan inconnu",IF(AND(F94&lt;&gt;"",IFERROR(INDEX(pl_eq,MATCH(F94,pl_num,0))&amp;"",C94)&lt;&gt;C94),"Plan d'un autre équipement",IF(AND(J94&lt;&gt;"",OR(NOT(ISNUMBER(J94)),N(J94)&lt;0)),"Compteur invalide",IF(OR(AND(K94&lt;&gt;"",OR(NOT(ISNUMBER(K94)),N(K94)&lt;0)),AND(L94&lt;&gt;"",OR(NOT(ISNUMBER(L94)),N(L94)&lt;0))),"Durée invalide",IF(OR(AND(N94&lt;&gt;"",OR(NOT(ISNUMBER(N94)),N(N94)&lt;0)),AND(P94&lt;&gt;"",OR(NOT(ISNUMBER(P94)),N(P94)&lt;0))),"Coût invalide",IF(AND(M94&lt;&gt;"",ISNA(MATCH(M94,tech_name,0))),"Technicien inconnu",IF(AND(I94="Terminée",S94&gt;p_today),"Terminée à une date future",IF(AND(I94="Terminée",V94=0),"Durée d'intervention manquante",IF(AND(I94="Terminée",E94="Préventif",T94=0,OR(IFERROR(INDEX(pl_trig,MATCH(F94,pl_num,0))&amp;"","")="Compteur",IFERROR(INDEX(pl_trig,MATCH(F94,pl_num,0))&amp;"","")="Au premier des deux")),"Compteur manquant (plan au compteur)","OK"))))))))))))))))))</f>
        <v/>
      </c>
      <c r="S94" s="67">
        <f>IF(AND(ISNUMBER(B94),N(B94)&gt;0),INT(B94),0)</f>
        <v>0.0</v>
      </c>
      <c r="T94" s="67">
        <f>IF(AND(ISNUMBER(J94),N(J94)&gt;=0),N(J94),0)</f>
        <v>0.0</v>
      </c>
      <c r="U94" s="67">
        <f>IF(AND(ISNUMBER(K94),N(K94)&gt;0),N(K94),0)</f>
        <v>0.0</v>
      </c>
      <c r="V94" s="67">
        <f>IF(AND(ISNUMBER(L94),N(L94)&gt;0),N(L94),0)</f>
        <v>0.0</v>
      </c>
      <c r="W94" s="67">
        <f>IF(AND(I94="Terminée",S94&gt;0,C94&lt;&gt;"",ISNUMBER(MATCH(C94,eq_code,0))),1,0)</f>
        <v>0.0</v>
      </c>
      <c r="X94" s="67">
        <f>IF(AND(W94=1,E94="Préventif"),1,0)</f>
        <v>0.0</v>
      </c>
      <c r="Y94" s="67">
        <f>IF(AND(ISNUMBER(N94),N(N94)&gt;0),N(N94),0)</f>
        <v>0.0</v>
      </c>
      <c r="Z94" s="67">
        <f>IF(AND(ISNUMBER(P94),N(P94)&gt;0),N(P94),0)</f>
        <v>0.0</v>
      </c>
    </row>
    <row r="95">
      <c r="A95" s="79" t="str">
        <f>IF(COUNTA(B95:C95,E95:G95,I95)=0,"","BI-"&amp;RIGHT("0000"&amp;(ROW()-5),4))</f>
        <v/>
      </c>
      <c r="B95" s="72" t="n"/>
      <c r="C95" s="66" t="n"/>
      <c r="D95" s="67" t="str">
        <f>IF(C95="","",IFERROR(INDEX(eq_des,MATCH(C95,eq_code,0))&amp;"","Équipement inconnu"))</f>
        <v/>
      </c>
      <c r="E95" s="68" t="n"/>
      <c r="F95" s="68" t="n"/>
      <c r="G95" s="66" t="n"/>
      <c r="H95" s="66" t="n"/>
      <c r="I95" s="68" t="n"/>
      <c r="J95" s="73" t="n"/>
      <c r="K95" s="71" t="n"/>
      <c r="L95" s="71" t="n"/>
      <c r="M95" s="66" t="n"/>
      <c r="N95" s="80" t="n"/>
      <c r="O95" s="81" t="str">
        <f>IF(A95="","",ROUND(V95*IFERROR(N(INDEX(tech_rate,MATCH(M95,tech_name,0))),0),2))</f>
        <v/>
      </c>
      <c r="P95" s="80" t="n"/>
      <c r="Q95" s="81" t="str">
        <f>IF(A95="","",ROUND(Y95+O95+Z95,2))</f>
        <v/>
      </c>
      <c r="R95" s="79" t="str">
        <f>IF(A95="","",IF(S95=0,"Date manquante ou invalide",IF(C95="","Équipement manquant",IF(ISNA(MATCH(C95,eq_code,0)),"Équipement inconnu",IF(E95="","Type manquant",IF(AND(E95&lt;&gt;"Préventif",E95&lt;&gt;"Correctif",E95&lt;&gt;"Amélioratif"),"Type inconnu",IF(I95="","Statut manquant",IF(AND(I95&lt;&gt;"Terminée",I95&lt;&gt;"En cours",I95&lt;&gt;"À faire",I95&lt;&gt;"Annulée"),"Statut inconnu",IF(AND(E95="Préventif",F95=""),"Plan manquant (préventif)",IF(AND(F95&lt;&gt;"",ISNA(MATCH(F95,pl_num,0))),"Plan inconnu",IF(AND(F95&lt;&gt;"",IFERROR(INDEX(pl_eq,MATCH(F95,pl_num,0))&amp;"",C95)&lt;&gt;C95),"Plan d'un autre équipement",IF(AND(J95&lt;&gt;"",OR(NOT(ISNUMBER(J95)),N(J95)&lt;0)),"Compteur invalide",IF(OR(AND(K95&lt;&gt;"",OR(NOT(ISNUMBER(K95)),N(K95)&lt;0)),AND(L95&lt;&gt;"",OR(NOT(ISNUMBER(L95)),N(L95)&lt;0))),"Durée invalide",IF(OR(AND(N95&lt;&gt;"",OR(NOT(ISNUMBER(N95)),N(N95)&lt;0)),AND(P95&lt;&gt;"",OR(NOT(ISNUMBER(P95)),N(P95)&lt;0))),"Coût invalide",IF(AND(M95&lt;&gt;"",ISNA(MATCH(M95,tech_name,0))),"Technicien inconnu",IF(AND(I95="Terminée",S95&gt;p_today),"Terminée à une date future",IF(AND(I95="Terminée",V95=0),"Durée d'intervention manquante",IF(AND(I95="Terminée",E95="Préventif",T95=0,OR(IFERROR(INDEX(pl_trig,MATCH(F95,pl_num,0))&amp;"","")="Compteur",IFERROR(INDEX(pl_trig,MATCH(F95,pl_num,0))&amp;"","")="Au premier des deux")),"Compteur manquant (plan au compteur)","OK"))))))))))))))))))</f>
        <v/>
      </c>
      <c r="S95" s="67">
        <f>IF(AND(ISNUMBER(B95),N(B95)&gt;0),INT(B95),0)</f>
        <v>0.0</v>
      </c>
      <c r="T95" s="67">
        <f>IF(AND(ISNUMBER(J95),N(J95)&gt;=0),N(J95),0)</f>
        <v>0.0</v>
      </c>
      <c r="U95" s="67">
        <f>IF(AND(ISNUMBER(K95),N(K95)&gt;0),N(K95),0)</f>
        <v>0.0</v>
      </c>
      <c r="V95" s="67">
        <f>IF(AND(ISNUMBER(L95),N(L95)&gt;0),N(L95),0)</f>
        <v>0.0</v>
      </c>
      <c r="W95" s="67">
        <f>IF(AND(I95="Terminée",S95&gt;0,C95&lt;&gt;"",ISNUMBER(MATCH(C95,eq_code,0))),1,0)</f>
        <v>0.0</v>
      </c>
      <c r="X95" s="67">
        <f>IF(AND(W95=1,E95="Préventif"),1,0)</f>
        <v>0.0</v>
      </c>
      <c r="Y95" s="67">
        <f>IF(AND(ISNUMBER(N95),N(N95)&gt;0),N(N95),0)</f>
        <v>0.0</v>
      </c>
      <c r="Z95" s="67">
        <f>IF(AND(ISNUMBER(P95),N(P95)&gt;0),N(P95),0)</f>
        <v>0.0</v>
      </c>
    </row>
    <row r="96">
      <c r="A96" s="79" t="str">
        <f>IF(COUNTA(B96:C96,E96:G96,I96)=0,"","BI-"&amp;RIGHT("0000"&amp;(ROW()-5),4))</f>
        <v/>
      </c>
      <c r="B96" s="72" t="n"/>
      <c r="C96" s="66" t="n"/>
      <c r="D96" s="67" t="str">
        <f>IF(C96="","",IFERROR(INDEX(eq_des,MATCH(C96,eq_code,0))&amp;"","Équipement inconnu"))</f>
        <v/>
      </c>
      <c r="E96" s="68" t="n"/>
      <c r="F96" s="68" t="n"/>
      <c r="G96" s="66" t="n"/>
      <c r="H96" s="66" t="n"/>
      <c r="I96" s="68" t="n"/>
      <c r="J96" s="73" t="n"/>
      <c r="K96" s="71" t="n"/>
      <c r="L96" s="71" t="n"/>
      <c r="M96" s="66" t="n"/>
      <c r="N96" s="80" t="n"/>
      <c r="O96" s="81" t="str">
        <f>IF(A96="","",ROUND(V96*IFERROR(N(INDEX(tech_rate,MATCH(M96,tech_name,0))),0),2))</f>
        <v/>
      </c>
      <c r="P96" s="80" t="n"/>
      <c r="Q96" s="81" t="str">
        <f>IF(A96="","",ROUND(Y96+O96+Z96,2))</f>
        <v/>
      </c>
      <c r="R96" s="79" t="str">
        <f>IF(A96="","",IF(S96=0,"Date manquante ou invalide",IF(C96="","Équipement manquant",IF(ISNA(MATCH(C96,eq_code,0)),"Équipement inconnu",IF(E96="","Type manquant",IF(AND(E96&lt;&gt;"Préventif",E96&lt;&gt;"Correctif",E96&lt;&gt;"Amélioratif"),"Type inconnu",IF(I96="","Statut manquant",IF(AND(I96&lt;&gt;"Terminée",I96&lt;&gt;"En cours",I96&lt;&gt;"À faire",I96&lt;&gt;"Annulée"),"Statut inconnu",IF(AND(E96="Préventif",F96=""),"Plan manquant (préventif)",IF(AND(F96&lt;&gt;"",ISNA(MATCH(F96,pl_num,0))),"Plan inconnu",IF(AND(F96&lt;&gt;"",IFERROR(INDEX(pl_eq,MATCH(F96,pl_num,0))&amp;"",C96)&lt;&gt;C96),"Plan d'un autre équipement",IF(AND(J96&lt;&gt;"",OR(NOT(ISNUMBER(J96)),N(J96)&lt;0)),"Compteur invalide",IF(OR(AND(K96&lt;&gt;"",OR(NOT(ISNUMBER(K96)),N(K96)&lt;0)),AND(L96&lt;&gt;"",OR(NOT(ISNUMBER(L96)),N(L96)&lt;0))),"Durée invalide",IF(OR(AND(N96&lt;&gt;"",OR(NOT(ISNUMBER(N96)),N(N96)&lt;0)),AND(P96&lt;&gt;"",OR(NOT(ISNUMBER(P96)),N(P96)&lt;0))),"Coût invalide",IF(AND(M96&lt;&gt;"",ISNA(MATCH(M96,tech_name,0))),"Technicien inconnu",IF(AND(I96="Terminée",S96&gt;p_today),"Terminée à une date future",IF(AND(I96="Terminée",V96=0),"Durée d'intervention manquante",IF(AND(I96="Terminée",E96="Préventif",T96=0,OR(IFERROR(INDEX(pl_trig,MATCH(F96,pl_num,0))&amp;"","")="Compteur",IFERROR(INDEX(pl_trig,MATCH(F96,pl_num,0))&amp;"","")="Au premier des deux")),"Compteur manquant (plan au compteur)","OK"))))))))))))))))))</f>
        <v/>
      </c>
      <c r="S96" s="67">
        <f>IF(AND(ISNUMBER(B96),N(B96)&gt;0),INT(B96),0)</f>
        <v>0.0</v>
      </c>
      <c r="T96" s="67">
        <f>IF(AND(ISNUMBER(J96),N(J96)&gt;=0),N(J96),0)</f>
        <v>0.0</v>
      </c>
      <c r="U96" s="67">
        <f>IF(AND(ISNUMBER(K96),N(K96)&gt;0),N(K96),0)</f>
        <v>0.0</v>
      </c>
      <c r="V96" s="67">
        <f>IF(AND(ISNUMBER(L96),N(L96)&gt;0),N(L96),0)</f>
        <v>0.0</v>
      </c>
      <c r="W96" s="67">
        <f>IF(AND(I96="Terminée",S96&gt;0,C96&lt;&gt;"",ISNUMBER(MATCH(C96,eq_code,0))),1,0)</f>
        <v>0.0</v>
      </c>
      <c r="X96" s="67">
        <f>IF(AND(W96=1,E96="Préventif"),1,0)</f>
        <v>0.0</v>
      </c>
      <c r="Y96" s="67">
        <f>IF(AND(ISNUMBER(N96),N(N96)&gt;0),N(N96),0)</f>
        <v>0.0</v>
      </c>
      <c r="Z96" s="67">
        <f>IF(AND(ISNUMBER(P96),N(P96)&gt;0),N(P96),0)</f>
        <v>0.0</v>
      </c>
    </row>
    <row r="97">
      <c r="A97" s="79" t="str">
        <f>IF(COUNTA(B97:C97,E97:G97,I97)=0,"","BI-"&amp;RIGHT("0000"&amp;(ROW()-5),4))</f>
        <v/>
      </c>
      <c r="B97" s="72" t="n"/>
      <c r="C97" s="66" t="n"/>
      <c r="D97" s="67" t="str">
        <f>IF(C97="","",IFERROR(INDEX(eq_des,MATCH(C97,eq_code,0))&amp;"","Équipement inconnu"))</f>
        <v/>
      </c>
      <c r="E97" s="68" t="n"/>
      <c r="F97" s="68" t="n"/>
      <c r="G97" s="66" t="n"/>
      <c r="H97" s="66" t="n"/>
      <c r="I97" s="68" t="n"/>
      <c r="J97" s="73" t="n"/>
      <c r="K97" s="71" t="n"/>
      <c r="L97" s="71" t="n"/>
      <c r="M97" s="66" t="n"/>
      <c r="N97" s="80" t="n"/>
      <c r="O97" s="81" t="str">
        <f>IF(A97="","",ROUND(V97*IFERROR(N(INDEX(tech_rate,MATCH(M97,tech_name,0))),0),2))</f>
        <v/>
      </c>
      <c r="P97" s="80" t="n"/>
      <c r="Q97" s="81" t="str">
        <f>IF(A97="","",ROUND(Y97+O97+Z97,2))</f>
        <v/>
      </c>
      <c r="R97" s="79" t="str">
        <f>IF(A97="","",IF(S97=0,"Date manquante ou invalide",IF(C97="","Équipement manquant",IF(ISNA(MATCH(C97,eq_code,0)),"Équipement inconnu",IF(E97="","Type manquant",IF(AND(E97&lt;&gt;"Préventif",E97&lt;&gt;"Correctif",E97&lt;&gt;"Amélioratif"),"Type inconnu",IF(I97="","Statut manquant",IF(AND(I97&lt;&gt;"Terminée",I97&lt;&gt;"En cours",I97&lt;&gt;"À faire",I97&lt;&gt;"Annulée"),"Statut inconnu",IF(AND(E97="Préventif",F97=""),"Plan manquant (préventif)",IF(AND(F97&lt;&gt;"",ISNA(MATCH(F97,pl_num,0))),"Plan inconnu",IF(AND(F97&lt;&gt;"",IFERROR(INDEX(pl_eq,MATCH(F97,pl_num,0))&amp;"",C97)&lt;&gt;C97),"Plan d'un autre équipement",IF(AND(J97&lt;&gt;"",OR(NOT(ISNUMBER(J97)),N(J97)&lt;0)),"Compteur invalide",IF(OR(AND(K97&lt;&gt;"",OR(NOT(ISNUMBER(K97)),N(K97)&lt;0)),AND(L97&lt;&gt;"",OR(NOT(ISNUMBER(L97)),N(L97)&lt;0))),"Durée invalide",IF(OR(AND(N97&lt;&gt;"",OR(NOT(ISNUMBER(N97)),N(N97)&lt;0)),AND(P97&lt;&gt;"",OR(NOT(ISNUMBER(P97)),N(P97)&lt;0))),"Coût invalide",IF(AND(M97&lt;&gt;"",ISNA(MATCH(M97,tech_name,0))),"Technicien inconnu",IF(AND(I97="Terminée",S97&gt;p_today),"Terminée à une date future",IF(AND(I97="Terminée",V97=0),"Durée d'intervention manquante",IF(AND(I97="Terminée",E97="Préventif",T97=0,OR(IFERROR(INDEX(pl_trig,MATCH(F97,pl_num,0))&amp;"","")="Compteur",IFERROR(INDEX(pl_trig,MATCH(F97,pl_num,0))&amp;"","")="Au premier des deux")),"Compteur manquant (plan au compteur)","OK"))))))))))))))))))</f>
        <v/>
      </c>
      <c r="S97" s="67">
        <f>IF(AND(ISNUMBER(B97),N(B97)&gt;0),INT(B97),0)</f>
        <v>0.0</v>
      </c>
      <c r="T97" s="67">
        <f>IF(AND(ISNUMBER(J97),N(J97)&gt;=0),N(J97),0)</f>
        <v>0.0</v>
      </c>
      <c r="U97" s="67">
        <f>IF(AND(ISNUMBER(K97),N(K97)&gt;0),N(K97),0)</f>
        <v>0.0</v>
      </c>
      <c r="V97" s="67">
        <f>IF(AND(ISNUMBER(L97),N(L97)&gt;0),N(L97),0)</f>
        <v>0.0</v>
      </c>
      <c r="W97" s="67">
        <f>IF(AND(I97="Terminée",S97&gt;0,C97&lt;&gt;"",ISNUMBER(MATCH(C97,eq_code,0))),1,0)</f>
        <v>0.0</v>
      </c>
      <c r="X97" s="67">
        <f>IF(AND(W97=1,E97="Préventif"),1,0)</f>
        <v>0.0</v>
      </c>
      <c r="Y97" s="67">
        <f>IF(AND(ISNUMBER(N97),N(N97)&gt;0),N(N97),0)</f>
        <v>0.0</v>
      </c>
      <c r="Z97" s="67">
        <f>IF(AND(ISNUMBER(P97),N(P97)&gt;0),N(P97),0)</f>
        <v>0.0</v>
      </c>
    </row>
    <row r="98">
      <c r="A98" s="79" t="str">
        <f>IF(COUNTA(B98:C98,E98:G98,I98)=0,"","BI-"&amp;RIGHT("0000"&amp;(ROW()-5),4))</f>
        <v/>
      </c>
      <c r="B98" s="72" t="n"/>
      <c r="C98" s="66" t="n"/>
      <c r="D98" s="67" t="str">
        <f>IF(C98="","",IFERROR(INDEX(eq_des,MATCH(C98,eq_code,0))&amp;"","Équipement inconnu"))</f>
        <v/>
      </c>
      <c r="E98" s="68" t="n"/>
      <c r="F98" s="68" t="n"/>
      <c r="G98" s="66" t="n"/>
      <c r="H98" s="66" t="n"/>
      <c r="I98" s="68" t="n"/>
      <c r="J98" s="73" t="n"/>
      <c r="K98" s="71" t="n"/>
      <c r="L98" s="71" t="n"/>
      <c r="M98" s="66" t="n"/>
      <c r="N98" s="80" t="n"/>
      <c r="O98" s="81" t="str">
        <f>IF(A98="","",ROUND(V98*IFERROR(N(INDEX(tech_rate,MATCH(M98,tech_name,0))),0),2))</f>
        <v/>
      </c>
      <c r="P98" s="80" t="n"/>
      <c r="Q98" s="81" t="str">
        <f>IF(A98="","",ROUND(Y98+O98+Z98,2))</f>
        <v/>
      </c>
      <c r="R98" s="79" t="str">
        <f>IF(A98="","",IF(S98=0,"Date manquante ou invalide",IF(C98="","Équipement manquant",IF(ISNA(MATCH(C98,eq_code,0)),"Équipement inconnu",IF(E98="","Type manquant",IF(AND(E98&lt;&gt;"Préventif",E98&lt;&gt;"Correctif",E98&lt;&gt;"Amélioratif"),"Type inconnu",IF(I98="","Statut manquant",IF(AND(I98&lt;&gt;"Terminée",I98&lt;&gt;"En cours",I98&lt;&gt;"À faire",I98&lt;&gt;"Annulée"),"Statut inconnu",IF(AND(E98="Préventif",F98=""),"Plan manquant (préventif)",IF(AND(F98&lt;&gt;"",ISNA(MATCH(F98,pl_num,0))),"Plan inconnu",IF(AND(F98&lt;&gt;"",IFERROR(INDEX(pl_eq,MATCH(F98,pl_num,0))&amp;"",C98)&lt;&gt;C98),"Plan d'un autre équipement",IF(AND(J98&lt;&gt;"",OR(NOT(ISNUMBER(J98)),N(J98)&lt;0)),"Compteur invalide",IF(OR(AND(K98&lt;&gt;"",OR(NOT(ISNUMBER(K98)),N(K98)&lt;0)),AND(L98&lt;&gt;"",OR(NOT(ISNUMBER(L98)),N(L98)&lt;0))),"Durée invalide",IF(OR(AND(N98&lt;&gt;"",OR(NOT(ISNUMBER(N98)),N(N98)&lt;0)),AND(P98&lt;&gt;"",OR(NOT(ISNUMBER(P98)),N(P98)&lt;0))),"Coût invalide",IF(AND(M98&lt;&gt;"",ISNA(MATCH(M98,tech_name,0))),"Technicien inconnu",IF(AND(I98="Terminée",S98&gt;p_today),"Terminée à une date future",IF(AND(I98="Terminée",V98=0),"Durée d'intervention manquante",IF(AND(I98="Terminée",E98="Préventif",T98=0,OR(IFERROR(INDEX(pl_trig,MATCH(F98,pl_num,0))&amp;"","")="Compteur",IFERROR(INDEX(pl_trig,MATCH(F98,pl_num,0))&amp;"","")="Au premier des deux")),"Compteur manquant (plan au compteur)","OK"))))))))))))))))))</f>
        <v/>
      </c>
      <c r="S98" s="67">
        <f>IF(AND(ISNUMBER(B98),N(B98)&gt;0),INT(B98),0)</f>
        <v>0.0</v>
      </c>
      <c r="T98" s="67">
        <f>IF(AND(ISNUMBER(J98),N(J98)&gt;=0),N(J98),0)</f>
        <v>0.0</v>
      </c>
      <c r="U98" s="67">
        <f>IF(AND(ISNUMBER(K98),N(K98)&gt;0),N(K98),0)</f>
        <v>0.0</v>
      </c>
      <c r="V98" s="67">
        <f>IF(AND(ISNUMBER(L98),N(L98)&gt;0),N(L98),0)</f>
        <v>0.0</v>
      </c>
      <c r="W98" s="67">
        <f>IF(AND(I98="Terminée",S98&gt;0,C98&lt;&gt;"",ISNUMBER(MATCH(C98,eq_code,0))),1,0)</f>
        <v>0.0</v>
      </c>
      <c r="X98" s="67">
        <f>IF(AND(W98=1,E98="Préventif"),1,0)</f>
        <v>0.0</v>
      </c>
      <c r="Y98" s="67">
        <f>IF(AND(ISNUMBER(N98),N(N98)&gt;0),N(N98),0)</f>
        <v>0.0</v>
      </c>
      <c r="Z98" s="67">
        <f>IF(AND(ISNUMBER(P98),N(P98)&gt;0),N(P98),0)</f>
        <v>0.0</v>
      </c>
    </row>
    <row r="99">
      <c r="A99" s="79" t="str">
        <f>IF(COUNTA(B99:C99,E99:G99,I99)=0,"","BI-"&amp;RIGHT("0000"&amp;(ROW()-5),4))</f>
        <v/>
      </c>
      <c r="B99" s="72" t="n"/>
      <c r="C99" s="66" t="n"/>
      <c r="D99" s="67" t="str">
        <f>IF(C99="","",IFERROR(INDEX(eq_des,MATCH(C99,eq_code,0))&amp;"","Équipement inconnu"))</f>
        <v/>
      </c>
      <c r="E99" s="68" t="n"/>
      <c r="F99" s="68" t="n"/>
      <c r="G99" s="66" t="n"/>
      <c r="H99" s="66" t="n"/>
      <c r="I99" s="68" t="n"/>
      <c r="J99" s="73" t="n"/>
      <c r="K99" s="71" t="n"/>
      <c r="L99" s="71" t="n"/>
      <c r="M99" s="66" t="n"/>
      <c r="N99" s="80" t="n"/>
      <c r="O99" s="81" t="str">
        <f>IF(A99="","",ROUND(V99*IFERROR(N(INDEX(tech_rate,MATCH(M99,tech_name,0))),0),2))</f>
        <v/>
      </c>
      <c r="P99" s="80" t="n"/>
      <c r="Q99" s="81" t="str">
        <f>IF(A99="","",ROUND(Y99+O99+Z99,2))</f>
        <v/>
      </c>
      <c r="R99" s="79" t="str">
        <f>IF(A99="","",IF(S99=0,"Date manquante ou invalide",IF(C99="","Équipement manquant",IF(ISNA(MATCH(C99,eq_code,0)),"Équipement inconnu",IF(E99="","Type manquant",IF(AND(E99&lt;&gt;"Préventif",E99&lt;&gt;"Correctif",E99&lt;&gt;"Amélioratif"),"Type inconnu",IF(I99="","Statut manquant",IF(AND(I99&lt;&gt;"Terminée",I99&lt;&gt;"En cours",I99&lt;&gt;"À faire",I99&lt;&gt;"Annulée"),"Statut inconnu",IF(AND(E99="Préventif",F99=""),"Plan manquant (préventif)",IF(AND(F99&lt;&gt;"",ISNA(MATCH(F99,pl_num,0))),"Plan inconnu",IF(AND(F99&lt;&gt;"",IFERROR(INDEX(pl_eq,MATCH(F99,pl_num,0))&amp;"",C99)&lt;&gt;C99),"Plan d'un autre équipement",IF(AND(J99&lt;&gt;"",OR(NOT(ISNUMBER(J99)),N(J99)&lt;0)),"Compteur invalide",IF(OR(AND(K99&lt;&gt;"",OR(NOT(ISNUMBER(K99)),N(K99)&lt;0)),AND(L99&lt;&gt;"",OR(NOT(ISNUMBER(L99)),N(L99)&lt;0))),"Durée invalide",IF(OR(AND(N99&lt;&gt;"",OR(NOT(ISNUMBER(N99)),N(N99)&lt;0)),AND(P99&lt;&gt;"",OR(NOT(ISNUMBER(P99)),N(P99)&lt;0))),"Coût invalide",IF(AND(M99&lt;&gt;"",ISNA(MATCH(M99,tech_name,0))),"Technicien inconnu",IF(AND(I99="Terminée",S99&gt;p_today),"Terminée à une date future",IF(AND(I99="Terminée",V99=0),"Durée d'intervention manquante",IF(AND(I99="Terminée",E99="Préventif",T99=0,OR(IFERROR(INDEX(pl_trig,MATCH(F99,pl_num,0))&amp;"","")="Compteur",IFERROR(INDEX(pl_trig,MATCH(F99,pl_num,0))&amp;"","")="Au premier des deux")),"Compteur manquant (plan au compteur)","OK"))))))))))))))))))</f>
        <v/>
      </c>
      <c r="S99" s="67">
        <f>IF(AND(ISNUMBER(B99),N(B99)&gt;0),INT(B99),0)</f>
        <v>0.0</v>
      </c>
      <c r="T99" s="67">
        <f>IF(AND(ISNUMBER(J99),N(J99)&gt;=0),N(J99),0)</f>
        <v>0.0</v>
      </c>
      <c r="U99" s="67">
        <f>IF(AND(ISNUMBER(K99),N(K99)&gt;0),N(K99),0)</f>
        <v>0.0</v>
      </c>
      <c r="V99" s="67">
        <f>IF(AND(ISNUMBER(L99),N(L99)&gt;0),N(L99),0)</f>
        <v>0.0</v>
      </c>
      <c r="W99" s="67">
        <f>IF(AND(I99="Terminée",S99&gt;0,C99&lt;&gt;"",ISNUMBER(MATCH(C99,eq_code,0))),1,0)</f>
        <v>0.0</v>
      </c>
      <c r="X99" s="67">
        <f>IF(AND(W99=1,E99="Préventif"),1,0)</f>
        <v>0.0</v>
      </c>
      <c r="Y99" s="67">
        <f>IF(AND(ISNUMBER(N99),N(N99)&gt;0),N(N99),0)</f>
        <v>0.0</v>
      </c>
      <c r="Z99" s="67">
        <f>IF(AND(ISNUMBER(P99),N(P99)&gt;0),N(P99),0)</f>
        <v>0.0</v>
      </c>
    </row>
    <row r="100">
      <c r="A100" s="79" t="str">
        <f>IF(COUNTA(B100:C100,E100:G100,I100)=0,"","BI-"&amp;RIGHT("0000"&amp;(ROW()-5),4))</f>
        <v/>
      </c>
      <c r="B100" s="72" t="n"/>
      <c r="C100" s="66" t="n"/>
      <c r="D100" s="67" t="str">
        <f>IF(C100="","",IFERROR(INDEX(eq_des,MATCH(C100,eq_code,0))&amp;"","Équipement inconnu"))</f>
        <v/>
      </c>
      <c r="E100" s="68" t="n"/>
      <c r="F100" s="68" t="n"/>
      <c r="G100" s="66" t="n"/>
      <c r="H100" s="66" t="n"/>
      <c r="I100" s="68" t="n"/>
      <c r="J100" s="73" t="n"/>
      <c r="K100" s="71" t="n"/>
      <c r="L100" s="71" t="n"/>
      <c r="M100" s="66" t="n"/>
      <c r="N100" s="80" t="n"/>
      <c r="O100" s="81" t="str">
        <f>IF(A100="","",ROUND(V100*IFERROR(N(INDEX(tech_rate,MATCH(M100,tech_name,0))),0),2))</f>
        <v/>
      </c>
      <c r="P100" s="80" t="n"/>
      <c r="Q100" s="81" t="str">
        <f>IF(A100="","",ROUND(Y100+O100+Z100,2))</f>
        <v/>
      </c>
      <c r="R100" s="79" t="str">
        <f>IF(A100="","",IF(S100=0,"Date manquante ou invalide",IF(C100="","Équipement manquant",IF(ISNA(MATCH(C100,eq_code,0)),"Équipement inconnu",IF(E100="","Type manquant",IF(AND(E100&lt;&gt;"Préventif",E100&lt;&gt;"Correctif",E100&lt;&gt;"Amélioratif"),"Type inconnu",IF(I100="","Statut manquant",IF(AND(I100&lt;&gt;"Terminée",I100&lt;&gt;"En cours",I100&lt;&gt;"À faire",I100&lt;&gt;"Annulée"),"Statut inconnu",IF(AND(E100="Préventif",F100=""),"Plan manquant (préventif)",IF(AND(F100&lt;&gt;"",ISNA(MATCH(F100,pl_num,0))),"Plan inconnu",IF(AND(F100&lt;&gt;"",IFERROR(INDEX(pl_eq,MATCH(F100,pl_num,0))&amp;"",C100)&lt;&gt;C100),"Plan d'un autre équipement",IF(AND(J100&lt;&gt;"",OR(NOT(ISNUMBER(J100)),N(J100)&lt;0)),"Compteur invalide",IF(OR(AND(K100&lt;&gt;"",OR(NOT(ISNUMBER(K100)),N(K100)&lt;0)),AND(L100&lt;&gt;"",OR(NOT(ISNUMBER(L100)),N(L100)&lt;0))),"Durée invalide",IF(OR(AND(N100&lt;&gt;"",OR(NOT(ISNUMBER(N100)),N(N100)&lt;0)),AND(P100&lt;&gt;"",OR(NOT(ISNUMBER(P100)),N(P100)&lt;0))),"Coût invalide",IF(AND(M100&lt;&gt;"",ISNA(MATCH(M100,tech_name,0))),"Technicien inconnu",IF(AND(I100="Terminée",S100&gt;p_today),"Terminée à une date future",IF(AND(I100="Terminée",V100=0),"Durée d'intervention manquante",IF(AND(I100="Terminée",E100="Préventif",T100=0,OR(IFERROR(INDEX(pl_trig,MATCH(F100,pl_num,0))&amp;"","")="Compteur",IFERROR(INDEX(pl_trig,MATCH(F100,pl_num,0))&amp;"","")="Au premier des deux")),"Compteur manquant (plan au compteur)","OK"))))))))))))))))))</f>
        <v/>
      </c>
      <c r="S100" s="67">
        <f>IF(AND(ISNUMBER(B100),N(B100)&gt;0),INT(B100),0)</f>
        <v>0.0</v>
      </c>
      <c r="T100" s="67">
        <f>IF(AND(ISNUMBER(J100),N(J100)&gt;=0),N(J100),0)</f>
        <v>0.0</v>
      </c>
      <c r="U100" s="67">
        <f>IF(AND(ISNUMBER(K100),N(K100)&gt;0),N(K100),0)</f>
        <v>0.0</v>
      </c>
      <c r="V100" s="67">
        <f>IF(AND(ISNUMBER(L100),N(L100)&gt;0),N(L100),0)</f>
        <v>0.0</v>
      </c>
      <c r="W100" s="67">
        <f>IF(AND(I100="Terminée",S100&gt;0,C100&lt;&gt;"",ISNUMBER(MATCH(C100,eq_code,0))),1,0)</f>
        <v>0.0</v>
      </c>
      <c r="X100" s="67">
        <f>IF(AND(W100=1,E100="Préventif"),1,0)</f>
        <v>0.0</v>
      </c>
      <c r="Y100" s="67">
        <f>IF(AND(ISNUMBER(N100),N(N100)&gt;0),N(N100),0)</f>
        <v>0.0</v>
      </c>
      <c r="Z100" s="67">
        <f>IF(AND(ISNUMBER(P100),N(P100)&gt;0),N(P100),0)</f>
        <v>0.0</v>
      </c>
    </row>
    <row r="101">
      <c r="A101" s="79" t="str">
        <f>IF(COUNTA(B101:C101,E101:G101,I101)=0,"","BI-"&amp;RIGHT("0000"&amp;(ROW()-5),4))</f>
        <v/>
      </c>
      <c r="B101" s="72" t="n"/>
      <c r="C101" s="66" t="n"/>
      <c r="D101" s="67" t="str">
        <f>IF(C101="","",IFERROR(INDEX(eq_des,MATCH(C101,eq_code,0))&amp;"","Équipement inconnu"))</f>
        <v/>
      </c>
      <c r="E101" s="68" t="n"/>
      <c r="F101" s="68" t="n"/>
      <c r="G101" s="66" t="n"/>
      <c r="H101" s="66" t="n"/>
      <c r="I101" s="68" t="n"/>
      <c r="J101" s="73" t="n"/>
      <c r="K101" s="71" t="n"/>
      <c r="L101" s="71" t="n"/>
      <c r="M101" s="66" t="n"/>
      <c r="N101" s="80" t="n"/>
      <c r="O101" s="81" t="str">
        <f>IF(A101="","",ROUND(V101*IFERROR(N(INDEX(tech_rate,MATCH(M101,tech_name,0))),0),2))</f>
        <v/>
      </c>
      <c r="P101" s="80" t="n"/>
      <c r="Q101" s="81" t="str">
        <f>IF(A101="","",ROUND(Y101+O101+Z101,2))</f>
        <v/>
      </c>
      <c r="R101" s="79" t="str">
        <f>IF(A101="","",IF(S101=0,"Date manquante ou invalide",IF(C101="","Équipement manquant",IF(ISNA(MATCH(C101,eq_code,0)),"Équipement inconnu",IF(E101="","Type manquant",IF(AND(E101&lt;&gt;"Préventif",E101&lt;&gt;"Correctif",E101&lt;&gt;"Amélioratif"),"Type inconnu",IF(I101="","Statut manquant",IF(AND(I101&lt;&gt;"Terminée",I101&lt;&gt;"En cours",I101&lt;&gt;"À faire",I101&lt;&gt;"Annulée"),"Statut inconnu",IF(AND(E101="Préventif",F101=""),"Plan manquant (préventif)",IF(AND(F101&lt;&gt;"",ISNA(MATCH(F101,pl_num,0))),"Plan inconnu",IF(AND(F101&lt;&gt;"",IFERROR(INDEX(pl_eq,MATCH(F101,pl_num,0))&amp;"",C101)&lt;&gt;C101),"Plan d'un autre équipement",IF(AND(J101&lt;&gt;"",OR(NOT(ISNUMBER(J101)),N(J101)&lt;0)),"Compteur invalide",IF(OR(AND(K101&lt;&gt;"",OR(NOT(ISNUMBER(K101)),N(K101)&lt;0)),AND(L101&lt;&gt;"",OR(NOT(ISNUMBER(L101)),N(L101)&lt;0))),"Durée invalide",IF(OR(AND(N101&lt;&gt;"",OR(NOT(ISNUMBER(N101)),N(N101)&lt;0)),AND(P101&lt;&gt;"",OR(NOT(ISNUMBER(P101)),N(P101)&lt;0))),"Coût invalide",IF(AND(M101&lt;&gt;"",ISNA(MATCH(M101,tech_name,0))),"Technicien inconnu",IF(AND(I101="Terminée",S101&gt;p_today),"Terminée à une date future",IF(AND(I101="Terminée",V101=0),"Durée d'intervention manquante",IF(AND(I101="Terminée",E101="Préventif",T101=0,OR(IFERROR(INDEX(pl_trig,MATCH(F101,pl_num,0))&amp;"","")="Compteur",IFERROR(INDEX(pl_trig,MATCH(F101,pl_num,0))&amp;"","")="Au premier des deux")),"Compteur manquant (plan au compteur)","OK"))))))))))))))))))</f>
        <v/>
      </c>
      <c r="S101" s="67">
        <f>IF(AND(ISNUMBER(B101),N(B101)&gt;0),INT(B101),0)</f>
        <v>0.0</v>
      </c>
      <c r="T101" s="67">
        <f>IF(AND(ISNUMBER(J101),N(J101)&gt;=0),N(J101),0)</f>
        <v>0.0</v>
      </c>
      <c r="U101" s="67">
        <f>IF(AND(ISNUMBER(K101),N(K101)&gt;0),N(K101),0)</f>
        <v>0.0</v>
      </c>
      <c r="V101" s="67">
        <f>IF(AND(ISNUMBER(L101),N(L101)&gt;0),N(L101),0)</f>
        <v>0.0</v>
      </c>
      <c r="W101" s="67">
        <f>IF(AND(I101="Terminée",S101&gt;0,C101&lt;&gt;"",ISNUMBER(MATCH(C101,eq_code,0))),1,0)</f>
        <v>0.0</v>
      </c>
      <c r="X101" s="67">
        <f>IF(AND(W101=1,E101="Préventif"),1,0)</f>
        <v>0.0</v>
      </c>
      <c r="Y101" s="67">
        <f>IF(AND(ISNUMBER(N101),N(N101)&gt;0),N(N101),0)</f>
        <v>0.0</v>
      </c>
      <c r="Z101" s="67">
        <f>IF(AND(ISNUMBER(P101),N(P101)&gt;0),N(P101),0)</f>
        <v>0.0</v>
      </c>
    </row>
    <row r="102">
      <c r="A102" s="79" t="str">
        <f>IF(COUNTA(B102:C102,E102:G102,I102)=0,"","BI-"&amp;RIGHT("0000"&amp;(ROW()-5),4))</f>
        <v/>
      </c>
      <c r="B102" s="72" t="n"/>
      <c r="C102" s="66" t="n"/>
      <c r="D102" s="67" t="str">
        <f>IF(C102="","",IFERROR(INDEX(eq_des,MATCH(C102,eq_code,0))&amp;"","Équipement inconnu"))</f>
        <v/>
      </c>
      <c r="E102" s="68" t="n"/>
      <c r="F102" s="68" t="n"/>
      <c r="G102" s="66" t="n"/>
      <c r="H102" s="66" t="n"/>
      <c r="I102" s="68" t="n"/>
      <c r="J102" s="73" t="n"/>
      <c r="K102" s="71" t="n"/>
      <c r="L102" s="71" t="n"/>
      <c r="M102" s="66" t="n"/>
      <c r="N102" s="80" t="n"/>
      <c r="O102" s="81" t="str">
        <f>IF(A102="","",ROUND(V102*IFERROR(N(INDEX(tech_rate,MATCH(M102,tech_name,0))),0),2))</f>
        <v/>
      </c>
      <c r="P102" s="80" t="n"/>
      <c r="Q102" s="81" t="str">
        <f>IF(A102="","",ROUND(Y102+O102+Z102,2))</f>
        <v/>
      </c>
      <c r="R102" s="79" t="str">
        <f>IF(A102="","",IF(S102=0,"Date manquante ou invalide",IF(C102="","Équipement manquant",IF(ISNA(MATCH(C102,eq_code,0)),"Équipement inconnu",IF(E102="","Type manquant",IF(AND(E102&lt;&gt;"Préventif",E102&lt;&gt;"Correctif",E102&lt;&gt;"Amélioratif"),"Type inconnu",IF(I102="","Statut manquant",IF(AND(I102&lt;&gt;"Terminée",I102&lt;&gt;"En cours",I102&lt;&gt;"À faire",I102&lt;&gt;"Annulée"),"Statut inconnu",IF(AND(E102="Préventif",F102=""),"Plan manquant (préventif)",IF(AND(F102&lt;&gt;"",ISNA(MATCH(F102,pl_num,0))),"Plan inconnu",IF(AND(F102&lt;&gt;"",IFERROR(INDEX(pl_eq,MATCH(F102,pl_num,0))&amp;"",C102)&lt;&gt;C102),"Plan d'un autre équipement",IF(AND(J102&lt;&gt;"",OR(NOT(ISNUMBER(J102)),N(J102)&lt;0)),"Compteur invalide",IF(OR(AND(K102&lt;&gt;"",OR(NOT(ISNUMBER(K102)),N(K102)&lt;0)),AND(L102&lt;&gt;"",OR(NOT(ISNUMBER(L102)),N(L102)&lt;0))),"Durée invalide",IF(OR(AND(N102&lt;&gt;"",OR(NOT(ISNUMBER(N102)),N(N102)&lt;0)),AND(P102&lt;&gt;"",OR(NOT(ISNUMBER(P102)),N(P102)&lt;0))),"Coût invalide",IF(AND(M102&lt;&gt;"",ISNA(MATCH(M102,tech_name,0))),"Technicien inconnu",IF(AND(I102="Terminée",S102&gt;p_today),"Terminée à une date future",IF(AND(I102="Terminée",V102=0),"Durée d'intervention manquante",IF(AND(I102="Terminée",E102="Préventif",T102=0,OR(IFERROR(INDEX(pl_trig,MATCH(F102,pl_num,0))&amp;"","")="Compteur",IFERROR(INDEX(pl_trig,MATCH(F102,pl_num,0))&amp;"","")="Au premier des deux")),"Compteur manquant (plan au compteur)","OK"))))))))))))))))))</f>
        <v/>
      </c>
      <c r="S102" s="67">
        <f>IF(AND(ISNUMBER(B102),N(B102)&gt;0),INT(B102),0)</f>
        <v>0.0</v>
      </c>
      <c r="T102" s="67">
        <f>IF(AND(ISNUMBER(J102),N(J102)&gt;=0),N(J102),0)</f>
        <v>0.0</v>
      </c>
      <c r="U102" s="67">
        <f>IF(AND(ISNUMBER(K102),N(K102)&gt;0),N(K102),0)</f>
        <v>0.0</v>
      </c>
      <c r="V102" s="67">
        <f>IF(AND(ISNUMBER(L102),N(L102)&gt;0),N(L102),0)</f>
        <v>0.0</v>
      </c>
      <c r="W102" s="67">
        <f>IF(AND(I102="Terminée",S102&gt;0,C102&lt;&gt;"",ISNUMBER(MATCH(C102,eq_code,0))),1,0)</f>
        <v>0.0</v>
      </c>
      <c r="X102" s="67">
        <f>IF(AND(W102=1,E102="Préventif"),1,0)</f>
        <v>0.0</v>
      </c>
      <c r="Y102" s="67">
        <f>IF(AND(ISNUMBER(N102),N(N102)&gt;0),N(N102),0)</f>
        <v>0.0</v>
      </c>
      <c r="Z102" s="67">
        <f>IF(AND(ISNUMBER(P102),N(P102)&gt;0),N(P102),0)</f>
        <v>0.0</v>
      </c>
    </row>
    <row r="103">
      <c r="A103" s="79" t="str">
        <f>IF(COUNTA(B103:C103,E103:G103,I103)=0,"","BI-"&amp;RIGHT("0000"&amp;(ROW()-5),4))</f>
        <v/>
      </c>
      <c r="B103" s="72" t="n"/>
      <c r="C103" s="66" t="n"/>
      <c r="D103" s="67" t="str">
        <f>IF(C103="","",IFERROR(INDEX(eq_des,MATCH(C103,eq_code,0))&amp;"","Équipement inconnu"))</f>
        <v/>
      </c>
      <c r="E103" s="68" t="n"/>
      <c r="F103" s="68" t="n"/>
      <c r="G103" s="66" t="n"/>
      <c r="H103" s="66" t="n"/>
      <c r="I103" s="68" t="n"/>
      <c r="J103" s="73" t="n"/>
      <c r="K103" s="71" t="n"/>
      <c r="L103" s="71" t="n"/>
      <c r="M103" s="66" t="n"/>
      <c r="N103" s="80" t="n"/>
      <c r="O103" s="81" t="str">
        <f>IF(A103="","",ROUND(V103*IFERROR(N(INDEX(tech_rate,MATCH(M103,tech_name,0))),0),2))</f>
        <v/>
      </c>
      <c r="P103" s="80" t="n"/>
      <c r="Q103" s="81" t="str">
        <f>IF(A103="","",ROUND(Y103+O103+Z103,2))</f>
        <v/>
      </c>
      <c r="R103" s="79" t="str">
        <f>IF(A103="","",IF(S103=0,"Date manquante ou invalide",IF(C103="","Équipement manquant",IF(ISNA(MATCH(C103,eq_code,0)),"Équipement inconnu",IF(E103="","Type manquant",IF(AND(E103&lt;&gt;"Préventif",E103&lt;&gt;"Correctif",E103&lt;&gt;"Amélioratif"),"Type inconnu",IF(I103="","Statut manquant",IF(AND(I103&lt;&gt;"Terminée",I103&lt;&gt;"En cours",I103&lt;&gt;"À faire",I103&lt;&gt;"Annulée"),"Statut inconnu",IF(AND(E103="Préventif",F103=""),"Plan manquant (préventif)",IF(AND(F103&lt;&gt;"",ISNA(MATCH(F103,pl_num,0))),"Plan inconnu",IF(AND(F103&lt;&gt;"",IFERROR(INDEX(pl_eq,MATCH(F103,pl_num,0))&amp;"",C103)&lt;&gt;C103),"Plan d'un autre équipement",IF(AND(J103&lt;&gt;"",OR(NOT(ISNUMBER(J103)),N(J103)&lt;0)),"Compteur invalide",IF(OR(AND(K103&lt;&gt;"",OR(NOT(ISNUMBER(K103)),N(K103)&lt;0)),AND(L103&lt;&gt;"",OR(NOT(ISNUMBER(L103)),N(L103)&lt;0))),"Durée invalide",IF(OR(AND(N103&lt;&gt;"",OR(NOT(ISNUMBER(N103)),N(N103)&lt;0)),AND(P103&lt;&gt;"",OR(NOT(ISNUMBER(P103)),N(P103)&lt;0))),"Coût invalide",IF(AND(M103&lt;&gt;"",ISNA(MATCH(M103,tech_name,0))),"Technicien inconnu",IF(AND(I103="Terminée",S103&gt;p_today),"Terminée à une date future",IF(AND(I103="Terminée",V103=0),"Durée d'intervention manquante",IF(AND(I103="Terminée",E103="Préventif",T103=0,OR(IFERROR(INDEX(pl_trig,MATCH(F103,pl_num,0))&amp;"","")="Compteur",IFERROR(INDEX(pl_trig,MATCH(F103,pl_num,0))&amp;"","")="Au premier des deux")),"Compteur manquant (plan au compteur)","OK"))))))))))))))))))</f>
        <v/>
      </c>
      <c r="S103" s="67">
        <f>IF(AND(ISNUMBER(B103),N(B103)&gt;0),INT(B103),0)</f>
        <v>0.0</v>
      </c>
      <c r="T103" s="67">
        <f>IF(AND(ISNUMBER(J103),N(J103)&gt;=0),N(J103),0)</f>
        <v>0.0</v>
      </c>
      <c r="U103" s="67">
        <f>IF(AND(ISNUMBER(K103),N(K103)&gt;0),N(K103),0)</f>
        <v>0.0</v>
      </c>
      <c r="V103" s="67">
        <f>IF(AND(ISNUMBER(L103),N(L103)&gt;0),N(L103),0)</f>
        <v>0.0</v>
      </c>
      <c r="W103" s="67">
        <f>IF(AND(I103="Terminée",S103&gt;0,C103&lt;&gt;"",ISNUMBER(MATCH(C103,eq_code,0))),1,0)</f>
        <v>0.0</v>
      </c>
      <c r="X103" s="67">
        <f>IF(AND(W103=1,E103="Préventif"),1,0)</f>
        <v>0.0</v>
      </c>
      <c r="Y103" s="67">
        <f>IF(AND(ISNUMBER(N103),N(N103)&gt;0),N(N103),0)</f>
        <v>0.0</v>
      </c>
      <c r="Z103" s="67">
        <f>IF(AND(ISNUMBER(P103),N(P103)&gt;0),N(P103),0)</f>
        <v>0.0</v>
      </c>
    </row>
    <row r="104">
      <c r="A104" s="79" t="str">
        <f>IF(COUNTA(B104:C104,E104:G104,I104)=0,"","BI-"&amp;RIGHT("0000"&amp;(ROW()-5),4))</f>
        <v/>
      </c>
      <c r="B104" s="72" t="n"/>
      <c r="C104" s="66" t="n"/>
      <c r="D104" s="67" t="str">
        <f>IF(C104="","",IFERROR(INDEX(eq_des,MATCH(C104,eq_code,0))&amp;"","Équipement inconnu"))</f>
        <v/>
      </c>
      <c r="E104" s="68" t="n"/>
      <c r="F104" s="68" t="n"/>
      <c r="G104" s="66" t="n"/>
      <c r="H104" s="66" t="n"/>
      <c r="I104" s="68" t="n"/>
      <c r="J104" s="73" t="n"/>
      <c r="K104" s="71" t="n"/>
      <c r="L104" s="71" t="n"/>
      <c r="M104" s="66" t="n"/>
      <c r="N104" s="80" t="n"/>
      <c r="O104" s="81" t="str">
        <f>IF(A104="","",ROUND(V104*IFERROR(N(INDEX(tech_rate,MATCH(M104,tech_name,0))),0),2))</f>
        <v/>
      </c>
      <c r="P104" s="80" t="n"/>
      <c r="Q104" s="81" t="str">
        <f>IF(A104="","",ROUND(Y104+O104+Z104,2))</f>
        <v/>
      </c>
      <c r="R104" s="79" t="str">
        <f>IF(A104="","",IF(S104=0,"Date manquante ou invalide",IF(C104="","Équipement manquant",IF(ISNA(MATCH(C104,eq_code,0)),"Équipement inconnu",IF(E104="","Type manquant",IF(AND(E104&lt;&gt;"Préventif",E104&lt;&gt;"Correctif",E104&lt;&gt;"Amélioratif"),"Type inconnu",IF(I104="","Statut manquant",IF(AND(I104&lt;&gt;"Terminée",I104&lt;&gt;"En cours",I104&lt;&gt;"À faire",I104&lt;&gt;"Annulée"),"Statut inconnu",IF(AND(E104="Préventif",F104=""),"Plan manquant (préventif)",IF(AND(F104&lt;&gt;"",ISNA(MATCH(F104,pl_num,0))),"Plan inconnu",IF(AND(F104&lt;&gt;"",IFERROR(INDEX(pl_eq,MATCH(F104,pl_num,0))&amp;"",C104)&lt;&gt;C104),"Plan d'un autre équipement",IF(AND(J104&lt;&gt;"",OR(NOT(ISNUMBER(J104)),N(J104)&lt;0)),"Compteur invalide",IF(OR(AND(K104&lt;&gt;"",OR(NOT(ISNUMBER(K104)),N(K104)&lt;0)),AND(L104&lt;&gt;"",OR(NOT(ISNUMBER(L104)),N(L104)&lt;0))),"Durée invalide",IF(OR(AND(N104&lt;&gt;"",OR(NOT(ISNUMBER(N104)),N(N104)&lt;0)),AND(P104&lt;&gt;"",OR(NOT(ISNUMBER(P104)),N(P104)&lt;0))),"Coût invalide",IF(AND(M104&lt;&gt;"",ISNA(MATCH(M104,tech_name,0))),"Technicien inconnu",IF(AND(I104="Terminée",S104&gt;p_today),"Terminée à une date future",IF(AND(I104="Terminée",V104=0),"Durée d'intervention manquante",IF(AND(I104="Terminée",E104="Préventif",T104=0,OR(IFERROR(INDEX(pl_trig,MATCH(F104,pl_num,0))&amp;"","")="Compteur",IFERROR(INDEX(pl_trig,MATCH(F104,pl_num,0))&amp;"","")="Au premier des deux")),"Compteur manquant (plan au compteur)","OK"))))))))))))))))))</f>
        <v/>
      </c>
      <c r="S104" s="67">
        <f>IF(AND(ISNUMBER(B104),N(B104)&gt;0),INT(B104),0)</f>
        <v>0.0</v>
      </c>
      <c r="T104" s="67">
        <f>IF(AND(ISNUMBER(J104),N(J104)&gt;=0),N(J104),0)</f>
        <v>0.0</v>
      </c>
      <c r="U104" s="67">
        <f>IF(AND(ISNUMBER(K104),N(K104)&gt;0),N(K104),0)</f>
        <v>0.0</v>
      </c>
      <c r="V104" s="67">
        <f>IF(AND(ISNUMBER(L104),N(L104)&gt;0),N(L104),0)</f>
        <v>0.0</v>
      </c>
      <c r="W104" s="67">
        <f>IF(AND(I104="Terminée",S104&gt;0,C104&lt;&gt;"",ISNUMBER(MATCH(C104,eq_code,0))),1,0)</f>
        <v>0.0</v>
      </c>
      <c r="X104" s="67">
        <f>IF(AND(W104=1,E104="Préventif"),1,0)</f>
        <v>0.0</v>
      </c>
      <c r="Y104" s="67">
        <f>IF(AND(ISNUMBER(N104),N(N104)&gt;0),N(N104),0)</f>
        <v>0.0</v>
      </c>
      <c r="Z104" s="67">
        <f>IF(AND(ISNUMBER(P104),N(P104)&gt;0),N(P104),0)</f>
        <v>0.0</v>
      </c>
    </row>
    <row r="105">
      <c r="A105" s="79" t="str">
        <f>IF(COUNTA(B105:C105,E105:G105,I105)=0,"","BI-"&amp;RIGHT("0000"&amp;(ROW()-5),4))</f>
        <v/>
      </c>
      <c r="B105" s="72" t="n"/>
      <c r="C105" s="66" t="n"/>
      <c r="D105" s="67" t="str">
        <f>IF(C105="","",IFERROR(INDEX(eq_des,MATCH(C105,eq_code,0))&amp;"","Équipement inconnu"))</f>
        <v/>
      </c>
      <c r="E105" s="68" t="n"/>
      <c r="F105" s="68" t="n"/>
      <c r="G105" s="66" t="n"/>
      <c r="H105" s="66" t="n"/>
      <c r="I105" s="68" t="n"/>
      <c r="J105" s="73" t="n"/>
      <c r="K105" s="71" t="n"/>
      <c r="L105" s="71" t="n"/>
      <c r="M105" s="66" t="n"/>
      <c r="N105" s="80" t="n"/>
      <c r="O105" s="81" t="str">
        <f>IF(A105="","",ROUND(V105*IFERROR(N(INDEX(tech_rate,MATCH(M105,tech_name,0))),0),2))</f>
        <v/>
      </c>
      <c r="P105" s="80" t="n"/>
      <c r="Q105" s="81" t="str">
        <f>IF(A105="","",ROUND(Y105+O105+Z105,2))</f>
        <v/>
      </c>
      <c r="R105" s="79" t="str">
        <f>IF(A105="","",IF(S105=0,"Date manquante ou invalide",IF(C105="","Équipement manquant",IF(ISNA(MATCH(C105,eq_code,0)),"Équipement inconnu",IF(E105="","Type manquant",IF(AND(E105&lt;&gt;"Préventif",E105&lt;&gt;"Correctif",E105&lt;&gt;"Amélioratif"),"Type inconnu",IF(I105="","Statut manquant",IF(AND(I105&lt;&gt;"Terminée",I105&lt;&gt;"En cours",I105&lt;&gt;"À faire",I105&lt;&gt;"Annulée"),"Statut inconnu",IF(AND(E105="Préventif",F105=""),"Plan manquant (préventif)",IF(AND(F105&lt;&gt;"",ISNA(MATCH(F105,pl_num,0))),"Plan inconnu",IF(AND(F105&lt;&gt;"",IFERROR(INDEX(pl_eq,MATCH(F105,pl_num,0))&amp;"",C105)&lt;&gt;C105),"Plan d'un autre équipement",IF(AND(J105&lt;&gt;"",OR(NOT(ISNUMBER(J105)),N(J105)&lt;0)),"Compteur invalide",IF(OR(AND(K105&lt;&gt;"",OR(NOT(ISNUMBER(K105)),N(K105)&lt;0)),AND(L105&lt;&gt;"",OR(NOT(ISNUMBER(L105)),N(L105)&lt;0))),"Durée invalide",IF(OR(AND(N105&lt;&gt;"",OR(NOT(ISNUMBER(N105)),N(N105)&lt;0)),AND(P105&lt;&gt;"",OR(NOT(ISNUMBER(P105)),N(P105)&lt;0))),"Coût invalide",IF(AND(M105&lt;&gt;"",ISNA(MATCH(M105,tech_name,0))),"Technicien inconnu",IF(AND(I105="Terminée",S105&gt;p_today),"Terminée à une date future",IF(AND(I105="Terminée",V105=0),"Durée d'intervention manquante",IF(AND(I105="Terminée",E105="Préventif",T105=0,OR(IFERROR(INDEX(pl_trig,MATCH(F105,pl_num,0))&amp;"","")="Compteur",IFERROR(INDEX(pl_trig,MATCH(F105,pl_num,0))&amp;"","")="Au premier des deux")),"Compteur manquant (plan au compteur)","OK"))))))))))))))))))</f>
        <v/>
      </c>
      <c r="S105" s="67">
        <f>IF(AND(ISNUMBER(B105),N(B105)&gt;0),INT(B105),0)</f>
        <v>0.0</v>
      </c>
      <c r="T105" s="67">
        <f>IF(AND(ISNUMBER(J105),N(J105)&gt;=0),N(J105),0)</f>
        <v>0.0</v>
      </c>
      <c r="U105" s="67">
        <f>IF(AND(ISNUMBER(K105),N(K105)&gt;0),N(K105),0)</f>
        <v>0.0</v>
      </c>
      <c r="V105" s="67">
        <f>IF(AND(ISNUMBER(L105),N(L105)&gt;0),N(L105),0)</f>
        <v>0.0</v>
      </c>
      <c r="W105" s="67">
        <f>IF(AND(I105="Terminée",S105&gt;0,C105&lt;&gt;"",ISNUMBER(MATCH(C105,eq_code,0))),1,0)</f>
        <v>0.0</v>
      </c>
      <c r="X105" s="67">
        <f>IF(AND(W105=1,E105="Préventif"),1,0)</f>
        <v>0.0</v>
      </c>
      <c r="Y105" s="67">
        <f>IF(AND(ISNUMBER(N105),N(N105)&gt;0),N(N105),0)</f>
        <v>0.0</v>
      </c>
      <c r="Z105" s="67">
        <f>IF(AND(ISNUMBER(P105),N(P105)&gt;0),N(P105),0)</f>
        <v>0.0</v>
      </c>
    </row>
    <row r="106">
      <c r="A106" s="79" t="str">
        <f>IF(COUNTA(B106:C106,E106:G106,I106)=0,"","BI-"&amp;RIGHT("0000"&amp;(ROW()-5),4))</f>
        <v/>
      </c>
      <c r="B106" s="72" t="n"/>
      <c r="C106" s="66" t="n"/>
      <c r="D106" s="67" t="str">
        <f>IF(C106="","",IFERROR(INDEX(eq_des,MATCH(C106,eq_code,0))&amp;"","Équipement inconnu"))</f>
        <v/>
      </c>
      <c r="E106" s="68" t="n"/>
      <c r="F106" s="68" t="n"/>
      <c r="G106" s="66" t="n"/>
      <c r="H106" s="66" t="n"/>
      <c r="I106" s="68" t="n"/>
      <c r="J106" s="73" t="n"/>
      <c r="K106" s="71" t="n"/>
      <c r="L106" s="71" t="n"/>
      <c r="M106" s="66" t="n"/>
      <c r="N106" s="80" t="n"/>
      <c r="O106" s="81" t="str">
        <f>IF(A106="","",ROUND(V106*IFERROR(N(INDEX(tech_rate,MATCH(M106,tech_name,0))),0),2))</f>
        <v/>
      </c>
      <c r="P106" s="80" t="n"/>
      <c r="Q106" s="81" t="str">
        <f>IF(A106="","",ROUND(Y106+O106+Z106,2))</f>
        <v/>
      </c>
      <c r="R106" s="79" t="str">
        <f>IF(A106="","",IF(S106=0,"Date manquante ou invalide",IF(C106="","Équipement manquant",IF(ISNA(MATCH(C106,eq_code,0)),"Équipement inconnu",IF(E106="","Type manquant",IF(AND(E106&lt;&gt;"Préventif",E106&lt;&gt;"Correctif",E106&lt;&gt;"Amélioratif"),"Type inconnu",IF(I106="","Statut manquant",IF(AND(I106&lt;&gt;"Terminée",I106&lt;&gt;"En cours",I106&lt;&gt;"À faire",I106&lt;&gt;"Annulée"),"Statut inconnu",IF(AND(E106="Préventif",F106=""),"Plan manquant (préventif)",IF(AND(F106&lt;&gt;"",ISNA(MATCH(F106,pl_num,0))),"Plan inconnu",IF(AND(F106&lt;&gt;"",IFERROR(INDEX(pl_eq,MATCH(F106,pl_num,0))&amp;"",C106)&lt;&gt;C106),"Plan d'un autre équipement",IF(AND(J106&lt;&gt;"",OR(NOT(ISNUMBER(J106)),N(J106)&lt;0)),"Compteur invalide",IF(OR(AND(K106&lt;&gt;"",OR(NOT(ISNUMBER(K106)),N(K106)&lt;0)),AND(L106&lt;&gt;"",OR(NOT(ISNUMBER(L106)),N(L106)&lt;0))),"Durée invalide",IF(OR(AND(N106&lt;&gt;"",OR(NOT(ISNUMBER(N106)),N(N106)&lt;0)),AND(P106&lt;&gt;"",OR(NOT(ISNUMBER(P106)),N(P106)&lt;0))),"Coût invalide",IF(AND(M106&lt;&gt;"",ISNA(MATCH(M106,tech_name,0))),"Technicien inconnu",IF(AND(I106="Terminée",S106&gt;p_today),"Terminée à une date future",IF(AND(I106="Terminée",V106=0),"Durée d'intervention manquante",IF(AND(I106="Terminée",E106="Préventif",T106=0,OR(IFERROR(INDEX(pl_trig,MATCH(F106,pl_num,0))&amp;"","")="Compteur",IFERROR(INDEX(pl_trig,MATCH(F106,pl_num,0))&amp;"","")="Au premier des deux")),"Compteur manquant (plan au compteur)","OK"))))))))))))))))))</f>
        <v/>
      </c>
      <c r="S106" s="67">
        <f>IF(AND(ISNUMBER(B106),N(B106)&gt;0),INT(B106),0)</f>
        <v>0.0</v>
      </c>
      <c r="T106" s="67">
        <f>IF(AND(ISNUMBER(J106),N(J106)&gt;=0),N(J106),0)</f>
        <v>0.0</v>
      </c>
      <c r="U106" s="67">
        <f>IF(AND(ISNUMBER(K106),N(K106)&gt;0),N(K106),0)</f>
        <v>0.0</v>
      </c>
      <c r="V106" s="67">
        <f>IF(AND(ISNUMBER(L106),N(L106)&gt;0),N(L106),0)</f>
        <v>0.0</v>
      </c>
      <c r="W106" s="67">
        <f>IF(AND(I106="Terminée",S106&gt;0,C106&lt;&gt;"",ISNUMBER(MATCH(C106,eq_code,0))),1,0)</f>
        <v>0.0</v>
      </c>
      <c r="X106" s="67">
        <f>IF(AND(W106=1,E106="Préventif"),1,0)</f>
        <v>0.0</v>
      </c>
      <c r="Y106" s="67">
        <f>IF(AND(ISNUMBER(N106),N(N106)&gt;0),N(N106),0)</f>
        <v>0.0</v>
      </c>
      <c r="Z106" s="67">
        <f>IF(AND(ISNUMBER(P106),N(P106)&gt;0),N(P106),0)</f>
        <v>0.0</v>
      </c>
    </row>
    <row r="107">
      <c r="A107" s="79" t="str">
        <f>IF(COUNTA(B107:C107,E107:G107,I107)=0,"","BI-"&amp;RIGHT("0000"&amp;(ROW()-5),4))</f>
        <v/>
      </c>
      <c r="B107" s="72" t="n"/>
      <c r="C107" s="66" t="n"/>
      <c r="D107" s="67" t="str">
        <f>IF(C107="","",IFERROR(INDEX(eq_des,MATCH(C107,eq_code,0))&amp;"","Équipement inconnu"))</f>
        <v/>
      </c>
      <c r="E107" s="68" t="n"/>
      <c r="F107" s="68" t="n"/>
      <c r="G107" s="66" t="n"/>
      <c r="H107" s="66" t="n"/>
      <c r="I107" s="68" t="n"/>
      <c r="J107" s="73" t="n"/>
      <c r="K107" s="71" t="n"/>
      <c r="L107" s="71" t="n"/>
      <c r="M107" s="66" t="n"/>
      <c r="N107" s="80" t="n"/>
      <c r="O107" s="81" t="str">
        <f>IF(A107="","",ROUND(V107*IFERROR(N(INDEX(tech_rate,MATCH(M107,tech_name,0))),0),2))</f>
        <v/>
      </c>
      <c r="P107" s="80" t="n"/>
      <c r="Q107" s="81" t="str">
        <f>IF(A107="","",ROUND(Y107+O107+Z107,2))</f>
        <v/>
      </c>
      <c r="R107" s="79" t="str">
        <f>IF(A107="","",IF(S107=0,"Date manquante ou invalide",IF(C107="","Équipement manquant",IF(ISNA(MATCH(C107,eq_code,0)),"Équipement inconnu",IF(E107="","Type manquant",IF(AND(E107&lt;&gt;"Préventif",E107&lt;&gt;"Correctif",E107&lt;&gt;"Amélioratif"),"Type inconnu",IF(I107="","Statut manquant",IF(AND(I107&lt;&gt;"Terminée",I107&lt;&gt;"En cours",I107&lt;&gt;"À faire",I107&lt;&gt;"Annulée"),"Statut inconnu",IF(AND(E107="Préventif",F107=""),"Plan manquant (préventif)",IF(AND(F107&lt;&gt;"",ISNA(MATCH(F107,pl_num,0))),"Plan inconnu",IF(AND(F107&lt;&gt;"",IFERROR(INDEX(pl_eq,MATCH(F107,pl_num,0))&amp;"",C107)&lt;&gt;C107),"Plan d'un autre équipement",IF(AND(J107&lt;&gt;"",OR(NOT(ISNUMBER(J107)),N(J107)&lt;0)),"Compteur invalide",IF(OR(AND(K107&lt;&gt;"",OR(NOT(ISNUMBER(K107)),N(K107)&lt;0)),AND(L107&lt;&gt;"",OR(NOT(ISNUMBER(L107)),N(L107)&lt;0))),"Durée invalide",IF(OR(AND(N107&lt;&gt;"",OR(NOT(ISNUMBER(N107)),N(N107)&lt;0)),AND(P107&lt;&gt;"",OR(NOT(ISNUMBER(P107)),N(P107)&lt;0))),"Coût invalide",IF(AND(M107&lt;&gt;"",ISNA(MATCH(M107,tech_name,0))),"Technicien inconnu",IF(AND(I107="Terminée",S107&gt;p_today),"Terminée à une date future",IF(AND(I107="Terminée",V107=0),"Durée d'intervention manquante",IF(AND(I107="Terminée",E107="Préventif",T107=0,OR(IFERROR(INDEX(pl_trig,MATCH(F107,pl_num,0))&amp;"","")="Compteur",IFERROR(INDEX(pl_trig,MATCH(F107,pl_num,0))&amp;"","")="Au premier des deux")),"Compteur manquant (plan au compteur)","OK"))))))))))))))))))</f>
        <v/>
      </c>
      <c r="S107" s="67">
        <f>IF(AND(ISNUMBER(B107),N(B107)&gt;0),INT(B107),0)</f>
        <v>0.0</v>
      </c>
      <c r="T107" s="67">
        <f>IF(AND(ISNUMBER(J107),N(J107)&gt;=0),N(J107),0)</f>
        <v>0.0</v>
      </c>
      <c r="U107" s="67">
        <f>IF(AND(ISNUMBER(K107),N(K107)&gt;0),N(K107),0)</f>
        <v>0.0</v>
      </c>
      <c r="V107" s="67">
        <f>IF(AND(ISNUMBER(L107),N(L107)&gt;0),N(L107),0)</f>
        <v>0.0</v>
      </c>
      <c r="W107" s="67">
        <f>IF(AND(I107="Terminée",S107&gt;0,C107&lt;&gt;"",ISNUMBER(MATCH(C107,eq_code,0))),1,0)</f>
        <v>0.0</v>
      </c>
      <c r="X107" s="67">
        <f>IF(AND(W107=1,E107="Préventif"),1,0)</f>
        <v>0.0</v>
      </c>
      <c r="Y107" s="67">
        <f>IF(AND(ISNUMBER(N107),N(N107)&gt;0),N(N107),0)</f>
        <v>0.0</v>
      </c>
      <c r="Z107" s="67">
        <f>IF(AND(ISNUMBER(P107),N(P107)&gt;0),N(P107),0)</f>
        <v>0.0</v>
      </c>
    </row>
    <row r="108">
      <c r="A108" s="79" t="str">
        <f>IF(COUNTA(B108:C108,E108:G108,I108)=0,"","BI-"&amp;RIGHT("0000"&amp;(ROW()-5),4))</f>
        <v/>
      </c>
      <c r="B108" s="72" t="n"/>
      <c r="C108" s="66" t="n"/>
      <c r="D108" s="67" t="str">
        <f>IF(C108="","",IFERROR(INDEX(eq_des,MATCH(C108,eq_code,0))&amp;"","Équipement inconnu"))</f>
        <v/>
      </c>
      <c r="E108" s="68" t="n"/>
      <c r="F108" s="68" t="n"/>
      <c r="G108" s="66" t="n"/>
      <c r="H108" s="66" t="n"/>
      <c r="I108" s="68" t="n"/>
      <c r="J108" s="73" t="n"/>
      <c r="K108" s="71" t="n"/>
      <c r="L108" s="71" t="n"/>
      <c r="M108" s="66" t="n"/>
      <c r="N108" s="80" t="n"/>
      <c r="O108" s="81" t="str">
        <f>IF(A108="","",ROUND(V108*IFERROR(N(INDEX(tech_rate,MATCH(M108,tech_name,0))),0),2))</f>
        <v/>
      </c>
      <c r="P108" s="80" t="n"/>
      <c r="Q108" s="81" t="str">
        <f>IF(A108="","",ROUND(Y108+O108+Z108,2))</f>
        <v/>
      </c>
      <c r="R108" s="79" t="str">
        <f>IF(A108="","",IF(S108=0,"Date manquante ou invalide",IF(C108="","Équipement manquant",IF(ISNA(MATCH(C108,eq_code,0)),"Équipement inconnu",IF(E108="","Type manquant",IF(AND(E108&lt;&gt;"Préventif",E108&lt;&gt;"Correctif",E108&lt;&gt;"Amélioratif"),"Type inconnu",IF(I108="","Statut manquant",IF(AND(I108&lt;&gt;"Terminée",I108&lt;&gt;"En cours",I108&lt;&gt;"À faire",I108&lt;&gt;"Annulée"),"Statut inconnu",IF(AND(E108="Préventif",F108=""),"Plan manquant (préventif)",IF(AND(F108&lt;&gt;"",ISNA(MATCH(F108,pl_num,0))),"Plan inconnu",IF(AND(F108&lt;&gt;"",IFERROR(INDEX(pl_eq,MATCH(F108,pl_num,0))&amp;"",C108)&lt;&gt;C108),"Plan d'un autre équipement",IF(AND(J108&lt;&gt;"",OR(NOT(ISNUMBER(J108)),N(J108)&lt;0)),"Compteur invalide",IF(OR(AND(K108&lt;&gt;"",OR(NOT(ISNUMBER(K108)),N(K108)&lt;0)),AND(L108&lt;&gt;"",OR(NOT(ISNUMBER(L108)),N(L108)&lt;0))),"Durée invalide",IF(OR(AND(N108&lt;&gt;"",OR(NOT(ISNUMBER(N108)),N(N108)&lt;0)),AND(P108&lt;&gt;"",OR(NOT(ISNUMBER(P108)),N(P108)&lt;0))),"Coût invalide",IF(AND(M108&lt;&gt;"",ISNA(MATCH(M108,tech_name,0))),"Technicien inconnu",IF(AND(I108="Terminée",S108&gt;p_today),"Terminée à une date future",IF(AND(I108="Terminée",V108=0),"Durée d'intervention manquante",IF(AND(I108="Terminée",E108="Préventif",T108=0,OR(IFERROR(INDEX(pl_trig,MATCH(F108,pl_num,0))&amp;"","")="Compteur",IFERROR(INDEX(pl_trig,MATCH(F108,pl_num,0))&amp;"","")="Au premier des deux")),"Compteur manquant (plan au compteur)","OK"))))))))))))))))))</f>
        <v/>
      </c>
      <c r="S108" s="67">
        <f>IF(AND(ISNUMBER(B108),N(B108)&gt;0),INT(B108),0)</f>
        <v>0.0</v>
      </c>
      <c r="T108" s="67">
        <f>IF(AND(ISNUMBER(J108),N(J108)&gt;=0),N(J108),0)</f>
        <v>0.0</v>
      </c>
      <c r="U108" s="67">
        <f>IF(AND(ISNUMBER(K108),N(K108)&gt;0),N(K108),0)</f>
        <v>0.0</v>
      </c>
      <c r="V108" s="67">
        <f>IF(AND(ISNUMBER(L108),N(L108)&gt;0),N(L108),0)</f>
        <v>0.0</v>
      </c>
      <c r="W108" s="67">
        <f>IF(AND(I108="Terminée",S108&gt;0,C108&lt;&gt;"",ISNUMBER(MATCH(C108,eq_code,0))),1,0)</f>
        <v>0.0</v>
      </c>
      <c r="X108" s="67">
        <f>IF(AND(W108=1,E108="Préventif"),1,0)</f>
        <v>0.0</v>
      </c>
      <c r="Y108" s="67">
        <f>IF(AND(ISNUMBER(N108),N(N108)&gt;0),N(N108),0)</f>
        <v>0.0</v>
      </c>
      <c r="Z108" s="67">
        <f>IF(AND(ISNUMBER(P108),N(P108)&gt;0),N(P108),0)</f>
        <v>0.0</v>
      </c>
    </row>
    <row r="109">
      <c r="A109" s="79" t="str">
        <f>IF(COUNTA(B109:C109,E109:G109,I109)=0,"","BI-"&amp;RIGHT("0000"&amp;(ROW()-5),4))</f>
        <v/>
      </c>
      <c r="B109" s="72" t="n"/>
      <c r="C109" s="66" t="n"/>
      <c r="D109" s="67" t="str">
        <f>IF(C109="","",IFERROR(INDEX(eq_des,MATCH(C109,eq_code,0))&amp;"","Équipement inconnu"))</f>
        <v/>
      </c>
      <c r="E109" s="68" t="n"/>
      <c r="F109" s="68" t="n"/>
      <c r="G109" s="66" t="n"/>
      <c r="H109" s="66" t="n"/>
      <c r="I109" s="68" t="n"/>
      <c r="J109" s="73" t="n"/>
      <c r="K109" s="71" t="n"/>
      <c r="L109" s="71" t="n"/>
      <c r="M109" s="66" t="n"/>
      <c r="N109" s="80" t="n"/>
      <c r="O109" s="81" t="str">
        <f>IF(A109="","",ROUND(V109*IFERROR(N(INDEX(tech_rate,MATCH(M109,tech_name,0))),0),2))</f>
        <v/>
      </c>
      <c r="P109" s="80" t="n"/>
      <c r="Q109" s="81" t="str">
        <f>IF(A109="","",ROUND(Y109+O109+Z109,2))</f>
        <v/>
      </c>
      <c r="R109" s="79" t="str">
        <f>IF(A109="","",IF(S109=0,"Date manquante ou invalide",IF(C109="","Équipement manquant",IF(ISNA(MATCH(C109,eq_code,0)),"Équipement inconnu",IF(E109="","Type manquant",IF(AND(E109&lt;&gt;"Préventif",E109&lt;&gt;"Correctif",E109&lt;&gt;"Amélioratif"),"Type inconnu",IF(I109="","Statut manquant",IF(AND(I109&lt;&gt;"Terminée",I109&lt;&gt;"En cours",I109&lt;&gt;"À faire",I109&lt;&gt;"Annulée"),"Statut inconnu",IF(AND(E109="Préventif",F109=""),"Plan manquant (préventif)",IF(AND(F109&lt;&gt;"",ISNA(MATCH(F109,pl_num,0))),"Plan inconnu",IF(AND(F109&lt;&gt;"",IFERROR(INDEX(pl_eq,MATCH(F109,pl_num,0))&amp;"",C109)&lt;&gt;C109),"Plan d'un autre équipement",IF(AND(J109&lt;&gt;"",OR(NOT(ISNUMBER(J109)),N(J109)&lt;0)),"Compteur invalide",IF(OR(AND(K109&lt;&gt;"",OR(NOT(ISNUMBER(K109)),N(K109)&lt;0)),AND(L109&lt;&gt;"",OR(NOT(ISNUMBER(L109)),N(L109)&lt;0))),"Durée invalide",IF(OR(AND(N109&lt;&gt;"",OR(NOT(ISNUMBER(N109)),N(N109)&lt;0)),AND(P109&lt;&gt;"",OR(NOT(ISNUMBER(P109)),N(P109)&lt;0))),"Coût invalide",IF(AND(M109&lt;&gt;"",ISNA(MATCH(M109,tech_name,0))),"Technicien inconnu",IF(AND(I109="Terminée",S109&gt;p_today),"Terminée à une date future",IF(AND(I109="Terminée",V109=0),"Durée d'intervention manquante",IF(AND(I109="Terminée",E109="Préventif",T109=0,OR(IFERROR(INDEX(pl_trig,MATCH(F109,pl_num,0))&amp;"","")="Compteur",IFERROR(INDEX(pl_trig,MATCH(F109,pl_num,0))&amp;"","")="Au premier des deux")),"Compteur manquant (plan au compteur)","OK"))))))))))))))))))</f>
        <v/>
      </c>
      <c r="S109" s="67">
        <f>IF(AND(ISNUMBER(B109),N(B109)&gt;0),INT(B109),0)</f>
        <v>0.0</v>
      </c>
      <c r="T109" s="67">
        <f>IF(AND(ISNUMBER(J109),N(J109)&gt;=0),N(J109),0)</f>
        <v>0.0</v>
      </c>
      <c r="U109" s="67">
        <f>IF(AND(ISNUMBER(K109),N(K109)&gt;0),N(K109),0)</f>
        <v>0.0</v>
      </c>
      <c r="V109" s="67">
        <f>IF(AND(ISNUMBER(L109),N(L109)&gt;0),N(L109),0)</f>
        <v>0.0</v>
      </c>
      <c r="W109" s="67">
        <f>IF(AND(I109="Terminée",S109&gt;0,C109&lt;&gt;"",ISNUMBER(MATCH(C109,eq_code,0))),1,0)</f>
        <v>0.0</v>
      </c>
      <c r="X109" s="67">
        <f>IF(AND(W109=1,E109="Préventif"),1,0)</f>
        <v>0.0</v>
      </c>
      <c r="Y109" s="67">
        <f>IF(AND(ISNUMBER(N109),N(N109)&gt;0),N(N109),0)</f>
        <v>0.0</v>
      </c>
      <c r="Z109" s="67">
        <f>IF(AND(ISNUMBER(P109),N(P109)&gt;0),N(P109),0)</f>
        <v>0.0</v>
      </c>
    </row>
    <row r="110">
      <c r="A110" s="79" t="str">
        <f>IF(COUNTA(B110:C110,E110:G110,I110)=0,"","BI-"&amp;RIGHT("0000"&amp;(ROW()-5),4))</f>
        <v/>
      </c>
      <c r="B110" s="72" t="n"/>
      <c r="C110" s="66" t="n"/>
      <c r="D110" s="67" t="str">
        <f>IF(C110="","",IFERROR(INDEX(eq_des,MATCH(C110,eq_code,0))&amp;"","Équipement inconnu"))</f>
        <v/>
      </c>
      <c r="E110" s="68" t="n"/>
      <c r="F110" s="68" t="n"/>
      <c r="G110" s="66" t="n"/>
      <c r="H110" s="66" t="n"/>
      <c r="I110" s="68" t="n"/>
      <c r="J110" s="73" t="n"/>
      <c r="K110" s="71" t="n"/>
      <c r="L110" s="71" t="n"/>
      <c r="M110" s="66" t="n"/>
      <c r="N110" s="80" t="n"/>
      <c r="O110" s="81" t="str">
        <f>IF(A110="","",ROUND(V110*IFERROR(N(INDEX(tech_rate,MATCH(M110,tech_name,0))),0),2))</f>
        <v/>
      </c>
      <c r="P110" s="80" t="n"/>
      <c r="Q110" s="81" t="str">
        <f>IF(A110="","",ROUND(Y110+O110+Z110,2))</f>
        <v/>
      </c>
      <c r="R110" s="79" t="str">
        <f>IF(A110="","",IF(S110=0,"Date manquante ou invalide",IF(C110="","Équipement manquant",IF(ISNA(MATCH(C110,eq_code,0)),"Équipement inconnu",IF(E110="","Type manquant",IF(AND(E110&lt;&gt;"Préventif",E110&lt;&gt;"Correctif",E110&lt;&gt;"Amélioratif"),"Type inconnu",IF(I110="","Statut manquant",IF(AND(I110&lt;&gt;"Terminée",I110&lt;&gt;"En cours",I110&lt;&gt;"À faire",I110&lt;&gt;"Annulée"),"Statut inconnu",IF(AND(E110="Préventif",F110=""),"Plan manquant (préventif)",IF(AND(F110&lt;&gt;"",ISNA(MATCH(F110,pl_num,0))),"Plan inconnu",IF(AND(F110&lt;&gt;"",IFERROR(INDEX(pl_eq,MATCH(F110,pl_num,0))&amp;"",C110)&lt;&gt;C110),"Plan d'un autre équipement",IF(AND(J110&lt;&gt;"",OR(NOT(ISNUMBER(J110)),N(J110)&lt;0)),"Compteur invalide",IF(OR(AND(K110&lt;&gt;"",OR(NOT(ISNUMBER(K110)),N(K110)&lt;0)),AND(L110&lt;&gt;"",OR(NOT(ISNUMBER(L110)),N(L110)&lt;0))),"Durée invalide",IF(OR(AND(N110&lt;&gt;"",OR(NOT(ISNUMBER(N110)),N(N110)&lt;0)),AND(P110&lt;&gt;"",OR(NOT(ISNUMBER(P110)),N(P110)&lt;0))),"Coût invalide",IF(AND(M110&lt;&gt;"",ISNA(MATCH(M110,tech_name,0))),"Technicien inconnu",IF(AND(I110="Terminée",S110&gt;p_today),"Terminée à une date future",IF(AND(I110="Terminée",V110=0),"Durée d'intervention manquante",IF(AND(I110="Terminée",E110="Préventif",T110=0,OR(IFERROR(INDEX(pl_trig,MATCH(F110,pl_num,0))&amp;"","")="Compteur",IFERROR(INDEX(pl_trig,MATCH(F110,pl_num,0))&amp;"","")="Au premier des deux")),"Compteur manquant (plan au compteur)","OK"))))))))))))))))))</f>
        <v/>
      </c>
      <c r="S110" s="67">
        <f>IF(AND(ISNUMBER(B110),N(B110)&gt;0),INT(B110),0)</f>
        <v>0.0</v>
      </c>
      <c r="T110" s="67">
        <f>IF(AND(ISNUMBER(J110),N(J110)&gt;=0),N(J110),0)</f>
        <v>0.0</v>
      </c>
      <c r="U110" s="67">
        <f>IF(AND(ISNUMBER(K110),N(K110)&gt;0),N(K110),0)</f>
        <v>0.0</v>
      </c>
      <c r="V110" s="67">
        <f>IF(AND(ISNUMBER(L110),N(L110)&gt;0),N(L110),0)</f>
        <v>0.0</v>
      </c>
      <c r="W110" s="67">
        <f>IF(AND(I110="Terminée",S110&gt;0,C110&lt;&gt;"",ISNUMBER(MATCH(C110,eq_code,0))),1,0)</f>
        <v>0.0</v>
      </c>
      <c r="X110" s="67">
        <f>IF(AND(W110=1,E110="Préventif"),1,0)</f>
        <v>0.0</v>
      </c>
      <c r="Y110" s="67">
        <f>IF(AND(ISNUMBER(N110),N(N110)&gt;0),N(N110),0)</f>
        <v>0.0</v>
      </c>
      <c r="Z110" s="67">
        <f>IF(AND(ISNUMBER(P110),N(P110)&gt;0),N(P110),0)</f>
        <v>0.0</v>
      </c>
    </row>
    <row r="111">
      <c r="A111" s="79" t="str">
        <f>IF(COUNTA(B111:C111,E111:G111,I111)=0,"","BI-"&amp;RIGHT("0000"&amp;(ROW()-5),4))</f>
        <v/>
      </c>
      <c r="B111" s="72" t="n"/>
      <c r="C111" s="66" t="n"/>
      <c r="D111" s="67" t="str">
        <f>IF(C111="","",IFERROR(INDEX(eq_des,MATCH(C111,eq_code,0))&amp;"","Équipement inconnu"))</f>
        <v/>
      </c>
      <c r="E111" s="68" t="n"/>
      <c r="F111" s="68" t="n"/>
      <c r="G111" s="66" t="n"/>
      <c r="H111" s="66" t="n"/>
      <c r="I111" s="68" t="n"/>
      <c r="J111" s="73" t="n"/>
      <c r="K111" s="71" t="n"/>
      <c r="L111" s="71" t="n"/>
      <c r="M111" s="66" t="n"/>
      <c r="N111" s="80" t="n"/>
      <c r="O111" s="81" t="str">
        <f>IF(A111="","",ROUND(V111*IFERROR(N(INDEX(tech_rate,MATCH(M111,tech_name,0))),0),2))</f>
        <v/>
      </c>
      <c r="P111" s="80" t="n"/>
      <c r="Q111" s="81" t="str">
        <f>IF(A111="","",ROUND(Y111+O111+Z111,2))</f>
        <v/>
      </c>
      <c r="R111" s="79" t="str">
        <f>IF(A111="","",IF(S111=0,"Date manquante ou invalide",IF(C111="","Équipement manquant",IF(ISNA(MATCH(C111,eq_code,0)),"Équipement inconnu",IF(E111="","Type manquant",IF(AND(E111&lt;&gt;"Préventif",E111&lt;&gt;"Correctif",E111&lt;&gt;"Amélioratif"),"Type inconnu",IF(I111="","Statut manquant",IF(AND(I111&lt;&gt;"Terminée",I111&lt;&gt;"En cours",I111&lt;&gt;"À faire",I111&lt;&gt;"Annulée"),"Statut inconnu",IF(AND(E111="Préventif",F111=""),"Plan manquant (préventif)",IF(AND(F111&lt;&gt;"",ISNA(MATCH(F111,pl_num,0))),"Plan inconnu",IF(AND(F111&lt;&gt;"",IFERROR(INDEX(pl_eq,MATCH(F111,pl_num,0))&amp;"",C111)&lt;&gt;C111),"Plan d'un autre équipement",IF(AND(J111&lt;&gt;"",OR(NOT(ISNUMBER(J111)),N(J111)&lt;0)),"Compteur invalide",IF(OR(AND(K111&lt;&gt;"",OR(NOT(ISNUMBER(K111)),N(K111)&lt;0)),AND(L111&lt;&gt;"",OR(NOT(ISNUMBER(L111)),N(L111)&lt;0))),"Durée invalide",IF(OR(AND(N111&lt;&gt;"",OR(NOT(ISNUMBER(N111)),N(N111)&lt;0)),AND(P111&lt;&gt;"",OR(NOT(ISNUMBER(P111)),N(P111)&lt;0))),"Coût invalide",IF(AND(M111&lt;&gt;"",ISNA(MATCH(M111,tech_name,0))),"Technicien inconnu",IF(AND(I111="Terminée",S111&gt;p_today),"Terminée à une date future",IF(AND(I111="Terminée",V111=0),"Durée d'intervention manquante",IF(AND(I111="Terminée",E111="Préventif",T111=0,OR(IFERROR(INDEX(pl_trig,MATCH(F111,pl_num,0))&amp;"","")="Compteur",IFERROR(INDEX(pl_trig,MATCH(F111,pl_num,0))&amp;"","")="Au premier des deux")),"Compteur manquant (plan au compteur)","OK"))))))))))))))))))</f>
        <v/>
      </c>
      <c r="S111" s="67">
        <f>IF(AND(ISNUMBER(B111),N(B111)&gt;0),INT(B111),0)</f>
        <v>0.0</v>
      </c>
      <c r="T111" s="67">
        <f>IF(AND(ISNUMBER(J111),N(J111)&gt;=0),N(J111),0)</f>
        <v>0.0</v>
      </c>
      <c r="U111" s="67">
        <f>IF(AND(ISNUMBER(K111),N(K111)&gt;0),N(K111),0)</f>
        <v>0.0</v>
      </c>
      <c r="V111" s="67">
        <f>IF(AND(ISNUMBER(L111),N(L111)&gt;0),N(L111),0)</f>
        <v>0.0</v>
      </c>
      <c r="W111" s="67">
        <f>IF(AND(I111="Terminée",S111&gt;0,C111&lt;&gt;"",ISNUMBER(MATCH(C111,eq_code,0))),1,0)</f>
        <v>0.0</v>
      </c>
      <c r="X111" s="67">
        <f>IF(AND(W111=1,E111="Préventif"),1,0)</f>
        <v>0.0</v>
      </c>
      <c r="Y111" s="67">
        <f>IF(AND(ISNUMBER(N111),N(N111)&gt;0),N(N111),0)</f>
        <v>0.0</v>
      </c>
      <c r="Z111" s="67">
        <f>IF(AND(ISNUMBER(P111),N(P111)&gt;0),N(P111),0)</f>
        <v>0.0</v>
      </c>
    </row>
    <row r="112">
      <c r="A112" s="79" t="str">
        <f>IF(COUNTA(B112:C112,E112:G112,I112)=0,"","BI-"&amp;RIGHT("0000"&amp;(ROW()-5),4))</f>
        <v/>
      </c>
      <c r="B112" s="72" t="n"/>
      <c r="C112" s="66" t="n"/>
      <c r="D112" s="67" t="str">
        <f>IF(C112="","",IFERROR(INDEX(eq_des,MATCH(C112,eq_code,0))&amp;"","Équipement inconnu"))</f>
        <v/>
      </c>
      <c r="E112" s="68" t="n"/>
      <c r="F112" s="68" t="n"/>
      <c r="G112" s="66" t="n"/>
      <c r="H112" s="66" t="n"/>
      <c r="I112" s="68" t="n"/>
      <c r="J112" s="73" t="n"/>
      <c r="K112" s="71" t="n"/>
      <c r="L112" s="71" t="n"/>
      <c r="M112" s="66" t="n"/>
      <c r="N112" s="80" t="n"/>
      <c r="O112" s="81" t="str">
        <f>IF(A112="","",ROUND(V112*IFERROR(N(INDEX(tech_rate,MATCH(M112,tech_name,0))),0),2))</f>
        <v/>
      </c>
      <c r="P112" s="80" t="n"/>
      <c r="Q112" s="81" t="str">
        <f>IF(A112="","",ROUND(Y112+O112+Z112,2))</f>
        <v/>
      </c>
      <c r="R112" s="79" t="str">
        <f>IF(A112="","",IF(S112=0,"Date manquante ou invalide",IF(C112="","Équipement manquant",IF(ISNA(MATCH(C112,eq_code,0)),"Équipement inconnu",IF(E112="","Type manquant",IF(AND(E112&lt;&gt;"Préventif",E112&lt;&gt;"Correctif",E112&lt;&gt;"Amélioratif"),"Type inconnu",IF(I112="","Statut manquant",IF(AND(I112&lt;&gt;"Terminée",I112&lt;&gt;"En cours",I112&lt;&gt;"À faire",I112&lt;&gt;"Annulée"),"Statut inconnu",IF(AND(E112="Préventif",F112=""),"Plan manquant (préventif)",IF(AND(F112&lt;&gt;"",ISNA(MATCH(F112,pl_num,0))),"Plan inconnu",IF(AND(F112&lt;&gt;"",IFERROR(INDEX(pl_eq,MATCH(F112,pl_num,0))&amp;"",C112)&lt;&gt;C112),"Plan d'un autre équipement",IF(AND(J112&lt;&gt;"",OR(NOT(ISNUMBER(J112)),N(J112)&lt;0)),"Compteur invalide",IF(OR(AND(K112&lt;&gt;"",OR(NOT(ISNUMBER(K112)),N(K112)&lt;0)),AND(L112&lt;&gt;"",OR(NOT(ISNUMBER(L112)),N(L112)&lt;0))),"Durée invalide",IF(OR(AND(N112&lt;&gt;"",OR(NOT(ISNUMBER(N112)),N(N112)&lt;0)),AND(P112&lt;&gt;"",OR(NOT(ISNUMBER(P112)),N(P112)&lt;0))),"Coût invalide",IF(AND(M112&lt;&gt;"",ISNA(MATCH(M112,tech_name,0))),"Technicien inconnu",IF(AND(I112="Terminée",S112&gt;p_today),"Terminée à une date future",IF(AND(I112="Terminée",V112=0),"Durée d'intervention manquante",IF(AND(I112="Terminée",E112="Préventif",T112=0,OR(IFERROR(INDEX(pl_trig,MATCH(F112,pl_num,0))&amp;"","")="Compteur",IFERROR(INDEX(pl_trig,MATCH(F112,pl_num,0))&amp;"","")="Au premier des deux")),"Compteur manquant (plan au compteur)","OK"))))))))))))))))))</f>
        <v/>
      </c>
      <c r="S112" s="67">
        <f>IF(AND(ISNUMBER(B112),N(B112)&gt;0),INT(B112),0)</f>
        <v>0.0</v>
      </c>
      <c r="T112" s="67">
        <f>IF(AND(ISNUMBER(J112),N(J112)&gt;=0),N(J112),0)</f>
        <v>0.0</v>
      </c>
      <c r="U112" s="67">
        <f>IF(AND(ISNUMBER(K112),N(K112)&gt;0),N(K112),0)</f>
        <v>0.0</v>
      </c>
      <c r="V112" s="67">
        <f>IF(AND(ISNUMBER(L112),N(L112)&gt;0),N(L112),0)</f>
        <v>0.0</v>
      </c>
      <c r="W112" s="67">
        <f>IF(AND(I112="Terminée",S112&gt;0,C112&lt;&gt;"",ISNUMBER(MATCH(C112,eq_code,0))),1,0)</f>
        <v>0.0</v>
      </c>
      <c r="X112" s="67">
        <f>IF(AND(W112=1,E112="Préventif"),1,0)</f>
        <v>0.0</v>
      </c>
      <c r="Y112" s="67">
        <f>IF(AND(ISNUMBER(N112),N(N112)&gt;0),N(N112),0)</f>
        <v>0.0</v>
      </c>
      <c r="Z112" s="67">
        <f>IF(AND(ISNUMBER(P112),N(P112)&gt;0),N(P112),0)</f>
        <v>0.0</v>
      </c>
    </row>
    <row r="113">
      <c r="A113" s="79" t="str">
        <f>IF(COUNTA(B113:C113,E113:G113,I113)=0,"","BI-"&amp;RIGHT("0000"&amp;(ROW()-5),4))</f>
        <v/>
      </c>
      <c r="B113" s="72" t="n"/>
      <c r="C113" s="66" t="n"/>
      <c r="D113" s="67" t="str">
        <f>IF(C113="","",IFERROR(INDEX(eq_des,MATCH(C113,eq_code,0))&amp;"","Équipement inconnu"))</f>
        <v/>
      </c>
      <c r="E113" s="68" t="n"/>
      <c r="F113" s="68" t="n"/>
      <c r="G113" s="66" t="n"/>
      <c r="H113" s="66" t="n"/>
      <c r="I113" s="68" t="n"/>
      <c r="J113" s="73" t="n"/>
      <c r="K113" s="71" t="n"/>
      <c r="L113" s="71" t="n"/>
      <c r="M113" s="66" t="n"/>
      <c r="N113" s="80" t="n"/>
      <c r="O113" s="81" t="str">
        <f>IF(A113="","",ROUND(V113*IFERROR(N(INDEX(tech_rate,MATCH(M113,tech_name,0))),0),2))</f>
        <v/>
      </c>
      <c r="P113" s="80" t="n"/>
      <c r="Q113" s="81" t="str">
        <f>IF(A113="","",ROUND(Y113+O113+Z113,2))</f>
        <v/>
      </c>
      <c r="R113" s="79" t="str">
        <f>IF(A113="","",IF(S113=0,"Date manquante ou invalide",IF(C113="","Équipement manquant",IF(ISNA(MATCH(C113,eq_code,0)),"Équipement inconnu",IF(E113="","Type manquant",IF(AND(E113&lt;&gt;"Préventif",E113&lt;&gt;"Correctif",E113&lt;&gt;"Amélioratif"),"Type inconnu",IF(I113="","Statut manquant",IF(AND(I113&lt;&gt;"Terminée",I113&lt;&gt;"En cours",I113&lt;&gt;"À faire",I113&lt;&gt;"Annulée"),"Statut inconnu",IF(AND(E113="Préventif",F113=""),"Plan manquant (préventif)",IF(AND(F113&lt;&gt;"",ISNA(MATCH(F113,pl_num,0))),"Plan inconnu",IF(AND(F113&lt;&gt;"",IFERROR(INDEX(pl_eq,MATCH(F113,pl_num,0))&amp;"",C113)&lt;&gt;C113),"Plan d'un autre équipement",IF(AND(J113&lt;&gt;"",OR(NOT(ISNUMBER(J113)),N(J113)&lt;0)),"Compteur invalide",IF(OR(AND(K113&lt;&gt;"",OR(NOT(ISNUMBER(K113)),N(K113)&lt;0)),AND(L113&lt;&gt;"",OR(NOT(ISNUMBER(L113)),N(L113)&lt;0))),"Durée invalide",IF(OR(AND(N113&lt;&gt;"",OR(NOT(ISNUMBER(N113)),N(N113)&lt;0)),AND(P113&lt;&gt;"",OR(NOT(ISNUMBER(P113)),N(P113)&lt;0))),"Coût invalide",IF(AND(M113&lt;&gt;"",ISNA(MATCH(M113,tech_name,0))),"Technicien inconnu",IF(AND(I113="Terminée",S113&gt;p_today),"Terminée à une date future",IF(AND(I113="Terminée",V113=0),"Durée d'intervention manquante",IF(AND(I113="Terminée",E113="Préventif",T113=0,OR(IFERROR(INDEX(pl_trig,MATCH(F113,pl_num,0))&amp;"","")="Compteur",IFERROR(INDEX(pl_trig,MATCH(F113,pl_num,0))&amp;"","")="Au premier des deux")),"Compteur manquant (plan au compteur)","OK"))))))))))))))))))</f>
        <v/>
      </c>
      <c r="S113" s="67">
        <f>IF(AND(ISNUMBER(B113),N(B113)&gt;0),INT(B113),0)</f>
        <v>0.0</v>
      </c>
      <c r="T113" s="67">
        <f>IF(AND(ISNUMBER(J113),N(J113)&gt;=0),N(J113),0)</f>
        <v>0.0</v>
      </c>
      <c r="U113" s="67">
        <f>IF(AND(ISNUMBER(K113),N(K113)&gt;0),N(K113),0)</f>
        <v>0.0</v>
      </c>
      <c r="V113" s="67">
        <f>IF(AND(ISNUMBER(L113),N(L113)&gt;0),N(L113),0)</f>
        <v>0.0</v>
      </c>
      <c r="W113" s="67">
        <f>IF(AND(I113="Terminée",S113&gt;0,C113&lt;&gt;"",ISNUMBER(MATCH(C113,eq_code,0))),1,0)</f>
        <v>0.0</v>
      </c>
      <c r="X113" s="67">
        <f>IF(AND(W113=1,E113="Préventif"),1,0)</f>
        <v>0.0</v>
      </c>
      <c r="Y113" s="67">
        <f>IF(AND(ISNUMBER(N113),N(N113)&gt;0),N(N113),0)</f>
        <v>0.0</v>
      </c>
      <c r="Z113" s="67">
        <f>IF(AND(ISNUMBER(P113),N(P113)&gt;0),N(P113),0)</f>
        <v>0.0</v>
      </c>
    </row>
    <row r="114">
      <c r="A114" s="79" t="str">
        <f>IF(COUNTA(B114:C114,E114:G114,I114)=0,"","BI-"&amp;RIGHT("0000"&amp;(ROW()-5),4))</f>
        <v/>
      </c>
      <c r="B114" s="72" t="n"/>
      <c r="C114" s="66" t="n"/>
      <c r="D114" s="67" t="str">
        <f>IF(C114="","",IFERROR(INDEX(eq_des,MATCH(C114,eq_code,0))&amp;"","Équipement inconnu"))</f>
        <v/>
      </c>
      <c r="E114" s="68" t="n"/>
      <c r="F114" s="68" t="n"/>
      <c r="G114" s="66" t="n"/>
      <c r="H114" s="66" t="n"/>
      <c r="I114" s="68" t="n"/>
      <c r="J114" s="73" t="n"/>
      <c r="K114" s="71" t="n"/>
      <c r="L114" s="71" t="n"/>
      <c r="M114" s="66" t="n"/>
      <c r="N114" s="80" t="n"/>
      <c r="O114" s="81" t="str">
        <f>IF(A114="","",ROUND(V114*IFERROR(N(INDEX(tech_rate,MATCH(M114,tech_name,0))),0),2))</f>
        <v/>
      </c>
      <c r="P114" s="80" t="n"/>
      <c r="Q114" s="81" t="str">
        <f>IF(A114="","",ROUND(Y114+O114+Z114,2))</f>
        <v/>
      </c>
      <c r="R114" s="79" t="str">
        <f>IF(A114="","",IF(S114=0,"Date manquante ou invalide",IF(C114="","Équipement manquant",IF(ISNA(MATCH(C114,eq_code,0)),"Équipement inconnu",IF(E114="","Type manquant",IF(AND(E114&lt;&gt;"Préventif",E114&lt;&gt;"Correctif",E114&lt;&gt;"Amélioratif"),"Type inconnu",IF(I114="","Statut manquant",IF(AND(I114&lt;&gt;"Terminée",I114&lt;&gt;"En cours",I114&lt;&gt;"À faire",I114&lt;&gt;"Annulée"),"Statut inconnu",IF(AND(E114="Préventif",F114=""),"Plan manquant (préventif)",IF(AND(F114&lt;&gt;"",ISNA(MATCH(F114,pl_num,0))),"Plan inconnu",IF(AND(F114&lt;&gt;"",IFERROR(INDEX(pl_eq,MATCH(F114,pl_num,0))&amp;"",C114)&lt;&gt;C114),"Plan d'un autre équipement",IF(AND(J114&lt;&gt;"",OR(NOT(ISNUMBER(J114)),N(J114)&lt;0)),"Compteur invalide",IF(OR(AND(K114&lt;&gt;"",OR(NOT(ISNUMBER(K114)),N(K114)&lt;0)),AND(L114&lt;&gt;"",OR(NOT(ISNUMBER(L114)),N(L114)&lt;0))),"Durée invalide",IF(OR(AND(N114&lt;&gt;"",OR(NOT(ISNUMBER(N114)),N(N114)&lt;0)),AND(P114&lt;&gt;"",OR(NOT(ISNUMBER(P114)),N(P114)&lt;0))),"Coût invalide",IF(AND(M114&lt;&gt;"",ISNA(MATCH(M114,tech_name,0))),"Technicien inconnu",IF(AND(I114="Terminée",S114&gt;p_today),"Terminée à une date future",IF(AND(I114="Terminée",V114=0),"Durée d'intervention manquante",IF(AND(I114="Terminée",E114="Préventif",T114=0,OR(IFERROR(INDEX(pl_trig,MATCH(F114,pl_num,0))&amp;"","")="Compteur",IFERROR(INDEX(pl_trig,MATCH(F114,pl_num,0))&amp;"","")="Au premier des deux")),"Compteur manquant (plan au compteur)","OK"))))))))))))))))))</f>
        <v/>
      </c>
      <c r="S114" s="67">
        <f>IF(AND(ISNUMBER(B114),N(B114)&gt;0),INT(B114),0)</f>
        <v>0.0</v>
      </c>
      <c r="T114" s="67">
        <f>IF(AND(ISNUMBER(J114),N(J114)&gt;=0),N(J114),0)</f>
        <v>0.0</v>
      </c>
      <c r="U114" s="67">
        <f>IF(AND(ISNUMBER(K114),N(K114)&gt;0),N(K114),0)</f>
        <v>0.0</v>
      </c>
      <c r="V114" s="67">
        <f>IF(AND(ISNUMBER(L114),N(L114)&gt;0),N(L114),0)</f>
        <v>0.0</v>
      </c>
      <c r="W114" s="67">
        <f>IF(AND(I114="Terminée",S114&gt;0,C114&lt;&gt;"",ISNUMBER(MATCH(C114,eq_code,0))),1,0)</f>
        <v>0.0</v>
      </c>
      <c r="X114" s="67">
        <f>IF(AND(W114=1,E114="Préventif"),1,0)</f>
        <v>0.0</v>
      </c>
      <c r="Y114" s="67">
        <f>IF(AND(ISNUMBER(N114),N(N114)&gt;0),N(N114),0)</f>
        <v>0.0</v>
      </c>
      <c r="Z114" s="67">
        <f>IF(AND(ISNUMBER(P114),N(P114)&gt;0),N(P114),0)</f>
        <v>0.0</v>
      </c>
    </row>
    <row r="115">
      <c r="A115" s="79" t="str">
        <f>IF(COUNTA(B115:C115,E115:G115,I115)=0,"","BI-"&amp;RIGHT("0000"&amp;(ROW()-5),4))</f>
        <v/>
      </c>
      <c r="B115" s="72" t="n"/>
      <c r="C115" s="66" t="n"/>
      <c r="D115" s="67" t="str">
        <f>IF(C115="","",IFERROR(INDEX(eq_des,MATCH(C115,eq_code,0))&amp;"","Équipement inconnu"))</f>
        <v/>
      </c>
      <c r="E115" s="68" t="n"/>
      <c r="F115" s="68" t="n"/>
      <c r="G115" s="66" t="n"/>
      <c r="H115" s="66" t="n"/>
      <c r="I115" s="68" t="n"/>
      <c r="J115" s="73" t="n"/>
      <c r="K115" s="71" t="n"/>
      <c r="L115" s="71" t="n"/>
      <c r="M115" s="66" t="n"/>
      <c r="N115" s="80" t="n"/>
      <c r="O115" s="81" t="str">
        <f>IF(A115="","",ROUND(V115*IFERROR(N(INDEX(tech_rate,MATCH(M115,tech_name,0))),0),2))</f>
        <v/>
      </c>
      <c r="P115" s="80" t="n"/>
      <c r="Q115" s="81" t="str">
        <f>IF(A115="","",ROUND(Y115+O115+Z115,2))</f>
        <v/>
      </c>
      <c r="R115" s="79" t="str">
        <f>IF(A115="","",IF(S115=0,"Date manquante ou invalide",IF(C115="","Équipement manquant",IF(ISNA(MATCH(C115,eq_code,0)),"Équipement inconnu",IF(E115="","Type manquant",IF(AND(E115&lt;&gt;"Préventif",E115&lt;&gt;"Correctif",E115&lt;&gt;"Amélioratif"),"Type inconnu",IF(I115="","Statut manquant",IF(AND(I115&lt;&gt;"Terminée",I115&lt;&gt;"En cours",I115&lt;&gt;"À faire",I115&lt;&gt;"Annulée"),"Statut inconnu",IF(AND(E115="Préventif",F115=""),"Plan manquant (préventif)",IF(AND(F115&lt;&gt;"",ISNA(MATCH(F115,pl_num,0))),"Plan inconnu",IF(AND(F115&lt;&gt;"",IFERROR(INDEX(pl_eq,MATCH(F115,pl_num,0))&amp;"",C115)&lt;&gt;C115),"Plan d'un autre équipement",IF(AND(J115&lt;&gt;"",OR(NOT(ISNUMBER(J115)),N(J115)&lt;0)),"Compteur invalide",IF(OR(AND(K115&lt;&gt;"",OR(NOT(ISNUMBER(K115)),N(K115)&lt;0)),AND(L115&lt;&gt;"",OR(NOT(ISNUMBER(L115)),N(L115)&lt;0))),"Durée invalide",IF(OR(AND(N115&lt;&gt;"",OR(NOT(ISNUMBER(N115)),N(N115)&lt;0)),AND(P115&lt;&gt;"",OR(NOT(ISNUMBER(P115)),N(P115)&lt;0))),"Coût invalide",IF(AND(M115&lt;&gt;"",ISNA(MATCH(M115,tech_name,0))),"Technicien inconnu",IF(AND(I115="Terminée",S115&gt;p_today),"Terminée à une date future",IF(AND(I115="Terminée",V115=0),"Durée d'intervention manquante",IF(AND(I115="Terminée",E115="Préventif",T115=0,OR(IFERROR(INDEX(pl_trig,MATCH(F115,pl_num,0))&amp;"","")="Compteur",IFERROR(INDEX(pl_trig,MATCH(F115,pl_num,0))&amp;"","")="Au premier des deux")),"Compteur manquant (plan au compteur)","OK"))))))))))))))))))</f>
        <v/>
      </c>
      <c r="S115" s="67">
        <f>IF(AND(ISNUMBER(B115),N(B115)&gt;0),INT(B115),0)</f>
        <v>0.0</v>
      </c>
      <c r="T115" s="67">
        <f>IF(AND(ISNUMBER(J115),N(J115)&gt;=0),N(J115),0)</f>
        <v>0.0</v>
      </c>
      <c r="U115" s="67">
        <f>IF(AND(ISNUMBER(K115),N(K115)&gt;0),N(K115),0)</f>
        <v>0.0</v>
      </c>
      <c r="V115" s="67">
        <f>IF(AND(ISNUMBER(L115),N(L115)&gt;0),N(L115),0)</f>
        <v>0.0</v>
      </c>
      <c r="W115" s="67">
        <f>IF(AND(I115="Terminée",S115&gt;0,C115&lt;&gt;"",ISNUMBER(MATCH(C115,eq_code,0))),1,0)</f>
        <v>0.0</v>
      </c>
      <c r="X115" s="67">
        <f>IF(AND(W115=1,E115="Préventif"),1,0)</f>
        <v>0.0</v>
      </c>
      <c r="Y115" s="67">
        <f>IF(AND(ISNUMBER(N115),N(N115)&gt;0),N(N115),0)</f>
        <v>0.0</v>
      </c>
      <c r="Z115" s="67">
        <f>IF(AND(ISNUMBER(P115),N(P115)&gt;0),N(P115),0)</f>
        <v>0.0</v>
      </c>
    </row>
    <row r="116">
      <c r="A116" s="79" t="str">
        <f>IF(COUNTA(B116:C116,E116:G116,I116)=0,"","BI-"&amp;RIGHT("0000"&amp;(ROW()-5),4))</f>
        <v/>
      </c>
      <c r="B116" s="72" t="n"/>
      <c r="C116" s="66" t="n"/>
      <c r="D116" s="67" t="str">
        <f>IF(C116="","",IFERROR(INDEX(eq_des,MATCH(C116,eq_code,0))&amp;"","Équipement inconnu"))</f>
        <v/>
      </c>
      <c r="E116" s="68" t="n"/>
      <c r="F116" s="68" t="n"/>
      <c r="G116" s="66" t="n"/>
      <c r="H116" s="66" t="n"/>
      <c r="I116" s="68" t="n"/>
      <c r="J116" s="73" t="n"/>
      <c r="K116" s="71" t="n"/>
      <c r="L116" s="71" t="n"/>
      <c r="M116" s="66" t="n"/>
      <c r="N116" s="80" t="n"/>
      <c r="O116" s="81" t="str">
        <f>IF(A116="","",ROUND(V116*IFERROR(N(INDEX(tech_rate,MATCH(M116,tech_name,0))),0),2))</f>
        <v/>
      </c>
      <c r="P116" s="80" t="n"/>
      <c r="Q116" s="81" t="str">
        <f>IF(A116="","",ROUND(Y116+O116+Z116,2))</f>
        <v/>
      </c>
      <c r="R116" s="79" t="str">
        <f>IF(A116="","",IF(S116=0,"Date manquante ou invalide",IF(C116="","Équipement manquant",IF(ISNA(MATCH(C116,eq_code,0)),"Équipement inconnu",IF(E116="","Type manquant",IF(AND(E116&lt;&gt;"Préventif",E116&lt;&gt;"Correctif",E116&lt;&gt;"Amélioratif"),"Type inconnu",IF(I116="","Statut manquant",IF(AND(I116&lt;&gt;"Terminée",I116&lt;&gt;"En cours",I116&lt;&gt;"À faire",I116&lt;&gt;"Annulée"),"Statut inconnu",IF(AND(E116="Préventif",F116=""),"Plan manquant (préventif)",IF(AND(F116&lt;&gt;"",ISNA(MATCH(F116,pl_num,0))),"Plan inconnu",IF(AND(F116&lt;&gt;"",IFERROR(INDEX(pl_eq,MATCH(F116,pl_num,0))&amp;"",C116)&lt;&gt;C116),"Plan d'un autre équipement",IF(AND(J116&lt;&gt;"",OR(NOT(ISNUMBER(J116)),N(J116)&lt;0)),"Compteur invalide",IF(OR(AND(K116&lt;&gt;"",OR(NOT(ISNUMBER(K116)),N(K116)&lt;0)),AND(L116&lt;&gt;"",OR(NOT(ISNUMBER(L116)),N(L116)&lt;0))),"Durée invalide",IF(OR(AND(N116&lt;&gt;"",OR(NOT(ISNUMBER(N116)),N(N116)&lt;0)),AND(P116&lt;&gt;"",OR(NOT(ISNUMBER(P116)),N(P116)&lt;0))),"Coût invalide",IF(AND(M116&lt;&gt;"",ISNA(MATCH(M116,tech_name,0))),"Technicien inconnu",IF(AND(I116="Terminée",S116&gt;p_today),"Terminée à une date future",IF(AND(I116="Terminée",V116=0),"Durée d'intervention manquante",IF(AND(I116="Terminée",E116="Préventif",T116=0,OR(IFERROR(INDEX(pl_trig,MATCH(F116,pl_num,0))&amp;"","")="Compteur",IFERROR(INDEX(pl_trig,MATCH(F116,pl_num,0))&amp;"","")="Au premier des deux")),"Compteur manquant (plan au compteur)","OK"))))))))))))))))))</f>
        <v/>
      </c>
      <c r="S116" s="67">
        <f>IF(AND(ISNUMBER(B116),N(B116)&gt;0),INT(B116),0)</f>
        <v>0.0</v>
      </c>
      <c r="T116" s="67">
        <f>IF(AND(ISNUMBER(J116),N(J116)&gt;=0),N(J116),0)</f>
        <v>0.0</v>
      </c>
      <c r="U116" s="67">
        <f>IF(AND(ISNUMBER(K116),N(K116)&gt;0),N(K116),0)</f>
        <v>0.0</v>
      </c>
      <c r="V116" s="67">
        <f>IF(AND(ISNUMBER(L116),N(L116)&gt;0),N(L116),0)</f>
        <v>0.0</v>
      </c>
      <c r="W116" s="67">
        <f>IF(AND(I116="Terminée",S116&gt;0,C116&lt;&gt;"",ISNUMBER(MATCH(C116,eq_code,0))),1,0)</f>
        <v>0.0</v>
      </c>
      <c r="X116" s="67">
        <f>IF(AND(W116=1,E116="Préventif"),1,0)</f>
        <v>0.0</v>
      </c>
      <c r="Y116" s="67">
        <f>IF(AND(ISNUMBER(N116),N(N116)&gt;0),N(N116),0)</f>
        <v>0.0</v>
      </c>
      <c r="Z116" s="67">
        <f>IF(AND(ISNUMBER(P116),N(P116)&gt;0),N(P116),0)</f>
        <v>0.0</v>
      </c>
    </row>
    <row r="117">
      <c r="A117" s="79" t="str">
        <f>IF(COUNTA(B117:C117,E117:G117,I117)=0,"","BI-"&amp;RIGHT("0000"&amp;(ROW()-5),4))</f>
        <v/>
      </c>
      <c r="B117" s="72" t="n"/>
      <c r="C117" s="66" t="n"/>
      <c r="D117" s="67" t="str">
        <f>IF(C117="","",IFERROR(INDEX(eq_des,MATCH(C117,eq_code,0))&amp;"","Équipement inconnu"))</f>
        <v/>
      </c>
      <c r="E117" s="68" t="n"/>
      <c r="F117" s="68" t="n"/>
      <c r="G117" s="66" t="n"/>
      <c r="H117" s="66" t="n"/>
      <c r="I117" s="68" t="n"/>
      <c r="J117" s="73" t="n"/>
      <c r="K117" s="71" t="n"/>
      <c r="L117" s="71" t="n"/>
      <c r="M117" s="66" t="n"/>
      <c r="N117" s="80" t="n"/>
      <c r="O117" s="81" t="str">
        <f>IF(A117="","",ROUND(V117*IFERROR(N(INDEX(tech_rate,MATCH(M117,tech_name,0))),0),2))</f>
        <v/>
      </c>
      <c r="P117" s="80" t="n"/>
      <c r="Q117" s="81" t="str">
        <f>IF(A117="","",ROUND(Y117+O117+Z117,2))</f>
        <v/>
      </c>
      <c r="R117" s="79" t="str">
        <f>IF(A117="","",IF(S117=0,"Date manquante ou invalide",IF(C117="","Équipement manquant",IF(ISNA(MATCH(C117,eq_code,0)),"Équipement inconnu",IF(E117="","Type manquant",IF(AND(E117&lt;&gt;"Préventif",E117&lt;&gt;"Correctif",E117&lt;&gt;"Amélioratif"),"Type inconnu",IF(I117="","Statut manquant",IF(AND(I117&lt;&gt;"Terminée",I117&lt;&gt;"En cours",I117&lt;&gt;"À faire",I117&lt;&gt;"Annulée"),"Statut inconnu",IF(AND(E117="Préventif",F117=""),"Plan manquant (préventif)",IF(AND(F117&lt;&gt;"",ISNA(MATCH(F117,pl_num,0))),"Plan inconnu",IF(AND(F117&lt;&gt;"",IFERROR(INDEX(pl_eq,MATCH(F117,pl_num,0))&amp;"",C117)&lt;&gt;C117),"Plan d'un autre équipement",IF(AND(J117&lt;&gt;"",OR(NOT(ISNUMBER(J117)),N(J117)&lt;0)),"Compteur invalide",IF(OR(AND(K117&lt;&gt;"",OR(NOT(ISNUMBER(K117)),N(K117)&lt;0)),AND(L117&lt;&gt;"",OR(NOT(ISNUMBER(L117)),N(L117)&lt;0))),"Durée invalide",IF(OR(AND(N117&lt;&gt;"",OR(NOT(ISNUMBER(N117)),N(N117)&lt;0)),AND(P117&lt;&gt;"",OR(NOT(ISNUMBER(P117)),N(P117)&lt;0))),"Coût invalide",IF(AND(M117&lt;&gt;"",ISNA(MATCH(M117,tech_name,0))),"Technicien inconnu",IF(AND(I117="Terminée",S117&gt;p_today),"Terminée à une date future",IF(AND(I117="Terminée",V117=0),"Durée d'intervention manquante",IF(AND(I117="Terminée",E117="Préventif",T117=0,OR(IFERROR(INDEX(pl_trig,MATCH(F117,pl_num,0))&amp;"","")="Compteur",IFERROR(INDEX(pl_trig,MATCH(F117,pl_num,0))&amp;"","")="Au premier des deux")),"Compteur manquant (plan au compteur)","OK"))))))))))))))))))</f>
        <v/>
      </c>
      <c r="S117" s="67">
        <f>IF(AND(ISNUMBER(B117),N(B117)&gt;0),INT(B117),0)</f>
        <v>0.0</v>
      </c>
      <c r="T117" s="67">
        <f>IF(AND(ISNUMBER(J117),N(J117)&gt;=0),N(J117),0)</f>
        <v>0.0</v>
      </c>
      <c r="U117" s="67">
        <f>IF(AND(ISNUMBER(K117),N(K117)&gt;0),N(K117),0)</f>
        <v>0.0</v>
      </c>
      <c r="V117" s="67">
        <f>IF(AND(ISNUMBER(L117),N(L117)&gt;0),N(L117),0)</f>
        <v>0.0</v>
      </c>
      <c r="W117" s="67">
        <f>IF(AND(I117="Terminée",S117&gt;0,C117&lt;&gt;"",ISNUMBER(MATCH(C117,eq_code,0))),1,0)</f>
        <v>0.0</v>
      </c>
      <c r="X117" s="67">
        <f>IF(AND(W117=1,E117="Préventif"),1,0)</f>
        <v>0.0</v>
      </c>
      <c r="Y117" s="67">
        <f>IF(AND(ISNUMBER(N117),N(N117)&gt;0),N(N117),0)</f>
        <v>0.0</v>
      </c>
      <c r="Z117" s="67">
        <f>IF(AND(ISNUMBER(P117),N(P117)&gt;0),N(P117),0)</f>
        <v>0.0</v>
      </c>
    </row>
    <row r="118">
      <c r="A118" s="79" t="str">
        <f>IF(COUNTA(B118:C118,E118:G118,I118)=0,"","BI-"&amp;RIGHT("0000"&amp;(ROW()-5),4))</f>
        <v/>
      </c>
      <c r="B118" s="72" t="n"/>
      <c r="C118" s="66" t="n"/>
      <c r="D118" s="67" t="str">
        <f>IF(C118="","",IFERROR(INDEX(eq_des,MATCH(C118,eq_code,0))&amp;"","Équipement inconnu"))</f>
        <v/>
      </c>
      <c r="E118" s="68" t="n"/>
      <c r="F118" s="68" t="n"/>
      <c r="G118" s="66" t="n"/>
      <c r="H118" s="66" t="n"/>
      <c r="I118" s="68" t="n"/>
      <c r="J118" s="73" t="n"/>
      <c r="K118" s="71" t="n"/>
      <c r="L118" s="71" t="n"/>
      <c r="M118" s="66" t="n"/>
      <c r="N118" s="80" t="n"/>
      <c r="O118" s="81" t="str">
        <f>IF(A118="","",ROUND(V118*IFERROR(N(INDEX(tech_rate,MATCH(M118,tech_name,0))),0),2))</f>
        <v/>
      </c>
      <c r="P118" s="80" t="n"/>
      <c r="Q118" s="81" t="str">
        <f>IF(A118="","",ROUND(Y118+O118+Z118,2))</f>
        <v/>
      </c>
      <c r="R118" s="79" t="str">
        <f>IF(A118="","",IF(S118=0,"Date manquante ou invalide",IF(C118="","Équipement manquant",IF(ISNA(MATCH(C118,eq_code,0)),"Équipement inconnu",IF(E118="","Type manquant",IF(AND(E118&lt;&gt;"Préventif",E118&lt;&gt;"Correctif",E118&lt;&gt;"Amélioratif"),"Type inconnu",IF(I118="","Statut manquant",IF(AND(I118&lt;&gt;"Terminée",I118&lt;&gt;"En cours",I118&lt;&gt;"À faire",I118&lt;&gt;"Annulée"),"Statut inconnu",IF(AND(E118="Préventif",F118=""),"Plan manquant (préventif)",IF(AND(F118&lt;&gt;"",ISNA(MATCH(F118,pl_num,0))),"Plan inconnu",IF(AND(F118&lt;&gt;"",IFERROR(INDEX(pl_eq,MATCH(F118,pl_num,0))&amp;"",C118)&lt;&gt;C118),"Plan d'un autre équipement",IF(AND(J118&lt;&gt;"",OR(NOT(ISNUMBER(J118)),N(J118)&lt;0)),"Compteur invalide",IF(OR(AND(K118&lt;&gt;"",OR(NOT(ISNUMBER(K118)),N(K118)&lt;0)),AND(L118&lt;&gt;"",OR(NOT(ISNUMBER(L118)),N(L118)&lt;0))),"Durée invalide",IF(OR(AND(N118&lt;&gt;"",OR(NOT(ISNUMBER(N118)),N(N118)&lt;0)),AND(P118&lt;&gt;"",OR(NOT(ISNUMBER(P118)),N(P118)&lt;0))),"Coût invalide",IF(AND(M118&lt;&gt;"",ISNA(MATCH(M118,tech_name,0))),"Technicien inconnu",IF(AND(I118="Terminée",S118&gt;p_today),"Terminée à une date future",IF(AND(I118="Terminée",V118=0),"Durée d'intervention manquante",IF(AND(I118="Terminée",E118="Préventif",T118=0,OR(IFERROR(INDEX(pl_trig,MATCH(F118,pl_num,0))&amp;"","")="Compteur",IFERROR(INDEX(pl_trig,MATCH(F118,pl_num,0))&amp;"","")="Au premier des deux")),"Compteur manquant (plan au compteur)","OK"))))))))))))))))))</f>
        <v/>
      </c>
      <c r="S118" s="67">
        <f>IF(AND(ISNUMBER(B118),N(B118)&gt;0),INT(B118),0)</f>
        <v>0.0</v>
      </c>
      <c r="T118" s="67">
        <f>IF(AND(ISNUMBER(J118),N(J118)&gt;=0),N(J118),0)</f>
        <v>0.0</v>
      </c>
      <c r="U118" s="67">
        <f>IF(AND(ISNUMBER(K118),N(K118)&gt;0),N(K118),0)</f>
        <v>0.0</v>
      </c>
      <c r="V118" s="67">
        <f>IF(AND(ISNUMBER(L118),N(L118)&gt;0),N(L118),0)</f>
        <v>0.0</v>
      </c>
      <c r="W118" s="67">
        <f>IF(AND(I118="Terminée",S118&gt;0,C118&lt;&gt;"",ISNUMBER(MATCH(C118,eq_code,0))),1,0)</f>
        <v>0.0</v>
      </c>
      <c r="X118" s="67">
        <f>IF(AND(W118=1,E118="Préventif"),1,0)</f>
        <v>0.0</v>
      </c>
      <c r="Y118" s="67">
        <f>IF(AND(ISNUMBER(N118),N(N118)&gt;0),N(N118),0)</f>
        <v>0.0</v>
      </c>
      <c r="Z118" s="67">
        <f>IF(AND(ISNUMBER(P118),N(P118)&gt;0),N(P118),0)</f>
        <v>0.0</v>
      </c>
    </row>
    <row r="119">
      <c r="A119" s="79" t="str">
        <f>IF(COUNTA(B119:C119,E119:G119,I119)=0,"","BI-"&amp;RIGHT("0000"&amp;(ROW()-5),4))</f>
        <v/>
      </c>
      <c r="B119" s="72" t="n"/>
      <c r="C119" s="66" t="n"/>
      <c r="D119" s="67" t="str">
        <f>IF(C119="","",IFERROR(INDEX(eq_des,MATCH(C119,eq_code,0))&amp;"","Équipement inconnu"))</f>
        <v/>
      </c>
      <c r="E119" s="68" t="n"/>
      <c r="F119" s="68" t="n"/>
      <c r="G119" s="66" t="n"/>
      <c r="H119" s="66" t="n"/>
      <c r="I119" s="68" t="n"/>
      <c r="J119" s="73" t="n"/>
      <c r="K119" s="71" t="n"/>
      <c r="L119" s="71" t="n"/>
      <c r="M119" s="66" t="n"/>
      <c r="N119" s="80" t="n"/>
      <c r="O119" s="81" t="str">
        <f>IF(A119="","",ROUND(V119*IFERROR(N(INDEX(tech_rate,MATCH(M119,tech_name,0))),0),2))</f>
        <v/>
      </c>
      <c r="P119" s="80" t="n"/>
      <c r="Q119" s="81" t="str">
        <f>IF(A119="","",ROUND(Y119+O119+Z119,2))</f>
        <v/>
      </c>
      <c r="R119" s="79" t="str">
        <f>IF(A119="","",IF(S119=0,"Date manquante ou invalide",IF(C119="","Équipement manquant",IF(ISNA(MATCH(C119,eq_code,0)),"Équipement inconnu",IF(E119="","Type manquant",IF(AND(E119&lt;&gt;"Préventif",E119&lt;&gt;"Correctif",E119&lt;&gt;"Amélioratif"),"Type inconnu",IF(I119="","Statut manquant",IF(AND(I119&lt;&gt;"Terminée",I119&lt;&gt;"En cours",I119&lt;&gt;"À faire",I119&lt;&gt;"Annulée"),"Statut inconnu",IF(AND(E119="Préventif",F119=""),"Plan manquant (préventif)",IF(AND(F119&lt;&gt;"",ISNA(MATCH(F119,pl_num,0))),"Plan inconnu",IF(AND(F119&lt;&gt;"",IFERROR(INDEX(pl_eq,MATCH(F119,pl_num,0))&amp;"",C119)&lt;&gt;C119),"Plan d'un autre équipement",IF(AND(J119&lt;&gt;"",OR(NOT(ISNUMBER(J119)),N(J119)&lt;0)),"Compteur invalide",IF(OR(AND(K119&lt;&gt;"",OR(NOT(ISNUMBER(K119)),N(K119)&lt;0)),AND(L119&lt;&gt;"",OR(NOT(ISNUMBER(L119)),N(L119)&lt;0))),"Durée invalide",IF(OR(AND(N119&lt;&gt;"",OR(NOT(ISNUMBER(N119)),N(N119)&lt;0)),AND(P119&lt;&gt;"",OR(NOT(ISNUMBER(P119)),N(P119)&lt;0))),"Coût invalide",IF(AND(M119&lt;&gt;"",ISNA(MATCH(M119,tech_name,0))),"Technicien inconnu",IF(AND(I119="Terminée",S119&gt;p_today),"Terminée à une date future",IF(AND(I119="Terminée",V119=0),"Durée d'intervention manquante",IF(AND(I119="Terminée",E119="Préventif",T119=0,OR(IFERROR(INDEX(pl_trig,MATCH(F119,pl_num,0))&amp;"","")="Compteur",IFERROR(INDEX(pl_trig,MATCH(F119,pl_num,0))&amp;"","")="Au premier des deux")),"Compteur manquant (plan au compteur)","OK"))))))))))))))))))</f>
        <v/>
      </c>
      <c r="S119" s="67">
        <f>IF(AND(ISNUMBER(B119),N(B119)&gt;0),INT(B119),0)</f>
        <v>0.0</v>
      </c>
      <c r="T119" s="67">
        <f>IF(AND(ISNUMBER(J119),N(J119)&gt;=0),N(J119),0)</f>
        <v>0.0</v>
      </c>
      <c r="U119" s="67">
        <f>IF(AND(ISNUMBER(K119),N(K119)&gt;0),N(K119),0)</f>
        <v>0.0</v>
      </c>
      <c r="V119" s="67">
        <f>IF(AND(ISNUMBER(L119),N(L119)&gt;0),N(L119),0)</f>
        <v>0.0</v>
      </c>
      <c r="W119" s="67">
        <f>IF(AND(I119="Terminée",S119&gt;0,C119&lt;&gt;"",ISNUMBER(MATCH(C119,eq_code,0))),1,0)</f>
        <v>0.0</v>
      </c>
      <c r="X119" s="67">
        <f>IF(AND(W119=1,E119="Préventif"),1,0)</f>
        <v>0.0</v>
      </c>
      <c r="Y119" s="67">
        <f>IF(AND(ISNUMBER(N119),N(N119)&gt;0),N(N119),0)</f>
        <v>0.0</v>
      </c>
      <c r="Z119" s="67">
        <f>IF(AND(ISNUMBER(P119),N(P119)&gt;0),N(P119),0)</f>
        <v>0.0</v>
      </c>
    </row>
    <row r="120">
      <c r="A120" s="79" t="str">
        <f>IF(COUNTA(B120:C120,E120:G120,I120)=0,"","BI-"&amp;RIGHT("0000"&amp;(ROW()-5),4))</f>
        <v/>
      </c>
      <c r="B120" s="72" t="n"/>
      <c r="C120" s="66" t="n"/>
      <c r="D120" s="67" t="str">
        <f>IF(C120="","",IFERROR(INDEX(eq_des,MATCH(C120,eq_code,0))&amp;"","Équipement inconnu"))</f>
        <v/>
      </c>
      <c r="E120" s="68" t="n"/>
      <c r="F120" s="68" t="n"/>
      <c r="G120" s="66" t="n"/>
      <c r="H120" s="66" t="n"/>
      <c r="I120" s="68" t="n"/>
      <c r="J120" s="73" t="n"/>
      <c r="K120" s="71" t="n"/>
      <c r="L120" s="71" t="n"/>
      <c r="M120" s="66" t="n"/>
      <c r="N120" s="80" t="n"/>
      <c r="O120" s="81" t="str">
        <f>IF(A120="","",ROUND(V120*IFERROR(N(INDEX(tech_rate,MATCH(M120,tech_name,0))),0),2))</f>
        <v/>
      </c>
      <c r="P120" s="80" t="n"/>
      <c r="Q120" s="81" t="str">
        <f>IF(A120="","",ROUND(Y120+O120+Z120,2))</f>
        <v/>
      </c>
      <c r="R120" s="79" t="str">
        <f>IF(A120="","",IF(S120=0,"Date manquante ou invalide",IF(C120="","Équipement manquant",IF(ISNA(MATCH(C120,eq_code,0)),"Équipement inconnu",IF(E120="","Type manquant",IF(AND(E120&lt;&gt;"Préventif",E120&lt;&gt;"Correctif",E120&lt;&gt;"Amélioratif"),"Type inconnu",IF(I120="","Statut manquant",IF(AND(I120&lt;&gt;"Terminée",I120&lt;&gt;"En cours",I120&lt;&gt;"À faire",I120&lt;&gt;"Annulée"),"Statut inconnu",IF(AND(E120="Préventif",F120=""),"Plan manquant (préventif)",IF(AND(F120&lt;&gt;"",ISNA(MATCH(F120,pl_num,0))),"Plan inconnu",IF(AND(F120&lt;&gt;"",IFERROR(INDEX(pl_eq,MATCH(F120,pl_num,0))&amp;"",C120)&lt;&gt;C120),"Plan d'un autre équipement",IF(AND(J120&lt;&gt;"",OR(NOT(ISNUMBER(J120)),N(J120)&lt;0)),"Compteur invalide",IF(OR(AND(K120&lt;&gt;"",OR(NOT(ISNUMBER(K120)),N(K120)&lt;0)),AND(L120&lt;&gt;"",OR(NOT(ISNUMBER(L120)),N(L120)&lt;0))),"Durée invalide",IF(OR(AND(N120&lt;&gt;"",OR(NOT(ISNUMBER(N120)),N(N120)&lt;0)),AND(P120&lt;&gt;"",OR(NOT(ISNUMBER(P120)),N(P120)&lt;0))),"Coût invalide",IF(AND(M120&lt;&gt;"",ISNA(MATCH(M120,tech_name,0))),"Technicien inconnu",IF(AND(I120="Terminée",S120&gt;p_today),"Terminée à une date future",IF(AND(I120="Terminée",V120=0),"Durée d'intervention manquante",IF(AND(I120="Terminée",E120="Préventif",T120=0,OR(IFERROR(INDEX(pl_trig,MATCH(F120,pl_num,0))&amp;"","")="Compteur",IFERROR(INDEX(pl_trig,MATCH(F120,pl_num,0))&amp;"","")="Au premier des deux")),"Compteur manquant (plan au compteur)","OK"))))))))))))))))))</f>
        <v/>
      </c>
      <c r="S120" s="67">
        <f>IF(AND(ISNUMBER(B120),N(B120)&gt;0),INT(B120),0)</f>
        <v>0.0</v>
      </c>
      <c r="T120" s="67">
        <f>IF(AND(ISNUMBER(J120),N(J120)&gt;=0),N(J120),0)</f>
        <v>0.0</v>
      </c>
      <c r="U120" s="67">
        <f>IF(AND(ISNUMBER(K120),N(K120)&gt;0),N(K120),0)</f>
        <v>0.0</v>
      </c>
      <c r="V120" s="67">
        <f>IF(AND(ISNUMBER(L120),N(L120)&gt;0),N(L120),0)</f>
        <v>0.0</v>
      </c>
      <c r="W120" s="67">
        <f>IF(AND(I120="Terminée",S120&gt;0,C120&lt;&gt;"",ISNUMBER(MATCH(C120,eq_code,0))),1,0)</f>
        <v>0.0</v>
      </c>
      <c r="X120" s="67">
        <f>IF(AND(W120=1,E120="Préventif"),1,0)</f>
        <v>0.0</v>
      </c>
      <c r="Y120" s="67">
        <f>IF(AND(ISNUMBER(N120),N(N120)&gt;0),N(N120),0)</f>
        <v>0.0</v>
      </c>
      <c r="Z120" s="67">
        <f>IF(AND(ISNUMBER(P120),N(P120)&gt;0),N(P120),0)</f>
        <v>0.0</v>
      </c>
    </row>
    <row r="121">
      <c r="A121" s="79" t="str">
        <f>IF(COUNTA(B121:C121,E121:G121,I121)=0,"","BI-"&amp;RIGHT("0000"&amp;(ROW()-5),4))</f>
        <v/>
      </c>
      <c r="B121" s="72" t="n"/>
      <c r="C121" s="66" t="n"/>
      <c r="D121" s="67" t="str">
        <f>IF(C121="","",IFERROR(INDEX(eq_des,MATCH(C121,eq_code,0))&amp;"","Équipement inconnu"))</f>
        <v/>
      </c>
      <c r="E121" s="68" t="n"/>
      <c r="F121" s="68" t="n"/>
      <c r="G121" s="66" t="n"/>
      <c r="H121" s="66" t="n"/>
      <c r="I121" s="68" t="n"/>
      <c r="J121" s="73" t="n"/>
      <c r="K121" s="71" t="n"/>
      <c r="L121" s="71" t="n"/>
      <c r="M121" s="66" t="n"/>
      <c r="N121" s="80" t="n"/>
      <c r="O121" s="81" t="str">
        <f>IF(A121="","",ROUND(V121*IFERROR(N(INDEX(tech_rate,MATCH(M121,tech_name,0))),0),2))</f>
        <v/>
      </c>
      <c r="P121" s="80" t="n"/>
      <c r="Q121" s="81" t="str">
        <f>IF(A121="","",ROUND(Y121+O121+Z121,2))</f>
        <v/>
      </c>
      <c r="R121" s="79" t="str">
        <f>IF(A121="","",IF(S121=0,"Date manquante ou invalide",IF(C121="","Équipement manquant",IF(ISNA(MATCH(C121,eq_code,0)),"Équipement inconnu",IF(E121="","Type manquant",IF(AND(E121&lt;&gt;"Préventif",E121&lt;&gt;"Correctif",E121&lt;&gt;"Amélioratif"),"Type inconnu",IF(I121="","Statut manquant",IF(AND(I121&lt;&gt;"Terminée",I121&lt;&gt;"En cours",I121&lt;&gt;"À faire",I121&lt;&gt;"Annulée"),"Statut inconnu",IF(AND(E121="Préventif",F121=""),"Plan manquant (préventif)",IF(AND(F121&lt;&gt;"",ISNA(MATCH(F121,pl_num,0))),"Plan inconnu",IF(AND(F121&lt;&gt;"",IFERROR(INDEX(pl_eq,MATCH(F121,pl_num,0))&amp;"",C121)&lt;&gt;C121),"Plan d'un autre équipement",IF(AND(J121&lt;&gt;"",OR(NOT(ISNUMBER(J121)),N(J121)&lt;0)),"Compteur invalide",IF(OR(AND(K121&lt;&gt;"",OR(NOT(ISNUMBER(K121)),N(K121)&lt;0)),AND(L121&lt;&gt;"",OR(NOT(ISNUMBER(L121)),N(L121)&lt;0))),"Durée invalide",IF(OR(AND(N121&lt;&gt;"",OR(NOT(ISNUMBER(N121)),N(N121)&lt;0)),AND(P121&lt;&gt;"",OR(NOT(ISNUMBER(P121)),N(P121)&lt;0))),"Coût invalide",IF(AND(M121&lt;&gt;"",ISNA(MATCH(M121,tech_name,0))),"Technicien inconnu",IF(AND(I121="Terminée",S121&gt;p_today),"Terminée à une date future",IF(AND(I121="Terminée",V121=0),"Durée d'intervention manquante",IF(AND(I121="Terminée",E121="Préventif",T121=0,OR(IFERROR(INDEX(pl_trig,MATCH(F121,pl_num,0))&amp;"","")="Compteur",IFERROR(INDEX(pl_trig,MATCH(F121,pl_num,0))&amp;"","")="Au premier des deux")),"Compteur manquant (plan au compteur)","OK"))))))))))))))))))</f>
        <v/>
      </c>
      <c r="S121" s="67">
        <f>IF(AND(ISNUMBER(B121),N(B121)&gt;0),INT(B121),0)</f>
        <v>0.0</v>
      </c>
      <c r="T121" s="67">
        <f>IF(AND(ISNUMBER(J121),N(J121)&gt;=0),N(J121),0)</f>
        <v>0.0</v>
      </c>
      <c r="U121" s="67">
        <f>IF(AND(ISNUMBER(K121),N(K121)&gt;0),N(K121),0)</f>
        <v>0.0</v>
      </c>
      <c r="V121" s="67">
        <f>IF(AND(ISNUMBER(L121),N(L121)&gt;0),N(L121),0)</f>
        <v>0.0</v>
      </c>
      <c r="W121" s="67">
        <f>IF(AND(I121="Terminée",S121&gt;0,C121&lt;&gt;"",ISNUMBER(MATCH(C121,eq_code,0))),1,0)</f>
        <v>0.0</v>
      </c>
      <c r="X121" s="67">
        <f>IF(AND(W121=1,E121="Préventif"),1,0)</f>
        <v>0.0</v>
      </c>
      <c r="Y121" s="67">
        <f>IF(AND(ISNUMBER(N121),N(N121)&gt;0),N(N121),0)</f>
        <v>0.0</v>
      </c>
      <c r="Z121" s="67">
        <f>IF(AND(ISNUMBER(P121),N(P121)&gt;0),N(P121),0)</f>
        <v>0.0</v>
      </c>
    </row>
    <row r="122">
      <c r="A122" s="79" t="str">
        <f>IF(COUNTA(B122:C122,E122:G122,I122)=0,"","BI-"&amp;RIGHT("0000"&amp;(ROW()-5),4))</f>
        <v/>
      </c>
      <c r="B122" s="72" t="n"/>
      <c r="C122" s="66" t="n"/>
      <c r="D122" s="67" t="str">
        <f>IF(C122="","",IFERROR(INDEX(eq_des,MATCH(C122,eq_code,0))&amp;"","Équipement inconnu"))</f>
        <v/>
      </c>
      <c r="E122" s="68" t="n"/>
      <c r="F122" s="68" t="n"/>
      <c r="G122" s="66" t="n"/>
      <c r="H122" s="66" t="n"/>
      <c r="I122" s="68" t="n"/>
      <c r="J122" s="73" t="n"/>
      <c r="K122" s="71" t="n"/>
      <c r="L122" s="71" t="n"/>
      <c r="M122" s="66" t="n"/>
      <c r="N122" s="80" t="n"/>
      <c r="O122" s="81" t="str">
        <f>IF(A122="","",ROUND(V122*IFERROR(N(INDEX(tech_rate,MATCH(M122,tech_name,0))),0),2))</f>
        <v/>
      </c>
      <c r="P122" s="80" t="n"/>
      <c r="Q122" s="81" t="str">
        <f>IF(A122="","",ROUND(Y122+O122+Z122,2))</f>
        <v/>
      </c>
      <c r="R122" s="79" t="str">
        <f>IF(A122="","",IF(S122=0,"Date manquante ou invalide",IF(C122="","Équipement manquant",IF(ISNA(MATCH(C122,eq_code,0)),"Équipement inconnu",IF(E122="","Type manquant",IF(AND(E122&lt;&gt;"Préventif",E122&lt;&gt;"Correctif",E122&lt;&gt;"Amélioratif"),"Type inconnu",IF(I122="","Statut manquant",IF(AND(I122&lt;&gt;"Terminée",I122&lt;&gt;"En cours",I122&lt;&gt;"À faire",I122&lt;&gt;"Annulée"),"Statut inconnu",IF(AND(E122="Préventif",F122=""),"Plan manquant (préventif)",IF(AND(F122&lt;&gt;"",ISNA(MATCH(F122,pl_num,0))),"Plan inconnu",IF(AND(F122&lt;&gt;"",IFERROR(INDEX(pl_eq,MATCH(F122,pl_num,0))&amp;"",C122)&lt;&gt;C122),"Plan d'un autre équipement",IF(AND(J122&lt;&gt;"",OR(NOT(ISNUMBER(J122)),N(J122)&lt;0)),"Compteur invalide",IF(OR(AND(K122&lt;&gt;"",OR(NOT(ISNUMBER(K122)),N(K122)&lt;0)),AND(L122&lt;&gt;"",OR(NOT(ISNUMBER(L122)),N(L122)&lt;0))),"Durée invalide",IF(OR(AND(N122&lt;&gt;"",OR(NOT(ISNUMBER(N122)),N(N122)&lt;0)),AND(P122&lt;&gt;"",OR(NOT(ISNUMBER(P122)),N(P122)&lt;0))),"Coût invalide",IF(AND(M122&lt;&gt;"",ISNA(MATCH(M122,tech_name,0))),"Technicien inconnu",IF(AND(I122="Terminée",S122&gt;p_today),"Terminée à une date future",IF(AND(I122="Terminée",V122=0),"Durée d'intervention manquante",IF(AND(I122="Terminée",E122="Préventif",T122=0,OR(IFERROR(INDEX(pl_trig,MATCH(F122,pl_num,0))&amp;"","")="Compteur",IFERROR(INDEX(pl_trig,MATCH(F122,pl_num,0))&amp;"","")="Au premier des deux")),"Compteur manquant (plan au compteur)","OK"))))))))))))))))))</f>
        <v/>
      </c>
      <c r="S122" s="67">
        <f>IF(AND(ISNUMBER(B122),N(B122)&gt;0),INT(B122),0)</f>
        <v>0.0</v>
      </c>
      <c r="T122" s="67">
        <f>IF(AND(ISNUMBER(J122),N(J122)&gt;=0),N(J122),0)</f>
        <v>0.0</v>
      </c>
      <c r="U122" s="67">
        <f>IF(AND(ISNUMBER(K122),N(K122)&gt;0),N(K122),0)</f>
        <v>0.0</v>
      </c>
      <c r="V122" s="67">
        <f>IF(AND(ISNUMBER(L122),N(L122)&gt;0),N(L122),0)</f>
        <v>0.0</v>
      </c>
      <c r="W122" s="67">
        <f>IF(AND(I122="Terminée",S122&gt;0,C122&lt;&gt;"",ISNUMBER(MATCH(C122,eq_code,0))),1,0)</f>
        <v>0.0</v>
      </c>
      <c r="X122" s="67">
        <f>IF(AND(W122=1,E122="Préventif"),1,0)</f>
        <v>0.0</v>
      </c>
      <c r="Y122" s="67">
        <f>IF(AND(ISNUMBER(N122),N(N122)&gt;0),N(N122),0)</f>
        <v>0.0</v>
      </c>
      <c r="Z122" s="67">
        <f>IF(AND(ISNUMBER(P122),N(P122)&gt;0),N(P122),0)</f>
        <v>0.0</v>
      </c>
    </row>
    <row r="123">
      <c r="A123" s="79" t="str">
        <f>IF(COUNTA(B123:C123,E123:G123,I123)=0,"","BI-"&amp;RIGHT("0000"&amp;(ROW()-5),4))</f>
        <v/>
      </c>
      <c r="B123" s="72" t="n"/>
      <c r="C123" s="66" t="n"/>
      <c r="D123" s="67" t="str">
        <f>IF(C123="","",IFERROR(INDEX(eq_des,MATCH(C123,eq_code,0))&amp;"","Équipement inconnu"))</f>
        <v/>
      </c>
      <c r="E123" s="68" t="n"/>
      <c r="F123" s="68" t="n"/>
      <c r="G123" s="66" t="n"/>
      <c r="H123" s="66" t="n"/>
      <c r="I123" s="68" t="n"/>
      <c r="J123" s="73" t="n"/>
      <c r="K123" s="71" t="n"/>
      <c r="L123" s="71" t="n"/>
      <c r="M123" s="66" t="n"/>
      <c r="N123" s="80" t="n"/>
      <c r="O123" s="81" t="str">
        <f>IF(A123="","",ROUND(V123*IFERROR(N(INDEX(tech_rate,MATCH(M123,tech_name,0))),0),2))</f>
        <v/>
      </c>
      <c r="P123" s="80" t="n"/>
      <c r="Q123" s="81" t="str">
        <f>IF(A123="","",ROUND(Y123+O123+Z123,2))</f>
        <v/>
      </c>
      <c r="R123" s="79" t="str">
        <f>IF(A123="","",IF(S123=0,"Date manquante ou invalide",IF(C123="","Équipement manquant",IF(ISNA(MATCH(C123,eq_code,0)),"Équipement inconnu",IF(E123="","Type manquant",IF(AND(E123&lt;&gt;"Préventif",E123&lt;&gt;"Correctif",E123&lt;&gt;"Amélioratif"),"Type inconnu",IF(I123="","Statut manquant",IF(AND(I123&lt;&gt;"Terminée",I123&lt;&gt;"En cours",I123&lt;&gt;"À faire",I123&lt;&gt;"Annulée"),"Statut inconnu",IF(AND(E123="Préventif",F123=""),"Plan manquant (préventif)",IF(AND(F123&lt;&gt;"",ISNA(MATCH(F123,pl_num,0))),"Plan inconnu",IF(AND(F123&lt;&gt;"",IFERROR(INDEX(pl_eq,MATCH(F123,pl_num,0))&amp;"",C123)&lt;&gt;C123),"Plan d'un autre équipement",IF(AND(J123&lt;&gt;"",OR(NOT(ISNUMBER(J123)),N(J123)&lt;0)),"Compteur invalide",IF(OR(AND(K123&lt;&gt;"",OR(NOT(ISNUMBER(K123)),N(K123)&lt;0)),AND(L123&lt;&gt;"",OR(NOT(ISNUMBER(L123)),N(L123)&lt;0))),"Durée invalide",IF(OR(AND(N123&lt;&gt;"",OR(NOT(ISNUMBER(N123)),N(N123)&lt;0)),AND(P123&lt;&gt;"",OR(NOT(ISNUMBER(P123)),N(P123)&lt;0))),"Coût invalide",IF(AND(M123&lt;&gt;"",ISNA(MATCH(M123,tech_name,0))),"Technicien inconnu",IF(AND(I123="Terminée",S123&gt;p_today),"Terminée à une date future",IF(AND(I123="Terminée",V123=0),"Durée d'intervention manquante",IF(AND(I123="Terminée",E123="Préventif",T123=0,OR(IFERROR(INDEX(pl_trig,MATCH(F123,pl_num,0))&amp;"","")="Compteur",IFERROR(INDEX(pl_trig,MATCH(F123,pl_num,0))&amp;"","")="Au premier des deux")),"Compteur manquant (plan au compteur)","OK"))))))))))))))))))</f>
        <v/>
      </c>
      <c r="S123" s="67">
        <f>IF(AND(ISNUMBER(B123),N(B123)&gt;0),INT(B123),0)</f>
        <v>0.0</v>
      </c>
      <c r="T123" s="67">
        <f>IF(AND(ISNUMBER(J123),N(J123)&gt;=0),N(J123),0)</f>
        <v>0.0</v>
      </c>
      <c r="U123" s="67">
        <f>IF(AND(ISNUMBER(K123),N(K123)&gt;0),N(K123),0)</f>
        <v>0.0</v>
      </c>
      <c r="V123" s="67">
        <f>IF(AND(ISNUMBER(L123),N(L123)&gt;0),N(L123),0)</f>
        <v>0.0</v>
      </c>
      <c r="W123" s="67">
        <f>IF(AND(I123="Terminée",S123&gt;0,C123&lt;&gt;"",ISNUMBER(MATCH(C123,eq_code,0))),1,0)</f>
        <v>0.0</v>
      </c>
      <c r="X123" s="67">
        <f>IF(AND(W123=1,E123="Préventif"),1,0)</f>
        <v>0.0</v>
      </c>
      <c r="Y123" s="67">
        <f>IF(AND(ISNUMBER(N123),N(N123)&gt;0),N(N123),0)</f>
        <v>0.0</v>
      </c>
      <c r="Z123" s="67">
        <f>IF(AND(ISNUMBER(P123),N(P123)&gt;0),N(P123),0)</f>
        <v>0.0</v>
      </c>
    </row>
    <row r="124">
      <c r="A124" s="79" t="str">
        <f>IF(COUNTA(B124:C124,E124:G124,I124)=0,"","BI-"&amp;RIGHT("0000"&amp;(ROW()-5),4))</f>
        <v/>
      </c>
      <c r="B124" s="72" t="n"/>
      <c r="C124" s="66" t="n"/>
      <c r="D124" s="67" t="str">
        <f>IF(C124="","",IFERROR(INDEX(eq_des,MATCH(C124,eq_code,0))&amp;"","Équipement inconnu"))</f>
        <v/>
      </c>
      <c r="E124" s="68" t="n"/>
      <c r="F124" s="68" t="n"/>
      <c r="G124" s="66" t="n"/>
      <c r="H124" s="66" t="n"/>
      <c r="I124" s="68" t="n"/>
      <c r="J124" s="73" t="n"/>
      <c r="K124" s="71" t="n"/>
      <c r="L124" s="71" t="n"/>
      <c r="M124" s="66" t="n"/>
      <c r="N124" s="80" t="n"/>
      <c r="O124" s="81" t="str">
        <f>IF(A124="","",ROUND(V124*IFERROR(N(INDEX(tech_rate,MATCH(M124,tech_name,0))),0),2))</f>
        <v/>
      </c>
      <c r="P124" s="80" t="n"/>
      <c r="Q124" s="81" t="str">
        <f>IF(A124="","",ROUND(Y124+O124+Z124,2))</f>
        <v/>
      </c>
      <c r="R124" s="79" t="str">
        <f>IF(A124="","",IF(S124=0,"Date manquante ou invalide",IF(C124="","Équipement manquant",IF(ISNA(MATCH(C124,eq_code,0)),"Équipement inconnu",IF(E124="","Type manquant",IF(AND(E124&lt;&gt;"Préventif",E124&lt;&gt;"Correctif",E124&lt;&gt;"Amélioratif"),"Type inconnu",IF(I124="","Statut manquant",IF(AND(I124&lt;&gt;"Terminée",I124&lt;&gt;"En cours",I124&lt;&gt;"À faire",I124&lt;&gt;"Annulée"),"Statut inconnu",IF(AND(E124="Préventif",F124=""),"Plan manquant (préventif)",IF(AND(F124&lt;&gt;"",ISNA(MATCH(F124,pl_num,0))),"Plan inconnu",IF(AND(F124&lt;&gt;"",IFERROR(INDEX(pl_eq,MATCH(F124,pl_num,0))&amp;"",C124)&lt;&gt;C124),"Plan d'un autre équipement",IF(AND(J124&lt;&gt;"",OR(NOT(ISNUMBER(J124)),N(J124)&lt;0)),"Compteur invalide",IF(OR(AND(K124&lt;&gt;"",OR(NOT(ISNUMBER(K124)),N(K124)&lt;0)),AND(L124&lt;&gt;"",OR(NOT(ISNUMBER(L124)),N(L124)&lt;0))),"Durée invalide",IF(OR(AND(N124&lt;&gt;"",OR(NOT(ISNUMBER(N124)),N(N124)&lt;0)),AND(P124&lt;&gt;"",OR(NOT(ISNUMBER(P124)),N(P124)&lt;0))),"Coût invalide",IF(AND(M124&lt;&gt;"",ISNA(MATCH(M124,tech_name,0))),"Technicien inconnu",IF(AND(I124="Terminée",S124&gt;p_today),"Terminée à une date future",IF(AND(I124="Terminée",V124=0),"Durée d'intervention manquante",IF(AND(I124="Terminée",E124="Préventif",T124=0,OR(IFERROR(INDEX(pl_trig,MATCH(F124,pl_num,0))&amp;"","")="Compteur",IFERROR(INDEX(pl_trig,MATCH(F124,pl_num,0))&amp;"","")="Au premier des deux")),"Compteur manquant (plan au compteur)","OK"))))))))))))))))))</f>
        <v/>
      </c>
      <c r="S124" s="67">
        <f>IF(AND(ISNUMBER(B124),N(B124)&gt;0),INT(B124),0)</f>
        <v>0.0</v>
      </c>
      <c r="T124" s="67">
        <f>IF(AND(ISNUMBER(J124),N(J124)&gt;=0),N(J124),0)</f>
        <v>0.0</v>
      </c>
      <c r="U124" s="67">
        <f>IF(AND(ISNUMBER(K124),N(K124)&gt;0),N(K124),0)</f>
        <v>0.0</v>
      </c>
      <c r="V124" s="67">
        <f>IF(AND(ISNUMBER(L124),N(L124)&gt;0),N(L124),0)</f>
        <v>0.0</v>
      </c>
      <c r="W124" s="67">
        <f>IF(AND(I124="Terminée",S124&gt;0,C124&lt;&gt;"",ISNUMBER(MATCH(C124,eq_code,0))),1,0)</f>
        <v>0.0</v>
      </c>
      <c r="X124" s="67">
        <f>IF(AND(W124=1,E124="Préventif"),1,0)</f>
        <v>0.0</v>
      </c>
      <c r="Y124" s="67">
        <f>IF(AND(ISNUMBER(N124),N(N124)&gt;0),N(N124),0)</f>
        <v>0.0</v>
      </c>
      <c r="Z124" s="67">
        <f>IF(AND(ISNUMBER(P124),N(P124)&gt;0),N(P124),0)</f>
        <v>0.0</v>
      </c>
    </row>
    <row r="125">
      <c r="A125" s="79" t="str">
        <f>IF(COUNTA(B125:C125,E125:G125,I125)=0,"","BI-"&amp;RIGHT("0000"&amp;(ROW()-5),4))</f>
        <v/>
      </c>
      <c r="B125" s="72" t="n"/>
      <c r="C125" s="66" t="n"/>
      <c r="D125" s="67" t="str">
        <f>IF(C125="","",IFERROR(INDEX(eq_des,MATCH(C125,eq_code,0))&amp;"","Équipement inconnu"))</f>
        <v/>
      </c>
      <c r="E125" s="68" t="n"/>
      <c r="F125" s="68" t="n"/>
      <c r="G125" s="66" t="n"/>
      <c r="H125" s="66" t="n"/>
      <c r="I125" s="68" t="n"/>
      <c r="J125" s="73" t="n"/>
      <c r="K125" s="71" t="n"/>
      <c r="L125" s="71" t="n"/>
      <c r="M125" s="66" t="n"/>
      <c r="N125" s="80" t="n"/>
      <c r="O125" s="81" t="str">
        <f>IF(A125="","",ROUND(V125*IFERROR(N(INDEX(tech_rate,MATCH(M125,tech_name,0))),0),2))</f>
        <v/>
      </c>
      <c r="P125" s="80" t="n"/>
      <c r="Q125" s="81" t="str">
        <f>IF(A125="","",ROUND(Y125+O125+Z125,2))</f>
        <v/>
      </c>
      <c r="R125" s="79" t="str">
        <f>IF(A125="","",IF(S125=0,"Date manquante ou invalide",IF(C125="","Équipement manquant",IF(ISNA(MATCH(C125,eq_code,0)),"Équipement inconnu",IF(E125="","Type manquant",IF(AND(E125&lt;&gt;"Préventif",E125&lt;&gt;"Correctif",E125&lt;&gt;"Amélioratif"),"Type inconnu",IF(I125="","Statut manquant",IF(AND(I125&lt;&gt;"Terminée",I125&lt;&gt;"En cours",I125&lt;&gt;"À faire",I125&lt;&gt;"Annulée"),"Statut inconnu",IF(AND(E125="Préventif",F125=""),"Plan manquant (préventif)",IF(AND(F125&lt;&gt;"",ISNA(MATCH(F125,pl_num,0))),"Plan inconnu",IF(AND(F125&lt;&gt;"",IFERROR(INDEX(pl_eq,MATCH(F125,pl_num,0))&amp;"",C125)&lt;&gt;C125),"Plan d'un autre équipement",IF(AND(J125&lt;&gt;"",OR(NOT(ISNUMBER(J125)),N(J125)&lt;0)),"Compteur invalide",IF(OR(AND(K125&lt;&gt;"",OR(NOT(ISNUMBER(K125)),N(K125)&lt;0)),AND(L125&lt;&gt;"",OR(NOT(ISNUMBER(L125)),N(L125)&lt;0))),"Durée invalide",IF(OR(AND(N125&lt;&gt;"",OR(NOT(ISNUMBER(N125)),N(N125)&lt;0)),AND(P125&lt;&gt;"",OR(NOT(ISNUMBER(P125)),N(P125)&lt;0))),"Coût invalide",IF(AND(M125&lt;&gt;"",ISNA(MATCH(M125,tech_name,0))),"Technicien inconnu",IF(AND(I125="Terminée",S125&gt;p_today),"Terminée à une date future",IF(AND(I125="Terminée",V125=0),"Durée d'intervention manquante",IF(AND(I125="Terminée",E125="Préventif",T125=0,OR(IFERROR(INDEX(pl_trig,MATCH(F125,pl_num,0))&amp;"","")="Compteur",IFERROR(INDEX(pl_trig,MATCH(F125,pl_num,0))&amp;"","")="Au premier des deux")),"Compteur manquant (plan au compteur)","OK"))))))))))))))))))</f>
        <v/>
      </c>
      <c r="S125" s="67">
        <f>IF(AND(ISNUMBER(B125),N(B125)&gt;0),INT(B125),0)</f>
        <v>0.0</v>
      </c>
      <c r="T125" s="67">
        <f>IF(AND(ISNUMBER(J125),N(J125)&gt;=0),N(J125),0)</f>
        <v>0.0</v>
      </c>
      <c r="U125" s="67">
        <f>IF(AND(ISNUMBER(K125),N(K125)&gt;0),N(K125),0)</f>
        <v>0.0</v>
      </c>
      <c r="V125" s="67">
        <f>IF(AND(ISNUMBER(L125),N(L125)&gt;0),N(L125),0)</f>
        <v>0.0</v>
      </c>
      <c r="W125" s="67">
        <f>IF(AND(I125="Terminée",S125&gt;0,C125&lt;&gt;"",ISNUMBER(MATCH(C125,eq_code,0))),1,0)</f>
        <v>0.0</v>
      </c>
      <c r="X125" s="67">
        <f>IF(AND(W125=1,E125="Préventif"),1,0)</f>
        <v>0.0</v>
      </c>
      <c r="Y125" s="67">
        <f>IF(AND(ISNUMBER(N125),N(N125)&gt;0),N(N125),0)</f>
        <v>0.0</v>
      </c>
      <c r="Z125" s="67">
        <f>IF(AND(ISNUMBER(P125),N(P125)&gt;0),N(P125),0)</f>
        <v>0.0</v>
      </c>
    </row>
    <row r="126">
      <c r="A126" s="79" t="str">
        <f>IF(COUNTA(B126:C126,E126:G126,I126)=0,"","BI-"&amp;RIGHT("0000"&amp;(ROW()-5),4))</f>
        <v/>
      </c>
      <c r="B126" s="72" t="n"/>
      <c r="C126" s="66" t="n"/>
      <c r="D126" s="67" t="str">
        <f>IF(C126="","",IFERROR(INDEX(eq_des,MATCH(C126,eq_code,0))&amp;"","Équipement inconnu"))</f>
        <v/>
      </c>
      <c r="E126" s="68" t="n"/>
      <c r="F126" s="68" t="n"/>
      <c r="G126" s="66" t="n"/>
      <c r="H126" s="66" t="n"/>
      <c r="I126" s="68" t="n"/>
      <c r="J126" s="73" t="n"/>
      <c r="K126" s="71" t="n"/>
      <c r="L126" s="71" t="n"/>
      <c r="M126" s="66" t="n"/>
      <c r="N126" s="80" t="n"/>
      <c r="O126" s="81" t="str">
        <f>IF(A126="","",ROUND(V126*IFERROR(N(INDEX(tech_rate,MATCH(M126,tech_name,0))),0),2))</f>
        <v/>
      </c>
      <c r="P126" s="80" t="n"/>
      <c r="Q126" s="81" t="str">
        <f>IF(A126="","",ROUND(Y126+O126+Z126,2))</f>
        <v/>
      </c>
      <c r="R126" s="79" t="str">
        <f>IF(A126="","",IF(S126=0,"Date manquante ou invalide",IF(C126="","Équipement manquant",IF(ISNA(MATCH(C126,eq_code,0)),"Équipement inconnu",IF(E126="","Type manquant",IF(AND(E126&lt;&gt;"Préventif",E126&lt;&gt;"Correctif",E126&lt;&gt;"Amélioratif"),"Type inconnu",IF(I126="","Statut manquant",IF(AND(I126&lt;&gt;"Terminée",I126&lt;&gt;"En cours",I126&lt;&gt;"À faire",I126&lt;&gt;"Annulée"),"Statut inconnu",IF(AND(E126="Préventif",F126=""),"Plan manquant (préventif)",IF(AND(F126&lt;&gt;"",ISNA(MATCH(F126,pl_num,0))),"Plan inconnu",IF(AND(F126&lt;&gt;"",IFERROR(INDEX(pl_eq,MATCH(F126,pl_num,0))&amp;"",C126)&lt;&gt;C126),"Plan d'un autre équipement",IF(AND(J126&lt;&gt;"",OR(NOT(ISNUMBER(J126)),N(J126)&lt;0)),"Compteur invalide",IF(OR(AND(K126&lt;&gt;"",OR(NOT(ISNUMBER(K126)),N(K126)&lt;0)),AND(L126&lt;&gt;"",OR(NOT(ISNUMBER(L126)),N(L126)&lt;0))),"Durée invalide",IF(OR(AND(N126&lt;&gt;"",OR(NOT(ISNUMBER(N126)),N(N126)&lt;0)),AND(P126&lt;&gt;"",OR(NOT(ISNUMBER(P126)),N(P126)&lt;0))),"Coût invalide",IF(AND(M126&lt;&gt;"",ISNA(MATCH(M126,tech_name,0))),"Technicien inconnu",IF(AND(I126="Terminée",S126&gt;p_today),"Terminée à une date future",IF(AND(I126="Terminée",V126=0),"Durée d'intervention manquante",IF(AND(I126="Terminée",E126="Préventif",T126=0,OR(IFERROR(INDEX(pl_trig,MATCH(F126,pl_num,0))&amp;"","")="Compteur",IFERROR(INDEX(pl_trig,MATCH(F126,pl_num,0))&amp;"","")="Au premier des deux")),"Compteur manquant (plan au compteur)","OK"))))))))))))))))))</f>
        <v/>
      </c>
      <c r="S126" s="67">
        <f>IF(AND(ISNUMBER(B126),N(B126)&gt;0),INT(B126),0)</f>
        <v>0.0</v>
      </c>
      <c r="T126" s="67">
        <f>IF(AND(ISNUMBER(J126),N(J126)&gt;=0),N(J126),0)</f>
        <v>0.0</v>
      </c>
      <c r="U126" s="67">
        <f>IF(AND(ISNUMBER(K126),N(K126)&gt;0),N(K126),0)</f>
        <v>0.0</v>
      </c>
      <c r="V126" s="67">
        <f>IF(AND(ISNUMBER(L126),N(L126)&gt;0),N(L126),0)</f>
        <v>0.0</v>
      </c>
      <c r="W126" s="67">
        <f>IF(AND(I126="Terminée",S126&gt;0,C126&lt;&gt;"",ISNUMBER(MATCH(C126,eq_code,0))),1,0)</f>
        <v>0.0</v>
      </c>
      <c r="X126" s="67">
        <f>IF(AND(W126=1,E126="Préventif"),1,0)</f>
        <v>0.0</v>
      </c>
      <c r="Y126" s="67">
        <f>IF(AND(ISNUMBER(N126),N(N126)&gt;0),N(N126),0)</f>
        <v>0.0</v>
      </c>
      <c r="Z126" s="67">
        <f>IF(AND(ISNUMBER(P126),N(P126)&gt;0),N(P126),0)</f>
        <v>0.0</v>
      </c>
    </row>
    <row r="127">
      <c r="A127" s="79" t="str">
        <f>IF(COUNTA(B127:C127,E127:G127,I127)=0,"","BI-"&amp;RIGHT("0000"&amp;(ROW()-5),4))</f>
        <v/>
      </c>
      <c r="B127" s="72" t="n"/>
      <c r="C127" s="66" t="n"/>
      <c r="D127" s="67" t="str">
        <f>IF(C127="","",IFERROR(INDEX(eq_des,MATCH(C127,eq_code,0))&amp;"","Équipement inconnu"))</f>
        <v/>
      </c>
      <c r="E127" s="68" t="n"/>
      <c r="F127" s="68" t="n"/>
      <c r="G127" s="66" t="n"/>
      <c r="H127" s="66" t="n"/>
      <c r="I127" s="68" t="n"/>
      <c r="J127" s="73" t="n"/>
      <c r="K127" s="71" t="n"/>
      <c r="L127" s="71" t="n"/>
      <c r="M127" s="66" t="n"/>
      <c r="N127" s="80" t="n"/>
      <c r="O127" s="81" t="str">
        <f>IF(A127="","",ROUND(V127*IFERROR(N(INDEX(tech_rate,MATCH(M127,tech_name,0))),0),2))</f>
        <v/>
      </c>
      <c r="P127" s="80" t="n"/>
      <c r="Q127" s="81" t="str">
        <f>IF(A127="","",ROUND(Y127+O127+Z127,2))</f>
        <v/>
      </c>
      <c r="R127" s="79" t="str">
        <f>IF(A127="","",IF(S127=0,"Date manquante ou invalide",IF(C127="","Équipement manquant",IF(ISNA(MATCH(C127,eq_code,0)),"Équipement inconnu",IF(E127="","Type manquant",IF(AND(E127&lt;&gt;"Préventif",E127&lt;&gt;"Correctif",E127&lt;&gt;"Amélioratif"),"Type inconnu",IF(I127="","Statut manquant",IF(AND(I127&lt;&gt;"Terminée",I127&lt;&gt;"En cours",I127&lt;&gt;"À faire",I127&lt;&gt;"Annulée"),"Statut inconnu",IF(AND(E127="Préventif",F127=""),"Plan manquant (préventif)",IF(AND(F127&lt;&gt;"",ISNA(MATCH(F127,pl_num,0))),"Plan inconnu",IF(AND(F127&lt;&gt;"",IFERROR(INDEX(pl_eq,MATCH(F127,pl_num,0))&amp;"",C127)&lt;&gt;C127),"Plan d'un autre équipement",IF(AND(J127&lt;&gt;"",OR(NOT(ISNUMBER(J127)),N(J127)&lt;0)),"Compteur invalide",IF(OR(AND(K127&lt;&gt;"",OR(NOT(ISNUMBER(K127)),N(K127)&lt;0)),AND(L127&lt;&gt;"",OR(NOT(ISNUMBER(L127)),N(L127)&lt;0))),"Durée invalide",IF(OR(AND(N127&lt;&gt;"",OR(NOT(ISNUMBER(N127)),N(N127)&lt;0)),AND(P127&lt;&gt;"",OR(NOT(ISNUMBER(P127)),N(P127)&lt;0))),"Coût invalide",IF(AND(M127&lt;&gt;"",ISNA(MATCH(M127,tech_name,0))),"Technicien inconnu",IF(AND(I127="Terminée",S127&gt;p_today),"Terminée à une date future",IF(AND(I127="Terminée",V127=0),"Durée d'intervention manquante",IF(AND(I127="Terminée",E127="Préventif",T127=0,OR(IFERROR(INDEX(pl_trig,MATCH(F127,pl_num,0))&amp;"","")="Compteur",IFERROR(INDEX(pl_trig,MATCH(F127,pl_num,0))&amp;"","")="Au premier des deux")),"Compteur manquant (plan au compteur)","OK"))))))))))))))))))</f>
        <v/>
      </c>
      <c r="S127" s="67">
        <f>IF(AND(ISNUMBER(B127),N(B127)&gt;0),INT(B127),0)</f>
        <v>0.0</v>
      </c>
      <c r="T127" s="67">
        <f>IF(AND(ISNUMBER(J127),N(J127)&gt;=0),N(J127),0)</f>
        <v>0.0</v>
      </c>
      <c r="U127" s="67">
        <f>IF(AND(ISNUMBER(K127),N(K127)&gt;0),N(K127),0)</f>
        <v>0.0</v>
      </c>
      <c r="V127" s="67">
        <f>IF(AND(ISNUMBER(L127),N(L127)&gt;0),N(L127),0)</f>
        <v>0.0</v>
      </c>
      <c r="W127" s="67">
        <f>IF(AND(I127="Terminée",S127&gt;0,C127&lt;&gt;"",ISNUMBER(MATCH(C127,eq_code,0))),1,0)</f>
        <v>0.0</v>
      </c>
      <c r="X127" s="67">
        <f>IF(AND(W127=1,E127="Préventif"),1,0)</f>
        <v>0.0</v>
      </c>
      <c r="Y127" s="67">
        <f>IF(AND(ISNUMBER(N127),N(N127)&gt;0),N(N127),0)</f>
        <v>0.0</v>
      </c>
      <c r="Z127" s="67">
        <f>IF(AND(ISNUMBER(P127),N(P127)&gt;0),N(P127),0)</f>
        <v>0.0</v>
      </c>
    </row>
    <row r="128">
      <c r="A128" s="79" t="str">
        <f>IF(COUNTA(B128:C128,E128:G128,I128)=0,"","BI-"&amp;RIGHT("0000"&amp;(ROW()-5),4))</f>
        <v/>
      </c>
      <c r="B128" s="72" t="n"/>
      <c r="C128" s="66" t="n"/>
      <c r="D128" s="67" t="str">
        <f>IF(C128="","",IFERROR(INDEX(eq_des,MATCH(C128,eq_code,0))&amp;"","Équipement inconnu"))</f>
        <v/>
      </c>
      <c r="E128" s="68" t="n"/>
      <c r="F128" s="68" t="n"/>
      <c r="G128" s="66" t="n"/>
      <c r="H128" s="66" t="n"/>
      <c r="I128" s="68" t="n"/>
      <c r="J128" s="73" t="n"/>
      <c r="K128" s="71" t="n"/>
      <c r="L128" s="71" t="n"/>
      <c r="M128" s="66" t="n"/>
      <c r="N128" s="80" t="n"/>
      <c r="O128" s="81" t="str">
        <f>IF(A128="","",ROUND(V128*IFERROR(N(INDEX(tech_rate,MATCH(M128,tech_name,0))),0),2))</f>
        <v/>
      </c>
      <c r="P128" s="80" t="n"/>
      <c r="Q128" s="81" t="str">
        <f>IF(A128="","",ROUND(Y128+O128+Z128,2))</f>
        <v/>
      </c>
      <c r="R128" s="79" t="str">
        <f>IF(A128="","",IF(S128=0,"Date manquante ou invalide",IF(C128="","Équipement manquant",IF(ISNA(MATCH(C128,eq_code,0)),"Équipement inconnu",IF(E128="","Type manquant",IF(AND(E128&lt;&gt;"Préventif",E128&lt;&gt;"Correctif",E128&lt;&gt;"Amélioratif"),"Type inconnu",IF(I128="","Statut manquant",IF(AND(I128&lt;&gt;"Terminée",I128&lt;&gt;"En cours",I128&lt;&gt;"À faire",I128&lt;&gt;"Annulée"),"Statut inconnu",IF(AND(E128="Préventif",F128=""),"Plan manquant (préventif)",IF(AND(F128&lt;&gt;"",ISNA(MATCH(F128,pl_num,0))),"Plan inconnu",IF(AND(F128&lt;&gt;"",IFERROR(INDEX(pl_eq,MATCH(F128,pl_num,0))&amp;"",C128)&lt;&gt;C128),"Plan d'un autre équipement",IF(AND(J128&lt;&gt;"",OR(NOT(ISNUMBER(J128)),N(J128)&lt;0)),"Compteur invalide",IF(OR(AND(K128&lt;&gt;"",OR(NOT(ISNUMBER(K128)),N(K128)&lt;0)),AND(L128&lt;&gt;"",OR(NOT(ISNUMBER(L128)),N(L128)&lt;0))),"Durée invalide",IF(OR(AND(N128&lt;&gt;"",OR(NOT(ISNUMBER(N128)),N(N128)&lt;0)),AND(P128&lt;&gt;"",OR(NOT(ISNUMBER(P128)),N(P128)&lt;0))),"Coût invalide",IF(AND(M128&lt;&gt;"",ISNA(MATCH(M128,tech_name,0))),"Technicien inconnu",IF(AND(I128="Terminée",S128&gt;p_today),"Terminée à une date future",IF(AND(I128="Terminée",V128=0),"Durée d'intervention manquante",IF(AND(I128="Terminée",E128="Préventif",T128=0,OR(IFERROR(INDEX(pl_trig,MATCH(F128,pl_num,0))&amp;"","")="Compteur",IFERROR(INDEX(pl_trig,MATCH(F128,pl_num,0))&amp;"","")="Au premier des deux")),"Compteur manquant (plan au compteur)","OK"))))))))))))))))))</f>
        <v/>
      </c>
      <c r="S128" s="67">
        <f>IF(AND(ISNUMBER(B128),N(B128)&gt;0),INT(B128),0)</f>
        <v>0.0</v>
      </c>
      <c r="T128" s="67">
        <f>IF(AND(ISNUMBER(J128),N(J128)&gt;=0),N(J128),0)</f>
        <v>0.0</v>
      </c>
      <c r="U128" s="67">
        <f>IF(AND(ISNUMBER(K128),N(K128)&gt;0),N(K128),0)</f>
        <v>0.0</v>
      </c>
      <c r="V128" s="67">
        <f>IF(AND(ISNUMBER(L128),N(L128)&gt;0),N(L128),0)</f>
        <v>0.0</v>
      </c>
      <c r="W128" s="67">
        <f>IF(AND(I128="Terminée",S128&gt;0,C128&lt;&gt;"",ISNUMBER(MATCH(C128,eq_code,0))),1,0)</f>
        <v>0.0</v>
      </c>
      <c r="X128" s="67">
        <f>IF(AND(W128=1,E128="Préventif"),1,0)</f>
        <v>0.0</v>
      </c>
      <c r="Y128" s="67">
        <f>IF(AND(ISNUMBER(N128),N(N128)&gt;0),N(N128),0)</f>
        <v>0.0</v>
      </c>
      <c r="Z128" s="67">
        <f>IF(AND(ISNUMBER(P128),N(P128)&gt;0),N(P128),0)</f>
        <v>0.0</v>
      </c>
    </row>
    <row r="129">
      <c r="A129" s="79" t="str">
        <f>IF(COUNTA(B129:C129,E129:G129,I129)=0,"","BI-"&amp;RIGHT("0000"&amp;(ROW()-5),4))</f>
        <v/>
      </c>
      <c r="B129" s="72" t="n"/>
      <c r="C129" s="66" t="n"/>
      <c r="D129" s="67" t="str">
        <f>IF(C129="","",IFERROR(INDEX(eq_des,MATCH(C129,eq_code,0))&amp;"","Équipement inconnu"))</f>
        <v/>
      </c>
      <c r="E129" s="68" t="n"/>
      <c r="F129" s="68" t="n"/>
      <c r="G129" s="66" t="n"/>
      <c r="H129" s="66" t="n"/>
      <c r="I129" s="68" t="n"/>
      <c r="J129" s="73" t="n"/>
      <c r="K129" s="71" t="n"/>
      <c r="L129" s="71" t="n"/>
      <c r="M129" s="66" t="n"/>
      <c r="N129" s="80" t="n"/>
      <c r="O129" s="81" t="str">
        <f>IF(A129="","",ROUND(V129*IFERROR(N(INDEX(tech_rate,MATCH(M129,tech_name,0))),0),2))</f>
        <v/>
      </c>
      <c r="P129" s="80" t="n"/>
      <c r="Q129" s="81" t="str">
        <f>IF(A129="","",ROUND(Y129+O129+Z129,2))</f>
        <v/>
      </c>
      <c r="R129" s="79" t="str">
        <f>IF(A129="","",IF(S129=0,"Date manquante ou invalide",IF(C129="","Équipement manquant",IF(ISNA(MATCH(C129,eq_code,0)),"Équipement inconnu",IF(E129="","Type manquant",IF(AND(E129&lt;&gt;"Préventif",E129&lt;&gt;"Correctif",E129&lt;&gt;"Amélioratif"),"Type inconnu",IF(I129="","Statut manquant",IF(AND(I129&lt;&gt;"Terminée",I129&lt;&gt;"En cours",I129&lt;&gt;"À faire",I129&lt;&gt;"Annulée"),"Statut inconnu",IF(AND(E129="Préventif",F129=""),"Plan manquant (préventif)",IF(AND(F129&lt;&gt;"",ISNA(MATCH(F129,pl_num,0))),"Plan inconnu",IF(AND(F129&lt;&gt;"",IFERROR(INDEX(pl_eq,MATCH(F129,pl_num,0))&amp;"",C129)&lt;&gt;C129),"Plan d'un autre équipement",IF(AND(J129&lt;&gt;"",OR(NOT(ISNUMBER(J129)),N(J129)&lt;0)),"Compteur invalide",IF(OR(AND(K129&lt;&gt;"",OR(NOT(ISNUMBER(K129)),N(K129)&lt;0)),AND(L129&lt;&gt;"",OR(NOT(ISNUMBER(L129)),N(L129)&lt;0))),"Durée invalide",IF(OR(AND(N129&lt;&gt;"",OR(NOT(ISNUMBER(N129)),N(N129)&lt;0)),AND(P129&lt;&gt;"",OR(NOT(ISNUMBER(P129)),N(P129)&lt;0))),"Coût invalide",IF(AND(M129&lt;&gt;"",ISNA(MATCH(M129,tech_name,0))),"Technicien inconnu",IF(AND(I129="Terminée",S129&gt;p_today),"Terminée à une date future",IF(AND(I129="Terminée",V129=0),"Durée d'intervention manquante",IF(AND(I129="Terminée",E129="Préventif",T129=0,OR(IFERROR(INDEX(pl_trig,MATCH(F129,pl_num,0))&amp;"","")="Compteur",IFERROR(INDEX(pl_trig,MATCH(F129,pl_num,0))&amp;"","")="Au premier des deux")),"Compteur manquant (plan au compteur)","OK"))))))))))))))))))</f>
        <v/>
      </c>
      <c r="S129" s="67">
        <f>IF(AND(ISNUMBER(B129),N(B129)&gt;0),INT(B129),0)</f>
        <v>0.0</v>
      </c>
      <c r="T129" s="67">
        <f>IF(AND(ISNUMBER(J129),N(J129)&gt;=0),N(J129),0)</f>
        <v>0.0</v>
      </c>
      <c r="U129" s="67">
        <f>IF(AND(ISNUMBER(K129),N(K129)&gt;0),N(K129),0)</f>
        <v>0.0</v>
      </c>
      <c r="V129" s="67">
        <f>IF(AND(ISNUMBER(L129),N(L129)&gt;0),N(L129),0)</f>
        <v>0.0</v>
      </c>
      <c r="W129" s="67">
        <f>IF(AND(I129="Terminée",S129&gt;0,C129&lt;&gt;"",ISNUMBER(MATCH(C129,eq_code,0))),1,0)</f>
        <v>0.0</v>
      </c>
      <c r="X129" s="67">
        <f>IF(AND(W129=1,E129="Préventif"),1,0)</f>
        <v>0.0</v>
      </c>
      <c r="Y129" s="67">
        <f>IF(AND(ISNUMBER(N129),N(N129)&gt;0),N(N129),0)</f>
        <v>0.0</v>
      </c>
      <c r="Z129" s="67">
        <f>IF(AND(ISNUMBER(P129),N(P129)&gt;0),N(P129),0)</f>
        <v>0.0</v>
      </c>
    </row>
    <row r="130">
      <c r="A130" s="79" t="str">
        <f>IF(COUNTA(B130:C130,E130:G130,I130)=0,"","BI-"&amp;RIGHT("0000"&amp;(ROW()-5),4))</f>
        <v/>
      </c>
      <c r="B130" s="72" t="n"/>
      <c r="C130" s="66" t="n"/>
      <c r="D130" s="67" t="str">
        <f>IF(C130="","",IFERROR(INDEX(eq_des,MATCH(C130,eq_code,0))&amp;"","Équipement inconnu"))</f>
        <v/>
      </c>
      <c r="E130" s="68" t="n"/>
      <c r="F130" s="68" t="n"/>
      <c r="G130" s="66" t="n"/>
      <c r="H130" s="66" t="n"/>
      <c r="I130" s="68" t="n"/>
      <c r="J130" s="73" t="n"/>
      <c r="K130" s="71" t="n"/>
      <c r="L130" s="71" t="n"/>
      <c r="M130" s="66" t="n"/>
      <c r="N130" s="80" t="n"/>
      <c r="O130" s="81" t="str">
        <f>IF(A130="","",ROUND(V130*IFERROR(N(INDEX(tech_rate,MATCH(M130,tech_name,0))),0),2))</f>
        <v/>
      </c>
      <c r="P130" s="80" t="n"/>
      <c r="Q130" s="81" t="str">
        <f>IF(A130="","",ROUND(Y130+O130+Z130,2))</f>
        <v/>
      </c>
      <c r="R130" s="79" t="str">
        <f>IF(A130="","",IF(S130=0,"Date manquante ou invalide",IF(C130="","Équipement manquant",IF(ISNA(MATCH(C130,eq_code,0)),"Équipement inconnu",IF(E130="","Type manquant",IF(AND(E130&lt;&gt;"Préventif",E130&lt;&gt;"Correctif",E130&lt;&gt;"Amélioratif"),"Type inconnu",IF(I130="","Statut manquant",IF(AND(I130&lt;&gt;"Terminée",I130&lt;&gt;"En cours",I130&lt;&gt;"À faire",I130&lt;&gt;"Annulée"),"Statut inconnu",IF(AND(E130="Préventif",F130=""),"Plan manquant (préventif)",IF(AND(F130&lt;&gt;"",ISNA(MATCH(F130,pl_num,0))),"Plan inconnu",IF(AND(F130&lt;&gt;"",IFERROR(INDEX(pl_eq,MATCH(F130,pl_num,0))&amp;"",C130)&lt;&gt;C130),"Plan d'un autre équipement",IF(AND(J130&lt;&gt;"",OR(NOT(ISNUMBER(J130)),N(J130)&lt;0)),"Compteur invalide",IF(OR(AND(K130&lt;&gt;"",OR(NOT(ISNUMBER(K130)),N(K130)&lt;0)),AND(L130&lt;&gt;"",OR(NOT(ISNUMBER(L130)),N(L130)&lt;0))),"Durée invalide",IF(OR(AND(N130&lt;&gt;"",OR(NOT(ISNUMBER(N130)),N(N130)&lt;0)),AND(P130&lt;&gt;"",OR(NOT(ISNUMBER(P130)),N(P130)&lt;0))),"Coût invalide",IF(AND(M130&lt;&gt;"",ISNA(MATCH(M130,tech_name,0))),"Technicien inconnu",IF(AND(I130="Terminée",S130&gt;p_today),"Terminée à une date future",IF(AND(I130="Terminée",V130=0),"Durée d'intervention manquante",IF(AND(I130="Terminée",E130="Préventif",T130=0,OR(IFERROR(INDEX(pl_trig,MATCH(F130,pl_num,0))&amp;"","")="Compteur",IFERROR(INDEX(pl_trig,MATCH(F130,pl_num,0))&amp;"","")="Au premier des deux")),"Compteur manquant (plan au compteur)","OK"))))))))))))))))))</f>
        <v/>
      </c>
      <c r="S130" s="67">
        <f>IF(AND(ISNUMBER(B130),N(B130)&gt;0),INT(B130),0)</f>
        <v>0.0</v>
      </c>
      <c r="T130" s="67">
        <f>IF(AND(ISNUMBER(J130),N(J130)&gt;=0),N(J130),0)</f>
        <v>0.0</v>
      </c>
      <c r="U130" s="67">
        <f>IF(AND(ISNUMBER(K130),N(K130)&gt;0),N(K130),0)</f>
        <v>0.0</v>
      </c>
      <c r="V130" s="67">
        <f>IF(AND(ISNUMBER(L130),N(L130)&gt;0),N(L130),0)</f>
        <v>0.0</v>
      </c>
      <c r="W130" s="67">
        <f>IF(AND(I130="Terminée",S130&gt;0,C130&lt;&gt;"",ISNUMBER(MATCH(C130,eq_code,0))),1,0)</f>
        <v>0.0</v>
      </c>
      <c r="X130" s="67">
        <f>IF(AND(W130=1,E130="Préventif"),1,0)</f>
        <v>0.0</v>
      </c>
      <c r="Y130" s="67">
        <f>IF(AND(ISNUMBER(N130),N(N130)&gt;0),N(N130),0)</f>
        <v>0.0</v>
      </c>
      <c r="Z130" s="67">
        <f>IF(AND(ISNUMBER(P130),N(P130)&gt;0),N(P130),0)</f>
        <v>0.0</v>
      </c>
    </row>
    <row r="131">
      <c r="A131" s="79" t="str">
        <f>IF(COUNTA(B131:C131,E131:G131,I131)=0,"","BI-"&amp;RIGHT("0000"&amp;(ROW()-5),4))</f>
        <v/>
      </c>
      <c r="B131" s="72" t="n"/>
      <c r="C131" s="66" t="n"/>
      <c r="D131" s="67" t="str">
        <f>IF(C131="","",IFERROR(INDEX(eq_des,MATCH(C131,eq_code,0))&amp;"","Équipement inconnu"))</f>
        <v/>
      </c>
      <c r="E131" s="68" t="n"/>
      <c r="F131" s="68" t="n"/>
      <c r="G131" s="66" t="n"/>
      <c r="H131" s="66" t="n"/>
      <c r="I131" s="68" t="n"/>
      <c r="J131" s="73" t="n"/>
      <c r="K131" s="71" t="n"/>
      <c r="L131" s="71" t="n"/>
      <c r="M131" s="66" t="n"/>
      <c r="N131" s="80" t="n"/>
      <c r="O131" s="81" t="str">
        <f>IF(A131="","",ROUND(V131*IFERROR(N(INDEX(tech_rate,MATCH(M131,tech_name,0))),0),2))</f>
        <v/>
      </c>
      <c r="P131" s="80" t="n"/>
      <c r="Q131" s="81" t="str">
        <f>IF(A131="","",ROUND(Y131+O131+Z131,2))</f>
        <v/>
      </c>
      <c r="R131" s="79" t="str">
        <f>IF(A131="","",IF(S131=0,"Date manquante ou invalide",IF(C131="","Équipement manquant",IF(ISNA(MATCH(C131,eq_code,0)),"Équipement inconnu",IF(E131="","Type manquant",IF(AND(E131&lt;&gt;"Préventif",E131&lt;&gt;"Correctif",E131&lt;&gt;"Amélioratif"),"Type inconnu",IF(I131="","Statut manquant",IF(AND(I131&lt;&gt;"Terminée",I131&lt;&gt;"En cours",I131&lt;&gt;"À faire",I131&lt;&gt;"Annulée"),"Statut inconnu",IF(AND(E131="Préventif",F131=""),"Plan manquant (préventif)",IF(AND(F131&lt;&gt;"",ISNA(MATCH(F131,pl_num,0))),"Plan inconnu",IF(AND(F131&lt;&gt;"",IFERROR(INDEX(pl_eq,MATCH(F131,pl_num,0))&amp;"",C131)&lt;&gt;C131),"Plan d'un autre équipement",IF(AND(J131&lt;&gt;"",OR(NOT(ISNUMBER(J131)),N(J131)&lt;0)),"Compteur invalide",IF(OR(AND(K131&lt;&gt;"",OR(NOT(ISNUMBER(K131)),N(K131)&lt;0)),AND(L131&lt;&gt;"",OR(NOT(ISNUMBER(L131)),N(L131)&lt;0))),"Durée invalide",IF(OR(AND(N131&lt;&gt;"",OR(NOT(ISNUMBER(N131)),N(N131)&lt;0)),AND(P131&lt;&gt;"",OR(NOT(ISNUMBER(P131)),N(P131)&lt;0))),"Coût invalide",IF(AND(M131&lt;&gt;"",ISNA(MATCH(M131,tech_name,0))),"Technicien inconnu",IF(AND(I131="Terminée",S131&gt;p_today),"Terminée à une date future",IF(AND(I131="Terminée",V131=0),"Durée d'intervention manquante",IF(AND(I131="Terminée",E131="Préventif",T131=0,OR(IFERROR(INDEX(pl_trig,MATCH(F131,pl_num,0))&amp;"","")="Compteur",IFERROR(INDEX(pl_trig,MATCH(F131,pl_num,0))&amp;"","")="Au premier des deux")),"Compteur manquant (plan au compteur)","OK"))))))))))))))))))</f>
        <v/>
      </c>
      <c r="S131" s="67">
        <f>IF(AND(ISNUMBER(B131),N(B131)&gt;0),INT(B131),0)</f>
        <v>0.0</v>
      </c>
      <c r="T131" s="67">
        <f>IF(AND(ISNUMBER(J131),N(J131)&gt;=0),N(J131),0)</f>
        <v>0.0</v>
      </c>
      <c r="U131" s="67">
        <f>IF(AND(ISNUMBER(K131),N(K131)&gt;0),N(K131),0)</f>
        <v>0.0</v>
      </c>
      <c r="V131" s="67">
        <f>IF(AND(ISNUMBER(L131),N(L131)&gt;0),N(L131),0)</f>
        <v>0.0</v>
      </c>
      <c r="W131" s="67">
        <f>IF(AND(I131="Terminée",S131&gt;0,C131&lt;&gt;"",ISNUMBER(MATCH(C131,eq_code,0))),1,0)</f>
        <v>0.0</v>
      </c>
      <c r="X131" s="67">
        <f>IF(AND(W131=1,E131="Préventif"),1,0)</f>
        <v>0.0</v>
      </c>
      <c r="Y131" s="67">
        <f>IF(AND(ISNUMBER(N131),N(N131)&gt;0),N(N131),0)</f>
        <v>0.0</v>
      </c>
      <c r="Z131" s="67">
        <f>IF(AND(ISNUMBER(P131),N(P131)&gt;0),N(P131),0)</f>
        <v>0.0</v>
      </c>
    </row>
    <row r="132">
      <c r="A132" s="79" t="str">
        <f>IF(COUNTA(B132:C132,E132:G132,I132)=0,"","BI-"&amp;RIGHT("0000"&amp;(ROW()-5),4))</f>
        <v/>
      </c>
      <c r="B132" s="72" t="n"/>
      <c r="C132" s="66" t="n"/>
      <c r="D132" s="67" t="str">
        <f>IF(C132="","",IFERROR(INDEX(eq_des,MATCH(C132,eq_code,0))&amp;"","Équipement inconnu"))</f>
        <v/>
      </c>
      <c r="E132" s="68" t="n"/>
      <c r="F132" s="68" t="n"/>
      <c r="G132" s="66" t="n"/>
      <c r="H132" s="66" t="n"/>
      <c r="I132" s="68" t="n"/>
      <c r="J132" s="73" t="n"/>
      <c r="K132" s="71" t="n"/>
      <c r="L132" s="71" t="n"/>
      <c r="M132" s="66" t="n"/>
      <c r="N132" s="80" t="n"/>
      <c r="O132" s="81" t="str">
        <f>IF(A132="","",ROUND(V132*IFERROR(N(INDEX(tech_rate,MATCH(M132,tech_name,0))),0),2))</f>
        <v/>
      </c>
      <c r="P132" s="80" t="n"/>
      <c r="Q132" s="81" t="str">
        <f>IF(A132="","",ROUND(Y132+O132+Z132,2))</f>
        <v/>
      </c>
      <c r="R132" s="79" t="str">
        <f>IF(A132="","",IF(S132=0,"Date manquante ou invalide",IF(C132="","Équipement manquant",IF(ISNA(MATCH(C132,eq_code,0)),"Équipement inconnu",IF(E132="","Type manquant",IF(AND(E132&lt;&gt;"Préventif",E132&lt;&gt;"Correctif",E132&lt;&gt;"Amélioratif"),"Type inconnu",IF(I132="","Statut manquant",IF(AND(I132&lt;&gt;"Terminée",I132&lt;&gt;"En cours",I132&lt;&gt;"À faire",I132&lt;&gt;"Annulée"),"Statut inconnu",IF(AND(E132="Préventif",F132=""),"Plan manquant (préventif)",IF(AND(F132&lt;&gt;"",ISNA(MATCH(F132,pl_num,0))),"Plan inconnu",IF(AND(F132&lt;&gt;"",IFERROR(INDEX(pl_eq,MATCH(F132,pl_num,0))&amp;"",C132)&lt;&gt;C132),"Plan d'un autre équipement",IF(AND(J132&lt;&gt;"",OR(NOT(ISNUMBER(J132)),N(J132)&lt;0)),"Compteur invalide",IF(OR(AND(K132&lt;&gt;"",OR(NOT(ISNUMBER(K132)),N(K132)&lt;0)),AND(L132&lt;&gt;"",OR(NOT(ISNUMBER(L132)),N(L132)&lt;0))),"Durée invalide",IF(OR(AND(N132&lt;&gt;"",OR(NOT(ISNUMBER(N132)),N(N132)&lt;0)),AND(P132&lt;&gt;"",OR(NOT(ISNUMBER(P132)),N(P132)&lt;0))),"Coût invalide",IF(AND(M132&lt;&gt;"",ISNA(MATCH(M132,tech_name,0))),"Technicien inconnu",IF(AND(I132="Terminée",S132&gt;p_today),"Terminée à une date future",IF(AND(I132="Terminée",V132=0),"Durée d'intervention manquante",IF(AND(I132="Terminée",E132="Préventif",T132=0,OR(IFERROR(INDEX(pl_trig,MATCH(F132,pl_num,0))&amp;"","")="Compteur",IFERROR(INDEX(pl_trig,MATCH(F132,pl_num,0))&amp;"","")="Au premier des deux")),"Compteur manquant (plan au compteur)","OK"))))))))))))))))))</f>
        <v/>
      </c>
      <c r="S132" s="67">
        <f>IF(AND(ISNUMBER(B132),N(B132)&gt;0),INT(B132),0)</f>
        <v>0.0</v>
      </c>
      <c r="T132" s="67">
        <f>IF(AND(ISNUMBER(J132),N(J132)&gt;=0),N(J132),0)</f>
        <v>0.0</v>
      </c>
      <c r="U132" s="67">
        <f>IF(AND(ISNUMBER(K132),N(K132)&gt;0),N(K132),0)</f>
        <v>0.0</v>
      </c>
      <c r="V132" s="67">
        <f>IF(AND(ISNUMBER(L132),N(L132)&gt;0),N(L132),0)</f>
        <v>0.0</v>
      </c>
      <c r="W132" s="67">
        <f>IF(AND(I132="Terminée",S132&gt;0,C132&lt;&gt;"",ISNUMBER(MATCH(C132,eq_code,0))),1,0)</f>
        <v>0.0</v>
      </c>
      <c r="X132" s="67">
        <f>IF(AND(W132=1,E132="Préventif"),1,0)</f>
        <v>0.0</v>
      </c>
      <c r="Y132" s="67">
        <f>IF(AND(ISNUMBER(N132),N(N132)&gt;0),N(N132),0)</f>
        <v>0.0</v>
      </c>
      <c r="Z132" s="67">
        <f>IF(AND(ISNUMBER(P132),N(P132)&gt;0),N(P132),0)</f>
        <v>0.0</v>
      </c>
    </row>
    <row r="133">
      <c r="A133" s="79" t="str">
        <f>IF(COUNTA(B133:C133,E133:G133,I133)=0,"","BI-"&amp;RIGHT("0000"&amp;(ROW()-5),4))</f>
        <v/>
      </c>
      <c r="B133" s="72" t="n"/>
      <c r="C133" s="66" t="n"/>
      <c r="D133" s="67" t="str">
        <f>IF(C133="","",IFERROR(INDEX(eq_des,MATCH(C133,eq_code,0))&amp;"","Équipement inconnu"))</f>
        <v/>
      </c>
      <c r="E133" s="68" t="n"/>
      <c r="F133" s="68" t="n"/>
      <c r="G133" s="66" t="n"/>
      <c r="H133" s="66" t="n"/>
      <c r="I133" s="68" t="n"/>
      <c r="J133" s="73" t="n"/>
      <c r="K133" s="71" t="n"/>
      <c r="L133" s="71" t="n"/>
      <c r="M133" s="66" t="n"/>
      <c r="N133" s="80" t="n"/>
      <c r="O133" s="81" t="str">
        <f>IF(A133="","",ROUND(V133*IFERROR(N(INDEX(tech_rate,MATCH(M133,tech_name,0))),0),2))</f>
        <v/>
      </c>
      <c r="P133" s="80" t="n"/>
      <c r="Q133" s="81" t="str">
        <f>IF(A133="","",ROUND(Y133+O133+Z133,2))</f>
        <v/>
      </c>
      <c r="R133" s="79" t="str">
        <f>IF(A133="","",IF(S133=0,"Date manquante ou invalide",IF(C133="","Équipement manquant",IF(ISNA(MATCH(C133,eq_code,0)),"Équipement inconnu",IF(E133="","Type manquant",IF(AND(E133&lt;&gt;"Préventif",E133&lt;&gt;"Correctif",E133&lt;&gt;"Amélioratif"),"Type inconnu",IF(I133="","Statut manquant",IF(AND(I133&lt;&gt;"Terminée",I133&lt;&gt;"En cours",I133&lt;&gt;"À faire",I133&lt;&gt;"Annulée"),"Statut inconnu",IF(AND(E133="Préventif",F133=""),"Plan manquant (préventif)",IF(AND(F133&lt;&gt;"",ISNA(MATCH(F133,pl_num,0))),"Plan inconnu",IF(AND(F133&lt;&gt;"",IFERROR(INDEX(pl_eq,MATCH(F133,pl_num,0))&amp;"",C133)&lt;&gt;C133),"Plan d'un autre équipement",IF(AND(J133&lt;&gt;"",OR(NOT(ISNUMBER(J133)),N(J133)&lt;0)),"Compteur invalide",IF(OR(AND(K133&lt;&gt;"",OR(NOT(ISNUMBER(K133)),N(K133)&lt;0)),AND(L133&lt;&gt;"",OR(NOT(ISNUMBER(L133)),N(L133)&lt;0))),"Durée invalide",IF(OR(AND(N133&lt;&gt;"",OR(NOT(ISNUMBER(N133)),N(N133)&lt;0)),AND(P133&lt;&gt;"",OR(NOT(ISNUMBER(P133)),N(P133)&lt;0))),"Coût invalide",IF(AND(M133&lt;&gt;"",ISNA(MATCH(M133,tech_name,0))),"Technicien inconnu",IF(AND(I133="Terminée",S133&gt;p_today),"Terminée à une date future",IF(AND(I133="Terminée",V133=0),"Durée d'intervention manquante",IF(AND(I133="Terminée",E133="Préventif",T133=0,OR(IFERROR(INDEX(pl_trig,MATCH(F133,pl_num,0))&amp;"","")="Compteur",IFERROR(INDEX(pl_trig,MATCH(F133,pl_num,0))&amp;"","")="Au premier des deux")),"Compteur manquant (plan au compteur)","OK"))))))))))))))))))</f>
        <v/>
      </c>
      <c r="S133" s="67">
        <f>IF(AND(ISNUMBER(B133),N(B133)&gt;0),INT(B133),0)</f>
        <v>0.0</v>
      </c>
      <c r="T133" s="67">
        <f>IF(AND(ISNUMBER(J133),N(J133)&gt;=0),N(J133),0)</f>
        <v>0.0</v>
      </c>
      <c r="U133" s="67">
        <f>IF(AND(ISNUMBER(K133),N(K133)&gt;0),N(K133),0)</f>
        <v>0.0</v>
      </c>
      <c r="V133" s="67">
        <f>IF(AND(ISNUMBER(L133),N(L133)&gt;0),N(L133),0)</f>
        <v>0.0</v>
      </c>
      <c r="W133" s="67">
        <f>IF(AND(I133="Terminée",S133&gt;0,C133&lt;&gt;"",ISNUMBER(MATCH(C133,eq_code,0))),1,0)</f>
        <v>0.0</v>
      </c>
      <c r="X133" s="67">
        <f>IF(AND(W133=1,E133="Préventif"),1,0)</f>
        <v>0.0</v>
      </c>
      <c r="Y133" s="67">
        <f>IF(AND(ISNUMBER(N133),N(N133)&gt;0),N(N133),0)</f>
        <v>0.0</v>
      </c>
      <c r="Z133" s="67">
        <f>IF(AND(ISNUMBER(P133),N(P133)&gt;0),N(P133),0)</f>
        <v>0.0</v>
      </c>
    </row>
    <row r="134">
      <c r="A134" s="79" t="str">
        <f>IF(COUNTA(B134:C134,E134:G134,I134)=0,"","BI-"&amp;RIGHT("0000"&amp;(ROW()-5),4))</f>
        <v/>
      </c>
      <c r="B134" s="72" t="n"/>
      <c r="C134" s="66" t="n"/>
      <c r="D134" s="67" t="str">
        <f>IF(C134="","",IFERROR(INDEX(eq_des,MATCH(C134,eq_code,0))&amp;"","Équipement inconnu"))</f>
        <v/>
      </c>
      <c r="E134" s="68" t="n"/>
      <c r="F134" s="68" t="n"/>
      <c r="G134" s="66" t="n"/>
      <c r="H134" s="66" t="n"/>
      <c r="I134" s="68" t="n"/>
      <c r="J134" s="73" t="n"/>
      <c r="K134" s="71" t="n"/>
      <c r="L134" s="71" t="n"/>
      <c r="M134" s="66" t="n"/>
      <c r="N134" s="80" t="n"/>
      <c r="O134" s="81" t="str">
        <f>IF(A134="","",ROUND(V134*IFERROR(N(INDEX(tech_rate,MATCH(M134,tech_name,0))),0),2))</f>
        <v/>
      </c>
      <c r="P134" s="80" t="n"/>
      <c r="Q134" s="81" t="str">
        <f>IF(A134="","",ROUND(Y134+O134+Z134,2))</f>
        <v/>
      </c>
      <c r="R134" s="79" t="str">
        <f>IF(A134="","",IF(S134=0,"Date manquante ou invalide",IF(C134="","Équipement manquant",IF(ISNA(MATCH(C134,eq_code,0)),"Équipement inconnu",IF(E134="","Type manquant",IF(AND(E134&lt;&gt;"Préventif",E134&lt;&gt;"Correctif",E134&lt;&gt;"Amélioratif"),"Type inconnu",IF(I134="","Statut manquant",IF(AND(I134&lt;&gt;"Terminée",I134&lt;&gt;"En cours",I134&lt;&gt;"À faire",I134&lt;&gt;"Annulée"),"Statut inconnu",IF(AND(E134="Préventif",F134=""),"Plan manquant (préventif)",IF(AND(F134&lt;&gt;"",ISNA(MATCH(F134,pl_num,0))),"Plan inconnu",IF(AND(F134&lt;&gt;"",IFERROR(INDEX(pl_eq,MATCH(F134,pl_num,0))&amp;"",C134)&lt;&gt;C134),"Plan d'un autre équipement",IF(AND(J134&lt;&gt;"",OR(NOT(ISNUMBER(J134)),N(J134)&lt;0)),"Compteur invalide",IF(OR(AND(K134&lt;&gt;"",OR(NOT(ISNUMBER(K134)),N(K134)&lt;0)),AND(L134&lt;&gt;"",OR(NOT(ISNUMBER(L134)),N(L134)&lt;0))),"Durée invalide",IF(OR(AND(N134&lt;&gt;"",OR(NOT(ISNUMBER(N134)),N(N134)&lt;0)),AND(P134&lt;&gt;"",OR(NOT(ISNUMBER(P134)),N(P134)&lt;0))),"Coût invalide",IF(AND(M134&lt;&gt;"",ISNA(MATCH(M134,tech_name,0))),"Technicien inconnu",IF(AND(I134="Terminée",S134&gt;p_today),"Terminée à une date future",IF(AND(I134="Terminée",V134=0),"Durée d'intervention manquante",IF(AND(I134="Terminée",E134="Préventif",T134=0,OR(IFERROR(INDEX(pl_trig,MATCH(F134,pl_num,0))&amp;"","")="Compteur",IFERROR(INDEX(pl_trig,MATCH(F134,pl_num,0))&amp;"","")="Au premier des deux")),"Compteur manquant (plan au compteur)","OK"))))))))))))))))))</f>
        <v/>
      </c>
      <c r="S134" s="67">
        <f>IF(AND(ISNUMBER(B134),N(B134)&gt;0),INT(B134),0)</f>
        <v>0.0</v>
      </c>
      <c r="T134" s="67">
        <f>IF(AND(ISNUMBER(J134),N(J134)&gt;=0),N(J134),0)</f>
        <v>0.0</v>
      </c>
      <c r="U134" s="67">
        <f>IF(AND(ISNUMBER(K134),N(K134)&gt;0),N(K134),0)</f>
        <v>0.0</v>
      </c>
      <c r="V134" s="67">
        <f>IF(AND(ISNUMBER(L134),N(L134)&gt;0),N(L134),0)</f>
        <v>0.0</v>
      </c>
      <c r="W134" s="67">
        <f>IF(AND(I134="Terminée",S134&gt;0,C134&lt;&gt;"",ISNUMBER(MATCH(C134,eq_code,0))),1,0)</f>
        <v>0.0</v>
      </c>
      <c r="X134" s="67">
        <f>IF(AND(W134=1,E134="Préventif"),1,0)</f>
        <v>0.0</v>
      </c>
      <c r="Y134" s="67">
        <f>IF(AND(ISNUMBER(N134),N(N134)&gt;0),N(N134),0)</f>
        <v>0.0</v>
      </c>
      <c r="Z134" s="67">
        <f>IF(AND(ISNUMBER(P134),N(P134)&gt;0),N(P134),0)</f>
        <v>0.0</v>
      </c>
    </row>
    <row r="135">
      <c r="A135" s="79" t="str">
        <f>IF(COUNTA(B135:C135,E135:G135,I135)=0,"","BI-"&amp;RIGHT("0000"&amp;(ROW()-5),4))</f>
        <v/>
      </c>
      <c r="B135" s="72" t="n"/>
      <c r="C135" s="66" t="n"/>
      <c r="D135" s="67" t="str">
        <f>IF(C135="","",IFERROR(INDEX(eq_des,MATCH(C135,eq_code,0))&amp;"","Équipement inconnu"))</f>
        <v/>
      </c>
      <c r="E135" s="68" t="n"/>
      <c r="F135" s="68" t="n"/>
      <c r="G135" s="66" t="n"/>
      <c r="H135" s="66" t="n"/>
      <c r="I135" s="68" t="n"/>
      <c r="J135" s="73" t="n"/>
      <c r="K135" s="71" t="n"/>
      <c r="L135" s="71" t="n"/>
      <c r="M135" s="66" t="n"/>
      <c r="N135" s="80" t="n"/>
      <c r="O135" s="81" t="str">
        <f>IF(A135="","",ROUND(V135*IFERROR(N(INDEX(tech_rate,MATCH(M135,tech_name,0))),0),2))</f>
        <v/>
      </c>
      <c r="P135" s="80" t="n"/>
      <c r="Q135" s="81" t="str">
        <f>IF(A135="","",ROUND(Y135+O135+Z135,2))</f>
        <v/>
      </c>
      <c r="R135" s="79" t="str">
        <f>IF(A135="","",IF(S135=0,"Date manquante ou invalide",IF(C135="","Équipement manquant",IF(ISNA(MATCH(C135,eq_code,0)),"Équipement inconnu",IF(E135="","Type manquant",IF(AND(E135&lt;&gt;"Préventif",E135&lt;&gt;"Correctif",E135&lt;&gt;"Amélioratif"),"Type inconnu",IF(I135="","Statut manquant",IF(AND(I135&lt;&gt;"Terminée",I135&lt;&gt;"En cours",I135&lt;&gt;"À faire",I135&lt;&gt;"Annulée"),"Statut inconnu",IF(AND(E135="Préventif",F135=""),"Plan manquant (préventif)",IF(AND(F135&lt;&gt;"",ISNA(MATCH(F135,pl_num,0))),"Plan inconnu",IF(AND(F135&lt;&gt;"",IFERROR(INDEX(pl_eq,MATCH(F135,pl_num,0))&amp;"",C135)&lt;&gt;C135),"Plan d'un autre équipement",IF(AND(J135&lt;&gt;"",OR(NOT(ISNUMBER(J135)),N(J135)&lt;0)),"Compteur invalide",IF(OR(AND(K135&lt;&gt;"",OR(NOT(ISNUMBER(K135)),N(K135)&lt;0)),AND(L135&lt;&gt;"",OR(NOT(ISNUMBER(L135)),N(L135)&lt;0))),"Durée invalide",IF(OR(AND(N135&lt;&gt;"",OR(NOT(ISNUMBER(N135)),N(N135)&lt;0)),AND(P135&lt;&gt;"",OR(NOT(ISNUMBER(P135)),N(P135)&lt;0))),"Coût invalide",IF(AND(M135&lt;&gt;"",ISNA(MATCH(M135,tech_name,0))),"Technicien inconnu",IF(AND(I135="Terminée",S135&gt;p_today),"Terminée à une date future",IF(AND(I135="Terminée",V135=0),"Durée d'intervention manquante",IF(AND(I135="Terminée",E135="Préventif",T135=0,OR(IFERROR(INDEX(pl_trig,MATCH(F135,pl_num,0))&amp;"","")="Compteur",IFERROR(INDEX(pl_trig,MATCH(F135,pl_num,0))&amp;"","")="Au premier des deux")),"Compteur manquant (plan au compteur)","OK"))))))))))))))))))</f>
        <v/>
      </c>
      <c r="S135" s="67">
        <f>IF(AND(ISNUMBER(B135),N(B135)&gt;0),INT(B135),0)</f>
        <v>0.0</v>
      </c>
      <c r="T135" s="67">
        <f>IF(AND(ISNUMBER(J135),N(J135)&gt;=0),N(J135),0)</f>
        <v>0.0</v>
      </c>
      <c r="U135" s="67">
        <f>IF(AND(ISNUMBER(K135),N(K135)&gt;0),N(K135),0)</f>
        <v>0.0</v>
      </c>
      <c r="V135" s="67">
        <f>IF(AND(ISNUMBER(L135),N(L135)&gt;0),N(L135),0)</f>
        <v>0.0</v>
      </c>
      <c r="W135" s="67">
        <f>IF(AND(I135="Terminée",S135&gt;0,C135&lt;&gt;"",ISNUMBER(MATCH(C135,eq_code,0))),1,0)</f>
        <v>0.0</v>
      </c>
      <c r="X135" s="67">
        <f>IF(AND(W135=1,E135="Préventif"),1,0)</f>
        <v>0.0</v>
      </c>
      <c r="Y135" s="67">
        <f>IF(AND(ISNUMBER(N135),N(N135)&gt;0),N(N135),0)</f>
        <v>0.0</v>
      </c>
      <c r="Z135" s="67">
        <f>IF(AND(ISNUMBER(P135),N(P135)&gt;0),N(P135),0)</f>
        <v>0.0</v>
      </c>
    </row>
    <row r="136">
      <c r="A136" s="79" t="str">
        <f>IF(COUNTA(B136:C136,E136:G136,I136)=0,"","BI-"&amp;RIGHT("0000"&amp;(ROW()-5),4))</f>
        <v/>
      </c>
      <c r="B136" s="72" t="n"/>
      <c r="C136" s="66" t="n"/>
      <c r="D136" s="67" t="str">
        <f>IF(C136="","",IFERROR(INDEX(eq_des,MATCH(C136,eq_code,0))&amp;"","Équipement inconnu"))</f>
        <v/>
      </c>
      <c r="E136" s="68" t="n"/>
      <c r="F136" s="68" t="n"/>
      <c r="G136" s="66" t="n"/>
      <c r="H136" s="66" t="n"/>
      <c r="I136" s="68" t="n"/>
      <c r="J136" s="73" t="n"/>
      <c r="K136" s="71" t="n"/>
      <c r="L136" s="71" t="n"/>
      <c r="M136" s="66" t="n"/>
      <c r="N136" s="80" t="n"/>
      <c r="O136" s="81" t="str">
        <f>IF(A136="","",ROUND(V136*IFERROR(N(INDEX(tech_rate,MATCH(M136,tech_name,0))),0),2))</f>
        <v/>
      </c>
      <c r="P136" s="80" t="n"/>
      <c r="Q136" s="81" t="str">
        <f>IF(A136="","",ROUND(Y136+O136+Z136,2))</f>
        <v/>
      </c>
      <c r="R136" s="79" t="str">
        <f>IF(A136="","",IF(S136=0,"Date manquante ou invalide",IF(C136="","Équipement manquant",IF(ISNA(MATCH(C136,eq_code,0)),"Équipement inconnu",IF(E136="","Type manquant",IF(AND(E136&lt;&gt;"Préventif",E136&lt;&gt;"Correctif",E136&lt;&gt;"Amélioratif"),"Type inconnu",IF(I136="","Statut manquant",IF(AND(I136&lt;&gt;"Terminée",I136&lt;&gt;"En cours",I136&lt;&gt;"À faire",I136&lt;&gt;"Annulée"),"Statut inconnu",IF(AND(E136="Préventif",F136=""),"Plan manquant (préventif)",IF(AND(F136&lt;&gt;"",ISNA(MATCH(F136,pl_num,0))),"Plan inconnu",IF(AND(F136&lt;&gt;"",IFERROR(INDEX(pl_eq,MATCH(F136,pl_num,0))&amp;"",C136)&lt;&gt;C136),"Plan d'un autre équipement",IF(AND(J136&lt;&gt;"",OR(NOT(ISNUMBER(J136)),N(J136)&lt;0)),"Compteur invalide",IF(OR(AND(K136&lt;&gt;"",OR(NOT(ISNUMBER(K136)),N(K136)&lt;0)),AND(L136&lt;&gt;"",OR(NOT(ISNUMBER(L136)),N(L136)&lt;0))),"Durée invalide",IF(OR(AND(N136&lt;&gt;"",OR(NOT(ISNUMBER(N136)),N(N136)&lt;0)),AND(P136&lt;&gt;"",OR(NOT(ISNUMBER(P136)),N(P136)&lt;0))),"Coût invalide",IF(AND(M136&lt;&gt;"",ISNA(MATCH(M136,tech_name,0))),"Technicien inconnu",IF(AND(I136="Terminée",S136&gt;p_today),"Terminée à une date future",IF(AND(I136="Terminée",V136=0),"Durée d'intervention manquante",IF(AND(I136="Terminée",E136="Préventif",T136=0,OR(IFERROR(INDEX(pl_trig,MATCH(F136,pl_num,0))&amp;"","")="Compteur",IFERROR(INDEX(pl_trig,MATCH(F136,pl_num,0))&amp;"","")="Au premier des deux")),"Compteur manquant (plan au compteur)","OK"))))))))))))))))))</f>
        <v/>
      </c>
      <c r="S136" s="67">
        <f>IF(AND(ISNUMBER(B136),N(B136)&gt;0),INT(B136),0)</f>
        <v>0.0</v>
      </c>
      <c r="T136" s="67">
        <f>IF(AND(ISNUMBER(J136),N(J136)&gt;=0),N(J136),0)</f>
        <v>0.0</v>
      </c>
      <c r="U136" s="67">
        <f>IF(AND(ISNUMBER(K136),N(K136)&gt;0),N(K136),0)</f>
        <v>0.0</v>
      </c>
      <c r="V136" s="67">
        <f>IF(AND(ISNUMBER(L136),N(L136)&gt;0),N(L136),0)</f>
        <v>0.0</v>
      </c>
      <c r="W136" s="67">
        <f>IF(AND(I136="Terminée",S136&gt;0,C136&lt;&gt;"",ISNUMBER(MATCH(C136,eq_code,0))),1,0)</f>
        <v>0.0</v>
      </c>
      <c r="X136" s="67">
        <f>IF(AND(W136=1,E136="Préventif"),1,0)</f>
        <v>0.0</v>
      </c>
      <c r="Y136" s="67">
        <f>IF(AND(ISNUMBER(N136),N(N136)&gt;0),N(N136),0)</f>
        <v>0.0</v>
      </c>
      <c r="Z136" s="67">
        <f>IF(AND(ISNUMBER(P136),N(P136)&gt;0),N(P136),0)</f>
        <v>0.0</v>
      </c>
    </row>
    <row r="137">
      <c r="A137" s="79" t="str">
        <f>IF(COUNTA(B137:C137,E137:G137,I137)=0,"","BI-"&amp;RIGHT("0000"&amp;(ROW()-5),4))</f>
        <v/>
      </c>
      <c r="B137" s="72" t="n"/>
      <c r="C137" s="66" t="n"/>
      <c r="D137" s="67" t="str">
        <f>IF(C137="","",IFERROR(INDEX(eq_des,MATCH(C137,eq_code,0))&amp;"","Équipement inconnu"))</f>
        <v/>
      </c>
      <c r="E137" s="68" t="n"/>
      <c r="F137" s="68" t="n"/>
      <c r="G137" s="66" t="n"/>
      <c r="H137" s="66" t="n"/>
      <c r="I137" s="68" t="n"/>
      <c r="J137" s="73" t="n"/>
      <c r="K137" s="71" t="n"/>
      <c r="L137" s="71" t="n"/>
      <c r="M137" s="66" t="n"/>
      <c r="N137" s="80" t="n"/>
      <c r="O137" s="81" t="str">
        <f>IF(A137="","",ROUND(V137*IFERROR(N(INDEX(tech_rate,MATCH(M137,tech_name,0))),0),2))</f>
        <v/>
      </c>
      <c r="P137" s="80" t="n"/>
      <c r="Q137" s="81" t="str">
        <f>IF(A137="","",ROUND(Y137+O137+Z137,2))</f>
        <v/>
      </c>
      <c r="R137" s="79" t="str">
        <f>IF(A137="","",IF(S137=0,"Date manquante ou invalide",IF(C137="","Équipement manquant",IF(ISNA(MATCH(C137,eq_code,0)),"Équipement inconnu",IF(E137="","Type manquant",IF(AND(E137&lt;&gt;"Préventif",E137&lt;&gt;"Correctif",E137&lt;&gt;"Amélioratif"),"Type inconnu",IF(I137="","Statut manquant",IF(AND(I137&lt;&gt;"Terminée",I137&lt;&gt;"En cours",I137&lt;&gt;"À faire",I137&lt;&gt;"Annulée"),"Statut inconnu",IF(AND(E137="Préventif",F137=""),"Plan manquant (préventif)",IF(AND(F137&lt;&gt;"",ISNA(MATCH(F137,pl_num,0))),"Plan inconnu",IF(AND(F137&lt;&gt;"",IFERROR(INDEX(pl_eq,MATCH(F137,pl_num,0))&amp;"",C137)&lt;&gt;C137),"Plan d'un autre équipement",IF(AND(J137&lt;&gt;"",OR(NOT(ISNUMBER(J137)),N(J137)&lt;0)),"Compteur invalide",IF(OR(AND(K137&lt;&gt;"",OR(NOT(ISNUMBER(K137)),N(K137)&lt;0)),AND(L137&lt;&gt;"",OR(NOT(ISNUMBER(L137)),N(L137)&lt;0))),"Durée invalide",IF(OR(AND(N137&lt;&gt;"",OR(NOT(ISNUMBER(N137)),N(N137)&lt;0)),AND(P137&lt;&gt;"",OR(NOT(ISNUMBER(P137)),N(P137)&lt;0))),"Coût invalide",IF(AND(M137&lt;&gt;"",ISNA(MATCH(M137,tech_name,0))),"Technicien inconnu",IF(AND(I137="Terminée",S137&gt;p_today),"Terminée à une date future",IF(AND(I137="Terminée",V137=0),"Durée d'intervention manquante",IF(AND(I137="Terminée",E137="Préventif",T137=0,OR(IFERROR(INDEX(pl_trig,MATCH(F137,pl_num,0))&amp;"","")="Compteur",IFERROR(INDEX(pl_trig,MATCH(F137,pl_num,0))&amp;"","")="Au premier des deux")),"Compteur manquant (plan au compteur)","OK"))))))))))))))))))</f>
        <v/>
      </c>
      <c r="S137" s="67">
        <f>IF(AND(ISNUMBER(B137),N(B137)&gt;0),INT(B137),0)</f>
        <v>0.0</v>
      </c>
      <c r="T137" s="67">
        <f>IF(AND(ISNUMBER(J137),N(J137)&gt;=0),N(J137),0)</f>
        <v>0.0</v>
      </c>
      <c r="U137" s="67">
        <f>IF(AND(ISNUMBER(K137),N(K137)&gt;0),N(K137),0)</f>
        <v>0.0</v>
      </c>
      <c r="V137" s="67">
        <f>IF(AND(ISNUMBER(L137),N(L137)&gt;0),N(L137),0)</f>
        <v>0.0</v>
      </c>
      <c r="W137" s="67">
        <f>IF(AND(I137="Terminée",S137&gt;0,C137&lt;&gt;"",ISNUMBER(MATCH(C137,eq_code,0))),1,0)</f>
        <v>0.0</v>
      </c>
      <c r="X137" s="67">
        <f>IF(AND(W137=1,E137="Préventif"),1,0)</f>
        <v>0.0</v>
      </c>
      <c r="Y137" s="67">
        <f>IF(AND(ISNUMBER(N137),N(N137)&gt;0),N(N137),0)</f>
        <v>0.0</v>
      </c>
      <c r="Z137" s="67">
        <f>IF(AND(ISNUMBER(P137),N(P137)&gt;0),N(P137),0)</f>
        <v>0.0</v>
      </c>
    </row>
    <row r="138">
      <c r="A138" s="79" t="str">
        <f>IF(COUNTA(B138:C138,E138:G138,I138)=0,"","BI-"&amp;RIGHT("0000"&amp;(ROW()-5),4))</f>
        <v/>
      </c>
      <c r="B138" s="72" t="n"/>
      <c r="C138" s="66" t="n"/>
      <c r="D138" s="67" t="str">
        <f>IF(C138="","",IFERROR(INDEX(eq_des,MATCH(C138,eq_code,0))&amp;"","Équipement inconnu"))</f>
        <v/>
      </c>
      <c r="E138" s="68" t="n"/>
      <c r="F138" s="68" t="n"/>
      <c r="G138" s="66" t="n"/>
      <c r="H138" s="66" t="n"/>
      <c r="I138" s="68" t="n"/>
      <c r="J138" s="73" t="n"/>
      <c r="K138" s="71" t="n"/>
      <c r="L138" s="71" t="n"/>
      <c r="M138" s="66" t="n"/>
      <c r="N138" s="80" t="n"/>
      <c r="O138" s="81" t="str">
        <f>IF(A138="","",ROUND(V138*IFERROR(N(INDEX(tech_rate,MATCH(M138,tech_name,0))),0),2))</f>
        <v/>
      </c>
      <c r="P138" s="80" t="n"/>
      <c r="Q138" s="81" t="str">
        <f>IF(A138="","",ROUND(Y138+O138+Z138,2))</f>
        <v/>
      </c>
      <c r="R138" s="79" t="str">
        <f>IF(A138="","",IF(S138=0,"Date manquante ou invalide",IF(C138="","Équipement manquant",IF(ISNA(MATCH(C138,eq_code,0)),"Équipement inconnu",IF(E138="","Type manquant",IF(AND(E138&lt;&gt;"Préventif",E138&lt;&gt;"Correctif",E138&lt;&gt;"Amélioratif"),"Type inconnu",IF(I138="","Statut manquant",IF(AND(I138&lt;&gt;"Terminée",I138&lt;&gt;"En cours",I138&lt;&gt;"À faire",I138&lt;&gt;"Annulée"),"Statut inconnu",IF(AND(E138="Préventif",F138=""),"Plan manquant (préventif)",IF(AND(F138&lt;&gt;"",ISNA(MATCH(F138,pl_num,0))),"Plan inconnu",IF(AND(F138&lt;&gt;"",IFERROR(INDEX(pl_eq,MATCH(F138,pl_num,0))&amp;"",C138)&lt;&gt;C138),"Plan d'un autre équipement",IF(AND(J138&lt;&gt;"",OR(NOT(ISNUMBER(J138)),N(J138)&lt;0)),"Compteur invalide",IF(OR(AND(K138&lt;&gt;"",OR(NOT(ISNUMBER(K138)),N(K138)&lt;0)),AND(L138&lt;&gt;"",OR(NOT(ISNUMBER(L138)),N(L138)&lt;0))),"Durée invalide",IF(OR(AND(N138&lt;&gt;"",OR(NOT(ISNUMBER(N138)),N(N138)&lt;0)),AND(P138&lt;&gt;"",OR(NOT(ISNUMBER(P138)),N(P138)&lt;0))),"Coût invalide",IF(AND(M138&lt;&gt;"",ISNA(MATCH(M138,tech_name,0))),"Technicien inconnu",IF(AND(I138="Terminée",S138&gt;p_today),"Terminée à une date future",IF(AND(I138="Terminée",V138=0),"Durée d'intervention manquante",IF(AND(I138="Terminée",E138="Préventif",T138=0,OR(IFERROR(INDEX(pl_trig,MATCH(F138,pl_num,0))&amp;"","")="Compteur",IFERROR(INDEX(pl_trig,MATCH(F138,pl_num,0))&amp;"","")="Au premier des deux")),"Compteur manquant (plan au compteur)","OK"))))))))))))))))))</f>
        <v/>
      </c>
      <c r="S138" s="67">
        <f>IF(AND(ISNUMBER(B138),N(B138)&gt;0),INT(B138),0)</f>
        <v>0.0</v>
      </c>
      <c r="T138" s="67">
        <f>IF(AND(ISNUMBER(J138),N(J138)&gt;=0),N(J138),0)</f>
        <v>0.0</v>
      </c>
      <c r="U138" s="67">
        <f>IF(AND(ISNUMBER(K138),N(K138)&gt;0),N(K138),0)</f>
        <v>0.0</v>
      </c>
      <c r="V138" s="67">
        <f>IF(AND(ISNUMBER(L138),N(L138)&gt;0),N(L138),0)</f>
        <v>0.0</v>
      </c>
      <c r="W138" s="67">
        <f>IF(AND(I138="Terminée",S138&gt;0,C138&lt;&gt;"",ISNUMBER(MATCH(C138,eq_code,0))),1,0)</f>
        <v>0.0</v>
      </c>
      <c r="X138" s="67">
        <f>IF(AND(W138=1,E138="Préventif"),1,0)</f>
        <v>0.0</v>
      </c>
      <c r="Y138" s="67">
        <f>IF(AND(ISNUMBER(N138),N(N138)&gt;0),N(N138),0)</f>
        <v>0.0</v>
      </c>
      <c r="Z138" s="67">
        <f>IF(AND(ISNUMBER(P138),N(P138)&gt;0),N(P138),0)</f>
        <v>0.0</v>
      </c>
    </row>
    <row r="139">
      <c r="A139" s="79" t="str">
        <f>IF(COUNTA(B139:C139,E139:G139,I139)=0,"","BI-"&amp;RIGHT("0000"&amp;(ROW()-5),4))</f>
        <v/>
      </c>
      <c r="B139" s="72" t="n"/>
      <c r="C139" s="66" t="n"/>
      <c r="D139" s="67" t="str">
        <f>IF(C139="","",IFERROR(INDEX(eq_des,MATCH(C139,eq_code,0))&amp;"","Équipement inconnu"))</f>
        <v/>
      </c>
      <c r="E139" s="68" t="n"/>
      <c r="F139" s="68" t="n"/>
      <c r="G139" s="66" t="n"/>
      <c r="H139" s="66" t="n"/>
      <c r="I139" s="68" t="n"/>
      <c r="J139" s="73" t="n"/>
      <c r="K139" s="71" t="n"/>
      <c r="L139" s="71" t="n"/>
      <c r="M139" s="66" t="n"/>
      <c r="N139" s="80" t="n"/>
      <c r="O139" s="81" t="str">
        <f>IF(A139="","",ROUND(V139*IFERROR(N(INDEX(tech_rate,MATCH(M139,tech_name,0))),0),2))</f>
        <v/>
      </c>
      <c r="P139" s="80" t="n"/>
      <c r="Q139" s="81" t="str">
        <f>IF(A139="","",ROUND(Y139+O139+Z139,2))</f>
        <v/>
      </c>
      <c r="R139" s="79" t="str">
        <f>IF(A139="","",IF(S139=0,"Date manquante ou invalide",IF(C139="","Équipement manquant",IF(ISNA(MATCH(C139,eq_code,0)),"Équipement inconnu",IF(E139="","Type manquant",IF(AND(E139&lt;&gt;"Préventif",E139&lt;&gt;"Correctif",E139&lt;&gt;"Amélioratif"),"Type inconnu",IF(I139="","Statut manquant",IF(AND(I139&lt;&gt;"Terminée",I139&lt;&gt;"En cours",I139&lt;&gt;"À faire",I139&lt;&gt;"Annulée"),"Statut inconnu",IF(AND(E139="Préventif",F139=""),"Plan manquant (préventif)",IF(AND(F139&lt;&gt;"",ISNA(MATCH(F139,pl_num,0))),"Plan inconnu",IF(AND(F139&lt;&gt;"",IFERROR(INDEX(pl_eq,MATCH(F139,pl_num,0))&amp;"",C139)&lt;&gt;C139),"Plan d'un autre équipement",IF(AND(J139&lt;&gt;"",OR(NOT(ISNUMBER(J139)),N(J139)&lt;0)),"Compteur invalide",IF(OR(AND(K139&lt;&gt;"",OR(NOT(ISNUMBER(K139)),N(K139)&lt;0)),AND(L139&lt;&gt;"",OR(NOT(ISNUMBER(L139)),N(L139)&lt;0))),"Durée invalide",IF(OR(AND(N139&lt;&gt;"",OR(NOT(ISNUMBER(N139)),N(N139)&lt;0)),AND(P139&lt;&gt;"",OR(NOT(ISNUMBER(P139)),N(P139)&lt;0))),"Coût invalide",IF(AND(M139&lt;&gt;"",ISNA(MATCH(M139,tech_name,0))),"Technicien inconnu",IF(AND(I139="Terminée",S139&gt;p_today),"Terminée à une date future",IF(AND(I139="Terminée",V139=0),"Durée d'intervention manquante",IF(AND(I139="Terminée",E139="Préventif",T139=0,OR(IFERROR(INDEX(pl_trig,MATCH(F139,pl_num,0))&amp;"","")="Compteur",IFERROR(INDEX(pl_trig,MATCH(F139,pl_num,0))&amp;"","")="Au premier des deux")),"Compteur manquant (plan au compteur)","OK"))))))))))))))))))</f>
        <v/>
      </c>
      <c r="S139" s="67">
        <f>IF(AND(ISNUMBER(B139),N(B139)&gt;0),INT(B139),0)</f>
        <v>0.0</v>
      </c>
      <c r="T139" s="67">
        <f>IF(AND(ISNUMBER(J139),N(J139)&gt;=0),N(J139),0)</f>
        <v>0.0</v>
      </c>
      <c r="U139" s="67">
        <f>IF(AND(ISNUMBER(K139),N(K139)&gt;0),N(K139),0)</f>
        <v>0.0</v>
      </c>
      <c r="V139" s="67">
        <f>IF(AND(ISNUMBER(L139),N(L139)&gt;0),N(L139),0)</f>
        <v>0.0</v>
      </c>
      <c r="W139" s="67">
        <f>IF(AND(I139="Terminée",S139&gt;0,C139&lt;&gt;"",ISNUMBER(MATCH(C139,eq_code,0))),1,0)</f>
        <v>0.0</v>
      </c>
      <c r="X139" s="67">
        <f>IF(AND(W139=1,E139="Préventif"),1,0)</f>
        <v>0.0</v>
      </c>
      <c r="Y139" s="67">
        <f>IF(AND(ISNUMBER(N139),N(N139)&gt;0),N(N139),0)</f>
        <v>0.0</v>
      </c>
      <c r="Z139" s="67">
        <f>IF(AND(ISNUMBER(P139),N(P139)&gt;0),N(P139),0)</f>
        <v>0.0</v>
      </c>
    </row>
    <row r="140">
      <c r="A140" s="79" t="str">
        <f>IF(COUNTA(B140:C140,E140:G140,I140)=0,"","BI-"&amp;RIGHT("0000"&amp;(ROW()-5),4))</f>
        <v/>
      </c>
      <c r="B140" s="72" t="n"/>
      <c r="C140" s="66" t="n"/>
      <c r="D140" s="67" t="str">
        <f>IF(C140="","",IFERROR(INDEX(eq_des,MATCH(C140,eq_code,0))&amp;"","Équipement inconnu"))</f>
        <v/>
      </c>
      <c r="E140" s="68" t="n"/>
      <c r="F140" s="68" t="n"/>
      <c r="G140" s="66" t="n"/>
      <c r="H140" s="66" t="n"/>
      <c r="I140" s="68" t="n"/>
      <c r="J140" s="73" t="n"/>
      <c r="K140" s="71" t="n"/>
      <c r="L140" s="71" t="n"/>
      <c r="M140" s="66" t="n"/>
      <c r="N140" s="80" t="n"/>
      <c r="O140" s="81" t="str">
        <f>IF(A140="","",ROUND(V140*IFERROR(N(INDEX(tech_rate,MATCH(M140,tech_name,0))),0),2))</f>
        <v/>
      </c>
      <c r="P140" s="80" t="n"/>
      <c r="Q140" s="81" t="str">
        <f>IF(A140="","",ROUND(Y140+O140+Z140,2))</f>
        <v/>
      </c>
      <c r="R140" s="79" t="str">
        <f>IF(A140="","",IF(S140=0,"Date manquante ou invalide",IF(C140="","Équipement manquant",IF(ISNA(MATCH(C140,eq_code,0)),"Équipement inconnu",IF(E140="","Type manquant",IF(AND(E140&lt;&gt;"Préventif",E140&lt;&gt;"Correctif",E140&lt;&gt;"Amélioratif"),"Type inconnu",IF(I140="","Statut manquant",IF(AND(I140&lt;&gt;"Terminée",I140&lt;&gt;"En cours",I140&lt;&gt;"À faire",I140&lt;&gt;"Annulée"),"Statut inconnu",IF(AND(E140="Préventif",F140=""),"Plan manquant (préventif)",IF(AND(F140&lt;&gt;"",ISNA(MATCH(F140,pl_num,0))),"Plan inconnu",IF(AND(F140&lt;&gt;"",IFERROR(INDEX(pl_eq,MATCH(F140,pl_num,0))&amp;"",C140)&lt;&gt;C140),"Plan d'un autre équipement",IF(AND(J140&lt;&gt;"",OR(NOT(ISNUMBER(J140)),N(J140)&lt;0)),"Compteur invalide",IF(OR(AND(K140&lt;&gt;"",OR(NOT(ISNUMBER(K140)),N(K140)&lt;0)),AND(L140&lt;&gt;"",OR(NOT(ISNUMBER(L140)),N(L140)&lt;0))),"Durée invalide",IF(OR(AND(N140&lt;&gt;"",OR(NOT(ISNUMBER(N140)),N(N140)&lt;0)),AND(P140&lt;&gt;"",OR(NOT(ISNUMBER(P140)),N(P140)&lt;0))),"Coût invalide",IF(AND(M140&lt;&gt;"",ISNA(MATCH(M140,tech_name,0))),"Technicien inconnu",IF(AND(I140="Terminée",S140&gt;p_today),"Terminée à une date future",IF(AND(I140="Terminée",V140=0),"Durée d'intervention manquante",IF(AND(I140="Terminée",E140="Préventif",T140=0,OR(IFERROR(INDEX(pl_trig,MATCH(F140,pl_num,0))&amp;"","")="Compteur",IFERROR(INDEX(pl_trig,MATCH(F140,pl_num,0))&amp;"","")="Au premier des deux")),"Compteur manquant (plan au compteur)","OK"))))))))))))))))))</f>
        <v/>
      </c>
      <c r="S140" s="67">
        <f>IF(AND(ISNUMBER(B140),N(B140)&gt;0),INT(B140),0)</f>
        <v>0.0</v>
      </c>
      <c r="T140" s="67">
        <f>IF(AND(ISNUMBER(J140),N(J140)&gt;=0),N(J140),0)</f>
        <v>0.0</v>
      </c>
      <c r="U140" s="67">
        <f>IF(AND(ISNUMBER(K140),N(K140)&gt;0),N(K140),0)</f>
        <v>0.0</v>
      </c>
      <c r="V140" s="67">
        <f>IF(AND(ISNUMBER(L140),N(L140)&gt;0),N(L140),0)</f>
        <v>0.0</v>
      </c>
      <c r="W140" s="67">
        <f>IF(AND(I140="Terminée",S140&gt;0,C140&lt;&gt;"",ISNUMBER(MATCH(C140,eq_code,0))),1,0)</f>
        <v>0.0</v>
      </c>
      <c r="X140" s="67">
        <f>IF(AND(W140=1,E140="Préventif"),1,0)</f>
        <v>0.0</v>
      </c>
      <c r="Y140" s="67">
        <f>IF(AND(ISNUMBER(N140),N(N140)&gt;0),N(N140),0)</f>
        <v>0.0</v>
      </c>
      <c r="Z140" s="67">
        <f>IF(AND(ISNUMBER(P140),N(P140)&gt;0),N(P140),0)</f>
        <v>0.0</v>
      </c>
    </row>
    <row r="141">
      <c r="A141" s="79" t="str">
        <f>IF(COUNTA(B141:C141,E141:G141,I141)=0,"","BI-"&amp;RIGHT("0000"&amp;(ROW()-5),4))</f>
        <v/>
      </c>
      <c r="B141" s="72" t="n"/>
      <c r="C141" s="66" t="n"/>
      <c r="D141" s="67" t="str">
        <f>IF(C141="","",IFERROR(INDEX(eq_des,MATCH(C141,eq_code,0))&amp;"","Équipement inconnu"))</f>
        <v/>
      </c>
      <c r="E141" s="68" t="n"/>
      <c r="F141" s="68" t="n"/>
      <c r="G141" s="66" t="n"/>
      <c r="H141" s="66" t="n"/>
      <c r="I141" s="68" t="n"/>
      <c r="J141" s="73" t="n"/>
      <c r="K141" s="71" t="n"/>
      <c r="L141" s="71" t="n"/>
      <c r="M141" s="66" t="n"/>
      <c r="N141" s="80" t="n"/>
      <c r="O141" s="81" t="str">
        <f>IF(A141="","",ROUND(V141*IFERROR(N(INDEX(tech_rate,MATCH(M141,tech_name,0))),0),2))</f>
        <v/>
      </c>
      <c r="P141" s="80" t="n"/>
      <c r="Q141" s="81" t="str">
        <f>IF(A141="","",ROUND(Y141+O141+Z141,2))</f>
        <v/>
      </c>
      <c r="R141" s="79" t="str">
        <f>IF(A141="","",IF(S141=0,"Date manquante ou invalide",IF(C141="","Équipement manquant",IF(ISNA(MATCH(C141,eq_code,0)),"Équipement inconnu",IF(E141="","Type manquant",IF(AND(E141&lt;&gt;"Préventif",E141&lt;&gt;"Correctif",E141&lt;&gt;"Amélioratif"),"Type inconnu",IF(I141="","Statut manquant",IF(AND(I141&lt;&gt;"Terminée",I141&lt;&gt;"En cours",I141&lt;&gt;"À faire",I141&lt;&gt;"Annulée"),"Statut inconnu",IF(AND(E141="Préventif",F141=""),"Plan manquant (préventif)",IF(AND(F141&lt;&gt;"",ISNA(MATCH(F141,pl_num,0))),"Plan inconnu",IF(AND(F141&lt;&gt;"",IFERROR(INDEX(pl_eq,MATCH(F141,pl_num,0))&amp;"",C141)&lt;&gt;C141),"Plan d'un autre équipement",IF(AND(J141&lt;&gt;"",OR(NOT(ISNUMBER(J141)),N(J141)&lt;0)),"Compteur invalide",IF(OR(AND(K141&lt;&gt;"",OR(NOT(ISNUMBER(K141)),N(K141)&lt;0)),AND(L141&lt;&gt;"",OR(NOT(ISNUMBER(L141)),N(L141)&lt;0))),"Durée invalide",IF(OR(AND(N141&lt;&gt;"",OR(NOT(ISNUMBER(N141)),N(N141)&lt;0)),AND(P141&lt;&gt;"",OR(NOT(ISNUMBER(P141)),N(P141)&lt;0))),"Coût invalide",IF(AND(M141&lt;&gt;"",ISNA(MATCH(M141,tech_name,0))),"Technicien inconnu",IF(AND(I141="Terminée",S141&gt;p_today),"Terminée à une date future",IF(AND(I141="Terminée",V141=0),"Durée d'intervention manquante",IF(AND(I141="Terminée",E141="Préventif",T141=0,OR(IFERROR(INDEX(pl_trig,MATCH(F141,pl_num,0))&amp;"","")="Compteur",IFERROR(INDEX(pl_trig,MATCH(F141,pl_num,0))&amp;"","")="Au premier des deux")),"Compteur manquant (plan au compteur)","OK"))))))))))))))))))</f>
        <v/>
      </c>
      <c r="S141" s="67">
        <f>IF(AND(ISNUMBER(B141),N(B141)&gt;0),INT(B141),0)</f>
        <v>0.0</v>
      </c>
      <c r="T141" s="67">
        <f>IF(AND(ISNUMBER(J141),N(J141)&gt;=0),N(J141),0)</f>
        <v>0.0</v>
      </c>
      <c r="U141" s="67">
        <f>IF(AND(ISNUMBER(K141),N(K141)&gt;0),N(K141),0)</f>
        <v>0.0</v>
      </c>
      <c r="V141" s="67">
        <f>IF(AND(ISNUMBER(L141),N(L141)&gt;0),N(L141),0)</f>
        <v>0.0</v>
      </c>
      <c r="W141" s="67">
        <f>IF(AND(I141="Terminée",S141&gt;0,C141&lt;&gt;"",ISNUMBER(MATCH(C141,eq_code,0))),1,0)</f>
        <v>0.0</v>
      </c>
      <c r="X141" s="67">
        <f>IF(AND(W141=1,E141="Préventif"),1,0)</f>
        <v>0.0</v>
      </c>
      <c r="Y141" s="67">
        <f>IF(AND(ISNUMBER(N141),N(N141)&gt;0),N(N141),0)</f>
        <v>0.0</v>
      </c>
      <c r="Z141" s="67">
        <f>IF(AND(ISNUMBER(P141),N(P141)&gt;0),N(P141),0)</f>
        <v>0.0</v>
      </c>
    </row>
    <row r="142">
      <c r="A142" s="79" t="str">
        <f>IF(COUNTA(B142:C142,E142:G142,I142)=0,"","BI-"&amp;RIGHT("0000"&amp;(ROW()-5),4))</f>
        <v/>
      </c>
      <c r="B142" s="72" t="n"/>
      <c r="C142" s="66" t="n"/>
      <c r="D142" s="67" t="str">
        <f>IF(C142="","",IFERROR(INDEX(eq_des,MATCH(C142,eq_code,0))&amp;"","Équipement inconnu"))</f>
        <v/>
      </c>
      <c r="E142" s="68" t="n"/>
      <c r="F142" s="68" t="n"/>
      <c r="G142" s="66" t="n"/>
      <c r="H142" s="66" t="n"/>
      <c r="I142" s="68" t="n"/>
      <c r="J142" s="73" t="n"/>
      <c r="K142" s="71" t="n"/>
      <c r="L142" s="71" t="n"/>
      <c r="M142" s="66" t="n"/>
      <c r="N142" s="80" t="n"/>
      <c r="O142" s="81" t="str">
        <f>IF(A142="","",ROUND(V142*IFERROR(N(INDEX(tech_rate,MATCH(M142,tech_name,0))),0),2))</f>
        <v/>
      </c>
      <c r="P142" s="80" t="n"/>
      <c r="Q142" s="81" t="str">
        <f>IF(A142="","",ROUND(Y142+O142+Z142,2))</f>
        <v/>
      </c>
      <c r="R142" s="79" t="str">
        <f>IF(A142="","",IF(S142=0,"Date manquante ou invalide",IF(C142="","Équipement manquant",IF(ISNA(MATCH(C142,eq_code,0)),"Équipement inconnu",IF(E142="","Type manquant",IF(AND(E142&lt;&gt;"Préventif",E142&lt;&gt;"Correctif",E142&lt;&gt;"Amélioratif"),"Type inconnu",IF(I142="","Statut manquant",IF(AND(I142&lt;&gt;"Terminée",I142&lt;&gt;"En cours",I142&lt;&gt;"À faire",I142&lt;&gt;"Annulée"),"Statut inconnu",IF(AND(E142="Préventif",F142=""),"Plan manquant (préventif)",IF(AND(F142&lt;&gt;"",ISNA(MATCH(F142,pl_num,0))),"Plan inconnu",IF(AND(F142&lt;&gt;"",IFERROR(INDEX(pl_eq,MATCH(F142,pl_num,0))&amp;"",C142)&lt;&gt;C142),"Plan d'un autre équipement",IF(AND(J142&lt;&gt;"",OR(NOT(ISNUMBER(J142)),N(J142)&lt;0)),"Compteur invalide",IF(OR(AND(K142&lt;&gt;"",OR(NOT(ISNUMBER(K142)),N(K142)&lt;0)),AND(L142&lt;&gt;"",OR(NOT(ISNUMBER(L142)),N(L142)&lt;0))),"Durée invalide",IF(OR(AND(N142&lt;&gt;"",OR(NOT(ISNUMBER(N142)),N(N142)&lt;0)),AND(P142&lt;&gt;"",OR(NOT(ISNUMBER(P142)),N(P142)&lt;0))),"Coût invalide",IF(AND(M142&lt;&gt;"",ISNA(MATCH(M142,tech_name,0))),"Technicien inconnu",IF(AND(I142="Terminée",S142&gt;p_today),"Terminée à une date future",IF(AND(I142="Terminée",V142=0),"Durée d'intervention manquante",IF(AND(I142="Terminée",E142="Préventif",T142=0,OR(IFERROR(INDEX(pl_trig,MATCH(F142,pl_num,0))&amp;"","")="Compteur",IFERROR(INDEX(pl_trig,MATCH(F142,pl_num,0))&amp;"","")="Au premier des deux")),"Compteur manquant (plan au compteur)","OK"))))))))))))))))))</f>
        <v/>
      </c>
      <c r="S142" s="67">
        <f>IF(AND(ISNUMBER(B142),N(B142)&gt;0),INT(B142),0)</f>
        <v>0.0</v>
      </c>
      <c r="T142" s="67">
        <f>IF(AND(ISNUMBER(J142),N(J142)&gt;=0),N(J142),0)</f>
        <v>0.0</v>
      </c>
      <c r="U142" s="67">
        <f>IF(AND(ISNUMBER(K142),N(K142)&gt;0),N(K142),0)</f>
        <v>0.0</v>
      </c>
      <c r="V142" s="67">
        <f>IF(AND(ISNUMBER(L142),N(L142)&gt;0),N(L142),0)</f>
        <v>0.0</v>
      </c>
      <c r="W142" s="67">
        <f>IF(AND(I142="Terminée",S142&gt;0,C142&lt;&gt;"",ISNUMBER(MATCH(C142,eq_code,0))),1,0)</f>
        <v>0.0</v>
      </c>
      <c r="X142" s="67">
        <f>IF(AND(W142=1,E142="Préventif"),1,0)</f>
        <v>0.0</v>
      </c>
      <c r="Y142" s="67">
        <f>IF(AND(ISNUMBER(N142),N(N142)&gt;0),N(N142),0)</f>
        <v>0.0</v>
      </c>
      <c r="Z142" s="67">
        <f>IF(AND(ISNUMBER(P142),N(P142)&gt;0),N(P142),0)</f>
        <v>0.0</v>
      </c>
    </row>
    <row r="143">
      <c r="A143" s="79" t="str">
        <f>IF(COUNTA(B143:C143,E143:G143,I143)=0,"","BI-"&amp;RIGHT("0000"&amp;(ROW()-5),4))</f>
        <v/>
      </c>
      <c r="B143" s="72" t="n"/>
      <c r="C143" s="66" t="n"/>
      <c r="D143" s="67" t="str">
        <f>IF(C143="","",IFERROR(INDEX(eq_des,MATCH(C143,eq_code,0))&amp;"","Équipement inconnu"))</f>
        <v/>
      </c>
      <c r="E143" s="68" t="n"/>
      <c r="F143" s="68" t="n"/>
      <c r="G143" s="66" t="n"/>
      <c r="H143" s="66" t="n"/>
      <c r="I143" s="68" t="n"/>
      <c r="J143" s="73" t="n"/>
      <c r="K143" s="71" t="n"/>
      <c r="L143" s="71" t="n"/>
      <c r="M143" s="66" t="n"/>
      <c r="N143" s="80" t="n"/>
      <c r="O143" s="81" t="str">
        <f>IF(A143="","",ROUND(V143*IFERROR(N(INDEX(tech_rate,MATCH(M143,tech_name,0))),0),2))</f>
        <v/>
      </c>
      <c r="P143" s="80" t="n"/>
      <c r="Q143" s="81" t="str">
        <f>IF(A143="","",ROUND(Y143+O143+Z143,2))</f>
        <v/>
      </c>
      <c r="R143" s="79" t="str">
        <f>IF(A143="","",IF(S143=0,"Date manquante ou invalide",IF(C143="","Équipement manquant",IF(ISNA(MATCH(C143,eq_code,0)),"Équipement inconnu",IF(E143="","Type manquant",IF(AND(E143&lt;&gt;"Préventif",E143&lt;&gt;"Correctif",E143&lt;&gt;"Amélioratif"),"Type inconnu",IF(I143="","Statut manquant",IF(AND(I143&lt;&gt;"Terminée",I143&lt;&gt;"En cours",I143&lt;&gt;"À faire",I143&lt;&gt;"Annulée"),"Statut inconnu",IF(AND(E143="Préventif",F143=""),"Plan manquant (préventif)",IF(AND(F143&lt;&gt;"",ISNA(MATCH(F143,pl_num,0))),"Plan inconnu",IF(AND(F143&lt;&gt;"",IFERROR(INDEX(pl_eq,MATCH(F143,pl_num,0))&amp;"",C143)&lt;&gt;C143),"Plan d'un autre équipement",IF(AND(J143&lt;&gt;"",OR(NOT(ISNUMBER(J143)),N(J143)&lt;0)),"Compteur invalide",IF(OR(AND(K143&lt;&gt;"",OR(NOT(ISNUMBER(K143)),N(K143)&lt;0)),AND(L143&lt;&gt;"",OR(NOT(ISNUMBER(L143)),N(L143)&lt;0))),"Durée invalide",IF(OR(AND(N143&lt;&gt;"",OR(NOT(ISNUMBER(N143)),N(N143)&lt;0)),AND(P143&lt;&gt;"",OR(NOT(ISNUMBER(P143)),N(P143)&lt;0))),"Coût invalide",IF(AND(M143&lt;&gt;"",ISNA(MATCH(M143,tech_name,0))),"Technicien inconnu",IF(AND(I143="Terminée",S143&gt;p_today),"Terminée à une date future",IF(AND(I143="Terminée",V143=0),"Durée d'intervention manquante",IF(AND(I143="Terminée",E143="Préventif",T143=0,OR(IFERROR(INDEX(pl_trig,MATCH(F143,pl_num,0))&amp;"","")="Compteur",IFERROR(INDEX(pl_trig,MATCH(F143,pl_num,0))&amp;"","")="Au premier des deux")),"Compteur manquant (plan au compteur)","OK"))))))))))))))))))</f>
        <v/>
      </c>
      <c r="S143" s="67">
        <f>IF(AND(ISNUMBER(B143),N(B143)&gt;0),INT(B143),0)</f>
        <v>0.0</v>
      </c>
      <c r="T143" s="67">
        <f>IF(AND(ISNUMBER(J143),N(J143)&gt;=0),N(J143),0)</f>
        <v>0.0</v>
      </c>
      <c r="U143" s="67">
        <f>IF(AND(ISNUMBER(K143),N(K143)&gt;0),N(K143),0)</f>
        <v>0.0</v>
      </c>
      <c r="V143" s="67">
        <f>IF(AND(ISNUMBER(L143),N(L143)&gt;0),N(L143),0)</f>
        <v>0.0</v>
      </c>
      <c r="W143" s="67">
        <f>IF(AND(I143="Terminée",S143&gt;0,C143&lt;&gt;"",ISNUMBER(MATCH(C143,eq_code,0))),1,0)</f>
        <v>0.0</v>
      </c>
      <c r="X143" s="67">
        <f>IF(AND(W143=1,E143="Préventif"),1,0)</f>
        <v>0.0</v>
      </c>
      <c r="Y143" s="67">
        <f>IF(AND(ISNUMBER(N143),N(N143)&gt;0),N(N143),0)</f>
        <v>0.0</v>
      </c>
      <c r="Z143" s="67">
        <f>IF(AND(ISNUMBER(P143),N(P143)&gt;0),N(P143),0)</f>
        <v>0.0</v>
      </c>
    </row>
    <row r="144">
      <c r="A144" s="79" t="str">
        <f>IF(COUNTA(B144:C144,E144:G144,I144)=0,"","BI-"&amp;RIGHT("0000"&amp;(ROW()-5),4))</f>
        <v/>
      </c>
      <c r="B144" s="72" t="n"/>
      <c r="C144" s="66" t="n"/>
      <c r="D144" s="67" t="str">
        <f>IF(C144="","",IFERROR(INDEX(eq_des,MATCH(C144,eq_code,0))&amp;"","Équipement inconnu"))</f>
        <v/>
      </c>
      <c r="E144" s="68" t="n"/>
      <c r="F144" s="68" t="n"/>
      <c r="G144" s="66" t="n"/>
      <c r="H144" s="66" t="n"/>
      <c r="I144" s="68" t="n"/>
      <c r="J144" s="73" t="n"/>
      <c r="K144" s="71" t="n"/>
      <c r="L144" s="71" t="n"/>
      <c r="M144" s="66" t="n"/>
      <c r="N144" s="80" t="n"/>
      <c r="O144" s="81" t="str">
        <f>IF(A144="","",ROUND(V144*IFERROR(N(INDEX(tech_rate,MATCH(M144,tech_name,0))),0),2))</f>
        <v/>
      </c>
      <c r="P144" s="80" t="n"/>
      <c r="Q144" s="81" t="str">
        <f>IF(A144="","",ROUND(Y144+O144+Z144,2))</f>
        <v/>
      </c>
      <c r="R144" s="79" t="str">
        <f>IF(A144="","",IF(S144=0,"Date manquante ou invalide",IF(C144="","Équipement manquant",IF(ISNA(MATCH(C144,eq_code,0)),"Équipement inconnu",IF(E144="","Type manquant",IF(AND(E144&lt;&gt;"Préventif",E144&lt;&gt;"Correctif",E144&lt;&gt;"Amélioratif"),"Type inconnu",IF(I144="","Statut manquant",IF(AND(I144&lt;&gt;"Terminée",I144&lt;&gt;"En cours",I144&lt;&gt;"À faire",I144&lt;&gt;"Annulée"),"Statut inconnu",IF(AND(E144="Préventif",F144=""),"Plan manquant (préventif)",IF(AND(F144&lt;&gt;"",ISNA(MATCH(F144,pl_num,0))),"Plan inconnu",IF(AND(F144&lt;&gt;"",IFERROR(INDEX(pl_eq,MATCH(F144,pl_num,0))&amp;"",C144)&lt;&gt;C144),"Plan d'un autre équipement",IF(AND(J144&lt;&gt;"",OR(NOT(ISNUMBER(J144)),N(J144)&lt;0)),"Compteur invalide",IF(OR(AND(K144&lt;&gt;"",OR(NOT(ISNUMBER(K144)),N(K144)&lt;0)),AND(L144&lt;&gt;"",OR(NOT(ISNUMBER(L144)),N(L144)&lt;0))),"Durée invalide",IF(OR(AND(N144&lt;&gt;"",OR(NOT(ISNUMBER(N144)),N(N144)&lt;0)),AND(P144&lt;&gt;"",OR(NOT(ISNUMBER(P144)),N(P144)&lt;0))),"Coût invalide",IF(AND(M144&lt;&gt;"",ISNA(MATCH(M144,tech_name,0))),"Technicien inconnu",IF(AND(I144="Terminée",S144&gt;p_today),"Terminée à une date future",IF(AND(I144="Terminée",V144=0),"Durée d'intervention manquante",IF(AND(I144="Terminée",E144="Préventif",T144=0,OR(IFERROR(INDEX(pl_trig,MATCH(F144,pl_num,0))&amp;"","")="Compteur",IFERROR(INDEX(pl_trig,MATCH(F144,pl_num,0))&amp;"","")="Au premier des deux")),"Compteur manquant (plan au compteur)","OK"))))))))))))))))))</f>
        <v/>
      </c>
      <c r="S144" s="67">
        <f>IF(AND(ISNUMBER(B144),N(B144)&gt;0),INT(B144),0)</f>
        <v>0.0</v>
      </c>
      <c r="T144" s="67">
        <f>IF(AND(ISNUMBER(J144),N(J144)&gt;=0),N(J144),0)</f>
        <v>0.0</v>
      </c>
      <c r="U144" s="67">
        <f>IF(AND(ISNUMBER(K144),N(K144)&gt;0),N(K144),0)</f>
        <v>0.0</v>
      </c>
      <c r="V144" s="67">
        <f>IF(AND(ISNUMBER(L144),N(L144)&gt;0),N(L144),0)</f>
        <v>0.0</v>
      </c>
      <c r="W144" s="67">
        <f>IF(AND(I144="Terminée",S144&gt;0,C144&lt;&gt;"",ISNUMBER(MATCH(C144,eq_code,0))),1,0)</f>
        <v>0.0</v>
      </c>
      <c r="X144" s="67">
        <f>IF(AND(W144=1,E144="Préventif"),1,0)</f>
        <v>0.0</v>
      </c>
      <c r="Y144" s="67">
        <f>IF(AND(ISNUMBER(N144),N(N144)&gt;0),N(N144),0)</f>
        <v>0.0</v>
      </c>
      <c r="Z144" s="67">
        <f>IF(AND(ISNUMBER(P144),N(P144)&gt;0),N(P144),0)</f>
        <v>0.0</v>
      </c>
    </row>
    <row r="145">
      <c r="A145" s="79" t="str">
        <f>IF(COUNTA(B145:C145,E145:G145,I145)=0,"","BI-"&amp;RIGHT("0000"&amp;(ROW()-5),4))</f>
        <v/>
      </c>
      <c r="B145" s="72" t="n"/>
      <c r="C145" s="66" t="n"/>
      <c r="D145" s="67" t="str">
        <f>IF(C145="","",IFERROR(INDEX(eq_des,MATCH(C145,eq_code,0))&amp;"","Équipement inconnu"))</f>
        <v/>
      </c>
      <c r="E145" s="68" t="n"/>
      <c r="F145" s="68" t="n"/>
      <c r="G145" s="66" t="n"/>
      <c r="H145" s="66" t="n"/>
      <c r="I145" s="68" t="n"/>
      <c r="J145" s="73" t="n"/>
      <c r="K145" s="71" t="n"/>
      <c r="L145" s="71" t="n"/>
      <c r="M145" s="66" t="n"/>
      <c r="N145" s="80" t="n"/>
      <c r="O145" s="81" t="str">
        <f>IF(A145="","",ROUND(V145*IFERROR(N(INDEX(tech_rate,MATCH(M145,tech_name,0))),0),2))</f>
        <v/>
      </c>
      <c r="P145" s="80" t="n"/>
      <c r="Q145" s="81" t="str">
        <f>IF(A145="","",ROUND(Y145+O145+Z145,2))</f>
        <v/>
      </c>
      <c r="R145" s="79" t="str">
        <f>IF(A145="","",IF(S145=0,"Date manquante ou invalide",IF(C145="","Équipement manquant",IF(ISNA(MATCH(C145,eq_code,0)),"Équipement inconnu",IF(E145="","Type manquant",IF(AND(E145&lt;&gt;"Préventif",E145&lt;&gt;"Correctif",E145&lt;&gt;"Amélioratif"),"Type inconnu",IF(I145="","Statut manquant",IF(AND(I145&lt;&gt;"Terminée",I145&lt;&gt;"En cours",I145&lt;&gt;"À faire",I145&lt;&gt;"Annulée"),"Statut inconnu",IF(AND(E145="Préventif",F145=""),"Plan manquant (préventif)",IF(AND(F145&lt;&gt;"",ISNA(MATCH(F145,pl_num,0))),"Plan inconnu",IF(AND(F145&lt;&gt;"",IFERROR(INDEX(pl_eq,MATCH(F145,pl_num,0))&amp;"",C145)&lt;&gt;C145),"Plan d'un autre équipement",IF(AND(J145&lt;&gt;"",OR(NOT(ISNUMBER(J145)),N(J145)&lt;0)),"Compteur invalide",IF(OR(AND(K145&lt;&gt;"",OR(NOT(ISNUMBER(K145)),N(K145)&lt;0)),AND(L145&lt;&gt;"",OR(NOT(ISNUMBER(L145)),N(L145)&lt;0))),"Durée invalide",IF(OR(AND(N145&lt;&gt;"",OR(NOT(ISNUMBER(N145)),N(N145)&lt;0)),AND(P145&lt;&gt;"",OR(NOT(ISNUMBER(P145)),N(P145)&lt;0))),"Coût invalide",IF(AND(M145&lt;&gt;"",ISNA(MATCH(M145,tech_name,0))),"Technicien inconnu",IF(AND(I145="Terminée",S145&gt;p_today),"Terminée à une date future",IF(AND(I145="Terminée",V145=0),"Durée d'intervention manquante",IF(AND(I145="Terminée",E145="Préventif",T145=0,OR(IFERROR(INDEX(pl_trig,MATCH(F145,pl_num,0))&amp;"","")="Compteur",IFERROR(INDEX(pl_trig,MATCH(F145,pl_num,0))&amp;"","")="Au premier des deux")),"Compteur manquant (plan au compteur)","OK"))))))))))))))))))</f>
        <v/>
      </c>
      <c r="S145" s="67">
        <f>IF(AND(ISNUMBER(B145),N(B145)&gt;0),INT(B145),0)</f>
        <v>0.0</v>
      </c>
      <c r="T145" s="67">
        <f>IF(AND(ISNUMBER(J145),N(J145)&gt;=0),N(J145),0)</f>
        <v>0.0</v>
      </c>
      <c r="U145" s="67">
        <f>IF(AND(ISNUMBER(K145),N(K145)&gt;0),N(K145),0)</f>
        <v>0.0</v>
      </c>
      <c r="V145" s="67">
        <f>IF(AND(ISNUMBER(L145),N(L145)&gt;0),N(L145),0)</f>
        <v>0.0</v>
      </c>
      <c r="W145" s="67">
        <f>IF(AND(I145="Terminée",S145&gt;0,C145&lt;&gt;"",ISNUMBER(MATCH(C145,eq_code,0))),1,0)</f>
        <v>0.0</v>
      </c>
      <c r="X145" s="67">
        <f>IF(AND(W145=1,E145="Préventif"),1,0)</f>
        <v>0.0</v>
      </c>
      <c r="Y145" s="67">
        <f>IF(AND(ISNUMBER(N145),N(N145)&gt;0),N(N145),0)</f>
        <v>0.0</v>
      </c>
      <c r="Z145" s="67">
        <f>IF(AND(ISNUMBER(P145),N(P145)&gt;0),N(P145),0)</f>
        <v>0.0</v>
      </c>
    </row>
    <row r="146">
      <c r="A146" s="79" t="str">
        <f>IF(COUNTA(B146:C146,E146:G146,I146)=0,"","BI-"&amp;RIGHT("0000"&amp;(ROW()-5),4))</f>
        <v/>
      </c>
      <c r="B146" s="72" t="n"/>
      <c r="C146" s="66" t="n"/>
      <c r="D146" s="67" t="str">
        <f>IF(C146="","",IFERROR(INDEX(eq_des,MATCH(C146,eq_code,0))&amp;"","Équipement inconnu"))</f>
        <v/>
      </c>
      <c r="E146" s="68" t="n"/>
      <c r="F146" s="68" t="n"/>
      <c r="G146" s="66" t="n"/>
      <c r="H146" s="66" t="n"/>
      <c r="I146" s="68" t="n"/>
      <c r="J146" s="73" t="n"/>
      <c r="K146" s="71" t="n"/>
      <c r="L146" s="71" t="n"/>
      <c r="M146" s="66" t="n"/>
      <c r="N146" s="80" t="n"/>
      <c r="O146" s="81" t="str">
        <f>IF(A146="","",ROUND(V146*IFERROR(N(INDEX(tech_rate,MATCH(M146,tech_name,0))),0),2))</f>
        <v/>
      </c>
      <c r="P146" s="80" t="n"/>
      <c r="Q146" s="81" t="str">
        <f>IF(A146="","",ROUND(Y146+O146+Z146,2))</f>
        <v/>
      </c>
      <c r="R146" s="79" t="str">
        <f>IF(A146="","",IF(S146=0,"Date manquante ou invalide",IF(C146="","Équipement manquant",IF(ISNA(MATCH(C146,eq_code,0)),"Équipement inconnu",IF(E146="","Type manquant",IF(AND(E146&lt;&gt;"Préventif",E146&lt;&gt;"Correctif",E146&lt;&gt;"Amélioratif"),"Type inconnu",IF(I146="","Statut manquant",IF(AND(I146&lt;&gt;"Terminée",I146&lt;&gt;"En cours",I146&lt;&gt;"À faire",I146&lt;&gt;"Annulée"),"Statut inconnu",IF(AND(E146="Préventif",F146=""),"Plan manquant (préventif)",IF(AND(F146&lt;&gt;"",ISNA(MATCH(F146,pl_num,0))),"Plan inconnu",IF(AND(F146&lt;&gt;"",IFERROR(INDEX(pl_eq,MATCH(F146,pl_num,0))&amp;"",C146)&lt;&gt;C146),"Plan d'un autre équipement",IF(AND(J146&lt;&gt;"",OR(NOT(ISNUMBER(J146)),N(J146)&lt;0)),"Compteur invalide",IF(OR(AND(K146&lt;&gt;"",OR(NOT(ISNUMBER(K146)),N(K146)&lt;0)),AND(L146&lt;&gt;"",OR(NOT(ISNUMBER(L146)),N(L146)&lt;0))),"Durée invalide",IF(OR(AND(N146&lt;&gt;"",OR(NOT(ISNUMBER(N146)),N(N146)&lt;0)),AND(P146&lt;&gt;"",OR(NOT(ISNUMBER(P146)),N(P146)&lt;0))),"Coût invalide",IF(AND(M146&lt;&gt;"",ISNA(MATCH(M146,tech_name,0))),"Technicien inconnu",IF(AND(I146="Terminée",S146&gt;p_today),"Terminée à une date future",IF(AND(I146="Terminée",V146=0),"Durée d'intervention manquante",IF(AND(I146="Terminée",E146="Préventif",T146=0,OR(IFERROR(INDEX(pl_trig,MATCH(F146,pl_num,0))&amp;"","")="Compteur",IFERROR(INDEX(pl_trig,MATCH(F146,pl_num,0))&amp;"","")="Au premier des deux")),"Compteur manquant (plan au compteur)","OK"))))))))))))))))))</f>
        <v/>
      </c>
      <c r="S146" s="67">
        <f>IF(AND(ISNUMBER(B146),N(B146)&gt;0),INT(B146),0)</f>
        <v>0.0</v>
      </c>
      <c r="T146" s="67">
        <f>IF(AND(ISNUMBER(J146),N(J146)&gt;=0),N(J146),0)</f>
        <v>0.0</v>
      </c>
      <c r="U146" s="67">
        <f>IF(AND(ISNUMBER(K146),N(K146)&gt;0),N(K146),0)</f>
        <v>0.0</v>
      </c>
      <c r="V146" s="67">
        <f>IF(AND(ISNUMBER(L146),N(L146)&gt;0),N(L146),0)</f>
        <v>0.0</v>
      </c>
      <c r="W146" s="67">
        <f>IF(AND(I146="Terminée",S146&gt;0,C146&lt;&gt;"",ISNUMBER(MATCH(C146,eq_code,0))),1,0)</f>
        <v>0.0</v>
      </c>
      <c r="X146" s="67">
        <f>IF(AND(W146=1,E146="Préventif"),1,0)</f>
        <v>0.0</v>
      </c>
      <c r="Y146" s="67">
        <f>IF(AND(ISNUMBER(N146),N(N146)&gt;0),N(N146),0)</f>
        <v>0.0</v>
      </c>
      <c r="Z146" s="67">
        <f>IF(AND(ISNUMBER(P146),N(P146)&gt;0),N(P146),0)</f>
        <v>0.0</v>
      </c>
    </row>
    <row r="147">
      <c r="A147" s="79" t="str">
        <f>IF(COUNTA(B147:C147,E147:G147,I147)=0,"","BI-"&amp;RIGHT("0000"&amp;(ROW()-5),4))</f>
        <v/>
      </c>
      <c r="B147" s="72" t="n"/>
      <c r="C147" s="66" t="n"/>
      <c r="D147" s="67" t="str">
        <f>IF(C147="","",IFERROR(INDEX(eq_des,MATCH(C147,eq_code,0))&amp;"","Équipement inconnu"))</f>
        <v/>
      </c>
      <c r="E147" s="68" t="n"/>
      <c r="F147" s="68" t="n"/>
      <c r="G147" s="66" t="n"/>
      <c r="H147" s="66" t="n"/>
      <c r="I147" s="68" t="n"/>
      <c r="J147" s="73" t="n"/>
      <c r="K147" s="71" t="n"/>
      <c r="L147" s="71" t="n"/>
      <c r="M147" s="66" t="n"/>
      <c r="N147" s="80" t="n"/>
      <c r="O147" s="81" t="str">
        <f>IF(A147="","",ROUND(V147*IFERROR(N(INDEX(tech_rate,MATCH(M147,tech_name,0))),0),2))</f>
        <v/>
      </c>
      <c r="P147" s="80" t="n"/>
      <c r="Q147" s="81" t="str">
        <f>IF(A147="","",ROUND(Y147+O147+Z147,2))</f>
        <v/>
      </c>
      <c r="R147" s="79" t="str">
        <f>IF(A147="","",IF(S147=0,"Date manquante ou invalide",IF(C147="","Équipement manquant",IF(ISNA(MATCH(C147,eq_code,0)),"Équipement inconnu",IF(E147="","Type manquant",IF(AND(E147&lt;&gt;"Préventif",E147&lt;&gt;"Correctif",E147&lt;&gt;"Amélioratif"),"Type inconnu",IF(I147="","Statut manquant",IF(AND(I147&lt;&gt;"Terminée",I147&lt;&gt;"En cours",I147&lt;&gt;"À faire",I147&lt;&gt;"Annulée"),"Statut inconnu",IF(AND(E147="Préventif",F147=""),"Plan manquant (préventif)",IF(AND(F147&lt;&gt;"",ISNA(MATCH(F147,pl_num,0))),"Plan inconnu",IF(AND(F147&lt;&gt;"",IFERROR(INDEX(pl_eq,MATCH(F147,pl_num,0))&amp;"",C147)&lt;&gt;C147),"Plan d'un autre équipement",IF(AND(J147&lt;&gt;"",OR(NOT(ISNUMBER(J147)),N(J147)&lt;0)),"Compteur invalide",IF(OR(AND(K147&lt;&gt;"",OR(NOT(ISNUMBER(K147)),N(K147)&lt;0)),AND(L147&lt;&gt;"",OR(NOT(ISNUMBER(L147)),N(L147)&lt;0))),"Durée invalide",IF(OR(AND(N147&lt;&gt;"",OR(NOT(ISNUMBER(N147)),N(N147)&lt;0)),AND(P147&lt;&gt;"",OR(NOT(ISNUMBER(P147)),N(P147)&lt;0))),"Coût invalide",IF(AND(M147&lt;&gt;"",ISNA(MATCH(M147,tech_name,0))),"Technicien inconnu",IF(AND(I147="Terminée",S147&gt;p_today),"Terminée à une date future",IF(AND(I147="Terminée",V147=0),"Durée d'intervention manquante",IF(AND(I147="Terminée",E147="Préventif",T147=0,OR(IFERROR(INDEX(pl_trig,MATCH(F147,pl_num,0))&amp;"","")="Compteur",IFERROR(INDEX(pl_trig,MATCH(F147,pl_num,0))&amp;"","")="Au premier des deux")),"Compteur manquant (plan au compteur)","OK"))))))))))))))))))</f>
        <v/>
      </c>
      <c r="S147" s="67">
        <f>IF(AND(ISNUMBER(B147),N(B147)&gt;0),INT(B147),0)</f>
        <v>0.0</v>
      </c>
      <c r="T147" s="67">
        <f>IF(AND(ISNUMBER(J147),N(J147)&gt;=0),N(J147),0)</f>
        <v>0.0</v>
      </c>
      <c r="U147" s="67">
        <f>IF(AND(ISNUMBER(K147),N(K147)&gt;0),N(K147),0)</f>
        <v>0.0</v>
      </c>
      <c r="V147" s="67">
        <f>IF(AND(ISNUMBER(L147),N(L147)&gt;0),N(L147),0)</f>
        <v>0.0</v>
      </c>
      <c r="W147" s="67">
        <f>IF(AND(I147="Terminée",S147&gt;0,C147&lt;&gt;"",ISNUMBER(MATCH(C147,eq_code,0))),1,0)</f>
        <v>0.0</v>
      </c>
      <c r="X147" s="67">
        <f>IF(AND(W147=1,E147="Préventif"),1,0)</f>
        <v>0.0</v>
      </c>
      <c r="Y147" s="67">
        <f>IF(AND(ISNUMBER(N147),N(N147)&gt;0),N(N147),0)</f>
        <v>0.0</v>
      </c>
      <c r="Z147" s="67">
        <f>IF(AND(ISNUMBER(P147),N(P147)&gt;0),N(P147),0)</f>
        <v>0.0</v>
      </c>
    </row>
    <row r="148">
      <c r="A148" s="79" t="str">
        <f>IF(COUNTA(B148:C148,E148:G148,I148)=0,"","BI-"&amp;RIGHT("0000"&amp;(ROW()-5),4))</f>
        <v/>
      </c>
      <c r="B148" s="72" t="n"/>
      <c r="C148" s="66" t="n"/>
      <c r="D148" s="67" t="str">
        <f>IF(C148="","",IFERROR(INDEX(eq_des,MATCH(C148,eq_code,0))&amp;"","Équipement inconnu"))</f>
        <v/>
      </c>
      <c r="E148" s="68" t="n"/>
      <c r="F148" s="68" t="n"/>
      <c r="G148" s="66" t="n"/>
      <c r="H148" s="66" t="n"/>
      <c r="I148" s="68" t="n"/>
      <c r="J148" s="73" t="n"/>
      <c r="K148" s="71" t="n"/>
      <c r="L148" s="71" t="n"/>
      <c r="M148" s="66" t="n"/>
      <c r="N148" s="80" t="n"/>
      <c r="O148" s="81" t="str">
        <f>IF(A148="","",ROUND(V148*IFERROR(N(INDEX(tech_rate,MATCH(M148,tech_name,0))),0),2))</f>
        <v/>
      </c>
      <c r="P148" s="80" t="n"/>
      <c r="Q148" s="81" t="str">
        <f>IF(A148="","",ROUND(Y148+O148+Z148,2))</f>
        <v/>
      </c>
      <c r="R148" s="79" t="str">
        <f>IF(A148="","",IF(S148=0,"Date manquante ou invalide",IF(C148="","Équipement manquant",IF(ISNA(MATCH(C148,eq_code,0)),"Équipement inconnu",IF(E148="","Type manquant",IF(AND(E148&lt;&gt;"Préventif",E148&lt;&gt;"Correctif",E148&lt;&gt;"Amélioratif"),"Type inconnu",IF(I148="","Statut manquant",IF(AND(I148&lt;&gt;"Terminée",I148&lt;&gt;"En cours",I148&lt;&gt;"À faire",I148&lt;&gt;"Annulée"),"Statut inconnu",IF(AND(E148="Préventif",F148=""),"Plan manquant (préventif)",IF(AND(F148&lt;&gt;"",ISNA(MATCH(F148,pl_num,0))),"Plan inconnu",IF(AND(F148&lt;&gt;"",IFERROR(INDEX(pl_eq,MATCH(F148,pl_num,0))&amp;"",C148)&lt;&gt;C148),"Plan d'un autre équipement",IF(AND(J148&lt;&gt;"",OR(NOT(ISNUMBER(J148)),N(J148)&lt;0)),"Compteur invalide",IF(OR(AND(K148&lt;&gt;"",OR(NOT(ISNUMBER(K148)),N(K148)&lt;0)),AND(L148&lt;&gt;"",OR(NOT(ISNUMBER(L148)),N(L148)&lt;0))),"Durée invalide",IF(OR(AND(N148&lt;&gt;"",OR(NOT(ISNUMBER(N148)),N(N148)&lt;0)),AND(P148&lt;&gt;"",OR(NOT(ISNUMBER(P148)),N(P148)&lt;0))),"Coût invalide",IF(AND(M148&lt;&gt;"",ISNA(MATCH(M148,tech_name,0))),"Technicien inconnu",IF(AND(I148="Terminée",S148&gt;p_today),"Terminée à une date future",IF(AND(I148="Terminée",V148=0),"Durée d'intervention manquante",IF(AND(I148="Terminée",E148="Préventif",T148=0,OR(IFERROR(INDEX(pl_trig,MATCH(F148,pl_num,0))&amp;"","")="Compteur",IFERROR(INDEX(pl_trig,MATCH(F148,pl_num,0))&amp;"","")="Au premier des deux")),"Compteur manquant (plan au compteur)","OK"))))))))))))))))))</f>
        <v/>
      </c>
      <c r="S148" s="67">
        <f>IF(AND(ISNUMBER(B148),N(B148)&gt;0),INT(B148),0)</f>
        <v>0.0</v>
      </c>
      <c r="T148" s="67">
        <f>IF(AND(ISNUMBER(J148),N(J148)&gt;=0),N(J148),0)</f>
        <v>0.0</v>
      </c>
      <c r="U148" s="67">
        <f>IF(AND(ISNUMBER(K148),N(K148)&gt;0),N(K148),0)</f>
        <v>0.0</v>
      </c>
      <c r="V148" s="67">
        <f>IF(AND(ISNUMBER(L148),N(L148)&gt;0),N(L148),0)</f>
        <v>0.0</v>
      </c>
      <c r="W148" s="67">
        <f>IF(AND(I148="Terminée",S148&gt;0,C148&lt;&gt;"",ISNUMBER(MATCH(C148,eq_code,0))),1,0)</f>
        <v>0.0</v>
      </c>
      <c r="X148" s="67">
        <f>IF(AND(W148=1,E148="Préventif"),1,0)</f>
        <v>0.0</v>
      </c>
      <c r="Y148" s="67">
        <f>IF(AND(ISNUMBER(N148),N(N148)&gt;0),N(N148),0)</f>
        <v>0.0</v>
      </c>
      <c r="Z148" s="67">
        <f>IF(AND(ISNUMBER(P148),N(P148)&gt;0),N(P148),0)</f>
        <v>0.0</v>
      </c>
    </row>
    <row r="149">
      <c r="A149" s="79" t="str">
        <f>IF(COUNTA(B149:C149,E149:G149,I149)=0,"","BI-"&amp;RIGHT("0000"&amp;(ROW()-5),4))</f>
        <v/>
      </c>
      <c r="B149" s="72" t="n"/>
      <c r="C149" s="66" t="n"/>
      <c r="D149" s="67" t="str">
        <f>IF(C149="","",IFERROR(INDEX(eq_des,MATCH(C149,eq_code,0))&amp;"","Équipement inconnu"))</f>
        <v/>
      </c>
      <c r="E149" s="68" t="n"/>
      <c r="F149" s="68" t="n"/>
      <c r="G149" s="66" t="n"/>
      <c r="H149" s="66" t="n"/>
      <c r="I149" s="68" t="n"/>
      <c r="J149" s="73" t="n"/>
      <c r="K149" s="71" t="n"/>
      <c r="L149" s="71" t="n"/>
      <c r="M149" s="66" t="n"/>
      <c r="N149" s="80" t="n"/>
      <c r="O149" s="81" t="str">
        <f>IF(A149="","",ROUND(V149*IFERROR(N(INDEX(tech_rate,MATCH(M149,tech_name,0))),0),2))</f>
        <v/>
      </c>
      <c r="P149" s="80" t="n"/>
      <c r="Q149" s="81" t="str">
        <f>IF(A149="","",ROUND(Y149+O149+Z149,2))</f>
        <v/>
      </c>
      <c r="R149" s="79" t="str">
        <f>IF(A149="","",IF(S149=0,"Date manquante ou invalide",IF(C149="","Équipement manquant",IF(ISNA(MATCH(C149,eq_code,0)),"Équipement inconnu",IF(E149="","Type manquant",IF(AND(E149&lt;&gt;"Préventif",E149&lt;&gt;"Correctif",E149&lt;&gt;"Amélioratif"),"Type inconnu",IF(I149="","Statut manquant",IF(AND(I149&lt;&gt;"Terminée",I149&lt;&gt;"En cours",I149&lt;&gt;"À faire",I149&lt;&gt;"Annulée"),"Statut inconnu",IF(AND(E149="Préventif",F149=""),"Plan manquant (préventif)",IF(AND(F149&lt;&gt;"",ISNA(MATCH(F149,pl_num,0))),"Plan inconnu",IF(AND(F149&lt;&gt;"",IFERROR(INDEX(pl_eq,MATCH(F149,pl_num,0))&amp;"",C149)&lt;&gt;C149),"Plan d'un autre équipement",IF(AND(J149&lt;&gt;"",OR(NOT(ISNUMBER(J149)),N(J149)&lt;0)),"Compteur invalide",IF(OR(AND(K149&lt;&gt;"",OR(NOT(ISNUMBER(K149)),N(K149)&lt;0)),AND(L149&lt;&gt;"",OR(NOT(ISNUMBER(L149)),N(L149)&lt;0))),"Durée invalide",IF(OR(AND(N149&lt;&gt;"",OR(NOT(ISNUMBER(N149)),N(N149)&lt;0)),AND(P149&lt;&gt;"",OR(NOT(ISNUMBER(P149)),N(P149)&lt;0))),"Coût invalide",IF(AND(M149&lt;&gt;"",ISNA(MATCH(M149,tech_name,0))),"Technicien inconnu",IF(AND(I149="Terminée",S149&gt;p_today),"Terminée à une date future",IF(AND(I149="Terminée",V149=0),"Durée d'intervention manquante",IF(AND(I149="Terminée",E149="Préventif",T149=0,OR(IFERROR(INDEX(pl_trig,MATCH(F149,pl_num,0))&amp;"","")="Compteur",IFERROR(INDEX(pl_trig,MATCH(F149,pl_num,0))&amp;"","")="Au premier des deux")),"Compteur manquant (plan au compteur)","OK"))))))))))))))))))</f>
        <v/>
      </c>
      <c r="S149" s="67">
        <f>IF(AND(ISNUMBER(B149),N(B149)&gt;0),INT(B149),0)</f>
        <v>0.0</v>
      </c>
      <c r="T149" s="67">
        <f>IF(AND(ISNUMBER(J149),N(J149)&gt;=0),N(J149),0)</f>
        <v>0.0</v>
      </c>
      <c r="U149" s="67">
        <f>IF(AND(ISNUMBER(K149),N(K149)&gt;0),N(K149),0)</f>
        <v>0.0</v>
      </c>
      <c r="V149" s="67">
        <f>IF(AND(ISNUMBER(L149),N(L149)&gt;0),N(L149),0)</f>
        <v>0.0</v>
      </c>
      <c r="W149" s="67">
        <f>IF(AND(I149="Terminée",S149&gt;0,C149&lt;&gt;"",ISNUMBER(MATCH(C149,eq_code,0))),1,0)</f>
        <v>0.0</v>
      </c>
      <c r="X149" s="67">
        <f>IF(AND(W149=1,E149="Préventif"),1,0)</f>
        <v>0.0</v>
      </c>
      <c r="Y149" s="67">
        <f>IF(AND(ISNUMBER(N149),N(N149)&gt;0),N(N149),0)</f>
        <v>0.0</v>
      </c>
      <c r="Z149" s="67">
        <f>IF(AND(ISNUMBER(P149),N(P149)&gt;0),N(P149),0)</f>
        <v>0.0</v>
      </c>
    </row>
    <row r="150">
      <c r="A150" s="79" t="str">
        <f>IF(COUNTA(B150:C150,E150:G150,I150)=0,"","BI-"&amp;RIGHT("0000"&amp;(ROW()-5),4))</f>
        <v/>
      </c>
      <c r="B150" s="72" t="n"/>
      <c r="C150" s="66" t="n"/>
      <c r="D150" s="67" t="str">
        <f>IF(C150="","",IFERROR(INDEX(eq_des,MATCH(C150,eq_code,0))&amp;"","Équipement inconnu"))</f>
        <v/>
      </c>
      <c r="E150" s="68" t="n"/>
      <c r="F150" s="68" t="n"/>
      <c r="G150" s="66" t="n"/>
      <c r="H150" s="66" t="n"/>
      <c r="I150" s="68" t="n"/>
      <c r="J150" s="73" t="n"/>
      <c r="K150" s="71" t="n"/>
      <c r="L150" s="71" t="n"/>
      <c r="M150" s="66" t="n"/>
      <c r="N150" s="80" t="n"/>
      <c r="O150" s="81" t="str">
        <f>IF(A150="","",ROUND(V150*IFERROR(N(INDEX(tech_rate,MATCH(M150,tech_name,0))),0),2))</f>
        <v/>
      </c>
      <c r="P150" s="80" t="n"/>
      <c r="Q150" s="81" t="str">
        <f>IF(A150="","",ROUND(Y150+O150+Z150,2))</f>
        <v/>
      </c>
      <c r="R150" s="79" t="str">
        <f>IF(A150="","",IF(S150=0,"Date manquante ou invalide",IF(C150="","Équipement manquant",IF(ISNA(MATCH(C150,eq_code,0)),"Équipement inconnu",IF(E150="","Type manquant",IF(AND(E150&lt;&gt;"Préventif",E150&lt;&gt;"Correctif",E150&lt;&gt;"Amélioratif"),"Type inconnu",IF(I150="","Statut manquant",IF(AND(I150&lt;&gt;"Terminée",I150&lt;&gt;"En cours",I150&lt;&gt;"À faire",I150&lt;&gt;"Annulée"),"Statut inconnu",IF(AND(E150="Préventif",F150=""),"Plan manquant (préventif)",IF(AND(F150&lt;&gt;"",ISNA(MATCH(F150,pl_num,0))),"Plan inconnu",IF(AND(F150&lt;&gt;"",IFERROR(INDEX(pl_eq,MATCH(F150,pl_num,0))&amp;"",C150)&lt;&gt;C150),"Plan d'un autre équipement",IF(AND(J150&lt;&gt;"",OR(NOT(ISNUMBER(J150)),N(J150)&lt;0)),"Compteur invalide",IF(OR(AND(K150&lt;&gt;"",OR(NOT(ISNUMBER(K150)),N(K150)&lt;0)),AND(L150&lt;&gt;"",OR(NOT(ISNUMBER(L150)),N(L150)&lt;0))),"Durée invalide",IF(OR(AND(N150&lt;&gt;"",OR(NOT(ISNUMBER(N150)),N(N150)&lt;0)),AND(P150&lt;&gt;"",OR(NOT(ISNUMBER(P150)),N(P150)&lt;0))),"Coût invalide",IF(AND(M150&lt;&gt;"",ISNA(MATCH(M150,tech_name,0))),"Technicien inconnu",IF(AND(I150="Terminée",S150&gt;p_today),"Terminée à une date future",IF(AND(I150="Terminée",V150=0),"Durée d'intervention manquante",IF(AND(I150="Terminée",E150="Préventif",T150=0,OR(IFERROR(INDEX(pl_trig,MATCH(F150,pl_num,0))&amp;"","")="Compteur",IFERROR(INDEX(pl_trig,MATCH(F150,pl_num,0))&amp;"","")="Au premier des deux")),"Compteur manquant (plan au compteur)","OK"))))))))))))))))))</f>
        <v/>
      </c>
      <c r="S150" s="67">
        <f>IF(AND(ISNUMBER(B150),N(B150)&gt;0),INT(B150),0)</f>
        <v>0.0</v>
      </c>
      <c r="T150" s="67">
        <f>IF(AND(ISNUMBER(J150),N(J150)&gt;=0),N(J150),0)</f>
        <v>0.0</v>
      </c>
      <c r="U150" s="67">
        <f>IF(AND(ISNUMBER(K150),N(K150)&gt;0),N(K150),0)</f>
        <v>0.0</v>
      </c>
      <c r="V150" s="67">
        <f>IF(AND(ISNUMBER(L150),N(L150)&gt;0),N(L150),0)</f>
        <v>0.0</v>
      </c>
      <c r="W150" s="67">
        <f>IF(AND(I150="Terminée",S150&gt;0,C150&lt;&gt;"",ISNUMBER(MATCH(C150,eq_code,0))),1,0)</f>
        <v>0.0</v>
      </c>
      <c r="X150" s="67">
        <f>IF(AND(W150=1,E150="Préventif"),1,0)</f>
        <v>0.0</v>
      </c>
      <c r="Y150" s="67">
        <f>IF(AND(ISNUMBER(N150),N(N150)&gt;0),N(N150),0)</f>
        <v>0.0</v>
      </c>
      <c r="Z150" s="67">
        <f>IF(AND(ISNUMBER(P150),N(P150)&gt;0),N(P150),0)</f>
        <v>0.0</v>
      </c>
    </row>
    <row r="151">
      <c r="A151" s="79" t="str">
        <f>IF(COUNTA(B151:C151,E151:G151,I151)=0,"","BI-"&amp;RIGHT("0000"&amp;(ROW()-5),4))</f>
        <v/>
      </c>
      <c r="B151" s="72" t="n"/>
      <c r="C151" s="66" t="n"/>
      <c r="D151" s="67" t="str">
        <f>IF(C151="","",IFERROR(INDEX(eq_des,MATCH(C151,eq_code,0))&amp;"","Équipement inconnu"))</f>
        <v/>
      </c>
      <c r="E151" s="68" t="n"/>
      <c r="F151" s="68" t="n"/>
      <c r="G151" s="66" t="n"/>
      <c r="H151" s="66" t="n"/>
      <c r="I151" s="68" t="n"/>
      <c r="J151" s="73" t="n"/>
      <c r="K151" s="71" t="n"/>
      <c r="L151" s="71" t="n"/>
      <c r="M151" s="66" t="n"/>
      <c r="N151" s="80" t="n"/>
      <c r="O151" s="81" t="str">
        <f>IF(A151="","",ROUND(V151*IFERROR(N(INDEX(tech_rate,MATCH(M151,tech_name,0))),0),2))</f>
        <v/>
      </c>
      <c r="P151" s="80" t="n"/>
      <c r="Q151" s="81" t="str">
        <f>IF(A151="","",ROUND(Y151+O151+Z151,2))</f>
        <v/>
      </c>
      <c r="R151" s="79" t="str">
        <f>IF(A151="","",IF(S151=0,"Date manquante ou invalide",IF(C151="","Équipement manquant",IF(ISNA(MATCH(C151,eq_code,0)),"Équipement inconnu",IF(E151="","Type manquant",IF(AND(E151&lt;&gt;"Préventif",E151&lt;&gt;"Correctif",E151&lt;&gt;"Amélioratif"),"Type inconnu",IF(I151="","Statut manquant",IF(AND(I151&lt;&gt;"Terminée",I151&lt;&gt;"En cours",I151&lt;&gt;"À faire",I151&lt;&gt;"Annulée"),"Statut inconnu",IF(AND(E151="Préventif",F151=""),"Plan manquant (préventif)",IF(AND(F151&lt;&gt;"",ISNA(MATCH(F151,pl_num,0))),"Plan inconnu",IF(AND(F151&lt;&gt;"",IFERROR(INDEX(pl_eq,MATCH(F151,pl_num,0))&amp;"",C151)&lt;&gt;C151),"Plan d'un autre équipement",IF(AND(J151&lt;&gt;"",OR(NOT(ISNUMBER(J151)),N(J151)&lt;0)),"Compteur invalide",IF(OR(AND(K151&lt;&gt;"",OR(NOT(ISNUMBER(K151)),N(K151)&lt;0)),AND(L151&lt;&gt;"",OR(NOT(ISNUMBER(L151)),N(L151)&lt;0))),"Durée invalide",IF(OR(AND(N151&lt;&gt;"",OR(NOT(ISNUMBER(N151)),N(N151)&lt;0)),AND(P151&lt;&gt;"",OR(NOT(ISNUMBER(P151)),N(P151)&lt;0))),"Coût invalide",IF(AND(M151&lt;&gt;"",ISNA(MATCH(M151,tech_name,0))),"Technicien inconnu",IF(AND(I151="Terminée",S151&gt;p_today),"Terminée à une date future",IF(AND(I151="Terminée",V151=0),"Durée d'intervention manquante",IF(AND(I151="Terminée",E151="Préventif",T151=0,OR(IFERROR(INDEX(pl_trig,MATCH(F151,pl_num,0))&amp;"","")="Compteur",IFERROR(INDEX(pl_trig,MATCH(F151,pl_num,0))&amp;"","")="Au premier des deux")),"Compteur manquant (plan au compteur)","OK"))))))))))))))))))</f>
        <v/>
      </c>
      <c r="S151" s="67">
        <f>IF(AND(ISNUMBER(B151),N(B151)&gt;0),INT(B151),0)</f>
        <v>0.0</v>
      </c>
      <c r="T151" s="67">
        <f>IF(AND(ISNUMBER(J151),N(J151)&gt;=0),N(J151),0)</f>
        <v>0.0</v>
      </c>
      <c r="U151" s="67">
        <f>IF(AND(ISNUMBER(K151),N(K151)&gt;0),N(K151),0)</f>
        <v>0.0</v>
      </c>
      <c r="V151" s="67">
        <f>IF(AND(ISNUMBER(L151),N(L151)&gt;0),N(L151),0)</f>
        <v>0.0</v>
      </c>
      <c r="W151" s="67">
        <f>IF(AND(I151="Terminée",S151&gt;0,C151&lt;&gt;"",ISNUMBER(MATCH(C151,eq_code,0))),1,0)</f>
        <v>0.0</v>
      </c>
      <c r="X151" s="67">
        <f>IF(AND(W151=1,E151="Préventif"),1,0)</f>
        <v>0.0</v>
      </c>
      <c r="Y151" s="67">
        <f>IF(AND(ISNUMBER(N151),N(N151)&gt;0),N(N151),0)</f>
        <v>0.0</v>
      </c>
      <c r="Z151" s="67">
        <f>IF(AND(ISNUMBER(P151),N(P151)&gt;0),N(P151),0)</f>
        <v>0.0</v>
      </c>
    </row>
    <row r="152">
      <c r="A152" s="79" t="str">
        <f>IF(COUNTA(B152:C152,E152:G152,I152)=0,"","BI-"&amp;RIGHT("0000"&amp;(ROW()-5),4))</f>
        <v/>
      </c>
      <c r="B152" s="72" t="n"/>
      <c r="C152" s="66" t="n"/>
      <c r="D152" s="67" t="str">
        <f>IF(C152="","",IFERROR(INDEX(eq_des,MATCH(C152,eq_code,0))&amp;"","Équipement inconnu"))</f>
        <v/>
      </c>
      <c r="E152" s="68" t="n"/>
      <c r="F152" s="68" t="n"/>
      <c r="G152" s="66" t="n"/>
      <c r="H152" s="66" t="n"/>
      <c r="I152" s="68" t="n"/>
      <c r="J152" s="73" t="n"/>
      <c r="K152" s="71" t="n"/>
      <c r="L152" s="71" t="n"/>
      <c r="M152" s="66" t="n"/>
      <c r="N152" s="80" t="n"/>
      <c r="O152" s="81" t="str">
        <f>IF(A152="","",ROUND(V152*IFERROR(N(INDEX(tech_rate,MATCH(M152,tech_name,0))),0),2))</f>
        <v/>
      </c>
      <c r="P152" s="80" t="n"/>
      <c r="Q152" s="81" t="str">
        <f>IF(A152="","",ROUND(Y152+O152+Z152,2))</f>
        <v/>
      </c>
      <c r="R152" s="79" t="str">
        <f>IF(A152="","",IF(S152=0,"Date manquante ou invalide",IF(C152="","Équipement manquant",IF(ISNA(MATCH(C152,eq_code,0)),"Équipement inconnu",IF(E152="","Type manquant",IF(AND(E152&lt;&gt;"Préventif",E152&lt;&gt;"Correctif",E152&lt;&gt;"Amélioratif"),"Type inconnu",IF(I152="","Statut manquant",IF(AND(I152&lt;&gt;"Terminée",I152&lt;&gt;"En cours",I152&lt;&gt;"À faire",I152&lt;&gt;"Annulée"),"Statut inconnu",IF(AND(E152="Préventif",F152=""),"Plan manquant (préventif)",IF(AND(F152&lt;&gt;"",ISNA(MATCH(F152,pl_num,0))),"Plan inconnu",IF(AND(F152&lt;&gt;"",IFERROR(INDEX(pl_eq,MATCH(F152,pl_num,0))&amp;"",C152)&lt;&gt;C152),"Plan d'un autre équipement",IF(AND(J152&lt;&gt;"",OR(NOT(ISNUMBER(J152)),N(J152)&lt;0)),"Compteur invalide",IF(OR(AND(K152&lt;&gt;"",OR(NOT(ISNUMBER(K152)),N(K152)&lt;0)),AND(L152&lt;&gt;"",OR(NOT(ISNUMBER(L152)),N(L152)&lt;0))),"Durée invalide",IF(OR(AND(N152&lt;&gt;"",OR(NOT(ISNUMBER(N152)),N(N152)&lt;0)),AND(P152&lt;&gt;"",OR(NOT(ISNUMBER(P152)),N(P152)&lt;0))),"Coût invalide",IF(AND(M152&lt;&gt;"",ISNA(MATCH(M152,tech_name,0))),"Technicien inconnu",IF(AND(I152="Terminée",S152&gt;p_today),"Terminée à une date future",IF(AND(I152="Terminée",V152=0),"Durée d'intervention manquante",IF(AND(I152="Terminée",E152="Préventif",T152=0,OR(IFERROR(INDEX(pl_trig,MATCH(F152,pl_num,0))&amp;"","")="Compteur",IFERROR(INDEX(pl_trig,MATCH(F152,pl_num,0))&amp;"","")="Au premier des deux")),"Compteur manquant (plan au compteur)","OK"))))))))))))))))))</f>
        <v/>
      </c>
      <c r="S152" s="67">
        <f>IF(AND(ISNUMBER(B152),N(B152)&gt;0),INT(B152),0)</f>
        <v>0.0</v>
      </c>
      <c r="T152" s="67">
        <f>IF(AND(ISNUMBER(J152),N(J152)&gt;=0),N(J152),0)</f>
        <v>0.0</v>
      </c>
      <c r="U152" s="67">
        <f>IF(AND(ISNUMBER(K152),N(K152)&gt;0),N(K152),0)</f>
        <v>0.0</v>
      </c>
      <c r="V152" s="67">
        <f>IF(AND(ISNUMBER(L152),N(L152)&gt;0),N(L152),0)</f>
        <v>0.0</v>
      </c>
      <c r="W152" s="67">
        <f>IF(AND(I152="Terminée",S152&gt;0,C152&lt;&gt;"",ISNUMBER(MATCH(C152,eq_code,0))),1,0)</f>
        <v>0.0</v>
      </c>
      <c r="X152" s="67">
        <f>IF(AND(W152=1,E152="Préventif"),1,0)</f>
        <v>0.0</v>
      </c>
      <c r="Y152" s="67">
        <f>IF(AND(ISNUMBER(N152),N(N152)&gt;0),N(N152),0)</f>
        <v>0.0</v>
      </c>
      <c r="Z152" s="67">
        <f>IF(AND(ISNUMBER(P152),N(P152)&gt;0),N(P152),0)</f>
        <v>0.0</v>
      </c>
    </row>
    <row r="153">
      <c r="A153" s="79" t="str">
        <f>IF(COUNTA(B153:C153,E153:G153,I153)=0,"","BI-"&amp;RIGHT("0000"&amp;(ROW()-5),4))</f>
        <v/>
      </c>
      <c r="B153" s="72" t="n"/>
      <c r="C153" s="66" t="n"/>
      <c r="D153" s="67" t="str">
        <f>IF(C153="","",IFERROR(INDEX(eq_des,MATCH(C153,eq_code,0))&amp;"","Équipement inconnu"))</f>
        <v/>
      </c>
      <c r="E153" s="68" t="n"/>
      <c r="F153" s="68" t="n"/>
      <c r="G153" s="66" t="n"/>
      <c r="H153" s="66" t="n"/>
      <c r="I153" s="68" t="n"/>
      <c r="J153" s="73" t="n"/>
      <c r="K153" s="71" t="n"/>
      <c r="L153" s="71" t="n"/>
      <c r="M153" s="66" t="n"/>
      <c r="N153" s="80" t="n"/>
      <c r="O153" s="81" t="str">
        <f>IF(A153="","",ROUND(V153*IFERROR(N(INDEX(tech_rate,MATCH(M153,tech_name,0))),0),2))</f>
        <v/>
      </c>
      <c r="P153" s="80" t="n"/>
      <c r="Q153" s="81" t="str">
        <f>IF(A153="","",ROUND(Y153+O153+Z153,2))</f>
        <v/>
      </c>
      <c r="R153" s="79" t="str">
        <f>IF(A153="","",IF(S153=0,"Date manquante ou invalide",IF(C153="","Équipement manquant",IF(ISNA(MATCH(C153,eq_code,0)),"Équipement inconnu",IF(E153="","Type manquant",IF(AND(E153&lt;&gt;"Préventif",E153&lt;&gt;"Correctif",E153&lt;&gt;"Amélioratif"),"Type inconnu",IF(I153="","Statut manquant",IF(AND(I153&lt;&gt;"Terminée",I153&lt;&gt;"En cours",I153&lt;&gt;"À faire",I153&lt;&gt;"Annulée"),"Statut inconnu",IF(AND(E153="Préventif",F153=""),"Plan manquant (préventif)",IF(AND(F153&lt;&gt;"",ISNA(MATCH(F153,pl_num,0))),"Plan inconnu",IF(AND(F153&lt;&gt;"",IFERROR(INDEX(pl_eq,MATCH(F153,pl_num,0))&amp;"",C153)&lt;&gt;C153),"Plan d'un autre équipement",IF(AND(J153&lt;&gt;"",OR(NOT(ISNUMBER(J153)),N(J153)&lt;0)),"Compteur invalide",IF(OR(AND(K153&lt;&gt;"",OR(NOT(ISNUMBER(K153)),N(K153)&lt;0)),AND(L153&lt;&gt;"",OR(NOT(ISNUMBER(L153)),N(L153)&lt;0))),"Durée invalide",IF(OR(AND(N153&lt;&gt;"",OR(NOT(ISNUMBER(N153)),N(N153)&lt;0)),AND(P153&lt;&gt;"",OR(NOT(ISNUMBER(P153)),N(P153)&lt;0))),"Coût invalide",IF(AND(M153&lt;&gt;"",ISNA(MATCH(M153,tech_name,0))),"Technicien inconnu",IF(AND(I153="Terminée",S153&gt;p_today),"Terminée à une date future",IF(AND(I153="Terminée",V153=0),"Durée d'intervention manquante",IF(AND(I153="Terminée",E153="Préventif",T153=0,OR(IFERROR(INDEX(pl_trig,MATCH(F153,pl_num,0))&amp;"","")="Compteur",IFERROR(INDEX(pl_trig,MATCH(F153,pl_num,0))&amp;"","")="Au premier des deux")),"Compteur manquant (plan au compteur)","OK"))))))))))))))))))</f>
        <v/>
      </c>
      <c r="S153" s="67">
        <f>IF(AND(ISNUMBER(B153),N(B153)&gt;0),INT(B153),0)</f>
        <v>0.0</v>
      </c>
      <c r="T153" s="67">
        <f>IF(AND(ISNUMBER(J153),N(J153)&gt;=0),N(J153),0)</f>
        <v>0.0</v>
      </c>
      <c r="U153" s="67">
        <f>IF(AND(ISNUMBER(K153),N(K153)&gt;0),N(K153),0)</f>
        <v>0.0</v>
      </c>
      <c r="V153" s="67">
        <f>IF(AND(ISNUMBER(L153),N(L153)&gt;0),N(L153),0)</f>
        <v>0.0</v>
      </c>
      <c r="W153" s="67">
        <f>IF(AND(I153="Terminée",S153&gt;0,C153&lt;&gt;"",ISNUMBER(MATCH(C153,eq_code,0))),1,0)</f>
        <v>0.0</v>
      </c>
      <c r="X153" s="67">
        <f>IF(AND(W153=1,E153="Préventif"),1,0)</f>
        <v>0.0</v>
      </c>
      <c r="Y153" s="67">
        <f>IF(AND(ISNUMBER(N153),N(N153)&gt;0),N(N153),0)</f>
        <v>0.0</v>
      </c>
      <c r="Z153" s="67">
        <f>IF(AND(ISNUMBER(P153),N(P153)&gt;0),N(P153),0)</f>
        <v>0.0</v>
      </c>
    </row>
    <row r="154">
      <c r="A154" s="79" t="str">
        <f>IF(COUNTA(B154:C154,E154:G154,I154)=0,"","BI-"&amp;RIGHT("0000"&amp;(ROW()-5),4))</f>
        <v/>
      </c>
      <c r="B154" s="72" t="n"/>
      <c r="C154" s="66" t="n"/>
      <c r="D154" s="67" t="str">
        <f>IF(C154="","",IFERROR(INDEX(eq_des,MATCH(C154,eq_code,0))&amp;"","Équipement inconnu"))</f>
        <v/>
      </c>
      <c r="E154" s="68" t="n"/>
      <c r="F154" s="68" t="n"/>
      <c r="G154" s="66" t="n"/>
      <c r="H154" s="66" t="n"/>
      <c r="I154" s="68" t="n"/>
      <c r="J154" s="73" t="n"/>
      <c r="K154" s="71" t="n"/>
      <c r="L154" s="71" t="n"/>
      <c r="M154" s="66" t="n"/>
      <c r="N154" s="80" t="n"/>
      <c r="O154" s="81" t="str">
        <f>IF(A154="","",ROUND(V154*IFERROR(N(INDEX(tech_rate,MATCH(M154,tech_name,0))),0),2))</f>
        <v/>
      </c>
      <c r="P154" s="80" t="n"/>
      <c r="Q154" s="81" t="str">
        <f>IF(A154="","",ROUND(Y154+O154+Z154,2))</f>
        <v/>
      </c>
      <c r="R154" s="79" t="str">
        <f>IF(A154="","",IF(S154=0,"Date manquante ou invalide",IF(C154="","Équipement manquant",IF(ISNA(MATCH(C154,eq_code,0)),"Équipement inconnu",IF(E154="","Type manquant",IF(AND(E154&lt;&gt;"Préventif",E154&lt;&gt;"Correctif",E154&lt;&gt;"Amélioratif"),"Type inconnu",IF(I154="","Statut manquant",IF(AND(I154&lt;&gt;"Terminée",I154&lt;&gt;"En cours",I154&lt;&gt;"À faire",I154&lt;&gt;"Annulée"),"Statut inconnu",IF(AND(E154="Préventif",F154=""),"Plan manquant (préventif)",IF(AND(F154&lt;&gt;"",ISNA(MATCH(F154,pl_num,0))),"Plan inconnu",IF(AND(F154&lt;&gt;"",IFERROR(INDEX(pl_eq,MATCH(F154,pl_num,0))&amp;"",C154)&lt;&gt;C154),"Plan d'un autre équipement",IF(AND(J154&lt;&gt;"",OR(NOT(ISNUMBER(J154)),N(J154)&lt;0)),"Compteur invalide",IF(OR(AND(K154&lt;&gt;"",OR(NOT(ISNUMBER(K154)),N(K154)&lt;0)),AND(L154&lt;&gt;"",OR(NOT(ISNUMBER(L154)),N(L154)&lt;0))),"Durée invalide",IF(OR(AND(N154&lt;&gt;"",OR(NOT(ISNUMBER(N154)),N(N154)&lt;0)),AND(P154&lt;&gt;"",OR(NOT(ISNUMBER(P154)),N(P154)&lt;0))),"Coût invalide",IF(AND(M154&lt;&gt;"",ISNA(MATCH(M154,tech_name,0))),"Technicien inconnu",IF(AND(I154="Terminée",S154&gt;p_today),"Terminée à une date future",IF(AND(I154="Terminée",V154=0),"Durée d'intervention manquante",IF(AND(I154="Terminée",E154="Préventif",T154=0,OR(IFERROR(INDEX(pl_trig,MATCH(F154,pl_num,0))&amp;"","")="Compteur",IFERROR(INDEX(pl_trig,MATCH(F154,pl_num,0))&amp;"","")="Au premier des deux")),"Compteur manquant (plan au compteur)","OK"))))))))))))))))))</f>
        <v/>
      </c>
      <c r="S154" s="67">
        <f>IF(AND(ISNUMBER(B154),N(B154)&gt;0),INT(B154),0)</f>
        <v>0.0</v>
      </c>
      <c r="T154" s="67">
        <f>IF(AND(ISNUMBER(J154),N(J154)&gt;=0),N(J154),0)</f>
        <v>0.0</v>
      </c>
      <c r="U154" s="67">
        <f>IF(AND(ISNUMBER(K154),N(K154)&gt;0),N(K154),0)</f>
        <v>0.0</v>
      </c>
      <c r="V154" s="67">
        <f>IF(AND(ISNUMBER(L154),N(L154)&gt;0),N(L154),0)</f>
        <v>0.0</v>
      </c>
      <c r="W154" s="67">
        <f>IF(AND(I154="Terminée",S154&gt;0,C154&lt;&gt;"",ISNUMBER(MATCH(C154,eq_code,0))),1,0)</f>
        <v>0.0</v>
      </c>
      <c r="X154" s="67">
        <f>IF(AND(W154=1,E154="Préventif"),1,0)</f>
        <v>0.0</v>
      </c>
      <c r="Y154" s="67">
        <f>IF(AND(ISNUMBER(N154),N(N154)&gt;0),N(N154),0)</f>
        <v>0.0</v>
      </c>
      <c r="Z154" s="67">
        <f>IF(AND(ISNUMBER(P154),N(P154)&gt;0),N(P154),0)</f>
        <v>0.0</v>
      </c>
    </row>
    <row r="155">
      <c r="A155" s="79" t="str">
        <f>IF(COUNTA(B155:C155,E155:G155,I155)=0,"","BI-"&amp;RIGHT("0000"&amp;(ROW()-5),4))</f>
        <v/>
      </c>
      <c r="B155" s="72" t="n"/>
      <c r="C155" s="66" t="n"/>
      <c r="D155" s="67" t="str">
        <f>IF(C155="","",IFERROR(INDEX(eq_des,MATCH(C155,eq_code,0))&amp;"","Équipement inconnu"))</f>
        <v/>
      </c>
      <c r="E155" s="68" t="n"/>
      <c r="F155" s="68" t="n"/>
      <c r="G155" s="66" t="n"/>
      <c r="H155" s="66" t="n"/>
      <c r="I155" s="68" t="n"/>
      <c r="J155" s="73" t="n"/>
      <c r="K155" s="71" t="n"/>
      <c r="L155" s="71" t="n"/>
      <c r="M155" s="66" t="n"/>
      <c r="N155" s="80" t="n"/>
      <c r="O155" s="81" t="str">
        <f>IF(A155="","",ROUND(V155*IFERROR(N(INDEX(tech_rate,MATCH(M155,tech_name,0))),0),2))</f>
        <v/>
      </c>
      <c r="P155" s="80" t="n"/>
      <c r="Q155" s="81" t="str">
        <f>IF(A155="","",ROUND(Y155+O155+Z155,2))</f>
        <v/>
      </c>
      <c r="R155" s="79" t="str">
        <f>IF(A155="","",IF(S155=0,"Date manquante ou invalide",IF(C155="","Équipement manquant",IF(ISNA(MATCH(C155,eq_code,0)),"Équipement inconnu",IF(E155="","Type manquant",IF(AND(E155&lt;&gt;"Préventif",E155&lt;&gt;"Correctif",E155&lt;&gt;"Amélioratif"),"Type inconnu",IF(I155="","Statut manquant",IF(AND(I155&lt;&gt;"Terminée",I155&lt;&gt;"En cours",I155&lt;&gt;"À faire",I155&lt;&gt;"Annulée"),"Statut inconnu",IF(AND(E155="Préventif",F155=""),"Plan manquant (préventif)",IF(AND(F155&lt;&gt;"",ISNA(MATCH(F155,pl_num,0))),"Plan inconnu",IF(AND(F155&lt;&gt;"",IFERROR(INDEX(pl_eq,MATCH(F155,pl_num,0))&amp;"",C155)&lt;&gt;C155),"Plan d'un autre équipement",IF(AND(J155&lt;&gt;"",OR(NOT(ISNUMBER(J155)),N(J155)&lt;0)),"Compteur invalide",IF(OR(AND(K155&lt;&gt;"",OR(NOT(ISNUMBER(K155)),N(K155)&lt;0)),AND(L155&lt;&gt;"",OR(NOT(ISNUMBER(L155)),N(L155)&lt;0))),"Durée invalide",IF(OR(AND(N155&lt;&gt;"",OR(NOT(ISNUMBER(N155)),N(N155)&lt;0)),AND(P155&lt;&gt;"",OR(NOT(ISNUMBER(P155)),N(P155)&lt;0))),"Coût invalide",IF(AND(M155&lt;&gt;"",ISNA(MATCH(M155,tech_name,0))),"Technicien inconnu",IF(AND(I155="Terminée",S155&gt;p_today),"Terminée à une date future",IF(AND(I155="Terminée",V155=0),"Durée d'intervention manquante",IF(AND(I155="Terminée",E155="Préventif",T155=0,OR(IFERROR(INDEX(pl_trig,MATCH(F155,pl_num,0))&amp;"","")="Compteur",IFERROR(INDEX(pl_trig,MATCH(F155,pl_num,0))&amp;"","")="Au premier des deux")),"Compteur manquant (plan au compteur)","OK"))))))))))))))))))</f>
        <v/>
      </c>
      <c r="S155" s="67">
        <f>IF(AND(ISNUMBER(B155),N(B155)&gt;0),INT(B155),0)</f>
        <v>0.0</v>
      </c>
      <c r="T155" s="67">
        <f>IF(AND(ISNUMBER(J155),N(J155)&gt;=0),N(J155),0)</f>
        <v>0.0</v>
      </c>
      <c r="U155" s="67">
        <f>IF(AND(ISNUMBER(K155),N(K155)&gt;0),N(K155),0)</f>
        <v>0.0</v>
      </c>
      <c r="V155" s="67">
        <f>IF(AND(ISNUMBER(L155),N(L155)&gt;0),N(L155),0)</f>
        <v>0.0</v>
      </c>
      <c r="W155" s="67">
        <f>IF(AND(I155="Terminée",S155&gt;0,C155&lt;&gt;"",ISNUMBER(MATCH(C155,eq_code,0))),1,0)</f>
        <v>0.0</v>
      </c>
      <c r="X155" s="67">
        <f>IF(AND(W155=1,E155="Préventif"),1,0)</f>
        <v>0.0</v>
      </c>
      <c r="Y155" s="67">
        <f>IF(AND(ISNUMBER(N155),N(N155)&gt;0),N(N155),0)</f>
        <v>0.0</v>
      </c>
      <c r="Z155" s="67">
        <f>IF(AND(ISNUMBER(P155),N(P155)&gt;0),N(P155),0)</f>
        <v>0.0</v>
      </c>
    </row>
    <row r="156">
      <c r="A156" s="79" t="str">
        <f>IF(COUNTA(B156:C156,E156:G156,I156)=0,"","BI-"&amp;RIGHT("0000"&amp;(ROW()-5),4))</f>
        <v/>
      </c>
      <c r="B156" s="72" t="n"/>
      <c r="C156" s="66" t="n"/>
      <c r="D156" s="67" t="str">
        <f>IF(C156="","",IFERROR(INDEX(eq_des,MATCH(C156,eq_code,0))&amp;"","Équipement inconnu"))</f>
        <v/>
      </c>
      <c r="E156" s="68" t="n"/>
      <c r="F156" s="68" t="n"/>
      <c r="G156" s="66" t="n"/>
      <c r="H156" s="66" t="n"/>
      <c r="I156" s="68" t="n"/>
      <c r="J156" s="73" t="n"/>
      <c r="K156" s="71" t="n"/>
      <c r="L156" s="71" t="n"/>
      <c r="M156" s="66" t="n"/>
      <c r="N156" s="80" t="n"/>
      <c r="O156" s="81" t="str">
        <f>IF(A156="","",ROUND(V156*IFERROR(N(INDEX(tech_rate,MATCH(M156,tech_name,0))),0),2))</f>
        <v/>
      </c>
      <c r="P156" s="80" t="n"/>
      <c r="Q156" s="81" t="str">
        <f>IF(A156="","",ROUND(Y156+O156+Z156,2))</f>
        <v/>
      </c>
      <c r="R156" s="79" t="str">
        <f>IF(A156="","",IF(S156=0,"Date manquante ou invalide",IF(C156="","Équipement manquant",IF(ISNA(MATCH(C156,eq_code,0)),"Équipement inconnu",IF(E156="","Type manquant",IF(AND(E156&lt;&gt;"Préventif",E156&lt;&gt;"Correctif",E156&lt;&gt;"Amélioratif"),"Type inconnu",IF(I156="","Statut manquant",IF(AND(I156&lt;&gt;"Terminée",I156&lt;&gt;"En cours",I156&lt;&gt;"À faire",I156&lt;&gt;"Annulée"),"Statut inconnu",IF(AND(E156="Préventif",F156=""),"Plan manquant (préventif)",IF(AND(F156&lt;&gt;"",ISNA(MATCH(F156,pl_num,0))),"Plan inconnu",IF(AND(F156&lt;&gt;"",IFERROR(INDEX(pl_eq,MATCH(F156,pl_num,0))&amp;"",C156)&lt;&gt;C156),"Plan d'un autre équipement",IF(AND(J156&lt;&gt;"",OR(NOT(ISNUMBER(J156)),N(J156)&lt;0)),"Compteur invalide",IF(OR(AND(K156&lt;&gt;"",OR(NOT(ISNUMBER(K156)),N(K156)&lt;0)),AND(L156&lt;&gt;"",OR(NOT(ISNUMBER(L156)),N(L156)&lt;0))),"Durée invalide",IF(OR(AND(N156&lt;&gt;"",OR(NOT(ISNUMBER(N156)),N(N156)&lt;0)),AND(P156&lt;&gt;"",OR(NOT(ISNUMBER(P156)),N(P156)&lt;0))),"Coût invalide",IF(AND(M156&lt;&gt;"",ISNA(MATCH(M156,tech_name,0))),"Technicien inconnu",IF(AND(I156="Terminée",S156&gt;p_today),"Terminée à une date future",IF(AND(I156="Terminée",V156=0),"Durée d'intervention manquante",IF(AND(I156="Terminée",E156="Préventif",T156=0,OR(IFERROR(INDEX(pl_trig,MATCH(F156,pl_num,0))&amp;"","")="Compteur",IFERROR(INDEX(pl_trig,MATCH(F156,pl_num,0))&amp;"","")="Au premier des deux")),"Compteur manquant (plan au compteur)","OK"))))))))))))))))))</f>
        <v/>
      </c>
      <c r="S156" s="67">
        <f>IF(AND(ISNUMBER(B156),N(B156)&gt;0),INT(B156),0)</f>
        <v>0.0</v>
      </c>
      <c r="T156" s="67">
        <f>IF(AND(ISNUMBER(J156),N(J156)&gt;=0),N(J156),0)</f>
        <v>0.0</v>
      </c>
      <c r="U156" s="67">
        <f>IF(AND(ISNUMBER(K156),N(K156)&gt;0),N(K156),0)</f>
        <v>0.0</v>
      </c>
      <c r="V156" s="67">
        <f>IF(AND(ISNUMBER(L156),N(L156)&gt;0),N(L156),0)</f>
        <v>0.0</v>
      </c>
      <c r="W156" s="67">
        <f>IF(AND(I156="Terminée",S156&gt;0,C156&lt;&gt;"",ISNUMBER(MATCH(C156,eq_code,0))),1,0)</f>
        <v>0.0</v>
      </c>
      <c r="X156" s="67">
        <f>IF(AND(W156=1,E156="Préventif"),1,0)</f>
        <v>0.0</v>
      </c>
      <c r="Y156" s="67">
        <f>IF(AND(ISNUMBER(N156),N(N156)&gt;0),N(N156),0)</f>
        <v>0.0</v>
      </c>
      <c r="Z156" s="67">
        <f>IF(AND(ISNUMBER(P156),N(P156)&gt;0),N(P156),0)</f>
        <v>0.0</v>
      </c>
    </row>
    <row r="157">
      <c r="A157" s="79" t="str">
        <f>IF(COUNTA(B157:C157,E157:G157,I157)=0,"","BI-"&amp;RIGHT("0000"&amp;(ROW()-5),4))</f>
        <v/>
      </c>
      <c r="B157" s="72" t="n"/>
      <c r="C157" s="66" t="n"/>
      <c r="D157" s="67" t="str">
        <f>IF(C157="","",IFERROR(INDEX(eq_des,MATCH(C157,eq_code,0))&amp;"","Équipement inconnu"))</f>
        <v/>
      </c>
      <c r="E157" s="68" t="n"/>
      <c r="F157" s="68" t="n"/>
      <c r="G157" s="66" t="n"/>
      <c r="H157" s="66" t="n"/>
      <c r="I157" s="68" t="n"/>
      <c r="J157" s="73" t="n"/>
      <c r="K157" s="71" t="n"/>
      <c r="L157" s="71" t="n"/>
      <c r="M157" s="66" t="n"/>
      <c r="N157" s="80" t="n"/>
      <c r="O157" s="81" t="str">
        <f>IF(A157="","",ROUND(V157*IFERROR(N(INDEX(tech_rate,MATCH(M157,tech_name,0))),0),2))</f>
        <v/>
      </c>
      <c r="P157" s="80" t="n"/>
      <c r="Q157" s="81" t="str">
        <f>IF(A157="","",ROUND(Y157+O157+Z157,2))</f>
        <v/>
      </c>
      <c r="R157" s="79" t="str">
        <f>IF(A157="","",IF(S157=0,"Date manquante ou invalide",IF(C157="","Équipement manquant",IF(ISNA(MATCH(C157,eq_code,0)),"Équipement inconnu",IF(E157="","Type manquant",IF(AND(E157&lt;&gt;"Préventif",E157&lt;&gt;"Correctif",E157&lt;&gt;"Amélioratif"),"Type inconnu",IF(I157="","Statut manquant",IF(AND(I157&lt;&gt;"Terminée",I157&lt;&gt;"En cours",I157&lt;&gt;"À faire",I157&lt;&gt;"Annulée"),"Statut inconnu",IF(AND(E157="Préventif",F157=""),"Plan manquant (préventif)",IF(AND(F157&lt;&gt;"",ISNA(MATCH(F157,pl_num,0))),"Plan inconnu",IF(AND(F157&lt;&gt;"",IFERROR(INDEX(pl_eq,MATCH(F157,pl_num,0))&amp;"",C157)&lt;&gt;C157),"Plan d'un autre équipement",IF(AND(J157&lt;&gt;"",OR(NOT(ISNUMBER(J157)),N(J157)&lt;0)),"Compteur invalide",IF(OR(AND(K157&lt;&gt;"",OR(NOT(ISNUMBER(K157)),N(K157)&lt;0)),AND(L157&lt;&gt;"",OR(NOT(ISNUMBER(L157)),N(L157)&lt;0))),"Durée invalide",IF(OR(AND(N157&lt;&gt;"",OR(NOT(ISNUMBER(N157)),N(N157)&lt;0)),AND(P157&lt;&gt;"",OR(NOT(ISNUMBER(P157)),N(P157)&lt;0))),"Coût invalide",IF(AND(M157&lt;&gt;"",ISNA(MATCH(M157,tech_name,0))),"Technicien inconnu",IF(AND(I157="Terminée",S157&gt;p_today),"Terminée à une date future",IF(AND(I157="Terminée",V157=0),"Durée d'intervention manquante",IF(AND(I157="Terminée",E157="Préventif",T157=0,OR(IFERROR(INDEX(pl_trig,MATCH(F157,pl_num,0))&amp;"","")="Compteur",IFERROR(INDEX(pl_trig,MATCH(F157,pl_num,0))&amp;"","")="Au premier des deux")),"Compteur manquant (plan au compteur)","OK"))))))))))))))))))</f>
        <v/>
      </c>
      <c r="S157" s="67">
        <f>IF(AND(ISNUMBER(B157),N(B157)&gt;0),INT(B157),0)</f>
        <v>0.0</v>
      </c>
      <c r="T157" s="67">
        <f>IF(AND(ISNUMBER(J157),N(J157)&gt;=0),N(J157),0)</f>
        <v>0.0</v>
      </c>
      <c r="U157" s="67">
        <f>IF(AND(ISNUMBER(K157),N(K157)&gt;0),N(K157),0)</f>
        <v>0.0</v>
      </c>
      <c r="V157" s="67">
        <f>IF(AND(ISNUMBER(L157),N(L157)&gt;0),N(L157),0)</f>
        <v>0.0</v>
      </c>
      <c r="W157" s="67">
        <f>IF(AND(I157="Terminée",S157&gt;0,C157&lt;&gt;"",ISNUMBER(MATCH(C157,eq_code,0))),1,0)</f>
        <v>0.0</v>
      </c>
      <c r="X157" s="67">
        <f>IF(AND(W157=1,E157="Préventif"),1,0)</f>
        <v>0.0</v>
      </c>
      <c r="Y157" s="67">
        <f>IF(AND(ISNUMBER(N157),N(N157)&gt;0),N(N157),0)</f>
        <v>0.0</v>
      </c>
      <c r="Z157" s="67">
        <f>IF(AND(ISNUMBER(P157),N(P157)&gt;0),N(P157),0)</f>
        <v>0.0</v>
      </c>
    </row>
    <row r="158">
      <c r="A158" s="79" t="str">
        <f>IF(COUNTA(B158:C158,E158:G158,I158)=0,"","BI-"&amp;RIGHT("0000"&amp;(ROW()-5),4))</f>
        <v/>
      </c>
      <c r="B158" s="72" t="n"/>
      <c r="C158" s="66" t="n"/>
      <c r="D158" s="67" t="str">
        <f>IF(C158="","",IFERROR(INDEX(eq_des,MATCH(C158,eq_code,0))&amp;"","Équipement inconnu"))</f>
        <v/>
      </c>
      <c r="E158" s="68" t="n"/>
      <c r="F158" s="68" t="n"/>
      <c r="G158" s="66" t="n"/>
      <c r="H158" s="66" t="n"/>
      <c r="I158" s="68" t="n"/>
      <c r="J158" s="73" t="n"/>
      <c r="K158" s="71" t="n"/>
      <c r="L158" s="71" t="n"/>
      <c r="M158" s="66" t="n"/>
      <c r="N158" s="80" t="n"/>
      <c r="O158" s="81" t="str">
        <f>IF(A158="","",ROUND(V158*IFERROR(N(INDEX(tech_rate,MATCH(M158,tech_name,0))),0),2))</f>
        <v/>
      </c>
      <c r="P158" s="80" t="n"/>
      <c r="Q158" s="81" t="str">
        <f>IF(A158="","",ROUND(Y158+O158+Z158,2))</f>
        <v/>
      </c>
      <c r="R158" s="79" t="str">
        <f>IF(A158="","",IF(S158=0,"Date manquante ou invalide",IF(C158="","Équipement manquant",IF(ISNA(MATCH(C158,eq_code,0)),"Équipement inconnu",IF(E158="","Type manquant",IF(AND(E158&lt;&gt;"Préventif",E158&lt;&gt;"Correctif",E158&lt;&gt;"Amélioratif"),"Type inconnu",IF(I158="","Statut manquant",IF(AND(I158&lt;&gt;"Terminée",I158&lt;&gt;"En cours",I158&lt;&gt;"À faire",I158&lt;&gt;"Annulée"),"Statut inconnu",IF(AND(E158="Préventif",F158=""),"Plan manquant (préventif)",IF(AND(F158&lt;&gt;"",ISNA(MATCH(F158,pl_num,0))),"Plan inconnu",IF(AND(F158&lt;&gt;"",IFERROR(INDEX(pl_eq,MATCH(F158,pl_num,0))&amp;"",C158)&lt;&gt;C158),"Plan d'un autre équipement",IF(AND(J158&lt;&gt;"",OR(NOT(ISNUMBER(J158)),N(J158)&lt;0)),"Compteur invalide",IF(OR(AND(K158&lt;&gt;"",OR(NOT(ISNUMBER(K158)),N(K158)&lt;0)),AND(L158&lt;&gt;"",OR(NOT(ISNUMBER(L158)),N(L158)&lt;0))),"Durée invalide",IF(OR(AND(N158&lt;&gt;"",OR(NOT(ISNUMBER(N158)),N(N158)&lt;0)),AND(P158&lt;&gt;"",OR(NOT(ISNUMBER(P158)),N(P158)&lt;0))),"Coût invalide",IF(AND(M158&lt;&gt;"",ISNA(MATCH(M158,tech_name,0))),"Technicien inconnu",IF(AND(I158="Terminée",S158&gt;p_today),"Terminée à une date future",IF(AND(I158="Terminée",V158=0),"Durée d'intervention manquante",IF(AND(I158="Terminée",E158="Préventif",T158=0,OR(IFERROR(INDEX(pl_trig,MATCH(F158,pl_num,0))&amp;"","")="Compteur",IFERROR(INDEX(pl_trig,MATCH(F158,pl_num,0))&amp;"","")="Au premier des deux")),"Compteur manquant (plan au compteur)","OK"))))))))))))))))))</f>
        <v/>
      </c>
      <c r="S158" s="67">
        <f>IF(AND(ISNUMBER(B158),N(B158)&gt;0),INT(B158),0)</f>
        <v>0.0</v>
      </c>
      <c r="T158" s="67">
        <f>IF(AND(ISNUMBER(J158),N(J158)&gt;=0),N(J158),0)</f>
        <v>0.0</v>
      </c>
      <c r="U158" s="67">
        <f>IF(AND(ISNUMBER(K158),N(K158)&gt;0),N(K158),0)</f>
        <v>0.0</v>
      </c>
      <c r="V158" s="67">
        <f>IF(AND(ISNUMBER(L158),N(L158)&gt;0),N(L158),0)</f>
        <v>0.0</v>
      </c>
      <c r="W158" s="67">
        <f>IF(AND(I158="Terminée",S158&gt;0,C158&lt;&gt;"",ISNUMBER(MATCH(C158,eq_code,0))),1,0)</f>
        <v>0.0</v>
      </c>
      <c r="X158" s="67">
        <f>IF(AND(W158=1,E158="Préventif"),1,0)</f>
        <v>0.0</v>
      </c>
      <c r="Y158" s="67">
        <f>IF(AND(ISNUMBER(N158),N(N158)&gt;0),N(N158),0)</f>
        <v>0.0</v>
      </c>
      <c r="Z158" s="67">
        <f>IF(AND(ISNUMBER(P158),N(P158)&gt;0),N(P158),0)</f>
        <v>0.0</v>
      </c>
    </row>
    <row r="159">
      <c r="A159" s="79" t="str">
        <f>IF(COUNTA(B159:C159,E159:G159,I159)=0,"","BI-"&amp;RIGHT("0000"&amp;(ROW()-5),4))</f>
        <v/>
      </c>
      <c r="B159" s="72" t="n"/>
      <c r="C159" s="66" t="n"/>
      <c r="D159" s="67" t="str">
        <f>IF(C159="","",IFERROR(INDEX(eq_des,MATCH(C159,eq_code,0))&amp;"","Équipement inconnu"))</f>
        <v/>
      </c>
      <c r="E159" s="68" t="n"/>
      <c r="F159" s="68" t="n"/>
      <c r="G159" s="66" t="n"/>
      <c r="H159" s="66" t="n"/>
      <c r="I159" s="68" t="n"/>
      <c r="J159" s="73" t="n"/>
      <c r="K159" s="71" t="n"/>
      <c r="L159" s="71" t="n"/>
      <c r="M159" s="66" t="n"/>
      <c r="N159" s="80" t="n"/>
      <c r="O159" s="81" t="str">
        <f>IF(A159="","",ROUND(V159*IFERROR(N(INDEX(tech_rate,MATCH(M159,tech_name,0))),0),2))</f>
        <v/>
      </c>
      <c r="P159" s="80" t="n"/>
      <c r="Q159" s="81" t="str">
        <f>IF(A159="","",ROUND(Y159+O159+Z159,2))</f>
        <v/>
      </c>
      <c r="R159" s="79" t="str">
        <f>IF(A159="","",IF(S159=0,"Date manquante ou invalide",IF(C159="","Équipement manquant",IF(ISNA(MATCH(C159,eq_code,0)),"Équipement inconnu",IF(E159="","Type manquant",IF(AND(E159&lt;&gt;"Préventif",E159&lt;&gt;"Correctif",E159&lt;&gt;"Amélioratif"),"Type inconnu",IF(I159="","Statut manquant",IF(AND(I159&lt;&gt;"Terminée",I159&lt;&gt;"En cours",I159&lt;&gt;"À faire",I159&lt;&gt;"Annulée"),"Statut inconnu",IF(AND(E159="Préventif",F159=""),"Plan manquant (préventif)",IF(AND(F159&lt;&gt;"",ISNA(MATCH(F159,pl_num,0))),"Plan inconnu",IF(AND(F159&lt;&gt;"",IFERROR(INDEX(pl_eq,MATCH(F159,pl_num,0))&amp;"",C159)&lt;&gt;C159),"Plan d'un autre équipement",IF(AND(J159&lt;&gt;"",OR(NOT(ISNUMBER(J159)),N(J159)&lt;0)),"Compteur invalide",IF(OR(AND(K159&lt;&gt;"",OR(NOT(ISNUMBER(K159)),N(K159)&lt;0)),AND(L159&lt;&gt;"",OR(NOT(ISNUMBER(L159)),N(L159)&lt;0))),"Durée invalide",IF(OR(AND(N159&lt;&gt;"",OR(NOT(ISNUMBER(N159)),N(N159)&lt;0)),AND(P159&lt;&gt;"",OR(NOT(ISNUMBER(P159)),N(P159)&lt;0))),"Coût invalide",IF(AND(M159&lt;&gt;"",ISNA(MATCH(M159,tech_name,0))),"Technicien inconnu",IF(AND(I159="Terminée",S159&gt;p_today),"Terminée à une date future",IF(AND(I159="Terminée",V159=0),"Durée d'intervention manquante",IF(AND(I159="Terminée",E159="Préventif",T159=0,OR(IFERROR(INDEX(pl_trig,MATCH(F159,pl_num,0))&amp;"","")="Compteur",IFERROR(INDEX(pl_trig,MATCH(F159,pl_num,0))&amp;"","")="Au premier des deux")),"Compteur manquant (plan au compteur)","OK"))))))))))))))))))</f>
        <v/>
      </c>
      <c r="S159" s="67">
        <f>IF(AND(ISNUMBER(B159),N(B159)&gt;0),INT(B159),0)</f>
        <v>0.0</v>
      </c>
      <c r="T159" s="67">
        <f>IF(AND(ISNUMBER(J159),N(J159)&gt;=0),N(J159),0)</f>
        <v>0.0</v>
      </c>
      <c r="U159" s="67">
        <f>IF(AND(ISNUMBER(K159),N(K159)&gt;0),N(K159),0)</f>
        <v>0.0</v>
      </c>
      <c r="V159" s="67">
        <f>IF(AND(ISNUMBER(L159),N(L159)&gt;0),N(L159),0)</f>
        <v>0.0</v>
      </c>
      <c r="W159" s="67">
        <f>IF(AND(I159="Terminée",S159&gt;0,C159&lt;&gt;"",ISNUMBER(MATCH(C159,eq_code,0))),1,0)</f>
        <v>0.0</v>
      </c>
      <c r="X159" s="67">
        <f>IF(AND(W159=1,E159="Préventif"),1,0)</f>
        <v>0.0</v>
      </c>
      <c r="Y159" s="67">
        <f>IF(AND(ISNUMBER(N159),N(N159)&gt;0),N(N159),0)</f>
        <v>0.0</v>
      </c>
      <c r="Z159" s="67">
        <f>IF(AND(ISNUMBER(P159),N(P159)&gt;0),N(P159),0)</f>
        <v>0.0</v>
      </c>
    </row>
    <row r="160">
      <c r="A160" s="79" t="str">
        <f>IF(COUNTA(B160:C160,E160:G160,I160)=0,"","BI-"&amp;RIGHT("0000"&amp;(ROW()-5),4))</f>
        <v/>
      </c>
      <c r="B160" s="72" t="n"/>
      <c r="C160" s="66" t="n"/>
      <c r="D160" s="67" t="str">
        <f>IF(C160="","",IFERROR(INDEX(eq_des,MATCH(C160,eq_code,0))&amp;"","Équipement inconnu"))</f>
        <v/>
      </c>
      <c r="E160" s="68" t="n"/>
      <c r="F160" s="68" t="n"/>
      <c r="G160" s="66" t="n"/>
      <c r="H160" s="66" t="n"/>
      <c r="I160" s="68" t="n"/>
      <c r="J160" s="73" t="n"/>
      <c r="K160" s="71" t="n"/>
      <c r="L160" s="71" t="n"/>
      <c r="M160" s="66" t="n"/>
      <c r="N160" s="80" t="n"/>
      <c r="O160" s="81" t="str">
        <f>IF(A160="","",ROUND(V160*IFERROR(N(INDEX(tech_rate,MATCH(M160,tech_name,0))),0),2))</f>
        <v/>
      </c>
      <c r="P160" s="80" t="n"/>
      <c r="Q160" s="81" t="str">
        <f>IF(A160="","",ROUND(Y160+O160+Z160,2))</f>
        <v/>
      </c>
      <c r="R160" s="79" t="str">
        <f>IF(A160="","",IF(S160=0,"Date manquante ou invalide",IF(C160="","Équipement manquant",IF(ISNA(MATCH(C160,eq_code,0)),"Équipement inconnu",IF(E160="","Type manquant",IF(AND(E160&lt;&gt;"Préventif",E160&lt;&gt;"Correctif",E160&lt;&gt;"Amélioratif"),"Type inconnu",IF(I160="","Statut manquant",IF(AND(I160&lt;&gt;"Terminée",I160&lt;&gt;"En cours",I160&lt;&gt;"À faire",I160&lt;&gt;"Annulée"),"Statut inconnu",IF(AND(E160="Préventif",F160=""),"Plan manquant (préventif)",IF(AND(F160&lt;&gt;"",ISNA(MATCH(F160,pl_num,0))),"Plan inconnu",IF(AND(F160&lt;&gt;"",IFERROR(INDEX(pl_eq,MATCH(F160,pl_num,0))&amp;"",C160)&lt;&gt;C160),"Plan d'un autre équipement",IF(AND(J160&lt;&gt;"",OR(NOT(ISNUMBER(J160)),N(J160)&lt;0)),"Compteur invalide",IF(OR(AND(K160&lt;&gt;"",OR(NOT(ISNUMBER(K160)),N(K160)&lt;0)),AND(L160&lt;&gt;"",OR(NOT(ISNUMBER(L160)),N(L160)&lt;0))),"Durée invalide",IF(OR(AND(N160&lt;&gt;"",OR(NOT(ISNUMBER(N160)),N(N160)&lt;0)),AND(P160&lt;&gt;"",OR(NOT(ISNUMBER(P160)),N(P160)&lt;0))),"Coût invalide",IF(AND(M160&lt;&gt;"",ISNA(MATCH(M160,tech_name,0))),"Technicien inconnu",IF(AND(I160="Terminée",S160&gt;p_today),"Terminée à une date future",IF(AND(I160="Terminée",V160=0),"Durée d'intervention manquante",IF(AND(I160="Terminée",E160="Préventif",T160=0,OR(IFERROR(INDEX(pl_trig,MATCH(F160,pl_num,0))&amp;"","")="Compteur",IFERROR(INDEX(pl_trig,MATCH(F160,pl_num,0))&amp;"","")="Au premier des deux")),"Compteur manquant (plan au compteur)","OK"))))))))))))))))))</f>
        <v/>
      </c>
      <c r="S160" s="67">
        <f>IF(AND(ISNUMBER(B160),N(B160)&gt;0),INT(B160),0)</f>
        <v>0.0</v>
      </c>
      <c r="T160" s="67">
        <f>IF(AND(ISNUMBER(J160),N(J160)&gt;=0),N(J160),0)</f>
        <v>0.0</v>
      </c>
      <c r="U160" s="67">
        <f>IF(AND(ISNUMBER(K160),N(K160)&gt;0),N(K160),0)</f>
        <v>0.0</v>
      </c>
      <c r="V160" s="67">
        <f>IF(AND(ISNUMBER(L160),N(L160)&gt;0),N(L160),0)</f>
        <v>0.0</v>
      </c>
      <c r="W160" s="67">
        <f>IF(AND(I160="Terminée",S160&gt;0,C160&lt;&gt;"",ISNUMBER(MATCH(C160,eq_code,0))),1,0)</f>
        <v>0.0</v>
      </c>
      <c r="X160" s="67">
        <f>IF(AND(W160=1,E160="Préventif"),1,0)</f>
        <v>0.0</v>
      </c>
      <c r="Y160" s="67">
        <f>IF(AND(ISNUMBER(N160),N(N160)&gt;0),N(N160),0)</f>
        <v>0.0</v>
      </c>
      <c r="Z160" s="67">
        <f>IF(AND(ISNUMBER(P160),N(P160)&gt;0),N(P160),0)</f>
        <v>0.0</v>
      </c>
    </row>
    <row r="161">
      <c r="A161" s="79" t="str">
        <f>IF(COUNTA(B161:C161,E161:G161,I161)=0,"","BI-"&amp;RIGHT("0000"&amp;(ROW()-5),4))</f>
        <v/>
      </c>
      <c r="B161" s="72" t="n"/>
      <c r="C161" s="66" t="n"/>
      <c r="D161" s="67" t="str">
        <f>IF(C161="","",IFERROR(INDEX(eq_des,MATCH(C161,eq_code,0))&amp;"","Équipement inconnu"))</f>
        <v/>
      </c>
      <c r="E161" s="68" t="n"/>
      <c r="F161" s="68" t="n"/>
      <c r="G161" s="66" t="n"/>
      <c r="H161" s="66" t="n"/>
      <c r="I161" s="68" t="n"/>
      <c r="J161" s="73" t="n"/>
      <c r="K161" s="71" t="n"/>
      <c r="L161" s="71" t="n"/>
      <c r="M161" s="66" t="n"/>
      <c r="N161" s="80" t="n"/>
      <c r="O161" s="81" t="str">
        <f>IF(A161="","",ROUND(V161*IFERROR(N(INDEX(tech_rate,MATCH(M161,tech_name,0))),0),2))</f>
        <v/>
      </c>
      <c r="P161" s="80" t="n"/>
      <c r="Q161" s="81" t="str">
        <f>IF(A161="","",ROUND(Y161+O161+Z161,2))</f>
        <v/>
      </c>
      <c r="R161" s="79" t="str">
        <f>IF(A161="","",IF(S161=0,"Date manquante ou invalide",IF(C161="","Équipement manquant",IF(ISNA(MATCH(C161,eq_code,0)),"Équipement inconnu",IF(E161="","Type manquant",IF(AND(E161&lt;&gt;"Préventif",E161&lt;&gt;"Correctif",E161&lt;&gt;"Amélioratif"),"Type inconnu",IF(I161="","Statut manquant",IF(AND(I161&lt;&gt;"Terminée",I161&lt;&gt;"En cours",I161&lt;&gt;"À faire",I161&lt;&gt;"Annulée"),"Statut inconnu",IF(AND(E161="Préventif",F161=""),"Plan manquant (préventif)",IF(AND(F161&lt;&gt;"",ISNA(MATCH(F161,pl_num,0))),"Plan inconnu",IF(AND(F161&lt;&gt;"",IFERROR(INDEX(pl_eq,MATCH(F161,pl_num,0))&amp;"",C161)&lt;&gt;C161),"Plan d'un autre équipement",IF(AND(J161&lt;&gt;"",OR(NOT(ISNUMBER(J161)),N(J161)&lt;0)),"Compteur invalide",IF(OR(AND(K161&lt;&gt;"",OR(NOT(ISNUMBER(K161)),N(K161)&lt;0)),AND(L161&lt;&gt;"",OR(NOT(ISNUMBER(L161)),N(L161)&lt;0))),"Durée invalide",IF(OR(AND(N161&lt;&gt;"",OR(NOT(ISNUMBER(N161)),N(N161)&lt;0)),AND(P161&lt;&gt;"",OR(NOT(ISNUMBER(P161)),N(P161)&lt;0))),"Coût invalide",IF(AND(M161&lt;&gt;"",ISNA(MATCH(M161,tech_name,0))),"Technicien inconnu",IF(AND(I161="Terminée",S161&gt;p_today),"Terminée à une date future",IF(AND(I161="Terminée",V161=0),"Durée d'intervention manquante",IF(AND(I161="Terminée",E161="Préventif",T161=0,OR(IFERROR(INDEX(pl_trig,MATCH(F161,pl_num,0))&amp;"","")="Compteur",IFERROR(INDEX(pl_trig,MATCH(F161,pl_num,0))&amp;"","")="Au premier des deux")),"Compteur manquant (plan au compteur)","OK"))))))))))))))))))</f>
        <v/>
      </c>
      <c r="S161" s="67">
        <f>IF(AND(ISNUMBER(B161),N(B161)&gt;0),INT(B161),0)</f>
        <v>0.0</v>
      </c>
      <c r="T161" s="67">
        <f>IF(AND(ISNUMBER(J161),N(J161)&gt;=0),N(J161),0)</f>
        <v>0.0</v>
      </c>
      <c r="U161" s="67">
        <f>IF(AND(ISNUMBER(K161),N(K161)&gt;0),N(K161),0)</f>
        <v>0.0</v>
      </c>
      <c r="V161" s="67">
        <f>IF(AND(ISNUMBER(L161),N(L161)&gt;0),N(L161),0)</f>
        <v>0.0</v>
      </c>
      <c r="W161" s="67">
        <f>IF(AND(I161="Terminée",S161&gt;0,C161&lt;&gt;"",ISNUMBER(MATCH(C161,eq_code,0))),1,0)</f>
        <v>0.0</v>
      </c>
      <c r="X161" s="67">
        <f>IF(AND(W161=1,E161="Préventif"),1,0)</f>
        <v>0.0</v>
      </c>
      <c r="Y161" s="67">
        <f>IF(AND(ISNUMBER(N161),N(N161)&gt;0),N(N161),0)</f>
        <v>0.0</v>
      </c>
      <c r="Z161" s="67">
        <f>IF(AND(ISNUMBER(P161),N(P161)&gt;0),N(P161),0)</f>
        <v>0.0</v>
      </c>
    </row>
    <row r="162">
      <c r="A162" s="79" t="str">
        <f>IF(COUNTA(B162:C162,E162:G162,I162)=0,"","BI-"&amp;RIGHT("0000"&amp;(ROW()-5),4))</f>
        <v/>
      </c>
      <c r="B162" s="72" t="n"/>
      <c r="C162" s="66" t="n"/>
      <c r="D162" s="67" t="str">
        <f>IF(C162="","",IFERROR(INDEX(eq_des,MATCH(C162,eq_code,0))&amp;"","Équipement inconnu"))</f>
        <v/>
      </c>
      <c r="E162" s="68" t="n"/>
      <c r="F162" s="68" t="n"/>
      <c r="G162" s="66" t="n"/>
      <c r="H162" s="66" t="n"/>
      <c r="I162" s="68" t="n"/>
      <c r="J162" s="73" t="n"/>
      <c r="K162" s="71" t="n"/>
      <c r="L162" s="71" t="n"/>
      <c r="M162" s="66" t="n"/>
      <c r="N162" s="80" t="n"/>
      <c r="O162" s="81" t="str">
        <f>IF(A162="","",ROUND(V162*IFERROR(N(INDEX(tech_rate,MATCH(M162,tech_name,0))),0),2))</f>
        <v/>
      </c>
      <c r="P162" s="80" t="n"/>
      <c r="Q162" s="81" t="str">
        <f>IF(A162="","",ROUND(Y162+O162+Z162,2))</f>
        <v/>
      </c>
      <c r="R162" s="79" t="str">
        <f>IF(A162="","",IF(S162=0,"Date manquante ou invalide",IF(C162="","Équipement manquant",IF(ISNA(MATCH(C162,eq_code,0)),"Équipement inconnu",IF(E162="","Type manquant",IF(AND(E162&lt;&gt;"Préventif",E162&lt;&gt;"Correctif",E162&lt;&gt;"Amélioratif"),"Type inconnu",IF(I162="","Statut manquant",IF(AND(I162&lt;&gt;"Terminée",I162&lt;&gt;"En cours",I162&lt;&gt;"À faire",I162&lt;&gt;"Annulée"),"Statut inconnu",IF(AND(E162="Préventif",F162=""),"Plan manquant (préventif)",IF(AND(F162&lt;&gt;"",ISNA(MATCH(F162,pl_num,0))),"Plan inconnu",IF(AND(F162&lt;&gt;"",IFERROR(INDEX(pl_eq,MATCH(F162,pl_num,0))&amp;"",C162)&lt;&gt;C162),"Plan d'un autre équipement",IF(AND(J162&lt;&gt;"",OR(NOT(ISNUMBER(J162)),N(J162)&lt;0)),"Compteur invalide",IF(OR(AND(K162&lt;&gt;"",OR(NOT(ISNUMBER(K162)),N(K162)&lt;0)),AND(L162&lt;&gt;"",OR(NOT(ISNUMBER(L162)),N(L162)&lt;0))),"Durée invalide",IF(OR(AND(N162&lt;&gt;"",OR(NOT(ISNUMBER(N162)),N(N162)&lt;0)),AND(P162&lt;&gt;"",OR(NOT(ISNUMBER(P162)),N(P162)&lt;0))),"Coût invalide",IF(AND(M162&lt;&gt;"",ISNA(MATCH(M162,tech_name,0))),"Technicien inconnu",IF(AND(I162="Terminée",S162&gt;p_today),"Terminée à une date future",IF(AND(I162="Terminée",V162=0),"Durée d'intervention manquante",IF(AND(I162="Terminée",E162="Préventif",T162=0,OR(IFERROR(INDEX(pl_trig,MATCH(F162,pl_num,0))&amp;"","")="Compteur",IFERROR(INDEX(pl_trig,MATCH(F162,pl_num,0))&amp;"","")="Au premier des deux")),"Compteur manquant (plan au compteur)","OK"))))))))))))))))))</f>
        <v/>
      </c>
      <c r="S162" s="67">
        <f>IF(AND(ISNUMBER(B162),N(B162)&gt;0),INT(B162),0)</f>
        <v>0.0</v>
      </c>
      <c r="T162" s="67">
        <f>IF(AND(ISNUMBER(J162),N(J162)&gt;=0),N(J162),0)</f>
        <v>0.0</v>
      </c>
      <c r="U162" s="67">
        <f>IF(AND(ISNUMBER(K162),N(K162)&gt;0),N(K162),0)</f>
        <v>0.0</v>
      </c>
      <c r="V162" s="67">
        <f>IF(AND(ISNUMBER(L162),N(L162)&gt;0),N(L162),0)</f>
        <v>0.0</v>
      </c>
      <c r="W162" s="67">
        <f>IF(AND(I162="Terminée",S162&gt;0,C162&lt;&gt;"",ISNUMBER(MATCH(C162,eq_code,0))),1,0)</f>
        <v>0.0</v>
      </c>
      <c r="X162" s="67">
        <f>IF(AND(W162=1,E162="Préventif"),1,0)</f>
        <v>0.0</v>
      </c>
      <c r="Y162" s="67">
        <f>IF(AND(ISNUMBER(N162),N(N162)&gt;0),N(N162),0)</f>
        <v>0.0</v>
      </c>
      <c r="Z162" s="67">
        <f>IF(AND(ISNUMBER(P162),N(P162)&gt;0),N(P162),0)</f>
        <v>0.0</v>
      </c>
    </row>
    <row r="163">
      <c r="A163" s="79" t="str">
        <f>IF(COUNTA(B163:C163,E163:G163,I163)=0,"","BI-"&amp;RIGHT("0000"&amp;(ROW()-5),4))</f>
        <v/>
      </c>
      <c r="B163" s="72" t="n"/>
      <c r="C163" s="66" t="n"/>
      <c r="D163" s="67" t="str">
        <f>IF(C163="","",IFERROR(INDEX(eq_des,MATCH(C163,eq_code,0))&amp;"","Équipement inconnu"))</f>
        <v/>
      </c>
      <c r="E163" s="68" t="n"/>
      <c r="F163" s="68" t="n"/>
      <c r="G163" s="66" t="n"/>
      <c r="H163" s="66" t="n"/>
      <c r="I163" s="68" t="n"/>
      <c r="J163" s="73" t="n"/>
      <c r="K163" s="71" t="n"/>
      <c r="L163" s="71" t="n"/>
      <c r="M163" s="66" t="n"/>
      <c r="N163" s="80" t="n"/>
      <c r="O163" s="81" t="str">
        <f>IF(A163="","",ROUND(V163*IFERROR(N(INDEX(tech_rate,MATCH(M163,tech_name,0))),0),2))</f>
        <v/>
      </c>
      <c r="P163" s="80" t="n"/>
      <c r="Q163" s="81" t="str">
        <f>IF(A163="","",ROUND(Y163+O163+Z163,2))</f>
        <v/>
      </c>
      <c r="R163" s="79" t="str">
        <f>IF(A163="","",IF(S163=0,"Date manquante ou invalide",IF(C163="","Équipement manquant",IF(ISNA(MATCH(C163,eq_code,0)),"Équipement inconnu",IF(E163="","Type manquant",IF(AND(E163&lt;&gt;"Préventif",E163&lt;&gt;"Correctif",E163&lt;&gt;"Amélioratif"),"Type inconnu",IF(I163="","Statut manquant",IF(AND(I163&lt;&gt;"Terminée",I163&lt;&gt;"En cours",I163&lt;&gt;"À faire",I163&lt;&gt;"Annulée"),"Statut inconnu",IF(AND(E163="Préventif",F163=""),"Plan manquant (préventif)",IF(AND(F163&lt;&gt;"",ISNA(MATCH(F163,pl_num,0))),"Plan inconnu",IF(AND(F163&lt;&gt;"",IFERROR(INDEX(pl_eq,MATCH(F163,pl_num,0))&amp;"",C163)&lt;&gt;C163),"Plan d'un autre équipement",IF(AND(J163&lt;&gt;"",OR(NOT(ISNUMBER(J163)),N(J163)&lt;0)),"Compteur invalide",IF(OR(AND(K163&lt;&gt;"",OR(NOT(ISNUMBER(K163)),N(K163)&lt;0)),AND(L163&lt;&gt;"",OR(NOT(ISNUMBER(L163)),N(L163)&lt;0))),"Durée invalide",IF(OR(AND(N163&lt;&gt;"",OR(NOT(ISNUMBER(N163)),N(N163)&lt;0)),AND(P163&lt;&gt;"",OR(NOT(ISNUMBER(P163)),N(P163)&lt;0))),"Coût invalide",IF(AND(M163&lt;&gt;"",ISNA(MATCH(M163,tech_name,0))),"Technicien inconnu",IF(AND(I163="Terminée",S163&gt;p_today),"Terminée à une date future",IF(AND(I163="Terminée",V163=0),"Durée d'intervention manquante",IF(AND(I163="Terminée",E163="Préventif",T163=0,OR(IFERROR(INDEX(pl_trig,MATCH(F163,pl_num,0))&amp;"","")="Compteur",IFERROR(INDEX(pl_trig,MATCH(F163,pl_num,0))&amp;"","")="Au premier des deux")),"Compteur manquant (plan au compteur)","OK"))))))))))))))))))</f>
        <v/>
      </c>
      <c r="S163" s="67">
        <f>IF(AND(ISNUMBER(B163),N(B163)&gt;0),INT(B163),0)</f>
        <v>0.0</v>
      </c>
      <c r="T163" s="67">
        <f>IF(AND(ISNUMBER(J163),N(J163)&gt;=0),N(J163),0)</f>
        <v>0.0</v>
      </c>
      <c r="U163" s="67">
        <f>IF(AND(ISNUMBER(K163),N(K163)&gt;0),N(K163),0)</f>
        <v>0.0</v>
      </c>
      <c r="V163" s="67">
        <f>IF(AND(ISNUMBER(L163),N(L163)&gt;0),N(L163),0)</f>
        <v>0.0</v>
      </c>
      <c r="W163" s="67">
        <f>IF(AND(I163="Terminée",S163&gt;0,C163&lt;&gt;"",ISNUMBER(MATCH(C163,eq_code,0))),1,0)</f>
        <v>0.0</v>
      </c>
      <c r="X163" s="67">
        <f>IF(AND(W163=1,E163="Préventif"),1,0)</f>
        <v>0.0</v>
      </c>
      <c r="Y163" s="67">
        <f>IF(AND(ISNUMBER(N163),N(N163)&gt;0),N(N163),0)</f>
        <v>0.0</v>
      </c>
      <c r="Z163" s="67">
        <f>IF(AND(ISNUMBER(P163),N(P163)&gt;0),N(P163),0)</f>
        <v>0.0</v>
      </c>
    </row>
    <row r="164">
      <c r="A164" s="79" t="str">
        <f>IF(COUNTA(B164:C164,E164:G164,I164)=0,"","BI-"&amp;RIGHT("0000"&amp;(ROW()-5),4))</f>
        <v/>
      </c>
      <c r="B164" s="72" t="n"/>
      <c r="C164" s="66" t="n"/>
      <c r="D164" s="67" t="str">
        <f>IF(C164="","",IFERROR(INDEX(eq_des,MATCH(C164,eq_code,0))&amp;"","Équipement inconnu"))</f>
        <v/>
      </c>
      <c r="E164" s="68" t="n"/>
      <c r="F164" s="68" t="n"/>
      <c r="G164" s="66" t="n"/>
      <c r="H164" s="66" t="n"/>
      <c r="I164" s="68" t="n"/>
      <c r="J164" s="73" t="n"/>
      <c r="K164" s="71" t="n"/>
      <c r="L164" s="71" t="n"/>
      <c r="M164" s="66" t="n"/>
      <c r="N164" s="80" t="n"/>
      <c r="O164" s="81" t="str">
        <f>IF(A164="","",ROUND(V164*IFERROR(N(INDEX(tech_rate,MATCH(M164,tech_name,0))),0),2))</f>
        <v/>
      </c>
      <c r="P164" s="80" t="n"/>
      <c r="Q164" s="81" t="str">
        <f>IF(A164="","",ROUND(Y164+O164+Z164,2))</f>
        <v/>
      </c>
      <c r="R164" s="79" t="str">
        <f>IF(A164="","",IF(S164=0,"Date manquante ou invalide",IF(C164="","Équipement manquant",IF(ISNA(MATCH(C164,eq_code,0)),"Équipement inconnu",IF(E164="","Type manquant",IF(AND(E164&lt;&gt;"Préventif",E164&lt;&gt;"Correctif",E164&lt;&gt;"Amélioratif"),"Type inconnu",IF(I164="","Statut manquant",IF(AND(I164&lt;&gt;"Terminée",I164&lt;&gt;"En cours",I164&lt;&gt;"À faire",I164&lt;&gt;"Annulée"),"Statut inconnu",IF(AND(E164="Préventif",F164=""),"Plan manquant (préventif)",IF(AND(F164&lt;&gt;"",ISNA(MATCH(F164,pl_num,0))),"Plan inconnu",IF(AND(F164&lt;&gt;"",IFERROR(INDEX(pl_eq,MATCH(F164,pl_num,0))&amp;"",C164)&lt;&gt;C164),"Plan d'un autre équipement",IF(AND(J164&lt;&gt;"",OR(NOT(ISNUMBER(J164)),N(J164)&lt;0)),"Compteur invalide",IF(OR(AND(K164&lt;&gt;"",OR(NOT(ISNUMBER(K164)),N(K164)&lt;0)),AND(L164&lt;&gt;"",OR(NOT(ISNUMBER(L164)),N(L164)&lt;0))),"Durée invalide",IF(OR(AND(N164&lt;&gt;"",OR(NOT(ISNUMBER(N164)),N(N164)&lt;0)),AND(P164&lt;&gt;"",OR(NOT(ISNUMBER(P164)),N(P164)&lt;0))),"Coût invalide",IF(AND(M164&lt;&gt;"",ISNA(MATCH(M164,tech_name,0))),"Technicien inconnu",IF(AND(I164="Terminée",S164&gt;p_today),"Terminée à une date future",IF(AND(I164="Terminée",V164=0),"Durée d'intervention manquante",IF(AND(I164="Terminée",E164="Préventif",T164=0,OR(IFERROR(INDEX(pl_trig,MATCH(F164,pl_num,0))&amp;"","")="Compteur",IFERROR(INDEX(pl_trig,MATCH(F164,pl_num,0))&amp;"","")="Au premier des deux")),"Compteur manquant (plan au compteur)","OK"))))))))))))))))))</f>
        <v/>
      </c>
      <c r="S164" s="67">
        <f>IF(AND(ISNUMBER(B164),N(B164)&gt;0),INT(B164),0)</f>
        <v>0.0</v>
      </c>
      <c r="T164" s="67">
        <f>IF(AND(ISNUMBER(J164),N(J164)&gt;=0),N(J164),0)</f>
        <v>0.0</v>
      </c>
      <c r="U164" s="67">
        <f>IF(AND(ISNUMBER(K164),N(K164)&gt;0),N(K164),0)</f>
        <v>0.0</v>
      </c>
      <c r="V164" s="67">
        <f>IF(AND(ISNUMBER(L164),N(L164)&gt;0),N(L164),0)</f>
        <v>0.0</v>
      </c>
      <c r="W164" s="67">
        <f>IF(AND(I164="Terminée",S164&gt;0,C164&lt;&gt;"",ISNUMBER(MATCH(C164,eq_code,0))),1,0)</f>
        <v>0.0</v>
      </c>
      <c r="X164" s="67">
        <f>IF(AND(W164=1,E164="Préventif"),1,0)</f>
        <v>0.0</v>
      </c>
      <c r="Y164" s="67">
        <f>IF(AND(ISNUMBER(N164),N(N164)&gt;0),N(N164),0)</f>
        <v>0.0</v>
      </c>
      <c r="Z164" s="67">
        <f>IF(AND(ISNUMBER(P164),N(P164)&gt;0),N(P164),0)</f>
        <v>0.0</v>
      </c>
    </row>
    <row r="165">
      <c r="A165" s="79" t="str">
        <f>IF(COUNTA(B165:C165,E165:G165,I165)=0,"","BI-"&amp;RIGHT("0000"&amp;(ROW()-5),4))</f>
        <v/>
      </c>
      <c r="B165" s="72" t="n"/>
      <c r="C165" s="66" t="n"/>
      <c r="D165" s="67" t="str">
        <f>IF(C165="","",IFERROR(INDEX(eq_des,MATCH(C165,eq_code,0))&amp;"","Équipement inconnu"))</f>
        <v/>
      </c>
      <c r="E165" s="68" t="n"/>
      <c r="F165" s="68" t="n"/>
      <c r="G165" s="66" t="n"/>
      <c r="H165" s="66" t="n"/>
      <c r="I165" s="68" t="n"/>
      <c r="J165" s="73" t="n"/>
      <c r="K165" s="71" t="n"/>
      <c r="L165" s="71" t="n"/>
      <c r="M165" s="66" t="n"/>
      <c r="N165" s="80" t="n"/>
      <c r="O165" s="81" t="str">
        <f>IF(A165="","",ROUND(V165*IFERROR(N(INDEX(tech_rate,MATCH(M165,tech_name,0))),0),2))</f>
        <v/>
      </c>
      <c r="P165" s="80" t="n"/>
      <c r="Q165" s="81" t="str">
        <f>IF(A165="","",ROUND(Y165+O165+Z165,2))</f>
        <v/>
      </c>
      <c r="R165" s="79" t="str">
        <f>IF(A165="","",IF(S165=0,"Date manquante ou invalide",IF(C165="","Équipement manquant",IF(ISNA(MATCH(C165,eq_code,0)),"Équipement inconnu",IF(E165="","Type manquant",IF(AND(E165&lt;&gt;"Préventif",E165&lt;&gt;"Correctif",E165&lt;&gt;"Amélioratif"),"Type inconnu",IF(I165="","Statut manquant",IF(AND(I165&lt;&gt;"Terminée",I165&lt;&gt;"En cours",I165&lt;&gt;"À faire",I165&lt;&gt;"Annulée"),"Statut inconnu",IF(AND(E165="Préventif",F165=""),"Plan manquant (préventif)",IF(AND(F165&lt;&gt;"",ISNA(MATCH(F165,pl_num,0))),"Plan inconnu",IF(AND(F165&lt;&gt;"",IFERROR(INDEX(pl_eq,MATCH(F165,pl_num,0))&amp;"",C165)&lt;&gt;C165),"Plan d'un autre équipement",IF(AND(J165&lt;&gt;"",OR(NOT(ISNUMBER(J165)),N(J165)&lt;0)),"Compteur invalide",IF(OR(AND(K165&lt;&gt;"",OR(NOT(ISNUMBER(K165)),N(K165)&lt;0)),AND(L165&lt;&gt;"",OR(NOT(ISNUMBER(L165)),N(L165)&lt;0))),"Durée invalide",IF(OR(AND(N165&lt;&gt;"",OR(NOT(ISNUMBER(N165)),N(N165)&lt;0)),AND(P165&lt;&gt;"",OR(NOT(ISNUMBER(P165)),N(P165)&lt;0))),"Coût invalide",IF(AND(M165&lt;&gt;"",ISNA(MATCH(M165,tech_name,0))),"Technicien inconnu",IF(AND(I165="Terminée",S165&gt;p_today),"Terminée à une date future",IF(AND(I165="Terminée",V165=0),"Durée d'intervention manquante",IF(AND(I165="Terminée",E165="Préventif",T165=0,OR(IFERROR(INDEX(pl_trig,MATCH(F165,pl_num,0))&amp;"","")="Compteur",IFERROR(INDEX(pl_trig,MATCH(F165,pl_num,0))&amp;"","")="Au premier des deux")),"Compteur manquant (plan au compteur)","OK"))))))))))))))))))</f>
        <v/>
      </c>
      <c r="S165" s="67">
        <f>IF(AND(ISNUMBER(B165),N(B165)&gt;0),INT(B165),0)</f>
        <v>0.0</v>
      </c>
      <c r="T165" s="67">
        <f>IF(AND(ISNUMBER(J165),N(J165)&gt;=0),N(J165),0)</f>
        <v>0.0</v>
      </c>
      <c r="U165" s="67">
        <f>IF(AND(ISNUMBER(K165),N(K165)&gt;0),N(K165),0)</f>
        <v>0.0</v>
      </c>
      <c r="V165" s="67">
        <f>IF(AND(ISNUMBER(L165),N(L165)&gt;0),N(L165),0)</f>
        <v>0.0</v>
      </c>
      <c r="W165" s="67">
        <f>IF(AND(I165="Terminée",S165&gt;0,C165&lt;&gt;"",ISNUMBER(MATCH(C165,eq_code,0))),1,0)</f>
        <v>0.0</v>
      </c>
      <c r="X165" s="67">
        <f>IF(AND(W165=1,E165="Préventif"),1,0)</f>
        <v>0.0</v>
      </c>
      <c r="Y165" s="67">
        <f>IF(AND(ISNUMBER(N165),N(N165)&gt;0),N(N165),0)</f>
        <v>0.0</v>
      </c>
      <c r="Z165" s="67">
        <f>IF(AND(ISNUMBER(P165),N(P165)&gt;0),N(P165),0)</f>
        <v>0.0</v>
      </c>
    </row>
    <row r="166">
      <c r="A166" s="79" t="str">
        <f>IF(COUNTA(B166:C166,E166:G166,I166)=0,"","BI-"&amp;RIGHT("0000"&amp;(ROW()-5),4))</f>
        <v/>
      </c>
      <c r="B166" s="72" t="n"/>
      <c r="C166" s="66" t="n"/>
      <c r="D166" s="67" t="str">
        <f>IF(C166="","",IFERROR(INDEX(eq_des,MATCH(C166,eq_code,0))&amp;"","Équipement inconnu"))</f>
        <v/>
      </c>
      <c r="E166" s="68" t="n"/>
      <c r="F166" s="68" t="n"/>
      <c r="G166" s="66" t="n"/>
      <c r="H166" s="66" t="n"/>
      <c r="I166" s="68" t="n"/>
      <c r="J166" s="73" t="n"/>
      <c r="K166" s="71" t="n"/>
      <c r="L166" s="71" t="n"/>
      <c r="M166" s="66" t="n"/>
      <c r="N166" s="80" t="n"/>
      <c r="O166" s="81" t="str">
        <f>IF(A166="","",ROUND(V166*IFERROR(N(INDEX(tech_rate,MATCH(M166,tech_name,0))),0),2))</f>
        <v/>
      </c>
      <c r="P166" s="80" t="n"/>
      <c r="Q166" s="81" t="str">
        <f>IF(A166="","",ROUND(Y166+O166+Z166,2))</f>
        <v/>
      </c>
      <c r="R166" s="79" t="str">
        <f>IF(A166="","",IF(S166=0,"Date manquante ou invalide",IF(C166="","Équipement manquant",IF(ISNA(MATCH(C166,eq_code,0)),"Équipement inconnu",IF(E166="","Type manquant",IF(AND(E166&lt;&gt;"Préventif",E166&lt;&gt;"Correctif",E166&lt;&gt;"Amélioratif"),"Type inconnu",IF(I166="","Statut manquant",IF(AND(I166&lt;&gt;"Terminée",I166&lt;&gt;"En cours",I166&lt;&gt;"À faire",I166&lt;&gt;"Annulée"),"Statut inconnu",IF(AND(E166="Préventif",F166=""),"Plan manquant (préventif)",IF(AND(F166&lt;&gt;"",ISNA(MATCH(F166,pl_num,0))),"Plan inconnu",IF(AND(F166&lt;&gt;"",IFERROR(INDEX(pl_eq,MATCH(F166,pl_num,0))&amp;"",C166)&lt;&gt;C166),"Plan d'un autre équipement",IF(AND(J166&lt;&gt;"",OR(NOT(ISNUMBER(J166)),N(J166)&lt;0)),"Compteur invalide",IF(OR(AND(K166&lt;&gt;"",OR(NOT(ISNUMBER(K166)),N(K166)&lt;0)),AND(L166&lt;&gt;"",OR(NOT(ISNUMBER(L166)),N(L166)&lt;0))),"Durée invalide",IF(OR(AND(N166&lt;&gt;"",OR(NOT(ISNUMBER(N166)),N(N166)&lt;0)),AND(P166&lt;&gt;"",OR(NOT(ISNUMBER(P166)),N(P166)&lt;0))),"Coût invalide",IF(AND(M166&lt;&gt;"",ISNA(MATCH(M166,tech_name,0))),"Technicien inconnu",IF(AND(I166="Terminée",S166&gt;p_today),"Terminée à une date future",IF(AND(I166="Terminée",V166=0),"Durée d'intervention manquante",IF(AND(I166="Terminée",E166="Préventif",T166=0,OR(IFERROR(INDEX(pl_trig,MATCH(F166,pl_num,0))&amp;"","")="Compteur",IFERROR(INDEX(pl_trig,MATCH(F166,pl_num,0))&amp;"","")="Au premier des deux")),"Compteur manquant (plan au compteur)","OK"))))))))))))))))))</f>
        <v/>
      </c>
      <c r="S166" s="67">
        <f>IF(AND(ISNUMBER(B166),N(B166)&gt;0),INT(B166),0)</f>
        <v>0.0</v>
      </c>
      <c r="T166" s="67">
        <f>IF(AND(ISNUMBER(J166),N(J166)&gt;=0),N(J166),0)</f>
        <v>0.0</v>
      </c>
      <c r="U166" s="67">
        <f>IF(AND(ISNUMBER(K166),N(K166)&gt;0),N(K166),0)</f>
        <v>0.0</v>
      </c>
      <c r="V166" s="67">
        <f>IF(AND(ISNUMBER(L166),N(L166)&gt;0),N(L166),0)</f>
        <v>0.0</v>
      </c>
      <c r="W166" s="67">
        <f>IF(AND(I166="Terminée",S166&gt;0,C166&lt;&gt;"",ISNUMBER(MATCH(C166,eq_code,0))),1,0)</f>
        <v>0.0</v>
      </c>
      <c r="X166" s="67">
        <f>IF(AND(W166=1,E166="Préventif"),1,0)</f>
        <v>0.0</v>
      </c>
      <c r="Y166" s="67">
        <f>IF(AND(ISNUMBER(N166),N(N166)&gt;0),N(N166),0)</f>
        <v>0.0</v>
      </c>
      <c r="Z166" s="67">
        <f>IF(AND(ISNUMBER(P166),N(P166)&gt;0),N(P166),0)</f>
        <v>0.0</v>
      </c>
    </row>
    <row r="167">
      <c r="A167" s="79" t="str">
        <f>IF(COUNTA(B167:C167,E167:G167,I167)=0,"","BI-"&amp;RIGHT("0000"&amp;(ROW()-5),4))</f>
        <v/>
      </c>
      <c r="B167" s="72" t="n"/>
      <c r="C167" s="66" t="n"/>
      <c r="D167" s="67" t="str">
        <f>IF(C167="","",IFERROR(INDEX(eq_des,MATCH(C167,eq_code,0))&amp;"","Équipement inconnu"))</f>
        <v/>
      </c>
      <c r="E167" s="68" t="n"/>
      <c r="F167" s="68" t="n"/>
      <c r="G167" s="66" t="n"/>
      <c r="H167" s="66" t="n"/>
      <c r="I167" s="68" t="n"/>
      <c r="J167" s="73" t="n"/>
      <c r="K167" s="71" t="n"/>
      <c r="L167" s="71" t="n"/>
      <c r="M167" s="66" t="n"/>
      <c r="N167" s="80" t="n"/>
      <c r="O167" s="81" t="str">
        <f>IF(A167="","",ROUND(V167*IFERROR(N(INDEX(tech_rate,MATCH(M167,tech_name,0))),0),2))</f>
        <v/>
      </c>
      <c r="P167" s="80" t="n"/>
      <c r="Q167" s="81" t="str">
        <f>IF(A167="","",ROUND(Y167+O167+Z167,2))</f>
        <v/>
      </c>
      <c r="R167" s="79" t="str">
        <f>IF(A167="","",IF(S167=0,"Date manquante ou invalide",IF(C167="","Équipement manquant",IF(ISNA(MATCH(C167,eq_code,0)),"Équipement inconnu",IF(E167="","Type manquant",IF(AND(E167&lt;&gt;"Préventif",E167&lt;&gt;"Correctif",E167&lt;&gt;"Amélioratif"),"Type inconnu",IF(I167="","Statut manquant",IF(AND(I167&lt;&gt;"Terminée",I167&lt;&gt;"En cours",I167&lt;&gt;"À faire",I167&lt;&gt;"Annulée"),"Statut inconnu",IF(AND(E167="Préventif",F167=""),"Plan manquant (préventif)",IF(AND(F167&lt;&gt;"",ISNA(MATCH(F167,pl_num,0))),"Plan inconnu",IF(AND(F167&lt;&gt;"",IFERROR(INDEX(pl_eq,MATCH(F167,pl_num,0))&amp;"",C167)&lt;&gt;C167),"Plan d'un autre équipement",IF(AND(J167&lt;&gt;"",OR(NOT(ISNUMBER(J167)),N(J167)&lt;0)),"Compteur invalide",IF(OR(AND(K167&lt;&gt;"",OR(NOT(ISNUMBER(K167)),N(K167)&lt;0)),AND(L167&lt;&gt;"",OR(NOT(ISNUMBER(L167)),N(L167)&lt;0))),"Durée invalide",IF(OR(AND(N167&lt;&gt;"",OR(NOT(ISNUMBER(N167)),N(N167)&lt;0)),AND(P167&lt;&gt;"",OR(NOT(ISNUMBER(P167)),N(P167)&lt;0))),"Coût invalide",IF(AND(M167&lt;&gt;"",ISNA(MATCH(M167,tech_name,0))),"Technicien inconnu",IF(AND(I167="Terminée",S167&gt;p_today),"Terminée à une date future",IF(AND(I167="Terminée",V167=0),"Durée d'intervention manquante",IF(AND(I167="Terminée",E167="Préventif",T167=0,OR(IFERROR(INDEX(pl_trig,MATCH(F167,pl_num,0))&amp;"","")="Compteur",IFERROR(INDEX(pl_trig,MATCH(F167,pl_num,0))&amp;"","")="Au premier des deux")),"Compteur manquant (plan au compteur)","OK"))))))))))))))))))</f>
        <v/>
      </c>
      <c r="S167" s="67">
        <f>IF(AND(ISNUMBER(B167),N(B167)&gt;0),INT(B167),0)</f>
        <v>0.0</v>
      </c>
      <c r="T167" s="67">
        <f>IF(AND(ISNUMBER(J167),N(J167)&gt;=0),N(J167),0)</f>
        <v>0.0</v>
      </c>
      <c r="U167" s="67">
        <f>IF(AND(ISNUMBER(K167),N(K167)&gt;0),N(K167),0)</f>
        <v>0.0</v>
      </c>
      <c r="V167" s="67">
        <f>IF(AND(ISNUMBER(L167),N(L167)&gt;0),N(L167),0)</f>
        <v>0.0</v>
      </c>
      <c r="W167" s="67">
        <f>IF(AND(I167="Terminée",S167&gt;0,C167&lt;&gt;"",ISNUMBER(MATCH(C167,eq_code,0))),1,0)</f>
        <v>0.0</v>
      </c>
      <c r="X167" s="67">
        <f>IF(AND(W167=1,E167="Préventif"),1,0)</f>
        <v>0.0</v>
      </c>
      <c r="Y167" s="67">
        <f>IF(AND(ISNUMBER(N167),N(N167)&gt;0),N(N167),0)</f>
        <v>0.0</v>
      </c>
      <c r="Z167" s="67">
        <f>IF(AND(ISNUMBER(P167),N(P167)&gt;0),N(P167),0)</f>
        <v>0.0</v>
      </c>
    </row>
    <row r="168">
      <c r="A168" s="79" t="str">
        <f>IF(COUNTA(B168:C168,E168:G168,I168)=0,"","BI-"&amp;RIGHT("0000"&amp;(ROW()-5),4))</f>
        <v/>
      </c>
      <c r="B168" s="72" t="n"/>
      <c r="C168" s="66" t="n"/>
      <c r="D168" s="67" t="str">
        <f>IF(C168="","",IFERROR(INDEX(eq_des,MATCH(C168,eq_code,0))&amp;"","Équipement inconnu"))</f>
        <v/>
      </c>
      <c r="E168" s="68" t="n"/>
      <c r="F168" s="68" t="n"/>
      <c r="G168" s="66" t="n"/>
      <c r="H168" s="66" t="n"/>
      <c r="I168" s="68" t="n"/>
      <c r="J168" s="73" t="n"/>
      <c r="K168" s="71" t="n"/>
      <c r="L168" s="71" t="n"/>
      <c r="M168" s="66" t="n"/>
      <c r="N168" s="80" t="n"/>
      <c r="O168" s="81" t="str">
        <f>IF(A168="","",ROUND(V168*IFERROR(N(INDEX(tech_rate,MATCH(M168,tech_name,0))),0),2))</f>
        <v/>
      </c>
      <c r="P168" s="80" t="n"/>
      <c r="Q168" s="81" t="str">
        <f>IF(A168="","",ROUND(Y168+O168+Z168,2))</f>
        <v/>
      </c>
      <c r="R168" s="79" t="str">
        <f>IF(A168="","",IF(S168=0,"Date manquante ou invalide",IF(C168="","Équipement manquant",IF(ISNA(MATCH(C168,eq_code,0)),"Équipement inconnu",IF(E168="","Type manquant",IF(AND(E168&lt;&gt;"Préventif",E168&lt;&gt;"Correctif",E168&lt;&gt;"Amélioratif"),"Type inconnu",IF(I168="","Statut manquant",IF(AND(I168&lt;&gt;"Terminée",I168&lt;&gt;"En cours",I168&lt;&gt;"À faire",I168&lt;&gt;"Annulée"),"Statut inconnu",IF(AND(E168="Préventif",F168=""),"Plan manquant (préventif)",IF(AND(F168&lt;&gt;"",ISNA(MATCH(F168,pl_num,0))),"Plan inconnu",IF(AND(F168&lt;&gt;"",IFERROR(INDEX(pl_eq,MATCH(F168,pl_num,0))&amp;"",C168)&lt;&gt;C168),"Plan d'un autre équipement",IF(AND(J168&lt;&gt;"",OR(NOT(ISNUMBER(J168)),N(J168)&lt;0)),"Compteur invalide",IF(OR(AND(K168&lt;&gt;"",OR(NOT(ISNUMBER(K168)),N(K168)&lt;0)),AND(L168&lt;&gt;"",OR(NOT(ISNUMBER(L168)),N(L168)&lt;0))),"Durée invalide",IF(OR(AND(N168&lt;&gt;"",OR(NOT(ISNUMBER(N168)),N(N168)&lt;0)),AND(P168&lt;&gt;"",OR(NOT(ISNUMBER(P168)),N(P168)&lt;0))),"Coût invalide",IF(AND(M168&lt;&gt;"",ISNA(MATCH(M168,tech_name,0))),"Technicien inconnu",IF(AND(I168="Terminée",S168&gt;p_today),"Terminée à une date future",IF(AND(I168="Terminée",V168=0),"Durée d'intervention manquante",IF(AND(I168="Terminée",E168="Préventif",T168=0,OR(IFERROR(INDEX(pl_trig,MATCH(F168,pl_num,0))&amp;"","")="Compteur",IFERROR(INDEX(pl_trig,MATCH(F168,pl_num,0))&amp;"","")="Au premier des deux")),"Compteur manquant (plan au compteur)","OK"))))))))))))))))))</f>
        <v/>
      </c>
      <c r="S168" s="67">
        <f>IF(AND(ISNUMBER(B168),N(B168)&gt;0),INT(B168),0)</f>
        <v>0.0</v>
      </c>
      <c r="T168" s="67">
        <f>IF(AND(ISNUMBER(J168),N(J168)&gt;=0),N(J168),0)</f>
        <v>0.0</v>
      </c>
      <c r="U168" s="67">
        <f>IF(AND(ISNUMBER(K168),N(K168)&gt;0),N(K168),0)</f>
        <v>0.0</v>
      </c>
      <c r="V168" s="67">
        <f>IF(AND(ISNUMBER(L168),N(L168)&gt;0),N(L168),0)</f>
        <v>0.0</v>
      </c>
      <c r="W168" s="67">
        <f>IF(AND(I168="Terminée",S168&gt;0,C168&lt;&gt;"",ISNUMBER(MATCH(C168,eq_code,0))),1,0)</f>
        <v>0.0</v>
      </c>
      <c r="X168" s="67">
        <f>IF(AND(W168=1,E168="Préventif"),1,0)</f>
        <v>0.0</v>
      </c>
      <c r="Y168" s="67">
        <f>IF(AND(ISNUMBER(N168),N(N168)&gt;0),N(N168),0)</f>
        <v>0.0</v>
      </c>
      <c r="Z168" s="67">
        <f>IF(AND(ISNUMBER(P168),N(P168)&gt;0),N(P168),0)</f>
        <v>0.0</v>
      </c>
    </row>
    <row r="169">
      <c r="A169" s="79" t="str">
        <f>IF(COUNTA(B169:C169,E169:G169,I169)=0,"","BI-"&amp;RIGHT("0000"&amp;(ROW()-5),4))</f>
        <v/>
      </c>
      <c r="B169" s="72" t="n"/>
      <c r="C169" s="66" t="n"/>
      <c r="D169" s="67" t="str">
        <f>IF(C169="","",IFERROR(INDEX(eq_des,MATCH(C169,eq_code,0))&amp;"","Équipement inconnu"))</f>
        <v/>
      </c>
      <c r="E169" s="68" t="n"/>
      <c r="F169" s="68" t="n"/>
      <c r="G169" s="66" t="n"/>
      <c r="H169" s="66" t="n"/>
      <c r="I169" s="68" t="n"/>
      <c r="J169" s="73" t="n"/>
      <c r="K169" s="71" t="n"/>
      <c r="L169" s="71" t="n"/>
      <c r="M169" s="66" t="n"/>
      <c r="N169" s="80" t="n"/>
      <c r="O169" s="81" t="str">
        <f>IF(A169="","",ROUND(V169*IFERROR(N(INDEX(tech_rate,MATCH(M169,tech_name,0))),0),2))</f>
        <v/>
      </c>
      <c r="P169" s="80" t="n"/>
      <c r="Q169" s="81" t="str">
        <f>IF(A169="","",ROUND(Y169+O169+Z169,2))</f>
        <v/>
      </c>
      <c r="R169" s="79" t="str">
        <f>IF(A169="","",IF(S169=0,"Date manquante ou invalide",IF(C169="","Équipement manquant",IF(ISNA(MATCH(C169,eq_code,0)),"Équipement inconnu",IF(E169="","Type manquant",IF(AND(E169&lt;&gt;"Préventif",E169&lt;&gt;"Correctif",E169&lt;&gt;"Amélioratif"),"Type inconnu",IF(I169="","Statut manquant",IF(AND(I169&lt;&gt;"Terminée",I169&lt;&gt;"En cours",I169&lt;&gt;"À faire",I169&lt;&gt;"Annulée"),"Statut inconnu",IF(AND(E169="Préventif",F169=""),"Plan manquant (préventif)",IF(AND(F169&lt;&gt;"",ISNA(MATCH(F169,pl_num,0))),"Plan inconnu",IF(AND(F169&lt;&gt;"",IFERROR(INDEX(pl_eq,MATCH(F169,pl_num,0))&amp;"",C169)&lt;&gt;C169),"Plan d'un autre équipement",IF(AND(J169&lt;&gt;"",OR(NOT(ISNUMBER(J169)),N(J169)&lt;0)),"Compteur invalide",IF(OR(AND(K169&lt;&gt;"",OR(NOT(ISNUMBER(K169)),N(K169)&lt;0)),AND(L169&lt;&gt;"",OR(NOT(ISNUMBER(L169)),N(L169)&lt;0))),"Durée invalide",IF(OR(AND(N169&lt;&gt;"",OR(NOT(ISNUMBER(N169)),N(N169)&lt;0)),AND(P169&lt;&gt;"",OR(NOT(ISNUMBER(P169)),N(P169)&lt;0))),"Coût invalide",IF(AND(M169&lt;&gt;"",ISNA(MATCH(M169,tech_name,0))),"Technicien inconnu",IF(AND(I169="Terminée",S169&gt;p_today),"Terminée à une date future",IF(AND(I169="Terminée",V169=0),"Durée d'intervention manquante",IF(AND(I169="Terminée",E169="Préventif",T169=0,OR(IFERROR(INDEX(pl_trig,MATCH(F169,pl_num,0))&amp;"","")="Compteur",IFERROR(INDEX(pl_trig,MATCH(F169,pl_num,0))&amp;"","")="Au premier des deux")),"Compteur manquant (plan au compteur)","OK"))))))))))))))))))</f>
        <v/>
      </c>
      <c r="S169" s="67">
        <f>IF(AND(ISNUMBER(B169),N(B169)&gt;0),INT(B169),0)</f>
        <v>0.0</v>
      </c>
      <c r="T169" s="67">
        <f>IF(AND(ISNUMBER(J169),N(J169)&gt;=0),N(J169),0)</f>
        <v>0.0</v>
      </c>
      <c r="U169" s="67">
        <f>IF(AND(ISNUMBER(K169),N(K169)&gt;0),N(K169),0)</f>
        <v>0.0</v>
      </c>
      <c r="V169" s="67">
        <f>IF(AND(ISNUMBER(L169),N(L169)&gt;0),N(L169),0)</f>
        <v>0.0</v>
      </c>
      <c r="W169" s="67">
        <f>IF(AND(I169="Terminée",S169&gt;0,C169&lt;&gt;"",ISNUMBER(MATCH(C169,eq_code,0))),1,0)</f>
        <v>0.0</v>
      </c>
      <c r="X169" s="67">
        <f>IF(AND(W169=1,E169="Préventif"),1,0)</f>
        <v>0.0</v>
      </c>
      <c r="Y169" s="67">
        <f>IF(AND(ISNUMBER(N169),N(N169)&gt;0),N(N169),0)</f>
        <v>0.0</v>
      </c>
      <c r="Z169" s="67">
        <f>IF(AND(ISNUMBER(P169),N(P169)&gt;0),N(P169),0)</f>
        <v>0.0</v>
      </c>
    </row>
    <row r="170">
      <c r="A170" s="79" t="str">
        <f>IF(COUNTA(B170:C170,E170:G170,I170)=0,"","BI-"&amp;RIGHT("0000"&amp;(ROW()-5),4))</f>
        <v/>
      </c>
      <c r="B170" s="72" t="n"/>
      <c r="C170" s="66" t="n"/>
      <c r="D170" s="67" t="str">
        <f>IF(C170="","",IFERROR(INDEX(eq_des,MATCH(C170,eq_code,0))&amp;"","Équipement inconnu"))</f>
        <v/>
      </c>
      <c r="E170" s="68" t="n"/>
      <c r="F170" s="68" t="n"/>
      <c r="G170" s="66" t="n"/>
      <c r="H170" s="66" t="n"/>
      <c r="I170" s="68" t="n"/>
      <c r="J170" s="73" t="n"/>
      <c r="K170" s="71" t="n"/>
      <c r="L170" s="71" t="n"/>
      <c r="M170" s="66" t="n"/>
      <c r="N170" s="80" t="n"/>
      <c r="O170" s="81" t="str">
        <f>IF(A170="","",ROUND(V170*IFERROR(N(INDEX(tech_rate,MATCH(M170,tech_name,0))),0),2))</f>
        <v/>
      </c>
      <c r="P170" s="80" t="n"/>
      <c r="Q170" s="81" t="str">
        <f>IF(A170="","",ROUND(Y170+O170+Z170,2))</f>
        <v/>
      </c>
      <c r="R170" s="79" t="str">
        <f>IF(A170="","",IF(S170=0,"Date manquante ou invalide",IF(C170="","Équipement manquant",IF(ISNA(MATCH(C170,eq_code,0)),"Équipement inconnu",IF(E170="","Type manquant",IF(AND(E170&lt;&gt;"Préventif",E170&lt;&gt;"Correctif",E170&lt;&gt;"Amélioratif"),"Type inconnu",IF(I170="","Statut manquant",IF(AND(I170&lt;&gt;"Terminée",I170&lt;&gt;"En cours",I170&lt;&gt;"À faire",I170&lt;&gt;"Annulée"),"Statut inconnu",IF(AND(E170="Préventif",F170=""),"Plan manquant (préventif)",IF(AND(F170&lt;&gt;"",ISNA(MATCH(F170,pl_num,0))),"Plan inconnu",IF(AND(F170&lt;&gt;"",IFERROR(INDEX(pl_eq,MATCH(F170,pl_num,0))&amp;"",C170)&lt;&gt;C170),"Plan d'un autre équipement",IF(AND(J170&lt;&gt;"",OR(NOT(ISNUMBER(J170)),N(J170)&lt;0)),"Compteur invalide",IF(OR(AND(K170&lt;&gt;"",OR(NOT(ISNUMBER(K170)),N(K170)&lt;0)),AND(L170&lt;&gt;"",OR(NOT(ISNUMBER(L170)),N(L170)&lt;0))),"Durée invalide",IF(OR(AND(N170&lt;&gt;"",OR(NOT(ISNUMBER(N170)),N(N170)&lt;0)),AND(P170&lt;&gt;"",OR(NOT(ISNUMBER(P170)),N(P170)&lt;0))),"Coût invalide",IF(AND(M170&lt;&gt;"",ISNA(MATCH(M170,tech_name,0))),"Technicien inconnu",IF(AND(I170="Terminée",S170&gt;p_today),"Terminée à une date future",IF(AND(I170="Terminée",V170=0),"Durée d'intervention manquante",IF(AND(I170="Terminée",E170="Préventif",T170=0,OR(IFERROR(INDEX(pl_trig,MATCH(F170,pl_num,0))&amp;"","")="Compteur",IFERROR(INDEX(pl_trig,MATCH(F170,pl_num,0))&amp;"","")="Au premier des deux")),"Compteur manquant (plan au compteur)","OK"))))))))))))))))))</f>
        <v/>
      </c>
      <c r="S170" s="67">
        <f>IF(AND(ISNUMBER(B170),N(B170)&gt;0),INT(B170),0)</f>
        <v>0.0</v>
      </c>
      <c r="T170" s="67">
        <f>IF(AND(ISNUMBER(J170),N(J170)&gt;=0),N(J170),0)</f>
        <v>0.0</v>
      </c>
      <c r="U170" s="67">
        <f>IF(AND(ISNUMBER(K170),N(K170)&gt;0),N(K170),0)</f>
        <v>0.0</v>
      </c>
      <c r="V170" s="67">
        <f>IF(AND(ISNUMBER(L170),N(L170)&gt;0),N(L170),0)</f>
        <v>0.0</v>
      </c>
      <c r="W170" s="67">
        <f>IF(AND(I170="Terminée",S170&gt;0,C170&lt;&gt;"",ISNUMBER(MATCH(C170,eq_code,0))),1,0)</f>
        <v>0.0</v>
      </c>
      <c r="X170" s="67">
        <f>IF(AND(W170=1,E170="Préventif"),1,0)</f>
        <v>0.0</v>
      </c>
      <c r="Y170" s="67">
        <f>IF(AND(ISNUMBER(N170),N(N170)&gt;0),N(N170),0)</f>
        <v>0.0</v>
      </c>
      <c r="Z170" s="67">
        <f>IF(AND(ISNUMBER(P170),N(P170)&gt;0),N(P170),0)</f>
        <v>0.0</v>
      </c>
    </row>
    <row r="171">
      <c r="A171" s="79" t="str">
        <f>IF(COUNTA(B171:C171,E171:G171,I171)=0,"","BI-"&amp;RIGHT("0000"&amp;(ROW()-5),4))</f>
        <v/>
      </c>
      <c r="B171" s="72" t="n"/>
      <c r="C171" s="66" t="n"/>
      <c r="D171" s="67" t="str">
        <f>IF(C171="","",IFERROR(INDEX(eq_des,MATCH(C171,eq_code,0))&amp;"","Équipement inconnu"))</f>
        <v/>
      </c>
      <c r="E171" s="68" t="n"/>
      <c r="F171" s="68" t="n"/>
      <c r="G171" s="66" t="n"/>
      <c r="H171" s="66" t="n"/>
      <c r="I171" s="68" t="n"/>
      <c r="J171" s="73" t="n"/>
      <c r="K171" s="71" t="n"/>
      <c r="L171" s="71" t="n"/>
      <c r="M171" s="66" t="n"/>
      <c r="N171" s="80" t="n"/>
      <c r="O171" s="81" t="str">
        <f>IF(A171="","",ROUND(V171*IFERROR(N(INDEX(tech_rate,MATCH(M171,tech_name,0))),0),2))</f>
        <v/>
      </c>
      <c r="P171" s="80" t="n"/>
      <c r="Q171" s="81" t="str">
        <f>IF(A171="","",ROUND(Y171+O171+Z171,2))</f>
        <v/>
      </c>
      <c r="R171" s="79" t="str">
        <f>IF(A171="","",IF(S171=0,"Date manquante ou invalide",IF(C171="","Équipement manquant",IF(ISNA(MATCH(C171,eq_code,0)),"Équipement inconnu",IF(E171="","Type manquant",IF(AND(E171&lt;&gt;"Préventif",E171&lt;&gt;"Correctif",E171&lt;&gt;"Amélioratif"),"Type inconnu",IF(I171="","Statut manquant",IF(AND(I171&lt;&gt;"Terminée",I171&lt;&gt;"En cours",I171&lt;&gt;"À faire",I171&lt;&gt;"Annulée"),"Statut inconnu",IF(AND(E171="Préventif",F171=""),"Plan manquant (préventif)",IF(AND(F171&lt;&gt;"",ISNA(MATCH(F171,pl_num,0))),"Plan inconnu",IF(AND(F171&lt;&gt;"",IFERROR(INDEX(pl_eq,MATCH(F171,pl_num,0))&amp;"",C171)&lt;&gt;C171),"Plan d'un autre équipement",IF(AND(J171&lt;&gt;"",OR(NOT(ISNUMBER(J171)),N(J171)&lt;0)),"Compteur invalide",IF(OR(AND(K171&lt;&gt;"",OR(NOT(ISNUMBER(K171)),N(K171)&lt;0)),AND(L171&lt;&gt;"",OR(NOT(ISNUMBER(L171)),N(L171)&lt;0))),"Durée invalide",IF(OR(AND(N171&lt;&gt;"",OR(NOT(ISNUMBER(N171)),N(N171)&lt;0)),AND(P171&lt;&gt;"",OR(NOT(ISNUMBER(P171)),N(P171)&lt;0))),"Coût invalide",IF(AND(M171&lt;&gt;"",ISNA(MATCH(M171,tech_name,0))),"Technicien inconnu",IF(AND(I171="Terminée",S171&gt;p_today),"Terminée à une date future",IF(AND(I171="Terminée",V171=0),"Durée d'intervention manquante",IF(AND(I171="Terminée",E171="Préventif",T171=0,OR(IFERROR(INDEX(pl_trig,MATCH(F171,pl_num,0))&amp;"","")="Compteur",IFERROR(INDEX(pl_trig,MATCH(F171,pl_num,0))&amp;"","")="Au premier des deux")),"Compteur manquant (plan au compteur)","OK"))))))))))))))))))</f>
        <v/>
      </c>
      <c r="S171" s="67">
        <f>IF(AND(ISNUMBER(B171),N(B171)&gt;0),INT(B171),0)</f>
        <v>0.0</v>
      </c>
      <c r="T171" s="67">
        <f>IF(AND(ISNUMBER(J171),N(J171)&gt;=0),N(J171),0)</f>
        <v>0.0</v>
      </c>
      <c r="U171" s="67">
        <f>IF(AND(ISNUMBER(K171),N(K171)&gt;0),N(K171),0)</f>
        <v>0.0</v>
      </c>
      <c r="V171" s="67">
        <f>IF(AND(ISNUMBER(L171),N(L171)&gt;0),N(L171),0)</f>
        <v>0.0</v>
      </c>
      <c r="W171" s="67">
        <f>IF(AND(I171="Terminée",S171&gt;0,C171&lt;&gt;"",ISNUMBER(MATCH(C171,eq_code,0))),1,0)</f>
        <v>0.0</v>
      </c>
      <c r="X171" s="67">
        <f>IF(AND(W171=1,E171="Préventif"),1,0)</f>
        <v>0.0</v>
      </c>
      <c r="Y171" s="67">
        <f>IF(AND(ISNUMBER(N171),N(N171)&gt;0),N(N171),0)</f>
        <v>0.0</v>
      </c>
      <c r="Z171" s="67">
        <f>IF(AND(ISNUMBER(P171),N(P171)&gt;0),N(P171),0)</f>
        <v>0.0</v>
      </c>
    </row>
    <row r="172">
      <c r="A172" s="79" t="str">
        <f>IF(COUNTA(B172:C172,E172:G172,I172)=0,"","BI-"&amp;RIGHT("0000"&amp;(ROW()-5),4))</f>
        <v/>
      </c>
      <c r="B172" s="72" t="n"/>
      <c r="C172" s="66" t="n"/>
      <c r="D172" s="67" t="str">
        <f>IF(C172="","",IFERROR(INDEX(eq_des,MATCH(C172,eq_code,0))&amp;"","Équipement inconnu"))</f>
        <v/>
      </c>
      <c r="E172" s="68" t="n"/>
      <c r="F172" s="68" t="n"/>
      <c r="G172" s="66" t="n"/>
      <c r="H172" s="66" t="n"/>
      <c r="I172" s="68" t="n"/>
      <c r="J172" s="73" t="n"/>
      <c r="K172" s="71" t="n"/>
      <c r="L172" s="71" t="n"/>
      <c r="M172" s="66" t="n"/>
      <c r="N172" s="80" t="n"/>
      <c r="O172" s="81" t="str">
        <f>IF(A172="","",ROUND(V172*IFERROR(N(INDEX(tech_rate,MATCH(M172,tech_name,0))),0),2))</f>
        <v/>
      </c>
      <c r="P172" s="80" t="n"/>
      <c r="Q172" s="81" t="str">
        <f>IF(A172="","",ROUND(Y172+O172+Z172,2))</f>
        <v/>
      </c>
      <c r="R172" s="79" t="str">
        <f>IF(A172="","",IF(S172=0,"Date manquante ou invalide",IF(C172="","Équipement manquant",IF(ISNA(MATCH(C172,eq_code,0)),"Équipement inconnu",IF(E172="","Type manquant",IF(AND(E172&lt;&gt;"Préventif",E172&lt;&gt;"Correctif",E172&lt;&gt;"Amélioratif"),"Type inconnu",IF(I172="","Statut manquant",IF(AND(I172&lt;&gt;"Terminée",I172&lt;&gt;"En cours",I172&lt;&gt;"À faire",I172&lt;&gt;"Annulée"),"Statut inconnu",IF(AND(E172="Préventif",F172=""),"Plan manquant (préventif)",IF(AND(F172&lt;&gt;"",ISNA(MATCH(F172,pl_num,0))),"Plan inconnu",IF(AND(F172&lt;&gt;"",IFERROR(INDEX(pl_eq,MATCH(F172,pl_num,0))&amp;"",C172)&lt;&gt;C172),"Plan d'un autre équipement",IF(AND(J172&lt;&gt;"",OR(NOT(ISNUMBER(J172)),N(J172)&lt;0)),"Compteur invalide",IF(OR(AND(K172&lt;&gt;"",OR(NOT(ISNUMBER(K172)),N(K172)&lt;0)),AND(L172&lt;&gt;"",OR(NOT(ISNUMBER(L172)),N(L172)&lt;0))),"Durée invalide",IF(OR(AND(N172&lt;&gt;"",OR(NOT(ISNUMBER(N172)),N(N172)&lt;0)),AND(P172&lt;&gt;"",OR(NOT(ISNUMBER(P172)),N(P172)&lt;0))),"Coût invalide",IF(AND(M172&lt;&gt;"",ISNA(MATCH(M172,tech_name,0))),"Technicien inconnu",IF(AND(I172="Terminée",S172&gt;p_today),"Terminée à une date future",IF(AND(I172="Terminée",V172=0),"Durée d'intervention manquante",IF(AND(I172="Terminée",E172="Préventif",T172=0,OR(IFERROR(INDEX(pl_trig,MATCH(F172,pl_num,0))&amp;"","")="Compteur",IFERROR(INDEX(pl_trig,MATCH(F172,pl_num,0))&amp;"","")="Au premier des deux")),"Compteur manquant (plan au compteur)","OK"))))))))))))))))))</f>
        <v/>
      </c>
      <c r="S172" s="67">
        <f>IF(AND(ISNUMBER(B172),N(B172)&gt;0),INT(B172),0)</f>
        <v>0.0</v>
      </c>
      <c r="T172" s="67">
        <f>IF(AND(ISNUMBER(J172),N(J172)&gt;=0),N(J172),0)</f>
        <v>0.0</v>
      </c>
      <c r="U172" s="67">
        <f>IF(AND(ISNUMBER(K172),N(K172)&gt;0),N(K172),0)</f>
        <v>0.0</v>
      </c>
      <c r="V172" s="67">
        <f>IF(AND(ISNUMBER(L172),N(L172)&gt;0),N(L172),0)</f>
        <v>0.0</v>
      </c>
      <c r="W172" s="67">
        <f>IF(AND(I172="Terminée",S172&gt;0,C172&lt;&gt;"",ISNUMBER(MATCH(C172,eq_code,0))),1,0)</f>
        <v>0.0</v>
      </c>
      <c r="X172" s="67">
        <f>IF(AND(W172=1,E172="Préventif"),1,0)</f>
        <v>0.0</v>
      </c>
      <c r="Y172" s="67">
        <f>IF(AND(ISNUMBER(N172),N(N172)&gt;0),N(N172),0)</f>
        <v>0.0</v>
      </c>
      <c r="Z172" s="67">
        <f>IF(AND(ISNUMBER(P172),N(P172)&gt;0),N(P172),0)</f>
        <v>0.0</v>
      </c>
    </row>
    <row r="173">
      <c r="A173" s="79" t="str">
        <f>IF(COUNTA(B173:C173,E173:G173,I173)=0,"","BI-"&amp;RIGHT("0000"&amp;(ROW()-5),4))</f>
        <v/>
      </c>
      <c r="B173" s="72" t="n"/>
      <c r="C173" s="66" t="n"/>
      <c r="D173" s="67" t="str">
        <f>IF(C173="","",IFERROR(INDEX(eq_des,MATCH(C173,eq_code,0))&amp;"","Équipement inconnu"))</f>
        <v/>
      </c>
      <c r="E173" s="68" t="n"/>
      <c r="F173" s="68" t="n"/>
      <c r="G173" s="66" t="n"/>
      <c r="H173" s="66" t="n"/>
      <c r="I173" s="68" t="n"/>
      <c r="J173" s="73" t="n"/>
      <c r="K173" s="71" t="n"/>
      <c r="L173" s="71" t="n"/>
      <c r="M173" s="66" t="n"/>
      <c r="N173" s="80" t="n"/>
      <c r="O173" s="81" t="str">
        <f>IF(A173="","",ROUND(V173*IFERROR(N(INDEX(tech_rate,MATCH(M173,tech_name,0))),0),2))</f>
        <v/>
      </c>
      <c r="P173" s="80" t="n"/>
      <c r="Q173" s="81" t="str">
        <f>IF(A173="","",ROUND(Y173+O173+Z173,2))</f>
        <v/>
      </c>
      <c r="R173" s="79" t="str">
        <f>IF(A173="","",IF(S173=0,"Date manquante ou invalide",IF(C173="","Équipement manquant",IF(ISNA(MATCH(C173,eq_code,0)),"Équipement inconnu",IF(E173="","Type manquant",IF(AND(E173&lt;&gt;"Préventif",E173&lt;&gt;"Correctif",E173&lt;&gt;"Amélioratif"),"Type inconnu",IF(I173="","Statut manquant",IF(AND(I173&lt;&gt;"Terminée",I173&lt;&gt;"En cours",I173&lt;&gt;"À faire",I173&lt;&gt;"Annulée"),"Statut inconnu",IF(AND(E173="Préventif",F173=""),"Plan manquant (préventif)",IF(AND(F173&lt;&gt;"",ISNA(MATCH(F173,pl_num,0))),"Plan inconnu",IF(AND(F173&lt;&gt;"",IFERROR(INDEX(pl_eq,MATCH(F173,pl_num,0))&amp;"",C173)&lt;&gt;C173),"Plan d'un autre équipement",IF(AND(J173&lt;&gt;"",OR(NOT(ISNUMBER(J173)),N(J173)&lt;0)),"Compteur invalide",IF(OR(AND(K173&lt;&gt;"",OR(NOT(ISNUMBER(K173)),N(K173)&lt;0)),AND(L173&lt;&gt;"",OR(NOT(ISNUMBER(L173)),N(L173)&lt;0))),"Durée invalide",IF(OR(AND(N173&lt;&gt;"",OR(NOT(ISNUMBER(N173)),N(N173)&lt;0)),AND(P173&lt;&gt;"",OR(NOT(ISNUMBER(P173)),N(P173)&lt;0))),"Coût invalide",IF(AND(M173&lt;&gt;"",ISNA(MATCH(M173,tech_name,0))),"Technicien inconnu",IF(AND(I173="Terminée",S173&gt;p_today),"Terminée à une date future",IF(AND(I173="Terminée",V173=0),"Durée d'intervention manquante",IF(AND(I173="Terminée",E173="Préventif",T173=0,OR(IFERROR(INDEX(pl_trig,MATCH(F173,pl_num,0))&amp;"","")="Compteur",IFERROR(INDEX(pl_trig,MATCH(F173,pl_num,0))&amp;"","")="Au premier des deux")),"Compteur manquant (plan au compteur)","OK"))))))))))))))))))</f>
        <v/>
      </c>
      <c r="S173" s="67">
        <f>IF(AND(ISNUMBER(B173),N(B173)&gt;0),INT(B173),0)</f>
        <v>0.0</v>
      </c>
      <c r="T173" s="67">
        <f>IF(AND(ISNUMBER(J173),N(J173)&gt;=0),N(J173),0)</f>
        <v>0.0</v>
      </c>
      <c r="U173" s="67">
        <f>IF(AND(ISNUMBER(K173),N(K173)&gt;0),N(K173),0)</f>
        <v>0.0</v>
      </c>
      <c r="V173" s="67">
        <f>IF(AND(ISNUMBER(L173),N(L173)&gt;0),N(L173),0)</f>
        <v>0.0</v>
      </c>
      <c r="W173" s="67">
        <f>IF(AND(I173="Terminée",S173&gt;0,C173&lt;&gt;"",ISNUMBER(MATCH(C173,eq_code,0))),1,0)</f>
        <v>0.0</v>
      </c>
      <c r="X173" s="67">
        <f>IF(AND(W173=1,E173="Préventif"),1,0)</f>
        <v>0.0</v>
      </c>
      <c r="Y173" s="67">
        <f>IF(AND(ISNUMBER(N173),N(N173)&gt;0),N(N173),0)</f>
        <v>0.0</v>
      </c>
      <c r="Z173" s="67">
        <f>IF(AND(ISNUMBER(P173),N(P173)&gt;0),N(P173),0)</f>
        <v>0.0</v>
      </c>
    </row>
    <row r="174">
      <c r="A174" s="79" t="str">
        <f>IF(COUNTA(B174:C174,E174:G174,I174)=0,"","BI-"&amp;RIGHT("0000"&amp;(ROW()-5),4))</f>
        <v/>
      </c>
      <c r="B174" s="72" t="n"/>
      <c r="C174" s="66" t="n"/>
      <c r="D174" s="67" t="str">
        <f>IF(C174="","",IFERROR(INDEX(eq_des,MATCH(C174,eq_code,0))&amp;"","Équipement inconnu"))</f>
        <v/>
      </c>
      <c r="E174" s="68" t="n"/>
      <c r="F174" s="68" t="n"/>
      <c r="G174" s="66" t="n"/>
      <c r="H174" s="66" t="n"/>
      <c r="I174" s="68" t="n"/>
      <c r="J174" s="73" t="n"/>
      <c r="K174" s="71" t="n"/>
      <c r="L174" s="71" t="n"/>
      <c r="M174" s="66" t="n"/>
      <c r="N174" s="80" t="n"/>
      <c r="O174" s="81" t="str">
        <f>IF(A174="","",ROUND(V174*IFERROR(N(INDEX(tech_rate,MATCH(M174,tech_name,0))),0),2))</f>
        <v/>
      </c>
      <c r="P174" s="80" t="n"/>
      <c r="Q174" s="81" t="str">
        <f>IF(A174="","",ROUND(Y174+O174+Z174,2))</f>
        <v/>
      </c>
      <c r="R174" s="79" t="str">
        <f>IF(A174="","",IF(S174=0,"Date manquante ou invalide",IF(C174="","Équipement manquant",IF(ISNA(MATCH(C174,eq_code,0)),"Équipement inconnu",IF(E174="","Type manquant",IF(AND(E174&lt;&gt;"Préventif",E174&lt;&gt;"Correctif",E174&lt;&gt;"Amélioratif"),"Type inconnu",IF(I174="","Statut manquant",IF(AND(I174&lt;&gt;"Terminée",I174&lt;&gt;"En cours",I174&lt;&gt;"À faire",I174&lt;&gt;"Annulée"),"Statut inconnu",IF(AND(E174="Préventif",F174=""),"Plan manquant (préventif)",IF(AND(F174&lt;&gt;"",ISNA(MATCH(F174,pl_num,0))),"Plan inconnu",IF(AND(F174&lt;&gt;"",IFERROR(INDEX(pl_eq,MATCH(F174,pl_num,0))&amp;"",C174)&lt;&gt;C174),"Plan d'un autre équipement",IF(AND(J174&lt;&gt;"",OR(NOT(ISNUMBER(J174)),N(J174)&lt;0)),"Compteur invalide",IF(OR(AND(K174&lt;&gt;"",OR(NOT(ISNUMBER(K174)),N(K174)&lt;0)),AND(L174&lt;&gt;"",OR(NOT(ISNUMBER(L174)),N(L174)&lt;0))),"Durée invalide",IF(OR(AND(N174&lt;&gt;"",OR(NOT(ISNUMBER(N174)),N(N174)&lt;0)),AND(P174&lt;&gt;"",OR(NOT(ISNUMBER(P174)),N(P174)&lt;0))),"Coût invalide",IF(AND(M174&lt;&gt;"",ISNA(MATCH(M174,tech_name,0))),"Technicien inconnu",IF(AND(I174="Terminée",S174&gt;p_today),"Terminée à une date future",IF(AND(I174="Terminée",V174=0),"Durée d'intervention manquante",IF(AND(I174="Terminée",E174="Préventif",T174=0,OR(IFERROR(INDEX(pl_trig,MATCH(F174,pl_num,0))&amp;"","")="Compteur",IFERROR(INDEX(pl_trig,MATCH(F174,pl_num,0))&amp;"","")="Au premier des deux")),"Compteur manquant (plan au compteur)","OK"))))))))))))))))))</f>
        <v/>
      </c>
      <c r="S174" s="67">
        <f>IF(AND(ISNUMBER(B174),N(B174)&gt;0),INT(B174),0)</f>
        <v>0.0</v>
      </c>
      <c r="T174" s="67">
        <f>IF(AND(ISNUMBER(J174),N(J174)&gt;=0),N(J174),0)</f>
        <v>0.0</v>
      </c>
      <c r="U174" s="67">
        <f>IF(AND(ISNUMBER(K174),N(K174)&gt;0),N(K174),0)</f>
        <v>0.0</v>
      </c>
      <c r="V174" s="67">
        <f>IF(AND(ISNUMBER(L174),N(L174)&gt;0),N(L174),0)</f>
        <v>0.0</v>
      </c>
      <c r="W174" s="67">
        <f>IF(AND(I174="Terminée",S174&gt;0,C174&lt;&gt;"",ISNUMBER(MATCH(C174,eq_code,0))),1,0)</f>
        <v>0.0</v>
      </c>
      <c r="X174" s="67">
        <f>IF(AND(W174=1,E174="Préventif"),1,0)</f>
        <v>0.0</v>
      </c>
      <c r="Y174" s="67">
        <f>IF(AND(ISNUMBER(N174),N(N174)&gt;0),N(N174),0)</f>
        <v>0.0</v>
      </c>
      <c r="Z174" s="67">
        <f>IF(AND(ISNUMBER(P174),N(P174)&gt;0),N(P174),0)</f>
        <v>0.0</v>
      </c>
    </row>
    <row r="175">
      <c r="A175" s="79" t="str">
        <f>IF(COUNTA(B175:C175,E175:G175,I175)=0,"","BI-"&amp;RIGHT("0000"&amp;(ROW()-5),4))</f>
        <v/>
      </c>
      <c r="B175" s="72" t="n"/>
      <c r="C175" s="66" t="n"/>
      <c r="D175" s="67" t="str">
        <f>IF(C175="","",IFERROR(INDEX(eq_des,MATCH(C175,eq_code,0))&amp;"","Équipement inconnu"))</f>
        <v/>
      </c>
      <c r="E175" s="68" t="n"/>
      <c r="F175" s="68" t="n"/>
      <c r="G175" s="66" t="n"/>
      <c r="H175" s="66" t="n"/>
      <c r="I175" s="68" t="n"/>
      <c r="J175" s="73" t="n"/>
      <c r="K175" s="71" t="n"/>
      <c r="L175" s="71" t="n"/>
      <c r="M175" s="66" t="n"/>
      <c r="N175" s="80" t="n"/>
      <c r="O175" s="81" t="str">
        <f>IF(A175="","",ROUND(V175*IFERROR(N(INDEX(tech_rate,MATCH(M175,tech_name,0))),0),2))</f>
        <v/>
      </c>
      <c r="P175" s="80" t="n"/>
      <c r="Q175" s="81" t="str">
        <f>IF(A175="","",ROUND(Y175+O175+Z175,2))</f>
        <v/>
      </c>
      <c r="R175" s="79" t="str">
        <f>IF(A175="","",IF(S175=0,"Date manquante ou invalide",IF(C175="","Équipement manquant",IF(ISNA(MATCH(C175,eq_code,0)),"Équipement inconnu",IF(E175="","Type manquant",IF(AND(E175&lt;&gt;"Préventif",E175&lt;&gt;"Correctif",E175&lt;&gt;"Amélioratif"),"Type inconnu",IF(I175="","Statut manquant",IF(AND(I175&lt;&gt;"Terminée",I175&lt;&gt;"En cours",I175&lt;&gt;"À faire",I175&lt;&gt;"Annulée"),"Statut inconnu",IF(AND(E175="Préventif",F175=""),"Plan manquant (préventif)",IF(AND(F175&lt;&gt;"",ISNA(MATCH(F175,pl_num,0))),"Plan inconnu",IF(AND(F175&lt;&gt;"",IFERROR(INDEX(pl_eq,MATCH(F175,pl_num,0))&amp;"",C175)&lt;&gt;C175),"Plan d'un autre équipement",IF(AND(J175&lt;&gt;"",OR(NOT(ISNUMBER(J175)),N(J175)&lt;0)),"Compteur invalide",IF(OR(AND(K175&lt;&gt;"",OR(NOT(ISNUMBER(K175)),N(K175)&lt;0)),AND(L175&lt;&gt;"",OR(NOT(ISNUMBER(L175)),N(L175)&lt;0))),"Durée invalide",IF(OR(AND(N175&lt;&gt;"",OR(NOT(ISNUMBER(N175)),N(N175)&lt;0)),AND(P175&lt;&gt;"",OR(NOT(ISNUMBER(P175)),N(P175)&lt;0))),"Coût invalide",IF(AND(M175&lt;&gt;"",ISNA(MATCH(M175,tech_name,0))),"Technicien inconnu",IF(AND(I175="Terminée",S175&gt;p_today),"Terminée à une date future",IF(AND(I175="Terminée",V175=0),"Durée d'intervention manquante",IF(AND(I175="Terminée",E175="Préventif",T175=0,OR(IFERROR(INDEX(pl_trig,MATCH(F175,pl_num,0))&amp;"","")="Compteur",IFERROR(INDEX(pl_trig,MATCH(F175,pl_num,0))&amp;"","")="Au premier des deux")),"Compteur manquant (plan au compteur)","OK"))))))))))))))))))</f>
        <v/>
      </c>
      <c r="S175" s="67">
        <f>IF(AND(ISNUMBER(B175),N(B175)&gt;0),INT(B175),0)</f>
        <v>0.0</v>
      </c>
      <c r="T175" s="67">
        <f>IF(AND(ISNUMBER(J175),N(J175)&gt;=0),N(J175),0)</f>
        <v>0.0</v>
      </c>
      <c r="U175" s="67">
        <f>IF(AND(ISNUMBER(K175),N(K175)&gt;0),N(K175),0)</f>
        <v>0.0</v>
      </c>
      <c r="V175" s="67">
        <f>IF(AND(ISNUMBER(L175),N(L175)&gt;0),N(L175),0)</f>
        <v>0.0</v>
      </c>
      <c r="W175" s="67">
        <f>IF(AND(I175="Terminée",S175&gt;0,C175&lt;&gt;"",ISNUMBER(MATCH(C175,eq_code,0))),1,0)</f>
        <v>0.0</v>
      </c>
      <c r="X175" s="67">
        <f>IF(AND(W175=1,E175="Préventif"),1,0)</f>
        <v>0.0</v>
      </c>
      <c r="Y175" s="67">
        <f>IF(AND(ISNUMBER(N175),N(N175)&gt;0),N(N175),0)</f>
        <v>0.0</v>
      </c>
      <c r="Z175" s="67">
        <f>IF(AND(ISNUMBER(P175),N(P175)&gt;0),N(P175),0)</f>
        <v>0.0</v>
      </c>
    </row>
    <row r="176">
      <c r="A176" s="79" t="str">
        <f>IF(COUNTA(B176:C176,E176:G176,I176)=0,"","BI-"&amp;RIGHT("0000"&amp;(ROW()-5),4))</f>
        <v/>
      </c>
      <c r="B176" s="72" t="n"/>
      <c r="C176" s="66" t="n"/>
      <c r="D176" s="67" t="str">
        <f>IF(C176="","",IFERROR(INDEX(eq_des,MATCH(C176,eq_code,0))&amp;"","Équipement inconnu"))</f>
        <v/>
      </c>
      <c r="E176" s="68" t="n"/>
      <c r="F176" s="68" t="n"/>
      <c r="G176" s="66" t="n"/>
      <c r="H176" s="66" t="n"/>
      <c r="I176" s="68" t="n"/>
      <c r="J176" s="73" t="n"/>
      <c r="K176" s="71" t="n"/>
      <c r="L176" s="71" t="n"/>
      <c r="M176" s="66" t="n"/>
      <c r="N176" s="80" t="n"/>
      <c r="O176" s="81" t="str">
        <f>IF(A176="","",ROUND(V176*IFERROR(N(INDEX(tech_rate,MATCH(M176,tech_name,0))),0),2))</f>
        <v/>
      </c>
      <c r="P176" s="80" t="n"/>
      <c r="Q176" s="81" t="str">
        <f>IF(A176="","",ROUND(Y176+O176+Z176,2))</f>
        <v/>
      </c>
      <c r="R176" s="79" t="str">
        <f>IF(A176="","",IF(S176=0,"Date manquante ou invalide",IF(C176="","Équipement manquant",IF(ISNA(MATCH(C176,eq_code,0)),"Équipement inconnu",IF(E176="","Type manquant",IF(AND(E176&lt;&gt;"Préventif",E176&lt;&gt;"Correctif",E176&lt;&gt;"Amélioratif"),"Type inconnu",IF(I176="","Statut manquant",IF(AND(I176&lt;&gt;"Terminée",I176&lt;&gt;"En cours",I176&lt;&gt;"À faire",I176&lt;&gt;"Annulée"),"Statut inconnu",IF(AND(E176="Préventif",F176=""),"Plan manquant (préventif)",IF(AND(F176&lt;&gt;"",ISNA(MATCH(F176,pl_num,0))),"Plan inconnu",IF(AND(F176&lt;&gt;"",IFERROR(INDEX(pl_eq,MATCH(F176,pl_num,0))&amp;"",C176)&lt;&gt;C176),"Plan d'un autre équipement",IF(AND(J176&lt;&gt;"",OR(NOT(ISNUMBER(J176)),N(J176)&lt;0)),"Compteur invalide",IF(OR(AND(K176&lt;&gt;"",OR(NOT(ISNUMBER(K176)),N(K176)&lt;0)),AND(L176&lt;&gt;"",OR(NOT(ISNUMBER(L176)),N(L176)&lt;0))),"Durée invalide",IF(OR(AND(N176&lt;&gt;"",OR(NOT(ISNUMBER(N176)),N(N176)&lt;0)),AND(P176&lt;&gt;"",OR(NOT(ISNUMBER(P176)),N(P176)&lt;0))),"Coût invalide",IF(AND(M176&lt;&gt;"",ISNA(MATCH(M176,tech_name,0))),"Technicien inconnu",IF(AND(I176="Terminée",S176&gt;p_today),"Terminée à une date future",IF(AND(I176="Terminée",V176=0),"Durée d'intervention manquante",IF(AND(I176="Terminée",E176="Préventif",T176=0,OR(IFERROR(INDEX(pl_trig,MATCH(F176,pl_num,0))&amp;"","")="Compteur",IFERROR(INDEX(pl_trig,MATCH(F176,pl_num,0))&amp;"","")="Au premier des deux")),"Compteur manquant (plan au compteur)","OK"))))))))))))))))))</f>
        <v/>
      </c>
      <c r="S176" s="67">
        <f>IF(AND(ISNUMBER(B176),N(B176)&gt;0),INT(B176),0)</f>
        <v>0.0</v>
      </c>
      <c r="T176" s="67">
        <f>IF(AND(ISNUMBER(J176),N(J176)&gt;=0),N(J176),0)</f>
        <v>0.0</v>
      </c>
      <c r="U176" s="67">
        <f>IF(AND(ISNUMBER(K176),N(K176)&gt;0),N(K176),0)</f>
        <v>0.0</v>
      </c>
      <c r="V176" s="67">
        <f>IF(AND(ISNUMBER(L176),N(L176)&gt;0),N(L176),0)</f>
        <v>0.0</v>
      </c>
      <c r="W176" s="67">
        <f>IF(AND(I176="Terminée",S176&gt;0,C176&lt;&gt;"",ISNUMBER(MATCH(C176,eq_code,0))),1,0)</f>
        <v>0.0</v>
      </c>
      <c r="X176" s="67">
        <f>IF(AND(W176=1,E176="Préventif"),1,0)</f>
        <v>0.0</v>
      </c>
      <c r="Y176" s="67">
        <f>IF(AND(ISNUMBER(N176),N(N176)&gt;0),N(N176),0)</f>
        <v>0.0</v>
      </c>
      <c r="Z176" s="67">
        <f>IF(AND(ISNUMBER(P176),N(P176)&gt;0),N(P176),0)</f>
        <v>0.0</v>
      </c>
    </row>
    <row r="177">
      <c r="A177" s="79" t="str">
        <f>IF(COUNTA(B177:C177,E177:G177,I177)=0,"","BI-"&amp;RIGHT("0000"&amp;(ROW()-5),4))</f>
        <v/>
      </c>
      <c r="B177" s="72" t="n"/>
      <c r="C177" s="66" t="n"/>
      <c r="D177" s="67" t="str">
        <f>IF(C177="","",IFERROR(INDEX(eq_des,MATCH(C177,eq_code,0))&amp;"","Équipement inconnu"))</f>
        <v/>
      </c>
      <c r="E177" s="68" t="n"/>
      <c r="F177" s="68" t="n"/>
      <c r="G177" s="66" t="n"/>
      <c r="H177" s="66" t="n"/>
      <c r="I177" s="68" t="n"/>
      <c r="J177" s="73" t="n"/>
      <c r="K177" s="71" t="n"/>
      <c r="L177" s="71" t="n"/>
      <c r="M177" s="66" t="n"/>
      <c r="N177" s="80" t="n"/>
      <c r="O177" s="81" t="str">
        <f>IF(A177="","",ROUND(V177*IFERROR(N(INDEX(tech_rate,MATCH(M177,tech_name,0))),0),2))</f>
        <v/>
      </c>
      <c r="P177" s="80" t="n"/>
      <c r="Q177" s="81" t="str">
        <f>IF(A177="","",ROUND(Y177+O177+Z177,2))</f>
        <v/>
      </c>
      <c r="R177" s="79" t="str">
        <f>IF(A177="","",IF(S177=0,"Date manquante ou invalide",IF(C177="","Équipement manquant",IF(ISNA(MATCH(C177,eq_code,0)),"Équipement inconnu",IF(E177="","Type manquant",IF(AND(E177&lt;&gt;"Préventif",E177&lt;&gt;"Correctif",E177&lt;&gt;"Amélioratif"),"Type inconnu",IF(I177="","Statut manquant",IF(AND(I177&lt;&gt;"Terminée",I177&lt;&gt;"En cours",I177&lt;&gt;"À faire",I177&lt;&gt;"Annulée"),"Statut inconnu",IF(AND(E177="Préventif",F177=""),"Plan manquant (préventif)",IF(AND(F177&lt;&gt;"",ISNA(MATCH(F177,pl_num,0))),"Plan inconnu",IF(AND(F177&lt;&gt;"",IFERROR(INDEX(pl_eq,MATCH(F177,pl_num,0))&amp;"",C177)&lt;&gt;C177),"Plan d'un autre équipement",IF(AND(J177&lt;&gt;"",OR(NOT(ISNUMBER(J177)),N(J177)&lt;0)),"Compteur invalide",IF(OR(AND(K177&lt;&gt;"",OR(NOT(ISNUMBER(K177)),N(K177)&lt;0)),AND(L177&lt;&gt;"",OR(NOT(ISNUMBER(L177)),N(L177)&lt;0))),"Durée invalide",IF(OR(AND(N177&lt;&gt;"",OR(NOT(ISNUMBER(N177)),N(N177)&lt;0)),AND(P177&lt;&gt;"",OR(NOT(ISNUMBER(P177)),N(P177)&lt;0))),"Coût invalide",IF(AND(M177&lt;&gt;"",ISNA(MATCH(M177,tech_name,0))),"Technicien inconnu",IF(AND(I177="Terminée",S177&gt;p_today),"Terminée à une date future",IF(AND(I177="Terminée",V177=0),"Durée d'intervention manquante",IF(AND(I177="Terminée",E177="Préventif",T177=0,OR(IFERROR(INDEX(pl_trig,MATCH(F177,pl_num,0))&amp;"","")="Compteur",IFERROR(INDEX(pl_trig,MATCH(F177,pl_num,0))&amp;"","")="Au premier des deux")),"Compteur manquant (plan au compteur)","OK"))))))))))))))))))</f>
        <v/>
      </c>
      <c r="S177" s="67">
        <f>IF(AND(ISNUMBER(B177),N(B177)&gt;0),INT(B177),0)</f>
        <v>0.0</v>
      </c>
      <c r="T177" s="67">
        <f>IF(AND(ISNUMBER(J177),N(J177)&gt;=0),N(J177),0)</f>
        <v>0.0</v>
      </c>
      <c r="U177" s="67">
        <f>IF(AND(ISNUMBER(K177),N(K177)&gt;0),N(K177),0)</f>
        <v>0.0</v>
      </c>
      <c r="V177" s="67">
        <f>IF(AND(ISNUMBER(L177),N(L177)&gt;0),N(L177),0)</f>
        <v>0.0</v>
      </c>
      <c r="W177" s="67">
        <f>IF(AND(I177="Terminée",S177&gt;0,C177&lt;&gt;"",ISNUMBER(MATCH(C177,eq_code,0))),1,0)</f>
        <v>0.0</v>
      </c>
      <c r="X177" s="67">
        <f>IF(AND(W177=1,E177="Préventif"),1,0)</f>
        <v>0.0</v>
      </c>
      <c r="Y177" s="67">
        <f>IF(AND(ISNUMBER(N177),N(N177)&gt;0),N(N177),0)</f>
        <v>0.0</v>
      </c>
      <c r="Z177" s="67">
        <f>IF(AND(ISNUMBER(P177),N(P177)&gt;0),N(P177),0)</f>
        <v>0.0</v>
      </c>
    </row>
    <row r="178">
      <c r="A178" s="79" t="str">
        <f>IF(COUNTA(B178:C178,E178:G178,I178)=0,"","BI-"&amp;RIGHT("0000"&amp;(ROW()-5),4))</f>
        <v/>
      </c>
      <c r="B178" s="72" t="n"/>
      <c r="C178" s="66" t="n"/>
      <c r="D178" s="67" t="str">
        <f>IF(C178="","",IFERROR(INDEX(eq_des,MATCH(C178,eq_code,0))&amp;"","Équipement inconnu"))</f>
        <v/>
      </c>
      <c r="E178" s="68" t="n"/>
      <c r="F178" s="68" t="n"/>
      <c r="G178" s="66" t="n"/>
      <c r="H178" s="66" t="n"/>
      <c r="I178" s="68" t="n"/>
      <c r="J178" s="73" t="n"/>
      <c r="K178" s="71" t="n"/>
      <c r="L178" s="71" t="n"/>
      <c r="M178" s="66" t="n"/>
      <c r="N178" s="80" t="n"/>
      <c r="O178" s="81" t="str">
        <f>IF(A178="","",ROUND(V178*IFERROR(N(INDEX(tech_rate,MATCH(M178,tech_name,0))),0),2))</f>
        <v/>
      </c>
      <c r="P178" s="80" t="n"/>
      <c r="Q178" s="81" t="str">
        <f>IF(A178="","",ROUND(Y178+O178+Z178,2))</f>
        <v/>
      </c>
      <c r="R178" s="79" t="str">
        <f>IF(A178="","",IF(S178=0,"Date manquante ou invalide",IF(C178="","Équipement manquant",IF(ISNA(MATCH(C178,eq_code,0)),"Équipement inconnu",IF(E178="","Type manquant",IF(AND(E178&lt;&gt;"Préventif",E178&lt;&gt;"Correctif",E178&lt;&gt;"Amélioratif"),"Type inconnu",IF(I178="","Statut manquant",IF(AND(I178&lt;&gt;"Terminée",I178&lt;&gt;"En cours",I178&lt;&gt;"À faire",I178&lt;&gt;"Annulée"),"Statut inconnu",IF(AND(E178="Préventif",F178=""),"Plan manquant (préventif)",IF(AND(F178&lt;&gt;"",ISNA(MATCH(F178,pl_num,0))),"Plan inconnu",IF(AND(F178&lt;&gt;"",IFERROR(INDEX(pl_eq,MATCH(F178,pl_num,0))&amp;"",C178)&lt;&gt;C178),"Plan d'un autre équipement",IF(AND(J178&lt;&gt;"",OR(NOT(ISNUMBER(J178)),N(J178)&lt;0)),"Compteur invalide",IF(OR(AND(K178&lt;&gt;"",OR(NOT(ISNUMBER(K178)),N(K178)&lt;0)),AND(L178&lt;&gt;"",OR(NOT(ISNUMBER(L178)),N(L178)&lt;0))),"Durée invalide",IF(OR(AND(N178&lt;&gt;"",OR(NOT(ISNUMBER(N178)),N(N178)&lt;0)),AND(P178&lt;&gt;"",OR(NOT(ISNUMBER(P178)),N(P178)&lt;0))),"Coût invalide",IF(AND(M178&lt;&gt;"",ISNA(MATCH(M178,tech_name,0))),"Technicien inconnu",IF(AND(I178="Terminée",S178&gt;p_today),"Terminée à une date future",IF(AND(I178="Terminée",V178=0),"Durée d'intervention manquante",IF(AND(I178="Terminée",E178="Préventif",T178=0,OR(IFERROR(INDEX(pl_trig,MATCH(F178,pl_num,0))&amp;"","")="Compteur",IFERROR(INDEX(pl_trig,MATCH(F178,pl_num,0))&amp;"","")="Au premier des deux")),"Compteur manquant (plan au compteur)","OK"))))))))))))))))))</f>
        <v/>
      </c>
      <c r="S178" s="67">
        <f>IF(AND(ISNUMBER(B178),N(B178)&gt;0),INT(B178),0)</f>
        <v>0.0</v>
      </c>
      <c r="T178" s="67">
        <f>IF(AND(ISNUMBER(J178),N(J178)&gt;=0),N(J178),0)</f>
        <v>0.0</v>
      </c>
      <c r="U178" s="67">
        <f>IF(AND(ISNUMBER(K178),N(K178)&gt;0),N(K178),0)</f>
        <v>0.0</v>
      </c>
      <c r="V178" s="67">
        <f>IF(AND(ISNUMBER(L178),N(L178)&gt;0),N(L178),0)</f>
        <v>0.0</v>
      </c>
      <c r="W178" s="67">
        <f>IF(AND(I178="Terminée",S178&gt;0,C178&lt;&gt;"",ISNUMBER(MATCH(C178,eq_code,0))),1,0)</f>
        <v>0.0</v>
      </c>
      <c r="X178" s="67">
        <f>IF(AND(W178=1,E178="Préventif"),1,0)</f>
        <v>0.0</v>
      </c>
      <c r="Y178" s="67">
        <f>IF(AND(ISNUMBER(N178),N(N178)&gt;0),N(N178),0)</f>
        <v>0.0</v>
      </c>
      <c r="Z178" s="67">
        <f>IF(AND(ISNUMBER(P178),N(P178)&gt;0),N(P178),0)</f>
        <v>0.0</v>
      </c>
    </row>
    <row r="179">
      <c r="A179" s="79" t="str">
        <f>IF(COUNTA(B179:C179,E179:G179,I179)=0,"","BI-"&amp;RIGHT("0000"&amp;(ROW()-5),4))</f>
        <v/>
      </c>
      <c r="B179" s="72" t="n"/>
      <c r="C179" s="66" t="n"/>
      <c r="D179" s="67" t="str">
        <f>IF(C179="","",IFERROR(INDEX(eq_des,MATCH(C179,eq_code,0))&amp;"","Équipement inconnu"))</f>
        <v/>
      </c>
      <c r="E179" s="68" t="n"/>
      <c r="F179" s="68" t="n"/>
      <c r="G179" s="66" t="n"/>
      <c r="H179" s="66" t="n"/>
      <c r="I179" s="68" t="n"/>
      <c r="J179" s="73" t="n"/>
      <c r="K179" s="71" t="n"/>
      <c r="L179" s="71" t="n"/>
      <c r="M179" s="66" t="n"/>
      <c r="N179" s="80" t="n"/>
      <c r="O179" s="81" t="str">
        <f>IF(A179="","",ROUND(V179*IFERROR(N(INDEX(tech_rate,MATCH(M179,tech_name,0))),0),2))</f>
        <v/>
      </c>
      <c r="P179" s="80" t="n"/>
      <c r="Q179" s="81" t="str">
        <f>IF(A179="","",ROUND(Y179+O179+Z179,2))</f>
        <v/>
      </c>
      <c r="R179" s="79" t="str">
        <f>IF(A179="","",IF(S179=0,"Date manquante ou invalide",IF(C179="","Équipement manquant",IF(ISNA(MATCH(C179,eq_code,0)),"Équipement inconnu",IF(E179="","Type manquant",IF(AND(E179&lt;&gt;"Préventif",E179&lt;&gt;"Correctif",E179&lt;&gt;"Amélioratif"),"Type inconnu",IF(I179="","Statut manquant",IF(AND(I179&lt;&gt;"Terminée",I179&lt;&gt;"En cours",I179&lt;&gt;"À faire",I179&lt;&gt;"Annulée"),"Statut inconnu",IF(AND(E179="Préventif",F179=""),"Plan manquant (préventif)",IF(AND(F179&lt;&gt;"",ISNA(MATCH(F179,pl_num,0))),"Plan inconnu",IF(AND(F179&lt;&gt;"",IFERROR(INDEX(pl_eq,MATCH(F179,pl_num,0))&amp;"",C179)&lt;&gt;C179),"Plan d'un autre équipement",IF(AND(J179&lt;&gt;"",OR(NOT(ISNUMBER(J179)),N(J179)&lt;0)),"Compteur invalide",IF(OR(AND(K179&lt;&gt;"",OR(NOT(ISNUMBER(K179)),N(K179)&lt;0)),AND(L179&lt;&gt;"",OR(NOT(ISNUMBER(L179)),N(L179)&lt;0))),"Durée invalide",IF(OR(AND(N179&lt;&gt;"",OR(NOT(ISNUMBER(N179)),N(N179)&lt;0)),AND(P179&lt;&gt;"",OR(NOT(ISNUMBER(P179)),N(P179)&lt;0))),"Coût invalide",IF(AND(M179&lt;&gt;"",ISNA(MATCH(M179,tech_name,0))),"Technicien inconnu",IF(AND(I179="Terminée",S179&gt;p_today),"Terminée à une date future",IF(AND(I179="Terminée",V179=0),"Durée d'intervention manquante",IF(AND(I179="Terminée",E179="Préventif",T179=0,OR(IFERROR(INDEX(pl_trig,MATCH(F179,pl_num,0))&amp;"","")="Compteur",IFERROR(INDEX(pl_trig,MATCH(F179,pl_num,0))&amp;"","")="Au premier des deux")),"Compteur manquant (plan au compteur)","OK"))))))))))))))))))</f>
        <v/>
      </c>
      <c r="S179" s="67">
        <f>IF(AND(ISNUMBER(B179),N(B179)&gt;0),INT(B179),0)</f>
        <v>0.0</v>
      </c>
      <c r="T179" s="67">
        <f>IF(AND(ISNUMBER(J179),N(J179)&gt;=0),N(J179),0)</f>
        <v>0.0</v>
      </c>
      <c r="U179" s="67">
        <f>IF(AND(ISNUMBER(K179),N(K179)&gt;0),N(K179),0)</f>
        <v>0.0</v>
      </c>
      <c r="V179" s="67">
        <f>IF(AND(ISNUMBER(L179),N(L179)&gt;0),N(L179),0)</f>
        <v>0.0</v>
      </c>
      <c r="W179" s="67">
        <f>IF(AND(I179="Terminée",S179&gt;0,C179&lt;&gt;"",ISNUMBER(MATCH(C179,eq_code,0))),1,0)</f>
        <v>0.0</v>
      </c>
      <c r="X179" s="67">
        <f>IF(AND(W179=1,E179="Préventif"),1,0)</f>
        <v>0.0</v>
      </c>
      <c r="Y179" s="67">
        <f>IF(AND(ISNUMBER(N179),N(N179)&gt;0),N(N179),0)</f>
        <v>0.0</v>
      </c>
      <c r="Z179" s="67">
        <f>IF(AND(ISNUMBER(P179),N(P179)&gt;0),N(P179),0)</f>
        <v>0.0</v>
      </c>
    </row>
    <row r="180">
      <c r="A180" s="79" t="str">
        <f>IF(COUNTA(B180:C180,E180:G180,I180)=0,"","BI-"&amp;RIGHT("0000"&amp;(ROW()-5),4))</f>
        <v/>
      </c>
      <c r="B180" s="72" t="n"/>
      <c r="C180" s="66" t="n"/>
      <c r="D180" s="67" t="str">
        <f>IF(C180="","",IFERROR(INDEX(eq_des,MATCH(C180,eq_code,0))&amp;"","Équipement inconnu"))</f>
        <v/>
      </c>
      <c r="E180" s="68" t="n"/>
      <c r="F180" s="68" t="n"/>
      <c r="G180" s="66" t="n"/>
      <c r="H180" s="66" t="n"/>
      <c r="I180" s="68" t="n"/>
      <c r="J180" s="73" t="n"/>
      <c r="K180" s="71" t="n"/>
      <c r="L180" s="71" t="n"/>
      <c r="M180" s="66" t="n"/>
      <c r="N180" s="80" t="n"/>
      <c r="O180" s="81" t="str">
        <f>IF(A180="","",ROUND(V180*IFERROR(N(INDEX(tech_rate,MATCH(M180,tech_name,0))),0),2))</f>
        <v/>
      </c>
      <c r="P180" s="80" t="n"/>
      <c r="Q180" s="81" t="str">
        <f>IF(A180="","",ROUND(Y180+O180+Z180,2))</f>
        <v/>
      </c>
      <c r="R180" s="79" t="str">
        <f>IF(A180="","",IF(S180=0,"Date manquante ou invalide",IF(C180="","Équipement manquant",IF(ISNA(MATCH(C180,eq_code,0)),"Équipement inconnu",IF(E180="","Type manquant",IF(AND(E180&lt;&gt;"Préventif",E180&lt;&gt;"Correctif",E180&lt;&gt;"Amélioratif"),"Type inconnu",IF(I180="","Statut manquant",IF(AND(I180&lt;&gt;"Terminée",I180&lt;&gt;"En cours",I180&lt;&gt;"À faire",I180&lt;&gt;"Annulée"),"Statut inconnu",IF(AND(E180="Préventif",F180=""),"Plan manquant (préventif)",IF(AND(F180&lt;&gt;"",ISNA(MATCH(F180,pl_num,0))),"Plan inconnu",IF(AND(F180&lt;&gt;"",IFERROR(INDEX(pl_eq,MATCH(F180,pl_num,0))&amp;"",C180)&lt;&gt;C180),"Plan d'un autre équipement",IF(AND(J180&lt;&gt;"",OR(NOT(ISNUMBER(J180)),N(J180)&lt;0)),"Compteur invalide",IF(OR(AND(K180&lt;&gt;"",OR(NOT(ISNUMBER(K180)),N(K180)&lt;0)),AND(L180&lt;&gt;"",OR(NOT(ISNUMBER(L180)),N(L180)&lt;0))),"Durée invalide",IF(OR(AND(N180&lt;&gt;"",OR(NOT(ISNUMBER(N180)),N(N180)&lt;0)),AND(P180&lt;&gt;"",OR(NOT(ISNUMBER(P180)),N(P180)&lt;0))),"Coût invalide",IF(AND(M180&lt;&gt;"",ISNA(MATCH(M180,tech_name,0))),"Technicien inconnu",IF(AND(I180="Terminée",S180&gt;p_today),"Terminée à une date future",IF(AND(I180="Terminée",V180=0),"Durée d'intervention manquante",IF(AND(I180="Terminée",E180="Préventif",T180=0,OR(IFERROR(INDEX(pl_trig,MATCH(F180,pl_num,0))&amp;"","")="Compteur",IFERROR(INDEX(pl_trig,MATCH(F180,pl_num,0))&amp;"","")="Au premier des deux")),"Compteur manquant (plan au compteur)","OK"))))))))))))))))))</f>
        <v/>
      </c>
      <c r="S180" s="67">
        <f>IF(AND(ISNUMBER(B180),N(B180)&gt;0),INT(B180),0)</f>
        <v>0.0</v>
      </c>
      <c r="T180" s="67">
        <f>IF(AND(ISNUMBER(J180),N(J180)&gt;=0),N(J180),0)</f>
        <v>0.0</v>
      </c>
      <c r="U180" s="67">
        <f>IF(AND(ISNUMBER(K180),N(K180)&gt;0),N(K180),0)</f>
        <v>0.0</v>
      </c>
      <c r="V180" s="67">
        <f>IF(AND(ISNUMBER(L180),N(L180)&gt;0),N(L180),0)</f>
        <v>0.0</v>
      </c>
      <c r="W180" s="67">
        <f>IF(AND(I180="Terminée",S180&gt;0,C180&lt;&gt;"",ISNUMBER(MATCH(C180,eq_code,0))),1,0)</f>
        <v>0.0</v>
      </c>
      <c r="X180" s="67">
        <f>IF(AND(W180=1,E180="Préventif"),1,0)</f>
        <v>0.0</v>
      </c>
      <c r="Y180" s="67">
        <f>IF(AND(ISNUMBER(N180),N(N180)&gt;0),N(N180),0)</f>
        <v>0.0</v>
      </c>
      <c r="Z180" s="67">
        <f>IF(AND(ISNUMBER(P180),N(P180)&gt;0),N(P180),0)</f>
        <v>0.0</v>
      </c>
    </row>
    <row r="181">
      <c r="A181" s="79" t="str">
        <f>IF(COUNTA(B181:C181,E181:G181,I181)=0,"","BI-"&amp;RIGHT("0000"&amp;(ROW()-5),4))</f>
        <v/>
      </c>
      <c r="B181" s="72" t="n"/>
      <c r="C181" s="66" t="n"/>
      <c r="D181" s="67" t="str">
        <f>IF(C181="","",IFERROR(INDEX(eq_des,MATCH(C181,eq_code,0))&amp;"","Équipement inconnu"))</f>
        <v/>
      </c>
      <c r="E181" s="68" t="n"/>
      <c r="F181" s="68" t="n"/>
      <c r="G181" s="66" t="n"/>
      <c r="H181" s="66" t="n"/>
      <c r="I181" s="68" t="n"/>
      <c r="J181" s="73" t="n"/>
      <c r="K181" s="71" t="n"/>
      <c r="L181" s="71" t="n"/>
      <c r="M181" s="66" t="n"/>
      <c r="N181" s="80" t="n"/>
      <c r="O181" s="81" t="str">
        <f>IF(A181="","",ROUND(V181*IFERROR(N(INDEX(tech_rate,MATCH(M181,tech_name,0))),0),2))</f>
        <v/>
      </c>
      <c r="P181" s="80" t="n"/>
      <c r="Q181" s="81" t="str">
        <f>IF(A181="","",ROUND(Y181+O181+Z181,2))</f>
        <v/>
      </c>
      <c r="R181" s="79" t="str">
        <f>IF(A181="","",IF(S181=0,"Date manquante ou invalide",IF(C181="","Équipement manquant",IF(ISNA(MATCH(C181,eq_code,0)),"Équipement inconnu",IF(E181="","Type manquant",IF(AND(E181&lt;&gt;"Préventif",E181&lt;&gt;"Correctif",E181&lt;&gt;"Amélioratif"),"Type inconnu",IF(I181="","Statut manquant",IF(AND(I181&lt;&gt;"Terminée",I181&lt;&gt;"En cours",I181&lt;&gt;"À faire",I181&lt;&gt;"Annulée"),"Statut inconnu",IF(AND(E181="Préventif",F181=""),"Plan manquant (préventif)",IF(AND(F181&lt;&gt;"",ISNA(MATCH(F181,pl_num,0))),"Plan inconnu",IF(AND(F181&lt;&gt;"",IFERROR(INDEX(pl_eq,MATCH(F181,pl_num,0))&amp;"",C181)&lt;&gt;C181),"Plan d'un autre équipement",IF(AND(J181&lt;&gt;"",OR(NOT(ISNUMBER(J181)),N(J181)&lt;0)),"Compteur invalide",IF(OR(AND(K181&lt;&gt;"",OR(NOT(ISNUMBER(K181)),N(K181)&lt;0)),AND(L181&lt;&gt;"",OR(NOT(ISNUMBER(L181)),N(L181)&lt;0))),"Durée invalide",IF(OR(AND(N181&lt;&gt;"",OR(NOT(ISNUMBER(N181)),N(N181)&lt;0)),AND(P181&lt;&gt;"",OR(NOT(ISNUMBER(P181)),N(P181)&lt;0))),"Coût invalide",IF(AND(M181&lt;&gt;"",ISNA(MATCH(M181,tech_name,0))),"Technicien inconnu",IF(AND(I181="Terminée",S181&gt;p_today),"Terminée à une date future",IF(AND(I181="Terminée",V181=0),"Durée d'intervention manquante",IF(AND(I181="Terminée",E181="Préventif",T181=0,OR(IFERROR(INDEX(pl_trig,MATCH(F181,pl_num,0))&amp;"","")="Compteur",IFERROR(INDEX(pl_trig,MATCH(F181,pl_num,0))&amp;"","")="Au premier des deux")),"Compteur manquant (plan au compteur)","OK"))))))))))))))))))</f>
        <v/>
      </c>
      <c r="S181" s="67">
        <f>IF(AND(ISNUMBER(B181),N(B181)&gt;0),INT(B181),0)</f>
        <v>0.0</v>
      </c>
      <c r="T181" s="67">
        <f>IF(AND(ISNUMBER(J181),N(J181)&gt;=0),N(J181),0)</f>
        <v>0.0</v>
      </c>
      <c r="U181" s="67">
        <f>IF(AND(ISNUMBER(K181),N(K181)&gt;0),N(K181),0)</f>
        <v>0.0</v>
      </c>
      <c r="V181" s="67">
        <f>IF(AND(ISNUMBER(L181),N(L181)&gt;0),N(L181),0)</f>
        <v>0.0</v>
      </c>
      <c r="W181" s="67">
        <f>IF(AND(I181="Terminée",S181&gt;0,C181&lt;&gt;"",ISNUMBER(MATCH(C181,eq_code,0))),1,0)</f>
        <v>0.0</v>
      </c>
      <c r="X181" s="67">
        <f>IF(AND(W181=1,E181="Préventif"),1,0)</f>
        <v>0.0</v>
      </c>
      <c r="Y181" s="67">
        <f>IF(AND(ISNUMBER(N181),N(N181)&gt;0),N(N181),0)</f>
        <v>0.0</v>
      </c>
      <c r="Z181" s="67">
        <f>IF(AND(ISNUMBER(P181),N(P181)&gt;0),N(P181),0)</f>
        <v>0.0</v>
      </c>
    </row>
    <row r="182">
      <c r="A182" s="79" t="str">
        <f>IF(COUNTA(B182:C182,E182:G182,I182)=0,"","BI-"&amp;RIGHT("0000"&amp;(ROW()-5),4))</f>
        <v/>
      </c>
      <c r="B182" s="72" t="n"/>
      <c r="C182" s="66" t="n"/>
      <c r="D182" s="67" t="str">
        <f>IF(C182="","",IFERROR(INDEX(eq_des,MATCH(C182,eq_code,0))&amp;"","Équipement inconnu"))</f>
        <v/>
      </c>
      <c r="E182" s="68" t="n"/>
      <c r="F182" s="68" t="n"/>
      <c r="G182" s="66" t="n"/>
      <c r="H182" s="66" t="n"/>
      <c r="I182" s="68" t="n"/>
      <c r="J182" s="73" t="n"/>
      <c r="K182" s="71" t="n"/>
      <c r="L182" s="71" t="n"/>
      <c r="M182" s="66" t="n"/>
      <c r="N182" s="80" t="n"/>
      <c r="O182" s="81" t="str">
        <f>IF(A182="","",ROUND(V182*IFERROR(N(INDEX(tech_rate,MATCH(M182,tech_name,0))),0),2))</f>
        <v/>
      </c>
      <c r="P182" s="80" t="n"/>
      <c r="Q182" s="81" t="str">
        <f>IF(A182="","",ROUND(Y182+O182+Z182,2))</f>
        <v/>
      </c>
      <c r="R182" s="79" t="str">
        <f>IF(A182="","",IF(S182=0,"Date manquante ou invalide",IF(C182="","Équipement manquant",IF(ISNA(MATCH(C182,eq_code,0)),"Équipement inconnu",IF(E182="","Type manquant",IF(AND(E182&lt;&gt;"Préventif",E182&lt;&gt;"Correctif",E182&lt;&gt;"Amélioratif"),"Type inconnu",IF(I182="","Statut manquant",IF(AND(I182&lt;&gt;"Terminée",I182&lt;&gt;"En cours",I182&lt;&gt;"À faire",I182&lt;&gt;"Annulée"),"Statut inconnu",IF(AND(E182="Préventif",F182=""),"Plan manquant (préventif)",IF(AND(F182&lt;&gt;"",ISNA(MATCH(F182,pl_num,0))),"Plan inconnu",IF(AND(F182&lt;&gt;"",IFERROR(INDEX(pl_eq,MATCH(F182,pl_num,0))&amp;"",C182)&lt;&gt;C182),"Plan d'un autre équipement",IF(AND(J182&lt;&gt;"",OR(NOT(ISNUMBER(J182)),N(J182)&lt;0)),"Compteur invalide",IF(OR(AND(K182&lt;&gt;"",OR(NOT(ISNUMBER(K182)),N(K182)&lt;0)),AND(L182&lt;&gt;"",OR(NOT(ISNUMBER(L182)),N(L182)&lt;0))),"Durée invalide",IF(OR(AND(N182&lt;&gt;"",OR(NOT(ISNUMBER(N182)),N(N182)&lt;0)),AND(P182&lt;&gt;"",OR(NOT(ISNUMBER(P182)),N(P182)&lt;0))),"Coût invalide",IF(AND(M182&lt;&gt;"",ISNA(MATCH(M182,tech_name,0))),"Technicien inconnu",IF(AND(I182="Terminée",S182&gt;p_today),"Terminée à une date future",IF(AND(I182="Terminée",V182=0),"Durée d'intervention manquante",IF(AND(I182="Terminée",E182="Préventif",T182=0,OR(IFERROR(INDEX(pl_trig,MATCH(F182,pl_num,0))&amp;"","")="Compteur",IFERROR(INDEX(pl_trig,MATCH(F182,pl_num,0))&amp;"","")="Au premier des deux")),"Compteur manquant (plan au compteur)","OK"))))))))))))))))))</f>
        <v/>
      </c>
      <c r="S182" s="67">
        <f>IF(AND(ISNUMBER(B182),N(B182)&gt;0),INT(B182),0)</f>
        <v>0.0</v>
      </c>
      <c r="T182" s="67">
        <f>IF(AND(ISNUMBER(J182),N(J182)&gt;=0),N(J182),0)</f>
        <v>0.0</v>
      </c>
      <c r="U182" s="67">
        <f>IF(AND(ISNUMBER(K182),N(K182)&gt;0),N(K182),0)</f>
        <v>0.0</v>
      </c>
      <c r="V182" s="67">
        <f>IF(AND(ISNUMBER(L182),N(L182)&gt;0),N(L182),0)</f>
        <v>0.0</v>
      </c>
      <c r="W182" s="67">
        <f>IF(AND(I182="Terminée",S182&gt;0,C182&lt;&gt;"",ISNUMBER(MATCH(C182,eq_code,0))),1,0)</f>
        <v>0.0</v>
      </c>
      <c r="X182" s="67">
        <f>IF(AND(W182=1,E182="Préventif"),1,0)</f>
        <v>0.0</v>
      </c>
      <c r="Y182" s="67">
        <f>IF(AND(ISNUMBER(N182),N(N182)&gt;0),N(N182),0)</f>
        <v>0.0</v>
      </c>
      <c r="Z182" s="67">
        <f>IF(AND(ISNUMBER(P182),N(P182)&gt;0),N(P182),0)</f>
        <v>0.0</v>
      </c>
    </row>
    <row r="183">
      <c r="A183" s="79" t="str">
        <f>IF(COUNTA(B183:C183,E183:G183,I183)=0,"","BI-"&amp;RIGHT("0000"&amp;(ROW()-5),4))</f>
        <v/>
      </c>
      <c r="B183" s="72" t="n"/>
      <c r="C183" s="66" t="n"/>
      <c r="D183" s="67" t="str">
        <f>IF(C183="","",IFERROR(INDEX(eq_des,MATCH(C183,eq_code,0))&amp;"","Équipement inconnu"))</f>
        <v/>
      </c>
      <c r="E183" s="68" t="n"/>
      <c r="F183" s="68" t="n"/>
      <c r="G183" s="66" t="n"/>
      <c r="H183" s="66" t="n"/>
      <c r="I183" s="68" t="n"/>
      <c r="J183" s="73" t="n"/>
      <c r="K183" s="71" t="n"/>
      <c r="L183" s="71" t="n"/>
      <c r="M183" s="66" t="n"/>
      <c r="N183" s="80" t="n"/>
      <c r="O183" s="81" t="str">
        <f>IF(A183="","",ROUND(V183*IFERROR(N(INDEX(tech_rate,MATCH(M183,tech_name,0))),0),2))</f>
        <v/>
      </c>
      <c r="P183" s="80" t="n"/>
      <c r="Q183" s="81" t="str">
        <f>IF(A183="","",ROUND(Y183+O183+Z183,2))</f>
        <v/>
      </c>
      <c r="R183" s="79" t="str">
        <f>IF(A183="","",IF(S183=0,"Date manquante ou invalide",IF(C183="","Équipement manquant",IF(ISNA(MATCH(C183,eq_code,0)),"Équipement inconnu",IF(E183="","Type manquant",IF(AND(E183&lt;&gt;"Préventif",E183&lt;&gt;"Correctif",E183&lt;&gt;"Amélioratif"),"Type inconnu",IF(I183="","Statut manquant",IF(AND(I183&lt;&gt;"Terminée",I183&lt;&gt;"En cours",I183&lt;&gt;"À faire",I183&lt;&gt;"Annulée"),"Statut inconnu",IF(AND(E183="Préventif",F183=""),"Plan manquant (préventif)",IF(AND(F183&lt;&gt;"",ISNA(MATCH(F183,pl_num,0))),"Plan inconnu",IF(AND(F183&lt;&gt;"",IFERROR(INDEX(pl_eq,MATCH(F183,pl_num,0))&amp;"",C183)&lt;&gt;C183),"Plan d'un autre équipement",IF(AND(J183&lt;&gt;"",OR(NOT(ISNUMBER(J183)),N(J183)&lt;0)),"Compteur invalide",IF(OR(AND(K183&lt;&gt;"",OR(NOT(ISNUMBER(K183)),N(K183)&lt;0)),AND(L183&lt;&gt;"",OR(NOT(ISNUMBER(L183)),N(L183)&lt;0))),"Durée invalide",IF(OR(AND(N183&lt;&gt;"",OR(NOT(ISNUMBER(N183)),N(N183)&lt;0)),AND(P183&lt;&gt;"",OR(NOT(ISNUMBER(P183)),N(P183)&lt;0))),"Coût invalide",IF(AND(M183&lt;&gt;"",ISNA(MATCH(M183,tech_name,0))),"Technicien inconnu",IF(AND(I183="Terminée",S183&gt;p_today),"Terminée à une date future",IF(AND(I183="Terminée",V183=0),"Durée d'intervention manquante",IF(AND(I183="Terminée",E183="Préventif",T183=0,OR(IFERROR(INDEX(pl_trig,MATCH(F183,pl_num,0))&amp;"","")="Compteur",IFERROR(INDEX(pl_trig,MATCH(F183,pl_num,0))&amp;"","")="Au premier des deux")),"Compteur manquant (plan au compteur)","OK"))))))))))))))))))</f>
        <v/>
      </c>
      <c r="S183" s="67">
        <f>IF(AND(ISNUMBER(B183),N(B183)&gt;0),INT(B183),0)</f>
        <v>0.0</v>
      </c>
      <c r="T183" s="67">
        <f>IF(AND(ISNUMBER(J183),N(J183)&gt;=0),N(J183),0)</f>
        <v>0.0</v>
      </c>
      <c r="U183" s="67">
        <f>IF(AND(ISNUMBER(K183),N(K183)&gt;0),N(K183),0)</f>
        <v>0.0</v>
      </c>
      <c r="V183" s="67">
        <f>IF(AND(ISNUMBER(L183),N(L183)&gt;0),N(L183),0)</f>
        <v>0.0</v>
      </c>
      <c r="W183" s="67">
        <f>IF(AND(I183="Terminée",S183&gt;0,C183&lt;&gt;"",ISNUMBER(MATCH(C183,eq_code,0))),1,0)</f>
        <v>0.0</v>
      </c>
      <c r="X183" s="67">
        <f>IF(AND(W183=1,E183="Préventif"),1,0)</f>
        <v>0.0</v>
      </c>
      <c r="Y183" s="67">
        <f>IF(AND(ISNUMBER(N183),N(N183)&gt;0),N(N183),0)</f>
        <v>0.0</v>
      </c>
      <c r="Z183" s="67">
        <f>IF(AND(ISNUMBER(P183),N(P183)&gt;0),N(P183),0)</f>
        <v>0.0</v>
      </c>
    </row>
    <row r="184">
      <c r="A184" s="79" t="str">
        <f>IF(COUNTA(B184:C184,E184:G184,I184)=0,"","BI-"&amp;RIGHT("0000"&amp;(ROW()-5),4))</f>
        <v/>
      </c>
      <c r="B184" s="72" t="n"/>
      <c r="C184" s="66" t="n"/>
      <c r="D184" s="67" t="str">
        <f>IF(C184="","",IFERROR(INDEX(eq_des,MATCH(C184,eq_code,0))&amp;"","Équipement inconnu"))</f>
        <v/>
      </c>
      <c r="E184" s="68" t="n"/>
      <c r="F184" s="68" t="n"/>
      <c r="G184" s="66" t="n"/>
      <c r="H184" s="66" t="n"/>
      <c r="I184" s="68" t="n"/>
      <c r="J184" s="73" t="n"/>
      <c r="K184" s="71" t="n"/>
      <c r="L184" s="71" t="n"/>
      <c r="M184" s="66" t="n"/>
      <c r="N184" s="80" t="n"/>
      <c r="O184" s="81" t="str">
        <f>IF(A184="","",ROUND(V184*IFERROR(N(INDEX(tech_rate,MATCH(M184,tech_name,0))),0),2))</f>
        <v/>
      </c>
      <c r="P184" s="80" t="n"/>
      <c r="Q184" s="81" t="str">
        <f>IF(A184="","",ROUND(Y184+O184+Z184,2))</f>
        <v/>
      </c>
      <c r="R184" s="79" t="str">
        <f>IF(A184="","",IF(S184=0,"Date manquante ou invalide",IF(C184="","Équipement manquant",IF(ISNA(MATCH(C184,eq_code,0)),"Équipement inconnu",IF(E184="","Type manquant",IF(AND(E184&lt;&gt;"Préventif",E184&lt;&gt;"Correctif",E184&lt;&gt;"Amélioratif"),"Type inconnu",IF(I184="","Statut manquant",IF(AND(I184&lt;&gt;"Terminée",I184&lt;&gt;"En cours",I184&lt;&gt;"À faire",I184&lt;&gt;"Annulée"),"Statut inconnu",IF(AND(E184="Préventif",F184=""),"Plan manquant (préventif)",IF(AND(F184&lt;&gt;"",ISNA(MATCH(F184,pl_num,0))),"Plan inconnu",IF(AND(F184&lt;&gt;"",IFERROR(INDEX(pl_eq,MATCH(F184,pl_num,0))&amp;"",C184)&lt;&gt;C184),"Plan d'un autre équipement",IF(AND(J184&lt;&gt;"",OR(NOT(ISNUMBER(J184)),N(J184)&lt;0)),"Compteur invalide",IF(OR(AND(K184&lt;&gt;"",OR(NOT(ISNUMBER(K184)),N(K184)&lt;0)),AND(L184&lt;&gt;"",OR(NOT(ISNUMBER(L184)),N(L184)&lt;0))),"Durée invalide",IF(OR(AND(N184&lt;&gt;"",OR(NOT(ISNUMBER(N184)),N(N184)&lt;0)),AND(P184&lt;&gt;"",OR(NOT(ISNUMBER(P184)),N(P184)&lt;0))),"Coût invalide",IF(AND(M184&lt;&gt;"",ISNA(MATCH(M184,tech_name,0))),"Technicien inconnu",IF(AND(I184="Terminée",S184&gt;p_today),"Terminée à une date future",IF(AND(I184="Terminée",V184=0),"Durée d'intervention manquante",IF(AND(I184="Terminée",E184="Préventif",T184=0,OR(IFERROR(INDEX(pl_trig,MATCH(F184,pl_num,0))&amp;"","")="Compteur",IFERROR(INDEX(pl_trig,MATCH(F184,pl_num,0))&amp;"","")="Au premier des deux")),"Compteur manquant (plan au compteur)","OK"))))))))))))))))))</f>
        <v/>
      </c>
      <c r="S184" s="67">
        <f>IF(AND(ISNUMBER(B184),N(B184)&gt;0),INT(B184),0)</f>
        <v>0.0</v>
      </c>
      <c r="T184" s="67">
        <f>IF(AND(ISNUMBER(J184),N(J184)&gt;=0),N(J184),0)</f>
        <v>0.0</v>
      </c>
      <c r="U184" s="67">
        <f>IF(AND(ISNUMBER(K184),N(K184)&gt;0),N(K184),0)</f>
        <v>0.0</v>
      </c>
      <c r="V184" s="67">
        <f>IF(AND(ISNUMBER(L184),N(L184)&gt;0),N(L184),0)</f>
        <v>0.0</v>
      </c>
      <c r="W184" s="67">
        <f>IF(AND(I184="Terminée",S184&gt;0,C184&lt;&gt;"",ISNUMBER(MATCH(C184,eq_code,0))),1,0)</f>
        <v>0.0</v>
      </c>
      <c r="X184" s="67">
        <f>IF(AND(W184=1,E184="Préventif"),1,0)</f>
        <v>0.0</v>
      </c>
      <c r="Y184" s="67">
        <f>IF(AND(ISNUMBER(N184),N(N184)&gt;0),N(N184),0)</f>
        <v>0.0</v>
      </c>
      <c r="Z184" s="67">
        <f>IF(AND(ISNUMBER(P184),N(P184)&gt;0),N(P184),0)</f>
        <v>0.0</v>
      </c>
    </row>
    <row r="185">
      <c r="A185" s="79" t="str">
        <f>IF(COUNTA(B185:C185,E185:G185,I185)=0,"","BI-"&amp;RIGHT("0000"&amp;(ROW()-5),4))</f>
        <v/>
      </c>
      <c r="B185" s="72" t="n"/>
      <c r="C185" s="66" t="n"/>
      <c r="D185" s="67" t="str">
        <f>IF(C185="","",IFERROR(INDEX(eq_des,MATCH(C185,eq_code,0))&amp;"","Équipement inconnu"))</f>
        <v/>
      </c>
      <c r="E185" s="68" t="n"/>
      <c r="F185" s="68" t="n"/>
      <c r="G185" s="66" t="n"/>
      <c r="H185" s="66" t="n"/>
      <c r="I185" s="68" t="n"/>
      <c r="J185" s="73" t="n"/>
      <c r="K185" s="71" t="n"/>
      <c r="L185" s="71" t="n"/>
      <c r="M185" s="66" t="n"/>
      <c r="N185" s="80" t="n"/>
      <c r="O185" s="81" t="str">
        <f>IF(A185="","",ROUND(V185*IFERROR(N(INDEX(tech_rate,MATCH(M185,tech_name,0))),0),2))</f>
        <v/>
      </c>
      <c r="P185" s="80" t="n"/>
      <c r="Q185" s="81" t="str">
        <f>IF(A185="","",ROUND(Y185+O185+Z185,2))</f>
        <v/>
      </c>
      <c r="R185" s="79" t="str">
        <f>IF(A185="","",IF(S185=0,"Date manquante ou invalide",IF(C185="","Équipement manquant",IF(ISNA(MATCH(C185,eq_code,0)),"Équipement inconnu",IF(E185="","Type manquant",IF(AND(E185&lt;&gt;"Préventif",E185&lt;&gt;"Correctif",E185&lt;&gt;"Amélioratif"),"Type inconnu",IF(I185="","Statut manquant",IF(AND(I185&lt;&gt;"Terminée",I185&lt;&gt;"En cours",I185&lt;&gt;"À faire",I185&lt;&gt;"Annulée"),"Statut inconnu",IF(AND(E185="Préventif",F185=""),"Plan manquant (préventif)",IF(AND(F185&lt;&gt;"",ISNA(MATCH(F185,pl_num,0))),"Plan inconnu",IF(AND(F185&lt;&gt;"",IFERROR(INDEX(pl_eq,MATCH(F185,pl_num,0))&amp;"",C185)&lt;&gt;C185),"Plan d'un autre équipement",IF(AND(J185&lt;&gt;"",OR(NOT(ISNUMBER(J185)),N(J185)&lt;0)),"Compteur invalide",IF(OR(AND(K185&lt;&gt;"",OR(NOT(ISNUMBER(K185)),N(K185)&lt;0)),AND(L185&lt;&gt;"",OR(NOT(ISNUMBER(L185)),N(L185)&lt;0))),"Durée invalide",IF(OR(AND(N185&lt;&gt;"",OR(NOT(ISNUMBER(N185)),N(N185)&lt;0)),AND(P185&lt;&gt;"",OR(NOT(ISNUMBER(P185)),N(P185)&lt;0))),"Coût invalide",IF(AND(M185&lt;&gt;"",ISNA(MATCH(M185,tech_name,0))),"Technicien inconnu",IF(AND(I185="Terminée",S185&gt;p_today),"Terminée à une date future",IF(AND(I185="Terminée",V185=0),"Durée d'intervention manquante",IF(AND(I185="Terminée",E185="Préventif",T185=0,OR(IFERROR(INDEX(pl_trig,MATCH(F185,pl_num,0))&amp;"","")="Compteur",IFERROR(INDEX(pl_trig,MATCH(F185,pl_num,0))&amp;"","")="Au premier des deux")),"Compteur manquant (plan au compteur)","OK"))))))))))))))))))</f>
        <v/>
      </c>
      <c r="S185" s="67">
        <f>IF(AND(ISNUMBER(B185),N(B185)&gt;0),INT(B185),0)</f>
        <v>0.0</v>
      </c>
      <c r="T185" s="67">
        <f>IF(AND(ISNUMBER(J185),N(J185)&gt;=0),N(J185),0)</f>
        <v>0.0</v>
      </c>
      <c r="U185" s="67">
        <f>IF(AND(ISNUMBER(K185),N(K185)&gt;0),N(K185),0)</f>
        <v>0.0</v>
      </c>
      <c r="V185" s="67">
        <f>IF(AND(ISNUMBER(L185),N(L185)&gt;0),N(L185),0)</f>
        <v>0.0</v>
      </c>
      <c r="W185" s="67">
        <f>IF(AND(I185="Terminée",S185&gt;0,C185&lt;&gt;"",ISNUMBER(MATCH(C185,eq_code,0))),1,0)</f>
        <v>0.0</v>
      </c>
      <c r="X185" s="67">
        <f>IF(AND(W185=1,E185="Préventif"),1,0)</f>
        <v>0.0</v>
      </c>
      <c r="Y185" s="67">
        <f>IF(AND(ISNUMBER(N185),N(N185)&gt;0),N(N185),0)</f>
        <v>0.0</v>
      </c>
      <c r="Z185" s="67">
        <f>IF(AND(ISNUMBER(P185),N(P185)&gt;0),N(P185),0)</f>
        <v>0.0</v>
      </c>
    </row>
    <row r="186">
      <c r="A186" s="79" t="str">
        <f>IF(COUNTA(B186:C186,E186:G186,I186)=0,"","BI-"&amp;RIGHT("0000"&amp;(ROW()-5),4))</f>
        <v/>
      </c>
      <c r="B186" s="72" t="n"/>
      <c r="C186" s="66" t="n"/>
      <c r="D186" s="67" t="str">
        <f>IF(C186="","",IFERROR(INDEX(eq_des,MATCH(C186,eq_code,0))&amp;"","Équipement inconnu"))</f>
        <v/>
      </c>
      <c r="E186" s="68" t="n"/>
      <c r="F186" s="68" t="n"/>
      <c r="G186" s="66" t="n"/>
      <c r="H186" s="66" t="n"/>
      <c r="I186" s="68" t="n"/>
      <c r="J186" s="73" t="n"/>
      <c r="K186" s="71" t="n"/>
      <c r="L186" s="71" t="n"/>
      <c r="M186" s="66" t="n"/>
      <c r="N186" s="80" t="n"/>
      <c r="O186" s="81" t="str">
        <f>IF(A186="","",ROUND(V186*IFERROR(N(INDEX(tech_rate,MATCH(M186,tech_name,0))),0),2))</f>
        <v/>
      </c>
      <c r="P186" s="80" t="n"/>
      <c r="Q186" s="81" t="str">
        <f>IF(A186="","",ROUND(Y186+O186+Z186,2))</f>
        <v/>
      </c>
      <c r="R186" s="79" t="str">
        <f>IF(A186="","",IF(S186=0,"Date manquante ou invalide",IF(C186="","Équipement manquant",IF(ISNA(MATCH(C186,eq_code,0)),"Équipement inconnu",IF(E186="","Type manquant",IF(AND(E186&lt;&gt;"Préventif",E186&lt;&gt;"Correctif",E186&lt;&gt;"Amélioratif"),"Type inconnu",IF(I186="","Statut manquant",IF(AND(I186&lt;&gt;"Terminée",I186&lt;&gt;"En cours",I186&lt;&gt;"À faire",I186&lt;&gt;"Annulée"),"Statut inconnu",IF(AND(E186="Préventif",F186=""),"Plan manquant (préventif)",IF(AND(F186&lt;&gt;"",ISNA(MATCH(F186,pl_num,0))),"Plan inconnu",IF(AND(F186&lt;&gt;"",IFERROR(INDEX(pl_eq,MATCH(F186,pl_num,0))&amp;"",C186)&lt;&gt;C186),"Plan d'un autre équipement",IF(AND(J186&lt;&gt;"",OR(NOT(ISNUMBER(J186)),N(J186)&lt;0)),"Compteur invalide",IF(OR(AND(K186&lt;&gt;"",OR(NOT(ISNUMBER(K186)),N(K186)&lt;0)),AND(L186&lt;&gt;"",OR(NOT(ISNUMBER(L186)),N(L186)&lt;0))),"Durée invalide",IF(OR(AND(N186&lt;&gt;"",OR(NOT(ISNUMBER(N186)),N(N186)&lt;0)),AND(P186&lt;&gt;"",OR(NOT(ISNUMBER(P186)),N(P186)&lt;0))),"Coût invalide",IF(AND(M186&lt;&gt;"",ISNA(MATCH(M186,tech_name,0))),"Technicien inconnu",IF(AND(I186="Terminée",S186&gt;p_today),"Terminée à une date future",IF(AND(I186="Terminée",V186=0),"Durée d'intervention manquante",IF(AND(I186="Terminée",E186="Préventif",T186=0,OR(IFERROR(INDEX(pl_trig,MATCH(F186,pl_num,0))&amp;"","")="Compteur",IFERROR(INDEX(pl_trig,MATCH(F186,pl_num,0))&amp;"","")="Au premier des deux")),"Compteur manquant (plan au compteur)","OK"))))))))))))))))))</f>
        <v/>
      </c>
      <c r="S186" s="67">
        <f>IF(AND(ISNUMBER(B186),N(B186)&gt;0),INT(B186),0)</f>
        <v>0.0</v>
      </c>
      <c r="T186" s="67">
        <f>IF(AND(ISNUMBER(J186),N(J186)&gt;=0),N(J186),0)</f>
        <v>0.0</v>
      </c>
      <c r="U186" s="67">
        <f>IF(AND(ISNUMBER(K186),N(K186)&gt;0),N(K186),0)</f>
        <v>0.0</v>
      </c>
      <c r="V186" s="67">
        <f>IF(AND(ISNUMBER(L186),N(L186)&gt;0),N(L186),0)</f>
        <v>0.0</v>
      </c>
      <c r="W186" s="67">
        <f>IF(AND(I186="Terminée",S186&gt;0,C186&lt;&gt;"",ISNUMBER(MATCH(C186,eq_code,0))),1,0)</f>
        <v>0.0</v>
      </c>
      <c r="X186" s="67">
        <f>IF(AND(W186=1,E186="Préventif"),1,0)</f>
        <v>0.0</v>
      </c>
      <c r="Y186" s="67">
        <f>IF(AND(ISNUMBER(N186),N(N186)&gt;0),N(N186),0)</f>
        <v>0.0</v>
      </c>
      <c r="Z186" s="67">
        <f>IF(AND(ISNUMBER(P186),N(P186)&gt;0),N(P186),0)</f>
        <v>0.0</v>
      </c>
    </row>
    <row r="187">
      <c r="A187" s="79" t="str">
        <f>IF(COUNTA(B187:C187,E187:G187,I187)=0,"","BI-"&amp;RIGHT("0000"&amp;(ROW()-5),4))</f>
        <v/>
      </c>
      <c r="B187" s="72" t="n"/>
      <c r="C187" s="66" t="n"/>
      <c r="D187" s="67" t="str">
        <f>IF(C187="","",IFERROR(INDEX(eq_des,MATCH(C187,eq_code,0))&amp;"","Équipement inconnu"))</f>
        <v/>
      </c>
      <c r="E187" s="68" t="n"/>
      <c r="F187" s="68" t="n"/>
      <c r="G187" s="66" t="n"/>
      <c r="H187" s="66" t="n"/>
      <c r="I187" s="68" t="n"/>
      <c r="J187" s="73" t="n"/>
      <c r="K187" s="71" t="n"/>
      <c r="L187" s="71" t="n"/>
      <c r="M187" s="66" t="n"/>
      <c r="N187" s="80" t="n"/>
      <c r="O187" s="81" t="str">
        <f>IF(A187="","",ROUND(V187*IFERROR(N(INDEX(tech_rate,MATCH(M187,tech_name,0))),0),2))</f>
        <v/>
      </c>
      <c r="P187" s="80" t="n"/>
      <c r="Q187" s="81" t="str">
        <f>IF(A187="","",ROUND(Y187+O187+Z187,2))</f>
        <v/>
      </c>
      <c r="R187" s="79" t="str">
        <f>IF(A187="","",IF(S187=0,"Date manquante ou invalide",IF(C187="","Équipement manquant",IF(ISNA(MATCH(C187,eq_code,0)),"Équipement inconnu",IF(E187="","Type manquant",IF(AND(E187&lt;&gt;"Préventif",E187&lt;&gt;"Correctif",E187&lt;&gt;"Amélioratif"),"Type inconnu",IF(I187="","Statut manquant",IF(AND(I187&lt;&gt;"Terminée",I187&lt;&gt;"En cours",I187&lt;&gt;"À faire",I187&lt;&gt;"Annulée"),"Statut inconnu",IF(AND(E187="Préventif",F187=""),"Plan manquant (préventif)",IF(AND(F187&lt;&gt;"",ISNA(MATCH(F187,pl_num,0))),"Plan inconnu",IF(AND(F187&lt;&gt;"",IFERROR(INDEX(pl_eq,MATCH(F187,pl_num,0))&amp;"",C187)&lt;&gt;C187),"Plan d'un autre équipement",IF(AND(J187&lt;&gt;"",OR(NOT(ISNUMBER(J187)),N(J187)&lt;0)),"Compteur invalide",IF(OR(AND(K187&lt;&gt;"",OR(NOT(ISNUMBER(K187)),N(K187)&lt;0)),AND(L187&lt;&gt;"",OR(NOT(ISNUMBER(L187)),N(L187)&lt;0))),"Durée invalide",IF(OR(AND(N187&lt;&gt;"",OR(NOT(ISNUMBER(N187)),N(N187)&lt;0)),AND(P187&lt;&gt;"",OR(NOT(ISNUMBER(P187)),N(P187)&lt;0))),"Coût invalide",IF(AND(M187&lt;&gt;"",ISNA(MATCH(M187,tech_name,0))),"Technicien inconnu",IF(AND(I187="Terminée",S187&gt;p_today),"Terminée à une date future",IF(AND(I187="Terminée",V187=0),"Durée d'intervention manquante",IF(AND(I187="Terminée",E187="Préventif",T187=0,OR(IFERROR(INDEX(pl_trig,MATCH(F187,pl_num,0))&amp;"","")="Compteur",IFERROR(INDEX(pl_trig,MATCH(F187,pl_num,0))&amp;"","")="Au premier des deux")),"Compteur manquant (plan au compteur)","OK"))))))))))))))))))</f>
        <v/>
      </c>
      <c r="S187" s="67">
        <f>IF(AND(ISNUMBER(B187),N(B187)&gt;0),INT(B187),0)</f>
        <v>0.0</v>
      </c>
      <c r="T187" s="67">
        <f>IF(AND(ISNUMBER(J187),N(J187)&gt;=0),N(J187),0)</f>
        <v>0.0</v>
      </c>
      <c r="U187" s="67">
        <f>IF(AND(ISNUMBER(K187),N(K187)&gt;0),N(K187),0)</f>
        <v>0.0</v>
      </c>
      <c r="V187" s="67">
        <f>IF(AND(ISNUMBER(L187),N(L187)&gt;0),N(L187),0)</f>
        <v>0.0</v>
      </c>
      <c r="W187" s="67">
        <f>IF(AND(I187="Terminée",S187&gt;0,C187&lt;&gt;"",ISNUMBER(MATCH(C187,eq_code,0))),1,0)</f>
        <v>0.0</v>
      </c>
      <c r="X187" s="67">
        <f>IF(AND(W187=1,E187="Préventif"),1,0)</f>
        <v>0.0</v>
      </c>
      <c r="Y187" s="67">
        <f>IF(AND(ISNUMBER(N187),N(N187)&gt;0),N(N187),0)</f>
        <v>0.0</v>
      </c>
      <c r="Z187" s="67">
        <f>IF(AND(ISNUMBER(P187),N(P187)&gt;0),N(P187),0)</f>
        <v>0.0</v>
      </c>
    </row>
    <row r="188">
      <c r="A188" s="79" t="str">
        <f>IF(COUNTA(B188:C188,E188:G188,I188)=0,"","BI-"&amp;RIGHT("0000"&amp;(ROW()-5),4))</f>
        <v/>
      </c>
      <c r="B188" s="72" t="n"/>
      <c r="C188" s="66" t="n"/>
      <c r="D188" s="67" t="str">
        <f>IF(C188="","",IFERROR(INDEX(eq_des,MATCH(C188,eq_code,0))&amp;"","Équipement inconnu"))</f>
        <v/>
      </c>
      <c r="E188" s="68" t="n"/>
      <c r="F188" s="68" t="n"/>
      <c r="G188" s="66" t="n"/>
      <c r="H188" s="66" t="n"/>
      <c r="I188" s="68" t="n"/>
      <c r="J188" s="73" t="n"/>
      <c r="K188" s="71" t="n"/>
      <c r="L188" s="71" t="n"/>
      <c r="M188" s="66" t="n"/>
      <c r="N188" s="80" t="n"/>
      <c r="O188" s="81" t="str">
        <f>IF(A188="","",ROUND(V188*IFERROR(N(INDEX(tech_rate,MATCH(M188,tech_name,0))),0),2))</f>
        <v/>
      </c>
      <c r="P188" s="80" t="n"/>
      <c r="Q188" s="81" t="str">
        <f>IF(A188="","",ROUND(Y188+O188+Z188,2))</f>
        <v/>
      </c>
      <c r="R188" s="79" t="str">
        <f>IF(A188="","",IF(S188=0,"Date manquante ou invalide",IF(C188="","Équipement manquant",IF(ISNA(MATCH(C188,eq_code,0)),"Équipement inconnu",IF(E188="","Type manquant",IF(AND(E188&lt;&gt;"Préventif",E188&lt;&gt;"Correctif",E188&lt;&gt;"Amélioratif"),"Type inconnu",IF(I188="","Statut manquant",IF(AND(I188&lt;&gt;"Terminée",I188&lt;&gt;"En cours",I188&lt;&gt;"À faire",I188&lt;&gt;"Annulée"),"Statut inconnu",IF(AND(E188="Préventif",F188=""),"Plan manquant (préventif)",IF(AND(F188&lt;&gt;"",ISNA(MATCH(F188,pl_num,0))),"Plan inconnu",IF(AND(F188&lt;&gt;"",IFERROR(INDEX(pl_eq,MATCH(F188,pl_num,0))&amp;"",C188)&lt;&gt;C188),"Plan d'un autre équipement",IF(AND(J188&lt;&gt;"",OR(NOT(ISNUMBER(J188)),N(J188)&lt;0)),"Compteur invalide",IF(OR(AND(K188&lt;&gt;"",OR(NOT(ISNUMBER(K188)),N(K188)&lt;0)),AND(L188&lt;&gt;"",OR(NOT(ISNUMBER(L188)),N(L188)&lt;0))),"Durée invalide",IF(OR(AND(N188&lt;&gt;"",OR(NOT(ISNUMBER(N188)),N(N188)&lt;0)),AND(P188&lt;&gt;"",OR(NOT(ISNUMBER(P188)),N(P188)&lt;0))),"Coût invalide",IF(AND(M188&lt;&gt;"",ISNA(MATCH(M188,tech_name,0))),"Technicien inconnu",IF(AND(I188="Terminée",S188&gt;p_today),"Terminée à une date future",IF(AND(I188="Terminée",V188=0),"Durée d'intervention manquante",IF(AND(I188="Terminée",E188="Préventif",T188=0,OR(IFERROR(INDEX(pl_trig,MATCH(F188,pl_num,0))&amp;"","")="Compteur",IFERROR(INDEX(pl_trig,MATCH(F188,pl_num,0))&amp;"","")="Au premier des deux")),"Compteur manquant (plan au compteur)","OK"))))))))))))))))))</f>
        <v/>
      </c>
      <c r="S188" s="67">
        <f>IF(AND(ISNUMBER(B188),N(B188)&gt;0),INT(B188),0)</f>
        <v>0.0</v>
      </c>
      <c r="T188" s="67">
        <f>IF(AND(ISNUMBER(J188),N(J188)&gt;=0),N(J188),0)</f>
        <v>0.0</v>
      </c>
      <c r="U188" s="67">
        <f>IF(AND(ISNUMBER(K188),N(K188)&gt;0),N(K188),0)</f>
        <v>0.0</v>
      </c>
      <c r="V188" s="67">
        <f>IF(AND(ISNUMBER(L188),N(L188)&gt;0),N(L188),0)</f>
        <v>0.0</v>
      </c>
      <c r="W188" s="67">
        <f>IF(AND(I188="Terminée",S188&gt;0,C188&lt;&gt;"",ISNUMBER(MATCH(C188,eq_code,0))),1,0)</f>
        <v>0.0</v>
      </c>
      <c r="X188" s="67">
        <f>IF(AND(W188=1,E188="Préventif"),1,0)</f>
        <v>0.0</v>
      </c>
      <c r="Y188" s="67">
        <f>IF(AND(ISNUMBER(N188),N(N188)&gt;0),N(N188),0)</f>
        <v>0.0</v>
      </c>
      <c r="Z188" s="67">
        <f>IF(AND(ISNUMBER(P188),N(P188)&gt;0),N(P188),0)</f>
        <v>0.0</v>
      </c>
    </row>
    <row r="189">
      <c r="A189" s="79" t="str">
        <f>IF(COUNTA(B189:C189,E189:G189,I189)=0,"","BI-"&amp;RIGHT("0000"&amp;(ROW()-5),4))</f>
        <v/>
      </c>
      <c r="B189" s="72" t="n"/>
      <c r="C189" s="66" t="n"/>
      <c r="D189" s="67" t="str">
        <f>IF(C189="","",IFERROR(INDEX(eq_des,MATCH(C189,eq_code,0))&amp;"","Équipement inconnu"))</f>
        <v/>
      </c>
      <c r="E189" s="68" t="n"/>
      <c r="F189" s="68" t="n"/>
      <c r="G189" s="66" t="n"/>
      <c r="H189" s="66" t="n"/>
      <c r="I189" s="68" t="n"/>
      <c r="J189" s="73" t="n"/>
      <c r="K189" s="71" t="n"/>
      <c r="L189" s="71" t="n"/>
      <c r="M189" s="66" t="n"/>
      <c r="N189" s="80" t="n"/>
      <c r="O189" s="81" t="str">
        <f>IF(A189="","",ROUND(V189*IFERROR(N(INDEX(tech_rate,MATCH(M189,tech_name,0))),0),2))</f>
        <v/>
      </c>
      <c r="P189" s="80" t="n"/>
      <c r="Q189" s="81" t="str">
        <f>IF(A189="","",ROUND(Y189+O189+Z189,2))</f>
        <v/>
      </c>
      <c r="R189" s="79" t="str">
        <f>IF(A189="","",IF(S189=0,"Date manquante ou invalide",IF(C189="","Équipement manquant",IF(ISNA(MATCH(C189,eq_code,0)),"Équipement inconnu",IF(E189="","Type manquant",IF(AND(E189&lt;&gt;"Préventif",E189&lt;&gt;"Correctif",E189&lt;&gt;"Amélioratif"),"Type inconnu",IF(I189="","Statut manquant",IF(AND(I189&lt;&gt;"Terminée",I189&lt;&gt;"En cours",I189&lt;&gt;"À faire",I189&lt;&gt;"Annulée"),"Statut inconnu",IF(AND(E189="Préventif",F189=""),"Plan manquant (préventif)",IF(AND(F189&lt;&gt;"",ISNA(MATCH(F189,pl_num,0))),"Plan inconnu",IF(AND(F189&lt;&gt;"",IFERROR(INDEX(pl_eq,MATCH(F189,pl_num,0))&amp;"",C189)&lt;&gt;C189),"Plan d'un autre équipement",IF(AND(J189&lt;&gt;"",OR(NOT(ISNUMBER(J189)),N(J189)&lt;0)),"Compteur invalide",IF(OR(AND(K189&lt;&gt;"",OR(NOT(ISNUMBER(K189)),N(K189)&lt;0)),AND(L189&lt;&gt;"",OR(NOT(ISNUMBER(L189)),N(L189)&lt;0))),"Durée invalide",IF(OR(AND(N189&lt;&gt;"",OR(NOT(ISNUMBER(N189)),N(N189)&lt;0)),AND(P189&lt;&gt;"",OR(NOT(ISNUMBER(P189)),N(P189)&lt;0))),"Coût invalide",IF(AND(M189&lt;&gt;"",ISNA(MATCH(M189,tech_name,0))),"Technicien inconnu",IF(AND(I189="Terminée",S189&gt;p_today),"Terminée à une date future",IF(AND(I189="Terminée",V189=0),"Durée d'intervention manquante",IF(AND(I189="Terminée",E189="Préventif",T189=0,OR(IFERROR(INDEX(pl_trig,MATCH(F189,pl_num,0))&amp;"","")="Compteur",IFERROR(INDEX(pl_trig,MATCH(F189,pl_num,0))&amp;"","")="Au premier des deux")),"Compteur manquant (plan au compteur)","OK"))))))))))))))))))</f>
        <v/>
      </c>
      <c r="S189" s="67">
        <f>IF(AND(ISNUMBER(B189),N(B189)&gt;0),INT(B189),0)</f>
        <v>0.0</v>
      </c>
      <c r="T189" s="67">
        <f>IF(AND(ISNUMBER(J189),N(J189)&gt;=0),N(J189),0)</f>
        <v>0.0</v>
      </c>
      <c r="U189" s="67">
        <f>IF(AND(ISNUMBER(K189),N(K189)&gt;0),N(K189),0)</f>
        <v>0.0</v>
      </c>
      <c r="V189" s="67">
        <f>IF(AND(ISNUMBER(L189),N(L189)&gt;0),N(L189),0)</f>
        <v>0.0</v>
      </c>
      <c r="W189" s="67">
        <f>IF(AND(I189="Terminée",S189&gt;0,C189&lt;&gt;"",ISNUMBER(MATCH(C189,eq_code,0))),1,0)</f>
        <v>0.0</v>
      </c>
      <c r="X189" s="67">
        <f>IF(AND(W189=1,E189="Préventif"),1,0)</f>
        <v>0.0</v>
      </c>
      <c r="Y189" s="67">
        <f>IF(AND(ISNUMBER(N189),N(N189)&gt;0),N(N189),0)</f>
        <v>0.0</v>
      </c>
      <c r="Z189" s="67">
        <f>IF(AND(ISNUMBER(P189),N(P189)&gt;0),N(P189),0)</f>
        <v>0.0</v>
      </c>
    </row>
    <row r="190">
      <c r="A190" s="79" t="str">
        <f>IF(COUNTA(B190:C190,E190:G190,I190)=0,"","BI-"&amp;RIGHT("0000"&amp;(ROW()-5),4))</f>
        <v/>
      </c>
      <c r="B190" s="72" t="n"/>
      <c r="C190" s="66" t="n"/>
      <c r="D190" s="67" t="str">
        <f>IF(C190="","",IFERROR(INDEX(eq_des,MATCH(C190,eq_code,0))&amp;"","Équipement inconnu"))</f>
        <v/>
      </c>
      <c r="E190" s="68" t="n"/>
      <c r="F190" s="68" t="n"/>
      <c r="G190" s="66" t="n"/>
      <c r="H190" s="66" t="n"/>
      <c r="I190" s="68" t="n"/>
      <c r="J190" s="73" t="n"/>
      <c r="K190" s="71" t="n"/>
      <c r="L190" s="71" t="n"/>
      <c r="M190" s="66" t="n"/>
      <c r="N190" s="80" t="n"/>
      <c r="O190" s="81" t="str">
        <f>IF(A190="","",ROUND(V190*IFERROR(N(INDEX(tech_rate,MATCH(M190,tech_name,0))),0),2))</f>
        <v/>
      </c>
      <c r="P190" s="80" t="n"/>
      <c r="Q190" s="81" t="str">
        <f>IF(A190="","",ROUND(Y190+O190+Z190,2))</f>
        <v/>
      </c>
      <c r="R190" s="79" t="str">
        <f>IF(A190="","",IF(S190=0,"Date manquante ou invalide",IF(C190="","Équipement manquant",IF(ISNA(MATCH(C190,eq_code,0)),"Équipement inconnu",IF(E190="","Type manquant",IF(AND(E190&lt;&gt;"Préventif",E190&lt;&gt;"Correctif",E190&lt;&gt;"Amélioratif"),"Type inconnu",IF(I190="","Statut manquant",IF(AND(I190&lt;&gt;"Terminée",I190&lt;&gt;"En cours",I190&lt;&gt;"À faire",I190&lt;&gt;"Annulée"),"Statut inconnu",IF(AND(E190="Préventif",F190=""),"Plan manquant (préventif)",IF(AND(F190&lt;&gt;"",ISNA(MATCH(F190,pl_num,0))),"Plan inconnu",IF(AND(F190&lt;&gt;"",IFERROR(INDEX(pl_eq,MATCH(F190,pl_num,0))&amp;"",C190)&lt;&gt;C190),"Plan d'un autre équipement",IF(AND(J190&lt;&gt;"",OR(NOT(ISNUMBER(J190)),N(J190)&lt;0)),"Compteur invalide",IF(OR(AND(K190&lt;&gt;"",OR(NOT(ISNUMBER(K190)),N(K190)&lt;0)),AND(L190&lt;&gt;"",OR(NOT(ISNUMBER(L190)),N(L190)&lt;0))),"Durée invalide",IF(OR(AND(N190&lt;&gt;"",OR(NOT(ISNUMBER(N190)),N(N190)&lt;0)),AND(P190&lt;&gt;"",OR(NOT(ISNUMBER(P190)),N(P190)&lt;0))),"Coût invalide",IF(AND(M190&lt;&gt;"",ISNA(MATCH(M190,tech_name,0))),"Technicien inconnu",IF(AND(I190="Terminée",S190&gt;p_today),"Terminée à une date future",IF(AND(I190="Terminée",V190=0),"Durée d'intervention manquante",IF(AND(I190="Terminée",E190="Préventif",T190=0,OR(IFERROR(INDEX(pl_trig,MATCH(F190,pl_num,0))&amp;"","")="Compteur",IFERROR(INDEX(pl_trig,MATCH(F190,pl_num,0))&amp;"","")="Au premier des deux")),"Compteur manquant (plan au compteur)","OK"))))))))))))))))))</f>
        <v/>
      </c>
      <c r="S190" s="67">
        <f>IF(AND(ISNUMBER(B190),N(B190)&gt;0),INT(B190),0)</f>
        <v>0.0</v>
      </c>
      <c r="T190" s="67">
        <f>IF(AND(ISNUMBER(J190),N(J190)&gt;=0),N(J190),0)</f>
        <v>0.0</v>
      </c>
      <c r="U190" s="67">
        <f>IF(AND(ISNUMBER(K190),N(K190)&gt;0),N(K190),0)</f>
        <v>0.0</v>
      </c>
      <c r="V190" s="67">
        <f>IF(AND(ISNUMBER(L190),N(L190)&gt;0),N(L190),0)</f>
        <v>0.0</v>
      </c>
      <c r="W190" s="67">
        <f>IF(AND(I190="Terminée",S190&gt;0,C190&lt;&gt;"",ISNUMBER(MATCH(C190,eq_code,0))),1,0)</f>
        <v>0.0</v>
      </c>
      <c r="X190" s="67">
        <f>IF(AND(W190=1,E190="Préventif"),1,0)</f>
        <v>0.0</v>
      </c>
      <c r="Y190" s="67">
        <f>IF(AND(ISNUMBER(N190),N(N190)&gt;0),N(N190),0)</f>
        <v>0.0</v>
      </c>
      <c r="Z190" s="67">
        <f>IF(AND(ISNUMBER(P190),N(P190)&gt;0),N(P190),0)</f>
        <v>0.0</v>
      </c>
    </row>
    <row r="191">
      <c r="A191" s="79" t="str">
        <f>IF(COUNTA(B191:C191,E191:G191,I191)=0,"","BI-"&amp;RIGHT("0000"&amp;(ROW()-5),4))</f>
        <v/>
      </c>
      <c r="B191" s="72" t="n"/>
      <c r="C191" s="66" t="n"/>
      <c r="D191" s="67" t="str">
        <f>IF(C191="","",IFERROR(INDEX(eq_des,MATCH(C191,eq_code,0))&amp;"","Équipement inconnu"))</f>
        <v/>
      </c>
      <c r="E191" s="68" t="n"/>
      <c r="F191" s="68" t="n"/>
      <c r="G191" s="66" t="n"/>
      <c r="H191" s="66" t="n"/>
      <c r="I191" s="68" t="n"/>
      <c r="J191" s="73" t="n"/>
      <c r="K191" s="71" t="n"/>
      <c r="L191" s="71" t="n"/>
      <c r="M191" s="66" t="n"/>
      <c r="N191" s="80" t="n"/>
      <c r="O191" s="81" t="str">
        <f>IF(A191="","",ROUND(V191*IFERROR(N(INDEX(tech_rate,MATCH(M191,tech_name,0))),0),2))</f>
        <v/>
      </c>
      <c r="P191" s="80" t="n"/>
      <c r="Q191" s="81" t="str">
        <f>IF(A191="","",ROUND(Y191+O191+Z191,2))</f>
        <v/>
      </c>
      <c r="R191" s="79" t="str">
        <f>IF(A191="","",IF(S191=0,"Date manquante ou invalide",IF(C191="","Équipement manquant",IF(ISNA(MATCH(C191,eq_code,0)),"Équipement inconnu",IF(E191="","Type manquant",IF(AND(E191&lt;&gt;"Préventif",E191&lt;&gt;"Correctif",E191&lt;&gt;"Amélioratif"),"Type inconnu",IF(I191="","Statut manquant",IF(AND(I191&lt;&gt;"Terminée",I191&lt;&gt;"En cours",I191&lt;&gt;"À faire",I191&lt;&gt;"Annulée"),"Statut inconnu",IF(AND(E191="Préventif",F191=""),"Plan manquant (préventif)",IF(AND(F191&lt;&gt;"",ISNA(MATCH(F191,pl_num,0))),"Plan inconnu",IF(AND(F191&lt;&gt;"",IFERROR(INDEX(pl_eq,MATCH(F191,pl_num,0))&amp;"",C191)&lt;&gt;C191),"Plan d'un autre équipement",IF(AND(J191&lt;&gt;"",OR(NOT(ISNUMBER(J191)),N(J191)&lt;0)),"Compteur invalide",IF(OR(AND(K191&lt;&gt;"",OR(NOT(ISNUMBER(K191)),N(K191)&lt;0)),AND(L191&lt;&gt;"",OR(NOT(ISNUMBER(L191)),N(L191)&lt;0))),"Durée invalide",IF(OR(AND(N191&lt;&gt;"",OR(NOT(ISNUMBER(N191)),N(N191)&lt;0)),AND(P191&lt;&gt;"",OR(NOT(ISNUMBER(P191)),N(P191)&lt;0))),"Coût invalide",IF(AND(M191&lt;&gt;"",ISNA(MATCH(M191,tech_name,0))),"Technicien inconnu",IF(AND(I191="Terminée",S191&gt;p_today),"Terminée à une date future",IF(AND(I191="Terminée",V191=0),"Durée d'intervention manquante",IF(AND(I191="Terminée",E191="Préventif",T191=0,OR(IFERROR(INDEX(pl_trig,MATCH(F191,pl_num,0))&amp;"","")="Compteur",IFERROR(INDEX(pl_trig,MATCH(F191,pl_num,0))&amp;"","")="Au premier des deux")),"Compteur manquant (plan au compteur)","OK"))))))))))))))))))</f>
        <v/>
      </c>
      <c r="S191" s="67">
        <f>IF(AND(ISNUMBER(B191),N(B191)&gt;0),INT(B191),0)</f>
        <v>0.0</v>
      </c>
      <c r="T191" s="67">
        <f>IF(AND(ISNUMBER(J191),N(J191)&gt;=0),N(J191),0)</f>
        <v>0.0</v>
      </c>
      <c r="U191" s="67">
        <f>IF(AND(ISNUMBER(K191),N(K191)&gt;0),N(K191),0)</f>
        <v>0.0</v>
      </c>
      <c r="V191" s="67">
        <f>IF(AND(ISNUMBER(L191),N(L191)&gt;0),N(L191),0)</f>
        <v>0.0</v>
      </c>
      <c r="W191" s="67">
        <f>IF(AND(I191="Terminée",S191&gt;0,C191&lt;&gt;"",ISNUMBER(MATCH(C191,eq_code,0))),1,0)</f>
        <v>0.0</v>
      </c>
      <c r="X191" s="67">
        <f>IF(AND(W191=1,E191="Préventif"),1,0)</f>
        <v>0.0</v>
      </c>
      <c r="Y191" s="67">
        <f>IF(AND(ISNUMBER(N191),N(N191)&gt;0),N(N191),0)</f>
        <v>0.0</v>
      </c>
      <c r="Z191" s="67">
        <f>IF(AND(ISNUMBER(P191),N(P191)&gt;0),N(P191),0)</f>
        <v>0.0</v>
      </c>
    </row>
    <row r="192">
      <c r="A192" s="79" t="str">
        <f>IF(COUNTA(B192:C192,E192:G192,I192)=0,"","BI-"&amp;RIGHT("0000"&amp;(ROW()-5),4))</f>
        <v/>
      </c>
      <c r="B192" s="72" t="n"/>
      <c r="C192" s="66" t="n"/>
      <c r="D192" s="67" t="str">
        <f>IF(C192="","",IFERROR(INDEX(eq_des,MATCH(C192,eq_code,0))&amp;"","Équipement inconnu"))</f>
        <v/>
      </c>
      <c r="E192" s="68" t="n"/>
      <c r="F192" s="68" t="n"/>
      <c r="G192" s="66" t="n"/>
      <c r="H192" s="66" t="n"/>
      <c r="I192" s="68" t="n"/>
      <c r="J192" s="73" t="n"/>
      <c r="K192" s="71" t="n"/>
      <c r="L192" s="71" t="n"/>
      <c r="M192" s="66" t="n"/>
      <c r="N192" s="80" t="n"/>
      <c r="O192" s="81" t="str">
        <f>IF(A192="","",ROUND(V192*IFERROR(N(INDEX(tech_rate,MATCH(M192,tech_name,0))),0),2))</f>
        <v/>
      </c>
      <c r="P192" s="80" t="n"/>
      <c r="Q192" s="81" t="str">
        <f>IF(A192="","",ROUND(Y192+O192+Z192,2))</f>
        <v/>
      </c>
      <c r="R192" s="79" t="str">
        <f>IF(A192="","",IF(S192=0,"Date manquante ou invalide",IF(C192="","Équipement manquant",IF(ISNA(MATCH(C192,eq_code,0)),"Équipement inconnu",IF(E192="","Type manquant",IF(AND(E192&lt;&gt;"Préventif",E192&lt;&gt;"Correctif",E192&lt;&gt;"Amélioratif"),"Type inconnu",IF(I192="","Statut manquant",IF(AND(I192&lt;&gt;"Terminée",I192&lt;&gt;"En cours",I192&lt;&gt;"À faire",I192&lt;&gt;"Annulée"),"Statut inconnu",IF(AND(E192="Préventif",F192=""),"Plan manquant (préventif)",IF(AND(F192&lt;&gt;"",ISNA(MATCH(F192,pl_num,0))),"Plan inconnu",IF(AND(F192&lt;&gt;"",IFERROR(INDEX(pl_eq,MATCH(F192,pl_num,0))&amp;"",C192)&lt;&gt;C192),"Plan d'un autre équipement",IF(AND(J192&lt;&gt;"",OR(NOT(ISNUMBER(J192)),N(J192)&lt;0)),"Compteur invalide",IF(OR(AND(K192&lt;&gt;"",OR(NOT(ISNUMBER(K192)),N(K192)&lt;0)),AND(L192&lt;&gt;"",OR(NOT(ISNUMBER(L192)),N(L192)&lt;0))),"Durée invalide",IF(OR(AND(N192&lt;&gt;"",OR(NOT(ISNUMBER(N192)),N(N192)&lt;0)),AND(P192&lt;&gt;"",OR(NOT(ISNUMBER(P192)),N(P192)&lt;0))),"Coût invalide",IF(AND(M192&lt;&gt;"",ISNA(MATCH(M192,tech_name,0))),"Technicien inconnu",IF(AND(I192="Terminée",S192&gt;p_today),"Terminée à une date future",IF(AND(I192="Terminée",V192=0),"Durée d'intervention manquante",IF(AND(I192="Terminée",E192="Préventif",T192=0,OR(IFERROR(INDEX(pl_trig,MATCH(F192,pl_num,0))&amp;"","")="Compteur",IFERROR(INDEX(pl_trig,MATCH(F192,pl_num,0))&amp;"","")="Au premier des deux")),"Compteur manquant (plan au compteur)","OK"))))))))))))))))))</f>
        <v/>
      </c>
      <c r="S192" s="67">
        <f>IF(AND(ISNUMBER(B192),N(B192)&gt;0),INT(B192),0)</f>
        <v>0.0</v>
      </c>
      <c r="T192" s="67">
        <f>IF(AND(ISNUMBER(J192),N(J192)&gt;=0),N(J192),0)</f>
        <v>0.0</v>
      </c>
      <c r="U192" s="67">
        <f>IF(AND(ISNUMBER(K192),N(K192)&gt;0),N(K192),0)</f>
        <v>0.0</v>
      </c>
      <c r="V192" s="67">
        <f>IF(AND(ISNUMBER(L192),N(L192)&gt;0),N(L192),0)</f>
        <v>0.0</v>
      </c>
      <c r="W192" s="67">
        <f>IF(AND(I192="Terminée",S192&gt;0,C192&lt;&gt;"",ISNUMBER(MATCH(C192,eq_code,0))),1,0)</f>
        <v>0.0</v>
      </c>
      <c r="X192" s="67">
        <f>IF(AND(W192=1,E192="Préventif"),1,0)</f>
        <v>0.0</v>
      </c>
      <c r="Y192" s="67">
        <f>IF(AND(ISNUMBER(N192),N(N192)&gt;0),N(N192),0)</f>
        <v>0.0</v>
      </c>
      <c r="Z192" s="67">
        <f>IF(AND(ISNUMBER(P192),N(P192)&gt;0),N(P192),0)</f>
        <v>0.0</v>
      </c>
    </row>
    <row r="193">
      <c r="A193" s="79" t="str">
        <f>IF(COUNTA(B193:C193,E193:G193,I193)=0,"","BI-"&amp;RIGHT("0000"&amp;(ROW()-5),4))</f>
        <v/>
      </c>
      <c r="B193" s="72" t="n"/>
      <c r="C193" s="66" t="n"/>
      <c r="D193" s="67" t="str">
        <f>IF(C193="","",IFERROR(INDEX(eq_des,MATCH(C193,eq_code,0))&amp;"","Équipement inconnu"))</f>
        <v/>
      </c>
      <c r="E193" s="68" t="n"/>
      <c r="F193" s="68" t="n"/>
      <c r="G193" s="66" t="n"/>
      <c r="H193" s="66" t="n"/>
      <c r="I193" s="68" t="n"/>
      <c r="J193" s="73" t="n"/>
      <c r="K193" s="71" t="n"/>
      <c r="L193" s="71" t="n"/>
      <c r="M193" s="66" t="n"/>
      <c r="N193" s="80" t="n"/>
      <c r="O193" s="81" t="str">
        <f>IF(A193="","",ROUND(V193*IFERROR(N(INDEX(tech_rate,MATCH(M193,tech_name,0))),0),2))</f>
        <v/>
      </c>
      <c r="P193" s="80" t="n"/>
      <c r="Q193" s="81" t="str">
        <f>IF(A193="","",ROUND(Y193+O193+Z193,2))</f>
        <v/>
      </c>
      <c r="R193" s="79" t="str">
        <f>IF(A193="","",IF(S193=0,"Date manquante ou invalide",IF(C193="","Équipement manquant",IF(ISNA(MATCH(C193,eq_code,0)),"Équipement inconnu",IF(E193="","Type manquant",IF(AND(E193&lt;&gt;"Préventif",E193&lt;&gt;"Correctif",E193&lt;&gt;"Amélioratif"),"Type inconnu",IF(I193="","Statut manquant",IF(AND(I193&lt;&gt;"Terminée",I193&lt;&gt;"En cours",I193&lt;&gt;"À faire",I193&lt;&gt;"Annulée"),"Statut inconnu",IF(AND(E193="Préventif",F193=""),"Plan manquant (préventif)",IF(AND(F193&lt;&gt;"",ISNA(MATCH(F193,pl_num,0))),"Plan inconnu",IF(AND(F193&lt;&gt;"",IFERROR(INDEX(pl_eq,MATCH(F193,pl_num,0))&amp;"",C193)&lt;&gt;C193),"Plan d'un autre équipement",IF(AND(J193&lt;&gt;"",OR(NOT(ISNUMBER(J193)),N(J193)&lt;0)),"Compteur invalide",IF(OR(AND(K193&lt;&gt;"",OR(NOT(ISNUMBER(K193)),N(K193)&lt;0)),AND(L193&lt;&gt;"",OR(NOT(ISNUMBER(L193)),N(L193)&lt;0))),"Durée invalide",IF(OR(AND(N193&lt;&gt;"",OR(NOT(ISNUMBER(N193)),N(N193)&lt;0)),AND(P193&lt;&gt;"",OR(NOT(ISNUMBER(P193)),N(P193)&lt;0))),"Coût invalide",IF(AND(M193&lt;&gt;"",ISNA(MATCH(M193,tech_name,0))),"Technicien inconnu",IF(AND(I193="Terminée",S193&gt;p_today),"Terminée à une date future",IF(AND(I193="Terminée",V193=0),"Durée d'intervention manquante",IF(AND(I193="Terminée",E193="Préventif",T193=0,OR(IFERROR(INDEX(pl_trig,MATCH(F193,pl_num,0))&amp;"","")="Compteur",IFERROR(INDEX(pl_trig,MATCH(F193,pl_num,0))&amp;"","")="Au premier des deux")),"Compteur manquant (plan au compteur)","OK"))))))))))))))))))</f>
        <v/>
      </c>
      <c r="S193" s="67">
        <f>IF(AND(ISNUMBER(B193),N(B193)&gt;0),INT(B193),0)</f>
        <v>0.0</v>
      </c>
      <c r="T193" s="67">
        <f>IF(AND(ISNUMBER(J193),N(J193)&gt;=0),N(J193),0)</f>
        <v>0.0</v>
      </c>
      <c r="U193" s="67">
        <f>IF(AND(ISNUMBER(K193),N(K193)&gt;0),N(K193),0)</f>
        <v>0.0</v>
      </c>
      <c r="V193" s="67">
        <f>IF(AND(ISNUMBER(L193),N(L193)&gt;0),N(L193),0)</f>
        <v>0.0</v>
      </c>
      <c r="W193" s="67">
        <f>IF(AND(I193="Terminée",S193&gt;0,C193&lt;&gt;"",ISNUMBER(MATCH(C193,eq_code,0))),1,0)</f>
        <v>0.0</v>
      </c>
      <c r="X193" s="67">
        <f>IF(AND(W193=1,E193="Préventif"),1,0)</f>
        <v>0.0</v>
      </c>
      <c r="Y193" s="67">
        <f>IF(AND(ISNUMBER(N193),N(N193)&gt;0),N(N193),0)</f>
        <v>0.0</v>
      </c>
      <c r="Z193" s="67">
        <f>IF(AND(ISNUMBER(P193),N(P193)&gt;0),N(P193),0)</f>
        <v>0.0</v>
      </c>
    </row>
    <row r="194">
      <c r="A194" s="79" t="str">
        <f>IF(COUNTA(B194:C194,E194:G194,I194)=0,"","BI-"&amp;RIGHT("0000"&amp;(ROW()-5),4))</f>
        <v/>
      </c>
      <c r="B194" s="72" t="n"/>
      <c r="C194" s="66" t="n"/>
      <c r="D194" s="67" t="str">
        <f>IF(C194="","",IFERROR(INDEX(eq_des,MATCH(C194,eq_code,0))&amp;"","Équipement inconnu"))</f>
        <v/>
      </c>
      <c r="E194" s="68" t="n"/>
      <c r="F194" s="68" t="n"/>
      <c r="G194" s="66" t="n"/>
      <c r="H194" s="66" t="n"/>
      <c r="I194" s="68" t="n"/>
      <c r="J194" s="73" t="n"/>
      <c r="K194" s="71" t="n"/>
      <c r="L194" s="71" t="n"/>
      <c r="M194" s="66" t="n"/>
      <c r="N194" s="80" t="n"/>
      <c r="O194" s="81" t="str">
        <f>IF(A194="","",ROUND(V194*IFERROR(N(INDEX(tech_rate,MATCH(M194,tech_name,0))),0),2))</f>
        <v/>
      </c>
      <c r="P194" s="80" t="n"/>
      <c r="Q194" s="81" t="str">
        <f>IF(A194="","",ROUND(Y194+O194+Z194,2))</f>
        <v/>
      </c>
      <c r="R194" s="79" t="str">
        <f>IF(A194="","",IF(S194=0,"Date manquante ou invalide",IF(C194="","Équipement manquant",IF(ISNA(MATCH(C194,eq_code,0)),"Équipement inconnu",IF(E194="","Type manquant",IF(AND(E194&lt;&gt;"Préventif",E194&lt;&gt;"Correctif",E194&lt;&gt;"Amélioratif"),"Type inconnu",IF(I194="","Statut manquant",IF(AND(I194&lt;&gt;"Terminée",I194&lt;&gt;"En cours",I194&lt;&gt;"À faire",I194&lt;&gt;"Annulée"),"Statut inconnu",IF(AND(E194="Préventif",F194=""),"Plan manquant (préventif)",IF(AND(F194&lt;&gt;"",ISNA(MATCH(F194,pl_num,0))),"Plan inconnu",IF(AND(F194&lt;&gt;"",IFERROR(INDEX(pl_eq,MATCH(F194,pl_num,0))&amp;"",C194)&lt;&gt;C194),"Plan d'un autre équipement",IF(AND(J194&lt;&gt;"",OR(NOT(ISNUMBER(J194)),N(J194)&lt;0)),"Compteur invalide",IF(OR(AND(K194&lt;&gt;"",OR(NOT(ISNUMBER(K194)),N(K194)&lt;0)),AND(L194&lt;&gt;"",OR(NOT(ISNUMBER(L194)),N(L194)&lt;0))),"Durée invalide",IF(OR(AND(N194&lt;&gt;"",OR(NOT(ISNUMBER(N194)),N(N194)&lt;0)),AND(P194&lt;&gt;"",OR(NOT(ISNUMBER(P194)),N(P194)&lt;0))),"Coût invalide",IF(AND(M194&lt;&gt;"",ISNA(MATCH(M194,tech_name,0))),"Technicien inconnu",IF(AND(I194="Terminée",S194&gt;p_today),"Terminée à une date future",IF(AND(I194="Terminée",V194=0),"Durée d'intervention manquante",IF(AND(I194="Terminée",E194="Préventif",T194=0,OR(IFERROR(INDEX(pl_trig,MATCH(F194,pl_num,0))&amp;"","")="Compteur",IFERROR(INDEX(pl_trig,MATCH(F194,pl_num,0))&amp;"","")="Au premier des deux")),"Compteur manquant (plan au compteur)","OK"))))))))))))))))))</f>
        <v/>
      </c>
      <c r="S194" s="67">
        <f>IF(AND(ISNUMBER(B194),N(B194)&gt;0),INT(B194),0)</f>
        <v>0.0</v>
      </c>
      <c r="T194" s="67">
        <f>IF(AND(ISNUMBER(J194),N(J194)&gt;=0),N(J194),0)</f>
        <v>0.0</v>
      </c>
      <c r="U194" s="67">
        <f>IF(AND(ISNUMBER(K194),N(K194)&gt;0),N(K194),0)</f>
        <v>0.0</v>
      </c>
      <c r="V194" s="67">
        <f>IF(AND(ISNUMBER(L194),N(L194)&gt;0),N(L194),0)</f>
        <v>0.0</v>
      </c>
      <c r="W194" s="67">
        <f>IF(AND(I194="Terminée",S194&gt;0,C194&lt;&gt;"",ISNUMBER(MATCH(C194,eq_code,0))),1,0)</f>
        <v>0.0</v>
      </c>
      <c r="X194" s="67">
        <f>IF(AND(W194=1,E194="Préventif"),1,0)</f>
        <v>0.0</v>
      </c>
      <c r="Y194" s="67">
        <f>IF(AND(ISNUMBER(N194),N(N194)&gt;0),N(N194),0)</f>
        <v>0.0</v>
      </c>
      <c r="Z194" s="67">
        <f>IF(AND(ISNUMBER(P194),N(P194)&gt;0),N(P194),0)</f>
        <v>0.0</v>
      </c>
    </row>
    <row r="195">
      <c r="A195" s="79" t="str">
        <f>IF(COUNTA(B195:C195,E195:G195,I195)=0,"","BI-"&amp;RIGHT("0000"&amp;(ROW()-5),4))</f>
        <v/>
      </c>
      <c r="B195" s="72" t="n"/>
      <c r="C195" s="66" t="n"/>
      <c r="D195" s="67" t="str">
        <f>IF(C195="","",IFERROR(INDEX(eq_des,MATCH(C195,eq_code,0))&amp;"","Équipement inconnu"))</f>
        <v/>
      </c>
      <c r="E195" s="68" t="n"/>
      <c r="F195" s="68" t="n"/>
      <c r="G195" s="66" t="n"/>
      <c r="H195" s="66" t="n"/>
      <c r="I195" s="68" t="n"/>
      <c r="J195" s="73" t="n"/>
      <c r="K195" s="71" t="n"/>
      <c r="L195" s="71" t="n"/>
      <c r="M195" s="66" t="n"/>
      <c r="N195" s="80" t="n"/>
      <c r="O195" s="81" t="str">
        <f>IF(A195="","",ROUND(V195*IFERROR(N(INDEX(tech_rate,MATCH(M195,tech_name,0))),0),2))</f>
        <v/>
      </c>
      <c r="P195" s="80" t="n"/>
      <c r="Q195" s="81" t="str">
        <f>IF(A195="","",ROUND(Y195+O195+Z195,2))</f>
        <v/>
      </c>
      <c r="R195" s="79" t="str">
        <f>IF(A195="","",IF(S195=0,"Date manquante ou invalide",IF(C195="","Équipement manquant",IF(ISNA(MATCH(C195,eq_code,0)),"Équipement inconnu",IF(E195="","Type manquant",IF(AND(E195&lt;&gt;"Préventif",E195&lt;&gt;"Correctif",E195&lt;&gt;"Amélioratif"),"Type inconnu",IF(I195="","Statut manquant",IF(AND(I195&lt;&gt;"Terminée",I195&lt;&gt;"En cours",I195&lt;&gt;"À faire",I195&lt;&gt;"Annulée"),"Statut inconnu",IF(AND(E195="Préventif",F195=""),"Plan manquant (préventif)",IF(AND(F195&lt;&gt;"",ISNA(MATCH(F195,pl_num,0))),"Plan inconnu",IF(AND(F195&lt;&gt;"",IFERROR(INDEX(pl_eq,MATCH(F195,pl_num,0))&amp;"",C195)&lt;&gt;C195),"Plan d'un autre équipement",IF(AND(J195&lt;&gt;"",OR(NOT(ISNUMBER(J195)),N(J195)&lt;0)),"Compteur invalide",IF(OR(AND(K195&lt;&gt;"",OR(NOT(ISNUMBER(K195)),N(K195)&lt;0)),AND(L195&lt;&gt;"",OR(NOT(ISNUMBER(L195)),N(L195)&lt;0))),"Durée invalide",IF(OR(AND(N195&lt;&gt;"",OR(NOT(ISNUMBER(N195)),N(N195)&lt;0)),AND(P195&lt;&gt;"",OR(NOT(ISNUMBER(P195)),N(P195)&lt;0))),"Coût invalide",IF(AND(M195&lt;&gt;"",ISNA(MATCH(M195,tech_name,0))),"Technicien inconnu",IF(AND(I195="Terminée",S195&gt;p_today),"Terminée à une date future",IF(AND(I195="Terminée",V195=0),"Durée d'intervention manquante",IF(AND(I195="Terminée",E195="Préventif",T195=0,OR(IFERROR(INDEX(pl_trig,MATCH(F195,pl_num,0))&amp;"","")="Compteur",IFERROR(INDEX(pl_trig,MATCH(F195,pl_num,0))&amp;"","")="Au premier des deux")),"Compteur manquant (plan au compteur)","OK"))))))))))))))))))</f>
        <v/>
      </c>
      <c r="S195" s="67">
        <f>IF(AND(ISNUMBER(B195),N(B195)&gt;0),INT(B195),0)</f>
        <v>0.0</v>
      </c>
      <c r="T195" s="67">
        <f>IF(AND(ISNUMBER(J195),N(J195)&gt;=0),N(J195),0)</f>
        <v>0.0</v>
      </c>
      <c r="U195" s="67">
        <f>IF(AND(ISNUMBER(K195),N(K195)&gt;0),N(K195),0)</f>
        <v>0.0</v>
      </c>
      <c r="V195" s="67">
        <f>IF(AND(ISNUMBER(L195),N(L195)&gt;0),N(L195),0)</f>
        <v>0.0</v>
      </c>
      <c r="W195" s="67">
        <f>IF(AND(I195="Terminée",S195&gt;0,C195&lt;&gt;"",ISNUMBER(MATCH(C195,eq_code,0))),1,0)</f>
        <v>0.0</v>
      </c>
      <c r="X195" s="67">
        <f>IF(AND(W195=1,E195="Préventif"),1,0)</f>
        <v>0.0</v>
      </c>
      <c r="Y195" s="67">
        <f>IF(AND(ISNUMBER(N195),N(N195)&gt;0),N(N195),0)</f>
        <v>0.0</v>
      </c>
      <c r="Z195" s="67">
        <f>IF(AND(ISNUMBER(P195),N(P195)&gt;0),N(P195),0)</f>
        <v>0.0</v>
      </c>
    </row>
    <row r="196">
      <c r="A196" s="79" t="str">
        <f>IF(COUNTA(B196:C196,E196:G196,I196)=0,"","BI-"&amp;RIGHT("0000"&amp;(ROW()-5),4))</f>
        <v/>
      </c>
      <c r="B196" s="72" t="n"/>
      <c r="C196" s="66" t="n"/>
      <c r="D196" s="67" t="str">
        <f>IF(C196="","",IFERROR(INDEX(eq_des,MATCH(C196,eq_code,0))&amp;"","Équipement inconnu"))</f>
        <v/>
      </c>
      <c r="E196" s="68" t="n"/>
      <c r="F196" s="68" t="n"/>
      <c r="G196" s="66" t="n"/>
      <c r="H196" s="66" t="n"/>
      <c r="I196" s="68" t="n"/>
      <c r="J196" s="73" t="n"/>
      <c r="K196" s="71" t="n"/>
      <c r="L196" s="71" t="n"/>
      <c r="M196" s="66" t="n"/>
      <c r="N196" s="80" t="n"/>
      <c r="O196" s="81" t="str">
        <f>IF(A196="","",ROUND(V196*IFERROR(N(INDEX(tech_rate,MATCH(M196,tech_name,0))),0),2))</f>
        <v/>
      </c>
      <c r="P196" s="80" t="n"/>
      <c r="Q196" s="81" t="str">
        <f>IF(A196="","",ROUND(Y196+O196+Z196,2))</f>
        <v/>
      </c>
      <c r="R196" s="79" t="str">
        <f>IF(A196="","",IF(S196=0,"Date manquante ou invalide",IF(C196="","Équipement manquant",IF(ISNA(MATCH(C196,eq_code,0)),"Équipement inconnu",IF(E196="","Type manquant",IF(AND(E196&lt;&gt;"Préventif",E196&lt;&gt;"Correctif",E196&lt;&gt;"Amélioratif"),"Type inconnu",IF(I196="","Statut manquant",IF(AND(I196&lt;&gt;"Terminée",I196&lt;&gt;"En cours",I196&lt;&gt;"À faire",I196&lt;&gt;"Annulée"),"Statut inconnu",IF(AND(E196="Préventif",F196=""),"Plan manquant (préventif)",IF(AND(F196&lt;&gt;"",ISNA(MATCH(F196,pl_num,0))),"Plan inconnu",IF(AND(F196&lt;&gt;"",IFERROR(INDEX(pl_eq,MATCH(F196,pl_num,0))&amp;"",C196)&lt;&gt;C196),"Plan d'un autre équipement",IF(AND(J196&lt;&gt;"",OR(NOT(ISNUMBER(J196)),N(J196)&lt;0)),"Compteur invalide",IF(OR(AND(K196&lt;&gt;"",OR(NOT(ISNUMBER(K196)),N(K196)&lt;0)),AND(L196&lt;&gt;"",OR(NOT(ISNUMBER(L196)),N(L196)&lt;0))),"Durée invalide",IF(OR(AND(N196&lt;&gt;"",OR(NOT(ISNUMBER(N196)),N(N196)&lt;0)),AND(P196&lt;&gt;"",OR(NOT(ISNUMBER(P196)),N(P196)&lt;0))),"Coût invalide",IF(AND(M196&lt;&gt;"",ISNA(MATCH(M196,tech_name,0))),"Technicien inconnu",IF(AND(I196="Terminée",S196&gt;p_today),"Terminée à une date future",IF(AND(I196="Terminée",V196=0),"Durée d'intervention manquante",IF(AND(I196="Terminée",E196="Préventif",T196=0,OR(IFERROR(INDEX(pl_trig,MATCH(F196,pl_num,0))&amp;"","")="Compteur",IFERROR(INDEX(pl_trig,MATCH(F196,pl_num,0))&amp;"","")="Au premier des deux")),"Compteur manquant (plan au compteur)","OK"))))))))))))))))))</f>
        <v/>
      </c>
      <c r="S196" s="67">
        <f>IF(AND(ISNUMBER(B196),N(B196)&gt;0),INT(B196),0)</f>
        <v>0.0</v>
      </c>
      <c r="T196" s="67">
        <f>IF(AND(ISNUMBER(J196),N(J196)&gt;=0),N(J196),0)</f>
        <v>0.0</v>
      </c>
      <c r="U196" s="67">
        <f>IF(AND(ISNUMBER(K196),N(K196)&gt;0),N(K196),0)</f>
        <v>0.0</v>
      </c>
      <c r="V196" s="67">
        <f>IF(AND(ISNUMBER(L196),N(L196)&gt;0),N(L196),0)</f>
        <v>0.0</v>
      </c>
      <c r="W196" s="67">
        <f>IF(AND(I196="Terminée",S196&gt;0,C196&lt;&gt;"",ISNUMBER(MATCH(C196,eq_code,0))),1,0)</f>
        <v>0.0</v>
      </c>
      <c r="X196" s="67">
        <f>IF(AND(W196=1,E196="Préventif"),1,0)</f>
        <v>0.0</v>
      </c>
      <c r="Y196" s="67">
        <f>IF(AND(ISNUMBER(N196),N(N196)&gt;0),N(N196),0)</f>
        <v>0.0</v>
      </c>
      <c r="Z196" s="67">
        <f>IF(AND(ISNUMBER(P196),N(P196)&gt;0),N(P196),0)</f>
        <v>0.0</v>
      </c>
    </row>
    <row r="197">
      <c r="A197" s="79" t="str">
        <f>IF(COUNTA(B197:C197,E197:G197,I197)=0,"","BI-"&amp;RIGHT("0000"&amp;(ROW()-5),4))</f>
        <v/>
      </c>
      <c r="B197" s="72" t="n"/>
      <c r="C197" s="66" t="n"/>
      <c r="D197" s="67" t="str">
        <f>IF(C197="","",IFERROR(INDEX(eq_des,MATCH(C197,eq_code,0))&amp;"","Équipement inconnu"))</f>
        <v/>
      </c>
      <c r="E197" s="68" t="n"/>
      <c r="F197" s="68" t="n"/>
      <c r="G197" s="66" t="n"/>
      <c r="H197" s="66" t="n"/>
      <c r="I197" s="68" t="n"/>
      <c r="J197" s="73" t="n"/>
      <c r="K197" s="71" t="n"/>
      <c r="L197" s="71" t="n"/>
      <c r="M197" s="66" t="n"/>
      <c r="N197" s="80" t="n"/>
      <c r="O197" s="81" t="str">
        <f>IF(A197="","",ROUND(V197*IFERROR(N(INDEX(tech_rate,MATCH(M197,tech_name,0))),0),2))</f>
        <v/>
      </c>
      <c r="P197" s="80" t="n"/>
      <c r="Q197" s="81" t="str">
        <f>IF(A197="","",ROUND(Y197+O197+Z197,2))</f>
        <v/>
      </c>
      <c r="R197" s="79" t="str">
        <f>IF(A197="","",IF(S197=0,"Date manquante ou invalide",IF(C197="","Équipement manquant",IF(ISNA(MATCH(C197,eq_code,0)),"Équipement inconnu",IF(E197="","Type manquant",IF(AND(E197&lt;&gt;"Préventif",E197&lt;&gt;"Correctif",E197&lt;&gt;"Amélioratif"),"Type inconnu",IF(I197="","Statut manquant",IF(AND(I197&lt;&gt;"Terminée",I197&lt;&gt;"En cours",I197&lt;&gt;"À faire",I197&lt;&gt;"Annulée"),"Statut inconnu",IF(AND(E197="Préventif",F197=""),"Plan manquant (préventif)",IF(AND(F197&lt;&gt;"",ISNA(MATCH(F197,pl_num,0))),"Plan inconnu",IF(AND(F197&lt;&gt;"",IFERROR(INDEX(pl_eq,MATCH(F197,pl_num,0))&amp;"",C197)&lt;&gt;C197),"Plan d'un autre équipement",IF(AND(J197&lt;&gt;"",OR(NOT(ISNUMBER(J197)),N(J197)&lt;0)),"Compteur invalide",IF(OR(AND(K197&lt;&gt;"",OR(NOT(ISNUMBER(K197)),N(K197)&lt;0)),AND(L197&lt;&gt;"",OR(NOT(ISNUMBER(L197)),N(L197)&lt;0))),"Durée invalide",IF(OR(AND(N197&lt;&gt;"",OR(NOT(ISNUMBER(N197)),N(N197)&lt;0)),AND(P197&lt;&gt;"",OR(NOT(ISNUMBER(P197)),N(P197)&lt;0))),"Coût invalide",IF(AND(M197&lt;&gt;"",ISNA(MATCH(M197,tech_name,0))),"Technicien inconnu",IF(AND(I197="Terminée",S197&gt;p_today),"Terminée à une date future",IF(AND(I197="Terminée",V197=0),"Durée d'intervention manquante",IF(AND(I197="Terminée",E197="Préventif",T197=0,OR(IFERROR(INDEX(pl_trig,MATCH(F197,pl_num,0))&amp;"","")="Compteur",IFERROR(INDEX(pl_trig,MATCH(F197,pl_num,0))&amp;"","")="Au premier des deux")),"Compteur manquant (plan au compteur)","OK"))))))))))))))))))</f>
        <v/>
      </c>
      <c r="S197" s="67">
        <f>IF(AND(ISNUMBER(B197),N(B197)&gt;0),INT(B197),0)</f>
        <v>0.0</v>
      </c>
      <c r="T197" s="67">
        <f>IF(AND(ISNUMBER(J197),N(J197)&gt;=0),N(J197),0)</f>
        <v>0.0</v>
      </c>
      <c r="U197" s="67">
        <f>IF(AND(ISNUMBER(K197),N(K197)&gt;0),N(K197),0)</f>
        <v>0.0</v>
      </c>
      <c r="V197" s="67">
        <f>IF(AND(ISNUMBER(L197),N(L197)&gt;0),N(L197),0)</f>
        <v>0.0</v>
      </c>
      <c r="W197" s="67">
        <f>IF(AND(I197="Terminée",S197&gt;0,C197&lt;&gt;"",ISNUMBER(MATCH(C197,eq_code,0))),1,0)</f>
        <v>0.0</v>
      </c>
      <c r="X197" s="67">
        <f>IF(AND(W197=1,E197="Préventif"),1,0)</f>
        <v>0.0</v>
      </c>
      <c r="Y197" s="67">
        <f>IF(AND(ISNUMBER(N197),N(N197)&gt;0),N(N197),0)</f>
        <v>0.0</v>
      </c>
      <c r="Z197" s="67">
        <f>IF(AND(ISNUMBER(P197),N(P197)&gt;0),N(P197),0)</f>
        <v>0.0</v>
      </c>
    </row>
    <row r="198">
      <c r="A198" s="79" t="str">
        <f>IF(COUNTA(B198:C198,E198:G198,I198)=0,"","BI-"&amp;RIGHT("0000"&amp;(ROW()-5),4))</f>
        <v/>
      </c>
      <c r="B198" s="72" t="n"/>
      <c r="C198" s="66" t="n"/>
      <c r="D198" s="67" t="str">
        <f>IF(C198="","",IFERROR(INDEX(eq_des,MATCH(C198,eq_code,0))&amp;"","Équipement inconnu"))</f>
        <v/>
      </c>
      <c r="E198" s="68" t="n"/>
      <c r="F198" s="68" t="n"/>
      <c r="G198" s="66" t="n"/>
      <c r="H198" s="66" t="n"/>
      <c r="I198" s="68" t="n"/>
      <c r="J198" s="73" t="n"/>
      <c r="K198" s="71" t="n"/>
      <c r="L198" s="71" t="n"/>
      <c r="M198" s="66" t="n"/>
      <c r="N198" s="80" t="n"/>
      <c r="O198" s="81" t="str">
        <f>IF(A198="","",ROUND(V198*IFERROR(N(INDEX(tech_rate,MATCH(M198,tech_name,0))),0),2))</f>
        <v/>
      </c>
      <c r="P198" s="80" t="n"/>
      <c r="Q198" s="81" t="str">
        <f>IF(A198="","",ROUND(Y198+O198+Z198,2))</f>
        <v/>
      </c>
      <c r="R198" s="79" t="str">
        <f>IF(A198="","",IF(S198=0,"Date manquante ou invalide",IF(C198="","Équipement manquant",IF(ISNA(MATCH(C198,eq_code,0)),"Équipement inconnu",IF(E198="","Type manquant",IF(AND(E198&lt;&gt;"Préventif",E198&lt;&gt;"Correctif",E198&lt;&gt;"Amélioratif"),"Type inconnu",IF(I198="","Statut manquant",IF(AND(I198&lt;&gt;"Terminée",I198&lt;&gt;"En cours",I198&lt;&gt;"À faire",I198&lt;&gt;"Annulée"),"Statut inconnu",IF(AND(E198="Préventif",F198=""),"Plan manquant (préventif)",IF(AND(F198&lt;&gt;"",ISNA(MATCH(F198,pl_num,0))),"Plan inconnu",IF(AND(F198&lt;&gt;"",IFERROR(INDEX(pl_eq,MATCH(F198,pl_num,0))&amp;"",C198)&lt;&gt;C198),"Plan d'un autre équipement",IF(AND(J198&lt;&gt;"",OR(NOT(ISNUMBER(J198)),N(J198)&lt;0)),"Compteur invalide",IF(OR(AND(K198&lt;&gt;"",OR(NOT(ISNUMBER(K198)),N(K198)&lt;0)),AND(L198&lt;&gt;"",OR(NOT(ISNUMBER(L198)),N(L198)&lt;0))),"Durée invalide",IF(OR(AND(N198&lt;&gt;"",OR(NOT(ISNUMBER(N198)),N(N198)&lt;0)),AND(P198&lt;&gt;"",OR(NOT(ISNUMBER(P198)),N(P198)&lt;0))),"Coût invalide",IF(AND(M198&lt;&gt;"",ISNA(MATCH(M198,tech_name,0))),"Technicien inconnu",IF(AND(I198="Terminée",S198&gt;p_today),"Terminée à une date future",IF(AND(I198="Terminée",V198=0),"Durée d'intervention manquante",IF(AND(I198="Terminée",E198="Préventif",T198=0,OR(IFERROR(INDEX(pl_trig,MATCH(F198,pl_num,0))&amp;"","")="Compteur",IFERROR(INDEX(pl_trig,MATCH(F198,pl_num,0))&amp;"","")="Au premier des deux")),"Compteur manquant (plan au compteur)","OK"))))))))))))))))))</f>
        <v/>
      </c>
      <c r="S198" s="67">
        <f>IF(AND(ISNUMBER(B198),N(B198)&gt;0),INT(B198),0)</f>
        <v>0.0</v>
      </c>
      <c r="T198" s="67">
        <f>IF(AND(ISNUMBER(J198),N(J198)&gt;=0),N(J198),0)</f>
        <v>0.0</v>
      </c>
      <c r="U198" s="67">
        <f>IF(AND(ISNUMBER(K198),N(K198)&gt;0),N(K198),0)</f>
        <v>0.0</v>
      </c>
      <c r="V198" s="67">
        <f>IF(AND(ISNUMBER(L198),N(L198)&gt;0),N(L198),0)</f>
        <v>0.0</v>
      </c>
      <c r="W198" s="67">
        <f>IF(AND(I198="Terminée",S198&gt;0,C198&lt;&gt;"",ISNUMBER(MATCH(C198,eq_code,0))),1,0)</f>
        <v>0.0</v>
      </c>
      <c r="X198" s="67">
        <f>IF(AND(W198=1,E198="Préventif"),1,0)</f>
        <v>0.0</v>
      </c>
      <c r="Y198" s="67">
        <f>IF(AND(ISNUMBER(N198),N(N198)&gt;0),N(N198),0)</f>
        <v>0.0</v>
      </c>
      <c r="Z198" s="67">
        <f>IF(AND(ISNUMBER(P198),N(P198)&gt;0),N(P198),0)</f>
        <v>0.0</v>
      </c>
    </row>
    <row r="199">
      <c r="A199" s="79" t="str">
        <f>IF(COUNTA(B199:C199,E199:G199,I199)=0,"","BI-"&amp;RIGHT("0000"&amp;(ROW()-5),4))</f>
        <v/>
      </c>
      <c r="B199" s="72" t="n"/>
      <c r="C199" s="66" t="n"/>
      <c r="D199" s="67" t="str">
        <f>IF(C199="","",IFERROR(INDEX(eq_des,MATCH(C199,eq_code,0))&amp;"","Équipement inconnu"))</f>
        <v/>
      </c>
      <c r="E199" s="68" t="n"/>
      <c r="F199" s="68" t="n"/>
      <c r="G199" s="66" t="n"/>
      <c r="H199" s="66" t="n"/>
      <c r="I199" s="68" t="n"/>
      <c r="J199" s="73" t="n"/>
      <c r="K199" s="71" t="n"/>
      <c r="L199" s="71" t="n"/>
      <c r="M199" s="66" t="n"/>
      <c r="N199" s="80" t="n"/>
      <c r="O199" s="81" t="str">
        <f>IF(A199="","",ROUND(V199*IFERROR(N(INDEX(tech_rate,MATCH(M199,tech_name,0))),0),2))</f>
        <v/>
      </c>
      <c r="P199" s="80" t="n"/>
      <c r="Q199" s="81" t="str">
        <f>IF(A199="","",ROUND(Y199+O199+Z199,2))</f>
        <v/>
      </c>
      <c r="R199" s="79" t="str">
        <f>IF(A199="","",IF(S199=0,"Date manquante ou invalide",IF(C199="","Équipement manquant",IF(ISNA(MATCH(C199,eq_code,0)),"Équipement inconnu",IF(E199="","Type manquant",IF(AND(E199&lt;&gt;"Préventif",E199&lt;&gt;"Correctif",E199&lt;&gt;"Amélioratif"),"Type inconnu",IF(I199="","Statut manquant",IF(AND(I199&lt;&gt;"Terminée",I199&lt;&gt;"En cours",I199&lt;&gt;"À faire",I199&lt;&gt;"Annulée"),"Statut inconnu",IF(AND(E199="Préventif",F199=""),"Plan manquant (préventif)",IF(AND(F199&lt;&gt;"",ISNA(MATCH(F199,pl_num,0))),"Plan inconnu",IF(AND(F199&lt;&gt;"",IFERROR(INDEX(pl_eq,MATCH(F199,pl_num,0))&amp;"",C199)&lt;&gt;C199),"Plan d'un autre équipement",IF(AND(J199&lt;&gt;"",OR(NOT(ISNUMBER(J199)),N(J199)&lt;0)),"Compteur invalide",IF(OR(AND(K199&lt;&gt;"",OR(NOT(ISNUMBER(K199)),N(K199)&lt;0)),AND(L199&lt;&gt;"",OR(NOT(ISNUMBER(L199)),N(L199)&lt;0))),"Durée invalide",IF(OR(AND(N199&lt;&gt;"",OR(NOT(ISNUMBER(N199)),N(N199)&lt;0)),AND(P199&lt;&gt;"",OR(NOT(ISNUMBER(P199)),N(P199)&lt;0))),"Coût invalide",IF(AND(M199&lt;&gt;"",ISNA(MATCH(M199,tech_name,0))),"Technicien inconnu",IF(AND(I199="Terminée",S199&gt;p_today),"Terminée à une date future",IF(AND(I199="Terminée",V199=0),"Durée d'intervention manquante",IF(AND(I199="Terminée",E199="Préventif",T199=0,OR(IFERROR(INDEX(pl_trig,MATCH(F199,pl_num,0))&amp;"","")="Compteur",IFERROR(INDEX(pl_trig,MATCH(F199,pl_num,0))&amp;"","")="Au premier des deux")),"Compteur manquant (plan au compteur)","OK"))))))))))))))))))</f>
        <v/>
      </c>
      <c r="S199" s="67">
        <f>IF(AND(ISNUMBER(B199),N(B199)&gt;0),INT(B199),0)</f>
        <v>0.0</v>
      </c>
      <c r="T199" s="67">
        <f>IF(AND(ISNUMBER(J199),N(J199)&gt;=0),N(J199),0)</f>
        <v>0.0</v>
      </c>
      <c r="U199" s="67">
        <f>IF(AND(ISNUMBER(K199),N(K199)&gt;0),N(K199),0)</f>
        <v>0.0</v>
      </c>
      <c r="V199" s="67">
        <f>IF(AND(ISNUMBER(L199),N(L199)&gt;0),N(L199),0)</f>
        <v>0.0</v>
      </c>
      <c r="W199" s="67">
        <f>IF(AND(I199="Terminée",S199&gt;0,C199&lt;&gt;"",ISNUMBER(MATCH(C199,eq_code,0))),1,0)</f>
        <v>0.0</v>
      </c>
      <c r="X199" s="67">
        <f>IF(AND(W199=1,E199="Préventif"),1,0)</f>
        <v>0.0</v>
      </c>
      <c r="Y199" s="67">
        <f>IF(AND(ISNUMBER(N199),N(N199)&gt;0),N(N199),0)</f>
        <v>0.0</v>
      </c>
      <c r="Z199" s="67">
        <f>IF(AND(ISNUMBER(P199),N(P199)&gt;0),N(P199),0)</f>
        <v>0.0</v>
      </c>
    </row>
    <row r="200">
      <c r="A200" s="79" t="str">
        <f>IF(COUNTA(B200:C200,E200:G200,I200)=0,"","BI-"&amp;RIGHT("0000"&amp;(ROW()-5),4))</f>
        <v/>
      </c>
      <c r="B200" s="72" t="n"/>
      <c r="C200" s="66" t="n"/>
      <c r="D200" s="67" t="str">
        <f>IF(C200="","",IFERROR(INDEX(eq_des,MATCH(C200,eq_code,0))&amp;"","Équipement inconnu"))</f>
        <v/>
      </c>
      <c r="E200" s="68" t="n"/>
      <c r="F200" s="68" t="n"/>
      <c r="G200" s="66" t="n"/>
      <c r="H200" s="66" t="n"/>
      <c r="I200" s="68" t="n"/>
      <c r="J200" s="73" t="n"/>
      <c r="K200" s="71" t="n"/>
      <c r="L200" s="71" t="n"/>
      <c r="M200" s="66" t="n"/>
      <c r="N200" s="80" t="n"/>
      <c r="O200" s="81" t="str">
        <f>IF(A200="","",ROUND(V200*IFERROR(N(INDEX(tech_rate,MATCH(M200,tech_name,0))),0),2))</f>
        <v/>
      </c>
      <c r="P200" s="80" t="n"/>
      <c r="Q200" s="81" t="str">
        <f>IF(A200="","",ROUND(Y200+O200+Z200,2))</f>
        <v/>
      </c>
      <c r="R200" s="79" t="str">
        <f>IF(A200="","",IF(S200=0,"Date manquante ou invalide",IF(C200="","Équipement manquant",IF(ISNA(MATCH(C200,eq_code,0)),"Équipement inconnu",IF(E200="","Type manquant",IF(AND(E200&lt;&gt;"Préventif",E200&lt;&gt;"Correctif",E200&lt;&gt;"Amélioratif"),"Type inconnu",IF(I200="","Statut manquant",IF(AND(I200&lt;&gt;"Terminée",I200&lt;&gt;"En cours",I200&lt;&gt;"À faire",I200&lt;&gt;"Annulée"),"Statut inconnu",IF(AND(E200="Préventif",F200=""),"Plan manquant (préventif)",IF(AND(F200&lt;&gt;"",ISNA(MATCH(F200,pl_num,0))),"Plan inconnu",IF(AND(F200&lt;&gt;"",IFERROR(INDEX(pl_eq,MATCH(F200,pl_num,0))&amp;"",C200)&lt;&gt;C200),"Plan d'un autre équipement",IF(AND(J200&lt;&gt;"",OR(NOT(ISNUMBER(J200)),N(J200)&lt;0)),"Compteur invalide",IF(OR(AND(K200&lt;&gt;"",OR(NOT(ISNUMBER(K200)),N(K200)&lt;0)),AND(L200&lt;&gt;"",OR(NOT(ISNUMBER(L200)),N(L200)&lt;0))),"Durée invalide",IF(OR(AND(N200&lt;&gt;"",OR(NOT(ISNUMBER(N200)),N(N200)&lt;0)),AND(P200&lt;&gt;"",OR(NOT(ISNUMBER(P200)),N(P200)&lt;0))),"Coût invalide",IF(AND(M200&lt;&gt;"",ISNA(MATCH(M200,tech_name,0))),"Technicien inconnu",IF(AND(I200="Terminée",S200&gt;p_today),"Terminée à une date future",IF(AND(I200="Terminée",V200=0),"Durée d'intervention manquante",IF(AND(I200="Terminée",E200="Préventif",T200=0,OR(IFERROR(INDEX(pl_trig,MATCH(F200,pl_num,0))&amp;"","")="Compteur",IFERROR(INDEX(pl_trig,MATCH(F200,pl_num,0))&amp;"","")="Au premier des deux")),"Compteur manquant (plan au compteur)","OK"))))))))))))))))))</f>
        <v/>
      </c>
      <c r="S200" s="67">
        <f>IF(AND(ISNUMBER(B200),N(B200)&gt;0),INT(B200),0)</f>
        <v>0.0</v>
      </c>
      <c r="T200" s="67">
        <f>IF(AND(ISNUMBER(J200),N(J200)&gt;=0),N(J200),0)</f>
        <v>0.0</v>
      </c>
      <c r="U200" s="67">
        <f>IF(AND(ISNUMBER(K200),N(K200)&gt;0),N(K200),0)</f>
        <v>0.0</v>
      </c>
      <c r="V200" s="67">
        <f>IF(AND(ISNUMBER(L200),N(L200)&gt;0),N(L200),0)</f>
        <v>0.0</v>
      </c>
      <c r="W200" s="67">
        <f>IF(AND(I200="Terminée",S200&gt;0,C200&lt;&gt;"",ISNUMBER(MATCH(C200,eq_code,0))),1,0)</f>
        <v>0.0</v>
      </c>
      <c r="X200" s="67">
        <f>IF(AND(W200=1,E200="Préventif"),1,0)</f>
        <v>0.0</v>
      </c>
      <c r="Y200" s="67">
        <f>IF(AND(ISNUMBER(N200),N(N200)&gt;0),N(N200),0)</f>
        <v>0.0</v>
      </c>
      <c r="Z200" s="67">
        <f>IF(AND(ISNUMBER(P200),N(P200)&gt;0),N(P200),0)</f>
        <v>0.0</v>
      </c>
    </row>
    <row r="201">
      <c r="A201" s="79" t="str">
        <f>IF(COUNTA(B201:C201,E201:G201,I201)=0,"","BI-"&amp;RIGHT("0000"&amp;(ROW()-5),4))</f>
        <v/>
      </c>
      <c r="B201" s="72" t="n"/>
      <c r="C201" s="66" t="n"/>
      <c r="D201" s="67" t="str">
        <f>IF(C201="","",IFERROR(INDEX(eq_des,MATCH(C201,eq_code,0))&amp;"","Équipement inconnu"))</f>
        <v/>
      </c>
      <c r="E201" s="68" t="n"/>
      <c r="F201" s="68" t="n"/>
      <c r="G201" s="66" t="n"/>
      <c r="H201" s="66" t="n"/>
      <c r="I201" s="68" t="n"/>
      <c r="J201" s="73" t="n"/>
      <c r="K201" s="71" t="n"/>
      <c r="L201" s="71" t="n"/>
      <c r="M201" s="66" t="n"/>
      <c r="N201" s="80" t="n"/>
      <c r="O201" s="81" t="str">
        <f>IF(A201="","",ROUND(V201*IFERROR(N(INDEX(tech_rate,MATCH(M201,tech_name,0))),0),2))</f>
        <v/>
      </c>
      <c r="P201" s="80" t="n"/>
      <c r="Q201" s="81" t="str">
        <f>IF(A201="","",ROUND(Y201+O201+Z201,2))</f>
        <v/>
      </c>
      <c r="R201" s="79" t="str">
        <f>IF(A201="","",IF(S201=0,"Date manquante ou invalide",IF(C201="","Équipement manquant",IF(ISNA(MATCH(C201,eq_code,0)),"Équipement inconnu",IF(E201="","Type manquant",IF(AND(E201&lt;&gt;"Préventif",E201&lt;&gt;"Correctif",E201&lt;&gt;"Amélioratif"),"Type inconnu",IF(I201="","Statut manquant",IF(AND(I201&lt;&gt;"Terminée",I201&lt;&gt;"En cours",I201&lt;&gt;"À faire",I201&lt;&gt;"Annulée"),"Statut inconnu",IF(AND(E201="Préventif",F201=""),"Plan manquant (préventif)",IF(AND(F201&lt;&gt;"",ISNA(MATCH(F201,pl_num,0))),"Plan inconnu",IF(AND(F201&lt;&gt;"",IFERROR(INDEX(pl_eq,MATCH(F201,pl_num,0))&amp;"",C201)&lt;&gt;C201),"Plan d'un autre équipement",IF(AND(J201&lt;&gt;"",OR(NOT(ISNUMBER(J201)),N(J201)&lt;0)),"Compteur invalide",IF(OR(AND(K201&lt;&gt;"",OR(NOT(ISNUMBER(K201)),N(K201)&lt;0)),AND(L201&lt;&gt;"",OR(NOT(ISNUMBER(L201)),N(L201)&lt;0))),"Durée invalide",IF(OR(AND(N201&lt;&gt;"",OR(NOT(ISNUMBER(N201)),N(N201)&lt;0)),AND(P201&lt;&gt;"",OR(NOT(ISNUMBER(P201)),N(P201)&lt;0))),"Coût invalide",IF(AND(M201&lt;&gt;"",ISNA(MATCH(M201,tech_name,0))),"Technicien inconnu",IF(AND(I201="Terminée",S201&gt;p_today),"Terminée à une date future",IF(AND(I201="Terminée",V201=0),"Durée d'intervention manquante",IF(AND(I201="Terminée",E201="Préventif",T201=0,OR(IFERROR(INDEX(pl_trig,MATCH(F201,pl_num,0))&amp;"","")="Compteur",IFERROR(INDEX(pl_trig,MATCH(F201,pl_num,0))&amp;"","")="Au premier des deux")),"Compteur manquant (plan au compteur)","OK"))))))))))))))))))</f>
        <v/>
      </c>
      <c r="S201" s="67">
        <f>IF(AND(ISNUMBER(B201),N(B201)&gt;0),INT(B201),0)</f>
        <v>0.0</v>
      </c>
      <c r="T201" s="67">
        <f>IF(AND(ISNUMBER(J201),N(J201)&gt;=0),N(J201),0)</f>
        <v>0.0</v>
      </c>
      <c r="U201" s="67">
        <f>IF(AND(ISNUMBER(K201),N(K201)&gt;0),N(K201),0)</f>
        <v>0.0</v>
      </c>
      <c r="V201" s="67">
        <f>IF(AND(ISNUMBER(L201),N(L201)&gt;0),N(L201),0)</f>
        <v>0.0</v>
      </c>
      <c r="W201" s="67">
        <f>IF(AND(I201="Terminée",S201&gt;0,C201&lt;&gt;"",ISNUMBER(MATCH(C201,eq_code,0))),1,0)</f>
        <v>0.0</v>
      </c>
      <c r="X201" s="67">
        <f>IF(AND(W201=1,E201="Préventif"),1,0)</f>
        <v>0.0</v>
      </c>
      <c r="Y201" s="67">
        <f>IF(AND(ISNUMBER(N201),N(N201)&gt;0),N(N201),0)</f>
        <v>0.0</v>
      </c>
      <c r="Z201" s="67">
        <f>IF(AND(ISNUMBER(P201),N(P201)&gt;0),N(P201),0)</f>
        <v>0.0</v>
      </c>
    </row>
    <row r="202">
      <c r="A202" s="79" t="str">
        <f>IF(COUNTA(B202:C202,E202:G202,I202)=0,"","BI-"&amp;RIGHT("0000"&amp;(ROW()-5),4))</f>
        <v/>
      </c>
      <c r="B202" s="72" t="n"/>
      <c r="C202" s="66" t="n"/>
      <c r="D202" s="67" t="str">
        <f>IF(C202="","",IFERROR(INDEX(eq_des,MATCH(C202,eq_code,0))&amp;"","Équipement inconnu"))</f>
        <v/>
      </c>
      <c r="E202" s="68" t="n"/>
      <c r="F202" s="68" t="n"/>
      <c r="G202" s="66" t="n"/>
      <c r="H202" s="66" t="n"/>
      <c r="I202" s="68" t="n"/>
      <c r="J202" s="73" t="n"/>
      <c r="K202" s="71" t="n"/>
      <c r="L202" s="71" t="n"/>
      <c r="M202" s="66" t="n"/>
      <c r="N202" s="80" t="n"/>
      <c r="O202" s="81" t="str">
        <f>IF(A202="","",ROUND(V202*IFERROR(N(INDEX(tech_rate,MATCH(M202,tech_name,0))),0),2))</f>
        <v/>
      </c>
      <c r="P202" s="80" t="n"/>
      <c r="Q202" s="81" t="str">
        <f>IF(A202="","",ROUND(Y202+O202+Z202,2))</f>
        <v/>
      </c>
      <c r="R202" s="79" t="str">
        <f>IF(A202="","",IF(S202=0,"Date manquante ou invalide",IF(C202="","Équipement manquant",IF(ISNA(MATCH(C202,eq_code,0)),"Équipement inconnu",IF(E202="","Type manquant",IF(AND(E202&lt;&gt;"Préventif",E202&lt;&gt;"Correctif",E202&lt;&gt;"Amélioratif"),"Type inconnu",IF(I202="","Statut manquant",IF(AND(I202&lt;&gt;"Terminée",I202&lt;&gt;"En cours",I202&lt;&gt;"À faire",I202&lt;&gt;"Annulée"),"Statut inconnu",IF(AND(E202="Préventif",F202=""),"Plan manquant (préventif)",IF(AND(F202&lt;&gt;"",ISNA(MATCH(F202,pl_num,0))),"Plan inconnu",IF(AND(F202&lt;&gt;"",IFERROR(INDEX(pl_eq,MATCH(F202,pl_num,0))&amp;"",C202)&lt;&gt;C202),"Plan d'un autre équipement",IF(AND(J202&lt;&gt;"",OR(NOT(ISNUMBER(J202)),N(J202)&lt;0)),"Compteur invalide",IF(OR(AND(K202&lt;&gt;"",OR(NOT(ISNUMBER(K202)),N(K202)&lt;0)),AND(L202&lt;&gt;"",OR(NOT(ISNUMBER(L202)),N(L202)&lt;0))),"Durée invalide",IF(OR(AND(N202&lt;&gt;"",OR(NOT(ISNUMBER(N202)),N(N202)&lt;0)),AND(P202&lt;&gt;"",OR(NOT(ISNUMBER(P202)),N(P202)&lt;0))),"Coût invalide",IF(AND(M202&lt;&gt;"",ISNA(MATCH(M202,tech_name,0))),"Technicien inconnu",IF(AND(I202="Terminée",S202&gt;p_today),"Terminée à une date future",IF(AND(I202="Terminée",V202=0),"Durée d'intervention manquante",IF(AND(I202="Terminée",E202="Préventif",T202=0,OR(IFERROR(INDEX(pl_trig,MATCH(F202,pl_num,0))&amp;"","")="Compteur",IFERROR(INDEX(pl_trig,MATCH(F202,pl_num,0))&amp;"","")="Au premier des deux")),"Compteur manquant (plan au compteur)","OK"))))))))))))))))))</f>
        <v/>
      </c>
      <c r="S202" s="67">
        <f>IF(AND(ISNUMBER(B202),N(B202)&gt;0),INT(B202),0)</f>
        <v>0.0</v>
      </c>
      <c r="T202" s="67">
        <f>IF(AND(ISNUMBER(J202),N(J202)&gt;=0),N(J202),0)</f>
        <v>0.0</v>
      </c>
      <c r="U202" s="67">
        <f>IF(AND(ISNUMBER(K202),N(K202)&gt;0),N(K202),0)</f>
        <v>0.0</v>
      </c>
      <c r="V202" s="67">
        <f>IF(AND(ISNUMBER(L202),N(L202)&gt;0),N(L202),0)</f>
        <v>0.0</v>
      </c>
      <c r="W202" s="67">
        <f>IF(AND(I202="Terminée",S202&gt;0,C202&lt;&gt;"",ISNUMBER(MATCH(C202,eq_code,0))),1,0)</f>
        <v>0.0</v>
      </c>
      <c r="X202" s="67">
        <f>IF(AND(W202=1,E202="Préventif"),1,0)</f>
        <v>0.0</v>
      </c>
      <c r="Y202" s="67">
        <f>IF(AND(ISNUMBER(N202),N(N202)&gt;0),N(N202),0)</f>
        <v>0.0</v>
      </c>
      <c r="Z202" s="67">
        <f>IF(AND(ISNUMBER(P202),N(P202)&gt;0),N(P202),0)</f>
        <v>0.0</v>
      </c>
    </row>
    <row r="203">
      <c r="A203" s="79" t="str">
        <f>IF(COUNTA(B203:C203,E203:G203,I203)=0,"","BI-"&amp;RIGHT("0000"&amp;(ROW()-5),4))</f>
        <v/>
      </c>
      <c r="B203" s="72" t="n"/>
      <c r="C203" s="66" t="n"/>
      <c r="D203" s="67" t="str">
        <f>IF(C203="","",IFERROR(INDEX(eq_des,MATCH(C203,eq_code,0))&amp;"","Équipement inconnu"))</f>
        <v/>
      </c>
      <c r="E203" s="68" t="n"/>
      <c r="F203" s="68" t="n"/>
      <c r="G203" s="66" t="n"/>
      <c r="H203" s="66" t="n"/>
      <c r="I203" s="68" t="n"/>
      <c r="J203" s="73" t="n"/>
      <c r="K203" s="71" t="n"/>
      <c r="L203" s="71" t="n"/>
      <c r="M203" s="66" t="n"/>
      <c r="N203" s="80" t="n"/>
      <c r="O203" s="81" t="str">
        <f>IF(A203="","",ROUND(V203*IFERROR(N(INDEX(tech_rate,MATCH(M203,tech_name,0))),0),2))</f>
        <v/>
      </c>
      <c r="P203" s="80" t="n"/>
      <c r="Q203" s="81" t="str">
        <f>IF(A203="","",ROUND(Y203+O203+Z203,2))</f>
        <v/>
      </c>
      <c r="R203" s="79" t="str">
        <f>IF(A203="","",IF(S203=0,"Date manquante ou invalide",IF(C203="","Équipement manquant",IF(ISNA(MATCH(C203,eq_code,0)),"Équipement inconnu",IF(E203="","Type manquant",IF(AND(E203&lt;&gt;"Préventif",E203&lt;&gt;"Correctif",E203&lt;&gt;"Amélioratif"),"Type inconnu",IF(I203="","Statut manquant",IF(AND(I203&lt;&gt;"Terminée",I203&lt;&gt;"En cours",I203&lt;&gt;"À faire",I203&lt;&gt;"Annulée"),"Statut inconnu",IF(AND(E203="Préventif",F203=""),"Plan manquant (préventif)",IF(AND(F203&lt;&gt;"",ISNA(MATCH(F203,pl_num,0))),"Plan inconnu",IF(AND(F203&lt;&gt;"",IFERROR(INDEX(pl_eq,MATCH(F203,pl_num,0))&amp;"",C203)&lt;&gt;C203),"Plan d'un autre équipement",IF(AND(J203&lt;&gt;"",OR(NOT(ISNUMBER(J203)),N(J203)&lt;0)),"Compteur invalide",IF(OR(AND(K203&lt;&gt;"",OR(NOT(ISNUMBER(K203)),N(K203)&lt;0)),AND(L203&lt;&gt;"",OR(NOT(ISNUMBER(L203)),N(L203)&lt;0))),"Durée invalide",IF(OR(AND(N203&lt;&gt;"",OR(NOT(ISNUMBER(N203)),N(N203)&lt;0)),AND(P203&lt;&gt;"",OR(NOT(ISNUMBER(P203)),N(P203)&lt;0))),"Coût invalide",IF(AND(M203&lt;&gt;"",ISNA(MATCH(M203,tech_name,0))),"Technicien inconnu",IF(AND(I203="Terminée",S203&gt;p_today),"Terminée à une date future",IF(AND(I203="Terminée",V203=0),"Durée d'intervention manquante",IF(AND(I203="Terminée",E203="Préventif",T203=0,OR(IFERROR(INDEX(pl_trig,MATCH(F203,pl_num,0))&amp;"","")="Compteur",IFERROR(INDEX(pl_trig,MATCH(F203,pl_num,0))&amp;"","")="Au premier des deux")),"Compteur manquant (plan au compteur)","OK"))))))))))))))))))</f>
        <v/>
      </c>
      <c r="S203" s="67">
        <f>IF(AND(ISNUMBER(B203),N(B203)&gt;0),INT(B203),0)</f>
        <v>0.0</v>
      </c>
      <c r="T203" s="67">
        <f>IF(AND(ISNUMBER(J203),N(J203)&gt;=0),N(J203),0)</f>
        <v>0.0</v>
      </c>
      <c r="U203" s="67">
        <f>IF(AND(ISNUMBER(K203),N(K203)&gt;0),N(K203),0)</f>
        <v>0.0</v>
      </c>
      <c r="V203" s="67">
        <f>IF(AND(ISNUMBER(L203),N(L203)&gt;0),N(L203),0)</f>
        <v>0.0</v>
      </c>
      <c r="W203" s="67">
        <f>IF(AND(I203="Terminée",S203&gt;0,C203&lt;&gt;"",ISNUMBER(MATCH(C203,eq_code,0))),1,0)</f>
        <v>0.0</v>
      </c>
      <c r="X203" s="67">
        <f>IF(AND(W203=1,E203="Préventif"),1,0)</f>
        <v>0.0</v>
      </c>
      <c r="Y203" s="67">
        <f>IF(AND(ISNUMBER(N203),N(N203)&gt;0),N(N203),0)</f>
        <v>0.0</v>
      </c>
      <c r="Z203" s="67">
        <f>IF(AND(ISNUMBER(P203),N(P203)&gt;0),N(P203),0)</f>
        <v>0.0</v>
      </c>
    </row>
    <row r="204">
      <c r="A204" s="79" t="str">
        <f>IF(COUNTA(B204:C204,E204:G204,I204)=0,"","BI-"&amp;RIGHT("0000"&amp;(ROW()-5),4))</f>
        <v/>
      </c>
      <c r="B204" s="72" t="n"/>
      <c r="C204" s="66" t="n"/>
      <c r="D204" s="67" t="str">
        <f>IF(C204="","",IFERROR(INDEX(eq_des,MATCH(C204,eq_code,0))&amp;"","Équipement inconnu"))</f>
        <v/>
      </c>
      <c r="E204" s="68" t="n"/>
      <c r="F204" s="68" t="n"/>
      <c r="G204" s="66" t="n"/>
      <c r="H204" s="66" t="n"/>
      <c r="I204" s="68" t="n"/>
      <c r="J204" s="73" t="n"/>
      <c r="K204" s="71" t="n"/>
      <c r="L204" s="71" t="n"/>
      <c r="M204" s="66" t="n"/>
      <c r="N204" s="80" t="n"/>
      <c r="O204" s="81" t="str">
        <f>IF(A204="","",ROUND(V204*IFERROR(N(INDEX(tech_rate,MATCH(M204,tech_name,0))),0),2))</f>
        <v/>
      </c>
      <c r="P204" s="80" t="n"/>
      <c r="Q204" s="81" t="str">
        <f>IF(A204="","",ROUND(Y204+O204+Z204,2))</f>
        <v/>
      </c>
      <c r="R204" s="79" t="str">
        <f>IF(A204="","",IF(S204=0,"Date manquante ou invalide",IF(C204="","Équipement manquant",IF(ISNA(MATCH(C204,eq_code,0)),"Équipement inconnu",IF(E204="","Type manquant",IF(AND(E204&lt;&gt;"Préventif",E204&lt;&gt;"Correctif",E204&lt;&gt;"Amélioratif"),"Type inconnu",IF(I204="","Statut manquant",IF(AND(I204&lt;&gt;"Terminée",I204&lt;&gt;"En cours",I204&lt;&gt;"À faire",I204&lt;&gt;"Annulée"),"Statut inconnu",IF(AND(E204="Préventif",F204=""),"Plan manquant (préventif)",IF(AND(F204&lt;&gt;"",ISNA(MATCH(F204,pl_num,0))),"Plan inconnu",IF(AND(F204&lt;&gt;"",IFERROR(INDEX(pl_eq,MATCH(F204,pl_num,0))&amp;"",C204)&lt;&gt;C204),"Plan d'un autre équipement",IF(AND(J204&lt;&gt;"",OR(NOT(ISNUMBER(J204)),N(J204)&lt;0)),"Compteur invalide",IF(OR(AND(K204&lt;&gt;"",OR(NOT(ISNUMBER(K204)),N(K204)&lt;0)),AND(L204&lt;&gt;"",OR(NOT(ISNUMBER(L204)),N(L204)&lt;0))),"Durée invalide",IF(OR(AND(N204&lt;&gt;"",OR(NOT(ISNUMBER(N204)),N(N204)&lt;0)),AND(P204&lt;&gt;"",OR(NOT(ISNUMBER(P204)),N(P204)&lt;0))),"Coût invalide",IF(AND(M204&lt;&gt;"",ISNA(MATCH(M204,tech_name,0))),"Technicien inconnu",IF(AND(I204="Terminée",S204&gt;p_today),"Terminée à une date future",IF(AND(I204="Terminée",V204=0),"Durée d'intervention manquante",IF(AND(I204="Terminée",E204="Préventif",T204=0,OR(IFERROR(INDEX(pl_trig,MATCH(F204,pl_num,0))&amp;"","")="Compteur",IFERROR(INDEX(pl_trig,MATCH(F204,pl_num,0))&amp;"","")="Au premier des deux")),"Compteur manquant (plan au compteur)","OK"))))))))))))))))))</f>
        <v/>
      </c>
      <c r="S204" s="67">
        <f>IF(AND(ISNUMBER(B204),N(B204)&gt;0),INT(B204),0)</f>
        <v>0.0</v>
      </c>
      <c r="T204" s="67">
        <f>IF(AND(ISNUMBER(J204),N(J204)&gt;=0),N(J204),0)</f>
        <v>0.0</v>
      </c>
      <c r="U204" s="67">
        <f>IF(AND(ISNUMBER(K204),N(K204)&gt;0),N(K204),0)</f>
        <v>0.0</v>
      </c>
      <c r="V204" s="67">
        <f>IF(AND(ISNUMBER(L204),N(L204)&gt;0),N(L204),0)</f>
        <v>0.0</v>
      </c>
      <c r="W204" s="67">
        <f>IF(AND(I204="Terminée",S204&gt;0,C204&lt;&gt;"",ISNUMBER(MATCH(C204,eq_code,0))),1,0)</f>
        <v>0.0</v>
      </c>
      <c r="X204" s="67">
        <f>IF(AND(W204=1,E204="Préventif"),1,0)</f>
        <v>0.0</v>
      </c>
      <c r="Y204" s="67">
        <f>IF(AND(ISNUMBER(N204),N(N204)&gt;0),N(N204),0)</f>
        <v>0.0</v>
      </c>
      <c r="Z204" s="67">
        <f>IF(AND(ISNUMBER(P204),N(P204)&gt;0),N(P204),0)</f>
        <v>0.0</v>
      </c>
    </row>
    <row r="205">
      <c r="A205" s="79" t="str">
        <f>IF(COUNTA(B205:C205,E205:G205,I205)=0,"","BI-"&amp;RIGHT("0000"&amp;(ROW()-5),4))</f>
        <v/>
      </c>
      <c r="B205" s="72" t="n"/>
      <c r="C205" s="66" t="n"/>
      <c r="D205" s="67" t="str">
        <f>IF(C205="","",IFERROR(INDEX(eq_des,MATCH(C205,eq_code,0))&amp;"","Équipement inconnu"))</f>
        <v/>
      </c>
      <c r="E205" s="68" t="n"/>
      <c r="F205" s="68" t="n"/>
      <c r="G205" s="66" t="n"/>
      <c r="H205" s="66" t="n"/>
      <c r="I205" s="68" t="n"/>
      <c r="J205" s="73" t="n"/>
      <c r="K205" s="71" t="n"/>
      <c r="L205" s="71" t="n"/>
      <c r="M205" s="66" t="n"/>
      <c r="N205" s="80" t="n"/>
      <c r="O205" s="81" t="str">
        <f>IF(A205="","",ROUND(V205*IFERROR(N(INDEX(tech_rate,MATCH(M205,tech_name,0))),0),2))</f>
        <v/>
      </c>
      <c r="P205" s="80" t="n"/>
      <c r="Q205" s="81" t="str">
        <f>IF(A205="","",ROUND(Y205+O205+Z205,2))</f>
        <v/>
      </c>
      <c r="R205" s="79" t="str">
        <f>IF(A205="","",IF(S205=0,"Date manquante ou invalide",IF(C205="","Équipement manquant",IF(ISNA(MATCH(C205,eq_code,0)),"Équipement inconnu",IF(E205="","Type manquant",IF(AND(E205&lt;&gt;"Préventif",E205&lt;&gt;"Correctif",E205&lt;&gt;"Amélioratif"),"Type inconnu",IF(I205="","Statut manquant",IF(AND(I205&lt;&gt;"Terminée",I205&lt;&gt;"En cours",I205&lt;&gt;"À faire",I205&lt;&gt;"Annulée"),"Statut inconnu",IF(AND(E205="Préventif",F205=""),"Plan manquant (préventif)",IF(AND(F205&lt;&gt;"",ISNA(MATCH(F205,pl_num,0))),"Plan inconnu",IF(AND(F205&lt;&gt;"",IFERROR(INDEX(pl_eq,MATCH(F205,pl_num,0))&amp;"",C205)&lt;&gt;C205),"Plan d'un autre équipement",IF(AND(J205&lt;&gt;"",OR(NOT(ISNUMBER(J205)),N(J205)&lt;0)),"Compteur invalide",IF(OR(AND(K205&lt;&gt;"",OR(NOT(ISNUMBER(K205)),N(K205)&lt;0)),AND(L205&lt;&gt;"",OR(NOT(ISNUMBER(L205)),N(L205)&lt;0))),"Durée invalide",IF(OR(AND(N205&lt;&gt;"",OR(NOT(ISNUMBER(N205)),N(N205)&lt;0)),AND(P205&lt;&gt;"",OR(NOT(ISNUMBER(P205)),N(P205)&lt;0))),"Coût invalide",IF(AND(M205&lt;&gt;"",ISNA(MATCH(M205,tech_name,0))),"Technicien inconnu",IF(AND(I205="Terminée",S205&gt;p_today),"Terminée à une date future",IF(AND(I205="Terminée",V205=0),"Durée d'intervention manquante",IF(AND(I205="Terminée",E205="Préventif",T205=0,OR(IFERROR(INDEX(pl_trig,MATCH(F205,pl_num,0))&amp;"","")="Compteur",IFERROR(INDEX(pl_trig,MATCH(F205,pl_num,0))&amp;"","")="Au premier des deux")),"Compteur manquant (plan au compteur)","OK"))))))))))))))))))</f>
        <v/>
      </c>
      <c r="S205" s="67">
        <f>IF(AND(ISNUMBER(B205),N(B205)&gt;0),INT(B205),0)</f>
        <v>0.0</v>
      </c>
      <c r="T205" s="67">
        <f>IF(AND(ISNUMBER(J205),N(J205)&gt;=0),N(J205),0)</f>
        <v>0.0</v>
      </c>
      <c r="U205" s="67">
        <f>IF(AND(ISNUMBER(K205),N(K205)&gt;0),N(K205),0)</f>
        <v>0.0</v>
      </c>
      <c r="V205" s="67">
        <f>IF(AND(ISNUMBER(L205),N(L205)&gt;0),N(L205),0)</f>
        <v>0.0</v>
      </c>
      <c r="W205" s="67">
        <f>IF(AND(I205="Terminée",S205&gt;0,C205&lt;&gt;"",ISNUMBER(MATCH(C205,eq_code,0))),1,0)</f>
        <v>0.0</v>
      </c>
      <c r="X205" s="67">
        <f>IF(AND(W205=1,E205="Préventif"),1,0)</f>
        <v>0.0</v>
      </c>
      <c r="Y205" s="67">
        <f>IF(AND(ISNUMBER(N205),N(N205)&gt;0),N(N205),0)</f>
        <v>0.0</v>
      </c>
      <c r="Z205" s="67">
        <f>IF(AND(ISNUMBER(P205),N(P205)&gt;0),N(P205),0)</f>
        <v>0.0</v>
      </c>
    </row>
    <row r="206">
      <c r="A206" s="79" t="str">
        <f>IF(COUNTA(B206:C206,E206:G206,I206)=0,"","BI-"&amp;RIGHT("0000"&amp;(ROW()-5),4))</f>
        <v/>
      </c>
      <c r="B206" s="72" t="n"/>
      <c r="C206" s="66" t="n"/>
      <c r="D206" s="67" t="str">
        <f>IF(C206="","",IFERROR(INDEX(eq_des,MATCH(C206,eq_code,0))&amp;"","Équipement inconnu"))</f>
        <v/>
      </c>
      <c r="E206" s="68" t="n"/>
      <c r="F206" s="68" t="n"/>
      <c r="G206" s="66" t="n"/>
      <c r="H206" s="66" t="n"/>
      <c r="I206" s="68" t="n"/>
      <c r="J206" s="73" t="n"/>
      <c r="K206" s="71" t="n"/>
      <c r="L206" s="71" t="n"/>
      <c r="M206" s="66" t="n"/>
      <c r="N206" s="80" t="n"/>
      <c r="O206" s="81" t="str">
        <f>IF(A206="","",ROUND(V206*IFERROR(N(INDEX(tech_rate,MATCH(M206,tech_name,0))),0),2))</f>
        <v/>
      </c>
      <c r="P206" s="80" t="n"/>
      <c r="Q206" s="81" t="str">
        <f>IF(A206="","",ROUND(Y206+O206+Z206,2))</f>
        <v/>
      </c>
      <c r="R206" s="79" t="str">
        <f>IF(A206="","",IF(S206=0,"Date manquante ou invalide",IF(C206="","Équipement manquant",IF(ISNA(MATCH(C206,eq_code,0)),"Équipement inconnu",IF(E206="","Type manquant",IF(AND(E206&lt;&gt;"Préventif",E206&lt;&gt;"Correctif",E206&lt;&gt;"Amélioratif"),"Type inconnu",IF(I206="","Statut manquant",IF(AND(I206&lt;&gt;"Terminée",I206&lt;&gt;"En cours",I206&lt;&gt;"À faire",I206&lt;&gt;"Annulée"),"Statut inconnu",IF(AND(E206="Préventif",F206=""),"Plan manquant (préventif)",IF(AND(F206&lt;&gt;"",ISNA(MATCH(F206,pl_num,0))),"Plan inconnu",IF(AND(F206&lt;&gt;"",IFERROR(INDEX(pl_eq,MATCH(F206,pl_num,0))&amp;"",C206)&lt;&gt;C206),"Plan d'un autre équipement",IF(AND(J206&lt;&gt;"",OR(NOT(ISNUMBER(J206)),N(J206)&lt;0)),"Compteur invalide",IF(OR(AND(K206&lt;&gt;"",OR(NOT(ISNUMBER(K206)),N(K206)&lt;0)),AND(L206&lt;&gt;"",OR(NOT(ISNUMBER(L206)),N(L206)&lt;0))),"Durée invalide",IF(OR(AND(N206&lt;&gt;"",OR(NOT(ISNUMBER(N206)),N(N206)&lt;0)),AND(P206&lt;&gt;"",OR(NOT(ISNUMBER(P206)),N(P206)&lt;0))),"Coût invalide",IF(AND(M206&lt;&gt;"",ISNA(MATCH(M206,tech_name,0))),"Technicien inconnu",IF(AND(I206="Terminée",S206&gt;p_today),"Terminée à une date future",IF(AND(I206="Terminée",V206=0),"Durée d'intervention manquante",IF(AND(I206="Terminée",E206="Préventif",T206=0,OR(IFERROR(INDEX(pl_trig,MATCH(F206,pl_num,0))&amp;"","")="Compteur",IFERROR(INDEX(pl_trig,MATCH(F206,pl_num,0))&amp;"","")="Au premier des deux")),"Compteur manquant (plan au compteur)","OK"))))))))))))))))))</f>
        <v/>
      </c>
      <c r="S206" s="67">
        <f>IF(AND(ISNUMBER(B206),N(B206)&gt;0),INT(B206),0)</f>
        <v>0.0</v>
      </c>
      <c r="T206" s="67">
        <f>IF(AND(ISNUMBER(J206),N(J206)&gt;=0),N(J206),0)</f>
        <v>0.0</v>
      </c>
      <c r="U206" s="67">
        <f>IF(AND(ISNUMBER(K206),N(K206)&gt;0),N(K206),0)</f>
        <v>0.0</v>
      </c>
      <c r="V206" s="67">
        <f>IF(AND(ISNUMBER(L206),N(L206)&gt;0),N(L206),0)</f>
        <v>0.0</v>
      </c>
      <c r="W206" s="67">
        <f>IF(AND(I206="Terminée",S206&gt;0,C206&lt;&gt;"",ISNUMBER(MATCH(C206,eq_code,0))),1,0)</f>
        <v>0.0</v>
      </c>
      <c r="X206" s="67">
        <f>IF(AND(W206=1,E206="Préventif"),1,0)</f>
        <v>0.0</v>
      </c>
      <c r="Y206" s="67">
        <f>IF(AND(ISNUMBER(N206),N(N206)&gt;0),N(N206),0)</f>
        <v>0.0</v>
      </c>
      <c r="Z206" s="67">
        <f>IF(AND(ISNUMBER(P206),N(P206)&gt;0),N(P206),0)</f>
        <v>0.0</v>
      </c>
    </row>
    <row r="207">
      <c r="A207" s="79" t="str">
        <f>IF(COUNTA(B207:C207,E207:G207,I207)=0,"","BI-"&amp;RIGHT("0000"&amp;(ROW()-5),4))</f>
        <v/>
      </c>
      <c r="B207" s="72" t="n"/>
      <c r="C207" s="66" t="n"/>
      <c r="D207" s="67" t="str">
        <f>IF(C207="","",IFERROR(INDEX(eq_des,MATCH(C207,eq_code,0))&amp;"","Équipement inconnu"))</f>
        <v/>
      </c>
      <c r="E207" s="68" t="n"/>
      <c r="F207" s="68" t="n"/>
      <c r="G207" s="66" t="n"/>
      <c r="H207" s="66" t="n"/>
      <c r="I207" s="68" t="n"/>
      <c r="J207" s="73" t="n"/>
      <c r="K207" s="71" t="n"/>
      <c r="L207" s="71" t="n"/>
      <c r="M207" s="66" t="n"/>
      <c r="N207" s="80" t="n"/>
      <c r="O207" s="81" t="str">
        <f>IF(A207="","",ROUND(V207*IFERROR(N(INDEX(tech_rate,MATCH(M207,tech_name,0))),0),2))</f>
        <v/>
      </c>
      <c r="P207" s="80" t="n"/>
      <c r="Q207" s="81" t="str">
        <f>IF(A207="","",ROUND(Y207+O207+Z207,2))</f>
        <v/>
      </c>
      <c r="R207" s="79" t="str">
        <f>IF(A207="","",IF(S207=0,"Date manquante ou invalide",IF(C207="","Équipement manquant",IF(ISNA(MATCH(C207,eq_code,0)),"Équipement inconnu",IF(E207="","Type manquant",IF(AND(E207&lt;&gt;"Préventif",E207&lt;&gt;"Correctif",E207&lt;&gt;"Amélioratif"),"Type inconnu",IF(I207="","Statut manquant",IF(AND(I207&lt;&gt;"Terminée",I207&lt;&gt;"En cours",I207&lt;&gt;"À faire",I207&lt;&gt;"Annulée"),"Statut inconnu",IF(AND(E207="Préventif",F207=""),"Plan manquant (préventif)",IF(AND(F207&lt;&gt;"",ISNA(MATCH(F207,pl_num,0))),"Plan inconnu",IF(AND(F207&lt;&gt;"",IFERROR(INDEX(pl_eq,MATCH(F207,pl_num,0))&amp;"",C207)&lt;&gt;C207),"Plan d'un autre équipement",IF(AND(J207&lt;&gt;"",OR(NOT(ISNUMBER(J207)),N(J207)&lt;0)),"Compteur invalide",IF(OR(AND(K207&lt;&gt;"",OR(NOT(ISNUMBER(K207)),N(K207)&lt;0)),AND(L207&lt;&gt;"",OR(NOT(ISNUMBER(L207)),N(L207)&lt;0))),"Durée invalide",IF(OR(AND(N207&lt;&gt;"",OR(NOT(ISNUMBER(N207)),N(N207)&lt;0)),AND(P207&lt;&gt;"",OR(NOT(ISNUMBER(P207)),N(P207)&lt;0))),"Coût invalide",IF(AND(M207&lt;&gt;"",ISNA(MATCH(M207,tech_name,0))),"Technicien inconnu",IF(AND(I207="Terminée",S207&gt;p_today),"Terminée à une date future",IF(AND(I207="Terminée",V207=0),"Durée d'intervention manquante",IF(AND(I207="Terminée",E207="Préventif",T207=0,OR(IFERROR(INDEX(pl_trig,MATCH(F207,pl_num,0))&amp;"","")="Compteur",IFERROR(INDEX(pl_trig,MATCH(F207,pl_num,0))&amp;"","")="Au premier des deux")),"Compteur manquant (plan au compteur)","OK"))))))))))))))))))</f>
        <v/>
      </c>
      <c r="S207" s="67">
        <f>IF(AND(ISNUMBER(B207),N(B207)&gt;0),INT(B207),0)</f>
        <v>0.0</v>
      </c>
      <c r="T207" s="67">
        <f>IF(AND(ISNUMBER(J207),N(J207)&gt;=0),N(J207),0)</f>
        <v>0.0</v>
      </c>
      <c r="U207" s="67">
        <f>IF(AND(ISNUMBER(K207),N(K207)&gt;0),N(K207),0)</f>
        <v>0.0</v>
      </c>
      <c r="V207" s="67">
        <f>IF(AND(ISNUMBER(L207),N(L207)&gt;0),N(L207),0)</f>
        <v>0.0</v>
      </c>
      <c r="W207" s="67">
        <f>IF(AND(I207="Terminée",S207&gt;0,C207&lt;&gt;"",ISNUMBER(MATCH(C207,eq_code,0))),1,0)</f>
        <v>0.0</v>
      </c>
      <c r="X207" s="67">
        <f>IF(AND(W207=1,E207="Préventif"),1,0)</f>
        <v>0.0</v>
      </c>
      <c r="Y207" s="67">
        <f>IF(AND(ISNUMBER(N207),N(N207)&gt;0),N(N207),0)</f>
        <v>0.0</v>
      </c>
      <c r="Z207" s="67">
        <f>IF(AND(ISNUMBER(P207),N(P207)&gt;0),N(P207),0)</f>
        <v>0.0</v>
      </c>
    </row>
    <row r="208">
      <c r="A208" s="79" t="str">
        <f>IF(COUNTA(B208:C208,E208:G208,I208)=0,"","BI-"&amp;RIGHT("0000"&amp;(ROW()-5),4))</f>
        <v/>
      </c>
      <c r="B208" s="72" t="n"/>
      <c r="C208" s="66" t="n"/>
      <c r="D208" s="67" t="str">
        <f>IF(C208="","",IFERROR(INDEX(eq_des,MATCH(C208,eq_code,0))&amp;"","Équipement inconnu"))</f>
        <v/>
      </c>
      <c r="E208" s="68" t="n"/>
      <c r="F208" s="68" t="n"/>
      <c r="G208" s="66" t="n"/>
      <c r="H208" s="66" t="n"/>
      <c r="I208" s="68" t="n"/>
      <c r="J208" s="73" t="n"/>
      <c r="K208" s="71" t="n"/>
      <c r="L208" s="71" t="n"/>
      <c r="M208" s="66" t="n"/>
      <c r="N208" s="80" t="n"/>
      <c r="O208" s="81" t="str">
        <f>IF(A208="","",ROUND(V208*IFERROR(N(INDEX(tech_rate,MATCH(M208,tech_name,0))),0),2))</f>
        <v/>
      </c>
      <c r="P208" s="80" t="n"/>
      <c r="Q208" s="81" t="str">
        <f>IF(A208="","",ROUND(Y208+O208+Z208,2))</f>
        <v/>
      </c>
      <c r="R208" s="79" t="str">
        <f>IF(A208="","",IF(S208=0,"Date manquante ou invalide",IF(C208="","Équipement manquant",IF(ISNA(MATCH(C208,eq_code,0)),"Équipement inconnu",IF(E208="","Type manquant",IF(AND(E208&lt;&gt;"Préventif",E208&lt;&gt;"Correctif",E208&lt;&gt;"Amélioratif"),"Type inconnu",IF(I208="","Statut manquant",IF(AND(I208&lt;&gt;"Terminée",I208&lt;&gt;"En cours",I208&lt;&gt;"À faire",I208&lt;&gt;"Annulée"),"Statut inconnu",IF(AND(E208="Préventif",F208=""),"Plan manquant (préventif)",IF(AND(F208&lt;&gt;"",ISNA(MATCH(F208,pl_num,0))),"Plan inconnu",IF(AND(F208&lt;&gt;"",IFERROR(INDEX(pl_eq,MATCH(F208,pl_num,0))&amp;"",C208)&lt;&gt;C208),"Plan d'un autre équipement",IF(AND(J208&lt;&gt;"",OR(NOT(ISNUMBER(J208)),N(J208)&lt;0)),"Compteur invalide",IF(OR(AND(K208&lt;&gt;"",OR(NOT(ISNUMBER(K208)),N(K208)&lt;0)),AND(L208&lt;&gt;"",OR(NOT(ISNUMBER(L208)),N(L208)&lt;0))),"Durée invalide",IF(OR(AND(N208&lt;&gt;"",OR(NOT(ISNUMBER(N208)),N(N208)&lt;0)),AND(P208&lt;&gt;"",OR(NOT(ISNUMBER(P208)),N(P208)&lt;0))),"Coût invalide",IF(AND(M208&lt;&gt;"",ISNA(MATCH(M208,tech_name,0))),"Technicien inconnu",IF(AND(I208="Terminée",S208&gt;p_today),"Terminée à une date future",IF(AND(I208="Terminée",V208=0),"Durée d'intervention manquante",IF(AND(I208="Terminée",E208="Préventif",T208=0,OR(IFERROR(INDEX(pl_trig,MATCH(F208,pl_num,0))&amp;"","")="Compteur",IFERROR(INDEX(pl_trig,MATCH(F208,pl_num,0))&amp;"","")="Au premier des deux")),"Compteur manquant (plan au compteur)","OK"))))))))))))))))))</f>
        <v/>
      </c>
      <c r="S208" s="67">
        <f>IF(AND(ISNUMBER(B208),N(B208)&gt;0),INT(B208),0)</f>
        <v>0.0</v>
      </c>
      <c r="T208" s="67">
        <f>IF(AND(ISNUMBER(J208),N(J208)&gt;=0),N(J208),0)</f>
        <v>0.0</v>
      </c>
      <c r="U208" s="67">
        <f>IF(AND(ISNUMBER(K208),N(K208)&gt;0),N(K208),0)</f>
        <v>0.0</v>
      </c>
      <c r="V208" s="67">
        <f>IF(AND(ISNUMBER(L208),N(L208)&gt;0),N(L208),0)</f>
        <v>0.0</v>
      </c>
      <c r="W208" s="67">
        <f>IF(AND(I208="Terminée",S208&gt;0,C208&lt;&gt;"",ISNUMBER(MATCH(C208,eq_code,0))),1,0)</f>
        <v>0.0</v>
      </c>
      <c r="X208" s="67">
        <f>IF(AND(W208=1,E208="Préventif"),1,0)</f>
        <v>0.0</v>
      </c>
      <c r="Y208" s="67">
        <f>IF(AND(ISNUMBER(N208),N(N208)&gt;0),N(N208),0)</f>
        <v>0.0</v>
      </c>
      <c r="Z208" s="67">
        <f>IF(AND(ISNUMBER(P208),N(P208)&gt;0),N(P208),0)</f>
        <v>0.0</v>
      </c>
    </row>
    <row r="209">
      <c r="A209" s="79" t="str">
        <f>IF(COUNTA(B209:C209,E209:G209,I209)=0,"","BI-"&amp;RIGHT("0000"&amp;(ROW()-5),4))</f>
        <v/>
      </c>
      <c r="B209" s="72" t="n"/>
      <c r="C209" s="66" t="n"/>
      <c r="D209" s="67" t="str">
        <f>IF(C209="","",IFERROR(INDEX(eq_des,MATCH(C209,eq_code,0))&amp;"","Équipement inconnu"))</f>
        <v/>
      </c>
      <c r="E209" s="68" t="n"/>
      <c r="F209" s="68" t="n"/>
      <c r="G209" s="66" t="n"/>
      <c r="H209" s="66" t="n"/>
      <c r="I209" s="68" t="n"/>
      <c r="J209" s="73" t="n"/>
      <c r="K209" s="71" t="n"/>
      <c r="L209" s="71" t="n"/>
      <c r="M209" s="66" t="n"/>
      <c r="N209" s="80" t="n"/>
      <c r="O209" s="81" t="str">
        <f>IF(A209="","",ROUND(V209*IFERROR(N(INDEX(tech_rate,MATCH(M209,tech_name,0))),0),2))</f>
        <v/>
      </c>
      <c r="P209" s="80" t="n"/>
      <c r="Q209" s="81" t="str">
        <f>IF(A209="","",ROUND(Y209+O209+Z209,2))</f>
        <v/>
      </c>
      <c r="R209" s="79" t="str">
        <f>IF(A209="","",IF(S209=0,"Date manquante ou invalide",IF(C209="","Équipement manquant",IF(ISNA(MATCH(C209,eq_code,0)),"Équipement inconnu",IF(E209="","Type manquant",IF(AND(E209&lt;&gt;"Préventif",E209&lt;&gt;"Correctif",E209&lt;&gt;"Amélioratif"),"Type inconnu",IF(I209="","Statut manquant",IF(AND(I209&lt;&gt;"Terminée",I209&lt;&gt;"En cours",I209&lt;&gt;"À faire",I209&lt;&gt;"Annulée"),"Statut inconnu",IF(AND(E209="Préventif",F209=""),"Plan manquant (préventif)",IF(AND(F209&lt;&gt;"",ISNA(MATCH(F209,pl_num,0))),"Plan inconnu",IF(AND(F209&lt;&gt;"",IFERROR(INDEX(pl_eq,MATCH(F209,pl_num,0))&amp;"",C209)&lt;&gt;C209),"Plan d'un autre équipement",IF(AND(J209&lt;&gt;"",OR(NOT(ISNUMBER(J209)),N(J209)&lt;0)),"Compteur invalide",IF(OR(AND(K209&lt;&gt;"",OR(NOT(ISNUMBER(K209)),N(K209)&lt;0)),AND(L209&lt;&gt;"",OR(NOT(ISNUMBER(L209)),N(L209)&lt;0))),"Durée invalide",IF(OR(AND(N209&lt;&gt;"",OR(NOT(ISNUMBER(N209)),N(N209)&lt;0)),AND(P209&lt;&gt;"",OR(NOT(ISNUMBER(P209)),N(P209)&lt;0))),"Coût invalide",IF(AND(M209&lt;&gt;"",ISNA(MATCH(M209,tech_name,0))),"Technicien inconnu",IF(AND(I209="Terminée",S209&gt;p_today),"Terminée à une date future",IF(AND(I209="Terminée",V209=0),"Durée d'intervention manquante",IF(AND(I209="Terminée",E209="Préventif",T209=0,OR(IFERROR(INDEX(pl_trig,MATCH(F209,pl_num,0))&amp;"","")="Compteur",IFERROR(INDEX(pl_trig,MATCH(F209,pl_num,0))&amp;"","")="Au premier des deux")),"Compteur manquant (plan au compteur)","OK"))))))))))))))))))</f>
        <v/>
      </c>
      <c r="S209" s="67">
        <f>IF(AND(ISNUMBER(B209),N(B209)&gt;0),INT(B209),0)</f>
        <v>0.0</v>
      </c>
      <c r="T209" s="67">
        <f>IF(AND(ISNUMBER(J209),N(J209)&gt;=0),N(J209),0)</f>
        <v>0.0</v>
      </c>
      <c r="U209" s="67">
        <f>IF(AND(ISNUMBER(K209),N(K209)&gt;0),N(K209),0)</f>
        <v>0.0</v>
      </c>
      <c r="V209" s="67">
        <f>IF(AND(ISNUMBER(L209),N(L209)&gt;0),N(L209),0)</f>
        <v>0.0</v>
      </c>
      <c r="W209" s="67">
        <f>IF(AND(I209="Terminée",S209&gt;0,C209&lt;&gt;"",ISNUMBER(MATCH(C209,eq_code,0))),1,0)</f>
        <v>0.0</v>
      </c>
      <c r="X209" s="67">
        <f>IF(AND(W209=1,E209="Préventif"),1,0)</f>
        <v>0.0</v>
      </c>
      <c r="Y209" s="67">
        <f>IF(AND(ISNUMBER(N209),N(N209)&gt;0),N(N209),0)</f>
        <v>0.0</v>
      </c>
      <c r="Z209" s="67">
        <f>IF(AND(ISNUMBER(P209),N(P209)&gt;0),N(P209),0)</f>
        <v>0.0</v>
      </c>
    </row>
    <row r="210">
      <c r="A210" s="79" t="str">
        <f>IF(COUNTA(B210:C210,E210:G210,I210)=0,"","BI-"&amp;RIGHT("0000"&amp;(ROW()-5),4))</f>
        <v/>
      </c>
      <c r="B210" s="72" t="n"/>
      <c r="C210" s="66" t="n"/>
      <c r="D210" s="67" t="str">
        <f>IF(C210="","",IFERROR(INDEX(eq_des,MATCH(C210,eq_code,0))&amp;"","Équipement inconnu"))</f>
        <v/>
      </c>
      <c r="E210" s="68" t="n"/>
      <c r="F210" s="68" t="n"/>
      <c r="G210" s="66" t="n"/>
      <c r="H210" s="66" t="n"/>
      <c r="I210" s="68" t="n"/>
      <c r="J210" s="73" t="n"/>
      <c r="K210" s="71" t="n"/>
      <c r="L210" s="71" t="n"/>
      <c r="M210" s="66" t="n"/>
      <c r="N210" s="80" t="n"/>
      <c r="O210" s="81" t="str">
        <f>IF(A210="","",ROUND(V210*IFERROR(N(INDEX(tech_rate,MATCH(M210,tech_name,0))),0),2))</f>
        <v/>
      </c>
      <c r="P210" s="80" t="n"/>
      <c r="Q210" s="81" t="str">
        <f>IF(A210="","",ROUND(Y210+O210+Z210,2))</f>
        <v/>
      </c>
      <c r="R210" s="79" t="str">
        <f>IF(A210="","",IF(S210=0,"Date manquante ou invalide",IF(C210="","Équipement manquant",IF(ISNA(MATCH(C210,eq_code,0)),"Équipement inconnu",IF(E210="","Type manquant",IF(AND(E210&lt;&gt;"Préventif",E210&lt;&gt;"Correctif",E210&lt;&gt;"Amélioratif"),"Type inconnu",IF(I210="","Statut manquant",IF(AND(I210&lt;&gt;"Terminée",I210&lt;&gt;"En cours",I210&lt;&gt;"À faire",I210&lt;&gt;"Annulée"),"Statut inconnu",IF(AND(E210="Préventif",F210=""),"Plan manquant (préventif)",IF(AND(F210&lt;&gt;"",ISNA(MATCH(F210,pl_num,0))),"Plan inconnu",IF(AND(F210&lt;&gt;"",IFERROR(INDEX(pl_eq,MATCH(F210,pl_num,0))&amp;"",C210)&lt;&gt;C210),"Plan d'un autre équipement",IF(AND(J210&lt;&gt;"",OR(NOT(ISNUMBER(J210)),N(J210)&lt;0)),"Compteur invalide",IF(OR(AND(K210&lt;&gt;"",OR(NOT(ISNUMBER(K210)),N(K210)&lt;0)),AND(L210&lt;&gt;"",OR(NOT(ISNUMBER(L210)),N(L210)&lt;0))),"Durée invalide",IF(OR(AND(N210&lt;&gt;"",OR(NOT(ISNUMBER(N210)),N(N210)&lt;0)),AND(P210&lt;&gt;"",OR(NOT(ISNUMBER(P210)),N(P210)&lt;0))),"Coût invalide",IF(AND(M210&lt;&gt;"",ISNA(MATCH(M210,tech_name,0))),"Technicien inconnu",IF(AND(I210="Terminée",S210&gt;p_today),"Terminée à une date future",IF(AND(I210="Terminée",V210=0),"Durée d'intervention manquante",IF(AND(I210="Terminée",E210="Préventif",T210=0,OR(IFERROR(INDEX(pl_trig,MATCH(F210,pl_num,0))&amp;"","")="Compteur",IFERROR(INDEX(pl_trig,MATCH(F210,pl_num,0))&amp;"","")="Au premier des deux")),"Compteur manquant (plan au compteur)","OK"))))))))))))))))))</f>
        <v/>
      </c>
      <c r="S210" s="67">
        <f>IF(AND(ISNUMBER(B210),N(B210)&gt;0),INT(B210),0)</f>
        <v>0.0</v>
      </c>
      <c r="T210" s="67">
        <f>IF(AND(ISNUMBER(J210),N(J210)&gt;=0),N(J210),0)</f>
        <v>0.0</v>
      </c>
      <c r="U210" s="67">
        <f>IF(AND(ISNUMBER(K210),N(K210)&gt;0),N(K210),0)</f>
        <v>0.0</v>
      </c>
      <c r="V210" s="67">
        <f>IF(AND(ISNUMBER(L210),N(L210)&gt;0),N(L210),0)</f>
        <v>0.0</v>
      </c>
      <c r="W210" s="67">
        <f>IF(AND(I210="Terminée",S210&gt;0,C210&lt;&gt;"",ISNUMBER(MATCH(C210,eq_code,0))),1,0)</f>
        <v>0.0</v>
      </c>
      <c r="X210" s="67">
        <f>IF(AND(W210=1,E210="Préventif"),1,0)</f>
        <v>0.0</v>
      </c>
      <c r="Y210" s="67">
        <f>IF(AND(ISNUMBER(N210),N(N210)&gt;0),N(N210),0)</f>
        <v>0.0</v>
      </c>
      <c r="Z210" s="67">
        <f>IF(AND(ISNUMBER(P210),N(P210)&gt;0),N(P210),0)</f>
        <v>0.0</v>
      </c>
    </row>
    <row r="211">
      <c r="A211" s="79" t="str">
        <f>IF(COUNTA(B211:C211,E211:G211,I211)=0,"","BI-"&amp;RIGHT("0000"&amp;(ROW()-5),4))</f>
        <v/>
      </c>
      <c r="B211" s="72" t="n"/>
      <c r="C211" s="66" t="n"/>
      <c r="D211" s="67" t="str">
        <f>IF(C211="","",IFERROR(INDEX(eq_des,MATCH(C211,eq_code,0))&amp;"","Équipement inconnu"))</f>
        <v/>
      </c>
      <c r="E211" s="68" t="n"/>
      <c r="F211" s="68" t="n"/>
      <c r="G211" s="66" t="n"/>
      <c r="H211" s="66" t="n"/>
      <c r="I211" s="68" t="n"/>
      <c r="J211" s="73" t="n"/>
      <c r="K211" s="71" t="n"/>
      <c r="L211" s="71" t="n"/>
      <c r="M211" s="66" t="n"/>
      <c r="N211" s="80" t="n"/>
      <c r="O211" s="81" t="str">
        <f>IF(A211="","",ROUND(V211*IFERROR(N(INDEX(tech_rate,MATCH(M211,tech_name,0))),0),2))</f>
        <v/>
      </c>
      <c r="P211" s="80" t="n"/>
      <c r="Q211" s="81" t="str">
        <f>IF(A211="","",ROUND(Y211+O211+Z211,2))</f>
        <v/>
      </c>
      <c r="R211" s="79" t="str">
        <f>IF(A211="","",IF(S211=0,"Date manquante ou invalide",IF(C211="","Équipement manquant",IF(ISNA(MATCH(C211,eq_code,0)),"Équipement inconnu",IF(E211="","Type manquant",IF(AND(E211&lt;&gt;"Préventif",E211&lt;&gt;"Correctif",E211&lt;&gt;"Amélioratif"),"Type inconnu",IF(I211="","Statut manquant",IF(AND(I211&lt;&gt;"Terminée",I211&lt;&gt;"En cours",I211&lt;&gt;"À faire",I211&lt;&gt;"Annulée"),"Statut inconnu",IF(AND(E211="Préventif",F211=""),"Plan manquant (préventif)",IF(AND(F211&lt;&gt;"",ISNA(MATCH(F211,pl_num,0))),"Plan inconnu",IF(AND(F211&lt;&gt;"",IFERROR(INDEX(pl_eq,MATCH(F211,pl_num,0))&amp;"",C211)&lt;&gt;C211),"Plan d'un autre équipement",IF(AND(J211&lt;&gt;"",OR(NOT(ISNUMBER(J211)),N(J211)&lt;0)),"Compteur invalide",IF(OR(AND(K211&lt;&gt;"",OR(NOT(ISNUMBER(K211)),N(K211)&lt;0)),AND(L211&lt;&gt;"",OR(NOT(ISNUMBER(L211)),N(L211)&lt;0))),"Durée invalide",IF(OR(AND(N211&lt;&gt;"",OR(NOT(ISNUMBER(N211)),N(N211)&lt;0)),AND(P211&lt;&gt;"",OR(NOT(ISNUMBER(P211)),N(P211)&lt;0))),"Coût invalide",IF(AND(M211&lt;&gt;"",ISNA(MATCH(M211,tech_name,0))),"Technicien inconnu",IF(AND(I211="Terminée",S211&gt;p_today),"Terminée à une date future",IF(AND(I211="Terminée",V211=0),"Durée d'intervention manquante",IF(AND(I211="Terminée",E211="Préventif",T211=0,OR(IFERROR(INDEX(pl_trig,MATCH(F211,pl_num,0))&amp;"","")="Compteur",IFERROR(INDEX(pl_trig,MATCH(F211,pl_num,0))&amp;"","")="Au premier des deux")),"Compteur manquant (plan au compteur)","OK"))))))))))))))))))</f>
        <v/>
      </c>
      <c r="S211" s="67">
        <f>IF(AND(ISNUMBER(B211),N(B211)&gt;0),INT(B211),0)</f>
        <v>0.0</v>
      </c>
      <c r="T211" s="67">
        <f>IF(AND(ISNUMBER(J211),N(J211)&gt;=0),N(J211),0)</f>
        <v>0.0</v>
      </c>
      <c r="U211" s="67">
        <f>IF(AND(ISNUMBER(K211),N(K211)&gt;0),N(K211),0)</f>
        <v>0.0</v>
      </c>
      <c r="V211" s="67">
        <f>IF(AND(ISNUMBER(L211),N(L211)&gt;0),N(L211),0)</f>
        <v>0.0</v>
      </c>
      <c r="W211" s="67">
        <f>IF(AND(I211="Terminée",S211&gt;0,C211&lt;&gt;"",ISNUMBER(MATCH(C211,eq_code,0))),1,0)</f>
        <v>0.0</v>
      </c>
      <c r="X211" s="67">
        <f>IF(AND(W211=1,E211="Préventif"),1,0)</f>
        <v>0.0</v>
      </c>
      <c r="Y211" s="67">
        <f>IF(AND(ISNUMBER(N211),N(N211)&gt;0),N(N211),0)</f>
        <v>0.0</v>
      </c>
      <c r="Z211" s="67">
        <f>IF(AND(ISNUMBER(P211),N(P211)&gt;0),N(P211),0)</f>
        <v>0.0</v>
      </c>
    </row>
    <row r="212">
      <c r="A212" s="79" t="str">
        <f>IF(COUNTA(B212:C212,E212:G212,I212)=0,"","BI-"&amp;RIGHT("0000"&amp;(ROW()-5),4))</f>
        <v/>
      </c>
      <c r="B212" s="72" t="n"/>
      <c r="C212" s="66" t="n"/>
      <c r="D212" s="67" t="str">
        <f>IF(C212="","",IFERROR(INDEX(eq_des,MATCH(C212,eq_code,0))&amp;"","Équipement inconnu"))</f>
        <v/>
      </c>
      <c r="E212" s="68" t="n"/>
      <c r="F212" s="68" t="n"/>
      <c r="G212" s="66" t="n"/>
      <c r="H212" s="66" t="n"/>
      <c r="I212" s="68" t="n"/>
      <c r="J212" s="73" t="n"/>
      <c r="K212" s="71" t="n"/>
      <c r="L212" s="71" t="n"/>
      <c r="M212" s="66" t="n"/>
      <c r="N212" s="80" t="n"/>
      <c r="O212" s="81" t="str">
        <f>IF(A212="","",ROUND(V212*IFERROR(N(INDEX(tech_rate,MATCH(M212,tech_name,0))),0),2))</f>
        <v/>
      </c>
      <c r="P212" s="80" t="n"/>
      <c r="Q212" s="81" t="str">
        <f>IF(A212="","",ROUND(Y212+O212+Z212,2))</f>
        <v/>
      </c>
      <c r="R212" s="79" t="str">
        <f>IF(A212="","",IF(S212=0,"Date manquante ou invalide",IF(C212="","Équipement manquant",IF(ISNA(MATCH(C212,eq_code,0)),"Équipement inconnu",IF(E212="","Type manquant",IF(AND(E212&lt;&gt;"Préventif",E212&lt;&gt;"Correctif",E212&lt;&gt;"Amélioratif"),"Type inconnu",IF(I212="","Statut manquant",IF(AND(I212&lt;&gt;"Terminée",I212&lt;&gt;"En cours",I212&lt;&gt;"À faire",I212&lt;&gt;"Annulée"),"Statut inconnu",IF(AND(E212="Préventif",F212=""),"Plan manquant (préventif)",IF(AND(F212&lt;&gt;"",ISNA(MATCH(F212,pl_num,0))),"Plan inconnu",IF(AND(F212&lt;&gt;"",IFERROR(INDEX(pl_eq,MATCH(F212,pl_num,0))&amp;"",C212)&lt;&gt;C212),"Plan d'un autre équipement",IF(AND(J212&lt;&gt;"",OR(NOT(ISNUMBER(J212)),N(J212)&lt;0)),"Compteur invalide",IF(OR(AND(K212&lt;&gt;"",OR(NOT(ISNUMBER(K212)),N(K212)&lt;0)),AND(L212&lt;&gt;"",OR(NOT(ISNUMBER(L212)),N(L212)&lt;0))),"Durée invalide",IF(OR(AND(N212&lt;&gt;"",OR(NOT(ISNUMBER(N212)),N(N212)&lt;0)),AND(P212&lt;&gt;"",OR(NOT(ISNUMBER(P212)),N(P212)&lt;0))),"Coût invalide",IF(AND(M212&lt;&gt;"",ISNA(MATCH(M212,tech_name,0))),"Technicien inconnu",IF(AND(I212="Terminée",S212&gt;p_today),"Terminée à une date future",IF(AND(I212="Terminée",V212=0),"Durée d'intervention manquante",IF(AND(I212="Terminée",E212="Préventif",T212=0,OR(IFERROR(INDEX(pl_trig,MATCH(F212,pl_num,0))&amp;"","")="Compteur",IFERROR(INDEX(pl_trig,MATCH(F212,pl_num,0))&amp;"","")="Au premier des deux")),"Compteur manquant (plan au compteur)","OK"))))))))))))))))))</f>
        <v/>
      </c>
      <c r="S212" s="67">
        <f>IF(AND(ISNUMBER(B212),N(B212)&gt;0),INT(B212),0)</f>
        <v>0.0</v>
      </c>
      <c r="T212" s="67">
        <f>IF(AND(ISNUMBER(J212),N(J212)&gt;=0),N(J212),0)</f>
        <v>0.0</v>
      </c>
      <c r="U212" s="67">
        <f>IF(AND(ISNUMBER(K212),N(K212)&gt;0),N(K212),0)</f>
        <v>0.0</v>
      </c>
      <c r="V212" s="67">
        <f>IF(AND(ISNUMBER(L212),N(L212)&gt;0),N(L212),0)</f>
        <v>0.0</v>
      </c>
      <c r="W212" s="67">
        <f>IF(AND(I212="Terminée",S212&gt;0,C212&lt;&gt;"",ISNUMBER(MATCH(C212,eq_code,0))),1,0)</f>
        <v>0.0</v>
      </c>
      <c r="X212" s="67">
        <f>IF(AND(W212=1,E212="Préventif"),1,0)</f>
        <v>0.0</v>
      </c>
      <c r="Y212" s="67">
        <f>IF(AND(ISNUMBER(N212),N(N212)&gt;0),N(N212),0)</f>
        <v>0.0</v>
      </c>
      <c r="Z212" s="67">
        <f>IF(AND(ISNUMBER(P212),N(P212)&gt;0),N(P212),0)</f>
        <v>0.0</v>
      </c>
    </row>
    <row r="213">
      <c r="A213" s="79" t="str">
        <f>IF(COUNTA(B213:C213,E213:G213,I213)=0,"","BI-"&amp;RIGHT("0000"&amp;(ROW()-5),4))</f>
        <v/>
      </c>
      <c r="B213" s="72" t="n"/>
      <c r="C213" s="66" t="n"/>
      <c r="D213" s="67" t="str">
        <f>IF(C213="","",IFERROR(INDEX(eq_des,MATCH(C213,eq_code,0))&amp;"","Équipement inconnu"))</f>
        <v/>
      </c>
      <c r="E213" s="68" t="n"/>
      <c r="F213" s="68" t="n"/>
      <c r="G213" s="66" t="n"/>
      <c r="H213" s="66" t="n"/>
      <c r="I213" s="68" t="n"/>
      <c r="J213" s="73" t="n"/>
      <c r="K213" s="71" t="n"/>
      <c r="L213" s="71" t="n"/>
      <c r="M213" s="66" t="n"/>
      <c r="N213" s="80" t="n"/>
      <c r="O213" s="81" t="str">
        <f>IF(A213="","",ROUND(V213*IFERROR(N(INDEX(tech_rate,MATCH(M213,tech_name,0))),0),2))</f>
        <v/>
      </c>
      <c r="P213" s="80" t="n"/>
      <c r="Q213" s="81" t="str">
        <f>IF(A213="","",ROUND(Y213+O213+Z213,2))</f>
        <v/>
      </c>
      <c r="R213" s="79" t="str">
        <f>IF(A213="","",IF(S213=0,"Date manquante ou invalide",IF(C213="","Équipement manquant",IF(ISNA(MATCH(C213,eq_code,0)),"Équipement inconnu",IF(E213="","Type manquant",IF(AND(E213&lt;&gt;"Préventif",E213&lt;&gt;"Correctif",E213&lt;&gt;"Amélioratif"),"Type inconnu",IF(I213="","Statut manquant",IF(AND(I213&lt;&gt;"Terminée",I213&lt;&gt;"En cours",I213&lt;&gt;"À faire",I213&lt;&gt;"Annulée"),"Statut inconnu",IF(AND(E213="Préventif",F213=""),"Plan manquant (préventif)",IF(AND(F213&lt;&gt;"",ISNA(MATCH(F213,pl_num,0))),"Plan inconnu",IF(AND(F213&lt;&gt;"",IFERROR(INDEX(pl_eq,MATCH(F213,pl_num,0))&amp;"",C213)&lt;&gt;C213),"Plan d'un autre équipement",IF(AND(J213&lt;&gt;"",OR(NOT(ISNUMBER(J213)),N(J213)&lt;0)),"Compteur invalide",IF(OR(AND(K213&lt;&gt;"",OR(NOT(ISNUMBER(K213)),N(K213)&lt;0)),AND(L213&lt;&gt;"",OR(NOT(ISNUMBER(L213)),N(L213)&lt;0))),"Durée invalide",IF(OR(AND(N213&lt;&gt;"",OR(NOT(ISNUMBER(N213)),N(N213)&lt;0)),AND(P213&lt;&gt;"",OR(NOT(ISNUMBER(P213)),N(P213)&lt;0))),"Coût invalide",IF(AND(M213&lt;&gt;"",ISNA(MATCH(M213,tech_name,0))),"Technicien inconnu",IF(AND(I213="Terminée",S213&gt;p_today),"Terminée à une date future",IF(AND(I213="Terminée",V213=0),"Durée d'intervention manquante",IF(AND(I213="Terminée",E213="Préventif",T213=0,OR(IFERROR(INDEX(pl_trig,MATCH(F213,pl_num,0))&amp;"","")="Compteur",IFERROR(INDEX(pl_trig,MATCH(F213,pl_num,0))&amp;"","")="Au premier des deux")),"Compteur manquant (plan au compteur)","OK"))))))))))))))))))</f>
        <v/>
      </c>
      <c r="S213" s="67">
        <f>IF(AND(ISNUMBER(B213),N(B213)&gt;0),INT(B213),0)</f>
        <v>0.0</v>
      </c>
      <c r="T213" s="67">
        <f>IF(AND(ISNUMBER(J213),N(J213)&gt;=0),N(J213),0)</f>
        <v>0.0</v>
      </c>
      <c r="U213" s="67">
        <f>IF(AND(ISNUMBER(K213),N(K213)&gt;0),N(K213),0)</f>
        <v>0.0</v>
      </c>
      <c r="V213" s="67">
        <f>IF(AND(ISNUMBER(L213),N(L213)&gt;0),N(L213),0)</f>
        <v>0.0</v>
      </c>
      <c r="W213" s="67">
        <f>IF(AND(I213="Terminée",S213&gt;0,C213&lt;&gt;"",ISNUMBER(MATCH(C213,eq_code,0))),1,0)</f>
        <v>0.0</v>
      </c>
      <c r="X213" s="67">
        <f>IF(AND(W213=1,E213="Préventif"),1,0)</f>
        <v>0.0</v>
      </c>
      <c r="Y213" s="67">
        <f>IF(AND(ISNUMBER(N213),N(N213)&gt;0),N(N213),0)</f>
        <v>0.0</v>
      </c>
      <c r="Z213" s="67">
        <f>IF(AND(ISNUMBER(P213),N(P213)&gt;0),N(P213),0)</f>
        <v>0.0</v>
      </c>
    </row>
    <row r="214">
      <c r="A214" s="79" t="str">
        <f>IF(COUNTA(B214:C214,E214:G214,I214)=0,"","BI-"&amp;RIGHT("0000"&amp;(ROW()-5),4))</f>
        <v/>
      </c>
      <c r="B214" s="72" t="n"/>
      <c r="C214" s="66" t="n"/>
      <c r="D214" s="67" t="str">
        <f>IF(C214="","",IFERROR(INDEX(eq_des,MATCH(C214,eq_code,0))&amp;"","Équipement inconnu"))</f>
        <v/>
      </c>
      <c r="E214" s="68" t="n"/>
      <c r="F214" s="68" t="n"/>
      <c r="G214" s="66" t="n"/>
      <c r="H214" s="66" t="n"/>
      <c r="I214" s="68" t="n"/>
      <c r="J214" s="73" t="n"/>
      <c r="K214" s="71" t="n"/>
      <c r="L214" s="71" t="n"/>
      <c r="M214" s="66" t="n"/>
      <c r="N214" s="80" t="n"/>
      <c r="O214" s="81" t="str">
        <f>IF(A214="","",ROUND(V214*IFERROR(N(INDEX(tech_rate,MATCH(M214,tech_name,0))),0),2))</f>
        <v/>
      </c>
      <c r="P214" s="80" t="n"/>
      <c r="Q214" s="81" t="str">
        <f>IF(A214="","",ROUND(Y214+O214+Z214,2))</f>
        <v/>
      </c>
      <c r="R214" s="79" t="str">
        <f>IF(A214="","",IF(S214=0,"Date manquante ou invalide",IF(C214="","Équipement manquant",IF(ISNA(MATCH(C214,eq_code,0)),"Équipement inconnu",IF(E214="","Type manquant",IF(AND(E214&lt;&gt;"Préventif",E214&lt;&gt;"Correctif",E214&lt;&gt;"Amélioratif"),"Type inconnu",IF(I214="","Statut manquant",IF(AND(I214&lt;&gt;"Terminée",I214&lt;&gt;"En cours",I214&lt;&gt;"À faire",I214&lt;&gt;"Annulée"),"Statut inconnu",IF(AND(E214="Préventif",F214=""),"Plan manquant (préventif)",IF(AND(F214&lt;&gt;"",ISNA(MATCH(F214,pl_num,0))),"Plan inconnu",IF(AND(F214&lt;&gt;"",IFERROR(INDEX(pl_eq,MATCH(F214,pl_num,0))&amp;"",C214)&lt;&gt;C214),"Plan d'un autre équipement",IF(AND(J214&lt;&gt;"",OR(NOT(ISNUMBER(J214)),N(J214)&lt;0)),"Compteur invalide",IF(OR(AND(K214&lt;&gt;"",OR(NOT(ISNUMBER(K214)),N(K214)&lt;0)),AND(L214&lt;&gt;"",OR(NOT(ISNUMBER(L214)),N(L214)&lt;0))),"Durée invalide",IF(OR(AND(N214&lt;&gt;"",OR(NOT(ISNUMBER(N214)),N(N214)&lt;0)),AND(P214&lt;&gt;"",OR(NOT(ISNUMBER(P214)),N(P214)&lt;0))),"Coût invalide",IF(AND(M214&lt;&gt;"",ISNA(MATCH(M214,tech_name,0))),"Technicien inconnu",IF(AND(I214="Terminée",S214&gt;p_today),"Terminée à une date future",IF(AND(I214="Terminée",V214=0),"Durée d'intervention manquante",IF(AND(I214="Terminée",E214="Préventif",T214=0,OR(IFERROR(INDEX(pl_trig,MATCH(F214,pl_num,0))&amp;"","")="Compteur",IFERROR(INDEX(pl_trig,MATCH(F214,pl_num,0))&amp;"","")="Au premier des deux")),"Compteur manquant (plan au compteur)","OK"))))))))))))))))))</f>
        <v/>
      </c>
      <c r="S214" s="67">
        <f>IF(AND(ISNUMBER(B214),N(B214)&gt;0),INT(B214),0)</f>
        <v>0.0</v>
      </c>
      <c r="T214" s="67">
        <f>IF(AND(ISNUMBER(J214),N(J214)&gt;=0),N(J214),0)</f>
        <v>0.0</v>
      </c>
      <c r="U214" s="67">
        <f>IF(AND(ISNUMBER(K214),N(K214)&gt;0),N(K214),0)</f>
        <v>0.0</v>
      </c>
      <c r="V214" s="67">
        <f>IF(AND(ISNUMBER(L214),N(L214)&gt;0),N(L214),0)</f>
        <v>0.0</v>
      </c>
      <c r="W214" s="67">
        <f>IF(AND(I214="Terminée",S214&gt;0,C214&lt;&gt;"",ISNUMBER(MATCH(C214,eq_code,0))),1,0)</f>
        <v>0.0</v>
      </c>
      <c r="X214" s="67">
        <f>IF(AND(W214=1,E214="Préventif"),1,0)</f>
        <v>0.0</v>
      </c>
      <c r="Y214" s="67">
        <f>IF(AND(ISNUMBER(N214),N(N214)&gt;0),N(N214),0)</f>
        <v>0.0</v>
      </c>
      <c r="Z214" s="67">
        <f>IF(AND(ISNUMBER(P214),N(P214)&gt;0),N(P214),0)</f>
        <v>0.0</v>
      </c>
    </row>
    <row r="215">
      <c r="A215" s="79" t="str">
        <f>IF(COUNTA(B215:C215,E215:G215,I215)=0,"","BI-"&amp;RIGHT("0000"&amp;(ROW()-5),4))</f>
        <v/>
      </c>
      <c r="B215" s="72" t="n"/>
      <c r="C215" s="66" t="n"/>
      <c r="D215" s="67" t="str">
        <f>IF(C215="","",IFERROR(INDEX(eq_des,MATCH(C215,eq_code,0))&amp;"","Équipement inconnu"))</f>
        <v/>
      </c>
      <c r="E215" s="68" t="n"/>
      <c r="F215" s="68" t="n"/>
      <c r="G215" s="66" t="n"/>
      <c r="H215" s="66" t="n"/>
      <c r="I215" s="68" t="n"/>
      <c r="J215" s="73" t="n"/>
      <c r="K215" s="71" t="n"/>
      <c r="L215" s="71" t="n"/>
      <c r="M215" s="66" t="n"/>
      <c r="N215" s="80" t="n"/>
      <c r="O215" s="81" t="str">
        <f>IF(A215="","",ROUND(V215*IFERROR(N(INDEX(tech_rate,MATCH(M215,tech_name,0))),0),2))</f>
        <v/>
      </c>
      <c r="P215" s="80" t="n"/>
      <c r="Q215" s="81" t="str">
        <f>IF(A215="","",ROUND(Y215+O215+Z215,2))</f>
        <v/>
      </c>
      <c r="R215" s="79" t="str">
        <f>IF(A215="","",IF(S215=0,"Date manquante ou invalide",IF(C215="","Équipement manquant",IF(ISNA(MATCH(C215,eq_code,0)),"Équipement inconnu",IF(E215="","Type manquant",IF(AND(E215&lt;&gt;"Préventif",E215&lt;&gt;"Correctif",E215&lt;&gt;"Amélioratif"),"Type inconnu",IF(I215="","Statut manquant",IF(AND(I215&lt;&gt;"Terminée",I215&lt;&gt;"En cours",I215&lt;&gt;"À faire",I215&lt;&gt;"Annulée"),"Statut inconnu",IF(AND(E215="Préventif",F215=""),"Plan manquant (préventif)",IF(AND(F215&lt;&gt;"",ISNA(MATCH(F215,pl_num,0))),"Plan inconnu",IF(AND(F215&lt;&gt;"",IFERROR(INDEX(pl_eq,MATCH(F215,pl_num,0))&amp;"",C215)&lt;&gt;C215),"Plan d'un autre équipement",IF(AND(J215&lt;&gt;"",OR(NOT(ISNUMBER(J215)),N(J215)&lt;0)),"Compteur invalide",IF(OR(AND(K215&lt;&gt;"",OR(NOT(ISNUMBER(K215)),N(K215)&lt;0)),AND(L215&lt;&gt;"",OR(NOT(ISNUMBER(L215)),N(L215)&lt;0))),"Durée invalide",IF(OR(AND(N215&lt;&gt;"",OR(NOT(ISNUMBER(N215)),N(N215)&lt;0)),AND(P215&lt;&gt;"",OR(NOT(ISNUMBER(P215)),N(P215)&lt;0))),"Coût invalide",IF(AND(M215&lt;&gt;"",ISNA(MATCH(M215,tech_name,0))),"Technicien inconnu",IF(AND(I215="Terminée",S215&gt;p_today),"Terminée à une date future",IF(AND(I215="Terminée",V215=0),"Durée d'intervention manquante",IF(AND(I215="Terminée",E215="Préventif",T215=0,OR(IFERROR(INDEX(pl_trig,MATCH(F215,pl_num,0))&amp;"","")="Compteur",IFERROR(INDEX(pl_trig,MATCH(F215,pl_num,0))&amp;"","")="Au premier des deux")),"Compteur manquant (plan au compteur)","OK"))))))))))))))))))</f>
        <v/>
      </c>
      <c r="S215" s="67">
        <f>IF(AND(ISNUMBER(B215),N(B215)&gt;0),INT(B215),0)</f>
        <v>0.0</v>
      </c>
      <c r="T215" s="67">
        <f>IF(AND(ISNUMBER(J215),N(J215)&gt;=0),N(J215),0)</f>
        <v>0.0</v>
      </c>
      <c r="U215" s="67">
        <f>IF(AND(ISNUMBER(K215),N(K215)&gt;0),N(K215),0)</f>
        <v>0.0</v>
      </c>
      <c r="V215" s="67">
        <f>IF(AND(ISNUMBER(L215),N(L215)&gt;0),N(L215),0)</f>
        <v>0.0</v>
      </c>
      <c r="W215" s="67">
        <f>IF(AND(I215="Terminée",S215&gt;0,C215&lt;&gt;"",ISNUMBER(MATCH(C215,eq_code,0))),1,0)</f>
        <v>0.0</v>
      </c>
      <c r="X215" s="67">
        <f>IF(AND(W215=1,E215="Préventif"),1,0)</f>
        <v>0.0</v>
      </c>
      <c r="Y215" s="67">
        <f>IF(AND(ISNUMBER(N215),N(N215)&gt;0),N(N215),0)</f>
        <v>0.0</v>
      </c>
      <c r="Z215" s="67">
        <f>IF(AND(ISNUMBER(P215),N(P215)&gt;0),N(P215),0)</f>
        <v>0.0</v>
      </c>
    </row>
    <row r="216">
      <c r="A216" s="79" t="str">
        <f>IF(COUNTA(B216:C216,E216:G216,I216)=0,"","BI-"&amp;RIGHT("0000"&amp;(ROW()-5),4))</f>
        <v/>
      </c>
      <c r="B216" s="72" t="n"/>
      <c r="C216" s="66" t="n"/>
      <c r="D216" s="67" t="str">
        <f>IF(C216="","",IFERROR(INDEX(eq_des,MATCH(C216,eq_code,0))&amp;"","Équipement inconnu"))</f>
        <v/>
      </c>
      <c r="E216" s="68" t="n"/>
      <c r="F216" s="68" t="n"/>
      <c r="G216" s="66" t="n"/>
      <c r="H216" s="66" t="n"/>
      <c r="I216" s="68" t="n"/>
      <c r="J216" s="73" t="n"/>
      <c r="K216" s="71" t="n"/>
      <c r="L216" s="71" t="n"/>
      <c r="M216" s="66" t="n"/>
      <c r="N216" s="80" t="n"/>
      <c r="O216" s="81" t="str">
        <f>IF(A216="","",ROUND(V216*IFERROR(N(INDEX(tech_rate,MATCH(M216,tech_name,0))),0),2))</f>
        <v/>
      </c>
      <c r="P216" s="80" t="n"/>
      <c r="Q216" s="81" t="str">
        <f>IF(A216="","",ROUND(Y216+O216+Z216,2))</f>
        <v/>
      </c>
      <c r="R216" s="79" t="str">
        <f>IF(A216="","",IF(S216=0,"Date manquante ou invalide",IF(C216="","Équipement manquant",IF(ISNA(MATCH(C216,eq_code,0)),"Équipement inconnu",IF(E216="","Type manquant",IF(AND(E216&lt;&gt;"Préventif",E216&lt;&gt;"Correctif",E216&lt;&gt;"Amélioratif"),"Type inconnu",IF(I216="","Statut manquant",IF(AND(I216&lt;&gt;"Terminée",I216&lt;&gt;"En cours",I216&lt;&gt;"À faire",I216&lt;&gt;"Annulée"),"Statut inconnu",IF(AND(E216="Préventif",F216=""),"Plan manquant (préventif)",IF(AND(F216&lt;&gt;"",ISNA(MATCH(F216,pl_num,0))),"Plan inconnu",IF(AND(F216&lt;&gt;"",IFERROR(INDEX(pl_eq,MATCH(F216,pl_num,0))&amp;"",C216)&lt;&gt;C216),"Plan d'un autre équipement",IF(AND(J216&lt;&gt;"",OR(NOT(ISNUMBER(J216)),N(J216)&lt;0)),"Compteur invalide",IF(OR(AND(K216&lt;&gt;"",OR(NOT(ISNUMBER(K216)),N(K216)&lt;0)),AND(L216&lt;&gt;"",OR(NOT(ISNUMBER(L216)),N(L216)&lt;0))),"Durée invalide",IF(OR(AND(N216&lt;&gt;"",OR(NOT(ISNUMBER(N216)),N(N216)&lt;0)),AND(P216&lt;&gt;"",OR(NOT(ISNUMBER(P216)),N(P216)&lt;0))),"Coût invalide",IF(AND(M216&lt;&gt;"",ISNA(MATCH(M216,tech_name,0))),"Technicien inconnu",IF(AND(I216="Terminée",S216&gt;p_today),"Terminée à une date future",IF(AND(I216="Terminée",V216=0),"Durée d'intervention manquante",IF(AND(I216="Terminée",E216="Préventif",T216=0,OR(IFERROR(INDEX(pl_trig,MATCH(F216,pl_num,0))&amp;"","")="Compteur",IFERROR(INDEX(pl_trig,MATCH(F216,pl_num,0))&amp;"","")="Au premier des deux")),"Compteur manquant (plan au compteur)","OK"))))))))))))))))))</f>
        <v/>
      </c>
      <c r="S216" s="67">
        <f>IF(AND(ISNUMBER(B216),N(B216)&gt;0),INT(B216),0)</f>
        <v>0.0</v>
      </c>
      <c r="T216" s="67">
        <f>IF(AND(ISNUMBER(J216),N(J216)&gt;=0),N(J216),0)</f>
        <v>0.0</v>
      </c>
      <c r="U216" s="67">
        <f>IF(AND(ISNUMBER(K216),N(K216)&gt;0),N(K216),0)</f>
        <v>0.0</v>
      </c>
      <c r="V216" s="67">
        <f>IF(AND(ISNUMBER(L216),N(L216)&gt;0),N(L216),0)</f>
        <v>0.0</v>
      </c>
      <c r="W216" s="67">
        <f>IF(AND(I216="Terminée",S216&gt;0,C216&lt;&gt;"",ISNUMBER(MATCH(C216,eq_code,0))),1,0)</f>
        <v>0.0</v>
      </c>
      <c r="X216" s="67">
        <f>IF(AND(W216=1,E216="Préventif"),1,0)</f>
        <v>0.0</v>
      </c>
      <c r="Y216" s="67">
        <f>IF(AND(ISNUMBER(N216),N(N216)&gt;0),N(N216),0)</f>
        <v>0.0</v>
      </c>
      <c r="Z216" s="67">
        <f>IF(AND(ISNUMBER(P216),N(P216)&gt;0),N(P216),0)</f>
        <v>0.0</v>
      </c>
    </row>
    <row r="217">
      <c r="A217" s="79" t="str">
        <f>IF(COUNTA(B217:C217,E217:G217,I217)=0,"","BI-"&amp;RIGHT("0000"&amp;(ROW()-5),4))</f>
        <v/>
      </c>
      <c r="B217" s="72" t="n"/>
      <c r="C217" s="66" t="n"/>
      <c r="D217" s="67" t="str">
        <f>IF(C217="","",IFERROR(INDEX(eq_des,MATCH(C217,eq_code,0))&amp;"","Équipement inconnu"))</f>
        <v/>
      </c>
      <c r="E217" s="68" t="n"/>
      <c r="F217" s="68" t="n"/>
      <c r="G217" s="66" t="n"/>
      <c r="H217" s="66" t="n"/>
      <c r="I217" s="68" t="n"/>
      <c r="J217" s="73" t="n"/>
      <c r="K217" s="71" t="n"/>
      <c r="L217" s="71" t="n"/>
      <c r="M217" s="66" t="n"/>
      <c r="N217" s="80" t="n"/>
      <c r="O217" s="81" t="str">
        <f>IF(A217="","",ROUND(V217*IFERROR(N(INDEX(tech_rate,MATCH(M217,tech_name,0))),0),2))</f>
        <v/>
      </c>
      <c r="P217" s="80" t="n"/>
      <c r="Q217" s="81" t="str">
        <f>IF(A217="","",ROUND(Y217+O217+Z217,2))</f>
        <v/>
      </c>
      <c r="R217" s="79" t="str">
        <f>IF(A217="","",IF(S217=0,"Date manquante ou invalide",IF(C217="","Équipement manquant",IF(ISNA(MATCH(C217,eq_code,0)),"Équipement inconnu",IF(E217="","Type manquant",IF(AND(E217&lt;&gt;"Préventif",E217&lt;&gt;"Correctif",E217&lt;&gt;"Amélioratif"),"Type inconnu",IF(I217="","Statut manquant",IF(AND(I217&lt;&gt;"Terminée",I217&lt;&gt;"En cours",I217&lt;&gt;"À faire",I217&lt;&gt;"Annulée"),"Statut inconnu",IF(AND(E217="Préventif",F217=""),"Plan manquant (préventif)",IF(AND(F217&lt;&gt;"",ISNA(MATCH(F217,pl_num,0))),"Plan inconnu",IF(AND(F217&lt;&gt;"",IFERROR(INDEX(pl_eq,MATCH(F217,pl_num,0))&amp;"",C217)&lt;&gt;C217),"Plan d'un autre équipement",IF(AND(J217&lt;&gt;"",OR(NOT(ISNUMBER(J217)),N(J217)&lt;0)),"Compteur invalide",IF(OR(AND(K217&lt;&gt;"",OR(NOT(ISNUMBER(K217)),N(K217)&lt;0)),AND(L217&lt;&gt;"",OR(NOT(ISNUMBER(L217)),N(L217)&lt;0))),"Durée invalide",IF(OR(AND(N217&lt;&gt;"",OR(NOT(ISNUMBER(N217)),N(N217)&lt;0)),AND(P217&lt;&gt;"",OR(NOT(ISNUMBER(P217)),N(P217)&lt;0))),"Coût invalide",IF(AND(M217&lt;&gt;"",ISNA(MATCH(M217,tech_name,0))),"Technicien inconnu",IF(AND(I217="Terminée",S217&gt;p_today),"Terminée à une date future",IF(AND(I217="Terminée",V217=0),"Durée d'intervention manquante",IF(AND(I217="Terminée",E217="Préventif",T217=0,OR(IFERROR(INDEX(pl_trig,MATCH(F217,pl_num,0))&amp;"","")="Compteur",IFERROR(INDEX(pl_trig,MATCH(F217,pl_num,0))&amp;"","")="Au premier des deux")),"Compteur manquant (plan au compteur)","OK"))))))))))))))))))</f>
        <v/>
      </c>
      <c r="S217" s="67">
        <f>IF(AND(ISNUMBER(B217),N(B217)&gt;0),INT(B217),0)</f>
        <v>0.0</v>
      </c>
      <c r="T217" s="67">
        <f>IF(AND(ISNUMBER(J217),N(J217)&gt;=0),N(J217),0)</f>
        <v>0.0</v>
      </c>
      <c r="U217" s="67">
        <f>IF(AND(ISNUMBER(K217),N(K217)&gt;0),N(K217),0)</f>
        <v>0.0</v>
      </c>
      <c r="V217" s="67">
        <f>IF(AND(ISNUMBER(L217),N(L217)&gt;0),N(L217),0)</f>
        <v>0.0</v>
      </c>
      <c r="W217" s="67">
        <f>IF(AND(I217="Terminée",S217&gt;0,C217&lt;&gt;"",ISNUMBER(MATCH(C217,eq_code,0))),1,0)</f>
        <v>0.0</v>
      </c>
      <c r="X217" s="67">
        <f>IF(AND(W217=1,E217="Préventif"),1,0)</f>
        <v>0.0</v>
      </c>
      <c r="Y217" s="67">
        <f>IF(AND(ISNUMBER(N217),N(N217)&gt;0),N(N217),0)</f>
        <v>0.0</v>
      </c>
      <c r="Z217" s="67">
        <f>IF(AND(ISNUMBER(P217),N(P217)&gt;0),N(P217),0)</f>
        <v>0.0</v>
      </c>
    </row>
    <row r="218">
      <c r="A218" s="79" t="str">
        <f>IF(COUNTA(B218:C218,E218:G218,I218)=0,"","BI-"&amp;RIGHT("0000"&amp;(ROW()-5),4))</f>
        <v/>
      </c>
      <c r="B218" s="72" t="n"/>
      <c r="C218" s="66" t="n"/>
      <c r="D218" s="67" t="str">
        <f>IF(C218="","",IFERROR(INDEX(eq_des,MATCH(C218,eq_code,0))&amp;"","Équipement inconnu"))</f>
        <v/>
      </c>
      <c r="E218" s="68" t="n"/>
      <c r="F218" s="68" t="n"/>
      <c r="G218" s="66" t="n"/>
      <c r="H218" s="66" t="n"/>
      <c r="I218" s="68" t="n"/>
      <c r="J218" s="73" t="n"/>
      <c r="K218" s="71" t="n"/>
      <c r="L218" s="71" t="n"/>
      <c r="M218" s="66" t="n"/>
      <c r="N218" s="80" t="n"/>
      <c r="O218" s="81" t="str">
        <f>IF(A218="","",ROUND(V218*IFERROR(N(INDEX(tech_rate,MATCH(M218,tech_name,0))),0),2))</f>
        <v/>
      </c>
      <c r="P218" s="80" t="n"/>
      <c r="Q218" s="81" t="str">
        <f>IF(A218="","",ROUND(Y218+O218+Z218,2))</f>
        <v/>
      </c>
      <c r="R218" s="79" t="str">
        <f>IF(A218="","",IF(S218=0,"Date manquante ou invalide",IF(C218="","Équipement manquant",IF(ISNA(MATCH(C218,eq_code,0)),"Équipement inconnu",IF(E218="","Type manquant",IF(AND(E218&lt;&gt;"Préventif",E218&lt;&gt;"Correctif",E218&lt;&gt;"Amélioratif"),"Type inconnu",IF(I218="","Statut manquant",IF(AND(I218&lt;&gt;"Terminée",I218&lt;&gt;"En cours",I218&lt;&gt;"À faire",I218&lt;&gt;"Annulée"),"Statut inconnu",IF(AND(E218="Préventif",F218=""),"Plan manquant (préventif)",IF(AND(F218&lt;&gt;"",ISNA(MATCH(F218,pl_num,0))),"Plan inconnu",IF(AND(F218&lt;&gt;"",IFERROR(INDEX(pl_eq,MATCH(F218,pl_num,0))&amp;"",C218)&lt;&gt;C218),"Plan d'un autre équipement",IF(AND(J218&lt;&gt;"",OR(NOT(ISNUMBER(J218)),N(J218)&lt;0)),"Compteur invalide",IF(OR(AND(K218&lt;&gt;"",OR(NOT(ISNUMBER(K218)),N(K218)&lt;0)),AND(L218&lt;&gt;"",OR(NOT(ISNUMBER(L218)),N(L218)&lt;0))),"Durée invalide",IF(OR(AND(N218&lt;&gt;"",OR(NOT(ISNUMBER(N218)),N(N218)&lt;0)),AND(P218&lt;&gt;"",OR(NOT(ISNUMBER(P218)),N(P218)&lt;0))),"Coût invalide",IF(AND(M218&lt;&gt;"",ISNA(MATCH(M218,tech_name,0))),"Technicien inconnu",IF(AND(I218="Terminée",S218&gt;p_today),"Terminée à une date future",IF(AND(I218="Terminée",V218=0),"Durée d'intervention manquante",IF(AND(I218="Terminée",E218="Préventif",T218=0,OR(IFERROR(INDEX(pl_trig,MATCH(F218,pl_num,0))&amp;"","")="Compteur",IFERROR(INDEX(pl_trig,MATCH(F218,pl_num,0))&amp;"","")="Au premier des deux")),"Compteur manquant (plan au compteur)","OK"))))))))))))))))))</f>
        <v/>
      </c>
      <c r="S218" s="67">
        <f>IF(AND(ISNUMBER(B218),N(B218)&gt;0),INT(B218),0)</f>
        <v>0.0</v>
      </c>
      <c r="T218" s="67">
        <f>IF(AND(ISNUMBER(J218),N(J218)&gt;=0),N(J218),0)</f>
        <v>0.0</v>
      </c>
      <c r="U218" s="67">
        <f>IF(AND(ISNUMBER(K218),N(K218)&gt;0),N(K218),0)</f>
        <v>0.0</v>
      </c>
      <c r="V218" s="67">
        <f>IF(AND(ISNUMBER(L218),N(L218)&gt;0),N(L218),0)</f>
        <v>0.0</v>
      </c>
      <c r="W218" s="67">
        <f>IF(AND(I218="Terminée",S218&gt;0,C218&lt;&gt;"",ISNUMBER(MATCH(C218,eq_code,0))),1,0)</f>
        <v>0.0</v>
      </c>
      <c r="X218" s="67">
        <f>IF(AND(W218=1,E218="Préventif"),1,0)</f>
        <v>0.0</v>
      </c>
      <c r="Y218" s="67">
        <f>IF(AND(ISNUMBER(N218),N(N218)&gt;0),N(N218),0)</f>
        <v>0.0</v>
      </c>
      <c r="Z218" s="67">
        <f>IF(AND(ISNUMBER(P218),N(P218)&gt;0),N(P218),0)</f>
        <v>0.0</v>
      </c>
    </row>
    <row r="219">
      <c r="A219" s="79" t="str">
        <f>IF(COUNTA(B219:C219,E219:G219,I219)=0,"","BI-"&amp;RIGHT("0000"&amp;(ROW()-5),4))</f>
        <v/>
      </c>
      <c r="B219" s="72" t="n"/>
      <c r="C219" s="66" t="n"/>
      <c r="D219" s="67" t="str">
        <f>IF(C219="","",IFERROR(INDEX(eq_des,MATCH(C219,eq_code,0))&amp;"","Équipement inconnu"))</f>
        <v/>
      </c>
      <c r="E219" s="68" t="n"/>
      <c r="F219" s="68" t="n"/>
      <c r="G219" s="66" t="n"/>
      <c r="H219" s="66" t="n"/>
      <c r="I219" s="68" t="n"/>
      <c r="J219" s="73" t="n"/>
      <c r="K219" s="71" t="n"/>
      <c r="L219" s="71" t="n"/>
      <c r="M219" s="66" t="n"/>
      <c r="N219" s="80" t="n"/>
      <c r="O219" s="81" t="str">
        <f>IF(A219="","",ROUND(V219*IFERROR(N(INDEX(tech_rate,MATCH(M219,tech_name,0))),0),2))</f>
        <v/>
      </c>
      <c r="P219" s="80" t="n"/>
      <c r="Q219" s="81" t="str">
        <f>IF(A219="","",ROUND(Y219+O219+Z219,2))</f>
        <v/>
      </c>
      <c r="R219" s="79" t="str">
        <f>IF(A219="","",IF(S219=0,"Date manquante ou invalide",IF(C219="","Équipement manquant",IF(ISNA(MATCH(C219,eq_code,0)),"Équipement inconnu",IF(E219="","Type manquant",IF(AND(E219&lt;&gt;"Préventif",E219&lt;&gt;"Correctif",E219&lt;&gt;"Amélioratif"),"Type inconnu",IF(I219="","Statut manquant",IF(AND(I219&lt;&gt;"Terminée",I219&lt;&gt;"En cours",I219&lt;&gt;"À faire",I219&lt;&gt;"Annulée"),"Statut inconnu",IF(AND(E219="Préventif",F219=""),"Plan manquant (préventif)",IF(AND(F219&lt;&gt;"",ISNA(MATCH(F219,pl_num,0))),"Plan inconnu",IF(AND(F219&lt;&gt;"",IFERROR(INDEX(pl_eq,MATCH(F219,pl_num,0))&amp;"",C219)&lt;&gt;C219),"Plan d'un autre équipement",IF(AND(J219&lt;&gt;"",OR(NOT(ISNUMBER(J219)),N(J219)&lt;0)),"Compteur invalide",IF(OR(AND(K219&lt;&gt;"",OR(NOT(ISNUMBER(K219)),N(K219)&lt;0)),AND(L219&lt;&gt;"",OR(NOT(ISNUMBER(L219)),N(L219)&lt;0))),"Durée invalide",IF(OR(AND(N219&lt;&gt;"",OR(NOT(ISNUMBER(N219)),N(N219)&lt;0)),AND(P219&lt;&gt;"",OR(NOT(ISNUMBER(P219)),N(P219)&lt;0))),"Coût invalide",IF(AND(M219&lt;&gt;"",ISNA(MATCH(M219,tech_name,0))),"Technicien inconnu",IF(AND(I219="Terminée",S219&gt;p_today),"Terminée à une date future",IF(AND(I219="Terminée",V219=0),"Durée d'intervention manquante",IF(AND(I219="Terminée",E219="Préventif",T219=0,OR(IFERROR(INDEX(pl_trig,MATCH(F219,pl_num,0))&amp;"","")="Compteur",IFERROR(INDEX(pl_trig,MATCH(F219,pl_num,0))&amp;"","")="Au premier des deux")),"Compteur manquant (plan au compteur)","OK"))))))))))))))))))</f>
        <v/>
      </c>
      <c r="S219" s="67">
        <f>IF(AND(ISNUMBER(B219),N(B219)&gt;0),INT(B219),0)</f>
        <v>0.0</v>
      </c>
      <c r="T219" s="67">
        <f>IF(AND(ISNUMBER(J219),N(J219)&gt;=0),N(J219),0)</f>
        <v>0.0</v>
      </c>
      <c r="U219" s="67">
        <f>IF(AND(ISNUMBER(K219),N(K219)&gt;0),N(K219),0)</f>
        <v>0.0</v>
      </c>
      <c r="V219" s="67">
        <f>IF(AND(ISNUMBER(L219),N(L219)&gt;0),N(L219),0)</f>
        <v>0.0</v>
      </c>
      <c r="W219" s="67">
        <f>IF(AND(I219="Terminée",S219&gt;0,C219&lt;&gt;"",ISNUMBER(MATCH(C219,eq_code,0))),1,0)</f>
        <v>0.0</v>
      </c>
      <c r="X219" s="67">
        <f>IF(AND(W219=1,E219="Préventif"),1,0)</f>
        <v>0.0</v>
      </c>
      <c r="Y219" s="67">
        <f>IF(AND(ISNUMBER(N219),N(N219)&gt;0),N(N219),0)</f>
        <v>0.0</v>
      </c>
      <c r="Z219" s="67">
        <f>IF(AND(ISNUMBER(P219),N(P219)&gt;0),N(P219),0)</f>
        <v>0.0</v>
      </c>
    </row>
    <row r="220">
      <c r="A220" s="79" t="str">
        <f>IF(COUNTA(B220:C220,E220:G220,I220)=0,"","BI-"&amp;RIGHT("0000"&amp;(ROW()-5),4))</f>
        <v/>
      </c>
      <c r="B220" s="72" t="n"/>
      <c r="C220" s="66" t="n"/>
      <c r="D220" s="67" t="str">
        <f>IF(C220="","",IFERROR(INDEX(eq_des,MATCH(C220,eq_code,0))&amp;"","Équipement inconnu"))</f>
        <v/>
      </c>
      <c r="E220" s="68" t="n"/>
      <c r="F220" s="68" t="n"/>
      <c r="G220" s="66" t="n"/>
      <c r="H220" s="66" t="n"/>
      <c r="I220" s="68" t="n"/>
      <c r="J220" s="73" t="n"/>
      <c r="K220" s="71" t="n"/>
      <c r="L220" s="71" t="n"/>
      <c r="M220" s="66" t="n"/>
      <c r="N220" s="80" t="n"/>
      <c r="O220" s="81" t="str">
        <f>IF(A220="","",ROUND(V220*IFERROR(N(INDEX(tech_rate,MATCH(M220,tech_name,0))),0),2))</f>
        <v/>
      </c>
      <c r="P220" s="80" t="n"/>
      <c r="Q220" s="81" t="str">
        <f>IF(A220="","",ROUND(Y220+O220+Z220,2))</f>
        <v/>
      </c>
      <c r="R220" s="79" t="str">
        <f>IF(A220="","",IF(S220=0,"Date manquante ou invalide",IF(C220="","Équipement manquant",IF(ISNA(MATCH(C220,eq_code,0)),"Équipement inconnu",IF(E220="","Type manquant",IF(AND(E220&lt;&gt;"Préventif",E220&lt;&gt;"Correctif",E220&lt;&gt;"Amélioratif"),"Type inconnu",IF(I220="","Statut manquant",IF(AND(I220&lt;&gt;"Terminée",I220&lt;&gt;"En cours",I220&lt;&gt;"À faire",I220&lt;&gt;"Annulée"),"Statut inconnu",IF(AND(E220="Préventif",F220=""),"Plan manquant (préventif)",IF(AND(F220&lt;&gt;"",ISNA(MATCH(F220,pl_num,0))),"Plan inconnu",IF(AND(F220&lt;&gt;"",IFERROR(INDEX(pl_eq,MATCH(F220,pl_num,0))&amp;"",C220)&lt;&gt;C220),"Plan d'un autre équipement",IF(AND(J220&lt;&gt;"",OR(NOT(ISNUMBER(J220)),N(J220)&lt;0)),"Compteur invalide",IF(OR(AND(K220&lt;&gt;"",OR(NOT(ISNUMBER(K220)),N(K220)&lt;0)),AND(L220&lt;&gt;"",OR(NOT(ISNUMBER(L220)),N(L220)&lt;0))),"Durée invalide",IF(OR(AND(N220&lt;&gt;"",OR(NOT(ISNUMBER(N220)),N(N220)&lt;0)),AND(P220&lt;&gt;"",OR(NOT(ISNUMBER(P220)),N(P220)&lt;0))),"Coût invalide",IF(AND(M220&lt;&gt;"",ISNA(MATCH(M220,tech_name,0))),"Technicien inconnu",IF(AND(I220="Terminée",S220&gt;p_today),"Terminée à une date future",IF(AND(I220="Terminée",V220=0),"Durée d'intervention manquante",IF(AND(I220="Terminée",E220="Préventif",T220=0,OR(IFERROR(INDEX(pl_trig,MATCH(F220,pl_num,0))&amp;"","")="Compteur",IFERROR(INDEX(pl_trig,MATCH(F220,pl_num,0))&amp;"","")="Au premier des deux")),"Compteur manquant (plan au compteur)","OK"))))))))))))))))))</f>
        <v/>
      </c>
      <c r="S220" s="67">
        <f>IF(AND(ISNUMBER(B220),N(B220)&gt;0),INT(B220),0)</f>
        <v>0.0</v>
      </c>
      <c r="T220" s="67">
        <f>IF(AND(ISNUMBER(J220),N(J220)&gt;=0),N(J220),0)</f>
        <v>0.0</v>
      </c>
      <c r="U220" s="67">
        <f>IF(AND(ISNUMBER(K220),N(K220)&gt;0),N(K220),0)</f>
        <v>0.0</v>
      </c>
      <c r="V220" s="67">
        <f>IF(AND(ISNUMBER(L220),N(L220)&gt;0),N(L220),0)</f>
        <v>0.0</v>
      </c>
      <c r="W220" s="67">
        <f>IF(AND(I220="Terminée",S220&gt;0,C220&lt;&gt;"",ISNUMBER(MATCH(C220,eq_code,0))),1,0)</f>
        <v>0.0</v>
      </c>
      <c r="X220" s="67">
        <f>IF(AND(W220=1,E220="Préventif"),1,0)</f>
        <v>0.0</v>
      </c>
      <c r="Y220" s="67">
        <f>IF(AND(ISNUMBER(N220),N(N220)&gt;0),N(N220),0)</f>
        <v>0.0</v>
      </c>
      <c r="Z220" s="67">
        <f>IF(AND(ISNUMBER(P220),N(P220)&gt;0),N(P220),0)</f>
        <v>0.0</v>
      </c>
    </row>
    <row r="221">
      <c r="A221" s="79" t="str">
        <f>IF(COUNTA(B221:C221,E221:G221,I221)=0,"","BI-"&amp;RIGHT("0000"&amp;(ROW()-5),4))</f>
        <v/>
      </c>
      <c r="B221" s="72" t="n"/>
      <c r="C221" s="66" t="n"/>
      <c r="D221" s="67" t="str">
        <f>IF(C221="","",IFERROR(INDEX(eq_des,MATCH(C221,eq_code,0))&amp;"","Équipement inconnu"))</f>
        <v/>
      </c>
      <c r="E221" s="68" t="n"/>
      <c r="F221" s="68" t="n"/>
      <c r="G221" s="66" t="n"/>
      <c r="H221" s="66" t="n"/>
      <c r="I221" s="68" t="n"/>
      <c r="J221" s="73" t="n"/>
      <c r="K221" s="71" t="n"/>
      <c r="L221" s="71" t="n"/>
      <c r="M221" s="66" t="n"/>
      <c r="N221" s="80" t="n"/>
      <c r="O221" s="81" t="str">
        <f>IF(A221="","",ROUND(V221*IFERROR(N(INDEX(tech_rate,MATCH(M221,tech_name,0))),0),2))</f>
        <v/>
      </c>
      <c r="P221" s="80" t="n"/>
      <c r="Q221" s="81" t="str">
        <f>IF(A221="","",ROUND(Y221+O221+Z221,2))</f>
        <v/>
      </c>
      <c r="R221" s="79" t="str">
        <f>IF(A221="","",IF(S221=0,"Date manquante ou invalide",IF(C221="","Équipement manquant",IF(ISNA(MATCH(C221,eq_code,0)),"Équipement inconnu",IF(E221="","Type manquant",IF(AND(E221&lt;&gt;"Préventif",E221&lt;&gt;"Correctif",E221&lt;&gt;"Amélioratif"),"Type inconnu",IF(I221="","Statut manquant",IF(AND(I221&lt;&gt;"Terminée",I221&lt;&gt;"En cours",I221&lt;&gt;"À faire",I221&lt;&gt;"Annulée"),"Statut inconnu",IF(AND(E221="Préventif",F221=""),"Plan manquant (préventif)",IF(AND(F221&lt;&gt;"",ISNA(MATCH(F221,pl_num,0))),"Plan inconnu",IF(AND(F221&lt;&gt;"",IFERROR(INDEX(pl_eq,MATCH(F221,pl_num,0))&amp;"",C221)&lt;&gt;C221),"Plan d'un autre équipement",IF(AND(J221&lt;&gt;"",OR(NOT(ISNUMBER(J221)),N(J221)&lt;0)),"Compteur invalide",IF(OR(AND(K221&lt;&gt;"",OR(NOT(ISNUMBER(K221)),N(K221)&lt;0)),AND(L221&lt;&gt;"",OR(NOT(ISNUMBER(L221)),N(L221)&lt;0))),"Durée invalide",IF(OR(AND(N221&lt;&gt;"",OR(NOT(ISNUMBER(N221)),N(N221)&lt;0)),AND(P221&lt;&gt;"",OR(NOT(ISNUMBER(P221)),N(P221)&lt;0))),"Coût invalide",IF(AND(M221&lt;&gt;"",ISNA(MATCH(M221,tech_name,0))),"Technicien inconnu",IF(AND(I221="Terminée",S221&gt;p_today),"Terminée à une date future",IF(AND(I221="Terminée",V221=0),"Durée d'intervention manquante",IF(AND(I221="Terminée",E221="Préventif",T221=0,OR(IFERROR(INDEX(pl_trig,MATCH(F221,pl_num,0))&amp;"","")="Compteur",IFERROR(INDEX(pl_trig,MATCH(F221,pl_num,0))&amp;"","")="Au premier des deux")),"Compteur manquant (plan au compteur)","OK"))))))))))))))))))</f>
        <v/>
      </c>
      <c r="S221" s="67">
        <f>IF(AND(ISNUMBER(B221),N(B221)&gt;0),INT(B221),0)</f>
        <v>0.0</v>
      </c>
      <c r="T221" s="67">
        <f>IF(AND(ISNUMBER(J221),N(J221)&gt;=0),N(J221),0)</f>
        <v>0.0</v>
      </c>
      <c r="U221" s="67">
        <f>IF(AND(ISNUMBER(K221),N(K221)&gt;0),N(K221),0)</f>
        <v>0.0</v>
      </c>
      <c r="V221" s="67">
        <f>IF(AND(ISNUMBER(L221),N(L221)&gt;0),N(L221),0)</f>
        <v>0.0</v>
      </c>
      <c r="W221" s="67">
        <f>IF(AND(I221="Terminée",S221&gt;0,C221&lt;&gt;"",ISNUMBER(MATCH(C221,eq_code,0))),1,0)</f>
        <v>0.0</v>
      </c>
      <c r="X221" s="67">
        <f>IF(AND(W221=1,E221="Préventif"),1,0)</f>
        <v>0.0</v>
      </c>
      <c r="Y221" s="67">
        <f>IF(AND(ISNUMBER(N221),N(N221)&gt;0),N(N221),0)</f>
        <v>0.0</v>
      </c>
      <c r="Z221" s="67">
        <f>IF(AND(ISNUMBER(P221),N(P221)&gt;0),N(P221),0)</f>
        <v>0.0</v>
      </c>
    </row>
    <row r="222">
      <c r="A222" s="79" t="str">
        <f>IF(COUNTA(B222:C222,E222:G222,I222)=0,"","BI-"&amp;RIGHT("0000"&amp;(ROW()-5),4))</f>
        <v/>
      </c>
      <c r="B222" s="72" t="n"/>
      <c r="C222" s="66" t="n"/>
      <c r="D222" s="67" t="str">
        <f>IF(C222="","",IFERROR(INDEX(eq_des,MATCH(C222,eq_code,0))&amp;"","Équipement inconnu"))</f>
        <v/>
      </c>
      <c r="E222" s="68" t="n"/>
      <c r="F222" s="68" t="n"/>
      <c r="G222" s="66" t="n"/>
      <c r="H222" s="66" t="n"/>
      <c r="I222" s="68" t="n"/>
      <c r="J222" s="73" t="n"/>
      <c r="K222" s="71" t="n"/>
      <c r="L222" s="71" t="n"/>
      <c r="M222" s="66" t="n"/>
      <c r="N222" s="80" t="n"/>
      <c r="O222" s="81" t="str">
        <f>IF(A222="","",ROUND(V222*IFERROR(N(INDEX(tech_rate,MATCH(M222,tech_name,0))),0),2))</f>
        <v/>
      </c>
      <c r="P222" s="80" t="n"/>
      <c r="Q222" s="81" t="str">
        <f>IF(A222="","",ROUND(Y222+O222+Z222,2))</f>
        <v/>
      </c>
      <c r="R222" s="79" t="str">
        <f>IF(A222="","",IF(S222=0,"Date manquante ou invalide",IF(C222="","Équipement manquant",IF(ISNA(MATCH(C222,eq_code,0)),"Équipement inconnu",IF(E222="","Type manquant",IF(AND(E222&lt;&gt;"Préventif",E222&lt;&gt;"Correctif",E222&lt;&gt;"Amélioratif"),"Type inconnu",IF(I222="","Statut manquant",IF(AND(I222&lt;&gt;"Terminée",I222&lt;&gt;"En cours",I222&lt;&gt;"À faire",I222&lt;&gt;"Annulée"),"Statut inconnu",IF(AND(E222="Préventif",F222=""),"Plan manquant (préventif)",IF(AND(F222&lt;&gt;"",ISNA(MATCH(F222,pl_num,0))),"Plan inconnu",IF(AND(F222&lt;&gt;"",IFERROR(INDEX(pl_eq,MATCH(F222,pl_num,0))&amp;"",C222)&lt;&gt;C222),"Plan d'un autre équipement",IF(AND(J222&lt;&gt;"",OR(NOT(ISNUMBER(J222)),N(J222)&lt;0)),"Compteur invalide",IF(OR(AND(K222&lt;&gt;"",OR(NOT(ISNUMBER(K222)),N(K222)&lt;0)),AND(L222&lt;&gt;"",OR(NOT(ISNUMBER(L222)),N(L222)&lt;0))),"Durée invalide",IF(OR(AND(N222&lt;&gt;"",OR(NOT(ISNUMBER(N222)),N(N222)&lt;0)),AND(P222&lt;&gt;"",OR(NOT(ISNUMBER(P222)),N(P222)&lt;0))),"Coût invalide",IF(AND(M222&lt;&gt;"",ISNA(MATCH(M222,tech_name,0))),"Technicien inconnu",IF(AND(I222="Terminée",S222&gt;p_today),"Terminée à une date future",IF(AND(I222="Terminée",V222=0),"Durée d'intervention manquante",IF(AND(I222="Terminée",E222="Préventif",T222=0,OR(IFERROR(INDEX(pl_trig,MATCH(F222,pl_num,0))&amp;"","")="Compteur",IFERROR(INDEX(pl_trig,MATCH(F222,pl_num,0))&amp;"","")="Au premier des deux")),"Compteur manquant (plan au compteur)","OK"))))))))))))))))))</f>
        <v/>
      </c>
      <c r="S222" s="67">
        <f>IF(AND(ISNUMBER(B222),N(B222)&gt;0),INT(B222),0)</f>
        <v>0.0</v>
      </c>
      <c r="T222" s="67">
        <f>IF(AND(ISNUMBER(J222),N(J222)&gt;=0),N(J222),0)</f>
        <v>0.0</v>
      </c>
      <c r="U222" s="67">
        <f>IF(AND(ISNUMBER(K222),N(K222)&gt;0),N(K222),0)</f>
        <v>0.0</v>
      </c>
      <c r="V222" s="67">
        <f>IF(AND(ISNUMBER(L222),N(L222)&gt;0),N(L222),0)</f>
        <v>0.0</v>
      </c>
      <c r="W222" s="67">
        <f>IF(AND(I222="Terminée",S222&gt;0,C222&lt;&gt;"",ISNUMBER(MATCH(C222,eq_code,0))),1,0)</f>
        <v>0.0</v>
      </c>
      <c r="X222" s="67">
        <f>IF(AND(W222=1,E222="Préventif"),1,0)</f>
        <v>0.0</v>
      </c>
      <c r="Y222" s="67">
        <f>IF(AND(ISNUMBER(N222),N(N222)&gt;0),N(N222),0)</f>
        <v>0.0</v>
      </c>
      <c r="Z222" s="67">
        <f>IF(AND(ISNUMBER(P222),N(P222)&gt;0),N(P222),0)</f>
        <v>0.0</v>
      </c>
    </row>
    <row r="223">
      <c r="A223" s="79" t="str">
        <f>IF(COUNTA(B223:C223,E223:G223,I223)=0,"","BI-"&amp;RIGHT("0000"&amp;(ROW()-5),4))</f>
        <v/>
      </c>
      <c r="B223" s="72" t="n"/>
      <c r="C223" s="66" t="n"/>
      <c r="D223" s="67" t="str">
        <f>IF(C223="","",IFERROR(INDEX(eq_des,MATCH(C223,eq_code,0))&amp;"","Équipement inconnu"))</f>
        <v/>
      </c>
      <c r="E223" s="68" t="n"/>
      <c r="F223" s="68" t="n"/>
      <c r="G223" s="66" t="n"/>
      <c r="H223" s="66" t="n"/>
      <c r="I223" s="68" t="n"/>
      <c r="J223" s="73" t="n"/>
      <c r="K223" s="71" t="n"/>
      <c r="L223" s="71" t="n"/>
      <c r="M223" s="66" t="n"/>
      <c r="N223" s="80" t="n"/>
      <c r="O223" s="81" t="str">
        <f>IF(A223="","",ROUND(V223*IFERROR(N(INDEX(tech_rate,MATCH(M223,tech_name,0))),0),2))</f>
        <v/>
      </c>
      <c r="P223" s="80" t="n"/>
      <c r="Q223" s="81" t="str">
        <f>IF(A223="","",ROUND(Y223+O223+Z223,2))</f>
        <v/>
      </c>
      <c r="R223" s="79" t="str">
        <f>IF(A223="","",IF(S223=0,"Date manquante ou invalide",IF(C223="","Équipement manquant",IF(ISNA(MATCH(C223,eq_code,0)),"Équipement inconnu",IF(E223="","Type manquant",IF(AND(E223&lt;&gt;"Préventif",E223&lt;&gt;"Correctif",E223&lt;&gt;"Amélioratif"),"Type inconnu",IF(I223="","Statut manquant",IF(AND(I223&lt;&gt;"Terminée",I223&lt;&gt;"En cours",I223&lt;&gt;"À faire",I223&lt;&gt;"Annulée"),"Statut inconnu",IF(AND(E223="Préventif",F223=""),"Plan manquant (préventif)",IF(AND(F223&lt;&gt;"",ISNA(MATCH(F223,pl_num,0))),"Plan inconnu",IF(AND(F223&lt;&gt;"",IFERROR(INDEX(pl_eq,MATCH(F223,pl_num,0))&amp;"",C223)&lt;&gt;C223),"Plan d'un autre équipement",IF(AND(J223&lt;&gt;"",OR(NOT(ISNUMBER(J223)),N(J223)&lt;0)),"Compteur invalide",IF(OR(AND(K223&lt;&gt;"",OR(NOT(ISNUMBER(K223)),N(K223)&lt;0)),AND(L223&lt;&gt;"",OR(NOT(ISNUMBER(L223)),N(L223)&lt;0))),"Durée invalide",IF(OR(AND(N223&lt;&gt;"",OR(NOT(ISNUMBER(N223)),N(N223)&lt;0)),AND(P223&lt;&gt;"",OR(NOT(ISNUMBER(P223)),N(P223)&lt;0))),"Coût invalide",IF(AND(M223&lt;&gt;"",ISNA(MATCH(M223,tech_name,0))),"Technicien inconnu",IF(AND(I223="Terminée",S223&gt;p_today),"Terminée à une date future",IF(AND(I223="Terminée",V223=0),"Durée d'intervention manquante",IF(AND(I223="Terminée",E223="Préventif",T223=0,OR(IFERROR(INDEX(pl_trig,MATCH(F223,pl_num,0))&amp;"","")="Compteur",IFERROR(INDEX(pl_trig,MATCH(F223,pl_num,0))&amp;"","")="Au premier des deux")),"Compteur manquant (plan au compteur)","OK"))))))))))))))))))</f>
        <v/>
      </c>
      <c r="S223" s="67">
        <f>IF(AND(ISNUMBER(B223),N(B223)&gt;0),INT(B223),0)</f>
        <v>0.0</v>
      </c>
      <c r="T223" s="67">
        <f>IF(AND(ISNUMBER(J223),N(J223)&gt;=0),N(J223),0)</f>
        <v>0.0</v>
      </c>
      <c r="U223" s="67">
        <f>IF(AND(ISNUMBER(K223),N(K223)&gt;0),N(K223),0)</f>
        <v>0.0</v>
      </c>
      <c r="V223" s="67">
        <f>IF(AND(ISNUMBER(L223),N(L223)&gt;0),N(L223),0)</f>
        <v>0.0</v>
      </c>
      <c r="W223" s="67">
        <f>IF(AND(I223="Terminée",S223&gt;0,C223&lt;&gt;"",ISNUMBER(MATCH(C223,eq_code,0))),1,0)</f>
        <v>0.0</v>
      </c>
      <c r="X223" s="67">
        <f>IF(AND(W223=1,E223="Préventif"),1,0)</f>
        <v>0.0</v>
      </c>
      <c r="Y223" s="67">
        <f>IF(AND(ISNUMBER(N223),N(N223)&gt;0),N(N223),0)</f>
        <v>0.0</v>
      </c>
      <c r="Z223" s="67">
        <f>IF(AND(ISNUMBER(P223),N(P223)&gt;0),N(P223),0)</f>
        <v>0.0</v>
      </c>
    </row>
    <row r="224">
      <c r="A224" s="79" t="str">
        <f>IF(COUNTA(B224:C224,E224:G224,I224)=0,"","BI-"&amp;RIGHT("0000"&amp;(ROW()-5),4))</f>
        <v/>
      </c>
      <c r="B224" s="72" t="n"/>
      <c r="C224" s="66" t="n"/>
      <c r="D224" s="67" t="str">
        <f>IF(C224="","",IFERROR(INDEX(eq_des,MATCH(C224,eq_code,0))&amp;"","Équipement inconnu"))</f>
        <v/>
      </c>
      <c r="E224" s="68" t="n"/>
      <c r="F224" s="68" t="n"/>
      <c r="G224" s="66" t="n"/>
      <c r="H224" s="66" t="n"/>
      <c r="I224" s="68" t="n"/>
      <c r="J224" s="73" t="n"/>
      <c r="K224" s="71" t="n"/>
      <c r="L224" s="71" t="n"/>
      <c r="M224" s="66" t="n"/>
      <c r="N224" s="80" t="n"/>
      <c r="O224" s="81" t="str">
        <f>IF(A224="","",ROUND(V224*IFERROR(N(INDEX(tech_rate,MATCH(M224,tech_name,0))),0),2))</f>
        <v/>
      </c>
      <c r="P224" s="80" t="n"/>
      <c r="Q224" s="81" t="str">
        <f>IF(A224="","",ROUND(Y224+O224+Z224,2))</f>
        <v/>
      </c>
      <c r="R224" s="79" t="str">
        <f>IF(A224="","",IF(S224=0,"Date manquante ou invalide",IF(C224="","Équipement manquant",IF(ISNA(MATCH(C224,eq_code,0)),"Équipement inconnu",IF(E224="","Type manquant",IF(AND(E224&lt;&gt;"Préventif",E224&lt;&gt;"Correctif",E224&lt;&gt;"Amélioratif"),"Type inconnu",IF(I224="","Statut manquant",IF(AND(I224&lt;&gt;"Terminée",I224&lt;&gt;"En cours",I224&lt;&gt;"À faire",I224&lt;&gt;"Annulée"),"Statut inconnu",IF(AND(E224="Préventif",F224=""),"Plan manquant (préventif)",IF(AND(F224&lt;&gt;"",ISNA(MATCH(F224,pl_num,0))),"Plan inconnu",IF(AND(F224&lt;&gt;"",IFERROR(INDEX(pl_eq,MATCH(F224,pl_num,0))&amp;"",C224)&lt;&gt;C224),"Plan d'un autre équipement",IF(AND(J224&lt;&gt;"",OR(NOT(ISNUMBER(J224)),N(J224)&lt;0)),"Compteur invalide",IF(OR(AND(K224&lt;&gt;"",OR(NOT(ISNUMBER(K224)),N(K224)&lt;0)),AND(L224&lt;&gt;"",OR(NOT(ISNUMBER(L224)),N(L224)&lt;0))),"Durée invalide",IF(OR(AND(N224&lt;&gt;"",OR(NOT(ISNUMBER(N224)),N(N224)&lt;0)),AND(P224&lt;&gt;"",OR(NOT(ISNUMBER(P224)),N(P224)&lt;0))),"Coût invalide",IF(AND(M224&lt;&gt;"",ISNA(MATCH(M224,tech_name,0))),"Technicien inconnu",IF(AND(I224="Terminée",S224&gt;p_today),"Terminée à une date future",IF(AND(I224="Terminée",V224=0),"Durée d'intervention manquante",IF(AND(I224="Terminée",E224="Préventif",T224=0,OR(IFERROR(INDEX(pl_trig,MATCH(F224,pl_num,0))&amp;"","")="Compteur",IFERROR(INDEX(pl_trig,MATCH(F224,pl_num,0))&amp;"","")="Au premier des deux")),"Compteur manquant (plan au compteur)","OK"))))))))))))))))))</f>
        <v/>
      </c>
      <c r="S224" s="67">
        <f>IF(AND(ISNUMBER(B224),N(B224)&gt;0),INT(B224),0)</f>
        <v>0.0</v>
      </c>
      <c r="T224" s="67">
        <f>IF(AND(ISNUMBER(J224),N(J224)&gt;=0),N(J224),0)</f>
        <v>0.0</v>
      </c>
      <c r="U224" s="67">
        <f>IF(AND(ISNUMBER(K224),N(K224)&gt;0),N(K224),0)</f>
        <v>0.0</v>
      </c>
      <c r="V224" s="67">
        <f>IF(AND(ISNUMBER(L224),N(L224)&gt;0),N(L224),0)</f>
        <v>0.0</v>
      </c>
      <c r="W224" s="67">
        <f>IF(AND(I224="Terminée",S224&gt;0,C224&lt;&gt;"",ISNUMBER(MATCH(C224,eq_code,0))),1,0)</f>
        <v>0.0</v>
      </c>
      <c r="X224" s="67">
        <f>IF(AND(W224=1,E224="Préventif"),1,0)</f>
        <v>0.0</v>
      </c>
      <c r="Y224" s="67">
        <f>IF(AND(ISNUMBER(N224),N(N224)&gt;0),N(N224),0)</f>
        <v>0.0</v>
      </c>
      <c r="Z224" s="67">
        <f>IF(AND(ISNUMBER(P224),N(P224)&gt;0),N(P224),0)</f>
        <v>0.0</v>
      </c>
    </row>
    <row r="225">
      <c r="A225" s="79" t="str">
        <f>IF(COUNTA(B225:C225,E225:G225,I225)=0,"","BI-"&amp;RIGHT("0000"&amp;(ROW()-5),4))</f>
        <v/>
      </c>
      <c r="B225" s="72" t="n"/>
      <c r="C225" s="66" t="n"/>
      <c r="D225" s="67" t="str">
        <f>IF(C225="","",IFERROR(INDEX(eq_des,MATCH(C225,eq_code,0))&amp;"","Équipement inconnu"))</f>
        <v/>
      </c>
      <c r="E225" s="68" t="n"/>
      <c r="F225" s="68" t="n"/>
      <c r="G225" s="66" t="n"/>
      <c r="H225" s="66" t="n"/>
      <c r="I225" s="68" t="n"/>
      <c r="J225" s="73" t="n"/>
      <c r="K225" s="71" t="n"/>
      <c r="L225" s="71" t="n"/>
      <c r="M225" s="66" t="n"/>
      <c r="N225" s="80" t="n"/>
      <c r="O225" s="81" t="str">
        <f>IF(A225="","",ROUND(V225*IFERROR(N(INDEX(tech_rate,MATCH(M225,tech_name,0))),0),2))</f>
        <v/>
      </c>
      <c r="P225" s="80" t="n"/>
      <c r="Q225" s="81" t="str">
        <f>IF(A225="","",ROUND(Y225+O225+Z225,2))</f>
        <v/>
      </c>
      <c r="R225" s="79" t="str">
        <f>IF(A225="","",IF(S225=0,"Date manquante ou invalide",IF(C225="","Équipement manquant",IF(ISNA(MATCH(C225,eq_code,0)),"Équipement inconnu",IF(E225="","Type manquant",IF(AND(E225&lt;&gt;"Préventif",E225&lt;&gt;"Correctif",E225&lt;&gt;"Amélioratif"),"Type inconnu",IF(I225="","Statut manquant",IF(AND(I225&lt;&gt;"Terminée",I225&lt;&gt;"En cours",I225&lt;&gt;"À faire",I225&lt;&gt;"Annulée"),"Statut inconnu",IF(AND(E225="Préventif",F225=""),"Plan manquant (préventif)",IF(AND(F225&lt;&gt;"",ISNA(MATCH(F225,pl_num,0))),"Plan inconnu",IF(AND(F225&lt;&gt;"",IFERROR(INDEX(pl_eq,MATCH(F225,pl_num,0))&amp;"",C225)&lt;&gt;C225),"Plan d'un autre équipement",IF(AND(J225&lt;&gt;"",OR(NOT(ISNUMBER(J225)),N(J225)&lt;0)),"Compteur invalide",IF(OR(AND(K225&lt;&gt;"",OR(NOT(ISNUMBER(K225)),N(K225)&lt;0)),AND(L225&lt;&gt;"",OR(NOT(ISNUMBER(L225)),N(L225)&lt;0))),"Durée invalide",IF(OR(AND(N225&lt;&gt;"",OR(NOT(ISNUMBER(N225)),N(N225)&lt;0)),AND(P225&lt;&gt;"",OR(NOT(ISNUMBER(P225)),N(P225)&lt;0))),"Coût invalide",IF(AND(M225&lt;&gt;"",ISNA(MATCH(M225,tech_name,0))),"Technicien inconnu",IF(AND(I225="Terminée",S225&gt;p_today),"Terminée à une date future",IF(AND(I225="Terminée",V225=0),"Durée d'intervention manquante",IF(AND(I225="Terminée",E225="Préventif",T225=0,OR(IFERROR(INDEX(pl_trig,MATCH(F225,pl_num,0))&amp;"","")="Compteur",IFERROR(INDEX(pl_trig,MATCH(F225,pl_num,0))&amp;"","")="Au premier des deux")),"Compteur manquant (plan au compteur)","OK"))))))))))))))))))</f>
        <v/>
      </c>
      <c r="S225" s="67">
        <f>IF(AND(ISNUMBER(B225),N(B225)&gt;0),INT(B225),0)</f>
        <v>0.0</v>
      </c>
      <c r="T225" s="67">
        <f>IF(AND(ISNUMBER(J225),N(J225)&gt;=0),N(J225),0)</f>
        <v>0.0</v>
      </c>
      <c r="U225" s="67">
        <f>IF(AND(ISNUMBER(K225),N(K225)&gt;0),N(K225),0)</f>
        <v>0.0</v>
      </c>
      <c r="V225" s="67">
        <f>IF(AND(ISNUMBER(L225),N(L225)&gt;0),N(L225),0)</f>
        <v>0.0</v>
      </c>
      <c r="W225" s="67">
        <f>IF(AND(I225="Terminée",S225&gt;0,C225&lt;&gt;"",ISNUMBER(MATCH(C225,eq_code,0))),1,0)</f>
        <v>0.0</v>
      </c>
      <c r="X225" s="67">
        <f>IF(AND(W225=1,E225="Préventif"),1,0)</f>
        <v>0.0</v>
      </c>
      <c r="Y225" s="67">
        <f>IF(AND(ISNUMBER(N225),N(N225)&gt;0),N(N225),0)</f>
        <v>0.0</v>
      </c>
      <c r="Z225" s="67">
        <f>IF(AND(ISNUMBER(P225),N(P225)&gt;0),N(P225),0)</f>
        <v>0.0</v>
      </c>
    </row>
    <row r="226">
      <c r="A226" s="79" t="str">
        <f>IF(COUNTA(B226:C226,E226:G226,I226)=0,"","BI-"&amp;RIGHT("0000"&amp;(ROW()-5),4))</f>
        <v/>
      </c>
      <c r="B226" s="72" t="n"/>
      <c r="C226" s="66" t="n"/>
      <c r="D226" s="67" t="str">
        <f>IF(C226="","",IFERROR(INDEX(eq_des,MATCH(C226,eq_code,0))&amp;"","Équipement inconnu"))</f>
        <v/>
      </c>
      <c r="E226" s="68" t="n"/>
      <c r="F226" s="68" t="n"/>
      <c r="G226" s="66" t="n"/>
      <c r="H226" s="66" t="n"/>
      <c r="I226" s="68" t="n"/>
      <c r="J226" s="73" t="n"/>
      <c r="K226" s="71" t="n"/>
      <c r="L226" s="71" t="n"/>
      <c r="M226" s="66" t="n"/>
      <c r="N226" s="80" t="n"/>
      <c r="O226" s="81" t="str">
        <f>IF(A226="","",ROUND(V226*IFERROR(N(INDEX(tech_rate,MATCH(M226,tech_name,0))),0),2))</f>
        <v/>
      </c>
      <c r="P226" s="80" t="n"/>
      <c r="Q226" s="81" t="str">
        <f>IF(A226="","",ROUND(Y226+O226+Z226,2))</f>
        <v/>
      </c>
      <c r="R226" s="79" t="str">
        <f>IF(A226="","",IF(S226=0,"Date manquante ou invalide",IF(C226="","Équipement manquant",IF(ISNA(MATCH(C226,eq_code,0)),"Équipement inconnu",IF(E226="","Type manquant",IF(AND(E226&lt;&gt;"Préventif",E226&lt;&gt;"Correctif",E226&lt;&gt;"Amélioratif"),"Type inconnu",IF(I226="","Statut manquant",IF(AND(I226&lt;&gt;"Terminée",I226&lt;&gt;"En cours",I226&lt;&gt;"À faire",I226&lt;&gt;"Annulée"),"Statut inconnu",IF(AND(E226="Préventif",F226=""),"Plan manquant (préventif)",IF(AND(F226&lt;&gt;"",ISNA(MATCH(F226,pl_num,0))),"Plan inconnu",IF(AND(F226&lt;&gt;"",IFERROR(INDEX(pl_eq,MATCH(F226,pl_num,0))&amp;"",C226)&lt;&gt;C226),"Plan d'un autre équipement",IF(AND(J226&lt;&gt;"",OR(NOT(ISNUMBER(J226)),N(J226)&lt;0)),"Compteur invalide",IF(OR(AND(K226&lt;&gt;"",OR(NOT(ISNUMBER(K226)),N(K226)&lt;0)),AND(L226&lt;&gt;"",OR(NOT(ISNUMBER(L226)),N(L226)&lt;0))),"Durée invalide",IF(OR(AND(N226&lt;&gt;"",OR(NOT(ISNUMBER(N226)),N(N226)&lt;0)),AND(P226&lt;&gt;"",OR(NOT(ISNUMBER(P226)),N(P226)&lt;0))),"Coût invalide",IF(AND(M226&lt;&gt;"",ISNA(MATCH(M226,tech_name,0))),"Technicien inconnu",IF(AND(I226="Terminée",S226&gt;p_today),"Terminée à une date future",IF(AND(I226="Terminée",V226=0),"Durée d'intervention manquante",IF(AND(I226="Terminée",E226="Préventif",T226=0,OR(IFERROR(INDEX(pl_trig,MATCH(F226,pl_num,0))&amp;"","")="Compteur",IFERROR(INDEX(pl_trig,MATCH(F226,pl_num,0))&amp;"","")="Au premier des deux")),"Compteur manquant (plan au compteur)","OK"))))))))))))))))))</f>
        <v/>
      </c>
      <c r="S226" s="67">
        <f>IF(AND(ISNUMBER(B226),N(B226)&gt;0),INT(B226),0)</f>
        <v>0.0</v>
      </c>
      <c r="T226" s="67">
        <f>IF(AND(ISNUMBER(J226),N(J226)&gt;=0),N(J226),0)</f>
        <v>0.0</v>
      </c>
      <c r="U226" s="67">
        <f>IF(AND(ISNUMBER(K226),N(K226)&gt;0),N(K226),0)</f>
        <v>0.0</v>
      </c>
      <c r="V226" s="67">
        <f>IF(AND(ISNUMBER(L226),N(L226)&gt;0),N(L226),0)</f>
        <v>0.0</v>
      </c>
      <c r="W226" s="67">
        <f>IF(AND(I226="Terminée",S226&gt;0,C226&lt;&gt;"",ISNUMBER(MATCH(C226,eq_code,0))),1,0)</f>
        <v>0.0</v>
      </c>
      <c r="X226" s="67">
        <f>IF(AND(W226=1,E226="Préventif"),1,0)</f>
        <v>0.0</v>
      </c>
      <c r="Y226" s="67">
        <f>IF(AND(ISNUMBER(N226),N(N226)&gt;0),N(N226),0)</f>
        <v>0.0</v>
      </c>
      <c r="Z226" s="67">
        <f>IF(AND(ISNUMBER(P226),N(P226)&gt;0),N(P226),0)</f>
        <v>0.0</v>
      </c>
    </row>
    <row r="227">
      <c r="A227" s="79" t="str">
        <f>IF(COUNTA(B227:C227,E227:G227,I227)=0,"","BI-"&amp;RIGHT("0000"&amp;(ROW()-5),4))</f>
        <v/>
      </c>
      <c r="B227" s="72" t="n"/>
      <c r="C227" s="66" t="n"/>
      <c r="D227" s="67" t="str">
        <f>IF(C227="","",IFERROR(INDEX(eq_des,MATCH(C227,eq_code,0))&amp;"","Équipement inconnu"))</f>
        <v/>
      </c>
      <c r="E227" s="68" t="n"/>
      <c r="F227" s="68" t="n"/>
      <c r="G227" s="66" t="n"/>
      <c r="H227" s="66" t="n"/>
      <c r="I227" s="68" t="n"/>
      <c r="J227" s="73" t="n"/>
      <c r="K227" s="71" t="n"/>
      <c r="L227" s="71" t="n"/>
      <c r="M227" s="66" t="n"/>
      <c r="N227" s="80" t="n"/>
      <c r="O227" s="81" t="str">
        <f>IF(A227="","",ROUND(V227*IFERROR(N(INDEX(tech_rate,MATCH(M227,tech_name,0))),0),2))</f>
        <v/>
      </c>
      <c r="P227" s="80" t="n"/>
      <c r="Q227" s="81" t="str">
        <f>IF(A227="","",ROUND(Y227+O227+Z227,2))</f>
        <v/>
      </c>
      <c r="R227" s="79" t="str">
        <f>IF(A227="","",IF(S227=0,"Date manquante ou invalide",IF(C227="","Équipement manquant",IF(ISNA(MATCH(C227,eq_code,0)),"Équipement inconnu",IF(E227="","Type manquant",IF(AND(E227&lt;&gt;"Préventif",E227&lt;&gt;"Correctif",E227&lt;&gt;"Amélioratif"),"Type inconnu",IF(I227="","Statut manquant",IF(AND(I227&lt;&gt;"Terminée",I227&lt;&gt;"En cours",I227&lt;&gt;"À faire",I227&lt;&gt;"Annulée"),"Statut inconnu",IF(AND(E227="Préventif",F227=""),"Plan manquant (préventif)",IF(AND(F227&lt;&gt;"",ISNA(MATCH(F227,pl_num,0))),"Plan inconnu",IF(AND(F227&lt;&gt;"",IFERROR(INDEX(pl_eq,MATCH(F227,pl_num,0))&amp;"",C227)&lt;&gt;C227),"Plan d'un autre équipement",IF(AND(J227&lt;&gt;"",OR(NOT(ISNUMBER(J227)),N(J227)&lt;0)),"Compteur invalide",IF(OR(AND(K227&lt;&gt;"",OR(NOT(ISNUMBER(K227)),N(K227)&lt;0)),AND(L227&lt;&gt;"",OR(NOT(ISNUMBER(L227)),N(L227)&lt;0))),"Durée invalide",IF(OR(AND(N227&lt;&gt;"",OR(NOT(ISNUMBER(N227)),N(N227)&lt;0)),AND(P227&lt;&gt;"",OR(NOT(ISNUMBER(P227)),N(P227)&lt;0))),"Coût invalide",IF(AND(M227&lt;&gt;"",ISNA(MATCH(M227,tech_name,0))),"Technicien inconnu",IF(AND(I227="Terminée",S227&gt;p_today),"Terminée à une date future",IF(AND(I227="Terminée",V227=0),"Durée d'intervention manquante",IF(AND(I227="Terminée",E227="Préventif",T227=0,OR(IFERROR(INDEX(pl_trig,MATCH(F227,pl_num,0))&amp;"","")="Compteur",IFERROR(INDEX(pl_trig,MATCH(F227,pl_num,0))&amp;"","")="Au premier des deux")),"Compteur manquant (plan au compteur)","OK"))))))))))))))))))</f>
        <v/>
      </c>
      <c r="S227" s="67">
        <f>IF(AND(ISNUMBER(B227),N(B227)&gt;0),INT(B227),0)</f>
        <v>0.0</v>
      </c>
      <c r="T227" s="67">
        <f>IF(AND(ISNUMBER(J227),N(J227)&gt;=0),N(J227),0)</f>
        <v>0.0</v>
      </c>
      <c r="U227" s="67">
        <f>IF(AND(ISNUMBER(K227),N(K227)&gt;0),N(K227),0)</f>
        <v>0.0</v>
      </c>
      <c r="V227" s="67">
        <f>IF(AND(ISNUMBER(L227),N(L227)&gt;0),N(L227),0)</f>
        <v>0.0</v>
      </c>
      <c r="W227" s="67">
        <f>IF(AND(I227="Terminée",S227&gt;0,C227&lt;&gt;"",ISNUMBER(MATCH(C227,eq_code,0))),1,0)</f>
        <v>0.0</v>
      </c>
      <c r="X227" s="67">
        <f>IF(AND(W227=1,E227="Préventif"),1,0)</f>
        <v>0.0</v>
      </c>
      <c r="Y227" s="67">
        <f>IF(AND(ISNUMBER(N227),N(N227)&gt;0),N(N227),0)</f>
        <v>0.0</v>
      </c>
      <c r="Z227" s="67">
        <f>IF(AND(ISNUMBER(P227),N(P227)&gt;0),N(P227),0)</f>
        <v>0.0</v>
      </c>
    </row>
    <row r="228">
      <c r="A228" s="79" t="str">
        <f>IF(COUNTA(B228:C228,E228:G228,I228)=0,"","BI-"&amp;RIGHT("0000"&amp;(ROW()-5),4))</f>
        <v/>
      </c>
      <c r="B228" s="72" t="n"/>
      <c r="C228" s="66" t="n"/>
      <c r="D228" s="67" t="str">
        <f>IF(C228="","",IFERROR(INDEX(eq_des,MATCH(C228,eq_code,0))&amp;"","Équipement inconnu"))</f>
        <v/>
      </c>
      <c r="E228" s="68" t="n"/>
      <c r="F228" s="68" t="n"/>
      <c r="G228" s="66" t="n"/>
      <c r="H228" s="66" t="n"/>
      <c r="I228" s="68" t="n"/>
      <c r="J228" s="73" t="n"/>
      <c r="K228" s="71" t="n"/>
      <c r="L228" s="71" t="n"/>
      <c r="M228" s="66" t="n"/>
      <c r="N228" s="80" t="n"/>
      <c r="O228" s="81" t="str">
        <f>IF(A228="","",ROUND(V228*IFERROR(N(INDEX(tech_rate,MATCH(M228,tech_name,0))),0),2))</f>
        <v/>
      </c>
      <c r="P228" s="80" t="n"/>
      <c r="Q228" s="81" t="str">
        <f>IF(A228="","",ROUND(Y228+O228+Z228,2))</f>
        <v/>
      </c>
      <c r="R228" s="79" t="str">
        <f>IF(A228="","",IF(S228=0,"Date manquante ou invalide",IF(C228="","Équipement manquant",IF(ISNA(MATCH(C228,eq_code,0)),"Équipement inconnu",IF(E228="","Type manquant",IF(AND(E228&lt;&gt;"Préventif",E228&lt;&gt;"Correctif",E228&lt;&gt;"Amélioratif"),"Type inconnu",IF(I228="","Statut manquant",IF(AND(I228&lt;&gt;"Terminée",I228&lt;&gt;"En cours",I228&lt;&gt;"À faire",I228&lt;&gt;"Annulée"),"Statut inconnu",IF(AND(E228="Préventif",F228=""),"Plan manquant (préventif)",IF(AND(F228&lt;&gt;"",ISNA(MATCH(F228,pl_num,0))),"Plan inconnu",IF(AND(F228&lt;&gt;"",IFERROR(INDEX(pl_eq,MATCH(F228,pl_num,0))&amp;"",C228)&lt;&gt;C228),"Plan d'un autre équipement",IF(AND(J228&lt;&gt;"",OR(NOT(ISNUMBER(J228)),N(J228)&lt;0)),"Compteur invalide",IF(OR(AND(K228&lt;&gt;"",OR(NOT(ISNUMBER(K228)),N(K228)&lt;0)),AND(L228&lt;&gt;"",OR(NOT(ISNUMBER(L228)),N(L228)&lt;0))),"Durée invalide",IF(OR(AND(N228&lt;&gt;"",OR(NOT(ISNUMBER(N228)),N(N228)&lt;0)),AND(P228&lt;&gt;"",OR(NOT(ISNUMBER(P228)),N(P228)&lt;0))),"Coût invalide",IF(AND(M228&lt;&gt;"",ISNA(MATCH(M228,tech_name,0))),"Technicien inconnu",IF(AND(I228="Terminée",S228&gt;p_today),"Terminée à une date future",IF(AND(I228="Terminée",V228=0),"Durée d'intervention manquante",IF(AND(I228="Terminée",E228="Préventif",T228=0,OR(IFERROR(INDEX(pl_trig,MATCH(F228,pl_num,0))&amp;"","")="Compteur",IFERROR(INDEX(pl_trig,MATCH(F228,pl_num,0))&amp;"","")="Au premier des deux")),"Compteur manquant (plan au compteur)","OK"))))))))))))))))))</f>
        <v/>
      </c>
      <c r="S228" s="67">
        <f>IF(AND(ISNUMBER(B228),N(B228)&gt;0),INT(B228),0)</f>
        <v>0.0</v>
      </c>
      <c r="T228" s="67">
        <f>IF(AND(ISNUMBER(J228),N(J228)&gt;=0),N(J228),0)</f>
        <v>0.0</v>
      </c>
      <c r="U228" s="67">
        <f>IF(AND(ISNUMBER(K228),N(K228)&gt;0),N(K228),0)</f>
        <v>0.0</v>
      </c>
      <c r="V228" s="67">
        <f>IF(AND(ISNUMBER(L228),N(L228)&gt;0),N(L228),0)</f>
        <v>0.0</v>
      </c>
      <c r="W228" s="67">
        <f>IF(AND(I228="Terminée",S228&gt;0,C228&lt;&gt;"",ISNUMBER(MATCH(C228,eq_code,0))),1,0)</f>
        <v>0.0</v>
      </c>
      <c r="X228" s="67">
        <f>IF(AND(W228=1,E228="Préventif"),1,0)</f>
        <v>0.0</v>
      </c>
      <c r="Y228" s="67">
        <f>IF(AND(ISNUMBER(N228),N(N228)&gt;0),N(N228),0)</f>
        <v>0.0</v>
      </c>
      <c r="Z228" s="67">
        <f>IF(AND(ISNUMBER(P228),N(P228)&gt;0),N(P228),0)</f>
        <v>0.0</v>
      </c>
    </row>
    <row r="229">
      <c r="A229" s="79" t="str">
        <f>IF(COUNTA(B229:C229,E229:G229,I229)=0,"","BI-"&amp;RIGHT("0000"&amp;(ROW()-5),4))</f>
        <v/>
      </c>
      <c r="B229" s="72" t="n"/>
      <c r="C229" s="66" t="n"/>
      <c r="D229" s="67" t="str">
        <f>IF(C229="","",IFERROR(INDEX(eq_des,MATCH(C229,eq_code,0))&amp;"","Équipement inconnu"))</f>
        <v/>
      </c>
      <c r="E229" s="68" t="n"/>
      <c r="F229" s="68" t="n"/>
      <c r="G229" s="66" t="n"/>
      <c r="H229" s="66" t="n"/>
      <c r="I229" s="68" t="n"/>
      <c r="J229" s="73" t="n"/>
      <c r="K229" s="71" t="n"/>
      <c r="L229" s="71" t="n"/>
      <c r="M229" s="66" t="n"/>
      <c r="N229" s="80" t="n"/>
      <c r="O229" s="81" t="str">
        <f>IF(A229="","",ROUND(V229*IFERROR(N(INDEX(tech_rate,MATCH(M229,tech_name,0))),0),2))</f>
        <v/>
      </c>
      <c r="P229" s="80" t="n"/>
      <c r="Q229" s="81" t="str">
        <f>IF(A229="","",ROUND(Y229+O229+Z229,2))</f>
        <v/>
      </c>
      <c r="R229" s="79" t="str">
        <f>IF(A229="","",IF(S229=0,"Date manquante ou invalide",IF(C229="","Équipement manquant",IF(ISNA(MATCH(C229,eq_code,0)),"Équipement inconnu",IF(E229="","Type manquant",IF(AND(E229&lt;&gt;"Préventif",E229&lt;&gt;"Correctif",E229&lt;&gt;"Amélioratif"),"Type inconnu",IF(I229="","Statut manquant",IF(AND(I229&lt;&gt;"Terminée",I229&lt;&gt;"En cours",I229&lt;&gt;"À faire",I229&lt;&gt;"Annulée"),"Statut inconnu",IF(AND(E229="Préventif",F229=""),"Plan manquant (préventif)",IF(AND(F229&lt;&gt;"",ISNA(MATCH(F229,pl_num,0))),"Plan inconnu",IF(AND(F229&lt;&gt;"",IFERROR(INDEX(pl_eq,MATCH(F229,pl_num,0))&amp;"",C229)&lt;&gt;C229),"Plan d'un autre équipement",IF(AND(J229&lt;&gt;"",OR(NOT(ISNUMBER(J229)),N(J229)&lt;0)),"Compteur invalide",IF(OR(AND(K229&lt;&gt;"",OR(NOT(ISNUMBER(K229)),N(K229)&lt;0)),AND(L229&lt;&gt;"",OR(NOT(ISNUMBER(L229)),N(L229)&lt;0))),"Durée invalide",IF(OR(AND(N229&lt;&gt;"",OR(NOT(ISNUMBER(N229)),N(N229)&lt;0)),AND(P229&lt;&gt;"",OR(NOT(ISNUMBER(P229)),N(P229)&lt;0))),"Coût invalide",IF(AND(M229&lt;&gt;"",ISNA(MATCH(M229,tech_name,0))),"Technicien inconnu",IF(AND(I229="Terminée",S229&gt;p_today),"Terminée à une date future",IF(AND(I229="Terminée",V229=0),"Durée d'intervention manquante",IF(AND(I229="Terminée",E229="Préventif",T229=0,OR(IFERROR(INDEX(pl_trig,MATCH(F229,pl_num,0))&amp;"","")="Compteur",IFERROR(INDEX(pl_trig,MATCH(F229,pl_num,0))&amp;"","")="Au premier des deux")),"Compteur manquant (plan au compteur)","OK"))))))))))))))))))</f>
        <v/>
      </c>
      <c r="S229" s="67">
        <f>IF(AND(ISNUMBER(B229),N(B229)&gt;0),INT(B229),0)</f>
        <v>0.0</v>
      </c>
      <c r="T229" s="67">
        <f>IF(AND(ISNUMBER(J229),N(J229)&gt;=0),N(J229),0)</f>
        <v>0.0</v>
      </c>
      <c r="U229" s="67">
        <f>IF(AND(ISNUMBER(K229),N(K229)&gt;0),N(K229),0)</f>
        <v>0.0</v>
      </c>
      <c r="V229" s="67">
        <f>IF(AND(ISNUMBER(L229),N(L229)&gt;0),N(L229),0)</f>
        <v>0.0</v>
      </c>
      <c r="W229" s="67">
        <f>IF(AND(I229="Terminée",S229&gt;0,C229&lt;&gt;"",ISNUMBER(MATCH(C229,eq_code,0))),1,0)</f>
        <v>0.0</v>
      </c>
      <c r="X229" s="67">
        <f>IF(AND(W229=1,E229="Préventif"),1,0)</f>
        <v>0.0</v>
      </c>
      <c r="Y229" s="67">
        <f>IF(AND(ISNUMBER(N229),N(N229)&gt;0),N(N229),0)</f>
        <v>0.0</v>
      </c>
      <c r="Z229" s="67">
        <f>IF(AND(ISNUMBER(P229),N(P229)&gt;0),N(P229),0)</f>
        <v>0.0</v>
      </c>
    </row>
    <row r="230">
      <c r="A230" s="79" t="str">
        <f>IF(COUNTA(B230:C230,E230:G230,I230)=0,"","BI-"&amp;RIGHT("0000"&amp;(ROW()-5),4))</f>
        <v/>
      </c>
      <c r="B230" s="72" t="n"/>
      <c r="C230" s="66" t="n"/>
      <c r="D230" s="67" t="str">
        <f>IF(C230="","",IFERROR(INDEX(eq_des,MATCH(C230,eq_code,0))&amp;"","Équipement inconnu"))</f>
        <v/>
      </c>
      <c r="E230" s="68" t="n"/>
      <c r="F230" s="68" t="n"/>
      <c r="G230" s="66" t="n"/>
      <c r="H230" s="66" t="n"/>
      <c r="I230" s="68" t="n"/>
      <c r="J230" s="73" t="n"/>
      <c r="K230" s="71" t="n"/>
      <c r="L230" s="71" t="n"/>
      <c r="M230" s="66" t="n"/>
      <c r="N230" s="80" t="n"/>
      <c r="O230" s="81" t="str">
        <f>IF(A230="","",ROUND(V230*IFERROR(N(INDEX(tech_rate,MATCH(M230,tech_name,0))),0),2))</f>
        <v/>
      </c>
      <c r="P230" s="80" t="n"/>
      <c r="Q230" s="81" t="str">
        <f>IF(A230="","",ROUND(Y230+O230+Z230,2))</f>
        <v/>
      </c>
      <c r="R230" s="79" t="str">
        <f>IF(A230="","",IF(S230=0,"Date manquante ou invalide",IF(C230="","Équipement manquant",IF(ISNA(MATCH(C230,eq_code,0)),"Équipement inconnu",IF(E230="","Type manquant",IF(AND(E230&lt;&gt;"Préventif",E230&lt;&gt;"Correctif",E230&lt;&gt;"Amélioratif"),"Type inconnu",IF(I230="","Statut manquant",IF(AND(I230&lt;&gt;"Terminée",I230&lt;&gt;"En cours",I230&lt;&gt;"À faire",I230&lt;&gt;"Annulée"),"Statut inconnu",IF(AND(E230="Préventif",F230=""),"Plan manquant (préventif)",IF(AND(F230&lt;&gt;"",ISNA(MATCH(F230,pl_num,0))),"Plan inconnu",IF(AND(F230&lt;&gt;"",IFERROR(INDEX(pl_eq,MATCH(F230,pl_num,0))&amp;"",C230)&lt;&gt;C230),"Plan d'un autre équipement",IF(AND(J230&lt;&gt;"",OR(NOT(ISNUMBER(J230)),N(J230)&lt;0)),"Compteur invalide",IF(OR(AND(K230&lt;&gt;"",OR(NOT(ISNUMBER(K230)),N(K230)&lt;0)),AND(L230&lt;&gt;"",OR(NOT(ISNUMBER(L230)),N(L230)&lt;0))),"Durée invalide",IF(OR(AND(N230&lt;&gt;"",OR(NOT(ISNUMBER(N230)),N(N230)&lt;0)),AND(P230&lt;&gt;"",OR(NOT(ISNUMBER(P230)),N(P230)&lt;0))),"Coût invalide",IF(AND(M230&lt;&gt;"",ISNA(MATCH(M230,tech_name,0))),"Technicien inconnu",IF(AND(I230="Terminée",S230&gt;p_today),"Terminée à une date future",IF(AND(I230="Terminée",V230=0),"Durée d'intervention manquante",IF(AND(I230="Terminée",E230="Préventif",T230=0,OR(IFERROR(INDEX(pl_trig,MATCH(F230,pl_num,0))&amp;"","")="Compteur",IFERROR(INDEX(pl_trig,MATCH(F230,pl_num,0))&amp;"","")="Au premier des deux")),"Compteur manquant (plan au compteur)","OK"))))))))))))))))))</f>
        <v/>
      </c>
      <c r="S230" s="67">
        <f>IF(AND(ISNUMBER(B230),N(B230)&gt;0),INT(B230),0)</f>
        <v>0.0</v>
      </c>
      <c r="T230" s="67">
        <f>IF(AND(ISNUMBER(J230),N(J230)&gt;=0),N(J230),0)</f>
        <v>0.0</v>
      </c>
      <c r="U230" s="67">
        <f>IF(AND(ISNUMBER(K230),N(K230)&gt;0),N(K230),0)</f>
        <v>0.0</v>
      </c>
      <c r="V230" s="67">
        <f>IF(AND(ISNUMBER(L230),N(L230)&gt;0),N(L230),0)</f>
        <v>0.0</v>
      </c>
      <c r="W230" s="67">
        <f>IF(AND(I230="Terminée",S230&gt;0,C230&lt;&gt;"",ISNUMBER(MATCH(C230,eq_code,0))),1,0)</f>
        <v>0.0</v>
      </c>
      <c r="X230" s="67">
        <f>IF(AND(W230=1,E230="Préventif"),1,0)</f>
        <v>0.0</v>
      </c>
      <c r="Y230" s="67">
        <f>IF(AND(ISNUMBER(N230),N(N230)&gt;0),N(N230),0)</f>
        <v>0.0</v>
      </c>
      <c r="Z230" s="67">
        <f>IF(AND(ISNUMBER(P230),N(P230)&gt;0),N(P230),0)</f>
        <v>0.0</v>
      </c>
    </row>
    <row r="231">
      <c r="A231" s="79" t="str">
        <f>IF(COUNTA(B231:C231,E231:G231,I231)=0,"","BI-"&amp;RIGHT("0000"&amp;(ROW()-5),4))</f>
        <v/>
      </c>
      <c r="B231" s="72" t="n"/>
      <c r="C231" s="66" t="n"/>
      <c r="D231" s="67" t="str">
        <f>IF(C231="","",IFERROR(INDEX(eq_des,MATCH(C231,eq_code,0))&amp;"","Équipement inconnu"))</f>
        <v/>
      </c>
      <c r="E231" s="68" t="n"/>
      <c r="F231" s="68" t="n"/>
      <c r="G231" s="66" t="n"/>
      <c r="H231" s="66" t="n"/>
      <c r="I231" s="68" t="n"/>
      <c r="J231" s="73" t="n"/>
      <c r="K231" s="71" t="n"/>
      <c r="L231" s="71" t="n"/>
      <c r="M231" s="66" t="n"/>
      <c r="N231" s="80" t="n"/>
      <c r="O231" s="81" t="str">
        <f>IF(A231="","",ROUND(V231*IFERROR(N(INDEX(tech_rate,MATCH(M231,tech_name,0))),0),2))</f>
        <v/>
      </c>
      <c r="P231" s="80" t="n"/>
      <c r="Q231" s="81" t="str">
        <f>IF(A231="","",ROUND(Y231+O231+Z231,2))</f>
        <v/>
      </c>
      <c r="R231" s="79" t="str">
        <f>IF(A231="","",IF(S231=0,"Date manquante ou invalide",IF(C231="","Équipement manquant",IF(ISNA(MATCH(C231,eq_code,0)),"Équipement inconnu",IF(E231="","Type manquant",IF(AND(E231&lt;&gt;"Préventif",E231&lt;&gt;"Correctif",E231&lt;&gt;"Amélioratif"),"Type inconnu",IF(I231="","Statut manquant",IF(AND(I231&lt;&gt;"Terminée",I231&lt;&gt;"En cours",I231&lt;&gt;"À faire",I231&lt;&gt;"Annulée"),"Statut inconnu",IF(AND(E231="Préventif",F231=""),"Plan manquant (préventif)",IF(AND(F231&lt;&gt;"",ISNA(MATCH(F231,pl_num,0))),"Plan inconnu",IF(AND(F231&lt;&gt;"",IFERROR(INDEX(pl_eq,MATCH(F231,pl_num,0))&amp;"",C231)&lt;&gt;C231),"Plan d'un autre équipement",IF(AND(J231&lt;&gt;"",OR(NOT(ISNUMBER(J231)),N(J231)&lt;0)),"Compteur invalide",IF(OR(AND(K231&lt;&gt;"",OR(NOT(ISNUMBER(K231)),N(K231)&lt;0)),AND(L231&lt;&gt;"",OR(NOT(ISNUMBER(L231)),N(L231)&lt;0))),"Durée invalide",IF(OR(AND(N231&lt;&gt;"",OR(NOT(ISNUMBER(N231)),N(N231)&lt;0)),AND(P231&lt;&gt;"",OR(NOT(ISNUMBER(P231)),N(P231)&lt;0))),"Coût invalide",IF(AND(M231&lt;&gt;"",ISNA(MATCH(M231,tech_name,0))),"Technicien inconnu",IF(AND(I231="Terminée",S231&gt;p_today),"Terminée à une date future",IF(AND(I231="Terminée",V231=0),"Durée d'intervention manquante",IF(AND(I231="Terminée",E231="Préventif",T231=0,OR(IFERROR(INDEX(pl_trig,MATCH(F231,pl_num,0))&amp;"","")="Compteur",IFERROR(INDEX(pl_trig,MATCH(F231,pl_num,0))&amp;"","")="Au premier des deux")),"Compteur manquant (plan au compteur)","OK"))))))))))))))))))</f>
        <v/>
      </c>
      <c r="S231" s="67">
        <f>IF(AND(ISNUMBER(B231),N(B231)&gt;0),INT(B231),0)</f>
        <v>0.0</v>
      </c>
      <c r="T231" s="67">
        <f>IF(AND(ISNUMBER(J231),N(J231)&gt;=0),N(J231),0)</f>
        <v>0.0</v>
      </c>
      <c r="U231" s="67">
        <f>IF(AND(ISNUMBER(K231),N(K231)&gt;0),N(K231),0)</f>
        <v>0.0</v>
      </c>
      <c r="V231" s="67">
        <f>IF(AND(ISNUMBER(L231),N(L231)&gt;0),N(L231),0)</f>
        <v>0.0</v>
      </c>
      <c r="W231" s="67">
        <f>IF(AND(I231="Terminée",S231&gt;0,C231&lt;&gt;"",ISNUMBER(MATCH(C231,eq_code,0))),1,0)</f>
        <v>0.0</v>
      </c>
      <c r="X231" s="67">
        <f>IF(AND(W231=1,E231="Préventif"),1,0)</f>
        <v>0.0</v>
      </c>
      <c r="Y231" s="67">
        <f>IF(AND(ISNUMBER(N231),N(N231)&gt;0),N(N231),0)</f>
        <v>0.0</v>
      </c>
      <c r="Z231" s="67">
        <f>IF(AND(ISNUMBER(P231),N(P231)&gt;0),N(P231),0)</f>
        <v>0.0</v>
      </c>
    </row>
    <row r="232">
      <c r="A232" s="79" t="str">
        <f>IF(COUNTA(B232:C232,E232:G232,I232)=0,"","BI-"&amp;RIGHT("0000"&amp;(ROW()-5),4))</f>
        <v/>
      </c>
      <c r="B232" s="72" t="n"/>
      <c r="C232" s="66" t="n"/>
      <c r="D232" s="67" t="str">
        <f>IF(C232="","",IFERROR(INDEX(eq_des,MATCH(C232,eq_code,0))&amp;"","Équipement inconnu"))</f>
        <v/>
      </c>
      <c r="E232" s="68" t="n"/>
      <c r="F232" s="68" t="n"/>
      <c r="G232" s="66" t="n"/>
      <c r="H232" s="66" t="n"/>
      <c r="I232" s="68" t="n"/>
      <c r="J232" s="73" t="n"/>
      <c r="K232" s="71" t="n"/>
      <c r="L232" s="71" t="n"/>
      <c r="M232" s="66" t="n"/>
      <c r="N232" s="80" t="n"/>
      <c r="O232" s="81" t="str">
        <f>IF(A232="","",ROUND(V232*IFERROR(N(INDEX(tech_rate,MATCH(M232,tech_name,0))),0),2))</f>
        <v/>
      </c>
      <c r="P232" s="80" t="n"/>
      <c r="Q232" s="81" t="str">
        <f>IF(A232="","",ROUND(Y232+O232+Z232,2))</f>
        <v/>
      </c>
      <c r="R232" s="79" t="str">
        <f>IF(A232="","",IF(S232=0,"Date manquante ou invalide",IF(C232="","Équipement manquant",IF(ISNA(MATCH(C232,eq_code,0)),"Équipement inconnu",IF(E232="","Type manquant",IF(AND(E232&lt;&gt;"Préventif",E232&lt;&gt;"Correctif",E232&lt;&gt;"Amélioratif"),"Type inconnu",IF(I232="","Statut manquant",IF(AND(I232&lt;&gt;"Terminée",I232&lt;&gt;"En cours",I232&lt;&gt;"À faire",I232&lt;&gt;"Annulée"),"Statut inconnu",IF(AND(E232="Préventif",F232=""),"Plan manquant (préventif)",IF(AND(F232&lt;&gt;"",ISNA(MATCH(F232,pl_num,0))),"Plan inconnu",IF(AND(F232&lt;&gt;"",IFERROR(INDEX(pl_eq,MATCH(F232,pl_num,0))&amp;"",C232)&lt;&gt;C232),"Plan d'un autre équipement",IF(AND(J232&lt;&gt;"",OR(NOT(ISNUMBER(J232)),N(J232)&lt;0)),"Compteur invalide",IF(OR(AND(K232&lt;&gt;"",OR(NOT(ISNUMBER(K232)),N(K232)&lt;0)),AND(L232&lt;&gt;"",OR(NOT(ISNUMBER(L232)),N(L232)&lt;0))),"Durée invalide",IF(OR(AND(N232&lt;&gt;"",OR(NOT(ISNUMBER(N232)),N(N232)&lt;0)),AND(P232&lt;&gt;"",OR(NOT(ISNUMBER(P232)),N(P232)&lt;0))),"Coût invalide",IF(AND(M232&lt;&gt;"",ISNA(MATCH(M232,tech_name,0))),"Technicien inconnu",IF(AND(I232="Terminée",S232&gt;p_today),"Terminée à une date future",IF(AND(I232="Terminée",V232=0),"Durée d'intervention manquante",IF(AND(I232="Terminée",E232="Préventif",T232=0,OR(IFERROR(INDEX(pl_trig,MATCH(F232,pl_num,0))&amp;"","")="Compteur",IFERROR(INDEX(pl_trig,MATCH(F232,pl_num,0))&amp;"","")="Au premier des deux")),"Compteur manquant (plan au compteur)","OK"))))))))))))))))))</f>
        <v/>
      </c>
      <c r="S232" s="67">
        <f>IF(AND(ISNUMBER(B232),N(B232)&gt;0),INT(B232),0)</f>
        <v>0.0</v>
      </c>
      <c r="T232" s="67">
        <f>IF(AND(ISNUMBER(J232),N(J232)&gt;=0),N(J232),0)</f>
        <v>0.0</v>
      </c>
      <c r="U232" s="67">
        <f>IF(AND(ISNUMBER(K232),N(K232)&gt;0),N(K232),0)</f>
        <v>0.0</v>
      </c>
      <c r="V232" s="67">
        <f>IF(AND(ISNUMBER(L232),N(L232)&gt;0),N(L232),0)</f>
        <v>0.0</v>
      </c>
      <c r="W232" s="67">
        <f>IF(AND(I232="Terminée",S232&gt;0,C232&lt;&gt;"",ISNUMBER(MATCH(C232,eq_code,0))),1,0)</f>
        <v>0.0</v>
      </c>
      <c r="X232" s="67">
        <f>IF(AND(W232=1,E232="Préventif"),1,0)</f>
        <v>0.0</v>
      </c>
      <c r="Y232" s="67">
        <f>IF(AND(ISNUMBER(N232),N(N232)&gt;0),N(N232),0)</f>
        <v>0.0</v>
      </c>
      <c r="Z232" s="67">
        <f>IF(AND(ISNUMBER(P232),N(P232)&gt;0),N(P232),0)</f>
        <v>0.0</v>
      </c>
    </row>
    <row r="233">
      <c r="A233" s="79" t="str">
        <f>IF(COUNTA(B233:C233,E233:G233,I233)=0,"","BI-"&amp;RIGHT("0000"&amp;(ROW()-5),4))</f>
        <v/>
      </c>
      <c r="B233" s="72" t="n"/>
      <c r="C233" s="66" t="n"/>
      <c r="D233" s="67" t="str">
        <f>IF(C233="","",IFERROR(INDEX(eq_des,MATCH(C233,eq_code,0))&amp;"","Équipement inconnu"))</f>
        <v/>
      </c>
      <c r="E233" s="68" t="n"/>
      <c r="F233" s="68" t="n"/>
      <c r="G233" s="66" t="n"/>
      <c r="H233" s="66" t="n"/>
      <c r="I233" s="68" t="n"/>
      <c r="J233" s="73" t="n"/>
      <c r="K233" s="71" t="n"/>
      <c r="L233" s="71" t="n"/>
      <c r="M233" s="66" t="n"/>
      <c r="N233" s="80" t="n"/>
      <c r="O233" s="81" t="str">
        <f>IF(A233="","",ROUND(V233*IFERROR(N(INDEX(tech_rate,MATCH(M233,tech_name,0))),0),2))</f>
        <v/>
      </c>
      <c r="P233" s="80" t="n"/>
      <c r="Q233" s="81" t="str">
        <f>IF(A233="","",ROUND(Y233+O233+Z233,2))</f>
        <v/>
      </c>
      <c r="R233" s="79" t="str">
        <f>IF(A233="","",IF(S233=0,"Date manquante ou invalide",IF(C233="","Équipement manquant",IF(ISNA(MATCH(C233,eq_code,0)),"Équipement inconnu",IF(E233="","Type manquant",IF(AND(E233&lt;&gt;"Préventif",E233&lt;&gt;"Correctif",E233&lt;&gt;"Amélioratif"),"Type inconnu",IF(I233="","Statut manquant",IF(AND(I233&lt;&gt;"Terminée",I233&lt;&gt;"En cours",I233&lt;&gt;"À faire",I233&lt;&gt;"Annulée"),"Statut inconnu",IF(AND(E233="Préventif",F233=""),"Plan manquant (préventif)",IF(AND(F233&lt;&gt;"",ISNA(MATCH(F233,pl_num,0))),"Plan inconnu",IF(AND(F233&lt;&gt;"",IFERROR(INDEX(pl_eq,MATCH(F233,pl_num,0))&amp;"",C233)&lt;&gt;C233),"Plan d'un autre équipement",IF(AND(J233&lt;&gt;"",OR(NOT(ISNUMBER(J233)),N(J233)&lt;0)),"Compteur invalide",IF(OR(AND(K233&lt;&gt;"",OR(NOT(ISNUMBER(K233)),N(K233)&lt;0)),AND(L233&lt;&gt;"",OR(NOT(ISNUMBER(L233)),N(L233)&lt;0))),"Durée invalide",IF(OR(AND(N233&lt;&gt;"",OR(NOT(ISNUMBER(N233)),N(N233)&lt;0)),AND(P233&lt;&gt;"",OR(NOT(ISNUMBER(P233)),N(P233)&lt;0))),"Coût invalide",IF(AND(M233&lt;&gt;"",ISNA(MATCH(M233,tech_name,0))),"Technicien inconnu",IF(AND(I233="Terminée",S233&gt;p_today),"Terminée à une date future",IF(AND(I233="Terminée",V233=0),"Durée d'intervention manquante",IF(AND(I233="Terminée",E233="Préventif",T233=0,OR(IFERROR(INDEX(pl_trig,MATCH(F233,pl_num,0))&amp;"","")="Compteur",IFERROR(INDEX(pl_trig,MATCH(F233,pl_num,0))&amp;"","")="Au premier des deux")),"Compteur manquant (plan au compteur)","OK"))))))))))))))))))</f>
        <v/>
      </c>
      <c r="S233" s="67">
        <f>IF(AND(ISNUMBER(B233),N(B233)&gt;0),INT(B233),0)</f>
        <v>0.0</v>
      </c>
      <c r="T233" s="67">
        <f>IF(AND(ISNUMBER(J233),N(J233)&gt;=0),N(J233),0)</f>
        <v>0.0</v>
      </c>
      <c r="U233" s="67">
        <f>IF(AND(ISNUMBER(K233),N(K233)&gt;0),N(K233),0)</f>
        <v>0.0</v>
      </c>
      <c r="V233" s="67">
        <f>IF(AND(ISNUMBER(L233),N(L233)&gt;0),N(L233),0)</f>
        <v>0.0</v>
      </c>
      <c r="W233" s="67">
        <f>IF(AND(I233="Terminée",S233&gt;0,C233&lt;&gt;"",ISNUMBER(MATCH(C233,eq_code,0))),1,0)</f>
        <v>0.0</v>
      </c>
      <c r="X233" s="67">
        <f>IF(AND(W233=1,E233="Préventif"),1,0)</f>
        <v>0.0</v>
      </c>
      <c r="Y233" s="67">
        <f>IF(AND(ISNUMBER(N233),N(N233)&gt;0),N(N233),0)</f>
        <v>0.0</v>
      </c>
      <c r="Z233" s="67">
        <f>IF(AND(ISNUMBER(P233),N(P233)&gt;0),N(P233),0)</f>
        <v>0.0</v>
      </c>
    </row>
    <row r="234">
      <c r="A234" s="79" t="str">
        <f>IF(COUNTA(B234:C234,E234:G234,I234)=0,"","BI-"&amp;RIGHT("0000"&amp;(ROW()-5),4))</f>
        <v/>
      </c>
      <c r="B234" s="72" t="n"/>
      <c r="C234" s="66" t="n"/>
      <c r="D234" s="67" t="str">
        <f>IF(C234="","",IFERROR(INDEX(eq_des,MATCH(C234,eq_code,0))&amp;"","Équipement inconnu"))</f>
        <v/>
      </c>
      <c r="E234" s="68" t="n"/>
      <c r="F234" s="68" t="n"/>
      <c r="G234" s="66" t="n"/>
      <c r="H234" s="66" t="n"/>
      <c r="I234" s="68" t="n"/>
      <c r="J234" s="73" t="n"/>
      <c r="K234" s="71" t="n"/>
      <c r="L234" s="71" t="n"/>
      <c r="M234" s="66" t="n"/>
      <c r="N234" s="80" t="n"/>
      <c r="O234" s="81" t="str">
        <f>IF(A234="","",ROUND(V234*IFERROR(N(INDEX(tech_rate,MATCH(M234,tech_name,0))),0),2))</f>
        <v/>
      </c>
      <c r="P234" s="80" t="n"/>
      <c r="Q234" s="81" t="str">
        <f>IF(A234="","",ROUND(Y234+O234+Z234,2))</f>
        <v/>
      </c>
      <c r="R234" s="79" t="str">
        <f>IF(A234="","",IF(S234=0,"Date manquante ou invalide",IF(C234="","Équipement manquant",IF(ISNA(MATCH(C234,eq_code,0)),"Équipement inconnu",IF(E234="","Type manquant",IF(AND(E234&lt;&gt;"Préventif",E234&lt;&gt;"Correctif",E234&lt;&gt;"Amélioratif"),"Type inconnu",IF(I234="","Statut manquant",IF(AND(I234&lt;&gt;"Terminée",I234&lt;&gt;"En cours",I234&lt;&gt;"À faire",I234&lt;&gt;"Annulée"),"Statut inconnu",IF(AND(E234="Préventif",F234=""),"Plan manquant (préventif)",IF(AND(F234&lt;&gt;"",ISNA(MATCH(F234,pl_num,0))),"Plan inconnu",IF(AND(F234&lt;&gt;"",IFERROR(INDEX(pl_eq,MATCH(F234,pl_num,0))&amp;"",C234)&lt;&gt;C234),"Plan d'un autre équipement",IF(AND(J234&lt;&gt;"",OR(NOT(ISNUMBER(J234)),N(J234)&lt;0)),"Compteur invalide",IF(OR(AND(K234&lt;&gt;"",OR(NOT(ISNUMBER(K234)),N(K234)&lt;0)),AND(L234&lt;&gt;"",OR(NOT(ISNUMBER(L234)),N(L234)&lt;0))),"Durée invalide",IF(OR(AND(N234&lt;&gt;"",OR(NOT(ISNUMBER(N234)),N(N234)&lt;0)),AND(P234&lt;&gt;"",OR(NOT(ISNUMBER(P234)),N(P234)&lt;0))),"Coût invalide",IF(AND(M234&lt;&gt;"",ISNA(MATCH(M234,tech_name,0))),"Technicien inconnu",IF(AND(I234="Terminée",S234&gt;p_today),"Terminée à une date future",IF(AND(I234="Terminée",V234=0),"Durée d'intervention manquante",IF(AND(I234="Terminée",E234="Préventif",T234=0,OR(IFERROR(INDEX(pl_trig,MATCH(F234,pl_num,0))&amp;"","")="Compteur",IFERROR(INDEX(pl_trig,MATCH(F234,pl_num,0))&amp;"","")="Au premier des deux")),"Compteur manquant (plan au compteur)","OK"))))))))))))))))))</f>
        <v/>
      </c>
      <c r="S234" s="67">
        <f>IF(AND(ISNUMBER(B234),N(B234)&gt;0),INT(B234),0)</f>
        <v>0.0</v>
      </c>
      <c r="T234" s="67">
        <f>IF(AND(ISNUMBER(J234),N(J234)&gt;=0),N(J234),0)</f>
        <v>0.0</v>
      </c>
      <c r="U234" s="67">
        <f>IF(AND(ISNUMBER(K234),N(K234)&gt;0),N(K234),0)</f>
        <v>0.0</v>
      </c>
      <c r="V234" s="67">
        <f>IF(AND(ISNUMBER(L234),N(L234)&gt;0),N(L234),0)</f>
        <v>0.0</v>
      </c>
      <c r="W234" s="67">
        <f>IF(AND(I234="Terminée",S234&gt;0,C234&lt;&gt;"",ISNUMBER(MATCH(C234,eq_code,0))),1,0)</f>
        <v>0.0</v>
      </c>
      <c r="X234" s="67">
        <f>IF(AND(W234=1,E234="Préventif"),1,0)</f>
        <v>0.0</v>
      </c>
      <c r="Y234" s="67">
        <f>IF(AND(ISNUMBER(N234),N(N234)&gt;0),N(N234),0)</f>
        <v>0.0</v>
      </c>
      <c r="Z234" s="67">
        <f>IF(AND(ISNUMBER(P234),N(P234)&gt;0),N(P234),0)</f>
        <v>0.0</v>
      </c>
    </row>
    <row r="235">
      <c r="A235" s="79" t="str">
        <f>IF(COUNTA(B235:C235,E235:G235,I235)=0,"","BI-"&amp;RIGHT("0000"&amp;(ROW()-5),4))</f>
        <v/>
      </c>
      <c r="B235" s="72" t="n"/>
      <c r="C235" s="66" t="n"/>
      <c r="D235" s="67" t="str">
        <f>IF(C235="","",IFERROR(INDEX(eq_des,MATCH(C235,eq_code,0))&amp;"","Équipement inconnu"))</f>
        <v/>
      </c>
      <c r="E235" s="68" t="n"/>
      <c r="F235" s="68" t="n"/>
      <c r="G235" s="66" t="n"/>
      <c r="H235" s="66" t="n"/>
      <c r="I235" s="68" t="n"/>
      <c r="J235" s="73" t="n"/>
      <c r="K235" s="71" t="n"/>
      <c r="L235" s="71" t="n"/>
      <c r="M235" s="66" t="n"/>
      <c r="N235" s="80" t="n"/>
      <c r="O235" s="81" t="str">
        <f>IF(A235="","",ROUND(V235*IFERROR(N(INDEX(tech_rate,MATCH(M235,tech_name,0))),0),2))</f>
        <v/>
      </c>
      <c r="P235" s="80" t="n"/>
      <c r="Q235" s="81" t="str">
        <f>IF(A235="","",ROUND(Y235+O235+Z235,2))</f>
        <v/>
      </c>
      <c r="R235" s="79" t="str">
        <f>IF(A235="","",IF(S235=0,"Date manquante ou invalide",IF(C235="","Équipement manquant",IF(ISNA(MATCH(C235,eq_code,0)),"Équipement inconnu",IF(E235="","Type manquant",IF(AND(E235&lt;&gt;"Préventif",E235&lt;&gt;"Correctif",E235&lt;&gt;"Amélioratif"),"Type inconnu",IF(I235="","Statut manquant",IF(AND(I235&lt;&gt;"Terminée",I235&lt;&gt;"En cours",I235&lt;&gt;"À faire",I235&lt;&gt;"Annulée"),"Statut inconnu",IF(AND(E235="Préventif",F235=""),"Plan manquant (préventif)",IF(AND(F235&lt;&gt;"",ISNA(MATCH(F235,pl_num,0))),"Plan inconnu",IF(AND(F235&lt;&gt;"",IFERROR(INDEX(pl_eq,MATCH(F235,pl_num,0))&amp;"",C235)&lt;&gt;C235),"Plan d'un autre équipement",IF(AND(J235&lt;&gt;"",OR(NOT(ISNUMBER(J235)),N(J235)&lt;0)),"Compteur invalide",IF(OR(AND(K235&lt;&gt;"",OR(NOT(ISNUMBER(K235)),N(K235)&lt;0)),AND(L235&lt;&gt;"",OR(NOT(ISNUMBER(L235)),N(L235)&lt;0))),"Durée invalide",IF(OR(AND(N235&lt;&gt;"",OR(NOT(ISNUMBER(N235)),N(N235)&lt;0)),AND(P235&lt;&gt;"",OR(NOT(ISNUMBER(P235)),N(P235)&lt;0))),"Coût invalide",IF(AND(M235&lt;&gt;"",ISNA(MATCH(M235,tech_name,0))),"Technicien inconnu",IF(AND(I235="Terminée",S235&gt;p_today),"Terminée à une date future",IF(AND(I235="Terminée",V235=0),"Durée d'intervention manquante",IF(AND(I235="Terminée",E235="Préventif",T235=0,OR(IFERROR(INDEX(pl_trig,MATCH(F235,pl_num,0))&amp;"","")="Compteur",IFERROR(INDEX(pl_trig,MATCH(F235,pl_num,0))&amp;"","")="Au premier des deux")),"Compteur manquant (plan au compteur)","OK"))))))))))))))))))</f>
        <v/>
      </c>
      <c r="S235" s="67">
        <f>IF(AND(ISNUMBER(B235),N(B235)&gt;0),INT(B235),0)</f>
        <v>0.0</v>
      </c>
      <c r="T235" s="67">
        <f>IF(AND(ISNUMBER(J235),N(J235)&gt;=0),N(J235),0)</f>
        <v>0.0</v>
      </c>
      <c r="U235" s="67">
        <f>IF(AND(ISNUMBER(K235),N(K235)&gt;0),N(K235),0)</f>
        <v>0.0</v>
      </c>
      <c r="V235" s="67">
        <f>IF(AND(ISNUMBER(L235),N(L235)&gt;0),N(L235),0)</f>
        <v>0.0</v>
      </c>
      <c r="W235" s="67">
        <f>IF(AND(I235="Terminée",S235&gt;0,C235&lt;&gt;"",ISNUMBER(MATCH(C235,eq_code,0))),1,0)</f>
        <v>0.0</v>
      </c>
      <c r="X235" s="67">
        <f>IF(AND(W235=1,E235="Préventif"),1,0)</f>
        <v>0.0</v>
      </c>
      <c r="Y235" s="67">
        <f>IF(AND(ISNUMBER(N235),N(N235)&gt;0),N(N235),0)</f>
        <v>0.0</v>
      </c>
      <c r="Z235" s="67">
        <f>IF(AND(ISNUMBER(P235),N(P235)&gt;0),N(P235),0)</f>
        <v>0.0</v>
      </c>
    </row>
    <row r="236">
      <c r="A236" s="79" t="str">
        <f>IF(COUNTA(B236:C236,E236:G236,I236)=0,"","BI-"&amp;RIGHT("0000"&amp;(ROW()-5),4))</f>
        <v/>
      </c>
      <c r="B236" s="72" t="n"/>
      <c r="C236" s="66" t="n"/>
      <c r="D236" s="67" t="str">
        <f>IF(C236="","",IFERROR(INDEX(eq_des,MATCH(C236,eq_code,0))&amp;"","Équipement inconnu"))</f>
        <v/>
      </c>
      <c r="E236" s="68" t="n"/>
      <c r="F236" s="68" t="n"/>
      <c r="G236" s="66" t="n"/>
      <c r="H236" s="66" t="n"/>
      <c r="I236" s="68" t="n"/>
      <c r="J236" s="73" t="n"/>
      <c r="K236" s="71" t="n"/>
      <c r="L236" s="71" t="n"/>
      <c r="M236" s="66" t="n"/>
      <c r="N236" s="80" t="n"/>
      <c r="O236" s="81" t="str">
        <f>IF(A236="","",ROUND(V236*IFERROR(N(INDEX(tech_rate,MATCH(M236,tech_name,0))),0),2))</f>
        <v/>
      </c>
      <c r="P236" s="80" t="n"/>
      <c r="Q236" s="81" t="str">
        <f>IF(A236="","",ROUND(Y236+O236+Z236,2))</f>
        <v/>
      </c>
      <c r="R236" s="79" t="str">
        <f>IF(A236="","",IF(S236=0,"Date manquante ou invalide",IF(C236="","Équipement manquant",IF(ISNA(MATCH(C236,eq_code,0)),"Équipement inconnu",IF(E236="","Type manquant",IF(AND(E236&lt;&gt;"Préventif",E236&lt;&gt;"Correctif",E236&lt;&gt;"Amélioratif"),"Type inconnu",IF(I236="","Statut manquant",IF(AND(I236&lt;&gt;"Terminée",I236&lt;&gt;"En cours",I236&lt;&gt;"À faire",I236&lt;&gt;"Annulée"),"Statut inconnu",IF(AND(E236="Préventif",F236=""),"Plan manquant (préventif)",IF(AND(F236&lt;&gt;"",ISNA(MATCH(F236,pl_num,0))),"Plan inconnu",IF(AND(F236&lt;&gt;"",IFERROR(INDEX(pl_eq,MATCH(F236,pl_num,0))&amp;"",C236)&lt;&gt;C236),"Plan d'un autre équipement",IF(AND(J236&lt;&gt;"",OR(NOT(ISNUMBER(J236)),N(J236)&lt;0)),"Compteur invalide",IF(OR(AND(K236&lt;&gt;"",OR(NOT(ISNUMBER(K236)),N(K236)&lt;0)),AND(L236&lt;&gt;"",OR(NOT(ISNUMBER(L236)),N(L236)&lt;0))),"Durée invalide",IF(OR(AND(N236&lt;&gt;"",OR(NOT(ISNUMBER(N236)),N(N236)&lt;0)),AND(P236&lt;&gt;"",OR(NOT(ISNUMBER(P236)),N(P236)&lt;0))),"Coût invalide",IF(AND(M236&lt;&gt;"",ISNA(MATCH(M236,tech_name,0))),"Technicien inconnu",IF(AND(I236="Terminée",S236&gt;p_today),"Terminée à une date future",IF(AND(I236="Terminée",V236=0),"Durée d'intervention manquante",IF(AND(I236="Terminée",E236="Préventif",T236=0,OR(IFERROR(INDEX(pl_trig,MATCH(F236,pl_num,0))&amp;"","")="Compteur",IFERROR(INDEX(pl_trig,MATCH(F236,pl_num,0))&amp;"","")="Au premier des deux")),"Compteur manquant (plan au compteur)","OK"))))))))))))))))))</f>
        <v/>
      </c>
      <c r="S236" s="67">
        <f>IF(AND(ISNUMBER(B236),N(B236)&gt;0),INT(B236),0)</f>
        <v>0.0</v>
      </c>
      <c r="T236" s="67">
        <f>IF(AND(ISNUMBER(J236),N(J236)&gt;=0),N(J236),0)</f>
        <v>0.0</v>
      </c>
      <c r="U236" s="67">
        <f>IF(AND(ISNUMBER(K236),N(K236)&gt;0),N(K236),0)</f>
        <v>0.0</v>
      </c>
      <c r="V236" s="67">
        <f>IF(AND(ISNUMBER(L236),N(L236)&gt;0),N(L236),0)</f>
        <v>0.0</v>
      </c>
      <c r="W236" s="67">
        <f>IF(AND(I236="Terminée",S236&gt;0,C236&lt;&gt;"",ISNUMBER(MATCH(C236,eq_code,0))),1,0)</f>
        <v>0.0</v>
      </c>
      <c r="X236" s="67">
        <f>IF(AND(W236=1,E236="Préventif"),1,0)</f>
        <v>0.0</v>
      </c>
      <c r="Y236" s="67">
        <f>IF(AND(ISNUMBER(N236),N(N236)&gt;0),N(N236),0)</f>
        <v>0.0</v>
      </c>
      <c r="Z236" s="67">
        <f>IF(AND(ISNUMBER(P236),N(P236)&gt;0),N(P236),0)</f>
        <v>0.0</v>
      </c>
    </row>
    <row r="237">
      <c r="A237" s="79" t="str">
        <f>IF(COUNTA(B237:C237,E237:G237,I237)=0,"","BI-"&amp;RIGHT("0000"&amp;(ROW()-5),4))</f>
        <v/>
      </c>
      <c r="B237" s="72" t="n"/>
      <c r="C237" s="66" t="n"/>
      <c r="D237" s="67" t="str">
        <f>IF(C237="","",IFERROR(INDEX(eq_des,MATCH(C237,eq_code,0))&amp;"","Équipement inconnu"))</f>
        <v/>
      </c>
      <c r="E237" s="68" t="n"/>
      <c r="F237" s="68" t="n"/>
      <c r="G237" s="66" t="n"/>
      <c r="H237" s="66" t="n"/>
      <c r="I237" s="68" t="n"/>
      <c r="J237" s="73" t="n"/>
      <c r="K237" s="71" t="n"/>
      <c r="L237" s="71" t="n"/>
      <c r="M237" s="66" t="n"/>
      <c r="N237" s="80" t="n"/>
      <c r="O237" s="81" t="str">
        <f>IF(A237="","",ROUND(V237*IFERROR(N(INDEX(tech_rate,MATCH(M237,tech_name,0))),0),2))</f>
        <v/>
      </c>
      <c r="P237" s="80" t="n"/>
      <c r="Q237" s="81" t="str">
        <f>IF(A237="","",ROUND(Y237+O237+Z237,2))</f>
        <v/>
      </c>
      <c r="R237" s="79" t="str">
        <f>IF(A237="","",IF(S237=0,"Date manquante ou invalide",IF(C237="","Équipement manquant",IF(ISNA(MATCH(C237,eq_code,0)),"Équipement inconnu",IF(E237="","Type manquant",IF(AND(E237&lt;&gt;"Préventif",E237&lt;&gt;"Correctif",E237&lt;&gt;"Amélioratif"),"Type inconnu",IF(I237="","Statut manquant",IF(AND(I237&lt;&gt;"Terminée",I237&lt;&gt;"En cours",I237&lt;&gt;"À faire",I237&lt;&gt;"Annulée"),"Statut inconnu",IF(AND(E237="Préventif",F237=""),"Plan manquant (préventif)",IF(AND(F237&lt;&gt;"",ISNA(MATCH(F237,pl_num,0))),"Plan inconnu",IF(AND(F237&lt;&gt;"",IFERROR(INDEX(pl_eq,MATCH(F237,pl_num,0))&amp;"",C237)&lt;&gt;C237),"Plan d'un autre équipement",IF(AND(J237&lt;&gt;"",OR(NOT(ISNUMBER(J237)),N(J237)&lt;0)),"Compteur invalide",IF(OR(AND(K237&lt;&gt;"",OR(NOT(ISNUMBER(K237)),N(K237)&lt;0)),AND(L237&lt;&gt;"",OR(NOT(ISNUMBER(L237)),N(L237)&lt;0))),"Durée invalide",IF(OR(AND(N237&lt;&gt;"",OR(NOT(ISNUMBER(N237)),N(N237)&lt;0)),AND(P237&lt;&gt;"",OR(NOT(ISNUMBER(P237)),N(P237)&lt;0))),"Coût invalide",IF(AND(M237&lt;&gt;"",ISNA(MATCH(M237,tech_name,0))),"Technicien inconnu",IF(AND(I237="Terminée",S237&gt;p_today),"Terminée à une date future",IF(AND(I237="Terminée",V237=0),"Durée d'intervention manquante",IF(AND(I237="Terminée",E237="Préventif",T237=0,OR(IFERROR(INDEX(pl_trig,MATCH(F237,pl_num,0))&amp;"","")="Compteur",IFERROR(INDEX(pl_trig,MATCH(F237,pl_num,0))&amp;"","")="Au premier des deux")),"Compteur manquant (plan au compteur)","OK"))))))))))))))))))</f>
        <v/>
      </c>
      <c r="S237" s="67">
        <f>IF(AND(ISNUMBER(B237),N(B237)&gt;0),INT(B237),0)</f>
        <v>0.0</v>
      </c>
      <c r="T237" s="67">
        <f>IF(AND(ISNUMBER(J237),N(J237)&gt;=0),N(J237),0)</f>
        <v>0.0</v>
      </c>
      <c r="U237" s="67">
        <f>IF(AND(ISNUMBER(K237),N(K237)&gt;0),N(K237),0)</f>
        <v>0.0</v>
      </c>
      <c r="V237" s="67">
        <f>IF(AND(ISNUMBER(L237),N(L237)&gt;0),N(L237),0)</f>
        <v>0.0</v>
      </c>
      <c r="W237" s="67">
        <f>IF(AND(I237="Terminée",S237&gt;0,C237&lt;&gt;"",ISNUMBER(MATCH(C237,eq_code,0))),1,0)</f>
        <v>0.0</v>
      </c>
      <c r="X237" s="67">
        <f>IF(AND(W237=1,E237="Préventif"),1,0)</f>
        <v>0.0</v>
      </c>
      <c r="Y237" s="67">
        <f>IF(AND(ISNUMBER(N237),N(N237)&gt;0),N(N237),0)</f>
        <v>0.0</v>
      </c>
      <c r="Z237" s="67">
        <f>IF(AND(ISNUMBER(P237),N(P237)&gt;0),N(P237),0)</f>
        <v>0.0</v>
      </c>
    </row>
    <row r="238">
      <c r="A238" s="79" t="str">
        <f>IF(COUNTA(B238:C238,E238:G238,I238)=0,"","BI-"&amp;RIGHT("0000"&amp;(ROW()-5),4))</f>
        <v/>
      </c>
      <c r="B238" s="72" t="n"/>
      <c r="C238" s="66" t="n"/>
      <c r="D238" s="67" t="str">
        <f>IF(C238="","",IFERROR(INDEX(eq_des,MATCH(C238,eq_code,0))&amp;"","Équipement inconnu"))</f>
        <v/>
      </c>
      <c r="E238" s="68" t="n"/>
      <c r="F238" s="68" t="n"/>
      <c r="G238" s="66" t="n"/>
      <c r="H238" s="66" t="n"/>
      <c r="I238" s="68" t="n"/>
      <c r="J238" s="73" t="n"/>
      <c r="K238" s="71" t="n"/>
      <c r="L238" s="71" t="n"/>
      <c r="M238" s="66" t="n"/>
      <c r="N238" s="80" t="n"/>
      <c r="O238" s="81" t="str">
        <f>IF(A238="","",ROUND(V238*IFERROR(N(INDEX(tech_rate,MATCH(M238,tech_name,0))),0),2))</f>
        <v/>
      </c>
      <c r="P238" s="80" t="n"/>
      <c r="Q238" s="81" t="str">
        <f>IF(A238="","",ROUND(Y238+O238+Z238,2))</f>
        <v/>
      </c>
      <c r="R238" s="79" t="str">
        <f>IF(A238="","",IF(S238=0,"Date manquante ou invalide",IF(C238="","Équipement manquant",IF(ISNA(MATCH(C238,eq_code,0)),"Équipement inconnu",IF(E238="","Type manquant",IF(AND(E238&lt;&gt;"Préventif",E238&lt;&gt;"Correctif",E238&lt;&gt;"Amélioratif"),"Type inconnu",IF(I238="","Statut manquant",IF(AND(I238&lt;&gt;"Terminée",I238&lt;&gt;"En cours",I238&lt;&gt;"À faire",I238&lt;&gt;"Annulée"),"Statut inconnu",IF(AND(E238="Préventif",F238=""),"Plan manquant (préventif)",IF(AND(F238&lt;&gt;"",ISNA(MATCH(F238,pl_num,0))),"Plan inconnu",IF(AND(F238&lt;&gt;"",IFERROR(INDEX(pl_eq,MATCH(F238,pl_num,0))&amp;"",C238)&lt;&gt;C238),"Plan d'un autre équipement",IF(AND(J238&lt;&gt;"",OR(NOT(ISNUMBER(J238)),N(J238)&lt;0)),"Compteur invalide",IF(OR(AND(K238&lt;&gt;"",OR(NOT(ISNUMBER(K238)),N(K238)&lt;0)),AND(L238&lt;&gt;"",OR(NOT(ISNUMBER(L238)),N(L238)&lt;0))),"Durée invalide",IF(OR(AND(N238&lt;&gt;"",OR(NOT(ISNUMBER(N238)),N(N238)&lt;0)),AND(P238&lt;&gt;"",OR(NOT(ISNUMBER(P238)),N(P238)&lt;0))),"Coût invalide",IF(AND(M238&lt;&gt;"",ISNA(MATCH(M238,tech_name,0))),"Technicien inconnu",IF(AND(I238="Terminée",S238&gt;p_today),"Terminée à une date future",IF(AND(I238="Terminée",V238=0),"Durée d'intervention manquante",IF(AND(I238="Terminée",E238="Préventif",T238=0,OR(IFERROR(INDEX(pl_trig,MATCH(F238,pl_num,0))&amp;"","")="Compteur",IFERROR(INDEX(pl_trig,MATCH(F238,pl_num,0))&amp;"","")="Au premier des deux")),"Compteur manquant (plan au compteur)","OK"))))))))))))))))))</f>
        <v/>
      </c>
      <c r="S238" s="67">
        <f>IF(AND(ISNUMBER(B238),N(B238)&gt;0),INT(B238),0)</f>
        <v>0.0</v>
      </c>
      <c r="T238" s="67">
        <f>IF(AND(ISNUMBER(J238),N(J238)&gt;=0),N(J238),0)</f>
        <v>0.0</v>
      </c>
      <c r="U238" s="67">
        <f>IF(AND(ISNUMBER(K238),N(K238)&gt;0),N(K238),0)</f>
        <v>0.0</v>
      </c>
      <c r="V238" s="67">
        <f>IF(AND(ISNUMBER(L238),N(L238)&gt;0),N(L238),0)</f>
        <v>0.0</v>
      </c>
      <c r="W238" s="67">
        <f>IF(AND(I238="Terminée",S238&gt;0,C238&lt;&gt;"",ISNUMBER(MATCH(C238,eq_code,0))),1,0)</f>
        <v>0.0</v>
      </c>
      <c r="X238" s="67">
        <f>IF(AND(W238=1,E238="Préventif"),1,0)</f>
        <v>0.0</v>
      </c>
      <c r="Y238" s="67">
        <f>IF(AND(ISNUMBER(N238),N(N238)&gt;0),N(N238),0)</f>
        <v>0.0</v>
      </c>
      <c r="Z238" s="67">
        <f>IF(AND(ISNUMBER(P238),N(P238)&gt;0),N(P238),0)</f>
        <v>0.0</v>
      </c>
    </row>
    <row r="239">
      <c r="A239" s="79" t="str">
        <f>IF(COUNTA(B239:C239,E239:G239,I239)=0,"","BI-"&amp;RIGHT("0000"&amp;(ROW()-5),4))</f>
        <v/>
      </c>
      <c r="B239" s="72" t="n"/>
      <c r="C239" s="66" t="n"/>
      <c r="D239" s="67" t="str">
        <f>IF(C239="","",IFERROR(INDEX(eq_des,MATCH(C239,eq_code,0))&amp;"","Équipement inconnu"))</f>
        <v/>
      </c>
      <c r="E239" s="68" t="n"/>
      <c r="F239" s="68" t="n"/>
      <c r="G239" s="66" t="n"/>
      <c r="H239" s="66" t="n"/>
      <c r="I239" s="68" t="n"/>
      <c r="J239" s="73" t="n"/>
      <c r="K239" s="71" t="n"/>
      <c r="L239" s="71" t="n"/>
      <c r="M239" s="66" t="n"/>
      <c r="N239" s="80" t="n"/>
      <c r="O239" s="81" t="str">
        <f>IF(A239="","",ROUND(V239*IFERROR(N(INDEX(tech_rate,MATCH(M239,tech_name,0))),0),2))</f>
        <v/>
      </c>
      <c r="P239" s="80" t="n"/>
      <c r="Q239" s="81" t="str">
        <f>IF(A239="","",ROUND(Y239+O239+Z239,2))</f>
        <v/>
      </c>
      <c r="R239" s="79" t="str">
        <f>IF(A239="","",IF(S239=0,"Date manquante ou invalide",IF(C239="","Équipement manquant",IF(ISNA(MATCH(C239,eq_code,0)),"Équipement inconnu",IF(E239="","Type manquant",IF(AND(E239&lt;&gt;"Préventif",E239&lt;&gt;"Correctif",E239&lt;&gt;"Amélioratif"),"Type inconnu",IF(I239="","Statut manquant",IF(AND(I239&lt;&gt;"Terminée",I239&lt;&gt;"En cours",I239&lt;&gt;"À faire",I239&lt;&gt;"Annulée"),"Statut inconnu",IF(AND(E239="Préventif",F239=""),"Plan manquant (préventif)",IF(AND(F239&lt;&gt;"",ISNA(MATCH(F239,pl_num,0))),"Plan inconnu",IF(AND(F239&lt;&gt;"",IFERROR(INDEX(pl_eq,MATCH(F239,pl_num,0))&amp;"",C239)&lt;&gt;C239),"Plan d'un autre équipement",IF(AND(J239&lt;&gt;"",OR(NOT(ISNUMBER(J239)),N(J239)&lt;0)),"Compteur invalide",IF(OR(AND(K239&lt;&gt;"",OR(NOT(ISNUMBER(K239)),N(K239)&lt;0)),AND(L239&lt;&gt;"",OR(NOT(ISNUMBER(L239)),N(L239)&lt;0))),"Durée invalide",IF(OR(AND(N239&lt;&gt;"",OR(NOT(ISNUMBER(N239)),N(N239)&lt;0)),AND(P239&lt;&gt;"",OR(NOT(ISNUMBER(P239)),N(P239)&lt;0))),"Coût invalide",IF(AND(M239&lt;&gt;"",ISNA(MATCH(M239,tech_name,0))),"Technicien inconnu",IF(AND(I239="Terminée",S239&gt;p_today),"Terminée à une date future",IF(AND(I239="Terminée",V239=0),"Durée d'intervention manquante",IF(AND(I239="Terminée",E239="Préventif",T239=0,OR(IFERROR(INDEX(pl_trig,MATCH(F239,pl_num,0))&amp;"","")="Compteur",IFERROR(INDEX(pl_trig,MATCH(F239,pl_num,0))&amp;"","")="Au premier des deux")),"Compteur manquant (plan au compteur)","OK"))))))))))))))))))</f>
        <v/>
      </c>
      <c r="S239" s="67">
        <f>IF(AND(ISNUMBER(B239),N(B239)&gt;0),INT(B239),0)</f>
        <v>0.0</v>
      </c>
      <c r="T239" s="67">
        <f>IF(AND(ISNUMBER(J239),N(J239)&gt;=0),N(J239),0)</f>
        <v>0.0</v>
      </c>
      <c r="U239" s="67">
        <f>IF(AND(ISNUMBER(K239),N(K239)&gt;0),N(K239),0)</f>
        <v>0.0</v>
      </c>
      <c r="V239" s="67">
        <f>IF(AND(ISNUMBER(L239),N(L239)&gt;0),N(L239),0)</f>
        <v>0.0</v>
      </c>
      <c r="W239" s="67">
        <f>IF(AND(I239="Terminée",S239&gt;0,C239&lt;&gt;"",ISNUMBER(MATCH(C239,eq_code,0))),1,0)</f>
        <v>0.0</v>
      </c>
      <c r="X239" s="67">
        <f>IF(AND(W239=1,E239="Préventif"),1,0)</f>
        <v>0.0</v>
      </c>
      <c r="Y239" s="67">
        <f>IF(AND(ISNUMBER(N239),N(N239)&gt;0),N(N239),0)</f>
        <v>0.0</v>
      </c>
      <c r="Z239" s="67">
        <f>IF(AND(ISNUMBER(P239),N(P239)&gt;0),N(P239),0)</f>
        <v>0.0</v>
      </c>
    </row>
    <row r="240">
      <c r="A240" s="79" t="str">
        <f>IF(COUNTA(B240:C240,E240:G240,I240)=0,"","BI-"&amp;RIGHT("0000"&amp;(ROW()-5),4))</f>
        <v/>
      </c>
      <c r="B240" s="72" t="n"/>
      <c r="C240" s="66" t="n"/>
      <c r="D240" s="67" t="str">
        <f>IF(C240="","",IFERROR(INDEX(eq_des,MATCH(C240,eq_code,0))&amp;"","Équipement inconnu"))</f>
        <v/>
      </c>
      <c r="E240" s="68" t="n"/>
      <c r="F240" s="68" t="n"/>
      <c r="G240" s="66" t="n"/>
      <c r="H240" s="66" t="n"/>
      <c r="I240" s="68" t="n"/>
      <c r="J240" s="73" t="n"/>
      <c r="K240" s="71" t="n"/>
      <c r="L240" s="71" t="n"/>
      <c r="M240" s="66" t="n"/>
      <c r="N240" s="80" t="n"/>
      <c r="O240" s="81" t="str">
        <f>IF(A240="","",ROUND(V240*IFERROR(N(INDEX(tech_rate,MATCH(M240,tech_name,0))),0),2))</f>
        <v/>
      </c>
      <c r="P240" s="80" t="n"/>
      <c r="Q240" s="81" t="str">
        <f>IF(A240="","",ROUND(Y240+O240+Z240,2))</f>
        <v/>
      </c>
      <c r="R240" s="79" t="str">
        <f>IF(A240="","",IF(S240=0,"Date manquante ou invalide",IF(C240="","Équipement manquant",IF(ISNA(MATCH(C240,eq_code,0)),"Équipement inconnu",IF(E240="","Type manquant",IF(AND(E240&lt;&gt;"Préventif",E240&lt;&gt;"Correctif",E240&lt;&gt;"Amélioratif"),"Type inconnu",IF(I240="","Statut manquant",IF(AND(I240&lt;&gt;"Terminée",I240&lt;&gt;"En cours",I240&lt;&gt;"À faire",I240&lt;&gt;"Annulée"),"Statut inconnu",IF(AND(E240="Préventif",F240=""),"Plan manquant (préventif)",IF(AND(F240&lt;&gt;"",ISNA(MATCH(F240,pl_num,0))),"Plan inconnu",IF(AND(F240&lt;&gt;"",IFERROR(INDEX(pl_eq,MATCH(F240,pl_num,0))&amp;"",C240)&lt;&gt;C240),"Plan d'un autre équipement",IF(AND(J240&lt;&gt;"",OR(NOT(ISNUMBER(J240)),N(J240)&lt;0)),"Compteur invalide",IF(OR(AND(K240&lt;&gt;"",OR(NOT(ISNUMBER(K240)),N(K240)&lt;0)),AND(L240&lt;&gt;"",OR(NOT(ISNUMBER(L240)),N(L240)&lt;0))),"Durée invalide",IF(OR(AND(N240&lt;&gt;"",OR(NOT(ISNUMBER(N240)),N(N240)&lt;0)),AND(P240&lt;&gt;"",OR(NOT(ISNUMBER(P240)),N(P240)&lt;0))),"Coût invalide",IF(AND(M240&lt;&gt;"",ISNA(MATCH(M240,tech_name,0))),"Technicien inconnu",IF(AND(I240="Terminée",S240&gt;p_today),"Terminée à une date future",IF(AND(I240="Terminée",V240=0),"Durée d'intervention manquante",IF(AND(I240="Terminée",E240="Préventif",T240=0,OR(IFERROR(INDEX(pl_trig,MATCH(F240,pl_num,0))&amp;"","")="Compteur",IFERROR(INDEX(pl_trig,MATCH(F240,pl_num,0))&amp;"","")="Au premier des deux")),"Compteur manquant (plan au compteur)","OK"))))))))))))))))))</f>
        <v/>
      </c>
      <c r="S240" s="67">
        <f>IF(AND(ISNUMBER(B240),N(B240)&gt;0),INT(B240),0)</f>
        <v>0.0</v>
      </c>
      <c r="T240" s="67">
        <f>IF(AND(ISNUMBER(J240),N(J240)&gt;=0),N(J240),0)</f>
        <v>0.0</v>
      </c>
      <c r="U240" s="67">
        <f>IF(AND(ISNUMBER(K240),N(K240)&gt;0),N(K240),0)</f>
        <v>0.0</v>
      </c>
      <c r="V240" s="67">
        <f>IF(AND(ISNUMBER(L240),N(L240)&gt;0),N(L240),0)</f>
        <v>0.0</v>
      </c>
      <c r="W240" s="67">
        <f>IF(AND(I240="Terminée",S240&gt;0,C240&lt;&gt;"",ISNUMBER(MATCH(C240,eq_code,0))),1,0)</f>
        <v>0.0</v>
      </c>
      <c r="X240" s="67">
        <f>IF(AND(W240=1,E240="Préventif"),1,0)</f>
        <v>0.0</v>
      </c>
      <c r="Y240" s="67">
        <f>IF(AND(ISNUMBER(N240),N(N240)&gt;0),N(N240),0)</f>
        <v>0.0</v>
      </c>
      <c r="Z240" s="67">
        <f>IF(AND(ISNUMBER(P240),N(P240)&gt;0),N(P240),0)</f>
        <v>0.0</v>
      </c>
    </row>
    <row r="241">
      <c r="A241" s="79" t="str">
        <f>IF(COUNTA(B241:C241,E241:G241,I241)=0,"","BI-"&amp;RIGHT("0000"&amp;(ROW()-5),4))</f>
        <v/>
      </c>
      <c r="B241" s="72" t="n"/>
      <c r="C241" s="66" t="n"/>
      <c r="D241" s="67" t="str">
        <f>IF(C241="","",IFERROR(INDEX(eq_des,MATCH(C241,eq_code,0))&amp;"","Équipement inconnu"))</f>
        <v/>
      </c>
      <c r="E241" s="68" t="n"/>
      <c r="F241" s="68" t="n"/>
      <c r="G241" s="66" t="n"/>
      <c r="H241" s="66" t="n"/>
      <c r="I241" s="68" t="n"/>
      <c r="J241" s="73" t="n"/>
      <c r="K241" s="71" t="n"/>
      <c r="L241" s="71" t="n"/>
      <c r="M241" s="66" t="n"/>
      <c r="N241" s="80" t="n"/>
      <c r="O241" s="81" t="str">
        <f>IF(A241="","",ROUND(V241*IFERROR(N(INDEX(tech_rate,MATCH(M241,tech_name,0))),0),2))</f>
        <v/>
      </c>
      <c r="P241" s="80" t="n"/>
      <c r="Q241" s="81" t="str">
        <f>IF(A241="","",ROUND(Y241+O241+Z241,2))</f>
        <v/>
      </c>
      <c r="R241" s="79" t="str">
        <f>IF(A241="","",IF(S241=0,"Date manquante ou invalide",IF(C241="","Équipement manquant",IF(ISNA(MATCH(C241,eq_code,0)),"Équipement inconnu",IF(E241="","Type manquant",IF(AND(E241&lt;&gt;"Préventif",E241&lt;&gt;"Correctif",E241&lt;&gt;"Amélioratif"),"Type inconnu",IF(I241="","Statut manquant",IF(AND(I241&lt;&gt;"Terminée",I241&lt;&gt;"En cours",I241&lt;&gt;"À faire",I241&lt;&gt;"Annulée"),"Statut inconnu",IF(AND(E241="Préventif",F241=""),"Plan manquant (préventif)",IF(AND(F241&lt;&gt;"",ISNA(MATCH(F241,pl_num,0))),"Plan inconnu",IF(AND(F241&lt;&gt;"",IFERROR(INDEX(pl_eq,MATCH(F241,pl_num,0))&amp;"",C241)&lt;&gt;C241),"Plan d'un autre équipement",IF(AND(J241&lt;&gt;"",OR(NOT(ISNUMBER(J241)),N(J241)&lt;0)),"Compteur invalide",IF(OR(AND(K241&lt;&gt;"",OR(NOT(ISNUMBER(K241)),N(K241)&lt;0)),AND(L241&lt;&gt;"",OR(NOT(ISNUMBER(L241)),N(L241)&lt;0))),"Durée invalide",IF(OR(AND(N241&lt;&gt;"",OR(NOT(ISNUMBER(N241)),N(N241)&lt;0)),AND(P241&lt;&gt;"",OR(NOT(ISNUMBER(P241)),N(P241)&lt;0))),"Coût invalide",IF(AND(M241&lt;&gt;"",ISNA(MATCH(M241,tech_name,0))),"Technicien inconnu",IF(AND(I241="Terminée",S241&gt;p_today),"Terminée à une date future",IF(AND(I241="Terminée",V241=0),"Durée d'intervention manquante",IF(AND(I241="Terminée",E241="Préventif",T241=0,OR(IFERROR(INDEX(pl_trig,MATCH(F241,pl_num,0))&amp;"","")="Compteur",IFERROR(INDEX(pl_trig,MATCH(F241,pl_num,0))&amp;"","")="Au premier des deux")),"Compteur manquant (plan au compteur)","OK"))))))))))))))))))</f>
        <v/>
      </c>
      <c r="S241" s="67">
        <f>IF(AND(ISNUMBER(B241),N(B241)&gt;0),INT(B241),0)</f>
        <v>0.0</v>
      </c>
      <c r="T241" s="67">
        <f>IF(AND(ISNUMBER(J241),N(J241)&gt;=0),N(J241),0)</f>
        <v>0.0</v>
      </c>
      <c r="U241" s="67">
        <f>IF(AND(ISNUMBER(K241),N(K241)&gt;0),N(K241),0)</f>
        <v>0.0</v>
      </c>
      <c r="V241" s="67">
        <f>IF(AND(ISNUMBER(L241),N(L241)&gt;0),N(L241),0)</f>
        <v>0.0</v>
      </c>
      <c r="W241" s="67">
        <f>IF(AND(I241="Terminée",S241&gt;0,C241&lt;&gt;"",ISNUMBER(MATCH(C241,eq_code,0))),1,0)</f>
        <v>0.0</v>
      </c>
      <c r="X241" s="67">
        <f>IF(AND(W241=1,E241="Préventif"),1,0)</f>
        <v>0.0</v>
      </c>
      <c r="Y241" s="67">
        <f>IF(AND(ISNUMBER(N241),N(N241)&gt;0),N(N241),0)</f>
        <v>0.0</v>
      </c>
      <c r="Z241" s="67">
        <f>IF(AND(ISNUMBER(P241),N(P241)&gt;0),N(P241),0)</f>
        <v>0.0</v>
      </c>
    </row>
    <row r="242">
      <c r="A242" s="79" t="str">
        <f>IF(COUNTA(B242:C242,E242:G242,I242)=0,"","BI-"&amp;RIGHT("0000"&amp;(ROW()-5),4))</f>
        <v/>
      </c>
      <c r="B242" s="72" t="n"/>
      <c r="C242" s="66" t="n"/>
      <c r="D242" s="67" t="str">
        <f>IF(C242="","",IFERROR(INDEX(eq_des,MATCH(C242,eq_code,0))&amp;"","Équipement inconnu"))</f>
        <v/>
      </c>
      <c r="E242" s="68" t="n"/>
      <c r="F242" s="68" t="n"/>
      <c r="G242" s="66" t="n"/>
      <c r="H242" s="66" t="n"/>
      <c r="I242" s="68" t="n"/>
      <c r="J242" s="73" t="n"/>
      <c r="K242" s="71" t="n"/>
      <c r="L242" s="71" t="n"/>
      <c r="M242" s="66" t="n"/>
      <c r="N242" s="80" t="n"/>
      <c r="O242" s="81" t="str">
        <f>IF(A242="","",ROUND(V242*IFERROR(N(INDEX(tech_rate,MATCH(M242,tech_name,0))),0),2))</f>
        <v/>
      </c>
      <c r="P242" s="80" t="n"/>
      <c r="Q242" s="81" t="str">
        <f>IF(A242="","",ROUND(Y242+O242+Z242,2))</f>
        <v/>
      </c>
      <c r="R242" s="79" t="str">
        <f>IF(A242="","",IF(S242=0,"Date manquante ou invalide",IF(C242="","Équipement manquant",IF(ISNA(MATCH(C242,eq_code,0)),"Équipement inconnu",IF(E242="","Type manquant",IF(AND(E242&lt;&gt;"Préventif",E242&lt;&gt;"Correctif",E242&lt;&gt;"Amélioratif"),"Type inconnu",IF(I242="","Statut manquant",IF(AND(I242&lt;&gt;"Terminée",I242&lt;&gt;"En cours",I242&lt;&gt;"À faire",I242&lt;&gt;"Annulée"),"Statut inconnu",IF(AND(E242="Préventif",F242=""),"Plan manquant (préventif)",IF(AND(F242&lt;&gt;"",ISNA(MATCH(F242,pl_num,0))),"Plan inconnu",IF(AND(F242&lt;&gt;"",IFERROR(INDEX(pl_eq,MATCH(F242,pl_num,0))&amp;"",C242)&lt;&gt;C242),"Plan d'un autre équipement",IF(AND(J242&lt;&gt;"",OR(NOT(ISNUMBER(J242)),N(J242)&lt;0)),"Compteur invalide",IF(OR(AND(K242&lt;&gt;"",OR(NOT(ISNUMBER(K242)),N(K242)&lt;0)),AND(L242&lt;&gt;"",OR(NOT(ISNUMBER(L242)),N(L242)&lt;0))),"Durée invalide",IF(OR(AND(N242&lt;&gt;"",OR(NOT(ISNUMBER(N242)),N(N242)&lt;0)),AND(P242&lt;&gt;"",OR(NOT(ISNUMBER(P242)),N(P242)&lt;0))),"Coût invalide",IF(AND(M242&lt;&gt;"",ISNA(MATCH(M242,tech_name,0))),"Technicien inconnu",IF(AND(I242="Terminée",S242&gt;p_today),"Terminée à une date future",IF(AND(I242="Terminée",V242=0),"Durée d'intervention manquante",IF(AND(I242="Terminée",E242="Préventif",T242=0,OR(IFERROR(INDEX(pl_trig,MATCH(F242,pl_num,0))&amp;"","")="Compteur",IFERROR(INDEX(pl_trig,MATCH(F242,pl_num,0))&amp;"","")="Au premier des deux")),"Compteur manquant (plan au compteur)","OK"))))))))))))))))))</f>
        <v/>
      </c>
      <c r="S242" s="67">
        <f>IF(AND(ISNUMBER(B242),N(B242)&gt;0),INT(B242),0)</f>
        <v>0.0</v>
      </c>
      <c r="T242" s="67">
        <f>IF(AND(ISNUMBER(J242),N(J242)&gt;=0),N(J242),0)</f>
        <v>0.0</v>
      </c>
      <c r="U242" s="67">
        <f>IF(AND(ISNUMBER(K242),N(K242)&gt;0),N(K242),0)</f>
        <v>0.0</v>
      </c>
      <c r="V242" s="67">
        <f>IF(AND(ISNUMBER(L242),N(L242)&gt;0),N(L242),0)</f>
        <v>0.0</v>
      </c>
      <c r="W242" s="67">
        <f>IF(AND(I242="Terminée",S242&gt;0,C242&lt;&gt;"",ISNUMBER(MATCH(C242,eq_code,0))),1,0)</f>
        <v>0.0</v>
      </c>
      <c r="X242" s="67">
        <f>IF(AND(W242=1,E242="Préventif"),1,0)</f>
        <v>0.0</v>
      </c>
      <c r="Y242" s="67">
        <f>IF(AND(ISNUMBER(N242),N(N242)&gt;0),N(N242),0)</f>
        <v>0.0</v>
      </c>
      <c r="Z242" s="67">
        <f>IF(AND(ISNUMBER(P242),N(P242)&gt;0),N(P242),0)</f>
        <v>0.0</v>
      </c>
    </row>
    <row r="243">
      <c r="A243" s="79" t="str">
        <f>IF(COUNTA(B243:C243,E243:G243,I243)=0,"","BI-"&amp;RIGHT("0000"&amp;(ROW()-5),4))</f>
        <v/>
      </c>
      <c r="B243" s="72" t="n"/>
      <c r="C243" s="66" t="n"/>
      <c r="D243" s="67" t="str">
        <f>IF(C243="","",IFERROR(INDEX(eq_des,MATCH(C243,eq_code,0))&amp;"","Équipement inconnu"))</f>
        <v/>
      </c>
      <c r="E243" s="68" t="n"/>
      <c r="F243" s="68" t="n"/>
      <c r="G243" s="66" t="n"/>
      <c r="H243" s="66" t="n"/>
      <c r="I243" s="68" t="n"/>
      <c r="J243" s="73" t="n"/>
      <c r="K243" s="71" t="n"/>
      <c r="L243" s="71" t="n"/>
      <c r="M243" s="66" t="n"/>
      <c r="N243" s="80" t="n"/>
      <c r="O243" s="81" t="str">
        <f>IF(A243="","",ROUND(V243*IFERROR(N(INDEX(tech_rate,MATCH(M243,tech_name,0))),0),2))</f>
        <v/>
      </c>
      <c r="P243" s="80" t="n"/>
      <c r="Q243" s="81" t="str">
        <f>IF(A243="","",ROUND(Y243+O243+Z243,2))</f>
        <v/>
      </c>
      <c r="R243" s="79" t="str">
        <f>IF(A243="","",IF(S243=0,"Date manquante ou invalide",IF(C243="","Équipement manquant",IF(ISNA(MATCH(C243,eq_code,0)),"Équipement inconnu",IF(E243="","Type manquant",IF(AND(E243&lt;&gt;"Préventif",E243&lt;&gt;"Correctif",E243&lt;&gt;"Amélioratif"),"Type inconnu",IF(I243="","Statut manquant",IF(AND(I243&lt;&gt;"Terminée",I243&lt;&gt;"En cours",I243&lt;&gt;"À faire",I243&lt;&gt;"Annulée"),"Statut inconnu",IF(AND(E243="Préventif",F243=""),"Plan manquant (préventif)",IF(AND(F243&lt;&gt;"",ISNA(MATCH(F243,pl_num,0))),"Plan inconnu",IF(AND(F243&lt;&gt;"",IFERROR(INDEX(pl_eq,MATCH(F243,pl_num,0))&amp;"",C243)&lt;&gt;C243),"Plan d'un autre équipement",IF(AND(J243&lt;&gt;"",OR(NOT(ISNUMBER(J243)),N(J243)&lt;0)),"Compteur invalide",IF(OR(AND(K243&lt;&gt;"",OR(NOT(ISNUMBER(K243)),N(K243)&lt;0)),AND(L243&lt;&gt;"",OR(NOT(ISNUMBER(L243)),N(L243)&lt;0))),"Durée invalide",IF(OR(AND(N243&lt;&gt;"",OR(NOT(ISNUMBER(N243)),N(N243)&lt;0)),AND(P243&lt;&gt;"",OR(NOT(ISNUMBER(P243)),N(P243)&lt;0))),"Coût invalide",IF(AND(M243&lt;&gt;"",ISNA(MATCH(M243,tech_name,0))),"Technicien inconnu",IF(AND(I243="Terminée",S243&gt;p_today),"Terminée à une date future",IF(AND(I243="Terminée",V243=0),"Durée d'intervention manquante",IF(AND(I243="Terminée",E243="Préventif",T243=0,OR(IFERROR(INDEX(pl_trig,MATCH(F243,pl_num,0))&amp;"","")="Compteur",IFERROR(INDEX(pl_trig,MATCH(F243,pl_num,0))&amp;"","")="Au premier des deux")),"Compteur manquant (plan au compteur)","OK"))))))))))))))))))</f>
        <v/>
      </c>
      <c r="S243" s="67">
        <f>IF(AND(ISNUMBER(B243),N(B243)&gt;0),INT(B243),0)</f>
        <v>0.0</v>
      </c>
      <c r="T243" s="67">
        <f>IF(AND(ISNUMBER(J243),N(J243)&gt;=0),N(J243),0)</f>
        <v>0.0</v>
      </c>
      <c r="U243" s="67">
        <f>IF(AND(ISNUMBER(K243),N(K243)&gt;0),N(K243),0)</f>
        <v>0.0</v>
      </c>
      <c r="V243" s="67">
        <f>IF(AND(ISNUMBER(L243),N(L243)&gt;0),N(L243),0)</f>
        <v>0.0</v>
      </c>
      <c r="W243" s="67">
        <f>IF(AND(I243="Terminée",S243&gt;0,C243&lt;&gt;"",ISNUMBER(MATCH(C243,eq_code,0))),1,0)</f>
        <v>0.0</v>
      </c>
      <c r="X243" s="67">
        <f>IF(AND(W243=1,E243="Préventif"),1,0)</f>
        <v>0.0</v>
      </c>
      <c r="Y243" s="67">
        <f>IF(AND(ISNUMBER(N243),N(N243)&gt;0),N(N243),0)</f>
        <v>0.0</v>
      </c>
      <c r="Z243" s="67">
        <f>IF(AND(ISNUMBER(P243),N(P243)&gt;0),N(P243),0)</f>
        <v>0.0</v>
      </c>
    </row>
    <row r="244">
      <c r="A244" s="79" t="str">
        <f>IF(COUNTA(B244:C244,E244:G244,I244)=0,"","BI-"&amp;RIGHT("0000"&amp;(ROW()-5),4))</f>
        <v/>
      </c>
      <c r="B244" s="72" t="n"/>
      <c r="C244" s="66" t="n"/>
      <c r="D244" s="67" t="str">
        <f>IF(C244="","",IFERROR(INDEX(eq_des,MATCH(C244,eq_code,0))&amp;"","Équipement inconnu"))</f>
        <v/>
      </c>
      <c r="E244" s="68" t="n"/>
      <c r="F244" s="68" t="n"/>
      <c r="G244" s="66" t="n"/>
      <c r="H244" s="66" t="n"/>
      <c r="I244" s="68" t="n"/>
      <c r="J244" s="73" t="n"/>
      <c r="K244" s="71" t="n"/>
      <c r="L244" s="71" t="n"/>
      <c r="M244" s="66" t="n"/>
      <c r="N244" s="80" t="n"/>
      <c r="O244" s="81" t="str">
        <f>IF(A244="","",ROUND(V244*IFERROR(N(INDEX(tech_rate,MATCH(M244,tech_name,0))),0),2))</f>
        <v/>
      </c>
      <c r="P244" s="80" t="n"/>
      <c r="Q244" s="81" t="str">
        <f>IF(A244="","",ROUND(Y244+O244+Z244,2))</f>
        <v/>
      </c>
      <c r="R244" s="79" t="str">
        <f>IF(A244="","",IF(S244=0,"Date manquante ou invalide",IF(C244="","Équipement manquant",IF(ISNA(MATCH(C244,eq_code,0)),"Équipement inconnu",IF(E244="","Type manquant",IF(AND(E244&lt;&gt;"Préventif",E244&lt;&gt;"Correctif",E244&lt;&gt;"Amélioratif"),"Type inconnu",IF(I244="","Statut manquant",IF(AND(I244&lt;&gt;"Terminée",I244&lt;&gt;"En cours",I244&lt;&gt;"À faire",I244&lt;&gt;"Annulée"),"Statut inconnu",IF(AND(E244="Préventif",F244=""),"Plan manquant (préventif)",IF(AND(F244&lt;&gt;"",ISNA(MATCH(F244,pl_num,0))),"Plan inconnu",IF(AND(F244&lt;&gt;"",IFERROR(INDEX(pl_eq,MATCH(F244,pl_num,0))&amp;"",C244)&lt;&gt;C244),"Plan d'un autre équipement",IF(AND(J244&lt;&gt;"",OR(NOT(ISNUMBER(J244)),N(J244)&lt;0)),"Compteur invalide",IF(OR(AND(K244&lt;&gt;"",OR(NOT(ISNUMBER(K244)),N(K244)&lt;0)),AND(L244&lt;&gt;"",OR(NOT(ISNUMBER(L244)),N(L244)&lt;0))),"Durée invalide",IF(OR(AND(N244&lt;&gt;"",OR(NOT(ISNUMBER(N244)),N(N244)&lt;0)),AND(P244&lt;&gt;"",OR(NOT(ISNUMBER(P244)),N(P244)&lt;0))),"Coût invalide",IF(AND(M244&lt;&gt;"",ISNA(MATCH(M244,tech_name,0))),"Technicien inconnu",IF(AND(I244="Terminée",S244&gt;p_today),"Terminée à une date future",IF(AND(I244="Terminée",V244=0),"Durée d'intervention manquante",IF(AND(I244="Terminée",E244="Préventif",T244=0,OR(IFERROR(INDEX(pl_trig,MATCH(F244,pl_num,0))&amp;"","")="Compteur",IFERROR(INDEX(pl_trig,MATCH(F244,pl_num,0))&amp;"","")="Au premier des deux")),"Compteur manquant (plan au compteur)","OK"))))))))))))))))))</f>
        <v/>
      </c>
      <c r="S244" s="67">
        <f>IF(AND(ISNUMBER(B244),N(B244)&gt;0),INT(B244),0)</f>
        <v>0.0</v>
      </c>
      <c r="T244" s="67">
        <f>IF(AND(ISNUMBER(J244),N(J244)&gt;=0),N(J244),0)</f>
        <v>0.0</v>
      </c>
      <c r="U244" s="67">
        <f>IF(AND(ISNUMBER(K244),N(K244)&gt;0),N(K244),0)</f>
        <v>0.0</v>
      </c>
      <c r="V244" s="67">
        <f>IF(AND(ISNUMBER(L244),N(L244)&gt;0),N(L244),0)</f>
        <v>0.0</v>
      </c>
      <c r="W244" s="67">
        <f>IF(AND(I244="Terminée",S244&gt;0,C244&lt;&gt;"",ISNUMBER(MATCH(C244,eq_code,0))),1,0)</f>
        <v>0.0</v>
      </c>
      <c r="X244" s="67">
        <f>IF(AND(W244=1,E244="Préventif"),1,0)</f>
        <v>0.0</v>
      </c>
      <c r="Y244" s="67">
        <f>IF(AND(ISNUMBER(N244),N(N244)&gt;0),N(N244),0)</f>
        <v>0.0</v>
      </c>
      <c r="Z244" s="67">
        <f>IF(AND(ISNUMBER(P244),N(P244)&gt;0),N(P244),0)</f>
        <v>0.0</v>
      </c>
    </row>
    <row r="245">
      <c r="A245" s="79" t="str">
        <f>IF(COUNTA(B245:C245,E245:G245,I245)=0,"","BI-"&amp;RIGHT("0000"&amp;(ROW()-5),4))</f>
        <v/>
      </c>
      <c r="B245" s="72" t="n"/>
      <c r="C245" s="66" t="n"/>
      <c r="D245" s="67" t="str">
        <f>IF(C245="","",IFERROR(INDEX(eq_des,MATCH(C245,eq_code,0))&amp;"","Équipement inconnu"))</f>
        <v/>
      </c>
      <c r="E245" s="68" t="n"/>
      <c r="F245" s="68" t="n"/>
      <c r="G245" s="66" t="n"/>
      <c r="H245" s="66" t="n"/>
      <c r="I245" s="68" t="n"/>
      <c r="J245" s="73" t="n"/>
      <c r="K245" s="71" t="n"/>
      <c r="L245" s="71" t="n"/>
      <c r="M245" s="66" t="n"/>
      <c r="N245" s="80" t="n"/>
      <c r="O245" s="81" t="str">
        <f>IF(A245="","",ROUND(V245*IFERROR(N(INDEX(tech_rate,MATCH(M245,tech_name,0))),0),2))</f>
        <v/>
      </c>
      <c r="P245" s="80" t="n"/>
      <c r="Q245" s="81" t="str">
        <f>IF(A245="","",ROUND(Y245+O245+Z245,2))</f>
        <v/>
      </c>
      <c r="R245" s="79" t="str">
        <f>IF(A245="","",IF(S245=0,"Date manquante ou invalide",IF(C245="","Équipement manquant",IF(ISNA(MATCH(C245,eq_code,0)),"Équipement inconnu",IF(E245="","Type manquant",IF(AND(E245&lt;&gt;"Préventif",E245&lt;&gt;"Correctif",E245&lt;&gt;"Amélioratif"),"Type inconnu",IF(I245="","Statut manquant",IF(AND(I245&lt;&gt;"Terminée",I245&lt;&gt;"En cours",I245&lt;&gt;"À faire",I245&lt;&gt;"Annulée"),"Statut inconnu",IF(AND(E245="Préventif",F245=""),"Plan manquant (préventif)",IF(AND(F245&lt;&gt;"",ISNA(MATCH(F245,pl_num,0))),"Plan inconnu",IF(AND(F245&lt;&gt;"",IFERROR(INDEX(pl_eq,MATCH(F245,pl_num,0))&amp;"",C245)&lt;&gt;C245),"Plan d'un autre équipement",IF(AND(J245&lt;&gt;"",OR(NOT(ISNUMBER(J245)),N(J245)&lt;0)),"Compteur invalide",IF(OR(AND(K245&lt;&gt;"",OR(NOT(ISNUMBER(K245)),N(K245)&lt;0)),AND(L245&lt;&gt;"",OR(NOT(ISNUMBER(L245)),N(L245)&lt;0))),"Durée invalide",IF(OR(AND(N245&lt;&gt;"",OR(NOT(ISNUMBER(N245)),N(N245)&lt;0)),AND(P245&lt;&gt;"",OR(NOT(ISNUMBER(P245)),N(P245)&lt;0))),"Coût invalide",IF(AND(M245&lt;&gt;"",ISNA(MATCH(M245,tech_name,0))),"Technicien inconnu",IF(AND(I245="Terminée",S245&gt;p_today),"Terminée à une date future",IF(AND(I245="Terminée",V245=0),"Durée d'intervention manquante",IF(AND(I245="Terminée",E245="Préventif",T245=0,OR(IFERROR(INDEX(pl_trig,MATCH(F245,pl_num,0))&amp;"","")="Compteur",IFERROR(INDEX(pl_trig,MATCH(F245,pl_num,0))&amp;"","")="Au premier des deux")),"Compteur manquant (plan au compteur)","OK"))))))))))))))))))</f>
        <v/>
      </c>
      <c r="S245" s="67">
        <f>IF(AND(ISNUMBER(B245),N(B245)&gt;0),INT(B245),0)</f>
        <v>0.0</v>
      </c>
      <c r="T245" s="67">
        <f>IF(AND(ISNUMBER(J245),N(J245)&gt;=0),N(J245),0)</f>
        <v>0.0</v>
      </c>
      <c r="U245" s="67">
        <f>IF(AND(ISNUMBER(K245),N(K245)&gt;0),N(K245),0)</f>
        <v>0.0</v>
      </c>
      <c r="V245" s="67">
        <f>IF(AND(ISNUMBER(L245),N(L245)&gt;0),N(L245),0)</f>
        <v>0.0</v>
      </c>
      <c r="W245" s="67">
        <f>IF(AND(I245="Terminée",S245&gt;0,C245&lt;&gt;"",ISNUMBER(MATCH(C245,eq_code,0))),1,0)</f>
        <v>0.0</v>
      </c>
      <c r="X245" s="67">
        <f>IF(AND(W245=1,E245="Préventif"),1,0)</f>
        <v>0.0</v>
      </c>
      <c r="Y245" s="67">
        <f>IF(AND(ISNUMBER(N245),N(N245)&gt;0),N(N245),0)</f>
        <v>0.0</v>
      </c>
      <c r="Z245" s="67">
        <f>IF(AND(ISNUMBER(P245),N(P245)&gt;0),N(P245),0)</f>
        <v>0.0</v>
      </c>
    </row>
    <row r="246">
      <c r="A246" s="79" t="str">
        <f>IF(COUNTA(B246:C246,E246:G246,I246)=0,"","BI-"&amp;RIGHT("0000"&amp;(ROW()-5),4))</f>
        <v/>
      </c>
      <c r="B246" s="72" t="n"/>
      <c r="C246" s="66" t="n"/>
      <c r="D246" s="67" t="str">
        <f>IF(C246="","",IFERROR(INDEX(eq_des,MATCH(C246,eq_code,0))&amp;"","Équipement inconnu"))</f>
        <v/>
      </c>
      <c r="E246" s="68" t="n"/>
      <c r="F246" s="68" t="n"/>
      <c r="G246" s="66" t="n"/>
      <c r="H246" s="66" t="n"/>
      <c r="I246" s="68" t="n"/>
      <c r="J246" s="73" t="n"/>
      <c r="K246" s="71" t="n"/>
      <c r="L246" s="71" t="n"/>
      <c r="M246" s="66" t="n"/>
      <c r="N246" s="80" t="n"/>
      <c r="O246" s="81" t="str">
        <f>IF(A246="","",ROUND(V246*IFERROR(N(INDEX(tech_rate,MATCH(M246,tech_name,0))),0),2))</f>
        <v/>
      </c>
      <c r="P246" s="80" t="n"/>
      <c r="Q246" s="81" t="str">
        <f>IF(A246="","",ROUND(Y246+O246+Z246,2))</f>
        <v/>
      </c>
      <c r="R246" s="79" t="str">
        <f>IF(A246="","",IF(S246=0,"Date manquante ou invalide",IF(C246="","Équipement manquant",IF(ISNA(MATCH(C246,eq_code,0)),"Équipement inconnu",IF(E246="","Type manquant",IF(AND(E246&lt;&gt;"Préventif",E246&lt;&gt;"Correctif",E246&lt;&gt;"Amélioratif"),"Type inconnu",IF(I246="","Statut manquant",IF(AND(I246&lt;&gt;"Terminée",I246&lt;&gt;"En cours",I246&lt;&gt;"À faire",I246&lt;&gt;"Annulée"),"Statut inconnu",IF(AND(E246="Préventif",F246=""),"Plan manquant (préventif)",IF(AND(F246&lt;&gt;"",ISNA(MATCH(F246,pl_num,0))),"Plan inconnu",IF(AND(F246&lt;&gt;"",IFERROR(INDEX(pl_eq,MATCH(F246,pl_num,0))&amp;"",C246)&lt;&gt;C246),"Plan d'un autre équipement",IF(AND(J246&lt;&gt;"",OR(NOT(ISNUMBER(J246)),N(J246)&lt;0)),"Compteur invalide",IF(OR(AND(K246&lt;&gt;"",OR(NOT(ISNUMBER(K246)),N(K246)&lt;0)),AND(L246&lt;&gt;"",OR(NOT(ISNUMBER(L246)),N(L246)&lt;0))),"Durée invalide",IF(OR(AND(N246&lt;&gt;"",OR(NOT(ISNUMBER(N246)),N(N246)&lt;0)),AND(P246&lt;&gt;"",OR(NOT(ISNUMBER(P246)),N(P246)&lt;0))),"Coût invalide",IF(AND(M246&lt;&gt;"",ISNA(MATCH(M246,tech_name,0))),"Technicien inconnu",IF(AND(I246="Terminée",S246&gt;p_today),"Terminée à une date future",IF(AND(I246="Terminée",V246=0),"Durée d'intervention manquante",IF(AND(I246="Terminée",E246="Préventif",T246=0,OR(IFERROR(INDEX(pl_trig,MATCH(F246,pl_num,0))&amp;"","")="Compteur",IFERROR(INDEX(pl_trig,MATCH(F246,pl_num,0))&amp;"","")="Au premier des deux")),"Compteur manquant (plan au compteur)","OK"))))))))))))))))))</f>
        <v/>
      </c>
      <c r="S246" s="67">
        <f>IF(AND(ISNUMBER(B246),N(B246)&gt;0),INT(B246),0)</f>
        <v>0.0</v>
      </c>
      <c r="T246" s="67">
        <f>IF(AND(ISNUMBER(J246),N(J246)&gt;=0),N(J246),0)</f>
        <v>0.0</v>
      </c>
      <c r="U246" s="67">
        <f>IF(AND(ISNUMBER(K246),N(K246)&gt;0),N(K246),0)</f>
        <v>0.0</v>
      </c>
      <c r="V246" s="67">
        <f>IF(AND(ISNUMBER(L246),N(L246)&gt;0),N(L246),0)</f>
        <v>0.0</v>
      </c>
      <c r="W246" s="67">
        <f>IF(AND(I246="Terminée",S246&gt;0,C246&lt;&gt;"",ISNUMBER(MATCH(C246,eq_code,0))),1,0)</f>
        <v>0.0</v>
      </c>
      <c r="X246" s="67">
        <f>IF(AND(W246=1,E246="Préventif"),1,0)</f>
        <v>0.0</v>
      </c>
      <c r="Y246" s="67">
        <f>IF(AND(ISNUMBER(N246),N(N246)&gt;0),N(N246),0)</f>
        <v>0.0</v>
      </c>
      <c r="Z246" s="67">
        <f>IF(AND(ISNUMBER(P246),N(P246)&gt;0),N(P246),0)</f>
        <v>0.0</v>
      </c>
    </row>
    <row r="247">
      <c r="A247" s="79" t="str">
        <f>IF(COUNTA(B247:C247,E247:G247,I247)=0,"","BI-"&amp;RIGHT("0000"&amp;(ROW()-5),4))</f>
        <v/>
      </c>
      <c r="B247" s="72" t="n"/>
      <c r="C247" s="66" t="n"/>
      <c r="D247" s="67" t="str">
        <f>IF(C247="","",IFERROR(INDEX(eq_des,MATCH(C247,eq_code,0))&amp;"","Équipement inconnu"))</f>
        <v/>
      </c>
      <c r="E247" s="68" t="n"/>
      <c r="F247" s="68" t="n"/>
      <c r="G247" s="66" t="n"/>
      <c r="H247" s="66" t="n"/>
      <c r="I247" s="68" t="n"/>
      <c r="J247" s="73" t="n"/>
      <c r="K247" s="71" t="n"/>
      <c r="L247" s="71" t="n"/>
      <c r="M247" s="66" t="n"/>
      <c r="N247" s="80" t="n"/>
      <c r="O247" s="81" t="str">
        <f>IF(A247="","",ROUND(V247*IFERROR(N(INDEX(tech_rate,MATCH(M247,tech_name,0))),0),2))</f>
        <v/>
      </c>
      <c r="P247" s="80" t="n"/>
      <c r="Q247" s="81" t="str">
        <f>IF(A247="","",ROUND(Y247+O247+Z247,2))</f>
        <v/>
      </c>
      <c r="R247" s="79" t="str">
        <f>IF(A247="","",IF(S247=0,"Date manquante ou invalide",IF(C247="","Équipement manquant",IF(ISNA(MATCH(C247,eq_code,0)),"Équipement inconnu",IF(E247="","Type manquant",IF(AND(E247&lt;&gt;"Préventif",E247&lt;&gt;"Correctif",E247&lt;&gt;"Amélioratif"),"Type inconnu",IF(I247="","Statut manquant",IF(AND(I247&lt;&gt;"Terminée",I247&lt;&gt;"En cours",I247&lt;&gt;"À faire",I247&lt;&gt;"Annulée"),"Statut inconnu",IF(AND(E247="Préventif",F247=""),"Plan manquant (préventif)",IF(AND(F247&lt;&gt;"",ISNA(MATCH(F247,pl_num,0))),"Plan inconnu",IF(AND(F247&lt;&gt;"",IFERROR(INDEX(pl_eq,MATCH(F247,pl_num,0))&amp;"",C247)&lt;&gt;C247),"Plan d'un autre équipement",IF(AND(J247&lt;&gt;"",OR(NOT(ISNUMBER(J247)),N(J247)&lt;0)),"Compteur invalide",IF(OR(AND(K247&lt;&gt;"",OR(NOT(ISNUMBER(K247)),N(K247)&lt;0)),AND(L247&lt;&gt;"",OR(NOT(ISNUMBER(L247)),N(L247)&lt;0))),"Durée invalide",IF(OR(AND(N247&lt;&gt;"",OR(NOT(ISNUMBER(N247)),N(N247)&lt;0)),AND(P247&lt;&gt;"",OR(NOT(ISNUMBER(P247)),N(P247)&lt;0))),"Coût invalide",IF(AND(M247&lt;&gt;"",ISNA(MATCH(M247,tech_name,0))),"Technicien inconnu",IF(AND(I247="Terminée",S247&gt;p_today),"Terminée à une date future",IF(AND(I247="Terminée",V247=0),"Durée d'intervention manquante",IF(AND(I247="Terminée",E247="Préventif",T247=0,OR(IFERROR(INDEX(pl_trig,MATCH(F247,pl_num,0))&amp;"","")="Compteur",IFERROR(INDEX(pl_trig,MATCH(F247,pl_num,0))&amp;"","")="Au premier des deux")),"Compteur manquant (plan au compteur)","OK"))))))))))))))))))</f>
        <v/>
      </c>
      <c r="S247" s="67">
        <f>IF(AND(ISNUMBER(B247),N(B247)&gt;0),INT(B247),0)</f>
        <v>0.0</v>
      </c>
      <c r="T247" s="67">
        <f>IF(AND(ISNUMBER(J247),N(J247)&gt;=0),N(J247),0)</f>
        <v>0.0</v>
      </c>
      <c r="U247" s="67">
        <f>IF(AND(ISNUMBER(K247),N(K247)&gt;0),N(K247),0)</f>
        <v>0.0</v>
      </c>
      <c r="V247" s="67">
        <f>IF(AND(ISNUMBER(L247),N(L247)&gt;0),N(L247),0)</f>
        <v>0.0</v>
      </c>
      <c r="W247" s="67">
        <f>IF(AND(I247="Terminée",S247&gt;0,C247&lt;&gt;"",ISNUMBER(MATCH(C247,eq_code,0))),1,0)</f>
        <v>0.0</v>
      </c>
      <c r="X247" s="67">
        <f>IF(AND(W247=1,E247="Préventif"),1,0)</f>
        <v>0.0</v>
      </c>
      <c r="Y247" s="67">
        <f>IF(AND(ISNUMBER(N247),N(N247)&gt;0),N(N247),0)</f>
        <v>0.0</v>
      </c>
      <c r="Z247" s="67">
        <f>IF(AND(ISNUMBER(P247),N(P247)&gt;0),N(P247),0)</f>
        <v>0.0</v>
      </c>
    </row>
    <row r="248">
      <c r="A248" s="79" t="str">
        <f>IF(COUNTA(B248:C248,E248:G248,I248)=0,"","BI-"&amp;RIGHT("0000"&amp;(ROW()-5),4))</f>
        <v/>
      </c>
      <c r="B248" s="72" t="n"/>
      <c r="C248" s="66" t="n"/>
      <c r="D248" s="67" t="str">
        <f>IF(C248="","",IFERROR(INDEX(eq_des,MATCH(C248,eq_code,0))&amp;"","Équipement inconnu"))</f>
        <v/>
      </c>
      <c r="E248" s="68" t="n"/>
      <c r="F248" s="68" t="n"/>
      <c r="G248" s="66" t="n"/>
      <c r="H248" s="66" t="n"/>
      <c r="I248" s="68" t="n"/>
      <c r="J248" s="73" t="n"/>
      <c r="K248" s="71" t="n"/>
      <c r="L248" s="71" t="n"/>
      <c r="M248" s="66" t="n"/>
      <c r="N248" s="80" t="n"/>
      <c r="O248" s="81" t="str">
        <f>IF(A248="","",ROUND(V248*IFERROR(N(INDEX(tech_rate,MATCH(M248,tech_name,0))),0),2))</f>
        <v/>
      </c>
      <c r="P248" s="80" t="n"/>
      <c r="Q248" s="81" t="str">
        <f>IF(A248="","",ROUND(Y248+O248+Z248,2))</f>
        <v/>
      </c>
      <c r="R248" s="79" t="str">
        <f>IF(A248="","",IF(S248=0,"Date manquante ou invalide",IF(C248="","Équipement manquant",IF(ISNA(MATCH(C248,eq_code,0)),"Équipement inconnu",IF(E248="","Type manquant",IF(AND(E248&lt;&gt;"Préventif",E248&lt;&gt;"Correctif",E248&lt;&gt;"Amélioratif"),"Type inconnu",IF(I248="","Statut manquant",IF(AND(I248&lt;&gt;"Terminée",I248&lt;&gt;"En cours",I248&lt;&gt;"À faire",I248&lt;&gt;"Annulée"),"Statut inconnu",IF(AND(E248="Préventif",F248=""),"Plan manquant (préventif)",IF(AND(F248&lt;&gt;"",ISNA(MATCH(F248,pl_num,0))),"Plan inconnu",IF(AND(F248&lt;&gt;"",IFERROR(INDEX(pl_eq,MATCH(F248,pl_num,0))&amp;"",C248)&lt;&gt;C248),"Plan d'un autre équipement",IF(AND(J248&lt;&gt;"",OR(NOT(ISNUMBER(J248)),N(J248)&lt;0)),"Compteur invalide",IF(OR(AND(K248&lt;&gt;"",OR(NOT(ISNUMBER(K248)),N(K248)&lt;0)),AND(L248&lt;&gt;"",OR(NOT(ISNUMBER(L248)),N(L248)&lt;0))),"Durée invalide",IF(OR(AND(N248&lt;&gt;"",OR(NOT(ISNUMBER(N248)),N(N248)&lt;0)),AND(P248&lt;&gt;"",OR(NOT(ISNUMBER(P248)),N(P248)&lt;0))),"Coût invalide",IF(AND(M248&lt;&gt;"",ISNA(MATCH(M248,tech_name,0))),"Technicien inconnu",IF(AND(I248="Terminée",S248&gt;p_today),"Terminée à une date future",IF(AND(I248="Terminée",V248=0),"Durée d'intervention manquante",IF(AND(I248="Terminée",E248="Préventif",T248=0,OR(IFERROR(INDEX(pl_trig,MATCH(F248,pl_num,0))&amp;"","")="Compteur",IFERROR(INDEX(pl_trig,MATCH(F248,pl_num,0))&amp;"","")="Au premier des deux")),"Compteur manquant (plan au compteur)","OK"))))))))))))))))))</f>
        <v/>
      </c>
      <c r="S248" s="67">
        <f>IF(AND(ISNUMBER(B248),N(B248)&gt;0),INT(B248),0)</f>
        <v>0.0</v>
      </c>
      <c r="T248" s="67">
        <f>IF(AND(ISNUMBER(J248),N(J248)&gt;=0),N(J248),0)</f>
        <v>0.0</v>
      </c>
      <c r="U248" s="67">
        <f>IF(AND(ISNUMBER(K248),N(K248)&gt;0),N(K248),0)</f>
        <v>0.0</v>
      </c>
      <c r="V248" s="67">
        <f>IF(AND(ISNUMBER(L248),N(L248)&gt;0),N(L248),0)</f>
        <v>0.0</v>
      </c>
      <c r="W248" s="67">
        <f>IF(AND(I248="Terminée",S248&gt;0,C248&lt;&gt;"",ISNUMBER(MATCH(C248,eq_code,0))),1,0)</f>
        <v>0.0</v>
      </c>
      <c r="X248" s="67">
        <f>IF(AND(W248=1,E248="Préventif"),1,0)</f>
        <v>0.0</v>
      </c>
      <c r="Y248" s="67">
        <f>IF(AND(ISNUMBER(N248),N(N248)&gt;0),N(N248),0)</f>
        <v>0.0</v>
      </c>
      <c r="Z248" s="67">
        <f>IF(AND(ISNUMBER(P248),N(P248)&gt;0),N(P248),0)</f>
        <v>0.0</v>
      </c>
    </row>
    <row r="249">
      <c r="A249" s="79" t="str">
        <f>IF(COUNTA(B249:C249,E249:G249,I249)=0,"","BI-"&amp;RIGHT("0000"&amp;(ROW()-5),4))</f>
        <v/>
      </c>
      <c r="B249" s="72" t="n"/>
      <c r="C249" s="66" t="n"/>
      <c r="D249" s="67" t="str">
        <f>IF(C249="","",IFERROR(INDEX(eq_des,MATCH(C249,eq_code,0))&amp;"","Équipement inconnu"))</f>
        <v/>
      </c>
      <c r="E249" s="68" t="n"/>
      <c r="F249" s="68" t="n"/>
      <c r="G249" s="66" t="n"/>
      <c r="H249" s="66" t="n"/>
      <c r="I249" s="68" t="n"/>
      <c r="J249" s="73" t="n"/>
      <c r="K249" s="71" t="n"/>
      <c r="L249" s="71" t="n"/>
      <c r="M249" s="66" t="n"/>
      <c r="N249" s="80" t="n"/>
      <c r="O249" s="81" t="str">
        <f>IF(A249="","",ROUND(V249*IFERROR(N(INDEX(tech_rate,MATCH(M249,tech_name,0))),0),2))</f>
        <v/>
      </c>
      <c r="P249" s="80" t="n"/>
      <c r="Q249" s="81" t="str">
        <f>IF(A249="","",ROUND(Y249+O249+Z249,2))</f>
        <v/>
      </c>
      <c r="R249" s="79" t="str">
        <f>IF(A249="","",IF(S249=0,"Date manquante ou invalide",IF(C249="","Équipement manquant",IF(ISNA(MATCH(C249,eq_code,0)),"Équipement inconnu",IF(E249="","Type manquant",IF(AND(E249&lt;&gt;"Préventif",E249&lt;&gt;"Correctif",E249&lt;&gt;"Amélioratif"),"Type inconnu",IF(I249="","Statut manquant",IF(AND(I249&lt;&gt;"Terminée",I249&lt;&gt;"En cours",I249&lt;&gt;"À faire",I249&lt;&gt;"Annulée"),"Statut inconnu",IF(AND(E249="Préventif",F249=""),"Plan manquant (préventif)",IF(AND(F249&lt;&gt;"",ISNA(MATCH(F249,pl_num,0))),"Plan inconnu",IF(AND(F249&lt;&gt;"",IFERROR(INDEX(pl_eq,MATCH(F249,pl_num,0))&amp;"",C249)&lt;&gt;C249),"Plan d'un autre équipement",IF(AND(J249&lt;&gt;"",OR(NOT(ISNUMBER(J249)),N(J249)&lt;0)),"Compteur invalide",IF(OR(AND(K249&lt;&gt;"",OR(NOT(ISNUMBER(K249)),N(K249)&lt;0)),AND(L249&lt;&gt;"",OR(NOT(ISNUMBER(L249)),N(L249)&lt;0))),"Durée invalide",IF(OR(AND(N249&lt;&gt;"",OR(NOT(ISNUMBER(N249)),N(N249)&lt;0)),AND(P249&lt;&gt;"",OR(NOT(ISNUMBER(P249)),N(P249)&lt;0))),"Coût invalide",IF(AND(M249&lt;&gt;"",ISNA(MATCH(M249,tech_name,0))),"Technicien inconnu",IF(AND(I249="Terminée",S249&gt;p_today),"Terminée à une date future",IF(AND(I249="Terminée",V249=0),"Durée d'intervention manquante",IF(AND(I249="Terminée",E249="Préventif",T249=0,OR(IFERROR(INDEX(pl_trig,MATCH(F249,pl_num,0))&amp;"","")="Compteur",IFERROR(INDEX(pl_trig,MATCH(F249,pl_num,0))&amp;"","")="Au premier des deux")),"Compteur manquant (plan au compteur)","OK"))))))))))))))))))</f>
        <v/>
      </c>
      <c r="S249" s="67">
        <f>IF(AND(ISNUMBER(B249),N(B249)&gt;0),INT(B249),0)</f>
        <v>0.0</v>
      </c>
      <c r="T249" s="67">
        <f>IF(AND(ISNUMBER(J249),N(J249)&gt;=0),N(J249),0)</f>
        <v>0.0</v>
      </c>
      <c r="U249" s="67">
        <f>IF(AND(ISNUMBER(K249),N(K249)&gt;0),N(K249),0)</f>
        <v>0.0</v>
      </c>
      <c r="V249" s="67">
        <f>IF(AND(ISNUMBER(L249),N(L249)&gt;0),N(L249),0)</f>
        <v>0.0</v>
      </c>
      <c r="W249" s="67">
        <f>IF(AND(I249="Terminée",S249&gt;0,C249&lt;&gt;"",ISNUMBER(MATCH(C249,eq_code,0))),1,0)</f>
        <v>0.0</v>
      </c>
      <c r="X249" s="67">
        <f>IF(AND(W249=1,E249="Préventif"),1,0)</f>
        <v>0.0</v>
      </c>
      <c r="Y249" s="67">
        <f>IF(AND(ISNUMBER(N249),N(N249)&gt;0),N(N249),0)</f>
        <v>0.0</v>
      </c>
      <c r="Z249" s="67">
        <f>IF(AND(ISNUMBER(P249),N(P249)&gt;0),N(P249),0)</f>
        <v>0.0</v>
      </c>
    </row>
    <row r="250">
      <c r="A250" s="79" t="str">
        <f>IF(COUNTA(B250:C250,E250:G250,I250)=0,"","BI-"&amp;RIGHT("0000"&amp;(ROW()-5),4))</f>
        <v/>
      </c>
      <c r="B250" s="72" t="n"/>
      <c r="C250" s="66" t="n"/>
      <c r="D250" s="67" t="str">
        <f>IF(C250="","",IFERROR(INDEX(eq_des,MATCH(C250,eq_code,0))&amp;"","Équipement inconnu"))</f>
        <v/>
      </c>
      <c r="E250" s="68" t="n"/>
      <c r="F250" s="68" t="n"/>
      <c r="G250" s="66" t="n"/>
      <c r="H250" s="66" t="n"/>
      <c r="I250" s="68" t="n"/>
      <c r="J250" s="73" t="n"/>
      <c r="K250" s="71" t="n"/>
      <c r="L250" s="71" t="n"/>
      <c r="M250" s="66" t="n"/>
      <c r="N250" s="80" t="n"/>
      <c r="O250" s="81" t="str">
        <f>IF(A250="","",ROUND(V250*IFERROR(N(INDEX(tech_rate,MATCH(M250,tech_name,0))),0),2))</f>
        <v/>
      </c>
      <c r="P250" s="80" t="n"/>
      <c r="Q250" s="81" t="str">
        <f>IF(A250="","",ROUND(Y250+O250+Z250,2))</f>
        <v/>
      </c>
      <c r="R250" s="79" t="str">
        <f>IF(A250="","",IF(S250=0,"Date manquante ou invalide",IF(C250="","Équipement manquant",IF(ISNA(MATCH(C250,eq_code,0)),"Équipement inconnu",IF(E250="","Type manquant",IF(AND(E250&lt;&gt;"Préventif",E250&lt;&gt;"Correctif",E250&lt;&gt;"Amélioratif"),"Type inconnu",IF(I250="","Statut manquant",IF(AND(I250&lt;&gt;"Terminée",I250&lt;&gt;"En cours",I250&lt;&gt;"À faire",I250&lt;&gt;"Annulée"),"Statut inconnu",IF(AND(E250="Préventif",F250=""),"Plan manquant (préventif)",IF(AND(F250&lt;&gt;"",ISNA(MATCH(F250,pl_num,0))),"Plan inconnu",IF(AND(F250&lt;&gt;"",IFERROR(INDEX(pl_eq,MATCH(F250,pl_num,0))&amp;"",C250)&lt;&gt;C250),"Plan d'un autre équipement",IF(AND(J250&lt;&gt;"",OR(NOT(ISNUMBER(J250)),N(J250)&lt;0)),"Compteur invalide",IF(OR(AND(K250&lt;&gt;"",OR(NOT(ISNUMBER(K250)),N(K250)&lt;0)),AND(L250&lt;&gt;"",OR(NOT(ISNUMBER(L250)),N(L250)&lt;0))),"Durée invalide",IF(OR(AND(N250&lt;&gt;"",OR(NOT(ISNUMBER(N250)),N(N250)&lt;0)),AND(P250&lt;&gt;"",OR(NOT(ISNUMBER(P250)),N(P250)&lt;0))),"Coût invalide",IF(AND(M250&lt;&gt;"",ISNA(MATCH(M250,tech_name,0))),"Technicien inconnu",IF(AND(I250="Terminée",S250&gt;p_today),"Terminée à une date future",IF(AND(I250="Terminée",V250=0),"Durée d'intervention manquante",IF(AND(I250="Terminée",E250="Préventif",T250=0,OR(IFERROR(INDEX(pl_trig,MATCH(F250,pl_num,0))&amp;"","")="Compteur",IFERROR(INDEX(pl_trig,MATCH(F250,pl_num,0))&amp;"","")="Au premier des deux")),"Compteur manquant (plan au compteur)","OK"))))))))))))))))))</f>
        <v/>
      </c>
      <c r="S250" s="67">
        <f>IF(AND(ISNUMBER(B250),N(B250)&gt;0),INT(B250),0)</f>
        <v>0.0</v>
      </c>
      <c r="T250" s="67">
        <f>IF(AND(ISNUMBER(J250),N(J250)&gt;=0),N(J250),0)</f>
        <v>0.0</v>
      </c>
      <c r="U250" s="67">
        <f>IF(AND(ISNUMBER(K250),N(K250)&gt;0),N(K250),0)</f>
        <v>0.0</v>
      </c>
      <c r="V250" s="67">
        <f>IF(AND(ISNUMBER(L250),N(L250)&gt;0),N(L250),0)</f>
        <v>0.0</v>
      </c>
      <c r="W250" s="67">
        <f>IF(AND(I250="Terminée",S250&gt;0,C250&lt;&gt;"",ISNUMBER(MATCH(C250,eq_code,0))),1,0)</f>
        <v>0.0</v>
      </c>
      <c r="X250" s="67">
        <f>IF(AND(W250=1,E250="Préventif"),1,0)</f>
        <v>0.0</v>
      </c>
      <c r="Y250" s="67">
        <f>IF(AND(ISNUMBER(N250),N(N250)&gt;0),N(N250),0)</f>
        <v>0.0</v>
      </c>
      <c r="Z250" s="67">
        <f>IF(AND(ISNUMBER(P250),N(P250)&gt;0),N(P250),0)</f>
        <v>0.0</v>
      </c>
    </row>
    <row r="251">
      <c r="A251" s="79" t="str">
        <f>IF(COUNTA(B251:C251,E251:G251,I251)=0,"","BI-"&amp;RIGHT("0000"&amp;(ROW()-5),4))</f>
        <v/>
      </c>
      <c r="B251" s="72" t="n"/>
      <c r="C251" s="66" t="n"/>
      <c r="D251" s="67" t="str">
        <f>IF(C251="","",IFERROR(INDEX(eq_des,MATCH(C251,eq_code,0))&amp;"","Équipement inconnu"))</f>
        <v/>
      </c>
      <c r="E251" s="68" t="n"/>
      <c r="F251" s="68" t="n"/>
      <c r="G251" s="66" t="n"/>
      <c r="H251" s="66" t="n"/>
      <c r="I251" s="68" t="n"/>
      <c r="J251" s="73" t="n"/>
      <c r="K251" s="71" t="n"/>
      <c r="L251" s="71" t="n"/>
      <c r="M251" s="66" t="n"/>
      <c r="N251" s="80" t="n"/>
      <c r="O251" s="81" t="str">
        <f>IF(A251="","",ROUND(V251*IFERROR(N(INDEX(tech_rate,MATCH(M251,tech_name,0))),0),2))</f>
        <v/>
      </c>
      <c r="P251" s="80" t="n"/>
      <c r="Q251" s="81" t="str">
        <f>IF(A251="","",ROUND(Y251+O251+Z251,2))</f>
        <v/>
      </c>
      <c r="R251" s="79" t="str">
        <f>IF(A251="","",IF(S251=0,"Date manquante ou invalide",IF(C251="","Équipement manquant",IF(ISNA(MATCH(C251,eq_code,0)),"Équipement inconnu",IF(E251="","Type manquant",IF(AND(E251&lt;&gt;"Préventif",E251&lt;&gt;"Correctif",E251&lt;&gt;"Amélioratif"),"Type inconnu",IF(I251="","Statut manquant",IF(AND(I251&lt;&gt;"Terminée",I251&lt;&gt;"En cours",I251&lt;&gt;"À faire",I251&lt;&gt;"Annulée"),"Statut inconnu",IF(AND(E251="Préventif",F251=""),"Plan manquant (préventif)",IF(AND(F251&lt;&gt;"",ISNA(MATCH(F251,pl_num,0))),"Plan inconnu",IF(AND(F251&lt;&gt;"",IFERROR(INDEX(pl_eq,MATCH(F251,pl_num,0))&amp;"",C251)&lt;&gt;C251),"Plan d'un autre équipement",IF(AND(J251&lt;&gt;"",OR(NOT(ISNUMBER(J251)),N(J251)&lt;0)),"Compteur invalide",IF(OR(AND(K251&lt;&gt;"",OR(NOT(ISNUMBER(K251)),N(K251)&lt;0)),AND(L251&lt;&gt;"",OR(NOT(ISNUMBER(L251)),N(L251)&lt;0))),"Durée invalide",IF(OR(AND(N251&lt;&gt;"",OR(NOT(ISNUMBER(N251)),N(N251)&lt;0)),AND(P251&lt;&gt;"",OR(NOT(ISNUMBER(P251)),N(P251)&lt;0))),"Coût invalide",IF(AND(M251&lt;&gt;"",ISNA(MATCH(M251,tech_name,0))),"Technicien inconnu",IF(AND(I251="Terminée",S251&gt;p_today),"Terminée à une date future",IF(AND(I251="Terminée",V251=0),"Durée d'intervention manquante",IF(AND(I251="Terminée",E251="Préventif",T251=0,OR(IFERROR(INDEX(pl_trig,MATCH(F251,pl_num,0))&amp;"","")="Compteur",IFERROR(INDEX(pl_trig,MATCH(F251,pl_num,0))&amp;"","")="Au premier des deux")),"Compteur manquant (plan au compteur)","OK"))))))))))))))))))</f>
        <v/>
      </c>
      <c r="S251" s="67">
        <f>IF(AND(ISNUMBER(B251),N(B251)&gt;0),INT(B251),0)</f>
        <v>0.0</v>
      </c>
      <c r="T251" s="67">
        <f>IF(AND(ISNUMBER(J251),N(J251)&gt;=0),N(J251),0)</f>
        <v>0.0</v>
      </c>
      <c r="U251" s="67">
        <f>IF(AND(ISNUMBER(K251),N(K251)&gt;0),N(K251),0)</f>
        <v>0.0</v>
      </c>
      <c r="V251" s="67">
        <f>IF(AND(ISNUMBER(L251),N(L251)&gt;0),N(L251),0)</f>
        <v>0.0</v>
      </c>
      <c r="W251" s="67">
        <f>IF(AND(I251="Terminée",S251&gt;0,C251&lt;&gt;"",ISNUMBER(MATCH(C251,eq_code,0))),1,0)</f>
        <v>0.0</v>
      </c>
      <c r="X251" s="67">
        <f>IF(AND(W251=1,E251="Préventif"),1,0)</f>
        <v>0.0</v>
      </c>
      <c r="Y251" s="67">
        <f>IF(AND(ISNUMBER(N251),N(N251)&gt;0),N(N251),0)</f>
        <v>0.0</v>
      </c>
      <c r="Z251" s="67">
        <f>IF(AND(ISNUMBER(P251),N(P251)&gt;0),N(P251),0)</f>
        <v>0.0</v>
      </c>
    </row>
    <row r="252">
      <c r="A252" s="79" t="str">
        <f>IF(COUNTA(B252:C252,E252:G252,I252)=0,"","BI-"&amp;RIGHT("0000"&amp;(ROW()-5),4))</f>
        <v/>
      </c>
      <c r="B252" s="72" t="n"/>
      <c r="C252" s="66" t="n"/>
      <c r="D252" s="67" t="str">
        <f>IF(C252="","",IFERROR(INDEX(eq_des,MATCH(C252,eq_code,0))&amp;"","Équipement inconnu"))</f>
        <v/>
      </c>
      <c r="E252" s="68" t="n"/>
      <c r="F252" s="68" t="n"/>
      <c r="G252" s="66" t="n"/>
      <c r="H252" s="66" t="n"/>
      <c r="I252" s="68" t="n"/>
      <c r="J252" s="73" t="n"/>
      <c r="K252" s="71" t="n"/>
      <c r="L252" s="71" t="n"/>
      <c r="M252" s="66" t="n"/>
      <c r="N252" s="80" t="n"/>
      <c r="O252" s="81" t="str">
        <f>IF(A252="","",ROUND(V252*IFERROR(N(INDEX(tech_rate,MATCH(M252,tech_name,0))),0),2))</f>
        <v/>
      </c>
      <c r="P252" s="80" t="n"/>
      <c r="Q252" s="81" t="str">
        <f>IF(A252="","",ROUND(Y252+O252+Z252,2))</f>
        <v/>
      </c>
      <c r="R252" s="79" t="str">
        <f>IF(A252="","",IF(S252=0,"Date manquante ou invalide",IF(C252="","Équipement manquant",IF(ISNA(MATCH(C252,eq_code,0)),"Équipement inconnu",IF(E252="","Type manquant",IF(AND(E252&lt;&gt;"Préventif",E252&lt;&gt;"Correctif",E252&lt;&gt;"Amélioratif"),"Type inconnu",IF(I252="","Statut manquant",IF(AND(I252&lt;&gt;"Terminée",I252&lt;&gt;"En cours",I252&lt;&gt;"À faire",I252&lt;&gt;"Annulée"),"Statut inconnu",IF(AND(E252="Préventif",F252=""),"Plan manquant (préventif)",IF(AND(F252&lt;&gt;"",ISNA(MATCH(F252,pl_num,0))),"Plan inconnu",IF(AND(F252&lt;&gt;"",IFERROR(INDEX(pl_eq,MATCH(F252,pl_num,0))&amp;"",C252)&lt;&gt;C252),"Plan d'un autre équipement",IF(AND(J252&lt;&gt;"",OR(NOT(ISNUMBER(J252)),N(J252)&lt;0)),"Compteur invalide",IF(OR(AND(K252&lt;&gt;"",OR(NOT(ISNUMBER(K252)),N(K252)&lt;0)),AND(L252&lt;&gt;"",OR(NOT(ISNUMBER(L252)),N(L252)&lt;0))),"Durée invalide",IF(OR(AND(N252&lt;&gt;"",OR(NOT(ISNUMBER(N252)),N(N252)&lt;0)),AND(P252&lt;&gt;"",OR(NOT(ISNUMBER(P252)),N(P252)&lt;0))),"Coût invalide",IF(AND(M252&lt;&gt;"",ISNA(MATCH(M252,tech_name,0))),"Technicien inconnu",IF(AND(I252="Terminée",S252&gt;p_today),"Terminée à une date future",IF(AND(I252="Terminée",V252=0),"Durée d'intervention manquante",IF(AND(I252="Terminée",E252="Préventif",T252=0,OR(IFERROR(INDEX(pl_trig,MATCH(F252,pl_num,0))&amp;"","")="Compteur",IFERROR(INDEX(pl_trig,MATCH(F252,pl_num,0))&amp;"","")="Au premier des deux")),"Compteur manquant (plan au compteur)","OK"))))))))))))))))))</f>
        <v/>
      </c>
      <c r="S252" s="67">
        <f>IF(AND(ISNUMBER(B252),N(B252)&gt;0),INT(B252),0)</f>
        <v>0.0</v>
      </c>
      <c r="T252" s="67">
        <f>IF(AND(ISNUMBER(J252),N(J252)&gt;=0),N(J252),0)</f>
        <v>0.0</v>
      </c>
      <c r="U252" s="67">
        <f>IF(AND(ISNUMBER(K252),N(K252)&gt;0),N(K252),0)</f>
        <v>0.0</v>
      </c>
      <c r="V252" s="67">
        <f>IF(AND(ISNUMBER(L252),N(L252)&gt;0),N(L252),0)</f>
        <v>0.0</v>
      </c>
      <c r="W252" s="67">
        <f>IF(AND(I252="Terminée",S252&gt;0,C252&lt;&gt;"",ISNUMBER(MATCH(C252,eq_code,0))),1,0)</f>
        <v>0.0</v>
      </c>
      <c r="X252" s="67">
        <f>IF(AND(W252=1,E252="Préventif"),1,0)</f>
        <v>0.0</v>
      </c>
      <c r="Y252" s="67">
        <f>IF(AND(ISNUMBER(N252),N(N252)&gt;0),N(N252),0)</f>
        <v>0.0</v>
      </c>
      <c r="Z252" s="67">
        <f>IF(AND(ISNUMBER(P252),N(P252)&gt;0),N(P252),0)</f>
        <v>0.0</v>
      </c>
    </row>
    <row r="253">
      <c r="A253" s="79" t="str">
        <f>IF(COUNTA(B253:C253,E253:G253,I253)=0,"","BI-"&amp;RIGHT("0000"&amp;(ROW()-5),4))</f>
        <v/>
      </c>
      <c r="B253" s="72" t="n"/>
      <c r="C253" s="66" t="n"/>
      <c r="D253" s="67" t="str">
        <f>IF(C253="","",IFERROR(INDEX(eq_des,MATCH(C253,eq_code,0))&amp;"","Équipement inconnu"))</f>
        <v/>
      </c>
      <c r="E253" s="68" t="n"/>
      <c r="F253" s="68" t="n"/>
      <c r="G253" s="66" t="n"/>
      <c r="H253" s="66" t="n"/>
      <c r="I253" s="68" t="n"/>
      <c r="J253" s="73" t="n"/>
      <c r="K253" s="71" t="n"/>
      <c r="L253" s="71" t="n"/>
      <c r="M253" s="66" t="n"/>
      <c r="N253" s="80" t="n"/>
      <c r="O253" s="81" t="str">
        <f>IF(A253="","",ROUND(V253*IFERROR(N(INDEX(tech_rate,MATCH(M253,tech_name,0))),0),2))</f>
        <v/>
      </c>
      <c r="P253" s="80" t="n"/>
      <c r="Q253" s="81" t="str">
        <f>IF(A253="","",ROUND(Y253+O253+Z253,2))</f>
        <v/>
      </c>
      <c r="R253" s="79" t="str">
        <f>IF(A253="","",IF(S253=0,"Date manquante ou invalide",IF(C253="","Équipement manquant",IF(ISNA(MATCH(C253,eq_code,0)),"Équipement inconnu",IF(E253="","Type manquant",IF(AND(E253&lt;&gt;"Préventif",E253&lt;&gt;"Correctif",E253&lt;&gt;"Amélioratif"),"Type inconnu",IF(I253="","Statut manquant",IF(AND(I253&lt;&gt;"Terminée",I253&lt;&gt;"En cours",I253&lt;&gt;"À faire",I253&lt;&gt;"Annulée"),"Statut inconnu",IF(AND(E253="Préventif",F253=""),"Plan manquant (préventif)",IF(AND(F253&lt;&gt;"",ISNA(MATCH(F253,pl_num,0))),"Plan inconnu",IF(AND(F253&lt;&gt;"",IFERROR(INDEX(pl_eq,MATCH(F253,pl_num,0))&amp;"",C253)&lt;&gt;C253),"Plan d'un autre équipement",IF(AND(J253&lt;&gt;"",OR(NOT(ISNUMBER(J253)),N(J253)&lt;0)),"Compteur invalide",IF(OR(AND(K253&lt;&gt;"",OR(NOT(ISNUMBER(K253)),N(K253)&lt;0)),AND(L253&lt;&gt;"",OR(NOT(ISNUMBER(L253)),N(L253)&lt;0))),"Durée invalide",IF(OR(AND(N253&lt;&gt;"",OR(NOT(ISNUMBER(N253)),N(N253)&lt;0)),AND(P253&lt;&gt;"",OR(NOT(ISNUMBER(P253)),N(P253)&lt;0))),"Coût invalide",IF(AND(M253&lt;&gt;"",ISNA(MATCH(M253,tech_name,0))),"Technicien inconnu",IF(AND(I253="Terminée",S253&gt;p_today),"Terminée à une date future",IF(AND(I253="Terminée",V253=0),"Durée d'intervention manquante",IF(AND(I253="Terminée",E253="Préventif",T253=0,OR(IFERROR(INDEX(pl_trig,MATCH(F253,pl_num,0))&amp;"","")="Compteur",IFERROR(INDEX(pl_trig,MATCH(F253,pl_num,0))&amp;"","")="Au premier des deux")),"Compteur manquant (plan au compteur)","OK"))))))))))))))))))</f>
        <v/>
      </c>
      <c r="S253" s="67">
        <f>IF(AND(ISNUMBER(B253),N(B253)&gt;0),INT(B253),0)</f>
        <v>0.0</v>
      </c>
      <c r="T253" s="67">
        <f>IF(AND(ISNUMBER(J253),N(J253)&gt;=0),N(J253),0)</f>
        <v>0.0</v>
      </c>
      <c r="U253" s="67">
        <f>IF(AND(ISNUMBER(K253),N(K253)&gt;0),N(K253),0)</f>
        <v>0.0</v>
      </c>
      <c r="V253" s="67">
        <f>IF(AND(ISNUMBER(L253),N(L253)&gt;0),N(L253),0)</f>
        <v>0.0</v>
      </c>
      <c r="W253" s="67">
        <f>IF(AND(I253="Terminée",S253&gt;0,C253&lt;&gt;"",ISNUMBER(MATCH(C253,eq_code,0))),1,0)</f>
        <v>0.0</v>
      </c>
      <c r="X253" s="67">
        <f>IF(AND(W253=1,E253="Préventif"),1,0)</f>
        <v>0.0</v>
      </c>
      <c r="Y253" s="67">
        <f>IF(AND(ISNUMBER(N253),N(N253)&gt;0),N(N253),0)</f>
        <v>0.0</v>
      </c>
      <c r="Z253" s="67">
        <f>IF(AND(ISNUMBER(P253),N(P253)&gt;0),N(P253),0)</f>
        <v>0.0</v>
      </c>
    </row>
    <row r="254">
      <c r="A254" s="79" t="str">
        <f>IF(COUNTA(B254:C254,E254:G254,I254)=0,"","BI-"&amp;RIGHT("0000"&amp;(ROW()-5),4))</f>
        <v/>
      </c>
      <c r="B254" s="72" t="n"/>
      <c r="C254" s="66" t="n"/>
      <c r="D254" s="67" t="str">
        <f>IF(C254="","",IFERROR(INDEX(eq_des,MATCH(C254,eq_code,0))&amp;"","Équipement inconnu"))</f>
        <v/>
      </c>
      <c r="E254" s="68" t="n"/>
      <c r="F254" s="68" t="n"/>
      <c r="G254" s="66" t="n"/>
      <c r="H254" s="66" t="n"/>
      <c r="I254" s="68" t="n"/>
      <c r="J254" s="73" t="n"/>
      <c r="K254" s="71" t="n"/>
      <c r="L254" s="71" t="n"/>
      <c r="M254" s="66" t="n"/>
      <c r="N254" s="80" t="n"/>
      <c r="O254" s="81" t="str">
        <f>IF(A254="","",ROUND(V254*IFERROR(N(INDEX(tech_rate,MATCH(M254,tech_name,0))),0),2))</f>
        <v/>
      </c>
      <c r="P254" s="80" t="n"/>
      <c r="Q254" s="81" t="str">
        <f>IF(A254="","",ROUND(Y254+O254+Z254,2))</f>
        <v/>
      </c>
      <c r="R254" s="79" t="str">
        <f>IF(A254="","",IF(S254=0,"Date manquante ou invalide",IF(C254="","Équipement manquant",IF(ISNA(MATCH(C254,eq_code,0)),"Équipement inconnu",IF(E254="","Type manquant",IF(AND(E254&lt;&gt;"Préventif",E254&lt;&gt;"Correctif",E254&lt;&gt;"Amélioratif"),"Type inconnu",IF(I254="","Statut manquant",IF(AND(I254&lt;&gt;"Terminée",I254&lt;&gt;"En cours",I254&lt;&gt;"À faire",I254&lt;&gt;"Annulée"),"Statut inconnu",IF(AND(E254="Préventif",F254=""),"Plan manquant (préventif)",IF(AND(F254&lt;&gt;"",ISNA(MATCH(F254,pl_num,0))),"Plan inconnu",IF(AND(F254&lt;&gt;"",IFERROR(INDEX(pl_eq,MATCH(F254,pl_num,0))&amp;"",C254)&lt;&gt;C254),"Plan d'un autre équipement",IF(AND(J254&lt;&gt;"",OR(NOT(ISNUMBER(J254)),N(J254)&lt;0)),"Compteur invalide",IF(OR(AND(K254&lt;&gt;"",OR(NOT(ISNUMBER(K254)),N(K254)&lt;0)),AND(L254&lt;&gt;"",OR(NOT(ISNUMBER(L254)),N(L254)&lt;0))),"Durée invalide",IF(OR(AND(N254&lt;&gt;"",OR(NOT(ISNUMBER(N254)),N(N254)&lt;0)),AND(P254&lt;&gt;"",OR(NOT(ISNUMBER(P254)),N(P254)&lt;0))),"Coût invalide",IF(AND(M254&lt;&gt;"",ISNA(MATCH(M254,tech_name,0))),"Technicien inconnu",IF(AND(I254="Terminée",S254&gt;p_today),"Terminée à une date future",IF(AND(I254="Terminée",V254=0),"Durée d'intervention manquante",IF(AND(I254="Terminée",E254="Préventif",T254=0,OR(IFERROR(INDEX(pl_trig,MATCH(F254,pl_num,0))&amp;"","")="Compteur",IFERROR(INDEX(pl_trig,MATCH(F254,pl_num,0))&amp;"","")="Au premier des deux")),"Compteur manquant (plan au compteur)","OK"))))))))))))))))))</f>
        <v/>
      </c>
      <c r="S254" s="67">
        <f>IF(AND(ISNUMBER(B254),N(B254)&gt;0),INT(B254),0)</f>
        <v>0.0</v>
      </c>
      <c r="T254" s="67">
        <f>IF(AND(ISNUMBER(J254),N(J254)&gt;=0),N(J254),0)</f>
        <v>0.0</v>
      </c>
      <c r="U254" s="67">
        <f>IF(AND(ISNUMBER(K254),N(K254)&gt;0),N(K254),0)</f>
        <v>0.0</v>
      </c>
      <c r="V254" s="67">
        <f>IF(AND(ISNUMBER(L254),N(L254)&gt;0),N(L254),0)</f>
        <v>0.0</v>
      </c>
      <c r="W254" s="67">
        <f>IF(AND(I254="Terminée",S254&gt;0,C254&lt;&gt;"",ISNUMBER(MATCH(C254,eq_code,0))),1,0)</f>
        <v>0.0</v>
      </c>
      <c r="X254" s="67">
        <f>IF(AND(W254=1,E254="Préventif"),1,0)</f>
        <v>0.0</v>
      </c>
      <c r="Y254" s="67">
        <f>IF(AND(ISNUMBER(N254),N(N254)&gt;0),N(N254),0)</f>
        <v>0.0</v>
      </c>
      <c r="Z254" s="67">
        <f>IF(AND(ISNUMBER(P254),N(P254)&gt;0),N(P254),0)</f>
        <v>0.0</v>
      </c>
    </row>
    <row r="255">
      <c r="A255" s="79" t="str">
        <f>IF(COUNTA(B255:C255,E255:G255,I255)=0,"","BI-"&amp;RIGHT("0000"&amp;(ROW()-5),4))</f>
        <v/>
      </c>
      <c r="B255" s="72" t="n"/>
      <c r="C255" s="66" t="n"/>
      <c r="D255" s="67" t="str">
        <f>IF(C255="","",IFERROR(INDEX(eq_des,MATCH(C255,eq_code,0))&amp;"","Équipement inconnu"))</f>
        <v/>
      </c>
      <c r="E255" s="68" t="n"/>
      <c r="F255" s="68" t="n"/>
      <c r="G255" s="66" t="n"/>
      <c r="H255" s="66" t="n"/>
      <c r="I255" s="68" t="n"/>
      <c r="J255" s="73" t="n"/>
      <c r="K255" s="71" t="n"/>
      <c r="L255" s="71" t="n"/>
      <c r="M255" s="66" t="n"/>
      <c r="N255" s="80" t="n"/>
      <c r="O255" s="81" t="str">
        <f>IF(A255="","",ROUND(V255*IFERROR(N(INDEX(tech_rate,MATCH(M255,tech_name,0))),0),2))</f>
        <v/>
      </c>
      <c r="P255" s="80" t="n"/>
      <c r="Q255" s="81" t="str">
        <f>IF(A255="","",ROUND(Y255+O255+Z255,2))</f>
        <v/>
      </c>
      <c r="R255" s="79" t="str">
        <f>IF(A255="","",IF(S255=0,"Date manquante ou invalide",IF(C255="","Équipement manquant",IF(ISNA(MATCH(C255,eq_code,0)),"Équipement inconnu",IF(E255="","Type manquant",IF(AND(E255&lt;&gt;"Préventif",E255&lt;&gt;"Correctif",E255&lt;&gt;"Amélioratif"),"Type inconnu",IF(I255="","Statut manquant",IF(AND(I255&lt;&gt;"Terminée",I255&lt;&gt;"En cours",I255&lt;&gt;"À faire",I255&lt;&gt;"Annulée"),"Statut inconnu",IF(AND(E255="Préventif",F255=""),"Plan manquant (préventif)",IF(AND(F255&lt;&gt;"",ISNA(MATCH(F255,pl_num,0))),"Plan inconnu",IF(AND(F255&lt;&gt;"",IFERROR(INDEX(pl_eq,MATCH(F255,pl_num,0))&amp;"",C255)&lt;&gt;C255),"Plan d'un autre équipement",IF(AND(J255&lt;&gt;"",OR(NOT(ISNUMBER(J255)),N(J255)&lt;0)),"Compteur invalide",IF(OR(AND(K255&lt;&gt;"",OR(NOT(ISNUMBER(K255)),N(K255)&lt;0)),AND(L255&lt;&gt;"",OR(NOT(ISNUMBER(L255)),N(L255)&lt;0))),"Durée invalide",IF(OR(AND(N255&lt;&gt;"",OR(NOT(ISNUMBER(N255)),N(N255)&lt;0)),AND(P255&lt;&gt;"",OR(NOT(ISNUMBER(P255)),N(P255)&lt;0))),"Coût invalide",IF(AND(M255&lt;&gt;"",ISNA(MATCH(M255,tech_name,0))),"Technicien inconnu",IF(AND(I255="Terminée",S255&gt;p_today),"Terminée à une date future",IF(AND(I255="Terminée",V255=0),"Durée d'intervention manquante",IF(AND(I255="Terminée",E255="Préventif",T255=0,OR(IFERROR(INDEX(pl_trig,MATCH(F255,pl_num,0))&amp;"","")="Compteur",IFERROR(INDEX(pl_trig,MATCH(F255,pl_num,0))&amp;"","")="Au premier des deux")),"Compteur manquant (plan au compteur)","OK"))))))))))))))))))</f>
        <v/>
      </c>
      <c r="S255" s="67">
        <f>IF(AND(ISNUMBER(B255),N(B255)&gt;0),INT(B255),0)</f>
        <v>0.0</v>
      </c>
      <c r="T255" s="67">
        <f>IF(AND(ISNUMBER(J255),N(J255)&gt;=0),N(J255),0)</f>
        <v>0.0</v>
      </c>
      <c r="U255" s="67">
        <f>IF(AND(ISNUMBER(K255),N(K255)&gt;0),N(K255),0)</f>
        <v>0.0</v>
      </c>
      <c r="V255" s="67">
        <f>IF(AND(ISNUMBER(L255),N(L255)&gt;0),N(L255),0)</f>
        <v>0.0</v>
      </c>
      <c r="W255" s="67">
        <f>IF(AND(I255="Terminée",S255&gt;0,C255&lt;&gt;"",ISNUMBER(MATCH(C255,eq_code,0))),1,0)</f>
        <v>0.0</v>
      </c>
      <c r="X255" s="67">
        <f>IF(AND(W255=1,E255="Préventif"),1,0)</f>
        <v>0.0</v>
      </c>
      <c r="Y255" s="67">
        <f>IF(AND(ISNUMBER(N255),N(N255)&gt;0),N(N255),0)</f>
        <v>0.0</v>
      </c>
      <c r="Z255" s="67">
        <f>IF(AND(ISNUMBER(P255),N(P255)&gt;0),N(P255),0)</f>
        <v>0.0</v>
      </c>
    </row>
    <row r="256">
      <c r="A256" s="79" t="str">
        <f>IF(COUNTA(B256:C256,E256:G256,I256)=0,"","BI-"&amp;RIGHT("0000"&amp;(ROW()-5),4))</f>
        <v/>
      </c>
      <c r="B256" s="72" t="n"/>
      <c r="C256" s="66" t="n"/>
      <c r="D256" s="67" t="str">
        <f>IF(C256="","",IFERROR(INDEX(eq_des,MATCH(C256,eq_code,0))&amp;"","Équipement inconnu"))</f>
        <v/>
      </c>
      <c r="E256" s="68" t="n"/>
      <c r="F256" s="68" t="n"/>
      <c r="G256" s="66" t="n"/>
      <c r="H256" s="66" t="n"/>
      <c r="I256" s="68" t="n"/>
      <c r="J256" s="73" t="n"/>
      <c r="K256" s="71" t="n"/>
      <c r="L256" s="71" t="n"/>
      <c r="M256" s="66" t="n"/>
      <c r="N256" s="80" t="n"/>
      <c r="O256" s="81" t="str">
        <f>IF(A256="","",ROUND(V256*IFERROR(N(INDEX(tech_rate,MATCH(M256,tech_name,0))),0),2))</f>
        <v/>
      </c>
      <c r="P256" s="80" t="n"/>
      <c r="Q256" s="81" t="str">
        <f>IF(A256="","",ROUND(Y256+O256+Z256,2))</f>
        <v/>
      </c>
      <c r="R256" s="79" t="str">
        <f>IF(A256="","",IF(S256=0,"Date manquante ou invalide",IF(C256="","Équipement manquant",IF(ISNA(MATCH(C256,eq_code,0)),"Équipement inconnu",IF(E256="","Type manquant",IF(AND(E256&lt;&gt;"Préventif",E256&lt;&gt;"Correctif",E256&lt;&gt;"Amélioratif"),"Type inconnu",IF(I256="","Statut manquant",IF(AND(I256&lt;&gt;"Terminée",I256&lt;&gt;"En cours",I256&lt;&gt;"À faire",I256&lt;&gt;"Annulée"),"Statut inconnu",IF(AND(E256="Préventif",F256=""),"Plan manquant (préventif)",IF(AND(F256&lt;&gt;"",ISNA(MATCH(F256,pl_num,0))),"Plan inconnu",IF(AND(F256&lt;&gt;"",IFERROR(INDEX(pl_eq,MATCH(F256,pl_num,0))&amp;"",C256)&lt;&gt;C256),"Plan d'un autre équipement",IF(AND(J256&lt;&gt;"",OR(NOT(ISNUMBER(J256)),N(J256)&lt;0)),"Compteur invalide",IF(OR(AND(K256&lt;&gt;"",OR(NOT(ISNUMBER(K256)),N(K256)&lt;0)),AND(L256&lt;&gt;"",OR(NOT(ISNUMBER(L256)),N(L256)&lt;0))),"Durée invalide",IF(OR(AND(N256&lt;&gt;"",OR(NOT(ISNUMBER(N256)),N(N256)&lt;0)),AND(P256&lt;&gt;"",OR(NOT(ISNUMBER(P256)),N(P256)&lt;0))),"Coût invalide",IF(AND(M256&lt;&gt;"",ISNA(MATCH(M256,tech_name,0))),"Technicien inconnu",IF(AND(I256="Terminée",S256&gt;p_today),"Terminée à une date future",IF(AND(I256="Terminée",V256=0),"Durée d'intervention manquante",IF(AND(I256="Terminée",E256="Préventif",T256=0,OR(IFERROR(INDEX(pl_trig,MATCH(F256,pl_num,0))&amp;"","")="Compteur",IFERROR(INDEX(pl_trig,MATCH(F256,pl_num,0))&amp;"","")="Au premier des deux")),"Compteur manquant (plan au compteur)","OK"))))))))))))))))))</f>
        <v/>
      </c>
      <c r="S256" s="67">
        <f>IF(AND(ISNUMBER(B256),N(B256)&gt;0),INT(B256),0)</f>
        <v>0.0</v>
      </c>
      <c r="T256" s="67">
        <f>IF(AND(ISNUMBER(J256),N(J256)&gt;=0),N(J256),0)</f>
        <v>0.0</v>
      </c>
      <c r="U256" s="67">
        <f>IF(AND(ISNUMBER(K256),N(K256)&gt;0),N(K256),0)</f>
        <v>0.0</v>
      </c>
      <c r="V256" s="67">
        <f>IF(AND(ISNUMBER(L256),N(L256)&gt;0),N(L256),0)</f>
        <v>0.0</v>
      </c>
      <c r="W256" s="67">
        <f>IF(AND(I256="Terminée",S256&gt;0,C256&lt;&gt;"",ISNUMBER(MATCH(C256,eq_code,0))),1,0)</f>
        <v>0.0</v>
      </c>
      <c r="X256" s="67">
        <f>IF(AND(W256=1,E256="Préventif"),1,0)</f>
        <v>0.0</v>
      </c>
      <c r="Y256" s="67">
        <f>IF(AND(ISNUMBER(N256),N(N256)&gt;0),N(N256),0)</f>
        <v>0.0</v>
      </c>
      <c r="Z256" s="67">
        <f>IF(AND(ISNUMBER(P256),N(P256)&gt;0),N(P256),0)</f>
        <v>0.0</v>
      </c>
    </row>
    <row r="257">
      <c r="A257" s="79" t="str">
        <f>IF(COUNTA(B257:C257,E257:G257,I257)=0,"","BI-"&amp;RIGHT("0000"&amp;(ROW()-5),4))</f>
        <v/>
      </c>
      <c r="B257" s="72" t="n"/>
      <c r="C257" s="66" t="n"/>
      <c r="D257" s="67" t="str">
        <f>IF(C257="","",IFERROR(INDEX(eq_des,MATCH(C257,eq_code,0))&amp;"","Équipement inconnu"))</f>
        <v/>
      </c>
      <c r="E257" s="68" t="n"/>
      <c r="F257" s="68" t="n"/>
      <c r="G257" s="66" t="n"/>
      <c r="H257" s="66" t="n"/>
      <c r="I257" s="68" t="n"/>
      <c r="J257" s="73" t="n"/>
      <c r="K257" s="71" t="n"/>
      <c r="L257" s="71" t="n"/>
      <c r="M257" s="66" t="n"/>
      <c r="N257" s="80" t="n"/>
      <c r="O257" s="81" t="str">
        <f>IF(A257="","",ROUND(V257*IFERROR(N(INDEX(tech_rate,MATCH(M257,tech_name,0))),0),2))</f>
        <v/>
      </c>
      <c r="P257" s="80" t="n"/>
      <c r="Q257" s="81" t="str">
        <f>IF(A257="","",ROUND(Y257+O257+Z257,2))</f>
        <v/>
      </c>
      <c r="R257" s="79" t="str">
        <f>IF(A257="","",IF(S257=0,"Date manquante ou invalide",IF(C257="","Équipement manquant",IF(ISNA(MATCH(C257,eq_code,0)),"Équipement inconnu",IF(E257="","Type manquant",IF(AND(E257&lt;&gt;"Préventif",E257&lt;&gt;"Correctif",E257&lt;&gt;"Amélioratif"),"Type inconnu",IF(I257="","Statut manquant",IF(AND(I257&lt;&gt;"Terminée",I257&lt;&gt;"En cours",I257&lt;&gt;"À faire",I257&lt;&gt;"Annulée"),"Statut inconnu",IF(AND(E257="Préventif",F257=""),"Plan manquant (préventif)",IF(AND(F257&lt;&gt;"",ISNA(MATCH(F257,pl_num,0))),"Plan inconnu",IF(AND(F257&lt;&gt;"",IFERROR(INDEX(pl_eq,MATCH(F257,pl_num,0))&amp;"",C257)&lt;&gt;C257),"Plan d'un autre équipement",IF(AND(J257&lt;&gt;"",OR(NOT(ISNUMBER(J257)),N(J257)&lt;0)),"Compteur invalide",IF(OR(AND(K257&lt;&gt;"",OR(NOT(ISNUMBER(K257)),N(K257)&lt;0)),AND(L257&lt;&gt;"",OR(NOT(ISNUMBER(L257)),N(L257)&lt;0))),"Durée invalide",IF(OR(AND(N257&lt;&gt;"",OR(NOT(ISNUMBER(N257)),N(N257)&lt;0)),AND(P257&lt;&gt;"",OR(NOT(ISNUMBER(P257)),N(P257)&lt;0))),"Coût invalide",IF(AND(M257&lt;&gt;"",ISNA(MATCH(M257,tech_name,0))),"Technicien inconnu",IF(AND(I257="Terminée",S257&gt;p_today),"Terminée à une date future",IF(AND(I257="Terminée",V257=0),"Durée d'intervention manquante",IF(AND(I257="Terminée",E257="Préventif",T257=0,OR(IFERROR(INDEX(pl_trig,MATCH(F257,pl_num,0))&amp;"","")="Compteur",IFERROR(INDEX(pl_trig,MATCH(F257,pl_num,0))&amp;"","")="Au premier des deux")),"Compteur manquant (plan au compteur)","OK"))))))))))))))))))</f>
        <v/>
      </c>
      <c r="S257" s="67">
        <f>IF(AND(ISNUMBER(B257),N(B257)&gt;0),INT(B257),0)</f>
        <v>0.0</v>
      </c>
      <c r="T257" s="67">
        <f>IF(AND(ISNUMBER(J257),N(J257)&gt;=0),N(J257),0)</f>
        <v>0.0</v>
      </c>
      <c r="U257" s="67">
        <f>IF(AND(ISNUMBER(K257),N(K257)&gt;0),N(K257),0)</f>
        <v>0.0</v>
      </c>
      <c r="V257" s="67">
        <f>IF(AND(ISNUMBER(L257),N(L257)&gt;0),N(L257),0)</f>
        <v>0.0</v>
      </c>
      <c r="W257" s="67">
        <f>IF(AND(I257="Terminée",S257&gt;0,C257&lt;&gt;"",ISNUMBER(MATCH(C257,eq_code,0))),1,0)</f>
        <v>0.0</v>
      </c>
      <c r="X257" s="67">
        <f>IF(AND(W257=1,E257="Préventif"),1,0)</f>
        <v>0.0</v>
      </c>
      <c r="Y257" s="67">
        <f>IF(AND(ISNUMBER(N257),N(N257)&gt;0),N(N257),0)</f>
        <v>0.0</v>
      </c>
      <c r="Z257" s="67">
        <f>IF(AND(ISNUMBER(P257),N(P257)&gt;0),N(P257),0)</f>
        <v>0.0</v>
      </c>
    </row>
    <row r="258">
      <c r="A258" s="79" t="str">
        <f>IF(COUNTA(B258:C258,E258:G258,I258)=0,"","BI-"&amp;RIGHT("0000"&amp;(ROW()-5),4))</f>
        <v/>
      </c>
      <c r="B258" s="72" t="n"/>
      <c r="C258" s="66" t="n"/>
      <c r="D258" s="67" t="str">
        <f>IF(C258="","",IFERROR(INDEX(eq_des,MATCH(C258,eq_code,0))&amp;"","Équipement inconnu"))</f>
        <v/>
      </c>
      <c r="E258" s="68" t="n"/>
      <c r="F258" s="68" t="n"/>
      <c r="G258" s="66" t="n"/>
      <c r="H258" s="66" t="n"/>
      <c r="I258" s="68" t="n"/>
      <c r="J258" s="73" t="n"/>
      <c r="K258" s="71" t="n"/>
      <c r="L258" s="71" t="n"/>
      <c r="M258" s="66" t="n"/>
      <c r="N258" s="80" t="n"/>
      <c r="O258" s="81" t="str">
        <f>IF(A258="","",ROUND(V258*IFERROR(N(INDEX(tech_rate,MATCH(M258,tech_name,0))),0),2))</f>
        <v/>
      </c>
      <c r="P258" s="80" t="n"/>
      <c r="Q258" s="81" t="str">
        <f>IF(A258="","",ROUND(Y258+O258+Z258,2))</f>
        <v/>
      </c>
      <c r="R258" s="79" t="str">
        <f>IF(A258="","",IF(S258=0,"Date manquante ou invalide",IF(C258="","Équipement manquant",IF(ISNA(MATCH(C258,eq_code,0)),"Équipement inconnu",IF(E258="","Type manquant",IF(AND(E258&lt;&gt;"Préventif",E258&lt;&gt;"Correctif",E258&lt;&gt;"Amélioratif"),"Type inconnu",IF(I258="","Statut manquant",IF(AND(I258&lt;&gt;"Terminée",I258&lt;&gt;"En cours",I258&lt;&gt;"À faire",I258&lt;&gt;"Annulée"),"Statut inconnu",IF(AND(E258="Préventif",F258=""),"Plan manquant (préventif)",IF(AND(F258&lt;&gt;"",ISNA(MATCH(F258,pl_num,0))),"Plan inconnu",IF(AND(F258&lt;&gt;"",IFERROR(INDEX(pl_eq,MATCH(F258,pl_num,0))&amp;"",C258)&lt;&gt;C258),"Plan d'un autre équipement",IF(AND(J258&lt;&gt;"",OR(NOT(ISNUMBER(J258)),N(J258)&lt;0)),"Compteur invalide",IF(OR(AND(K258&lt;&gt;"",OR(NOT(ISNUMBER(K258)),N(K258)&lt;0)),AND(L258&lt;&gt;"",OR(NOT(ISNUMBER(L258)),N(L258)&lt;0))),"Durée invalide",IF(OR(AND(N258&lt;&gt;"",OR(NOT(ISNUMBER(N258)),N(N258)&lt;0)),AND(P258&lt;&gt;"",OR(NOT(ISNUMBER(P258)),N(P258)&lt;0))),"Coût invalide",IF(AND(M258&lt;&gt;"",ISNA(MATCH(M258,tech_name,0))),"Technicien inconnu",IF(AND(I258="Terminée",S258&gt;p_today),"Terminée à une date future",IF(AND(I258="Terminée",V258=0),"Durée d'intervention manquante",IF(AND(I258="Terminée",E258="Préventif",T258=0,OR(IFERROR(INDEX(pl_trig,MATCH(F258,pl_num,0))&amp;"","")="Compteur",IFERROR(INDEX(pl_trig,MATCH(F258,pl_num,0))&amp;"","")="Au premier des deux")),"Compteur manquant (plan au compteur)","OK"))))))))))))))))))</f>
        <v/>
      </c>
      <c r="S258" s="67">
        <f>IF(AND(ISNUMBER(B258),N(B258)&gt;0),INT(B258),0)</f>
        <v>0.0</v>
      </c>
      <c r="T258" s="67">
        <f>IF(AND(ISNUMBER(J258),N(J258)&gt;=0),N(J258),0)</f>
        <v>0.0</v>
      </c>
      <c r="U258" s="67">
        <f>IF(AND(ISNUMBER(K258),N(K258)&gt;0),N(K258),0)</f>
        <v>0.0</v>
      </c>
      <c r="V258" s="67">
        <f>IF(AND(ISNUMBER(L258),N(L258)&gt;0),N(L258),0)</f>
        <v>0.0</v>
      </c>
      <c r="W258" s="67">
        <f>IF(AND(I258="Terminée",S258&gt;0,C258&lt;&gt;"",ISNUMBER(MATCH(C258,eq_code,0))),1,0)</f>
        <v>0.0</v>
      </c>
      <c r="X258" s="67">
        <f>IF(AND(W258=1,E258="Préventif"),1,0)</f>
        <v>0.0</v>
      </c>
      <c r="Y258" s="67">
        <f>IF(AND(ISNUMBER(N258),N(N258)&gt;0),N(N258),0)</f>
        <v>0.0</v>
      </c>
      <c r="Z258" s="67">
        <f>IF(AND(ISNUMBER(P258),N(P258)&gt;0),N(P258),0)</f>
        <v>0.0</v>
      </c>
    </row>
    <row r="259">
      <c r="A259" s="79" t="str">
        <f>IF(COUNTA(B259:C259,E259:G259,I259)=0,"","BI-"&amp;RIGHT("0000"&amp;(ROW()-5),4))</f>
        <v/>
      </c>
      <c r="B259" s="72" t="n"/>
      <c r="C259" s="66" t="n"/>
      <c r="D259" s="67" t="str">
        <f>IF(C259="","",IFERROR(INDEX(eq_des,MATCH(C259,eq_code,0))&amp;"","Équipement inconnu"))</f>
        <v/>
      </c>
      <c r="E259" s="68" t="n"/>
      <c r="F259" s="68" t="n"/>
      <c r="G259" s="66" t="n"/>
      <c r="H259" s="66" t="n"/>
      <c r="I259" s="68" t="n"/>
      <c r="J259" s="73" t="n"/>
      <c r="K259" s="71" t="n"/>
      <c r="L259" s="71" t="n"/>
      <c r="M259" s="66" t="n"/>
      <c r="N259" s="80" t="n"/>
      <c r="O259" s="81" t="str">
        <f>IF(A259="","",ROUND(V259*IFERROR(N(INDEX(tech_rate,MATCH(M259,tech_name,0))),0),2))</f>
        <v/>
      </c>
      <c r="P259" s="80" t="n"/>
      <c r="Q259" s="81" t="str">
        <f>IF(A259="","",ROUND(Y259+O259+Z259,2))</f>
        <v/>
      </c>
      <c r="R259" s="79" t="str">
        <f>IF(A259="","",IF(S259=0,"Date manquante ou invalide",IF(C259="","Équipement manquant",IF(ISNA(MATCH(C259,eq_code,0)),"Équipement inconnu",IF(E259="","Type manquant",IF(AND(E259&lt;&gt;"Préventif",E259&lt;&gt;"Correctif",E259&lt;&gt;"Amélioratif"),"Type inconnu",IF(I259="","Statut manquant",IF(AND(I259&lt;&gt;"Terminée",I259&lt;&gt;"En cours",I259&lt;&gt;"À faire",I259&lt;&gt;"Annulée"),"Statut inconnu",IF(AND(E259="Préventif",F259=""),"Plan manquant (préventif)",IF(AND(F259&lt;&gt;"",ISNA(MATCH(F259,pl_num,0))),"Plan inconnu",IF(AND(F259&lt;&gt;"",IFERROR(INDEX(pl_eq,MATCH(F259,pl_num,0))&amp;"",C259)&lt;&gt;C259),"Plan d'un autre équipement",IF(AND(J259&lt;&gt;"",OR(NOT(ISNUMBER(J259)),N(J259)&lt;0)),"Compteur invalide",IF(OR(AND(K259&lt;&gt;"",OR(NOT(ISNUMBER(K259)),N(K259)&lt;0)),AND(L259&lt;&gt;"",OR(NOT(ISNUMBER(L259)),N(L259)&lt;0))),"Durée invalide",IF(OR(AND(N259&lt;&gt;"",OR(NOT(ISNUMBER(N259)),N(N259)&lt;0)),AND(P259&lt;&gt;"",OR(NOT(ISNUMBER(P259)),N(P259)&lt;0))),"Coût invalide",IF(AND(M259&lt;&gt;"",ISNA(MATCH(M259,tech_name,0))),"Technicien inconnu",IF(AND(I259="Terminée",S259&gt;p_today),"Terminée à une date future",IF(AND(I259="Terminée",V259=0),"Durée d'intervention manquante",IF(AND(I259="Terminée",E259="Préventif",T259=0,OR(IFERROR(INDEX(pl_trig,MATCH(F259,pl_num,0))&amp;"","")="Compteur",IFERROR(INDEX(pl_trig,MATCH(F259,pl_num,0))&amp;"","")="Au premier des deux")),"Compteur manquant (plan au compteur)","OK"))))))))))))))))))</f>
        <v/>
      </c>
      <c r="S259" s="67">
        <f>IF(AND(ISNUMBER(B259),N(B259)&gt;0),INT(B259),0)</f>
        <v>0.0</v>
      </c>
      <c r="T259" s="67">
        <f>IF(AND(ISNUMBER(J259),N(J259)&gt;=0),N(J259),0)</f>
        <v>0.0</v>
      </c>
      <c r="U259" s="67">
        <f>IF(AND(ISNUMBER(K259),N(K259)&gt;0),N(K259),0)</f>
        <v>0.0</v>
      </c>
      <c r="V259" s="67">
        <f>IF(AND(ISNUMBER(L259),N(L259)&gt;0),N(L259),0)</f>
        <v>0.0</v>
      </c>
      <c r="W259" s="67">
        <f>IF(AND(I259="Terminée",S259&gt;0,C259&lt;&gt;"",ISNUMBER(MATCH(C259,eq_code,0))),1,0)</f>
        <v>0.0</v>
      </c>
      <c r="X259" s="67">
        <f>IF(AND(W259=1,E259="Préventif"),1,0)</f>
        <v>0.0</v>
      </c>
      <c r="Y259" s="67">
        <f>IF(AND(ISNUMBER(N259),N(N259)&gt;0),N(N259),0)</f>
        <v>0.0</v>
      </c>
      <c r="Z259" s="67">
        <f>IF(AND(ISNUMBER(P259),N(P259)&gt;0),N(P259),0)</f>
        <v>0.0</v>
      </c>
    </row>
    <row r="260">
      <c r="A260" s="79" t="str">
        <f>IF(COUNTA(B260:C260,E260:G260,I260)=0,"","BI-"&amp;RIGHT("0000"&amp;(ROW()-5),4))</f>
        <v/>
      </c>
      <c r="B260" s="72" t="n"/>
      <c r="C260" s="66" t="n"/>
      <c r="D260" s="67" t="str">
        <f>IF(C260="","",IFERROR(INDEX(eq_des,MATCH(C260,eq_code,0))&amp;"","Équipement inconnu"))</f>
        <v/>
      </c>
      <c r="E260" s="68" t="n"/>
      <c r="F260" s="68" t="n"/>
      <c r="G260" s="66" t="n"/>
      <c r="H260" s="66" t="n"/>
      <c r="I260" s="68" t="n"/>
      <c r="J260" s="73" t="n"/>
      <c r="K260" s="71" t="n"/>
      <c r="L260" s="71" t="n"/>
      <c r="M260" s="66" t="n"/>
      <c r="N260" s="80" t="n"/>
      <c r="O260" s="81" t="str">
        <f>IF(A260="","",ROUND(V260*IFERROR(N(INDEX(tech_rate,MATCH(M260,tech_name,0))),0),2))</f>
        <v/>
      </c>
      <c r="P260" s="80" t="n"/>
      <c r="Q260" s="81" t="str">
        <f>IF(A260="","",ROUND(Y260+O260+Z260,2))</f>
        <v/>
      </c>
      <c r="R260" s="79" t="str">
        <f>IF(A260="","",IF(S260=0,"Date manquante ou invalide",IF(C260="","Équipement manquant",IF(ISNA(MATCH(C260,eq_code,0)),"Équipement inconnu",IF(E260="","Type manquant",IF(AND(E260&lt;&gt;"Préventif",E260&lt;&gt;"Correctif",E260&lt;&gt;"Amélioratif"),"Type inconnu",IF(I260="","Statut manquant",IF(AND(I260&lt;&gt;"Terminée",I260&lt;&gt;"En cours",I260&lt;&gt;"À faire",I260&lt;&gt;"Annulée"),"Statut inconnu",IF(AND(E260="Préventif",F260=""),"Plan manquant (préventif)",IF(AND(F260&lt;&gt;"",ISNA(MATCH(F260,pl_num,0))),"Plan inconnu",IF(AND(F260&lt;&gt;"",IFERROR(INDEX(pl_eq,MATCH(F260,pl_num,0))&amp;"",C260)&lt;&gt;C260),"Plan d'un autre équipement",IF(AND(J260&lt;&gt;"",OR(NOT(ISNUMBER(J260)),N(J260)&lt;0)),"Compteur invalide",IF(OR(AND(K260&lt;&gt;"",OR(NOT(ISNUMBER(K260)),N(K260)&lt;0)),AND(L260&lt;&gt;"",OR(NOT(ISNUMBER(L260)),N(L260)&lt;0))),"Durée invalide",IF(OR(AND(N260&lt;&gt;"",OR(NOT(ISNUMBER(N260)),N(N260)&lt;0)),AND(P260&lt;&gt;"",OR(NOT(ISNUMBER(P260)),N(P260)&lt;0))),"Coût invalide",IF(AND(M260&lt;&gt;"",ISNA(MATCH(M260,tech_name,0))),"Technicien inconnu",IF(AND(I260="Terminée",S260&gt;p_today),"Terminée à une date future",IF(AND(I260="Terminée",V260=0),"Durée d'intervention manquante",IF(AND(I260="Terminée",E260="Préventif",T260=0,OR(IFERROR(INDEX(pl_trig,MATCH(F260,pl_num,0))&amp;"","")="Compteur",IFERROR(INDEX(pl_trig,MATCH(F260,pl_num,0))&amp;"","")="Au premier des deux")),"Compteur manquant (plan au compteur)","OK"))))))))))))))))))</f>
        <v/>
      </c>
      <c r="S260" s="67">
        <f>IF(AND(ISNUMBER(B260),N(B260)&gt;0),INT(B260),0)</f>
        <v>0.0</v>
      </c>
      <c r="T260" s="67">
        <f>IF(AND(ISNUMBER(J260),N(J260)&gt;=0),N(J260),0)</f>
        <v>0.0</v>
      </c>
      <c r="U260" s="67">
        <f>IF(AND(ISNUMBER(K260),N(K260)&gt;0),N(K260),0)</f>
        <v>0.0</v>
      </c>
      <c r="V260" s="67">
        <f>IF(AND(ISNUMBER(L260),N(L260)&gt;0),N(L260),0)</f>
        <v>0.0</v>
      </c>
      <c r="W260" s="67">
        <f>IF(AND(I260="Terminée",S260&gt;0,C260&lt;&gt;"",ISNUMBER(MATCH(C260,eq_code,0))),1,0)</f>
        <v>0.0</v>
      </c>
      <c r="X260" s="67">
        <f>IF(AND(W260=1,E260="Préventif"),1,0)</f>
        <v>0.0</v>
      </c>
      <c r="Y260" s="67">
        <f>IF(AND(ISNUMBER(N260),N(N260)&gt;0),N(N260),0)</f>
        <v>0.0</v>
      </c>
      <c r="Z260" s="67">
        <f>IF(AND(ISNUMBER(P260),N(P260)&gt;0),N(P260),0)</f>
        <v>0.0</v>
      </c>
    </row>
    <row r="261">
      <c r="A261" s="79" t="str">
        <f>IF(COUNTA(B261:C261,E261:G261,I261)=0,"","BI-"&amp;RIGHT("0000"&amp;(ROW()-5),4))</f>
        <v/>
      </c>
      <c r="B261" s="72" t="n"/>
      <c r="C261" s="66" t="n"/>
      <c r="D261" s="67" t="str">
        <f>IF(C261="","",IFERROR(INDEX(eq_des,MATCH(C261,eq_code,0))&amp;"","Équipement inconnu"))</f>
        <v/>
      </c>
      <c r="E261" s="68" t="n"/>
      <c r="F261" s="68" t="n"/>
      <c r="G261" s="66" t="n"/>
      <c r="H261" s="66" t="n"/>
      <c r="I261" s="68" t="n"/>
      <c r="J261" s="73" t="n"/>
      <c r="K261" s="71" t="n"/>
      <c r="L261" s="71" t="n"/>
      <c r="M261" s="66" t="n"/>
      <c r="N261" s="80" t="n"/>
      <c r="O261" s="81" t="str">
        <f>IF(A261="","",ROUND(V261*IFERROR(N(INDEX(tech_rate,MATCH(M261,tech_name,0))),0),2))</f>
        <v/>
      </c>
      <c r="P261" s="80" t="n"/>
      <c r="Q261" s="81" t="str">
        <f>IF(A261="","",ROUND(Y261+O261+Z261,2))</f>
        <v/>
      </c>
      <c r="R261" s="79" t="str">
        <f>IF(A261="","",IF(S261=0,"Date manquante ou invalide",IF(C261="","Équipement manquant",IF(ISNA(MATCH(C261,eq_code,0)),"Équipement inconnu",IF(E261="","Type manquant",IF(AND(E261&lt;&gt;"Préventif",E261&lt;&gt;"Correctif",E261&lt;&gt;"Amélioratif"),"Type inconnu",IF(I261="","Statut manquant",IF(AND(I261&lt;&gt;"Terminée",I261&lt;&gt;"En cours",I261&lt;&gt;"À faire",I261&lt;&gt;"Annulée"),"Statut inconnu",IF(AND(E261="Préventif",F261=""),"Plan manquant (préventif)",IF(AND(F261&lt;&gt;"",ISNA(MATCH(F261,pl_num,0))),"Plan inconnu",IF(AND(F261&lt;&gt;"",IFERROR(INDEX(pl_eq,MATCH(F261,pl_num,0))&amp;"",C261)&lt;&gt;C261),"Plan d'un autre équipement",IF(AND(J261&lt;&gt;"",OR(NOT(ISNUMBER(J261)),N(J261)&lt;0)),"Compteur invalide",IF(OR(AND(K261&lt;&gt;"",OR(NOT(ISNUMBER(K261)),N(K261)&lt;0)),AND(L261&lt;&gt;"",OR(NOT(ISNUMBER(L261)),N(L261)&lt;0))),"Durée invalide",IF(OR(AND(N261&lt;&gt;"",OR(NOT(ISNUMBER(N261)),N(N261)&lt;0)),AND(P261&lt;&gt;"",OR(NOT(ISNUMBER(P261)),N(P261)&lt;0))),"Coût invalide",IF(AND(M261&lt;&gt;"",ISNA(MATCH(M261,tech_name,0))),"Technicien inconnu",IF(AND(I261="Terminée",S261&gt;p_today),"Terminée à une date future",IF(AND(I261="Terminée",V261=0),"Durée d'intervention manquante",IF(AND(I261="Terminée",E261="Préventif",T261=0,OR(IFERROR(INDEX(pl_trig,MATCH(F261,pl_num,0))&amp;"","")="Compteur",IFERROR(INDEX(pl_trig,MATCH(F261,pl_num,0))&amp;"","")="Au premier des deux")),"Compteur manquant (plan au compteur)","OK"))))))))))))))))))</f>
        <v/>
      </c>
      <c r="S261" s="67">
        <f>IF(AND(ISNUMBER(B261),N(B261)&gt;0),INT(B261),0)</f>
        <v>0.0</v>
      </c>
      <c r="T261" s="67">
        <f>IF(AND(ISNUMBER(J261),N(J261)&gt;=0),N(J261),0)</f>
        <v>0.0</v>
      </c>
      <c r="U261" s="67">
        <f>IF(AND(ISNUMBER(K261),N(K261)&gt;0),N(K261),0)</f>
        <v>0.0</v>
      </c>
      <c r="V261" s="67">
        <f>IF(AND(ISNUMBER(L261),N(L261)&gt;0),N(L261),0)</f>
        <v>0.0</v>
      </c>
      <c r="W261" s="67">
        <f>IF(AND(I261="Terminée",S261&gt;0,C261&lt;&gt;"",ISNUMBER(MATCH(C261,eq_code,0))),1,0)</f>
        <v>0.0</v>
      </c>
      <c r="X261" s="67">
        <f>IF(AND(W261=1,E261="Préventif"),1,0)</f>
        <v>0.0</v>
      </c>
      <c r="Y261" s="67">
        <f>IF(AND(ISNUMBER(N261),N(N261)&gt;0),N(N261),0)</f>
        <v>0.0</v>
      </c>
      <c r="Z261" s="67">
        <f>IF(AND(ISNUMBER(P261),N(P261)&gt;0),N(P261),0)</f>
        <v>0.0</v>
      </c>
    </row>
    <row r="262">
      <c r="A262" s="79" t="str">
        <f>IF(COUNTA(B262:C262,E262:G262,I262)=0,"","BI-"&amp;RIGHT("0000"&amp;(ROW()-5),4))</f>
        <v/>
      </c>
      <c r="B262" s="72" t="n"/>
      <c r="C262" s="66" t="n"/>
      <c r="D262" s="67" t="str">
        <f>IF(C262="","",IFERROR(INDEX(eq_des,MATCH(C262,eq_code,0))&amp;"","Équipement inconnu"))</f>
        <v/>
      </c>
      <c r="E262" s="68" t="n"/>
      <c r="F262" s="68" t="n"/>
      <c r="G262" s="66" t="n"/>
      <c r="H262" s="66" t="n"/>
      <c r="I262" s="68" t="n"/>
      <c r="J262" s="73" t="n"/>
      <c r="K262" s="71" t="n"/>
      <c r="L262" s="71" t="n"/>
      <c r="M262" s="66" t="n"/>
      <c r="N262" s="80" t="n"/>
      <c r="O262" s="81" t="str">
        <f>IF(A262="","",ROUND(V262*IFERROR(N(INDEX(tech_rate,MATCH(M262,tech_name,0))),0),2))</f>
        <v/>
      </c>
      <c r="P262" s="80" t="n"/>
      <c r="Q262" s="81" t="str">
        <f>IF(A262="","",ROUND(Y262+O262+Z262,2))</f>
        <v/>
      </c>
      <c r="R262" s="79" t="str">
        <f>IF(A262="","",IF(S262=0,"Date manquante ou invalide",IF(C262="","Équipement manquant",IF(ISNA(MATCH(C262,eq_code,0)),"Équipement inconnu",IF(E262="","Type manquant",IF(AND(E262&lt;&gt;"Préventif",E262&lt;&gt;"Correctif",E262&lt;&gt;"Amélioratif"),"Type inconnu",IF(I262="","Statut manquant",IF(AND(I262&lt;&gt;"Terminée",I262&lt;&gt;"En cours",I262&lt;&gt;"À faire",I262&lt;&gt;"Annulée"),"Statut inconnu",IF(AND(E262="Préventif",F262=""),"Plan manquant (préventif)",IF(AND(F262&lt;&gt;"",ISNA(MATCH(F262,pl_num,0))),"Plan inconnu",IF(AND(F262&lt;&gt;"",IFERROR(INDEX(pl_eq,MATCH(F262,pl_num,0))&amp;"",C262)&lt;&gt;C262),"Plan d'un autre équipement",IF(AND(J262&lt;&gt;"",OR(NOT(ISNUMBER(J262)),N(J262)&lt;0)),"Compteur invalide",IF(OR(AND(K262&lt;&gt;"",OR(NOT(ISNUMBER(K262)),N(K262)&lt;0)),AND(L262&lt;&gt;"",OR(NOT(ISNUMBER(L262)),N(L262)&lt;0))),"Durée invalide",IF(OR(AND(N262&lt;&gt;"",OR(NOT(ISNUMBER(N262)),N(N262)&lt;0)),AND(P262&lt;&gt;"",OR(NOT(ISNUMBER(P262)),N(P262)&lt;0))),"Coût invalide",IF(AND(M262&lt;&gt;"",ISNA(MATCH(M262,tech_name,0))),"Technicien inconnu",IF(AND(I262="Terminée",S262&gt;p_today),"Terminée à une date future",IF(AND(I262="Terminée",V262=0),"Durée d'intervention manquante",IF(AND(I262="Terminée",E262="Préventif",T262=0,OR(IFERROR(INDEX(pl_trig,MATCH(F262,pl_num,0))&amp;"","")="Compteur",IFERROR(INDEX(pl_trig,MATCH(F262,pl_num,0))&amp;"","")="Au premier des deux")),"Compteur manquant (plan au compteur)","OK"))))))))))))))))))</f>
        <v/>
      </c>
      <c r="S262" s="67">
        <f>IF(AND(ISNUMBER(B262),N(B262)&gt;0),INT(B262),0)</f>
        <v>0.0</v>
      </c>
      <c r="T262" s="67">
        <f>IF(AND(ISNUMBER(J262),N(J262)&gt;=0),N(J262),0)</f>
        <v>0.0</v>
      </c>
      <c r="U262" s="67">
        <f>IF(AND(ISNUMBER(K262),N(K262)&gt;0),N(K262),0)</f>
        <v>0.0</v>
      </c>
      <c r="V262" s="67">
        <f>IF(AND(ISNUMBER(L262),N(L262)&gt;0),N(L262),0)</f>
        <v>0.0</v>
      </c>
      <c r="W262" s="67">
        <f>IF(AND(I262="Terminée",S262&gt;0,C262&lt;&gt;"",ISNUMBER(MATCH(C262,eq_code,0))),1,0)</f>
        <v>0.0</v>
      </c>
      <c r="X262" s="67">
        <f>IF(AND(W262=1,E262="Préventif"),1,0)</f>
        <v>0.0</v>
      </c>
      <c r="Y262" s="67">
        <f>IF(AND(ISNUMBER(N262),N(N262)&gt;0),N(N262),0)</f>
        <v>0.0</v>
      </c>
      <c r="Z262" s="67">
        <f>IF(AND(ISNUMBER(P262),N(P262)&gt;0),N(P262),0)</f>
        <v>0.0</v>
      </c>
    </row>
    <row r="263">
      <c r="A263" s="79" t="str">
        <f>IF(COUNTA(B263:C263,E263:G263,I263)=0,"","BI-"&amp;RIGHT("0000"&amp;(ROW()-5),4))</f>
        <v/>
      </c>
      <c r="B263" s="72" t="n"/>
      <c r="C263" s="66" t="n"/>
      <c r="D263" s="67" t="str">
        <f>IF(C263="","",IFERROR(INDEX(eq_des,MATCH(C263,eq_code,0))&amp;"","Équipement inconnu"))</f>
        <v/>
      </c>
      <c r="E263" s="68" t="n"/>
      <c r="F263" s="68" t="n"/>
      <c r="G263" s="66" t="n"/>
      <c r="H263" s="66" t="n"/>
      <c r="I263" s="68" t="n"/>
      <c r="J263" s="73" t="n"/>
      <c r="K263" s="71" t="n"/>
      <c r="L263" s="71" t="n"/>
      <c r="M263" s="66" t="n"/>
      <c r="N263" s="80" t="n"/>
      <c r="O263" s="81" t="str">
        <f>IF(A263="","",ROUND(V263*IFERROR(N(INDEX(tech_rate,MATCH(M263,tech_name,0))),0),2))</f>
        <v/>
      </c>
      <c r="P263" s="80" t="n"/>
      <c r="Q263" s="81" t="str">
        <f>IF(A263="","",ROUND(Y263+O263+Z263,2))</f>
        <v/>
      </c>
      <c r="R263" s="79" t="str">
        <f>IF(A263="","",IF(S263=0,"Date manquante ou invalide",IF(C263="","Équipement manquant",IF(ISNA(MATCH(C263,eq_code,0)),"Équipement inconnu",IF(E263="","Type manquant",IF(AND(E263&lt;&gt;"Préventif",E263&lt;&gt;"Correctif",E263&lt;&gt;"Amélioratif"),"Type inconnu",IF(I263="","Statut manquant",IF(AND(I263&lt;&gt;"Terminée",I263&lt;&gt;"En cours",I263&lt;&gt;"À faire",I263&lt;&gt;"Annulée"),"Statut inconnu",IF(AND(E263="Préventif",F263=""),"Plan manquant (préventif)",IF(AND(F263&lt;&gt;"",ISNA(MATCH(F263,pl_num,0))),"Plan inconnu",IF(AND(F263&lt;&gt;"",IFERROR(INDEX(pl_eq,MATCH(F263,pl_num,0))&amp;"",C263)&lt;&gt;C263),"Plan d'un autre équipement",IF(AND(J263&lt;&gt;"",OR(NOT(ISNUMBER(J263)),N(J263)&lt;0)),"Compteur invalide",IF(OR(AND(K263&lt;&gt;"",OR(NOT(ISNUMBER(K263)),N(K263)&lt;0)),AND(L263&lt;&gt;"",OR(NOT(ISNUMBER(L263)),N(L263)&lt;0))),"Durée invalide",IF(OR(AND(N263&lt;&gt;"",OR(NOT(ISNUMBER(N263)),N(N263)&lt;0)),AND(P263&lt;&gt;"",OR(NOT(ISNUMBER(P263)),N(P263)&lt;0))),"Coût invalide",IF(AND(M263&lt;&gt;"",ISNA(MATCH(M263,tech_name,0))),"Technicien inconnu",IF(AND(I263="Terminée",S263&gt;p_today),"Terminée à une date future",IF(AND(I263="Terminée",V263=0),"Durée d'intervention manquante",IF(AND(I263="Terminée",E263="Préventif",T263=0,OR(IFERROR(INDEX(pl_trig,MATCH(F263,pl_num,0))&amp;"","")="Compteur",IFERROR(INDEX(pl_trig,MATCH(F263,pl_num,0))&amp;"","")="Au premier des deux")),"Compteur manquant (plan au compteur)","OK"))))))))))))))))))</f>
        <v/>
      </c>
      <c r="S263" s="67">
        <f>IF(AND(ISNUMBER(B263),N(B263)&gt;0),INT(B263),0)</f>
        <v>0.0</v>
      </c>
      <c r="T263" s="67">
        <f>IF(AND(ISNUMBER(J263),N(J263)&gt;=0),N(J263),0)</f>
        <v>0.0</v>
      </c>
      <c r="U263" s="67">
        <f>IF(AND(ISNUMBER(K263),N(K263)&gt;0),N(K263),0)</f>
        <v>0.0</v>
      </c>
      <c r="V263" s="67">
        <f>IF(AND(ISNUMBER(L263),N(L263)&gt;0),N(L263),0)</f>
        <v>0.0</v>
      </c>
      <c r="W263" s="67">
        <f>IF(AND(I263="Terminée",S263&gt;0,C263&lt;&gt;"",ISNUMBER(MATCH(C263,eq_code,0))),1,0)</f>
        <v>0.0</v>
      </c>
      <c r="X263" s="67">
        <f>IF(AND(W263=1,E263="Préventif"),1,0)</f>
        <v>0.0</v>
      </c>
      <c r="Y263" s="67">
        <f>IF(AND(ISNUMBER(N263),N(N263)&gt;0),N(N263),0)</f>
        <v>0.0</v>
      </c>
      <c r="Z263" s="67">
        <f>IF(AND(ISNUMBER(P263),N(P263)&gt;0),N(P263),0)</f>
        <v>0.0</v>
      </c>
    </row>
    <row r="264">
      <c r="A264" s="79" t="str">
        <f>IF(COUNTA(B264:C264,E264:G264,I264)=0,"","BI-"&amp;RIGHT("0000"&amp;(ROW()-5),4))</f>
        <v/>
      </c>
      <c r="B264" s="72" t="n"/>
      <c r="C264" s="66" t="n"/>
      <c r="D264" s="67" t="str">
        <f>IF(C264="","",IFERROR(INDEX(eq_des,MATCH(C264,eq_code,0))&amp;"","Équipement inconnu"))</f>
        <v/>
      </c>
      <c r="E264" s="68" t="n"/>
      <c r="F264" s="68" t="n"/>
      <c r="G264" s="66" t="n"/>
      <c r="H264" s="66" t="n"/>
      <c r="I264" s="68" t="n"/>
      <c r="J264" s="73" t="n"/>
      <c r="K264" s="71" t="n"/>
      <c r="L264" s="71" t="n"/>
      <c r="M264" s="66" t="n"/>
      <c r="N264" s="80" t="n"/>
      <c r="O264" s="81" t="str">
        <f>IF(A264="","",ROUND(V264*IFERROR(N(INDEX(tech_rate,MATCH(M264,tech_name,0))),0),2))</f>
        <v/>
      </c>
      <c r="P264" s="80" t="n"/>
      <c r="Q264" s="81" t="str">
        <f>IF(A264="","",ROUND(Y264+O264+Z264,2))</f>
        <v/>
      </c>
      <c r="R264" s="79" t="str">
        <f>IF(A264="","",IF(S264=0,"Date manquante ou invalide",IF(C264="","Équipement manquant",IF(ISNA(MATCH(C264,eq_code,0)),"Équipement inconnu",IF(E264="","Type manquant",IF(AND(E264&lt;&gt;"Préventif",E264&lt;&gt;"Correctif",E264&lt;&gt;"Amélioratif"),"Type inconnu",IF(I264="","Statut manquant",IF(AND(I264&lt;&gt;"Terminée",I264&lt;&gt;"En cours",I264&lt;&gt;"À faire",I264&lt;&gt;"Annulée"),"Statut inconnu",IF(AND(E264="Préventif",F264=""),"Plan manquant (préventif)",IF(AND(F264&lt;&gt;"",ISNA(MATCH(F264,pl_num,0))),"Plan inconnu",IF(AND(F264&lt;&gt;"",IFERROR(INDEX(pl_eq,MATCH(F264,pl_num,0))&amp;"",C264)&lt;&gt;C264),"Plan d'un autre équipement",IF(AND(J264&lt;&gt;"",OR(NOT(ISNUMBER(J264)),N(J264)&lt;0)),"Compteur invalide",IF(OR(AND(K264&lt;&gt;"",OR(NOT(ISNUMBER(K264)),N(K264)&lt;0)),AND(L264&lt;&gt;"",OR(NOT(ISNUMBER(L264)),N(L264)&lt;0))),"Durée invalide",IF(OR(AND(N264&lt;&gt;"",OR(NOT(ISNUMBER(N264)),N(N264)&lt;0)),AND(P264&lt;&gt;"",OR(NOT(ISNUMBER(P264)),N(P264)&lt;0))),"Coût invalide",IF(AND(M264&lt;&gt;"",ISNA(MATCH(M264,tech_name,0))),"Technicien inconnu",IF(AND(I264="Terminée",S264&gt;p_today),"Terminée à une date future",IF(AND(I264="Terminée",V264=0),"Durée d'intervention manquante",IF(AND(I264="Terminée",E264="Préventif",T264=0,OR(IFERROR(INDEX(pl_trig,MATCH(F264,pl_num,0))&amp;"","")="Compteur",IFERROR(INDEX(pl_trig,MATCH(F264,pl_num,0))&amp;"","")="Au premier des deux")),"Compteur manquant (plan au compteur)","OK"))))))))))))))))))</f>
        <v/>
      </c>
      <c r="S264" s="67">
        <f>IF(AND(ISNUMBER(B264),N(B264)&gt;0),INT(B264),0)</f>
        <v>0.0</v>
      </c>
      <c r="T264" s="67">
        <f>IF(AND(ISNUMBER(J264),N(J264)&gt;=0),N(J264),0)</f>
        <v>0.0</v>
      </c>
      <c r="U264" s="67">
        <f>IF(AND(ISNUMBER(K264),N(K264)&gt;0),N(K264),0)</f>
        <v>0.0</v>
      </c>
      <c r="V264" s="67">
        <f>IF(AND(ISNUMBER(L264),N(L264)&gt;0),N(L264),0)</f>
        <v>0.0</v>
      </c>
      <c r="W264" s="67">
        <f>IF(AND(I264="Terminée",S264&gt;0,C264&lt;&gt;"",ISNUMBER(MATCH(C264,eq_code,0))),1,0)</f>
        <v>0.0</v>
      </c>
      <c r="X264" s="67">
        <f>IF(AND(W264=1,E264="Préventif"),1,0)</f>
        <v>0.0</v>
      </c>
      <c r="Y264" s="67">
        <f>IF(AND(ISNUMBER(N264),N(N264)&gt;0),N(N264),0)</f>
        <v>0.0</v>
      </c>
      <c r="Z264" s="67">
        <f>IF(AND(ISNUMBER(P264),N(P264)&gt;0),N(P264),0)</f>
        <v>0.0</v>
      </c>
    </row>
    <row r="265">
      <c r="A265" s="79" t="str">
        <f>IF(COUNTA(B265:C265,E265:G265,I265)=0,"","BI-"&amp;RIGHT("0000"&amp;(ROW()-5),4))</f>
        <v/>
      </c>
      <c r="B265" s="72" t="n"/>
      <c r="C265" s="66" t="n"/>
      <c r="D265" s="67" t="str">
        <f>IF(C265="","",IFERROR(INDEX(eq_des,MATCH(C265,eq_code,0))&amp;"","Équipement inconnu"))</f>
        <v/>
      </c>
      <c r="E265" s="68" t="n"/>
      <c r="F265" s="68" t="n"/>
      <c r="G265" s="66" t="n"/>
      <c r="H265" s="66" t="n"/>
      <c r="I265" s="68" t="n"/>
      <c r="J265" s="73" t="n"/>
      <c r="K265" s="71" t="n"/>
      <c r="L265" s="71" t="n"/>
      <c r="M265" s="66" t="n"/>
      <c r="N265" s="80" t="n"/>
      <c r="O265" s="81" t="str">
        <f>IF(A265="","",ROUND(V265*IFERROR(N(INDEX(tech_rate,MATCH(M265,tech_name,0))),0),2))</f>
        <v/>
      </c>
      <c r="P265" s="80" t="n"/>
      <c r="Q265" s="81" t="str">
        <f>IF(A265="","",ROUND(Y265+O265+Z265,2))</f>
        <v/>
      </c>
      <c r="R265" s="79" t="str">
        <f>IF(A265="","",IF(S265=0,"Date manquante ou invalide",IF(C265="","Équipement manquant",IF(ISNA(MATCH(C265,eq_code,0)),"Équipement inconnu",IF(E265="","Type manquant",IF(AND(E265&lt;&gt;"Préventif",E265&lt;&gt;"Correctif",E265&lt;&gt;"Amélioratif"),"Type inconnu",IF(I265="","Statut manquant",IF(AND(I265&lt;&gt;"Terminée",I265&lt;&gt;"En cours",I265&lt;&gt;"À faire",I265&lt;&gt;"Annulée"),"Statut inconnu",IF(AND(E265="Préventif",F265=""),"Plan manquant (préventif)",IF(AND(F265&lt;&gt;"",ISNA(MATCH(F265,pl_num,0))),"Plan inconnu",IF(AND(F265&lt;&gt;"",IFERROR(INDEX(pl_eq,MATCH(F265,pl_num,0))&amp;"",C265)&lt;&gt;C265),"Plan d'un autre équipement",IF(AND(J265&lt;&gt;"",OR(NOT(ISNUMBER(J265)),N(J265)&lt;0)),"Compteur invalide",IF(OR(AND(K265&lt;&gt;"",OR(NOT(ISNUMBER(K265)),N(K265)&lt;0)),AND(L265&lt;&gt;"",OR(NOT(ISNUMBER(L265)),N(L265)&lt;0))),"Durée invalide",IF(OR(AND(N265&lt;&gt;"",OR(NOT(ISNUMBER(N265)),N(N265)&lt;0)),AND(P265&lt;&gt;"",OR(NOT(ISNUMBER(P265)),N(P265)&lt;0))),"Coût invalide",IF(AND(M265&lt;&gt;"",ISNA(MATCH(M265,tech_name,0))),"Technicien inconnu",IF(AND(I265="Terminée",S265&gt;p_today),"Terminée à une date future",IF(AND(I265="Terminée",V265=0),"Durée d'intervention manquante",IF(AND(I265="Terminée",E265="Préventif",T265=0,OR(IFERROR(INDEX(pl_trig,MATCH(F265,pl_num,0))&amp;"","")="Compteur",IFERROR(INDEX(pl_trig,MATCH(F265,pl_num,0))&amp;"","")="Au premier des deux")),"Compteur manquant (plan au compteur)","OK"))))))))))))))))))</f>
        <v/>
      </c>
      <c r="S265" s="67">
        <f>IF(AND(ISNUMBER(B265),N(B265)&gt;0),INT(B265),0)</f>
        <v>0.0</v>
      </c>
      <c r="T265" s="67">
        <f>IF(AND(ISNUMBER(J265),N(J265)&gt;=0),N(J265),0)</f>
        <v>0.0</v>
      </c>
      <c r="U265" s="67">
        <f>IF(AND(ISNUMBER(K265),N(K265)&gt;0),N(K265),0)</f>
        <v>0.0</v>
      </c>
      <c r="V265" s="67">
        <f>IF(AND(ISNUMBER(L265),N(L265)&gt;0),N(L265),0)</f>
        <v>0.0</v>
      </c>
      <c r="W265" s="67">
        <f>IF(AND(I265="Terminée",S265&gt;0,C265&lt;&gt;"",ISNUMBER(MATCH(C265,eq_code,0))),1,0)</f>
        <v>0.0</v>
      </c>
      <c r="X265" s="67">
        <f>IF(AND(W265=1,E265="Préventif"),1,0)</f>
        <v>0.0</v>
      </c>
      <c r="Y265" s="67">
        <f>IF(AND(ISNUMBER(N265),N(N265)&gt;0),N(N265),0)</f>
        <v>0.0</v>
      </c>
      <c r="Z265" s="67">
        <f>IF(AND(ISNUMBER(P265),N(P265)&gt;0),N(P265),0)</f>
        <v>0.0</v>
      </c>
    </row>
    <row r="266">
      <c r="A266" s="79" t="str">
        <f>IF(COUNTA(B266:C266,E266:G266,I266)=0,"","BI-"&amp;RIGHT("0000"&amp;(ROW()-5),4))</f>
        <v/>
      </c>
      <c r="B266" s="72" t="n"/>
      <c r="C266" s="66" t="n"/>
      <c r="D266" s="67" t="str">
        <f>IF(C266="","",IFERROR(INDEX(eq_des,MATCH(C266,eq_code,0))&amp;"","Équipement inconnu"))</f>
        <v/>
      </c>
      <c r="E266" s="68" t="n"/>
      <c r="F266" s="68" t="n"/>
      <c r="G266" s="66" t="n"/>
      <c r="H266" s="66" t="n"/>
      <c r="I266" s="68" t="n"/>
      <c r="J266" s="73" t="n"/>
      <c r="K266" s="71" t="n"/>
      <c r="L266" s="71" t="n"/>
      <c r="M266" s="66" t="n"/>
      <c r="N266" s="80" t="n"/>
      <c r="O266" s="81" t="str">
        <f>IF(A266="","",ROUND(V266*IFERROR(N(INDEX(tech_rate,MATCH(M266,tech_name,0))),0),2))</f>
        <v/>
      </c>
      <c r="P266" s="80" t="n"/>
      <c r="Q266" s="81" t="str">
        <f>IF(A266="","",ROUND(Y266+O266+Z266,2))</f>
        <v/>
      </c>
      <c r="R266" s="79" t="str">
        <f>IF(A266="","",IF(S266=0,"Date manquante ou invalide",IF(C266="","Équipement manquant",IF(ISNA(MATCH(C266,eq_code,0)),"Équipement inconnu",IF(E266="","Type manquant",IF(AND(E266&lt;&gt;"Préventif",E266&lt;&gt;"Correctif",E266&lt;&gt;"Amélioratif"),"Type inconnu",IF(I266="","Statut manquant",IF(AND(I266&lt;&gt;"Terminée",I266&lt;&gt;"En cours",I266&lt;&gt;"À faire",I266&lt;&gt;"Annulée"),"Statut inconnu",IF(AND(E266="Préventif",F266=""),"Plan manquant (préventif)",IF(AND(F266&lt;&gt;"",ISNA(MATCH(F266,pl_num,0))),"Plan inconnu",IF(AND(F266&lt;&gt;"",IFERROR(INDEX(pl_eq,MATCH(F266,pl_num,0))&amp;"",C266)&lt;&gt;C266),"Plan d'un autre équipement",IF(AND(J266&lt;&gt;"",OR(NOT(ISNUMBER(J266)),N(J266)&lt;0)),"Compteur invalide",IF(OR(AND(K266&lt;&gt;"",OR(NOT(ISNUMBER(K266)),N(K266)&lt;0)),AND(L266&lt;&gt;"",OR(NOT(ISNUMBER(L266)),N(L266)&lt;0))),"Durée invalide",IF(OR(AND(N266&lt;&gt;"",OR(NOT(ISNUMBER(N266)),N(N266)&lt;0)),AND(P266&lt;&gt;"",OR(NOT(ISNUMBER(P266)),N(P266)&lt;0))),"Coût invalide",IF(AND(M266&lt;&gt;"",ISNA(MATCH(M266,tech_name,0))),"Technicien inconnu",IF(AND(I266="Terminée",S266&gt;p_today),"Terminée à une date future",IF(AND(I266="Terminée",V266=0),"Durée d'intervention manquante",IF(AND(I266="Terminée",E266="Préventif",T266=0,OR(IFERROR(INDEX(pl_trig,MATCH(F266,pl_num,0))&amp;"","")="Compteur",IFERROR(INDEX(pl_trig,MATCH(F266,pl_num,0))&amp;"","")="Au premier des deux")),"Compteur manquant (plan au compteur)","OK"))))))))))))))))))</f>
        <v/>
      </c>
      <c r="S266" s="67">
        <f>IF(AND(ISNUMBER(B266),N(B266)&gt;0),INT(B266),0)</f>
        <v>0.0</v>
      </c>
      <c r="T266" s="67">
        <f>IF(AND(ISNUMBER(J266),N(J266)&gt;=0),N(J266),0)</f>
        <v>0.0</v>
      </c>
      <c r="U266" s="67">
        <f>IF(AND(ISNUMBER(K266),N(K266)&gt;0),N(K266),0)</f>
        <v>0.0</v>
      </c>
      <c r="V266" s="67">
        <f>IF(AND(ISNUMBER(L266),N(L266)&gt;0),N(L266),0)</f>
        <v>0.0</v>
      </c>
      <c r="W266" s="67">
        <f>IF(AND(I266="Terminée",S266&gt;0,C266&lt;&gt;"",ISNUMBER(MATCH(C266,eq_code,0))),1,0)</f>
        <v>0.0</v>
      </c>
      <c r="X266" s="67">
        <f>IF(AND(W266=1,E266="Préventif"),1,0)</f>
        <v>0.0</v>
      </c>
      <c r="Y266" s="67">
        <f>IF(AND(ISNUMBER(N266),N(N266)&gt;0),N(N266),0)</f>
        <v>0.0</v>
      </c>
      <c r="Z266" s="67">
        <f>IF(AND(ISNUMBER(P266),N(P266)&gt;0),N(P266),0)</f>
        <v>0.0</v>
      </c>
    </row>
    <row r="267">
      <c r="A267" s="79" t="str">
        <f>IF(COUNTA(B267:C267,E267:G267,I267)=0,"","BI-"&amp;RIGHT("0000"&amp;(ROW()-5),4))</f>
        <v/>
      </c>
      <c r="B267" s="72" t="n"/>
      <c r="C267" s="66" t="n"/>
      <c r="D267" s="67" t="str">
        <f>IF(C267="","",IFERROR(INDEX(eq_des,MATCH(C267,eq_code,0))&amp;"","Équipement inconnu"))</f>
        <v/>
      </c>
      <c r="E267" s="68" t="n"/>
      <c r="F267" s="68" t="n"/>
      <c r="G267" s="66" t="n"/>
      <c r="H267" s="66" t="n"/>
      <c r="I267" s="68" t="n"/>
      <c r="J267" s="73" t="n"/>
      <c r="K267" s="71" t="n"/>
      <c r="L267" s="71" t="n"/>
      <c r="M267" s="66" t="n"/>
      <c r="N267" s="80" t="n"/>
      <c r="O267" s="81" t="str">
        <f>IF(A267="","",ROUND(V267*IFERROR(N(INDEX(tech_rate,MATCH(M267,tech_name,0))),0),2))</f>
        <v/>
      </c>
      <c r="P267" s="80" t="n"/>
      <c r="Q267" s="81" t="str">
        <f>IF(A267="","",ROUND(Y267+O267+Z267,2))</f>
        <v/>
      </c>
      <c r="R267" s="79" t="str">
        <f>IF(A267="","",IF(S267=0,"Date manquante ou invalide",IF(C267="","Équipement manquant",IF(ISNA(MATCH(C267,eq_code,0)),"Équipement inconnu",IF(E267="","Type manquant",IF(AND(E267&lt;&gt;"Préventif",E267&lt;&gt;"Correctif",E267&lt;&gt;"Amélioratif"),"Type inconnu",IF(I267="","Statut manquant",IF(AND(I267&lt;&gt;"Terminée",I267&lt;&gt;"En cours",I267&lt;&gt;"À faire",I267&lt;&gt;"Annulée"),"Statut inconnu",IF(AND(E267="Préventif",F267=""),"Plan manquant (préventif)",IF(AND(F267&lt;&gt;"",ISNA(MATCH(F267,pl_num,0))),"Plan inconnu",IF(AND(F267&lt;&gt;"",IFERROR(INDEX(pl_eq,MATCH(F267,pl_num,0))&amp;"",C267)&lt;&gt;C267),"Plan d'un autre équipement",IF(AND(J267&lt;&gt;"",OR(NOT(ISNUMBER(J267)),N(J267)&lt;0)),"Compteur invalide",IF(OR(AND(K267&lt;&gt;"",OR(NOT(ISNUMBER(K267)),N(K267)&lt;0)),AND(L267&lt;&gt;"",OR(NOT(ISNUMBER(L267)),N(L267)&lt;0))),"Durée invalide",IF(OR(AND(N267&lt;&gt;"",OR(NOT(ISNUMBER(N267)),N(N267)&lt;0)),AND(P267&lt;&gt;"",OR(NOT(ISNUMBER(P267)),N(P267)&lt;0))),"Coût invalide",IF(AND(M267&lt;&gt;"",ISNA(MATCH(M267,tech_name,0))),"Technicien inconnu",IF(AND(I267="Terminée",S267&gt;p_today),"Terminée à une date future",IF(AND(I267="Terminée",V267=0),"Durée d'intervention manquante",IF(AND(I267="Terminée",E267="Préventif",T267=0,OR(IFERROR(INDEX(pl_trig,MATCH(F267,pl_num,0))&amp;"","")="Compteur",IFERROR(INDEX(pl_trig,MATCH(F267,pl_num,0))&amp;"","")="Au premier des deux")),"Compteur manquant (plan au compteur)","OK"))))))))))))))))))</f>
        <v/>
      </c>
      <c r="S267" s="67">
        <f>IF(AND(ISNUMBER(B267),N(B267)&gt;0),INT(B267),0)</f>
        <v>0.0</v>
      </c>
      <c r="T267" s="67">
        <f>IF(AND(ISNUMBER(J267),N(J267)&gt;=0),N(J267),0)</f>
        <v>0.0</v>
      </c>
      <c r="U267" s="67">
        <f>IF(AND(ISNUMBER(K267),N(K267)&gt;0),N(K267),0)</f>
        <v>0.0</v>
      </c>
      <c r="V267" s="67">
        <f>IF(AND(ISNUMBER(L267),N(L267)&gt;0),N(L267),0)</f>
        <v>0.0</v>
      </c>
      <c r="W267" s="67">
        <f>IF(AND(I267="Terminée",S267&gt;0,C267&lt;&gt;"",ISNUMBER(MATCH(C267,eq_code,0))),1,0)</f>
        <v>0.0</v>
      </c>
      <c r="X267" s="67">
        <f>IF(AND(W267=1,E267="Préventif"),1,0)</f>
        <v>0.0</v>
      </c>
      <c r="Y267" s="67">
        <f>IF(AND(ISNUMBER(N267),N(N267)&gt;0),N(N267),0)</f>
        <v>0.0</v>
      </c>
      <c r="Z267" s="67">
        <f>IF(AND(ISNUMBER(P267),N(P267)&gt;0),N(P267),0)</f>
        <v>0.0</v>
      </c>
    </row>
    <row r="268">
      <c r="A268" s="79" t="str">
        <f>IF(COUNTA(B268:C268,E268:G268,I268)=0,"","BI-"&amp;RIGHT("0000"&amp;(ROW()-5),4))</f>
        <v/>
      </c>
      <c r="B268" s="72" t="n"/>
      <c r="C268" s="66" t="n"/>
      <c r="D268" s="67" t="str">
        <f>IF(C268="","",IFERROR(INDEX(eq_des,MATCH(C268,eq_code,0))&amp;"","Équipement inconnu"))</f>
        <v/>
      </c>
      <c r="E268" s="68" t="n"/>
      <c r="F268" s="68" t="n"/>
      <c r="G268" s="66" t="n"/>
      <c r="H268" s="66" t="n"/>
      <c r="I268" s="68" t="n"/>
      <c r="J268" s="73" t="n"/>
      <c r="K268" s="71" t="n"/>
      <c r="L268" s="71" t="n"/>
      <c r="M268" s="66" t="n"/>
      <c r="N268" s="80" t="n"/>
      <c r="O268" s="81" t="str">
        <f>IF(A268="","",ROUND(V268*IFERROR(N(INDEX(tech_rate,MATCH(M268,tech_name,0))),0),2))</f>
        <v/>
      </c>
      <c r="P268" s="80" t="n"/>
      <c r="Q268" s="81" t="str">
        <f>IF(A268="","",ROUND(Y268+O268+Z268,2))</f>
        <v/>
      </c>
      <c r="R268" s="79" t="str">
        <f>IF(A268="","",IF(S268=0,"Date manquante ou invalide",IF(C268="","Équipement manquant",IF(ISNA(MATCH(C268,eq_code,0)),"Équipement inconnu",IF(E268="","Type manquant",IF(AND(E268&lt;&gt;"Préventif",E268&lt;&gt;"Correctif",E268&lt;&gt;"Amélioratif"),"Type inconnu",IF(I268="","Statut manquant",IF(AND(I268&lt;&gt;"Terminée",I268&lt;&gt;"En cours",I268&lt;&gt;"À faire",I268&lt;&gt;"Annulée"),"Statut inconnu",IF(AND(E268="Préventif",F268=""),"Plan manquant (préventif)",IF(AND(F268&lt;&gt;"",ISNA(MATCH(F268,pl_num,0))),"Plan inconnu",IF(AND(F268&lt;&gt;"",IFERROR(INDEX(pl_eq,MATCH(F268,pl_num,0))&amp;"",C268)&lt;&gt;C268),"Plan d'un autre équipement",IF(AND(J268&lt;&gt;"",OR(NOT(ISNUMBER(J268)),N(J268)&lt;0)),"Compteur invalide",IF(OR(AND(K268&lt;&gt;"",OR(NOT(ISNUMBER(K268)),N(K268)&lt;0)),AND(L268&lt;&gt;"",OR(NOT(ISNUMBER(L268)),N(L268)&lt;0))),"Durée invalide",IF(OR(AND(N268&lt;&gt;"",OR(NOT(ISNUMBER(N268)),N(N268)&lt;0)),AND(P268&lt;&gt;"",OR(NOT(ISNUMBER(P268)),N(P268)&lt;0))),"Coût invalide",IF(AND(M268&lt;&gt;"",ISNA(MATCH(M268,tech_name,0))),"Technicien inconnu",IF(AND(I268="Terminée",S268&gt;p_today),"Terminée à une date future",IF(AND(I268="Terminée",V268=0),"Durée d'intervention manquante",IF(AND(I268="Terminée",E268="Préventif",T268=0,OR(IFERROR(INDEX(pl_trig,MATCH(F268,pl_num,0))&amp;"","")="Compteur",IFERROR(INDEX(pl_trig,MATCH(F268,pl_num,0))&amp;"","")="Au premier des deux")),"Compteur manquant (plan au compteur)","OK"))))))))))))))))))</f>
        <v/>
      </c>
      <c r="S268" s="67">
        <f>IF(AND(ISNUMBER(B268),N(B268)&gt;0),INT(B268),0)</f>
        <v>0.0</v>
      </c>
      <c r="T268" s="67">
        <f>IF(AND(ISNUMBER(J268),N(J268)&gt;=0),N(J268),0)</f>
        <v>0.0</v>
      </c>
      <c r="U268" s="67">
        <f>IF(AND(ISNUMBER(K268),N(K268)&gt;0),N(K268),0)</f>
        <v>0.0</v>
      </c>
      <c r="V268" s="67">
        <f>IF(AND(ISNUMBER(L268),N(L268)&gt;0),N(L268),0)</f>
        <v>0.0</v>
      </c>
      <c r="W268" s="67">
        <f>IF(AND(I268="Terminée",S268&gt;0,C268&lt;&gt;"",ISNUMBER(MATCH(C268,eq_code,0))),1,0)</f>
        <v>0.0</v>
      </c>
      <c r="X268" s="67">
        <f>IF(AND(W268=1,E268="Préventif"),1,0)</f>
        <v>0.0</v>
      </c>
      <c r="Y268" s="67">
        <f>IF(AND(ISNUMBER(N268),N(N268)&gt;0),N(N268),0)</f>
        <v>0.0</v>
      </c>
      <c r="Z268" s="67">
        <f>IF(AND(ISNUMBER(P268),N(P268)&gt;0),N(P268),0)</f>
        <v>0.0</v>
      </c>
    </row>
    <row r="269">
      <c r="A269" s="79" t="str">
        <f>IF(COUNTA(B269:C269,E269:G269,I269)=0,"","BI-"&amp;RIGHT("0000"&amp;(ROW()-5),4))</f>
        <v/>
      </c>
      <c r="B269" s="72" t="n"/>
      <c r="C269" s="66" t="n"/>
      <c r="D269" s="67" t="str">
        <f>IF(C269="","",IFERROR(INDEX(eq_des,MATCH(C269,eq_code,0))&amp;"","Équipement inconnu"))</f>
        <v/>
      </c>
      <c r="E269" s="68" t="n"/>
      <c r="F269" s="68" t="n"/>
      <c r="G269" s="66" t="n"/>
      <c r="H269" s="66" t="n"/>
      <c r="I269" s="68" t="n"/>
      <c r="J269" s="73" t="n"/>
      <c r="K269" s="71" t="n"/>
      <c r="L269" s="71" t="n"/>
      <c r="M269" s="66" t="n"/>
      <c r="N269" s="80" t="n"/>
      <c r="O269" s="81" t="str">
        <f>IF(A269="","",ROUND(V269*IFERROR(N(INDEX(tech_rate,MATCH(M269,tech_name,0))),0),2))</f>
        <v/>
      </c>
      <c r="P269" s="80" t="n"/>
      <c r="Q269" s="81" t="str">
        <f>IF(A269="","",ROUND(Y269+O269+Z269,2))</f>
        <v/>
      </c>
      <c r="R269" s="79" t="str">
        <f>IF(A269="","",IF(S269=0,"Date manquante ou invalide",IF(C269="","Équipement manquant",IF(ISNA(MATCH(C269,eq_code,0)),"Équipement inconnu",IF(E269="","Type manquant",IF(AND(E269&lt;&gt;"Préventif",E269&lt;&gt;"Correctif",E269&lt;&gt;"Amélioratif"),"Type inconnu",IF(I269="","Statut manquant",IF(AND(I269&lt;&gt;"Terminée",I269&lt;&gt;"En cours",I269&lt;&gt;"À faire",I269&lt;&gt;"Annulée"),"Statut inconnu",IF(AND(E269="Préventif",F269=""),"Plan manquant (préventif)",IF(AND(F269&lt;&gt;"",ISNA(MATCH(F269,pl_num,0))),"Plan inconnu",IF(AND(F269&lt;&gt;"",IFERROR(INDEX(pl_eq,MATCH(F269,pl_num,0))&amp;"",C269)&lt;&gt;C269),"Plan d'un autre équipement",IF(AND(J269&lt;&gt;"",OR(NOT(ISNUMBER(J269)),N(J269)&lt;0)),"Compteur invalide",IF(OR(AND(K269&lt;&gt;"",OR(NOT(ISNUMBER(K269)),N(K269)&lt;0)),AND(L269&lt;&gt;"",OR(NOT(ISNUMBER(L269)),N(L269)&lt;0))),"Durée invalide",IF(OR(AND(N269&lt;&gt;"",OR(NOT(ISNUMBER(N269)),N(N269)&lt;0)),AND(P269&lt;&gt;"",OR(NOT(ISNUMBER(P269)),N(P269)&lt;0))),"Coût invalide",IF(AND(M269&lt;&gt;"",ISNA(MATCH(M269,tech_name,0))),"Technicien inconnu",IF(AND(I269="Terminée",S269&gt;p_today),"Terminée à une date future",IF(AND(I269="Terminée",V269=0),"Durée d'intervention manquante",IF(AND(I269="Terminée",E269="Préventif",T269=0,OR(IFERROR(INDEX(pl_trig,MATCH(F269,pl_num,0))&amp;"","")="Compteur",IFERROR(INDEX(pl_trig,MATCH(F269,pl_num,0))&amp;"","")="Au premier des deux")),"Compteur manquant (plan au compteur)","OK"))))))))))))))))))</f>
        <v/>
      </c>
      <c r="S269" s="67">
        <f>IF(AND(ISNUMBER(B269),N(B269)&gt;0),INT(B269),0)</f>
        <v>0.0</v>
      </c>
      <c r="T269" s="67">
        <f>IF(AND(ISNUMBER(J269),N(J269)&gt;=0),N(J269),0)</f>
        <v>0.0</v>
      </c>
      <c r="U269" s="67">
        <f>IF(AND(ISNUMBER(K269),N(K269)&gt;0),N(K269),0)</f>
        <v>0.0</v>
      </c>
      <c r="V269" s="67">
        <f>IF(AND(ISNUMBER(L269),N(L269)&gt;0),N(L269),0)</f>
        <v>0.0</v>
      </c>
      <c r="W269" s="67">
        <f>IF(AND(I269="Terminée",S269&gt;0,C269&lt;&gt;"",ISNUMBER(MATCH(C269,eq_code,0))),1,0)</f>
        <v>0.0</v>
      </c>
      <c r="X269" s="67">
        <f>IF(AND(W269=1,E269="Préventif"),1,0)</f>
        <v>0.0</v>
      </c>
      <c r="Y269" s="67">
        <f>IF(AND(ISNUMBER(N269),N(N269)&gt;0),N(N269),0)</f>
        <v>0.0</v>
      </c>
      <c r="Z269" s="67">
        <f>IF(AND(ISNUMBER(P269),N(P269)&gt;0),N(P269),0)</f>
        <v>0.0</v>
      </c>
    </row>
    <row r="270">
      <c r="A270" s="79" t="str">
        <f>IF(COUNTA(B270:C270,E270:G270,I270)=0,"","BI-"&amp;RIGHT("0000"&amp;(ROW()-5),4))</f>
        <v/>
      </c>
      <c r="B270" s="72" t="n"/>
      <c r="C270" s="66" t="n"/>
      <c r="D270" s="67" t="str">
        <f>IF(C270="","",IFERROR(INDEX(eq_des,MATCH(C270,eq_code,0))&amp;"","Équipement inconnu"))</f>
        <v/>
      </c>
      <c r="E270" s="68" t="n"/>
      <c r="F270" s="68" t="n"/>
      <c r="G270" s="66" t="n"/>
      <c r="H270" s="66" t="n"/>
      <c r="I270" s="68" t="n"/>
      <c r="J270" s="73" t="n"/>
      <c r="K270" s="71" t="n"/>
      <c r="L270" s="71" t="n"/>
      <c r="M270" s="66" t="n"/>
      <c r="N270" s="80" t="n"/>
      <c r="O270" s="81" t="str">
        <f>IF(A270="","",ROUND(V270*IFERROR(N(INDEX(tech_rate,MATCH(M270,tech_name,0))),0),2))</f>
        <v/>
      </c>
      <c r="P270" s="80" t="n"/>
      <c r="Q270" s="81" t="str">
        <f>IF(A270="","",ROUND(Y270+O270+Z270,2))</f>
        <v/>
      </c>
      <c r="R270" s="79" t="str">
        <f>IF(A270="","",IF(S270=0,"Date manquante ou invalide",IF(C270="","Équipement manquant",IF(ISNA(MATCH(C270,eq_code,0)),"Équipement inconnu",IF(E270="","Type manquant",IF(AND(E270&lt;&gt;"Préventif",E270&lt;&gt;"Correctif",E270&lt;&gt;"Amélioratif"),"Type inconnu",IF(I270="","Statut manquant",IF(AND(I270&lt;&gt;"Terminée",I270&lt;&gt;"En cours",I270&lt;&gt;"À faire",I270&lt;&gt;"Annulée"),"Statut inconnu",IF(AND(E270="Préventif",F270=""),"Plan manquant (préventif)",IF(AND(F270&lt;&gt;"",ISNA(MATCH(F270,pl_num,0))),"Plan inconnu",IF(AND(F270&lt;&gt;"",IFERROR(INDEX(pl_eq,MATCH(F270,pl_num,0))&amp;"",C270)&lt;&gt;C270),"Plan d'un autre équipement",IF(AND(J270&lt;&gt;"",OR(NOT(ISNUMBER(J270)),N(J270)&lt;0)),"Compteur invalide",IF(OR(AND(K270&lt;&gt;"",OR(NOT(ISNUMBER(K270)),N(K270)&lt;0)),AND(L270&lt;&gt;"",OR(NOT(ISNUMBER(L270)),N(L270)&lt;0))),"Durée invalide",IF(OR(AND(N270&lt;&gt;"",OR(NOT(ISNUMBER(N270)),N(N270)&lt;0)),AND(P270&lt;&gt;"",OR(NOT(ISNUMBER(P270)),N(P270)&lt;0))),"Coût invalide",IF(AND(M270&lt;&gt;"",ISNA(MATCH(M270,tech_name,0))),"Technicien inconnu",IF(AND(I270="Terminée",S270&gt;p_today),"Terminée à une date future",IF(AND(I270="Terminée",V270=0),"Durée d'intervention manquante",IF(AND(I270="Terminée",E270="Préventif",T270=0,OR(IFERROR(INDEX(pl_trig,MATCH(F270,pl_num,0))&amp;"","")="Compteur",IFERROR(INDEX(pl_trig,MATCH(F270,pl_num,0))&amp;"","")="Au premier des deux")),"Compteur manquant (plan au compteur)","OK"))))))))))))))))))</f>
        <v/>
      </c>
      <c r="S270" s="67">
        <f>IF(AND(ISNUMBER(B270),N(B270)&gt;0),INT(B270),0)</f>
        <v>0.0</v>
      </c>
      <c r="T270" s="67">
        <f>IF(AND(ISNUMBER(J270),N(J270)&gt;=0),N(J270),0)</f>
        <v>0.0</v>
      </c>
      <c r="U270" s="67">
        <f>IF(AND(ISNUMBER(K270),N(K270)&gt;0),N(K270),0)</f>
        <v>0.0</v>
      </c>
      <c r="V270" s="67">
        <f>IF(AND(ISNUMBER(L270),N(L270)&gt;0),N(L270),0)</f>
        <v>0.0</v>
      </c>
      <c r="W270" s="67">
        <f>IF(AND(I270="Terminée",S270&gt;0,C270&lt;&gt;"",ISNUMBER(MATCH(C270,eq_code,0))),1,0)</f>
        <v>0.0</v>
      </c>
      <c r="X270" s="67">
        <f>IF(AND(W270=1,E270="Préventif"),1,0)</f>
        <v>0.0</v>
      </c>
      <c r="Y270" s="67">
        <f>IF(AND(ISNUMBER(N270),N(N270)&gt;0),N(N270),0)</f>
        <v>0.0</v>
      </c>
      <c r="Z270" s="67">
        <f>IF(AND(ISNUMBER(P270),N(P270)&gt;0),N(P270),0)</f>
        <v>0.0</v>
      </c>
    </row>
    <row r="271">
      <c r="A271" s="79" t="str">
        <f>IF(COUNTA(B271:C271,E271:G271,I271)=0,"","BI-"&amp;RIGHT("0000"&amp;(ROW()-5),4))</f>
        <v/>
      </c>
      <c r="B271" s="72" t="n"/>
      <c r="C271" s="66" t="n"/>
      <c r="D271" s="67" t="str">
        <f>IF(C271="","",IFERROR(INDEX(eq_des,MATCH(C271,eq_code,0))&amp;"","Équipement inconnu"))</f>
        <v/>
      </c>
      <c r="E271" s="68" t="n"/>
      <c r="F271" s="68" t="n"/>
      <c r="G271" s="66" t="n"/>
      <c r="H271" s="66" t="n"/>
      <c r="I271" s="68" t="n"/>
      <c r="J271" s="73" t="n"/>
      <c r="K271" s="71" t="n"/>
      <c r="L271" s="71" t="n"/>
      <c r="M271" s="66" t="n"/>
      <c r="N271" s="80" t="n"/>
      <c r="O271" s="81" t="str">
        <f>IF(A271="","",ROUND(V271*IFERROR(N(INDEX(tech_rate,MATCH(M271,tech_name,0))),0),2))</f>
        <v/>
      </c>
      <c r="P271" s="80" t="n"/>
      <c r="Q271" s="81" t="str">
        <f>IF(A271="","",ROUND(Y271+O271+Z271,2))</f>
        <v/>
      </c>
      <c r="R271" s="79" t="str">
        <f>IF(A271="","",IF(S271=0,"Date manquante ou invalide",IF(C271="","Équipement manquant",IF(ISNA(MATCH(C271,eq_code,0)),"Équipement inconnu",IF(E271="","Type manquant",IF(AND(E271&lt;&gt;"Préventif",E271&lt;&gt;"Correctif",E271&lt;&gt;"Amélioratif"),"Type inconnu",IF(I271="","Statut manquant",IF(AND(I271&lt;&gt;"Terminée",I271&lt;&gt;"En cours",I271&lt;&gt;"À faire",I271&lt;&gt;"Annulée"),"Statut inconnu",IF(AND(E271="Préventif",F271=""),"Plan manquant (préventif)",IF(AND(F271&lt;&gt;"",ISNA(MATCH(F271,pl_num,0))),"Plan inconnu",IF(AND(F271&lt;&gt;"",IFERROR(INDEX(pl_eq,MATCH(F271,pl_num,0))&amp;"",C271)&lt;&gt;C271),"Plan d'un autre équipement",IF(AND(J271&lt;&gt;"",OR(NOT(ISNUMBER(J271)),N(J271)&lt;0)),"Compteur invalide",IF(OR(AND(K271&lt;&gt;"",OR(NOT(ISNUMBER(K271)),N(K271)&lt;0)),AND(L271&lt;&gt;"",OR(NOT(ISNUMBER(L271)),N(L271)&lt;0))),"Durée invalide",IF(OR(AND(N271&lt;&gt;"",OR(NOT(ISNUMBER(N271)),N(N271)&lt;0)),AND(P271&lt;&gt;"",OR(NOT(ISNUMBER(P271)),N(P271)&lt;0))),"Coût invalide",IF(AND(M271&lt;&gt;"",ISNA(MATCH(M271,tech_name,0))),"Technicien inconnu",IF(AND(I271="Terminée",S271&gt;p_today),"Terminée à une date future",IF(AND(I271="Terminée",V271=0),"Durée d'intervention manquante",IF(AND(I271="Terminée",E271="Préventif",T271=0,OR(IFERROR(INDEX(pl_trig,MATCH(F271,pl_num,0))&amp;"","")="Compteur",IFERROR(INDEX(pl_trig,MATCH(F271,pl_num,0))&amp;"","")="Au premier des deux")),"Compteur manquant (plan au compteur)","OK"))))))))))))))))))</f>
        <v/>
      </c>
      <c r="S271" s="67">
        <f>IF(AND(ISNUMBER(B271),N(B271)&gt;0),INT(B271),0)</f>
        <v>0.0</v>
      </c>
      <c r="T271" s="67">
        <f>IF(AND(ISNUMBER(J271),N(J271)&gt;=0),N(J271),0)</f>
        <v>0.0</v>
      </c>
      <c r="U271" s="67">
        <f>IF(AND(ISNUMBER(K271),N(K271)&gt;0),N(K271),0)</f>
        <v>0.0</v>
      </c>
      <c r="V271" s="67">
        <f>IF(AND(ISNUMBER(L271),N(L271)&gt;0),N(L271),0)</f>
        <v>0.0</v>
      </c>
      <c r="W271" s="67">
        <f>IF(AND(I271="Terminée",S271&gt;0,C271&lt;&gt;"",ISNUMBER(MATCH(C271,eq_code,0))),1,0)</f>
        <v>0.0</v>
      </c>
      <c r="X271" s="67">
        <f>IF(AND(W271=1,E271="Préventif"),1,0)</f>
        <v>0.0</v>
      </c>
      <c r="Y271" s="67">
        <f>IF(AND(ISNUMBER(N271),N(N271)&gt;0),N(N271),0)</f>
        <v>0.0</v>
      </c>
      <c r="Z271" s="67">
        <f>IF(AND(ISNUMBER(P271),N(P271)&gt;0),N(P271),0)</f>
        <v>0.0</v>
      </c>
    </row>
    <row r="272">
      <c r="A272" s="79" t="str">
        <f>IF(COUNTA(B272:C272,E272:G272,I272)=0,"","BI-"&amp;RIGHT("0000"&amp;(ROW()-5),4))</f>
        <v/>
      </c>
      <c r="B272" s="72" t="n"/>
      <c r="C272" s="66" t="n"/>
      <c r="D272" s="67" t="str">
        <f>IF(C272="","",IFERROR(INDEX(eq_des,MATCH(C272,eq_code,0))&amp;"","Équipement inconnu"))</f>
        <v/>
      </c>
      <c r="E272" s="68" t="n"/>
      <c r="F272" s="68" t="n"/>
      <c r="G272" s="66" t="n"/>
      <c r="H272" s="66" t="n"/>
      <c r="I272" s="68" t="n"/>
      <c r="J272" s="73" t="n"/>
      <c r="K272" s="71" t="n"/>
      <c r="L272" s="71" t="n"/>
      <c r="M272" s="66" t="n"/>
      <c r="N272" s="80" t="n"/>
      <c r="O272" s="81" t="str">
        <f>IF(A272="","",ROUND(V272*IFERROR(N(INDEX(tech_rate,MATCH(M272,tech_name,0))),0),2))</f>
        <v/>
      </c>
      <c r="P272" s="80" t="n"/>
      <c r="Q272" s="81" t="str">
        <f>IF(A272="","",ROUND(Y272+O272+Z272,2))</f>
        <v/>
      </c>
      <c r="R272" s="79" t="str">
        <f>IF(A272="","",IF(S272=0,"Date manquante ou invalide",IF(C272="","Équipement manquant",IF(ISNA(MATCH(C272,eq_code,0)),"Équipement inconnu",IF(E272="","Type manquant",IF(AND(E272&lt;&gt;"Préventif",E272&lt;&gt;"Correctif",E272&lt;&gt;"Amélioratif"),"Type inconnu",IF(I272="","Statut manquant",IF(AND(I272&lt;&gt;"Terminée",I272&lt;&gt;"En cours",I272&lt;&gt;"À faire",I272&lt;&gt;"Annulée"),"Statut inconnu",IF(AND(E272="Préventif",F272=""),"Plan manquant (préventif)",IF(AND(F272&lt;&gt;"",ISNA(MATCH(F272,pl_num,0))),"Plan inconnu",IF(AND(F272&lt;&gt;"",IFERROR(INDEX(pl_eq,MATCH(F272,pl_num,0))&amp;"",C272)&lt;&gt;C272),"Plan d'un autre équipement",IF(AND(J272&lt;&gt;"",OR(NOT(ISNUMBER(J272)),N(J272)&lt;0)),"Compteur invalide",IF(OR(AND(K272&lt;&gt;"",OR(NOT(ISNUMBER(K272)),N(K272)&lt;0)),AND(L272&lt;&gt;"",OR(NOT(ISNUMBER(L272)),N(L272)&lt;0))),"Durée invalide",IF(OR(AND(N272&lt;&gt;"",OR(NOT(ISNUMBER(N272)),N(N272)&lt;0)),AND(P272&lt;&gt;"",OR(NOT(ISNUMBER(P272)),N(P272)&lt;0))),"Coût invalide",IF(AND(M272&lt;&gt;"",ISNA(MATCH(M272,tech_name,0))),"Technicien inconnu",IF(AND(I272="Terminée",S272&gt;p_today),"Terminée à une date future",IF(AND(I272="Terminée",V272=0),"Durée d'intervention manquante",IF(AND(I272="Terminée",E272="Préventif",T272=0,OR(IFERROR(INDEX(pl_trig,MATCH(F272,pl_num,0))&amp;"","")="Compteur",IFERROR(INDEX(pl_trig,MATCH(F272,pl_num,0))&amp;"","")="Au premier des deux")),"Compteur manquant (plan au compteur)","OK"))))))))))))))))))</f>
        <v/>
      </c>
      <c r="S272" s="67">
        <f>IF(AND(ISNUMBER(B272),N(B272)&gt;0),INT(B272),0)</f>
        <v>0.0</v>
      </c>
      <c r="T272" s="67">
        <f>IF(AND(ISNUMBER(J272),N(J272)&gt;=0),N(J272),0)</f>
        <v>0.0</v>
      </c>
      <c r="U272" s="67">
        <f>IF(AND(ISNUMBER(K272),N(K272)&gt;0),N(K272),0)</f>
        <v>0.0</v>
      </c>
      <c r="V272" s="67">
        <f>IF(AND(ISNUMBER(L272),N(L272)&gt;0),N(L272),0)</f>
        <v>0.0</v>
      </c>
      <c r="W272" s="67">
        <f>IF(AND(I272="Terminée",S272&gt;0,C272&lt;&gt;"",ISNUMBER(MATCH(C272,eq_code,0))),1,0)</f>
        <v>0.0</v>
      </c>
      <c r="X272" s="67">
        <f>IF(AND(W272=1,E272="Préventif"),1,0)</f>
        <v>0.0</v>
      </c>
      <c r="Y272" s="67">
        <f>IF(AND(ISNUMBER(N272),N(N272)&gt;0),N(N272),0)</f>
        <v>0.0</v>
      </c>
      <c r="Z272" s="67">
        <f>IF(AND(ISNUMBER(P272),N(P272)&gt;0),N(P272),0)</f>
        <v>0.0</v>
      </c>
    </row>
    <row r="273">
      <c r="A273" s="79" t="str">
        <f>IF(COUNTA(B273:C273,E273:G273,I273)=0,"","BI-"&amp;RIGHT("0000"&amp;(ROW()-5),4))</f>
        <v/>
      </c>
      <c r="B273" s="72" t="n"/>
      <c r="C273" s="66" t="n"/>
      <c r="D273" s="67" t="str">
        <f>IF(C273="","",IFERROR(INDEX(eq_des,MATCH(C273,eq_code,0))&amp;"","Équipement inconnu"))</f>
        <v/>
      </c>
      <c r="E273" s="68" t="n"/>
      <c r="F273" s="68" t="n"/>
      <c r="G273" s="66" t="n"/>
      <c r="H273" s="66" t="n"/>
      <c r="I273" s="68" t="n"/>
      <c r="J273" s="73" t="n"/>
      <c r="K273" s="71" t="n"/>
      <c r="L273" s="71" t="n"/>
      <c r="M273" s="66" t="n"/>
      <c r="N273" s="80" t="n"/>
      <c r="O273" s="81" t="str">
        <f>IF(A273="","",ROUND(V273*IFERROR(N(INDEX(tech_rate,MATCH(M273,tech_name,0))),0),2))</f>
        <v/>
      </c>
      <c r="P273" s="80" t="n"/>
      <c r="Q273" s="81" t="str">
        <f>IF(A273="","",ROUND(Y273+O273+Z273,2))</f>
        <v/>
      </c>
      <c r="R273" s="79" t="str">
        <f>IF(A273="","",IF(S273=0,"Date manquante ou invalide",IF(C273="","Équipement manquant",IF(ISNA(MATCH(C273,eq_code,0)),"Équipement inconnu",IF(E273="","Type manquant",IF(AND(E273&lt;&gt;"Préventif",E273&lt;&gt;"Correctif",E273&lt;&gt;"Amélioratif"),"Type inconnu",IF(I273="","Statut manquant",IF(AND(I273&lt;&gt;"Terminée",I273&lt;&gt;"En cours",I273&lt;&gt;"À faire",I273&lt;&gt;"Annulée"),"Statut inconnu",IF(AND(E273="Préventif",F273=""),"Plan manquant (préventif)",IF(AND(F273&lt;&gt;"",ISNA(MATCH(F273,pl_num,0))),"Plan inconnu",IF(AND(F273&lt;&gt;"",IFERROR(INDEX(pl_eq,MATCH(F273,pl_num,0))&amp;"",C273)&lt;&gt;C273),"Plan d'un autre équipement",IF(AND(J273&lt;&gt;"",OR(NOT(ISNUMBER(J273)),N(J273)&lt;0)),"Compteur invalide",IF(OR(AND(K273&lt;&gt;"",OR(NOT(ISNUMBER(K273)),N(K273)&lt;0)),AND(L273&lt;&gt;"",OR(NOT(ISNUMBER(L273)),N(L273)&lt;0))),"Durée invalide",IF(OR(AND(N273&lt;&gt;"",OR(NOT(ISNUMBER(N273)),N(N273)&lt;0)),AND(P273&lt;&gt;"",OR(NOT(ISNUMBER(P273)),N(P273)&lt;0))),"Coût invalide",IF(AND(M273&lt;&gt;"",ISNA(MATCH(M273,tech_name,0))),"Technicien inconnu",IF(AND(I273="Terminée",S273&gt;p_today),"Terminée à une date future",IF(AND(I273="Terminée",V273=0),"Durée d'intervention manquante",IF(AND(I273="Terminée",E273="Préventif",T273=0,OR(IFERROR(INDEX(pl_trig,MATCH(F273,pl_num,0))&amp;"","")="Compteur",IFERROR(INDEX(pl_trig,MATCH(F273,pl_num,0))&amp;"","")="Au premier des deux")),"Compteur manquant (plan au compteur)","OK"))))))))))))))))))</f>
        <v/>
      </c>
      <c r="S273" s="67">
        <f>IF(AND(ISNUMBER(B273),N(B273)&gt;0),INT(B273),0)</f>
        <v>0.0</v>
      </c>
      <c r="T273" s="67">
        <f>IF(AND(ISNUMBER(J273),N(J273)&gt;=0),N(J273),0)</f>
        <v>0.0</v>
      </c>
      <c r="U273" s="67">
        <f>IF(AND(ISNUMBER(K273),N(K273)&gt;0),N(K273),0)</f>
        <v>0.0</v>
      </c>
      <c r="V273" s="67">
        <f>IF(AND(ISNUMBER(L273),N(L273)&gt;0),N(L273),0)</f>
        <v>0.0</v>
      </c>
      <c r="W273" s="67">
        <f>IF(AND(I273="Terminée",S273&gt;0,C273&lt;&gt;"",ISNUMBER(MATCH(C273,eq_code,0))),1,0)</f>
        <v>0.0</v>
      </c>
      <c r="X273" s="67">
        <f>IF(AND(W273=1,E273="Préventif"),1,0)</f>
        <v>0.0</v>
      </c>
      <c r="Y273" s="67">
        <f>IF(AND(ISNUMBER(N273),N(N273)&gt;0),N(N273),0)</f>
        <v>0.0</v>
      </c>
      <c r="Z273" s="67">
        <f>IF(AND(ISNUMBER(P273),N(P273)&gt;0),N(P273),0)</f>
        <v>0.0</v>
      </c>
    </row>
    <row r="274">
      <c r="A274" s="79" t="str">
        <f>IF(COUNTA(B274:C274,E274:G274,I274)=0,"","BI-"&amp;RIGHT("0000"&amp;(ROW()-5),4))</f>
        <v/>
      </c>
      <c r="B274" s="72" t="n"/>
      <c r="C274" s="66" t="n"/>
      <c r="D274" s="67" t="str">
        <f>IF(C274="","",IFERROR(INDEX(eq_des,MATCH(C274,eq_code,0))&amp;"","Équipement inconnu"))</f>
        <v/>
      </c>
      <c r="E274" s="68" t="n"/>
      <c r="F274" s="68" t="n"/>
      <c r="G274" s="66" t="n"/>
      <c r="H274" s="66" t="n"/>
      <c r="I274" s="68" t="n"/>
      <c r="J274" s="73" t="n"/>
      <c r="K274" s="71" t="n"/>
      <c r="L274" s="71" t="n"/>
      <c r="M274" s="66" t="n"/>
      <c r="N274" s="80" t="n"/>
      <c r="O274" s="81" t="str">
        <f>IF(A274="","",ROUND(V274*IFERROR(N(INDEX(tech_rate,MATCH(M274,tech_name,0))),0),2))</f>
        <v/>
      </c>
      <c r="P274" s="80" t="n"/>
      <c r="Q274" s="81" t="str">
        <f>IF(A274="","",ROUND(Y274+O274+Z274,2))</f>
        <v/>
      </c>
      <c r="R274" s="79" t="str">
        <f>IF(A274="","",IF(S274=0,"Date manquante ou invalide",IF(C274="","Équipement manquant",IF(ISNA(MATCH(C274,eq_code,0)),"Équipement inconnu",IF(E274="","Type manquant",IF(AND(E274&lt;&gt;"Préventif",E274&lt;&gt;"Correctif",E274&lt;&gt;"Amélioratif"),"Type inconnu",IF(I274="","Statut manquant",IF(AND(I274&lt;&gt;"Terminée",I274&lt;&gt;"En cours",I274&lt;&gt;"À faire",I274&lt;&gt;"Annulée"),"Statut inconnu",IF(AND(E274="Préventif",F274=""),"Plan manquant (préventif)",IF(AND(F274&lt;&gt;"",ISNA(MATCH(F274,pl_num,0))),"Plan inconnu",IF(AND(F274&lt;&gt;"",IFERROR(INDEX(pl_eq,MATCH(F274,pl_num,0))&amp;"",C274)&lt;&gt;C274),"Plan d'un autre équipement",IF(AND(J274&lt;&gt;"",OR(NOT(ISNUMBER(J274)),N(J274)&lt;0)),"Compteur invalide",IF(OR(AND(K274&lt;&gt;"",OR(NOT(ISNUMBER(K274)),N(K274)&lt;0)),AND(L274&lt;&gt;"",OR(NOT(ISNUMBER(L274)),N(L274)&lt;0))),"Durée invalide",IF(OR(AND(N274&lt;&gt;"",OR(NOT(ISNUMBER(N274)),N(N274)&lt;0)),AND(P274&lt;&gt;"",OR(NOT(ISNUMBER(P274)),N(P274)&lt;0))),"Coût invalide",IF(AND(M274&lt;&gt;"",ISNA(MATCH(M274,tech_name,0))),"Technicien inconnu",IF(AND(I274="Terminée",S274&gt;p_today),"Terminée à une date future",IF(AND(I274="Terminée",V274=0),"Durée d'intervention manquante",IF(AND(I274="Terminée",E274="Préventif",T274=0,OR(IFERROR(INDEX(pl_trig,MATCH(F274,pl_num,0))&amp;"","")="Compteur",IFERROR(INDEX(pl_trig,MATCH(F274,pl_num,0))&amp;"","")="Au premier des deux")),"Compteur manquant (plan au compteur)","OK"))))))))))))))))))</f>
        <v/>
      </c>
      <c r="S274" s="67">
        <f>IF(AND(ISNUMBER(B274),N(B274)&gt;0),INT(B274),0)</f>
        <v>0.0</v>
      </c>
      <c r="T274" s="67">
        <f>IF(AND(ISNUMBER(J274),N(J274)&gt;=0),N(J274),0)</f>
        <v>0.0</v>
      </c>
      <c r="U274" s="67">
        <f>IF(AND(ISNUMBER(K274),N(K274)&gt;0),N(K274),0)</f>
        <v>0.0</v>
      </c>
      <c r="V274" s="67">
        <f>IF(AND(ISNUMBER(L274),N(L274)&gt;0),N(L274),0)</f>
        <v>0.0</v>
      </c>
      <c r="W274" s="67">
        <f>IF(AND(I274="Terminée",S274&gt;0,C274&lt;&gt;"",ISNUMBER(MATCH(C274,eq_code,0))),1,0)</f>
        <v>0.0</v>
      </c>
      <c r="X274" s="67">
        <f>IF(AND(W274=1,E274="Préventif"),1,0)</f>
        <v>0.0</v>
      </c>
      <c r="Y274" s="67">
        <f>IF(AND(ISNUMBER(N274),N(N274)&gt;0),N(N274),0)</f>
        <v>0.0</v>
      </c>
      <c r="Z274" s="67">
        <f>IF(AND(ISNUMBER(P274),N(P274)&gt;0),N(P274),0)</f>
        <v>0.0</v>
      </c>
    </row>
    <row r="275">
      <c r="A275" s="79" t="str">
        <f>IF(COUNTA(B275:C275,E275:G275,I275)=0,"","BI-"&amp;RIGHT("0000"&amp;(ROW()-5),4))</f>
        <v/>
      </c>
      <c r="B275" s="72" t="n"/>
      <c r="C275" s="66" t="n"/>
      <c r="D275" s="67" t="str">
        <f>IF(C275="","",IFERROR(INDEX(eq_des,MATCH(C275,eq_code,0))&amp;"","Équipement inconnu"))</f>
        <v/>
      </c>
      <c r="E275" s="68" t="n"/>
      <c r="F275" s="68" t="n"/>
      <c r="G275" s="66" t="n"/>
      <c r="H275" s="66" t="n"/>
      <c r="I275" s="68" t="n"/>
      <c r="J275" s="73" t="n"/>
      <c r="K275" s="71" t="n"/>
      <c r="L275" s="71" t="n"/>
      <c r="M275" s="66" t="n"/>
      <c r="N275" s="80" t="n"/>
      <c r="O275" s="81" t="str">
        <f>IF(A275="","",ROUND(V275*IFERROR(N(INDEX(tech_rate,MATCH(M275,tech_name,0))),0),2))</f>
        <v/>
      </c>
      <c r="P275" s="80" t="n"/>
      <c r="Q275" s="81" t="str">
        <f>IF(A275="","",ROUND(Y275+O275+Z275,2))</f>
        <v/>
      </c>
      <c r="R275" s="79" t="str">
        <f>IF(A275="","",IF(S275=0,"Date manquante ou invalide",IF(C275="","Équipement manquant",IF(ISNA(MATCH(C275,eq_code,0)),"Équipement inconnu",IF(E275="","Type manquant",IF(AND(E275&lt;&gt;"Préventif",E275&lt;&gt;"Correctif",E275&lt;&gt;"Amélioratif"),"Type inconnu",IF(I275="","Statut manquant",IF(AND(I275&lt;&gt;"Terminée",I275&lt;&gt;"En cours",I275&lt;&gt;"À faire",I275&lt;&gt;"Annulée"),"Statut inconnu",IF(AND(E275="Préventif",F275=""),"Plan manquant (préventif)",IF(AND(F275&lt;&gt;"",ISNA(MATCH(F275,pl_num,0))),"Plan inconnu",IF(AND(F275&lt;&gt;"",IFERROR(INDEX(pl_eq,MATCH(F275,pl_num,0))&amp;"",C275)&lt;&gt;C275),"Plan d'un autre équipement",IF(AND(J275&lt;&gt;"",OR(NOT(ISNUMBER(J275)),N(J275)&lt;0)),"Compteur invalide",IF(OR(AND(K275&lt;&gt;"",OR(NOT(ISNUMBER(K275)),N(K275)&lt;0)),AND(L275&lt;&gt;"",OR(NOT(ISNUMBER(L275)),N(L275)&lt;0))),"Durée invalide",IF(OR(AND(N275&lt;&gt;"",OR(NOT(ISNUMBER(N275)),N(N275)&lt;0)),AND(P275&lt;&gt;"",OR(NOT(ISNUMBER(P275)),N(P275)&lt;0))),"Coût invalide",IF(AND(M275&lt;&gt;"",ISNA(MATCH(M275,tech_name,0))),"Technicien inconnu",IF(AND(I275="Terminée",S275&gt;p_today),"Terminée à une date future",IF(AND(I275="Terminée",V275=0),"Durée d'intervention manquante",IF(AND(I275="Terminée",E275="Préventif",T275=0,OR(IFERROR(INDEX(pl_trig,MATCH(F275,pl_num,0))&amp;"","")="Compteur",IFERROR(INDEX(pl_trig,MATCH(F275,pl_num,0))&amp;"","")="Au premier des deux")),"Compteur manquant (plan au compteur)","OK"))))))))))))))))))</f>
        <v/>
      </c>
      <c r="S275" s="67">
        <f>IF(AND(ISNUMBER(B275),N(B275)&gt;0),INT(B275),0)</f>
        <v>0.0</v>
      </c>
      <c r="T275" s="67">
        <f>IF(AND(ISNUMBER(J275),N(J275)&gt;=0),N(J275),0)</f>
        <v>0.0</v>
      </c>
      <c r="U275" s="67">
        <f>IF(AND(ISNUMBER(K275),N(K275)&gt;0),N(K275),0)</f>
        <v>0.0</v>
      </c>
      <c r="V275" s="67">
        <f>IF(AND(ISNUMBER(L275),N(L275)&gt;0),N(L275),0)</f>
        <v>0.0</v>
      </c>
      <c r="W275" s="67">
        <f>IF(AND(I275="Terminée",S275&gt;0,C275&lt;&gt;"",ISNUMBER(MATCH(C275,eq_code,0))),1,0)</f>
        <v>0.0</v>
      </c>
      <c r="X275" s="67">
        <f>IF(AND(W275=1,E275="Préventif"),1,0)</f>
        <v>0.0</v>
      </c>
      <c r="Y275" s="67">
        <f>IF(AND(ISNUMBER(N275),N(N275)&gt;0),N(N275),0)</f>
        <v>0.0</v>
      </c>
      <c r="Z275" s="67">
        <f>IF(AND(ISNUMBER(P275),N(P275)&gt;0),N(P275),0)</f>
        <v>0.0</v>
      </c>
    </row>
    <row r="276">
      <c r="A276" s="79" t="str">
        <f>IF(COUNTA(B276:C276,E276:G276,I276)=0,"","BI-"&amp;RIGHT("0000"&amp;(ROW()-5),4))</f>
        <v/>
      </c>
      <c r="B276" s="72" t="n"/>
      <c r="C276" s="66" t="n"/>
      <c r="D276" s="67" t="str">
        <f>IF(C276="","",IFERROR(INDEX(eq_des,MATCH(C276,eq_code,0))&amp;"","Équipement inconnu"))</f>
        <v/>
      </c>
      <c r="E276" s="68" t="n"/>
      <c r="F276" s="68" t="n"/>
      <c r="G276" s="66" t="n"/>
      <c r="H276" s="66" t="n"/>
      <c r="I276" s="68" t="n"/>
      <c r="J276" s="73" t="n"/>
      <c r="K276" s="71" t="n"/>
      <c r="L276" s="71" t="n"/>
      <c r="M276" s="66" t="n"/>
      <c r="N276" s="80" t="n"/>
      <c r="O276" s="81" t="str">
        <f>IF(A276="","",ROUND(V276*IFERROR(N(INDEX(tech_rate,MATCH(M276,tech_name,0))),0),2))</f>
        <v/>
      </c>
      <c r="P276" s="80" t="n"/>
      <c r="Q276" s="81" t="str">
        <f>IF(A276="","",ROUND(Y276+O276+Z276,2))</f>
        <v/>
      </c>
      <c r="R276" s="79" t="str">
        <f>IF(A276="","",IF(S276=0,"Date manquante ou invalide",IF(C276="","Équipement manquant",IF(ISNA(MATCH(C276,eq_code,0)),"Équipement inconnu",IF(E276="","Type manquant",IF(AND(E276&lt;&gt;"Préventif",E276&lt;&gt;"Correctif",E276&lt;&gt;"Amélioratif"),"Type inconnu",IF(I276="","Statut manquant",IF(AND(I276&lt;&gt;"Terminée",I276&lt;&gt;"En cours",I276&lt;&gt;"À faire",I276&lt;&gt;"Annulée"),"Statut inconnu",IF(AND(E276="Préventif",F276=""),"Plan manquant (préventif)",IF(AND(F276&lt;&gt;"",ISNA(MATCH(F276,pl_num,0))),"Plan inconnu",IF(AND(F276&lt;&gt;"",IFERROR(INDEX(pl_eq,MATCH(F276,pl_num,0))&amp;"",C276)&lt;&gt;C276),"Plan d'un autre équipement",IF(AND(J276&lt;&gt;"",OR(NOT(ISNUMBER(J276)),N(J276)&lt;0)),"Compteur invalide",IF(OR(AND(K276&lt;&gt;"",OR(NOT(ISNUMBER(K276)),N(K276)&lt;0)),AND(L276&lt;&gt;"",OR(NOT(ISNUMBER(L276)),N(L276)&lt;0))),"Durée invalide",IF(OR(AND(N276&lt;&gt;"",OR(NOT(ISNUMBER(N276)),N(N276)&lt;0)),AND(P276&lt;&gt;"",OR(NOT(ISNUMBER(P276)),N(P276)&lt;0))),"Coût invalide",IF(AND(M276&lt;&gt;"",ISNA(MATCH(M276,tech_name,0))),"Technicien inconnu",IF(AND(I276="Terminée",S276&gt;p_today),"Terminée à une date future",IF(AND(I276="Terminée",V276=0),"Durée d'intervention manquante",IF(AND(I276="Terminée",E276="Préventif",T276=0,OR(IFERROR(INDEX(pl_trig,MATCH(F276,pl_num,0))&amp;"","")="Compteur",IFERROR(INDEX(pl_trig,MATCH(F276,pl_num,0))&amp;"","")="Au premier des deux")),"Compteur manquant (plan au compteur)","OK"))))))))))))))))))</f>
        <v/>
      </c>
      <c r="S276" s="67">
        <f>IF(AND(ISNUMBER(B276),N(B276)&gt;0),INT(B276),0)</f>
        <v>0.0</v>
      </c>
      <c r="T276" s="67">
        <f>IF(AND(ISNUMBER(J276),N(J276)&gt;=0),N(J276),0)</f>
        <v>0.0</v>
      </c>
      <c r="U276" s="67">
        <f>IF(AND(ISNUMBER(K276),N(K276)&gt;0),N(K276),0)</f>
        <v>0.0</v>
      </c>
      <c r="V276" s="67">
        <f>IF(AND(ISNUMBER(L276),N(L276)&gt;0),N(L276),0)</f>
        <v>0.0</v>
      </c>
      <c r="W276" s="67">
        <f>IF(AND(I276="Terminée",S276&gt;0,C276&lt;&gt;"",ISNUMBER(MATCH(C276,eq_code,0))),1,0)</f>
        <v>0.0</v>
      </c>
      <c r="X276" s="67">
        <f>IF(AND(W276=1,E276="Préventif"),1,0)</f>
        <v>0.0</v>
      </c>
      <c r="Y276" s="67">
        <f>IF(AND(ISNUMBER(N276),N(N276)&gt;0),N(N276),0)</f>
        <v>0.0</v>
      </c>
      <c r="Z276" s="67">
        <f>IF(AND(ISNUMBER(P276),N(P276)&gt;0),N(P276),0)</f>
        <v>0.0</v>
      </c>
    </row>
    <row r="277">
      <c r="A277" s="79" t="str">
        <f>IF(COUNTA(B277:C277,E277:G277,I277)=0,"","BI-"&amp;RIGHT("0000"&amp;(ROW()-5),4))</f>
        <v/>
      </c>
      <c r="B277" s="72" t="n"/>
      <c r="C277" s="66" t="n"/>
      <c r="D277" s="67" t="str">
        <f>IF(C277="","",IFERROR(INDEX(eq_des,MATCH(C277,eq_code,0))&amp;"","Équipement inconnu"))</f>
        <v/>
      </c>
      <c r="E277" s="68" t="n"/>
      <c r="F277" s="68" t="n"/>
      <c r="G277" s="66" t="n"/>
      <c r="H277" s="66" t="n"/>
      <c r="I277" s="68" t="n"/>
      <c r="J277" s="73" t="n"/>
      <c r="K277" s="71" t="n"/>
      <c r="L277" s="71" t="n"/>
      <c r="M277" s="66" t="n"/>
      <c r="N277" s="80" t="n"/>
      <c r="O277" s="81" t="str">
        <f>IF(A277="","",ROUND(V277*IFERROR(N(INDEX(tech_rate,MATCH(M277,tech_name,0))),0),2))</f>
        <v/>
      </c>
      <c r="P277" s="80" t="n"/>
      <c r="Q277" s="81" t="str">
        <f>IF(A277="","",ROUND(Y277+O277+Z277,2))</f>
        <v/>
      </c>
      <c r="R277" s="79" t="str">
        <f>IF(A277="","",IF(S277=0,"Date manquante ou invalide",IF(C277="","Équipement manquant",IF(ISNA(MATCH(C277,eq_code,0)),"Équipement inconnu",IF(E277="","Type manquant",IF(AND(E277&lt;&gt;"Préventif",E277&lt;&gt;"Correctif",E277&lt;&gt;"Amélioratif"),"Type inconnu",IF(I277="","Statut manquant",IF(AND(I277&lt;&gt;"Terminée",I277&lt;&gt;"En cours",I277&lt;&gt;"À faire",I277&lt;&gt;"Annulée"),"Statut inconnu",IF(AND(E277="Préventif",F277=""),"Plan manquant (préventif)",IF(AND(F277&lt;&gt;"",ISNA(MATCH(F277,pl_num,0))),"Plan inconnu",IF(AND(F277&lt;&gt;"",IFERROR(INDEX(pl_eq,MATCH(F277,pl_num,0))&amp;"",C277)&lt;&gt;C277),"Plan d'un autre équipement",IF(AND(J277&lt;&gt;"",OR(NOT(ISNUMBER(J277)),N(J277)&lt;0)),"Compteur invalide",IF(OR(AND(K277&lt;&gt;"",OR(NOT(ISNUMBER(K277)),N(K277)&lt;0)),AND(L277&lt;&gt;"",OR(NOT(ISNUMBER(L277)),N(L277)&lt;0))),"Durée invalide",IF(OR(AND(N277&lt;&gt;"",OR(NOT(ISNUMBER(N277)),N(N277)&lt;0)),AND(P277&lt;&gt;"",OR(NOT(ISNUMBER(P277)),N(P277)&lt;0))),"Coût invalide",IF(AND(M277&lt;&gt;"",ISNA(MATCH(M277,tech_name,0))),"Technicien inconnu",IF(AND(I277="Terminée",S277&gt;p_today),"Terminée à une date future",IF(AND(I277="Terminée",V277=0),"Durée d'intervention manquante",IF(AND(I277="Terminée",E277="Préventif",T277=0,OR(IFERROR(INDEX(pl_trig,MATCH(F277,pl_num,0))&amp;"","")="Compteur",IFERROR(INDEX(pl_trig,MATCH(F277,pl_num,0))&amp;"","")="Au premier des deux")),"Compteur manquant (plan au compteur)","OK"))))))))))))))))))</f>
        <v/>
      </c>
      <c r="S277" s="67">
        <f>IF(AND(ISNUMBER(B277),N(B277)&gt;0),INT(B277),0)</f>
        <v>0.0</v>
      </c>
      <c r="T277" s="67">
        <f>IF(AND(ISNUMBER(J277),N(J277)&gt;=0),N(J277),0)</f>
        <v>0.0</v>
      </c>
      <c r="U277" s="67">
        <f>IF(AND(ISNUMBER(K277),N(K277)&gt;0),N(K277),0)</f>
        <v>0.0</v>
      </c>
      <c r="V277" s="67">
        <f>IF(AND(ISNUMBER(L277),N(L277)&gt;0),N(L277),0)</f>
        <v>0.0</v>
      </c>
      <c r="W277" s="67">
        <f>IF(AND(I277="Terminée",S277&gt;0,C277&lt;&gt;"",ISNUMBER(MATCH(C277,eq_code,0))),1,0)</f>
        <v>0.0</v>
      </c>
      <c r="X277" s="67">
        <f>IF(AND(W277=1,E277="Préventif"),1,0)</f>
        <v>0.0</v>
      </c>
      <c r="Y277" s="67">
        <f>IF(AND(ISNUMBER(N277),N(N277)&gt;0),N(N277),0)</f>
        <v>0.0</v>
      </c>
      <c r="Z277" s="67">
        <f>IF(AND(ISNUMBER(P277),N(P277)&gt;0),N(P277),0)</f>
        <v>0.0</v>
      </c>
    </row>
    <row r="278">
      <c r="A278" s="79" t="str">
        <f>IF(COUNTA(B278:C278,E278:G278,I278)=0,"","BI-"&amp;RIGHT("0000"&amp;(ROW()-5),4))</f>
        <v/>
      </c>
      <c r="B278" s="72" t="n"/>
      <c r="C278" s="66" t="n"/>
      <c r="D278" s="67" t="str">
        <f>IF(C278="","",IFERROR(INDEX(eq_des,MATCH(C278,eq_code,0))&amp;"","Équipement inconnu"))</f>
        <v/>
      </c>
      <c r="E278" s="68" t="n"/>
      <c r="F278" s="68" t="n"/>
      <c r="G278" s="66" t="n"/>
      <c r="H278" s="66" t="n"/>
      <c r="I278" s="68" t="n"/>
      <c r="J278" s="73" t="n"/>
      <c r="K278" s="71" t="n"/>
      <c r="L278" s="71" t="n"/>
      <c r="M278" s="66" t="n"/>
      <c r="N278" s="80" t="n"/>
      <c r="O278" s="81" t="str">
        <f>IF(A278="","",ROUND(V278*IFERROR(N(INDEX(tech_rate,MATCH(M278,tech_name,0))),0),2))</f>
        <v/>
      </c>
      <c r="P278" s="80" t="n"/>
      <c r="Q278" s="81" t="str">
        <f>IF(A278="","",ROUND(Y278+O278+Z278,2))</f>
        <v/>
      </c>
      <c r="R278" s="79" t="str">
        <f>IF(A278="","",IF(S278=0,"Date manquante ou invalide",IF(C278="","Équipement manquant",IF(ISNA(MATCH(C278,eq_code,0)),"Équipement inconnu",IF(E278="","Type manquant",IF(AND(E278&lt;&gt;"Préventif",E278&lt;&gt;"Correctif",E278&lt;&gt;"Amélioratif"),"Type inconnu",IF(I278="","Statut manquant",IF(AND(I278&lt;&gt;"Terminée",I278&lt;&gt;"En cours",I278&lt;&gt;"À faire",I278&lt;&gt;"Annulée"),"Statut inconnu",IF(AND(E278="Préventif",F278=""),"Plan manquant (préventif)",IF(AND(F278&lt;&gt;"",ISNA(MATCH(F278,pl_num,0))),"Plan inconnu",IF(AND(F278&lt;&gt;"",IFERROR(INDEX(pl_eq,MATCH(F278,pl_num,0))&amp;"",C278)&lt;&gt;C278),"Plan d'un autre équipement",IF(AND(J278&lt;&gt;"",OR(NOT(ISNUMBER(J278)),N(J278)&lt;0)),"Compteur invalide",IF(OR(AND(K278&lt;&gt;"",OR(NOT(ISNUMBER(K278)),N(K278)&lt;0)),AND(L278&lt;&gt;"",OR(NOT(ISNUMBER(L278)),N(L278)&lt;0))),"Durée invalide",IF(OR(AND(N278&lt;&gt;"",OR(NOT(ISNUMBER(N278)),N(N278)&lt;0)),AND(P278&lt;&gt;"",OR(NOT(ISNUMBER(P278)),N(P278)&lt;0))),"Coût invalide",IF(AND(M278&lt;&gt;"",ISNA(MATCH(M278,tech_name,0))),"Technicien inconnu",IF(AND(I278="Terminée",S278&gt;p_today),"Terminée à une date future",IF(AND(I278="Terminée",V278=0),"Durée d'intervention manquante",IF(AND(I278="Terminée",E278="Préventif",T278=0,OR(IFERROR(INDEX(pl_trig,MATCH(F278,pl_num,0))&amp;"","")="Compteur",IFERROR(INDEX(pl_trig,MATCH(F278,pl_num,0))&amp;"","")="Au premier des deux")),"Compteur manquant (plan au compteur)","OK"))))))))))))))))))</f>
        <v/>
      </c>
      <c r="S278" s="67">
        <f>IF(AND(ISNUMBER(B278),N(B278)&gt;0),INT(B278),0)</f>
        <v>0.0</v>
      </c>
      <c r="T278" s="67">
        <f>IF(AND(ISNUMBER(J278),N(J278)&gt;=0),N(J278),0)</f>
        <v>0.0</v>
      </c>
      <c r="U278" s="67">
        <f>IF(AND(ISNUMBER(K278),N(K278)&gt;0),N(K278),0)</f>
        <v>0.0</v>
      </c>
      <c r="V278" s="67">
        <f>IF(AND(ISNUMBER(L278),N(L278)&gt;0),N(L278),0)</f>
        <v>0.0</v>
      </c>
      <c r="W278" s="67">
        <f>IF(AND(I278="Terminée",S278&gt;0,C278&lt;&gt;"",ISNUMBER(MATCH(C278,eq_code,0))),1,0)</f>
        <v>0.0</v>
      </c>
      <c r="X278" s="67">
        <f>IF(AND(W278=1,E278="Préventif"),1,0)</f>
        <v>0.0</v>
      </c>
      <c r="Y278" s="67">
        <f>IF(AND(ISNUMBER(N278),N(N278)&gt;0),N(N278),0)</f>
        <v>0.0</v>
      </c>
      <c r="Z278" s="67">
        <f>IF(AND(ISNUMBER(P278),N(P278)&gt;0),N(P278),0)</f>
        <v>0.0</v>
      </c>
    </row>
    <row r="279">
      <c r="A279" s="79" t="str">
        <f>IF(COUNTA(B279:C279,E279:G279,I279)=0,"","BI-"&amp;RIGHT("0000"&amp;(ROW()-5),4))</f>
        <v/>
      </c>
      <c r="B279" s="72" t="n"/>
      <c r="C279" s="66" t="n"/>
      <c r="D279" s="67" t="str">
        <f>IF(C279="","",IFERROR(INDEX(eq_des,MATCH(C279,eq_code,0))&amp;"","Équipement inconnu"))</f>
        <v/>
      </c>
      <c r="E279" s="68" t="n"/>
      <c r="F279" s="68" t="n"/>
      <c r="G279" s="66" t="n"/>
      <c r="H279" s="66" t="n"/>
      <c r="I279" s="68" t="n"/>
      <c r="J279" s="73" t="n"/>
      <c r="K279" s="71" t="n"/>
      <c r="L279" s="71" t="n"/>
      <c r="M279" s="66" t="n"/>
      <c r="N279" s="80" t="n"/>
      <c r="O279" s="81" t="str">
        <f>IF(A279="","",ROUND(V279*IFERROR(N(INDEX(tech_rate,MATCH(M279,tech_name,0))),0),2))</f>
        <v/>
      </c>
      <c r="P279" s="80" t="n"/>
      <c r="Q279" s="81" t="str">
        <f>IF(A279="","",ROUND(Y279+O279+Z279,2))</f>
        <v/>
      </c>
      <c r="R279" s="79" t="str">
        <f>IF(A279="","",IF(S279=0,"Date manquante ou invalide",IF(C279="","Équipement manquant",IF(ISNA(MATCH(C279,eq_code,0)),"Équipement inconnu",IF(E279="","Type manquant",IF(AND(E279&lt;&gt;"Préventif",E279&lt;&gt;"Correctif",E279&lt;&gt;"Amélioratif"),"Type inconnu",IF(I279="","Statut manquant",IF(AND(I279&lt;&gt;"Terminée",I279&lt;&gt;"En cours",I279&lt;&gt;"À faire",I279&lt;&gt;"Annulée"),"Statut inconnu",IF(AND(E279="Préventif",F279=""),"Plan manquant (préventif)",IF(AND(F279&lt;&gt;"",ISNA(MATCH(F279,pl_num,0))),"Plan inconnu",IF(AND(F279&lt;&gt;"",IFERROR(INDEX(pl_eq,MATCH(F279,pl_num,0))&amp;"",C279)&lt;&gt;C279),"Plan d'un autre équipement",IF(AND(J279&lt;&gt;"",OR(NOT(ISNUMBER(J279)),N(J279)&lt;0)),"Compteur invalide",IF(OR(AND(K279&lt;&gt;"",OR(NOT(ISNUMBER(K279)),N(K279)&lt;0)),AND(L279&lt;&gt;"",OR(NOT(ISNUMBER(L279)),N(L279)&lt;0))),"Durée invalide",IF(OR(AND(N279&lt;&gt;"",OR(NOT(ISNUMBER(N279)),N(N279)&lt;0)),AND(P279&lt;&gt;"",OR(NOT(ISNUMBER(P279)),N(P279)&lt;0))),"Coût invalide",IF(AND(M279&lt;&gt;"",ISNA(MATCH(M279,tech_name,0))),"Technicien inconnu",IF(AND(I279="Terminée",S279&gt;p_today),"Terminée à une date future",IF(AND(I279="Terminée",V279=0),"Durée d'intervention manquante",IF(AND(I279="Terminée",E279="Préventif",T279=0,OR(IFERROR(INDEX(pl_trig,MATCH(F279,pl_num,0))&amp;"","")="Compteur",IFERROR(INDEX(pl_trig,MATCH(F279,pl_num,0))&amp;"","")="Au premier des deux")),"Compteur manquant (plan au compteur)","OK"))))))))))))))))))</f>
        <v/>
      </c>
      <c r="S279" s="67">
        <f>IF(AND(ISNUMBER(B279),N(B279)&gt;0),INT(B279),0)</f>
        <v>0.0</v>
      </c>
      <c r="T279" s="67">
        <f>IF(AND(ISNUMBER(J279),N(J279)&gt;=0),N(J279),0)</f>
        <v>0.0</v>
      </c>
      <c r="U279" s="67">
        <f>IF(AND(ISNUMBER(K279),N(K279)&gt;0),N(K279),0)</f>
        <v>0.0</v>
      </c>
      <c r="V279" s="67">
        <f>IF(AND(ISNUMBER(L279),N(L279)&gt;0),N(L279),0)</f>
        <v>0.0</v>
      </c>
      <c r="W279" s="67">
        <f>IF(AND(I279="Terminée",S279&gt;0,C279&lt;&gt;"",ISNUMBER(MATCH(C279,eq_code,0))),1,0)</f>
        <v>0.0</v>
      </c>
      <c r="X279" s="67">
        <f>IF(AND(W279=1,E279="Préventif"),1,0)</f>
        <v>0.0</v>
      </c>
      <c r="Y279" s="67">
        <f>IF(AND(ISNUMBER(N279),N(N279)&gt;0),N(N279),0)</f>
        <v>0.0</v>
      </c>
      <c r="Z279" s="67">
        <f>IF(AND(ISNUMBER(P279),N(P279)&gt;0),N(P279),0)</f>
        <v>0.0</v>
      </c>
    </row>
    <row r="280">
      <c r="A280" s="79" t="str">
        <f>IF(COUNTA(B280:C280,E280:G280,I280)=0,"","BI-"&amp;RIGHT("0000"&amp;(ROW()-5),4))</f>
        <v/>
      </c>
      <c r="B280" s="72" t="n"/>
      <c r="C280" s="66" t="n"/>
      <c r="D280" s="67" t="str">
        <f>IF(C280="","",IFERROR(INDEX(eq_des,MATCH(C280,eq_code,0))&amp;"","Équipement inconnu"))</f>
        <v/>
      </c>
      <c r="E280" s="68" t="n"/>
      <c r="F280" s="68" t="n"/>
      <c r="G280" s="66" t="n"/>
      <c r="H280" s="66" t="n"/>
      <c r="I280" s="68" t="n"/>
      <c r="J280" s="73" t="n"/>
      <c r="K280" s="71" t="n"/>
      <c r="L280" s="71" t="n"/>
      <c r="M280" s="66" t="n"/>
      <c r="N280" s="80" t="n"/>
      <c r="O280" s="81" t="str">
        <f>IF(A280="","",ROUND(V280*IFERROR(N(INDEX(tech_rate,MATCH(M280,tech_name,0))),0),2))</f>
        <v/>
      </c>
      <c r="P280" s="80" t="n"/>
      <c r="Q280" s="81" t="str">
        <f>IF(A280="","",ROUND(Y280+O280+Z280,2))</f>
        <v/>
      </c>
      <c r="R280" s="79" t="str">
        <f>IF(A280="","",IF(S280=0,"Date manquante ou invalide",IF(C280="","Équipement manquant",IF(ISNA(MATCH(C280,eq_code,0)),"Équipement inconnu",IF(E280="","Type manquant",IF(AND(E280&lt;&gt;"Préventif",E280&lt;&gt;"Correctif",E280&lt;&gt;"Amélioratif"),"Type inconnu",IF(I280="","Statut manquant",IF(AND(I280&lt;&gt;"Terminée",I280&lt;&gt;"En cours",I280&lt;&gt;"À faire",I280&lt;&gt;"Annulée"),"Statut inconnu",IF(AND(E280="Préventif",F280=""),"Plan manquant (préventif)",IF(AND(F280&lt;&gt;"",ISNA(MATCH(F280,pl_num,0))),"Plan inconnu",IF(AND(F280&lt;&gt;"",IFERROR(INDEX(pl_eq,MATCH(F280,pl_num,0))&amp;"",C280)&lt;&gt;C280),"Plan d'un autre équipement",IF(AND(J280&lt;&gt;"",OR(NOT(ISNUMBER(J280)),N(J280)&lt;0)),"Compteur invalide",IF(OR(AND(K280&lt;&gt;"",OR(NOT(ISNUMBER(K280)),N(K280)&lt;0)),AND(L280&lt;&gt;"",OR(NOT(ISNUMBER(L280)),N(L280)&lt;0))),"Durée invalide",IF(OR(AND(N280&lt;&gt;"",OR(NOT(ISNUMBER(N280)),N(N280)&lt;0)),AND(P280&lt;&gt;"",OR(NOT(ISNUMBER(P280)),N(P280)&lt;0))),"Coût invalide",IF(AND(M280&lt;&gt;"",ISNA(MATCH(M280,tech_name,0))),"Technicien inconnu",IF(AND(I280="Terminée",S280&gt;p_today),"Terminée à une date future",IF(AND(I280="Terminée",V280=0),"Durée d'intervention manquante",IF(AND(I280="Terminée",E280="Préventif",T280=0,OR(IFERROR(INDEX(pl_trig,MATCH(F280,pl_num,0))&amp;"","")="Compteur",IFERROR(INDEX(pl_trig,MATCH(F280,pl_num,0))&amp;"","")="Au premier des deux")),"Compteur manquant (plan au compteur)","OK"))))))))))))))))))</f>
        <v/>
      </c>
      <c r="S280" s="67">
        <f>IF(AND(ISNUMBER(B280),N(B280)&gt;0),INT(B280),0)</f>
        <v>0.0</v>
      </c>
      <c r="T280" s="67">
        <f>IF(AND(ISNUMBER(J280),N(J280)&gt;=0),N(J280),0)</f>
        <v>0.0</v>
      </c>
      <c r="U280" s="67">
        <f>IF(AND(ISNUMBER(K280),N(K280)&gt;0),N(K280),0)</f>
        <v>0.0</v>
      </c>
      <c r="V280" s="67">
        <f>IF(AND(ISNUMBER(L280),N(L280)&gt;0),N(L280),0)</f>
        <v>0.0</v>
      </c>
      <c r="W280" s="67">
        <f>IF(AND(I280="Terminée",S280&gt;0,C280&lt;&gt;"",ISNUMBER(MATCH(C280,eq_code,0))),1,0)</f>
        <v>0.0</v>
      </c>
      <c r="X280" s="67">
        <f>IF(AND(W280=1,E280="Préventif"),1,0)</f>
        <v>0.0</v>
      </c>
      <c r="Y280" s="67">
        <f>IF(AND(ISNUMBER(N280),N(N280)&gt;0),N(N280),0)</f>
        <v>0.0</v>
      </c>
      <c r="Z280" s="67">
        <f>IF(AND(ISNUMBER(P280),N(P280)&gt;0),N(P280),0)</f>
        <v>0.0</v>
      </c>
    </row>
    <row r="281">
      <c r="A281" s="79" t="str">
        <f>IF(COUNTA(B281:C281,E281:G281,I281)=0,"","BI-"&amp;RIGHT("0000"&amp;(ROW()-5),4))</f>
        <v/>
      </c>
      <c r="B281" s="72" t="n"/>
      <c r="C281" s="66" t="n"/>
      <c r="D281" s="67" t="str">
        <f>IF(C281="","",IFERROR(INDEX(eq_des,MATCH(C281,eq_code,0))&amp;"","Équipement inconnu"))</f>
        <v/>
      </c>
      <c r="E281" s="68" t="n"/>
      <c r="F281" s="68" t="n"/>
      <c r="G281" s="66" t="n"/>
      <c r="H281" s="66" t="n"/>
      <c r="I281" s="68" t="n"/>
      <c r="J281" s="73" t="n"/>
      <c r="K281" s="71" t="n"/>
      <c r="L281" s="71" t="n"/>
      <c r="M281" s="66" t="n"/>
      <c r="N281" s="80" t="n"/>
      <c r="O281" s="81" t="str">
        <f>IF(A281="","",ROUND(V281*IFERROR(N(INDEX(tech_rate,MATCH(M281,tech_name,0))),0),2))</f>
        <v/>
      </c>
      <c r="P281" s="80" t="n"/>
      <c r="Q281" s="81" t="str">
        <f>IF(A281="","",ROUND(Y281+O281+Z281,2))</f>
        <v/>
      </c>
      <c r="R281" s="79" t="str">
        <f>IF(A281="","",IF(S281=0,"Date manquante ou invalide",IF(C281="","Équipement manquant",IF(ISNA(MATCH(C281,eq_code,0)),"Équipement inconnu",IF(E281="","Type manquant",IF(AND(E281&lt;&gt;"Préventif",E281&lt;&gt;"Correctif",E281&lt;&gt;"Amélioratif"),"Type inconnu",IF(I281="","Statut manquant",IF(AND(I281&lt;&gt;"Terminée",I281&lt;&gt;"En cours",I281&lt;&gt;"À faire",I281&lt;&gt;"Annulée"),"Statut inconnu",IF(AND(E281="Préventif",F281=""),"Plan manquant (préventif)",IF(AND(F281&lt;&gt;"",ISNA(MATCH(F281,pl_num,0))),"Plan inconnu",IF(AND(F281&lt;&gt;"",IFERROR(INDEX(pl_eq,MATCH(F281,pl_num,0))&amp;"",C281)&lt;&gt;C281),"Plan d'un autre équipement",IF(AND(J281&lt;&gt;"",OR(NOT(ISNUMBER(J281)),N(J281)&lt;0)),"Compteur invalide",IF(OR(AND(K281&lt;&gt;"",OR(NOT(ISNUMBER(K281)),N(K281)&lt;0)),AND(L281&lt;&gt;"",OR(NOT(ISNUMBER(L281)),N(L281)&lt;0))),"Durée invalide",IF(OR(AND(N281&lt;&gt;"",OR(NOT(ISNUMBER(N281)),N(N281)&lt;0)),AND(P281&lt;&gt;"",OR(NOT(ISNUMBER(P281)),N(P281)&lt;0))),"Coût invalide",IF(AND(M281&lt;&gt;"",ISNA(MATCH(M281,tech_name,0))),"Technicien inconnu",IF(AND(I281="Terminée",S281&gt;p_today),"Terminée à une date future",IF(AND(I281="Terminée",V281=0),"Durée d'intervention manquante",IF(AND(I281="Terminée",E281="Préventif",T281=0,OR(IFERROR(INDEX(pl_trig,MATCH(F281,pl_num,0))&amp;"","")="Compteur",IFERROR(INDEX(pl_trig,MATCH(F281,pl_num,0))&amp;"","")="Au premier des deux")),"Compteur manquant (plan au compteur)","OK"))))))))))))))))))</f>
        <v/>
      </c>
      <c r="S281" s="67">
        <f>IF(AND(ISNUMBER(B281),N(B281)&gt;0),INT(B281),0)</f>
        <v>0.0</v>
      </c>
      <c r="T281" s="67">
        <f>IF(AND(ISNUMBER(J281),N(J281)&gt;=0),N(J281),0)</f>
        <v>0.0</v>
      </c>
      <c r="U281" s="67">
        <f>IF(AND(ISNUMBER(K281),N(K281)&gt;0),N(K281),0)</f>
        <v>0.0</v>
      </c>
      <c r="V281" s="67">
        <f>IF(AND(ISNUMBER(L281),N(L281)&gt;0),N(L281),0)</f>
        <v>0.0</v>
      </c>
      <c r="W281" s="67">
        <f>IF(AND(I281="Terminée",S281&gt;0,C281&lt;&gt;"",ISNUMBER(MATCH(C281,eq_code,0))),1,0)</f>
        <v>0.0</v>
      </c>
      <c r="X281" s="67">
        <f>IF(AND(W281=1,E281="Préventif"),1,0)</f>
        <v>0.0</v>
      </c>
      <c r="Y281" s="67">
        <f>IF(AND(ISNUMBER(N281),N(N281)&gt;0),N(N281),0)</f>
        <v>0.0</v>
      </c>
      <c r="Z281" s="67">
        <f>IF(AND(ISNUMBER(P281),N(P281)&gt;0),N(P281),0)</f>
        <v>0.0</v>
      </c>
    </row>
    <row r="282">
      <c r="A282" s="79" t="str">
        <f>IF(COUNTA(B282:C282,E282:G282,I282)=0,"","BI-"&amp;RIGHT("0000"&amp;(ROW()-5),4))</f>
        <v/>
      </c>
      <c r="B282" s="72" t="n"/>
      <c r="C282" s="66" t="n"/>
      <c r="D282" s="67" t="str">
        <f>IF(C282="","",IFERROR(INDEX(eq_des,MATCH(C282,eq_code,0))&amp;"","Équipement inconnu"))</f>
        <v/>
      </c>
      <c r="E282" s="68" t="n"/>
      <c r="F282" s="68" t="n"/>
      <c r="G282" s="66" t="n"/>
      <c r="H282" s="66" t="n"/>
      <c r="I282" s="68" t="n"/>
      <c r="J282" s="73" t="n"/>
      <c r="K282" s="71" t="n"/>
      <c r="L282" s="71" t="n"/>
      <c r="M282" s="66" t="n"/>
      <c r="N282" s="80" t="n"/>
      <c r="O282" s="81" t="str">
        <f>IF(A282="","",ROUND(V282*IFERROR(N(INDEX(tech_rate,MATCH(M282,tech_name,0))),0),2))</f>
        <v/>
      </c>
      <c r="P282" s="80" t="n"/>
      <c r="Q282" s="81" t="str">
        <f>IF(A282="","",ROUND(Y282+O282+Z282,2))</f>
        <v/>
      </c>
      <c r="R282" s="79" t="str">
        <f>IF(A282="","",IF(S282=0,"Date manquante ou invalide",IF(C282="","Équipement manquant",IF(ISNA(MATCH(C282,eq_code,0)),"Équipement inconnu",IF(E282="","Type manquant",IF(AND(E282&lt;&gt;"Préventif",E282&lt;&gt;"Correctif",E282&lt;&gt;"Amélioratif"),"Type inconnu",IF(I282="","Statut manquant",IF(AND(I282&lt;&gt;"Terminée",I282&lt;&gt;"En cours",I282&lt;&gt;"À faire",I282&lt;&gt;"Annulée"),"Statut inconnu",IF(AND(E282="Préventif",F282=""),"Plan manquant (préventif)",IF(AND(F282&lt;&gt;"",ISNA(MATCH(F282,pl_num,0))),"Plan inconnu",IF(AND(F282&lt;&gt;"",IFERROR(INDEX(pl_eq,MATCH(F282,pl_num,0))&amp;"",C282)&lt;&gt;C282),"Plan d'un autre équipement",IF(AND(J282&lt;&gt;"",OR(NOT(ISNUMBER(J282)),N(J282)&lt;0)),"Compteur invalide",IF(OR(AND(K282&lt;&gt;"",OR(NOT(ISNUMBER(K282)),N(K282)&lt;0)),AND(L282&lt;&gt;"",OR(NOT(ISNUMBER(L282)),N(L282)&lt;0))),"Durée invalide",IF(OR(AND(N282&lt;&gt;"",OR(NOT(ISNUMBER(N282)),N(N282)&lt;0)),AND(P282&lt;&gt;"",OR(NOT(ISNUMBER(P282)),N(P282)&lt;0))),"Coût invalide",IF(AND(M282&lt;&gt;"",ISNA(MATCH(M282,tech_name,0))),"Technicien inconnu",IF(AND(I282="Terminée",S282&gt;p_today),"Terminée à une date future",IF(AND(I282="Terminée",V282=0),"Durée d'intervention manquante",IF(AND(I282="Terminée",E282="Préventif",T282=0,OR(IFERROR(INDEX(pl_trig,MATCH(F282,pl_num,0))&amp;"","")="Compteur",IFERROR(INDEX(pl_trig,MATCH(F282,pl_num,0))&amp;"","")="Au premier des deux")),"Compteur manquant (plan au compteur)","OK"))))))))))))))))))</f>
        <v/>
      </c>
      <c r="S282" s="67">
        <f>IF(AND(ISNUMBER(B282),N(B282)&gt;0),INT(B282),0)</f>
        <v>0.0</v>
      </c>
      <c r="T282" s="67">
        <f>IF(AND(ISNUMBER(J282),N(J282)&gt;=0),N(J282),0)</f>
        <v>0.0</v>
      </c>
      <c r="U282" s="67">
        <f>IF(AND(ISNUMBER(K282),N(K282)&gt;0),N(K282),0)</f>
        <v>0.0</v>
      </c>
      <c r="V282" s="67">
        <f>IF(AND(ISNUMBER(L282),N(L282)&gt;0),N(L282),0)</f>
        <v>0.0</v>
      </c>
      <c r="W282" s="67">
        <f>IF(AND(I282="Terminée",S282&gt;0,C282&lt;&gt;"",ISNUMBER(MATCH(C282,eq_code,0))),1,0)</f>
        <v>0.0</v>
      </c>
      <c r="X282" s="67">
        <f>IF(AND(W282=1,E282="Préventif"),1,0)</f>
        <v>0.0</v>
      </c>
      <c r="Y282" s="67">
        <f>IF(AND(ISNUMBER(N282),N(N282)&gt;0),N(N282),0)</f>
        <v>0.0</v>
      </c>
      <c r="Z282" s="67">
        <f>IF(AND(ISNUMBER(P282),N(P282)&gt;0),N(P282),0)</f>
        <v>0.0</v>
      </c>
    </row>
    <row r="283">
      <c r="A283" s="79" t="str">
        <f>IF(COUNTA(B283:C283,E283:G283,I283)=0,"","BI-"&amp;RIGHT("0000"&amp;(ROW()-5),4))</f>
        <v/>
      </c>
      <c r="B283" s="72" t="n"/>
      <c r="C283" s="66" t="n"/>
      <c r="D283" s="67" t="str">
        <f>IF(C283="","",IFERROR(INDEX(eq_des,MATCH(C283,eq_code,0))&amp;"","Équipement inconnu"))</f>
        <v/>
      </c>
      <c r="E283" s="68" t="n"/>
      <c r="F283" s="68" t="n"/>
      <c r="G283" s="66" t="n"/>
      <c r="H283" s="66" t="n"/>
      <c r="I283" s="68" t="n"/>
      <c r="J283" s="73" t="n"/>
      <c r="K283" s="71" t="n"/>
      <c r="L283" s="71" t="n"/>
      <c r="M283" s="66" t="n"/>
      <c r="N283" s="80" t="n"/>
      <c r="O283" s="81" t="str">
        <f>IF(A283="","",ROUND(V283*IFERROR(N(INDEX(tech_rate,MATCH(M283,tech_name,0))),0),2))</f>
        <v/>
      </c>
      <c r="P283" s="80" t="n"/>
      <c r="Q283" s="81" t="str">
        <f>IF(A283="","",ROUND(Y283+O283+Z283,2))</f>
        <v/>
      </c>
      <c r="R283" s="79" t="str">
        <f>IF(A283="","",IF(S283=0,"Date manquante ou invalide",IF(C283="","Équipement manquant",IF(ISNA(MATCH(C283,eq_code,0)),"Équipement inconnu",IF(E283="","Type manquant",IF(AND(E283&lt;&gt;"Préventif",E283&lt;&gt;"Correctif",E283&lt;&gt;"Amélioratif"),"Type inconnu",IF(I283="","Statut manquant",IF(AND(I283&lt;&gt;"Terminée",I283&lt;&gt;"En cours",I283&lt;&gt;"À faire",I283&lt;&gt;"Annulée"),"Statut inconnu",IF(AND(E283="Préventif",F283=""),"Plan manquant (préventif)",IF(AND(F283&lt;&gt;"",ISNA(MATCH(F283,pl_num,0))),"Plan inconnu",IF(AND(F283&lt;&gt;"",IFERROR(INDEX(pl_eq,MATCH(F283,pl_num,0))&amp;"",C283)&lt;&gt;C283),"Plan d'un autre équipement",IF(AND(J283&lt;&gt;"",OR(NOT(ISNUMBER(J283)),N(J283)&lt;0)),"Compteur invalide",IF(OR(AND(K283&lt;&gt;"",OR(NOT(ISNUMBER(K283)),N(K283)&lt;0)),AND(L283&lt;&gt;"",OR(NOT(ISNUMBER(L283)),N(L283)&lt;0))),"Durée invalide",IF(OR(AND(N283&lt;&gt;"",OR(NOT(ISNUMBER(N283)),N(N283)&lt;0)),AND(P283&lt;&gt;"",OR(NOT(ISNUMBER(P283)),N(P283)&lt;0))),"Coût invalide",IF(AND(M283&lt;&gt;"",ISNA(MATCH(M283,tech_name,0))),"Technicien inconnu",IF(AND(I283="Terminée",S283&gt;p_today),"Terminée à une date future",IF(AND(I283="Terminée",V283=0),"Durée d'intervention manquante",IF(AND(I283="Terminée",E283="Préventif",T283=0,OR(IFERROR(INDEX(pl_trig,MATCH(F283,pl_num,0))&amp;"","")="Compteur",IFERROR(INDEX(pl_trig,MATCH(F283,pl_num,0))&amp;"","")="Au premier des deux")),"Compteur manquant (plan au compteur)","OK"))))))))))))))))))</f>
        <v/>
      </c>
      <c r="S283" s="67">
        <f>IF(AND(ISNUMBER(B283),N(B283)&gt;0),INT(B283),0)</f>
        <v>0.0</v>
      </c>
      <c r="T283" s="67">
        <f>IF(AND(ISNUMBER(J283),N(J283)&gt;=0),N(J283),0)</f>
        <v>0.0</v>
      </c>
      <c r="U283" s="67">
        <f>IF(AND(ISNUMBER(K283),N(K283)&gt;0),N(K283),0)</f>
        <v>0.0</v>
      </c>
      <c r="V283" s="67">
        <f>IF(AND(ISNUMBER(L283),N(L283)&gt;0),N(L283),0)</f>
        <v>0.0</v>
      </c>
      <c r="W283" s="67">
        <f>IF(AND(I283="Terminée",S283&gt;0,C283&lt;&gt;"",ISNUMBER(MATCH(C283,eq_code,0))),1,0)</f>
        <v>0.0</v>
      </c>
      <c r="X283" s="67">
        <f>IF(AND(W283=1,E283="Préventif"),1,0)</f>
        <v>0.0</v>
      </c>
      <c r="Y283" s="67">
        <f>IF(AND(ISNUMBER(N283),N(N283)&gt;0),N(N283),0)</f>
        <v>0.0</v>
      </c>
      <c r="Z283" s="67">
        <f>IF(AND(ISNUMBER(P283),N(P283)&gt;0),N(P283),0)</f>
        <v>0.0</v>
      </c>
    </row>
    <row r="284">
      <c r="A284" s="79" t="str">
        <f>IF(COUNTA(B284:C284,E284:G284,I284)=0,"","BI-"&amp;RIGHT("0000"&amp;(ROW()-5),4))</f>
        <v/>
      </c>
      <c r="B284" s="72" t="n"/>
      <c r="C284" s="66" t="n"/>
      <c r="D284" s="67" t="str">
        <f>IF(C284="","",IFERROR(INDEX(eq_des,MATCH(C284,eq_code,0))&amp;"","Équipement inconnu"))</f>
        <v/>
      </c>
      <c r="E284" s="68" t="n"/>
      <c r="F284" s="68" t="n"/>
      <c r="G284" s="66" t="n"/>
      <c r="H284" s="66" t="n"/>
      <c r="I284" s="68" t="n"/>
      <c r="J284" s="73" t="n"/>
      <c r="K284" s="71" t="n"/>
      <c r="L284" s="71" t="n"/>
      <c r="M284" s="66" t="n"/>
      <c r="N284" s="80" t="n"/>
      <c r="O284" s="81" t="str">
        <f>IF(A284="","",ROUND(V284*IFERROR(N(INDEX(tech_rate,MATCH(M284,tech_name,0))),0),2))</f>
        <v/>
      </c>
      <c r="P284" s="80" t="n"/>
      <c r="Q284" s="81" t="str">
        <f>IF(A284="","",ROUND(Y284+O284+Z284,2))</f>
        <v/>
      </c>
      <c r="R284" s="79" t="str">
        <f>IF(A284="","",IF(S284=0,"Date manquante ou invalide",IF(C284="","Équipement manquant",IF(ISNA(MATCH(C284,eq_code,0)),"Équipement inconnu",IF(E284="","Type manquant",IF(AND(E284&lt;&gt;"Préventif",E284&lt;&gt;"Correctif",E284&lt;&gt;"Amélioratif"),"Type inconnu",IF(I284="","Statut manquant",IF(AND(I284&lt;&gt;"Terminée",I284&lt;&gt;"En cours",I284&lt;&gt;"À faire",I284&lt;&gt;"Annulée"),"Statut inconnu",IF(AND(E284="Préventif",F284=""),"Plan manquant (préventif)",IF(AND(F284&lt;&gt;"",ISNA(MATCH(F284,pl_num,0))),"Plan inconnu",IF(AND(F284&lt;&gt;"",IFERROR(INDEX(pl_eq,MATCH(F284,pl_num,0))&amp;"",C284)&lt;&gt;C284),"Plan d'un autre équipement",IF(AND(J284&lt;&gt;"",OR(NOT(ISNUMBER(J284)),N(J284)&lt;0)),"Compteur invalide",IF(OR(AND(K284&lt;&gt;"",OR(NOT(ISNUMBER(K284)),N(K284)&lt;0)),AND(L284&lt;&gt;"",OR(NOT(ISNUMBER(L284)),N(L284)&lt;0))),"Durée invalide",IF(OR(AND(N284&lt;&gt;"",OR(NOT(ISNUMBER(N284)),N(N284)&lt;0)),AND(P284&lt;&gt;"",OR(NOT(ISNUMBER(P284)),N(P284)&lt;0))),"Coût invalide",IF(AND(M284&lt;&gt;"",ISNA(MATCH(M284,tech_name,0))),"Technicien inconnu",IF(AND(I284="Terminée",S284&gt;p_today),"Terminée à une date future",IF(AND(I284="Terminée",V284=0),"Durée d'intervention manquante",IF(AND(I284="Terminée",E284="Préventif",T284=0,OR(IFERROR(INDEX(pl_trig,MATCH(F284,pl_num,0))&amp;"","")="Compteur",IFERROR(INDEX(pl_trig,MATCH(F284,pl_num,0))&amp;"","")="Au premier des deux")),"Compteur manquant (plan au compteur)","OK"))))))))))))))))))</f>
        <v/>
      </c>
      <c r="S284" s="67">
        <f>IF(AND(ISNUMBER(B284),N(B284)&gt;0),INT(B284),0)</f>
        <v>0.0</v>
      </c>
      <c r="T284" s="67">
        <f>IF(AND(ISNUMBER(J284),N(J284)&gt;=0),N(J284),0)</f>
        <v>0.0</v>
      </c>
      <c r="U284" s="67">
        <f>IF(AND(ISNUMBER(K284),N(K284)&gt;0),N(K284),0)</f>
        <v>0.0</v>
      </c>
      <c r="V284" s="67">
        <f>IF(AND(ISNUMBER(L284),N(L284)&gt;0),N(L284),0)</f>
        <v>0.0</v>
      </c>
      <c r="W284" s="67">
        <f>IF(AND(I284="Terminée",S284&gt;0,C284&lt;&gt;"",ISNUMBER(MATCH(C284,eq_code,0))),1,0)</f>
        <v>0.0</v>
      </c>
      <c r="X284" s="67">
        <f>IF(AND(W284=1,E284="Préventif"),1,0)</f>
        <v>0.0</v>
      </c>
      <c r="Y284" s="67">
        <f>IF(AND(ISNUMBER(N284),N(N284)&gt;0),N(N284),0)</f>
        <v>0.0</v>
      </c>
      <c r="Z284" s="67">
        <f>IF(AND(ISNUMBER(P284),N(P284)&gt;0),N(P284),0)</f>
        <v>0.0</v>
      </c>
    </row>
    <row r="285">
      <c r="A285" s="79" t="str">
        <f>IF(COUNTA(B285:C285,E285:G285,I285)=0,"","BI-"&amp;RIGHT("0000"&amp;(ROW()-5),4))</f>
        <v/>
      </c>
      <c r="B285" s="72" t="n"/>
      <c r="C285" s="66" t="n"/>
      <c r="D285" s="67" t="str">
        <f>IF(C285="","",IFERROR(INDEX(eq_des,MATCH(C285,eq_code,0))&amp;"","Équipement inconnu"))</f>
        <v/>
      </c>
      <c r="E285" s="68" t="n"/>
      <c r="F285" s="68" t="n"/>
      <c r="G285" s="66" t="n"/>
      <c r="H285" s="66" t="n"/>
      <c r="I285" s="68" t="n"/>
      <c r="J285" s="73" t="n"/>
      <c r="K285" s="71" t="n"/>
      <c r="L285" s="71" t="n"/>
      <c r="M285" s="66" t="n"/>
      <c r="N285" s="80" t="n"/>
      <c r="O285" s="81" t="str">
        <f>IF(A285="","",ROUND(V285*IFERROR(N(INDEX(tech_rate,MATCH(M285,tech_name,0))),0),2))</f>
        <v/>
      </c>
      <c r="P285" s="80" t="n"/>
      <c r="Q285" s="81" t="str">
        <f>IF(A285="","",ROUND(Y285+O285+Z285,2))</f>
        <v/>
      </c>
      <c r="R285" s="79" t="str">
        <f>IF(A285="","",IF(S285=0,"Date manquante ou invalide",IF(C285="","Équipement manquant",IF(ISNA(MATCH(C285,eq_code,0)),"Équipement inconnu",IF(E285="","Type manquant",IF(AND(E285&lt;&gt;"Préventif",E285&lt;&gt;"Correctif",E285&lt;&gt;"Amélioratif"),"Type inconnu",IF(I285="","Statut manquant",IF(AND(I285&lt;&gt;"Terminée",I285&lt;&gt;"En cours",I285&lt;&gt;"À faire",I285&lt;&gt;"Annulée"),"Statut inconnu",IF(AND(E285="Préventif",F285=""),"Plan manquant (préventif)",IF(AND(F285&lt;&gt;"",ISNA(MATCH(F285,pl_num,0))),"Plan inconnu",IF(AND(F285&lt;&gt;"",IFERROR(INDEX(pl_eq,MATCH(F285,pl_num,0))&amp;"",C285)&lt;&gt;C285),"Plan d'un autre équipement",IF(AND(J285&lt;&gt;"",OR(NOT(ISNUMBER(J285)),N(J285)&lt;0)),"Compteur invalide",IF(OR(AND(K285&lt;&gt;"",OR(NOT(ISNUMBER(K285)),N(K285)&lt;0)),AND(L285&lt;&gt;"",OR(NOT(ISNUMBER(L285)),N(L285)&lt;0))),"Durée invalide",IF(OR(AND(N285&lt;&gt;"",OR(NOT(ISNUMBER(N285)),N(N285)&lt;0)),AND(P285&lt;&gt;"",OR(NOT(ISNUMBER(P285)),N(P285)&lt;0))),"Coût invalide",IF(AND(M285&lt;&gt;"",ISNA(MATCH(M285,tech_name,0))),"Technicien inconnu",IF(AND(I285="Terminée",S285&gt;p_today),"Terminée à une date future",IF(AND(I285="Terminée",V285=0),"Durée d'intervention manquante",IF(AND(I285="Terminée",E285="Préventif",T285=0,OR(IFERROR(INDEX(pl_trig,MATCH(F285,pl_num,0))&amp;"","")="Compteur",IFERROR(INDEX(pl_trig,MATCH(F285,pl_num,0))&amp;"","")="Au premier des deux")),"Compteur manquant (plan au compteur)","OK"))))))))))))))))))</f>
        <v/>
      </c>
      <c r="S285" s="67">
        <f>IF(AND(ISNUMBER(B285),N(B285)&gt;0),INT(B285),0)</f>
        <v>0.0</v>
      </c>
      <c r="T285" s="67">
        <f>IF(AND(ISNUMBER(J285),N(J285)&gt;=0),N(J285),0)</f>
        <v>0.0</v>
      </c>
      <c r="U285" s="67">
        <f>IF(AND(ISNUMBER(K285),N(K285)&gt;0),N(K285),0)</f>
        <v>0.0</v>
      </c>
      <c r="V285" s="67">
        <f>IF(AND(ISNUMBER(L285),N(L285)&gt;0),N(L285),0)</f>
        <v>0.0</v>
      </c>
      <c r="W285" s="67">
        <f>IF(AND(I285="Terminée",S285&gt;0,C285&lt;&gt;"",ISNUMBER(MATCH(C285,eq_code,0))),1,0)</f>
        <v>0.0</v>
      </c>
      <c r="X285" s="67">
        <f>IF(AND(W285=1,E285="Préventif"),1,0)</f>
        <v>0.0</v>
      </c>
      <c r="Y285" s="67">
        <f>IF(AND(ISNUMBER(N285),N(N285)&gt;0),N(N285),0)</f>
        <v>0.0</v>
      </c>
      <c r="Z285" s="67">
        <f>IF(AND(ISNUMBER(P285),N(P285)&gt;0),N(P285),0)</f>
        <v>0.0</v>
      </c>
    </row>
    <row r="286">
      <c r="A286" s="79" t="str">
        <f>IF(COUNTA(B286:C286,E286:G286,I286)=0,"","BI-"&amp;RIGHT("0000"&amp;(ROW()-5),4))</f>
        <v/>
      </c>
      <c r="B286" s="72" t="n"/>
      <c r="C286" s="66" t="n"/>
      <c r="D286" s="67" t="str">
        <f>IF(C286="","",IFERROR(INDEX(eq_des,MATCH(C286,eq_code,0))&amp;"","Équipement inconnu"))</f>
        <v/>
      </c>
      <c r="E286" s="68" t="n"/>
      <c r="F286" s="68" t="n"/>
      <c r="G286" s="66" t="n"/>
      <c r="H286" s="66" t="n"/>
      <c r="I286" s="68" t="n"/>
      <c r="J286" s="73" t="n"/>
      <c r="K286" s="71" t="n"/>
      <c r="L286" s="71" t="n"/>
      <c r="M286" s="66" t="n"/>
      <c r="N286" s="80" t="n"/>
      <c r="O286" s="81" t="str">
        <f>IF(A286="","",ROUND(V286*IFERROR(N(INDEX(tech_rate,MATCH(M286,tech_name,0))),0),2))</f>
        <v/>
      </c>
      <c r="P286" s="80" t="n"/>
      <c r="Q286" s="81" t="str">
        <f>IF(A286="","",ROUND(Y286+O286+Z286,2))</f>
        <v/>
      </c>
      <c r="R286" s="79" t="str">
        <f>IF(A286="","",IF(S286=0,"Date manquante ou invalide",IF(C286="","Équipement manquant",IF(ISNA(MATCH(C286,eq_code,0)),"Équipement inconnu",IF(E286="","Type manquant",IF(AND(E286&lt;&gt;"Préventif",E286&lt;&gt;"Correctif",E286&lt;&gt;"Amélioratif"),"Type inconnu",IF(I286="","Statut manquant",IF(AND(I286&lt;&gt;"Terminée",I286&lt;&gt;"En cours",I286&lt;&gt;"À faire",I286&lt;&gt;"Annulée"),"Statut inconnu",IF(AND(E286="Préventif",F286=""),"Plan manquant (préventif)",IF(AND(F286&lt;&gt;"",ISNA(MATCH(F286,pl_num,0))),"Plan inconnu",IF(AND(F286&lt;&gt;"",IFERROR(INDEX(pl_eq,MATCH(F286,pl_num,0))&amp;"",C286)&lt;&gt;C286),"Plan d'un autre équipement",IF(AND(J286&lt;&gt;"",OR(NOT(ISNUMBER(J286)),N(J286)&lt;0)),"Compteur invalide",IF(OR(AND(K286&lt;&gt;"",OR(NOT(ISNUMBER(K286)),N(K286)&lt;0)),AND(L286&lt;&gt;"",OR(NOT(ISNUMBER(L286)),N(L286)&lt;0))),"Durée invalide",IF(OR(AND(N286&lt;&gt;"",OR(NOT(ISNUMBER(N286)),N(N286)&lt;0)),AND(P286&lt;&gt;"",OR(NOT(ISNUMBER(P286)),N(P286)&lt;0))),"Coût invalide",IF(AND(M286&lt;&gt;"",ISNA(MATCH(M286,tech_name,0))),"Technicien inconnu",IF(AND(I286="Terminée",S286&gt;p_today),"Terminée à une date future",IF(AND(I286="Terminée",V286=0),"Durée d'intervention manquante",IF(AND(I286="Terminée",E286="Préventif",T286=0,OR(IFERROR(INDEX(pl_trig,MATCH(F286,pl_num,0))&amp;"","")="Compteur",IFERROR(INDEX(pl_trig,MATCH(F286,pl_num,0))&amp;"","")="Au premier des deux")),"Compteur manquant (plan au compteur)","OK"))))))))))))))))))</f>
        <v/>
      </c>
      <c r="S286" s="67">
        <f>IF(AND(ISNUMBER(B286),N(B286)&gt;0),INT(B286),0)</f>
        <v>0.0</v>
      </c>
      <c r="T286" s="67">
        <f>IF(AND(ISNUMBER(J286),N(J286)&gt;=0),N(J286),0)</f>
        <v>0.0</v>
      </c>
      <c r="U286" s="67">
        <f>IF(AND(ISNUMBER(K286),N(K286)&gt;0),N(K286),0)</f>
        <v>0.0</v>
      </c>
      <c r="V286" s="67">
        <f>IF(AND(ISNUMBER(L286),N(L286)&gt;0),N(L286),0)</f>
        <v>0.0</v>
      </c>
      <c r="W286" s="67">
        <f>IF(AND(I286="Terminée",S286&gt;0,C286&lt;&gt;"",ISNUMBER(MATCH(C286,eq_code,0))),1,0)</f>
        <v>0.0</v>
      </c>
      <c r="X286" s="67">
        <f>IF(AND(W286=1,E286="Préventif"),1,0)</f>
        <v>0.0</v>
      </c>
      <c r="Y286" s="67">
        <f>IF(AND(ISNUMBER(N286),N(N286)&gt;0),N(N286),0)</f>
        <v>0.0</v>
      </c>
      <c r="Z286" s="67">
        <f>IF(AND(ISNUMBER(P286),N(P286)&gt;0),N(P286),0)</f>
        <v>0.0</v>
      </c>
    </row>
    <row r="287">
      <c r="A287" s="79" t="str">
        <f>IF(COUNTA(B287:C287,E287:G287,I287)=0,"","BI-"&amp;RIGHT("0000"&amp;(ROW()-5),4))</f>
        <v/>
      </c>
      <c r="B287" s="72" t="n"/>
      <c r="C287" s="66" t="n"/>
      <c r="D287" s="67" t="str">
        <f>IF(C287="","",IFERROR(INDEX(eq_des,MATCH(C287,eq_code,0))&amp;"","Équipement inconnu"))</f>
        <v/>
      </c>
      <c r="E287" s="68" t="n"/>
      <c r="F287" s="68" t="n"/>
      <c r="G287" s="66" t="n"/>
      <c r="H287" s="66" t="n"/>
      <c r="I287" s="68" t="n"/>
      <c r="J287" s="73" t="n"/>
      <c r="K287" s="71" t="n"/>
      <c r="L287" s="71" t="n"/>
      <c r="M287" s="66" t="n"/>
      <c r="N287" s="80" t="n"/>
      <c r="O287" s="81" t="str">
        <f>IF(A287="","",ROUND(V287*IFERROR(N(INDEX(tech_rate,MATCH(M287,tech_name,0))),0),2))</f>
        <v/>
      </c>
      <c r="P287" s="80" t="n"/>
      <c r="Q287" s="81" t="str">
        <f>IF(A287="","",ROUND(Y287+O287+Z287,2))</f>
        <v/>
      </c>
      <c r="R287" s="79" t="str">
        <f>IF(A287="","",IF(S287=0,"Date manquante ou invalide",IF(C287="","Équipement manquant",IF(ISNA(MATCH(C287,eq_code,0)),"Équipement inconnu",IF(E287="","Type manquant",IF(AND(E287&lt;&gt;"Préventif",E287&lt;&gt;"Correctif",E287&lt;&gt;"Amélioratif"),"Type inconnu",IF(I287="","Statut manquant",IF(AND(I287&lt;&gt;"Terminée",I287&lt;&gt;"En cours",I287&lt;&gt;"À faire",I287&lt;&gt;"Annulée"),"Statut inconnu",IF(AND(E287="Préventif",F287=""),"Plan manquant (préventif)",IF(AND(F287&lt;&gt;"",ISNA(MATCH(F287,pl_num,0))),"Plan inconnu",IF(AND(F287&lt;&gt;"",IFERROR(INDEX(pl_eq,MATCH(F287,pl_num,0))&amp;"",C287)&lt;&gt;C287),"Plan d'un autre équipement",IF(AND(J287&lt;&gt;"",OR(NOT(ISNUMBER(J287)),N(J287)&lt;0)),"Compteur invalide",IF(OR(AND(K287&lt;&gt;"",OR(NOT(ISNUMBER(K287)),N(K287)&lt;0)),AND(L287&lt;&gt;"",OR(NOT(ISNUMBER(L287)),N(L287)&lt;0))),"Durée invalide",IF(OR(AND(N287&lt;&gt;"",OR(NOT(ISNUMBER(N287)),N(N287)&lt;0)),AND(P287&lt;&gt;"",OR(NOT(ISNUMBER(P287)),N(P287)&lt;0))),"Coût invalide",IF(AND(M287&lt;&gt;"",ISNA(MATCH(M287,tech_name,0))),"Technicien inconnu",IF(AND(I287="Terminée",S287&gt;p_today),"Terminée à une date future",IF(AND(I287="Terminée",V287=0),"Durée d'intervention manquante",IF(AND(I287="Terminée",E287="Préventif",T287=0,OR(IFERROR(INDEX(pl_trig,MATCH(F287,pl_num,0))&amp;"","")="Compteur",IFERROR(INDEX(pl_trig,MATCH(F287,pl_num,0))&amp;"","")="Au premier des deux")),"Compteur manquant (plan au compteur)","OK"))))))))))))))))))</f>
        <v/>
      </c>
      <c r="S287" s="67">
        <f>IF(AND(ISNUMBER(B287),N(B287)&gt;0),INT(B287),0)</f>
        <v>0.0</v>
      </c>
      <c r="T287" s="67">
        <f>IF(AND(ISNUMBER(J287),N(J287)&gt;=0),N(J287),0)</f>
        <v>0.0</v>
      </c>
      <c r="U287" s="67">
        <f>IF(AND(ISNUMBER(K287),N(K287)&gt;0),N(K287),0)</f>
        <v>0.0</v>
      </c>
      <c r="V287" s="67">
        <f>IF(AND(ISNUMBER(L287),N(L287)&gt;0),N(L287),0)</f>
        <v>0.0</v>
      </c>
      <c r="W287" s="67">
        <f>IF(AND(I287="Terminée",S287&gt;0,C287&lt;&gt;"",ISNUMBER(MATCH(C287,eq_code,0))),1,0)</f>
        <v>0.0</v>
      </c>
      <c r="X287" s="67">
        <f>IF(AND(W287=1,E287="Préventif"),1,0)</f>
        <v>0.0</v>
      </c>
      <c r="Y287" s="67">
        <f>IF(AND(ISNUMBER(N287),N(N287)&gt;0),N(N287),0)</f>
        <v>0.0</v>
      </c>
      <c r="Z287" s="67">
        <f>IF(AND(ISNUMBER(P287),N(P287)&gt;0),N(P287),0)</f>
        <v>0.0</v>
      </c>
    </row>
    <row r="288">
      <c r="A288" s="79" t="str">
        <f>IF(COUNTA(B288:C288,E288:G288,I288)=0,"","BI-"&amp;RIGHT("0000"&amp;(ROW()-5),4))</f>
        <v/>
      </c>
      <c r="B288" s="72" t="n"/>
      <c r="C288" s="66" t="n"/>
      <c r="D288" s="67" t="str">
        <f>IF(C288="","",IFERROR(INDEX(eq_des,MATCH(C288,eq_code,0))&amp;"","Équipement inconnu"))</f>
        <v/>
      </c>
      <c r="E288" s="68" t="n"/>
      <c r="F288" s="68" t="n"/>
      <c r="G288" s="66" t="n"/>
      <c r="H288" s="66" t="n"/>
      <c r="I288" s="68" t="n"/>
      <c r="J288" s="73" t="n"/>
      <c r="K288" s="71" t="n"/>
      <c r="L288" s="71" t="n"/>
      <c r="M288" s="66" t="n"/>
      <c r="N288" s="80" t="n"/>
      <c r="O288" s="81" t="str">
        <f>IF(A288="","",ROUND(V288*IFERROR(N(INDEX(tech_rate,MATCH(M288,tech_name,0))),0),2))</f>
        <v/>
      </c>
      <c r="P288" s="80" t="n"/>
      <c r="Q288" s="81" t="str">
        <f>IF(A288="","",ROUND(Y288+O288+Z288,2))</f>
        <v/>
      </c>
      <c r="R288" s="79" t="str">
        <f>IF(A288="","",IF(S288=0,"Date manquante ou invalide",IF(C288="","Équipement manquant",IF(ISNA(MATCH(C288,eq_code,0)),"Équipement inconnu",IF(E288="","Type manquant",IF(AND(E288&lt;&gt;"Préventif",E288&lt;&gt;"Correctif",E288&lt;&gt;"Amélioratif"),"Type inconnu",IF(I288="","Statut manquant",IF(AND(I288&lt;&gt;"Terminée",I288&lt;&gt;"En cours",I288&lt;&gt;"À faire",I288&lt;&gt;"Annulée"),"Statut inconnu",IF(AND(E288="Préventif",F288=""),"Plan manquant (préventif)",IF(AND(F288&lt;&gt;"",ISNA(MATCH(F288,pl_num,0))),"Plan inconnu",IF(AND(F288&lt;&gt;"",IFERROR(INDEX(pl_eq,MATCH(F288,pl_num,0))&amp;"",C288)&lt;&gt;C288),"Plan d'un autre équipement",IF(AND(J288&lt;&gt;"",OR(NOT(ISNUMBER(J288)),N(J288)&lt;0)),"Compteur invalide",IF(OR(AND(K288&lt;&gt;"",OR(NOT(ISNUMBER(K288)),N(K288)&lt;0)),AND(L288&lt;&gt;"",OR(NOT(ISNUMBER(L288)),N(L288)&lt;0))),"Durée invalide",IF(OR(AND(N288&lt;&gt;"",OR(NOT(ISNUMBER(N288)),N(N288)&lt;0)),AND(P288&lt;&gt;"",OR(NOT(ISNUMBER(P288)),N(P288)&lt;0))),"Coût invalide",IF(AND(M288&lt;&gt;"",ISNA(MATCH(M288,tech_name,0))),"Technicien inconnu",IF(AND(I288="Terminée",S288&gt;p_today),"Terminée à une date future",IF(AND(I288="Terminée",V288=0),"Durée d'intervention manquante",IF(AND(I288="Terminée",E288="Préventif",T288=0,OR(IFERROR(INDEX(pl_trig,MATCH(F288,pl_num,0))&amp;"","")="Compteur",IFERROR(INDEX(pl_trig,MATCH(F288,pl_num,0))&amp;"","")="Au premier des deux")),"Compteur manquant (plan au compteur)","OK"))))))))))))))))))</f>
        <v/>
      </c>
      <c r="S288" s="67">
        <f>IF(AND(ISNUMBER(B288),N(B288)&gt;0),INT(B288),0)</f>
        <v>0.0</v>
      </c>
      <c r="T288" s="67">
        <f>IF(AND(ISNUMBER(J288),N(J288)&gt;=0),N(J288),0)</f>
        <v>0.0</v>
      </c>
      <c r="U288" s="67">
        <f>IF(AND(ISNUMBER(K288),N(K288)&gt;0),N(K288),0)</f>
        <v>0.0</v>
      </c>
      <c r="V288" s="67">
        <f>IF(AND(ISNUMBER(L288),N(L288)&gt;0),N(L288),0)</f>
        <v>0.0</v>
      </c>
      <c r="W288" s="67">
        <f>IF(AND(I288="Terminée",S288&gt;0,C288&lt;&gt;"",ISNUMBER(MATCH(C288,eq_code,0))),1,0)</f>
        <v>0.0</v>
      </c>
      <c r="X288" s="67">
        <f>IF(AND(W288=1,E288="Préventif"),1,0)</f>
        <v>0.0</v>
      </c>
      <c r="Y288" s="67">
        <f>IF(AND(ISNUMBER(N288),N(N288)&gt;0),N(N288),0)</f>
        <v>0.0</v>
      </c>
      <c r="Z288" s="67">
        <f>IF(AND(ISNUMBER(P288),N(P288)&gt;0),N(P288),0)</f>
        <v>0.0</v>
      </c>
    </row>
    <row r="289">
      <c r="A289" s="79" t="str">
        <f>IF(COUNTA(B289:C289,E289:G289,I289)=0,"","BI-"&amp;RIGHT("0000"&amp;(ROW()-5),4))</f>
        <v/>
      </c>
      <c r="B289" s="72" t="n"/>
      <c r="C289" s="66" t="n"/>
      <c r="D289" s="67" t="str">
        <f>IF(C289="","",IFERROR(INDEX(eq_des,MATCH(C289,eq_code,0))&amp;"","Équipement inconnu"))</f>
        <v/>
      </c>
      <c r="E289" s="68" t="n"/>
      <c r="F289" s="68" t="n"/>
      <c r="G289" s="66" t="n"/>
      <c r="H289" s="66" t="n"/>
      <c r="I289" s="68" t="n"/>
      <c r="J289" s="73" t="n"/>
      <c r="K289" s="71" t="n"/>
      <c r="L289" s="71" t="n"/>
      <c r="M289" s="66" t="n"/>
      <c r="N289" s="80" t="n"/>
      <c r="O289" s="81" t="str">
        <f>IF(A289="","",ROUND(V289*IFERROR(N(INDEX(tech_rate,MATCH(M289,tech_name,0))),0),2))</f>
        <v/>
      </c>
      <c r="P289" s="80" t="n"/>
      <c r="Q289" s="81" t="str">
        <f>IF(A289="","",ROUND(Y289+O289+Z289,2))</f>
        <v/>
      </c>
      <c r="R289" s="79" t="str">
        <f>IF(A289="","",IF(S289=0,"Date manquante ou invalide",IF(C289="","Équipement manquant",IF(ISNA(MATCH(C289,eq_code,0)),"Équipement inconnu",IF(E289="","Type manquant",IF(AND(E289&lt;&gt;"Préventif",E289&lt;&gt;"Correctif",E289&lt;&gt;"Amélioratif"),"Type inconnu",IF(I289="","Statut manquant",IF(AND(I289&lt;&gt;"Terminée",I289&lt;&gt;"En cours",I289&lt;&gt;"À faire",I289&lt;&gt;"Annulée"),"Statut inconnu",IF(AND(E289="Préventif",F289=""),"Plan manquant (préventif)",IF(AND(F289&lt;&gt;"",ISNA(MATCH(F289,pl_num,0))),"Plan inconnu",IF(AND(F289&lt;&gt;"",IFERROR(INDEX(pl_eq,MATCH(F289,pl_num,0))&amp;"",C289)&lt;&gt;C289),"Plan d'un autre équipement",IF(AND(J289&lt;&gt;"",OR(NOT(ISNUMBER(J289)),N(J289)&lt;0)),"Compteur invalide",IF(OR(AND(K289&lt;&gt;"",OR(NOT(ISNUMBER(K289)),N(K289)&lt;0)),AND(L289&lt;&gt;"",OR(NOT(ISNUMBER(L289)),N(L289)&lt;0))),"Durée invalide",IF(OR(AND(N289&lt;&gt;"",OR(NOT(ISNUMBER(N289)),N(N289)&lt;0)),AND(P289&lt;&gt;"",OR(NOT(ISNUMBER(P289)),N(P289)&lt;0))),"Coût invalide",IF(AND(M289&lt;&gt;"",ISNA(MATCH(M289,tech_name,0))),"Technicien inconnu",IF(AND(I289="Terminée",S289&gt;p_today),"Terminée à une date future",IF(AND(I289="Terminée",V289=0),"Durée d'intervention manquante",IF(AND(I289="Terminée",E289="Préventif",T289=0,OR(IFERROR(INDEX(pl_trig,MATCH(F289,pl_num,0))&amp;"","")="Compteur",IFERROR(INDEX(pl_trig,MATCH(F289,pl_num,0))&amp;"","")="Au premier des deux")),"Compteur manquant (plan au compteur)","OK"))))))))))))))))))</f>
        <v/>
      </c>
      <c r="S289" s="67">
        <f>IF(AND(ISNUMBER(B289),N(B289)&gt;0),INT(B289),0)</f>
        <v>0.0</v>
      </c>
      <c r="T289" s="67">
        <f>IF(AND(ISNUMBER(J289),N(J289)&gt;=0),N(J289),0)</f>
        <v>0.0</v>
      </c>
      <c r="U289" s="67">
        <f>IF(AND(ISNUMBER(K289),N(K289)&gt;0),N(K289),0)</f>
        <v>0.0</v>
      </c>
      <c r="V289" s="67">
        <f>IF(AND(ISNUMBER(L289),N(L289)&gt;0),N(L289),0)</f>
        <v>0.0</v>
      </c>
      <c r="W289" s="67">
        <f>IF(AND(I289="Terminée",S289&gt;0,C289&lt;&gt;"",ISNUMBER(MATCH(C289,eq_code,0))),1,0)</f>
        <v>0.0</v>
      </c>
      <c r="X289" s="67">
        <f>IF(AND(W289=1,E289="Préventif"),1,0)</f>
        <v>0.0</v>
      </c>
      <c r="Y289" s="67">
        <f>IF(AND(ISNUMBER(N289),N(N289)&gt;0),N(N289),0)</f>
        <v>0.0</v>
      </c>
      <c r="Z289" s="67">
        <f>IF(AND(ISNUMBER(P289),N(P289)&gt;0),N(P289),0)</f>
        <v>0.0</v>
      </c>
    </row>
    <row r="290">
      <c r="A290" s="79" t="str">
        <f>IF(COUNTA(B290:C290,E290:G290,I290)=0,"","BI-"&amp;RIGHT("0000"&amp;(ROW()-5),4))</f>
        <v/>
      </c>
      <c r="B290" s="72" t="n"/>
      <c r="C290" s="66" t="n"/>
      <c r="D290" s="67" t="str">
        <f>IF(C290="","",IFERROR(INDEX(eq_des,MATCH(C290,eq_code,0))&amp;"","Équipement inconnu"))</f>
        <v/>
      </c>
      <c r="E290" s="68" t="n"/>
      <c r="F290" s="68" t="n"/>
      <c r="G290" s="66" t="n"/>
      <c r="H290" s="66" t="n"/>
      <c r="I290" s="68" t="n"/>
      <c r="J290" s="73" t="n"/>
      <c r="K290" s="71" t="n"/>
      <c r="L290" s="71" t="n"/>
      <c r="M290" s="66" t="n"/>
      <c r="N290" s="80" t="n"/>
      <c r="O290" s="81" t="str">
        <f>IF(A290="","",ROUND(V290*IFERROR(N(INDEX(tech_rate,MATCH(M290,tech_name,0))),0),2))</f>
        <v/>
      </c>
      <c r="P290" s="80" t="n"/>
      <c r="Q290" s="81" t="str">
        <f>IF(A290="","",ROUND(Y290+O290+Z290,2))</f>
        <v/>
      </c>
      <c r="R290" s="79" t="str">
        <f>IF(A290="","",IF(S290=0,"Date manquante ou invalide",IF(C290="","Équipement manquant",IF(ISNA(MATCH(C290,eq_code,0)),"Équipement inconnu",IF(E290="","Type manquant",IF(AND(E290&lt;&gt;"Préventif",E290&lt;&gt;"Correctif",E290&lt;&gt;"Amélioratif"),"Type inconnu",IF(I290="","Statut manquant",IF(AND(I290&lt;&gt;"Terminée",I290&lt;&gt;"En cours",I290&lt;&gt;"À faire",I290&lt;&gt;"Annulée"),"Statut inconnu",IF(AND(E290="Préventif",F290=""),"Plan manquant (préventif)",IF(AND(F290&lt;&gt;"",ISNA(MATCH(F290,pl_num,0))),"Plan inconnu",IF(AND(F290&lt;&gt;"",IFERROR(INDEX(pl_eq,MATCH(F290,pl_num,0))&amp;"",C290)&lt;&gt;C290),"Plan d'un autre équipement",IF(AND(J290&lt;&gt;"",OR(NOT(ISNUMBER(J290)),N(J290)&lt;0)),"Compteur invalide",IF(OR(AND(K290&lt;&gt;"",OR(NOT(ISNUMBER(K290)),N(K290)&lt;0)),AND(L290&lt;&gt;"",OR(NOT(ISNUMBER(L290)),N(L290)&lt;0))),"Durée invalide",IF(OR(AND(N290&lt;&gt;"",OR(NOT(ISNUMBER(N290)),N(N290)&lt;0)),AND(P290&lt;&gt;"",OR(NOT(ISNUMBER(P290)),N(P290)&lt;0))),"Coût invalide",IF(AND(M290&lt;&gt;"",ISNA(MATCH(M290,tech_name,0))),"Technicien inconnu",IF(AND(I290="Terminée",S290&gt;p_today),"Terminée à une date future",IF(AND(I290="Terminée",V290=0),"Durée d'intervention manquante",IF(AND(I290="Terminée",E290="Préventif",T290=0,OR(IFERROR(INDEX(pl_trig,MATCH(F290,pl_num,0))&amp;"","")="Compteur",IFERROR(INDEX(pl_trig,MATCH(F290,pl_num,0))&amp;"","")="Au premier des deux")),"Compteur manquant (plan au compteur)","OK"))))))))))))))))))</f>
        <v/>
      </c>
      <c r="S290" s="67">
        <f>IF(AND(ISNUMBER(B290),N(B290)&gt;0),INT(B290),0)</f>
        <v>0.0</v>
      </c>
      <c r="T290" s="67">
        <f>IF(AND(ISNUMBER(J290),N(J290)&gt;=0),N(J290),0)</f>
        <v>0.0</v>
      </c>
      <c r="U290" s="67">
        <f>IF(AND(ISNUMBER(K290),N(K290)&gt;0),N(K290),0)</f>
        <v>0.0</v>
      </c>
      <c r="V290" s="67">
        <f>IF(AND(ISNUMBER(L290),N(L290)&gt;0),N(L290),0)</f>
        <v>0.0</v>
      </c>
      <c r="W290" s="67">
        <f>IF(AND(I290="Terminée",S290&gt;0,C290&lt;&gt;"",ISNUMBER(MATCH(C290,eq_code,0))),1,0)</f>
        <v>0.0</v>
      </c>
      <c r="X290" s="67">
        <f>IF(AND(W290=1,E290="Préventif"),1,0)</f>
        <v>0.0</v>
      </c>
      <c r="Y290" s="67">
        <f>IF(AND(ISNUMBER(N290),N(N290)&gt;0),N(N290),0)</f>
        <v>0.0</v>
      </c>
      <c r="Z290" s="67">
        <f>IF(AND(ISNUMBER(P290),N(P290)&gt;0),N(P290),0)</f>
        <v>0.0</v>
      </c>
    </row>
    <row r="291">
      <c r="A291" s="79" t="str">
        <f>IF(COUNTA(B291:C291,E291:G291,I291)=0,"","BI-"&amp;RIGHT("0000"&amp;(ROW()-5),4))</f>
        <v/>
      </c>
      <c r="B291" s="72" t="n"/>
      <c r="C291" s="66" t="n"/>
      <c r="D291" s="67" t="str">
        <f>IF(C291="","",IFERROR(INDEX(eq_des,MATCH(C291,eq_code,0))&amp;"","Équipement inconnu"))</f>
        <v/>
      </c>
      <c r="E291" s="68" t="n"/>
      <c r="F291" s="68" t="n"/>
      <c r="G291" s="66" t="n"/>
      <c r="H291" s="66" t="n"/>
      <c r="I291" s="68" t="n"/>
      <c r="J291" s="73" t="n"/>
      <c r="K291" s="71" t="n"/>
      <c r="L291" s="71" t="n"/>
      <c r="M291" s="66" t="n"/>
      <c r="N291" s="80" t="n"/>
      <c r="O291" s="81" t="str">
        <f>IF(A291="","",ROUND(V291*IFERROR(N(INDEX(tech_rate,MATCH(M291,tech_name,0))),0),2))</f>
        <v/>
      </c>
      <c r="P291" s="80" t="n"/>
      <c r="Q291" s="81" t="str">
        <f>IF(A291="","",ROUND(Y291+O291+Z291,2))</f>
        <v/>
      </c>
      <c r="R291" s="79" t="str">
        <f>IF(A291="","",IF(S291=0,"Date manquante ou invalide",IF(C291="","Équipement manquant",IF(ISNA(MATCH(C291,eq_code,0)),"Équipement inconnu",IF(E291="","Type manquant",IF(AND(E291&lt;&gt;"Préventif",E291&lt;&gt;"Correctif",E291&lt;&gt;"Amélioratif"),"Type inconnu",IF(I291="","Statut manquant",IF(AND(I291&lt;&gt;"Terminée",I291&lt;&gt;"En cours",I291&lt;&gt;"À faire",I291&lt;&gt;"Annulée"),"Statut inconnu",IF(AND(E291="Préventif",F291=""),"Plan manquant (préventif)",IF(AND(F291&lt;&gt;"",ISNA(MATCH(F291,pl_num,0))),"Plan inconnu",IF(AND(F291&lt;&gt;"",IFERROR(INDEX(pl_eq,MATCH(F291,pl_num,0))&amp;"",C291)&lt;&gt;C291),"Plan d'un autre équipement",IF(AND(J291&lt;&gt;"",OR(NOT(ISNUMBER(J291)),N(J291)&lt;0)),"Compteur invalide",IF(OR(AND(K291&lt;&gt;"",OR(NOT(ISNUMBER(K291)),N(K291)&lt;0)),AND(L291&lt;&gt;"",OR(NOT(ISNUMBER(L291)),N(L291)&lt;0))),"Durée invalide",IF(OR(AND(N291&lt;&gt;"",OR(NOT(ISNUMBER(N291)),N(N291)&lt;0)),AND(P291&lt;&gt;"",OR(NOT(ISNUMBER(P291)),N(P291)&lt;0))),"Coût invalide",IF(AND(M291&lt;&gt;"",ISNA(MATCH(M291,tech_name,0))),"Technicien inconnu",IF(AND(I291="Terminée",S291&gt;p_today),"Terminée à une date future",IF(AND(I291="Terminée",V291=0),"Durée d'intervention manquante",IF(AND(I291="Terminée",E291="Préventif",T291=0,OR(IFERROR(INDEX(pl_trig,MATCH(F291,pl_num,0))&amp;"","")="Compteur",IFERROR(INDEX(pl_trig,MATCH(F291,pl_num,0))&amp;"","")="Au premier des deux")),"Compteur manquant (plan au compteur)","OK"))))))))))))))))))</f>
        <v/>
      </c>
      <c r="S291" s="67">
        <f>IF(AND(ISNUMBER(B291),N(B291)&gt;0),INT(B291),0)</f>
        <v>0.0</v>
      </c>
      <c r="T291" s="67">
        <f>IF(AND(ISNUMBER(J291),N(J291)&gt;=0),N(J291),0)</f>
        <v>0.0</v>
      </c>
      <c r="U291" s="67">
        <f>IF(AND(ISNUMBER(K291),N(K291)&gt;0),N(K291),0)</f>
        <v>0.0</v>
      </c>
      <c r="V291" s="67">
        <f>IF(AND(ISNUMBER(L291),N(L291)&gt;0),N(L291),0)</f>
        <v>0.0</v>
      </c>
      <c r="W291" s="67">
        <f>IF(AND(I291="Terminée",S291&gt;0,C291&lt;&gt;"",ISNUMBER(MATCH(C291,eq_code,0))),1,0)</f>
        <v>0.0</v>
      </c>
      <c r="X291" s="67">
        <f>IF(AND(W291=1,E291="Préventif"),1,0)</f>
        <v>0.0</v>
      </c>
      <c r="Y291" s="67">
        <f>IF(AND(ISNUMBER(N291),N(N291)&gt;0),N(N291),0)</f>
        <v>0.0</v>
      </c>
      <c r="Z291" s="67">
        <f>IF(AND(ISNUMBER(P291),N(P291)&gt;0),N(P291),0)</f>
        <v>0.0</v>
      </c>
    </row>
    <row r="292">
      <c r="A292" s="79" t="str">
        <f>IF(COUNTA(B292:C292,E292:G292,I292)=0,"","BI-"&amp;RIGHT("0000"&amp;(ROW()-5),4))</f>
        <v/>
      </c>
      <c r="B292" s="72" t="n"/>
      <c r="C292" s="66" t="n"/>
      <c r="D292" s="67" t="str">
        <f>IF(C292="","",IFERROR(INDEX(eq_des,MATCH(C292,eq_code,0))&amp;"","Équipement inconnu"))</f>
        <v/>
      </c>
      <c r="E292" s="68" t="n"/>
      <c r="F292" s="68" t="n"/>
      <c r="G292" s="66" t="n"/>
      <c r="H292" s="66" t="n"/>
      <c r="I292" s="68" t="n"/>
      <c r="J292" s="73" t="n"/>
      <c r="K292" s="71" t="n"/>
      <c r="L292" s="71" t="n"/>
      <c r="M292" s="66" t="n"/>
      <c r="N292" s="80" t="n"/>
      <c r="O292" s="81" t="str">
        <f>IF(A292="","",ROUND(V292*IFERROR(N(INDEX(tech_rate,MATCH(M292,tech_name,0))),0),2))</f>
        <v/>
      </c>
      <c r="P292" s="80" t="n"/>
      <c r="Q292" s="81" t="str">
        <f>IF(A292="","",ROUND(Y292+O292+Z292,2))</f>
        <v/>
      </c>
      <c r="R292" s="79" t="str">
        <f>IF(A292="","",IF(S292=0,"Date manquante ou invalide",IF(C292="","Équipement manquant",IF(ISNA(MATCH(C292,eq_code,0)),"Équipement inconnu",IF(E292="","Type manquant",IF(AND(E292&lt;&gt;"Préventif",E292&lt;&gt;"Correctif",E292&lt;&gt;"Amélioratif"),"Type inconnu",IF(I292="","Statut manquant",IF(AND(I292&lt;&gt;"Terminée",I292&lt;&gt;"En cours",I292&lt;&gt;"À faire",I292&lt;&gt;"Annulée"),"Statut inconnu",IF(AND(E292="Préventif",F292=""),"Plan manquant (préventif)",IF(AND(F292&lt;&gt;"",ISNA(MATCH(F292,pl_num,0))),"Plan inconnu",IF(AND(F292&lt;&gt;"",IFERROR(INDEX(pl_eq,MATCH(F292,pl_num,0))&amp;"",C292)&lt;&gt;C292),"Plan d'un autre équipement",IF(AND(J292&lt;&gt;"",OR(NOT(ISNUMBER(J292)),N(J292)&lt;0)),"Compteur invalide",IF(OR(AND(K292&lt;&gt;"",OR(NOT(ISNUMBER(K292)),N(K292)&lt;0)),AND(L292&lt;&gt;"",OR(NOT(ISNUMBER(L292)),N(L292)&lt;0))),"Durée invalide",IF(OR(AND(N292&lt;&gt;"",OR(NOT(ISNUMBER(N292)),N(N292)&lt;0)),AND(P292&lt;&gt;"",OR(NOT(ISNUMBER(P292)),N(P292)&lt;0))),"Coût invalide",IF(AND(M292&lt;&gt;"",ISNA(MATCH(M292,tech_name,0))),"Technicien inconnu",IF(AND(I292="Terminée",S292&gt;p_today),"Terminée à une date future",IF(AND(I292="Terminée",V292=0),"Durée d'intervention manquante",IF(AND(I292="Terminée",E292="Préventif",T292=0,OR(IFERROR(INDEX(pl_trig,MATCH(F292,pl_num,0))&amp;"","")="Compteur",IFERROR(INDEX(pl_trig,MATCH(F292,pl_num,0))&amp;"","")="Au premier des deux")),"Compteur manquant (plan au compteur)","OK"))))))))))))))))))</f>
        <v/>
      </c>
      <c r="S292" s="67">
        <f>IF(AND(ISNUMBER(B292),N(B292)&gt;0),INT(B292),0)</f>
        <v>0.0</v>
      </c>
      <c r="T292" s="67">
        <f>IF(AND(ISNUMBER(J292),N(J292)&gt;=0),N(J292),0)</f>
        <v>0.0</v>
      </c>
      <c r="U292" s="67">
        <f>IF(AND(ISNUMBER(K292),N(K292)&gt;0),N(K292),0)</f>
        <v>0.0</v>
      </c>
      <c r="V292" s="67">
        <f>IF(AND(ISNUMBER(L292),N(L292)&gt;0),N(L292),0)</f>
        <v>0.0</v>
      </c>
      <c r="W292" s="67">
        <f>IF(AND(I292="Terminée",S292&gt;0,C292&lt;&gt;"",ISNUMBER(MATCH(C292,eq_code,0))),1,0)</f>
        <v>0.0</v>
      </c>
      <c r="X292" s="67">
        <f>IF(AND(W292=1,E292="Préventif"),1,0)</f>
        <v>0.0</v>
      </c>
      <c r="Y292" s="67">
        <f>IF(AND(ISNUMBER(N292),N(N292)&gt;0),N(N292),0)</f>
        <v>0.0</v>
      </c>
      <c r="Z292" s="67">
        <f>IF(AND(ISNUMBER(P292),N(P292)&gt;0),N(P292),0)</f>
        <v>0.0</v>
      </c>
    </row>
    <row r="293">
      <c r="A293" s="79" t="str">
        <f>IF(COUNTA(B293:C293,E293:G293,I293)=0,"","BI-"&amp;RIGHT("0000"&amp;(ROW()-5),4))</f>
        <v/>
      </c>
      <c r="B293" s="72" t="n"/>
      <c r="C293" s="66" t="n"/>
      <c r="D293" s="67" t="str">
        <f>IF(C293="","",IFERROR(INDEX(eq_des,MATCH(C293,eq_code,0))&amp;"","Équipement inconnu"))</f>
        <v/>
      </c>
      <c r="E293" s="68" t="n"/>
      <c r="F293" s="68" t="n"/>
      <c r="G293" s="66" t="n"/>
      <c r="H293" s="66" t="n"/>
      <c r="I293" s="68" t="n"/>
      <c r="J293" s="73" t="n"/>
      <c r="K293" s="71" t="n"/>
      <c r="L293" s="71" t="n"/>
      <c r="M293" s="66" t="n"/>
      <c r="N293" s="80" t="n"/>
      <c r="O293" s="81" t="str">
        <f>IF(A293="","",ROUND(V293*IFERROR(N(INDEX(tech_rate,MATCH(M293,tech_name,0))),0),2))</f>
        <v/>
      </c>
      <c r="P293" s="80" t="n"/>
      <c r="Q293" s="81" t="str">
        <f>IF(A293="","",ROUND(Y293+O293+Z293,2))</f>
        <v/>
      </c>
      <c r="R293" s="79" t="str">
        <f>IF(A293="","",IF(S293=0,"Date manquante ou invalide",IF(C293="","Équipement manquant",IF(ISNA(MATCH(C293,eq_code,0)),"Équipement inconnu",IF(E293="","Type manquant",IF(AND(E293&lt;&gt;"Préventif",E293&lt;&gt;"Correctif",E293&lt;&gt;"Amélioratif"),"Type inconnu",IF(I293="","Statut manquant",IF(AND(I293&lt;&gt;"Terminée",I293&lt;&gt;"En cours",I293&lt;&gt;"À faire",I293&lt;&gt;"Annulée"),"Statut inconnu",IF(AND(E293="Préventif",F293=""),"Plan manquant (préventif)",IF(AND(F293&lt;&gt;"",ISNA(MATCH(F293,pl_num,0))),"Plan inconnu",IF(AND(F293&lt;&gt;"",IFERROR(INDEX(pl_eq,MATCH(F293,pl_num,0))&amp;"",C293)&lt;&gt;C293),"Plan d'un autre équipement",IF(AND(J293&lt;&gt;"",OR(NOT(ISNUMBER(J293)),N(J293)&lt;0)),"Compteur invalide",IF(OR(AND(K293&lt;&gt;"",OR(NOT(ISNUMBER(K293)),N(K293)&lt;0)),AND(L293&lt;&gt;"",OR(NOT(ISNUMBER(L293)),N(L293)&lt;0))),"Durée invalide",IF(OR(AND(N293&lt;&gt;"",OR(NOT(ISNUMBER(N293)),N(N293)&lt;0)),AND(P293&lt;&gt;"",OR(NOT(ISNUMBER(P293)),N(P293)&lt;0))),"Coût invalide",IF(AND(M293&lt;&gt;"",ISNA(MATCH(M293,tech_name,0))),"Technicien inconnu",IF(AND(I293="Terminée",S293&gt;p_today),"Terminée à une date future",IF(AND(I293="Terminée",V293=0),"Durée d'intervention manquante",IF(AND(I293="Terminée",E293="Préventif",T293=0,OR(IFERROR(INDEX(pl_trig,MATCH(F293,pl_num,0))&amp;"","")="Compteur",IFERROR(INDEX(pl_trig,MATCH(F293,pl_num,0))&amp;"","")="Au premier des deux")),"Compteur manquant (plan au compteur)","OK"))))))))))))))))))</f>
        <v/>
      </c>
      <c r="S293" s="67">
        <f>IF(AND(ISNUMBER(B293),N(B293)&gt;0),INT(B293),0)</f>
        <v>0.0</v>
      </c>
      <c r="T293" s="67">
        <f>IF(AND(ISNUMBER(J293),N(J293)&gt;=0),N(J293),0)</f>
        <v>0.0</v>
      </c>
      <c r="U293" s="67">
        <f>IF(AND(ISNUMBER(K293),N(K293)&gt;0),N(K293),0)</f>
        <v>0.0</v>
      </c>
      <c r="V293" s="67">
        <f>IF(AND(ISNUMBER(L293),N(L293)&gt;0),N(L293),0)</f>
        <v>0.0</v>
      </c>
      <c r="W293" s="67">
        <f>IF(AND(I293="Terminée",S293&gt;0,C293&lt;&gt;"",ISNUMBER(MATCH(C293,eq_code,0))),1,0)</f>
        <v>0.0</v>
      </c>
      <c r="X293" s="67">
        <f>IF(AND(W293=1,E293="Préventif"),1,0)</f>
        <v>0.0</v>
      </c>
      <c r="Y293" s="67">
        <f>IF(AND(ISNUMBER(N293),N(N293)&gt;0),N(N293),0)</f>
        <v>0.0</v>
      </c>
      <c r="Z293" s="67">
        <f>IF(AND(ISNUMBER(P293),N(P293)&gt;0),N(P293),0)</f>
        <v>0.0</v>
      </c>
    </row>
    <row r="294">
      <c r="A294" s="79" t="str">
        <f>IF(COUNTA(B294:C294,E294:G294,I294)=0,"","BI-"&amp;RIGHT("0000"&amp;(ROW()-5),4))</f>
        <v/>
      </c>
      <c r="B294" s="72" t="n"/>
      <c r="C294" s="66" t="n"/>
      <c r="D294" s="67" t="str">
        <f>IF(C294="","",IFERROR(INDEX(eq_des,MATCH(C294,eq_code,0))&amp;"","Équipement inconnu"))</f>
        <v/>
      </c>
      <c r="E294" s="68" t="n"/>
      <c r="F294" s="68" t="n"/>
      <c r="G294" s="66" t="n"/>
      <c r="H294" s="66" t="n"/>
      <c r="I294" s="68" t="n"/>
      <c r="J294" s="73" t="n"/>
      <c r="K294" s="71" t="n"/>
      <c r="L294" s="71" t="n"/>
      <c r="M294" s="66" t="n"/>
      <c r="N294" s="80" t="n"/>
      <c r="O294" s="81" t="str">
        <f>IF(A294="","",ROUND(V294*IFERROR(N(INDEX(tech_rate,MATCH(M294,tech_name,0))),0),2))</f>
        <v/>
      </c>
      <c r="P294" s="80" t="n"/>
      <c r="Q294" s="81" t="str">
        <f>IF(A294="","",ROUND(Y294+O294+Z294,2))</f>
        <v/>
      </c>
      <c r="R294" s="79" t="str">
        <f>IF(A294="","",IF(S294=0,"Date manquante ou invalide",IF(C294="","Équipement manquant",IF(ISNA(MATCH(C294,eq_code,0)),"Équipement inconnu",IF(E294="","Type manquant",IF(AND(E294&lt;&gt;"Préventif",E294&lt;&gt;"Correctif",E294&lt;&gt;"Amélioratif"),"Type inconnu",IF(I294="","Statut manquant",IF(AND(I294&lt;&gt;"Terminée",I294&lt;&gt;"En cours",I294&lt;&gt;"À faire",I294&lt;&gt;"Annulée"),"Statut inconnu",IF(AND(E294="Préventif",F294=""),"Plan manquant (préventif)",IF(AND(F294&lt;&gt;"",ISNA(MATCH(F294,pl_num,0))),"Plan inconnu",IF(AND(F294&lt;&gt;"",IFERROR(INDEX(pl_eq,MATCH(F294,pl_num,0))&amp;"",C294)&lt;&gt;C294),"Plan d'un autre équipement",IF(AND(J294&lt;&gt;"",OR(NOT(ISNUMBER(J294)),N(J294)&lt;0)),"Compteur invalide",IF(OR(AND(K294&lt;&gt;"",OR(NOT(ISNUMBER(K294)),N(K294)&lt;0)),AND(L294&lt;&gt;"",OR(NOT(ISNUMBER(L294)),N(L294)&lt;0))),"Durée invalide",IF(OR(AND(N294&lt;&gt;"",OR(NOT(ISNUMBER(N294)),N(N294)&lt;0)),AND(P294&lt;&gt;"",OR(NOT(ISNUMBER(P294)),N(P294)&lt;0))),"Coût invalide",IF(AND(M294&lt;&gt;"",ISNA(MATCH(M294,tech_name,0))),"Technicien inconnu",IF(AND(I294="Terminée",S294&gt;p_today),"Terminée à une date future",IF(AND(I294="Terminée",V294=0),"Durée d'intervention manquante",IF(AND(I294="Terminée",E294="Préventif",T294=0,OR(IFERROR(INDEX(pl_trig,MATCH(F294,pl_num,0))&amp;"","")="Compteur",IFERROR(INDEX(pl_trig,MATCH(F294,pl_num,0))&amp;"","")="Au premier des deux")),"Compteur manquant (plan au compteur)","OK"))))))))))))))))))</f>
        <v/>
      </c>
      <c r="S294" s="67">
        <f>IF(AND(ISNUMBER(B294),N(B294)&gt;0),INT(B294),0)</f>
        <v>0.0</v>
      </c>
      <c r="T294" s="67">
        <f>IF(AND(ISNUMBER(J294),N(J294)&gt;=0),N(J294),0)</f>
        <v>0.0</v>
      </c>
      <c r="U294" s="67">
        <f>IF(AND(ISNUMBER(K294),N(K294)&gt;0),N(K294),0)</f>
        <v>0.0</v>
      </c>
      <c r="V294" s="67">
        <f>IF(AND(ISNUMBER(L294),N(L294)&gt;0),N(L294),0)</f>
        <v>0.0</v>
      </c>
      <c r="W294" s="67">
        <f>IF(AND(I294="Terminée",S294&gt;0,C294&lt;&gt;"",ISNUMBER(MATCH(C294,eq_code,0))),1,0)</f>
        <v>0.0</v>
      </c>
      <c r="X294" s="67">
        <f>IF(AND(W294=1,E294="Préventif"),1,0)</f>
        <v>0.0</v>
      </c>
      <c r="Y294" s="67">
        <f>IF(AND(ISNUMBER(N294),N(N294)&gt;0),N(N294),0)</f>
        <v>0.0</v>
      </c>
      <c r="Z294" s="67">
        <f>IF(AND(ISNUMBER(P294),N(P294)&gt;0),N(P294),0)</f>
        <v>0.0</v>
      </c>
    </row>
    <row r="295">
      <c r="A295" s="79" t="str">
        <f>IF(COUNTA(B295:C295,E295:G295,I295)=0,"","BI-"&amp;RIGHT("0000"&amp;(ROW()-5),4))</f>
        <v/>
      </c>
      <c r="B295" s="72" t="n"/>
      <c r="C295" s="66" t="n"/>
      <c r="D295" s="67" t="str">
        <f>IF(C295="","",IFERROR(INDEX(eq_des,MATCH(C295,eq_code,0))&amp;"","Équipement inconnu"))</f>
        <v/>
      </c>
      <c r="E295" s="68" t="n"/>
      <c r="F295" s="68" t="n"/>
      <c r="G295" s="66" t="n"/>
      <c r="H295" s="66" t="n"/>
      <c r="I295" s="68" t="n"/>
      <c r="J295" s="73" t="n"/>
      <c r="K295" s="71" t="n"/>
      <c r="L295" s="71" t="n"/>
      <c r="M295" s="66" t="n"/>
      <c r="N295" s="80" t="n"/>
      <c r="O295" s="81" t="str">
        <f>IF(A295="","",ROUND(V295*IFERROR(N(INDEX(tech_rate,MATCH(M295,tech_name,0))),0),2))</f>
        <v/>
      </c>
      <c r="P295" s="80" t="n"/>
      <c r="Q295" s="81" t="str">
        <f>IF(A295="","",ROUND(Y295+O295+Z295,2))</f>
        <v/>
      </c>
      <c r="R295" s="79" t="str">
        <f>IF(A295="","",IF(S295=0,"Date manquante ou invalide",IF(C295="","Équipement manquant",IF(ISNA(MATCH(C295,eq_code,0)),"Équipement inconnu",IF(E295="","Type manquant",IF(AND(E295&lt;&gt;"Préventif",E295&lt;&gt;"Correctif",E295&lt;&gt;"Amélioratif"),"Type inconnu",IF(I295="","Statut manquant",IF(AND(I295&lt;&gt;"Terminée",I295&lt;&gt;"En cours",I295&lt;&gt;"À faire",I295&lt;&gt;"Annulée"),"Statut inconnu",IF(AND(E295="Préventif",F295=""),"Plan manquant (préventif)",IF(AND(F295&lt;&gt;"",ISNA(MATCH(F295,pl_num,0))),"Plan inconnu",IF(AND(F295&lt;&gt;"",IFERROR(INDEX(pl_eq,MATCH(F295,pl_num,0))&amp;"",C295)&lt;&gt;C295),"Plan d'un autre équipement",IF(AND(J295&lt;&gt;"",OR(NOT(ISNUMBER(J295)),N(J295)&lt;0)),"Compteur invalide",IF(OR(AND(K295&lt;&gt;"",OR(NOT(ISNUMBER(K295)),N(K295)&lt;0)),AND(L295&lt;&gt;"",OR(NOT(ISNUMBER(L295)),N(L295)&lt;0))),"Durée invalide",IF(OR(AND(N295&lt;&gt;"",OR(NOT(ISNUMBER(N295)),N(N295)&lt;0)),AND(P295&lt;&gt;"",OR(NOT(ISNUMBER(P295)),N(P295)&lt;0))),"Coût invalide",IF(AND(M295&lt;&gt;"",ISNA(MATCH(M295,tech_name,0))),"Technicien inconnu",IF(AND(I295="Terminée",S295&gt;p_today),"Terminée à une date future",IF(AND(I295="Terminée",V295=0),"Durée d'intervention manquante",IF(AND(I295="Terminée",E295="Préventif",T295=0,OR(IFERROR(INDEX(pl_trig,MATCH(F295,pl_num,0))&amp;"","")="Compteur",IFERROR(INDEX(pl_trig,MATCH(F295,pl_num,0))&amp;"","")="Au premier des deux")),"Compteur manquant (plan au compteur)","OK"))))))))))))))))))</f>
        <v/>
      </c>
      <c r="S295" s="67">
        <f>IF(AND(ISNUMBER(B295),N(B295)&gt;0),INT(B295),0)</f>
        <v>0.0</v>
      </c>
      <c r="T295" s="67">
        <f>IF(AND(ISNUMBER(J295),N(J295)&gt;=0),N(J295),0)</f>
        <v>0.0</v>
      </c>
      <c r="U295" s="67">
        <f>IF(AND(ISNUMBER(K295),N(K295)&gt;0),N(K295),0)</f>
        <v>0.0</v>
      </c>
      <c r="V295" s="67">
        <f>IF(AND(ISNUMBER(L295),N(L295)&gt;0),N(L295),0)</f>
        <v>0.0</v>
      </c>
      <c r="W295" s="67">
        <f>IF(AND(I295="Terminée",S295&gt;0,C295&lt;&gt;"",ISNUMBER(MATCH(C295,eq_code,0))),1,0)</f>
        <v>0.0</v>
      </c>
      <c r="X295" s="67">
        <f>IF(AND(W295=1,E295="Préventif"),1,0)</f>
        <v>0.0</v>
      </c>
      <c r="Y295" s="67">
        <f>IF(AND(ISNUMBER(N295),N(N295)&gt;0),N(N295),0)</f>
        <v>0.0</v>
      </c>
      <c r="Z295" s="67">
        <f>IF(AND(ISNUMBER(P295),N(P295)&gt;0),N(P295),0)</f>
        <v>0.0</v>
      </c>
    </row>
    <row r="296">
      <c r="A296" s="79" t="str">
        <f>IF(COUNTA(B296:C296,E296:G296,I296)=0,"","BI-"&amp;RIGHT("0000"&amp;(ROW()-5),4))</f>
        <v/>
      </c>
      <c r="B296" s="72" t="n"/>
      <c r="C296" s="66" t="n"/>
      <c r="D296" s="67" t="str">
        <f>IF(C296="","",IFERROR(INDEX(eq_des,MATCH(C296,eq_code,0))&amp;"","Équipement inconnu"))</f>
        <v/>
      </c>
      <c r="E296" s="68" t="n"/>
      <c r="F296" s="68" t="n"/>
      <c r="G296" s="66" t="n"/>
      <c r="H296" s="66" t="n"/>
      <c r="I296" s="68" t="n"/>
      <c r="J296" s="73" t="n"/>
      <c r="K296" s="71" t="n"/>
      <c r="L296" s="71" t="n"/>
      <c r="M296" s="66" t="n"/>
      <c r="N296" s="80" t="n"/>
      <c r="O296" s="81" t="str">
        <f>IF(A296="","",ROUND(V296*IFERROR(N(INDEX(tech_rate,MATCH(M296,tech_name,0))),0),2))</f>
        <v/>
      </c>
      <c r="P296" s="80" t="n"/>
      <c r="Q296" s="81" t="str">
        <f>IF(A296="","",ROUND(Y296+O296+Z296,2))</f>
        <v/>
      </c>
      <c r="R296" s="79" t="str">
        <f>IF(A296="","",IF(S296=0,"Date manquante ou invalide",IF(C296="","Équipement manquant",IF(ISNA(MATCH(C296,eq_code,0)),"Équipement inconnu",IF(E296="","Type manquant",IF(AND(E296&lt;&gt;"Préventif",E296&lt;&gt;"Correctif",E296&lt;&gt;"Amélioratif"),"Type inconnu",IF(I296="","Statut manquant",IF(AND(I296&lt;&gt;"Terminée",I296&lt;&gt;"En cours",I296&lt;&gt;"À faire",I296&lt;&gt;"Annulée"),"Statut inconnu",IF(AND(E296="Préventif",F296=""),"Plan manquant (préventif)",IF(AND(F296&lt;&gt;"",ISNA(MATCH(F296,pl_num,0))),"Plan inconnu",IF(AND(F296&lt;&gt;"",IFERROR(INDEX(pl_eq,MATCH(F296,pl_num,0))&amp;"",C296)&lt;&gt;C296),"Plan d'un autre équipement",IF(AND(J296&lt;&gt;"",OR(NOT(ISNUMBER(J296)),N(J296)&lt;0)),"Compteur invalide",IF(OR(AND(K296&lt;&gt;"",OR(NOT(ISNUMBER(K296)),N(K296)&lt;0)),AND(L296&lt;&gt;"",OR(NOT(ISNUMBER(L296)),N(L296)&lt;0))),"Durée invalide",IF(OR(AND(N296&lt;&gt;"",OR(NOT(ISNUMBER(N296)),N(N296)&lt;0)),AND(P296&lt;&gt;"",OR(NOT(ISNUMBER(P296)),N(P296)&lt;0))),"Coût invalide",IF(AND(M296&lt;&gt;"",ISNA(MATCH(M296,tech_name,0))),"Technicien inconnu",IF(AND(I296="Terminée",S296&gt;p_today),"Terminée à une date future",IF(AND(I296="Terminée",V296=0),"Durée d'intervention manquante",IF(AND(I296="Terminée",E296="Préventif",T296=0,OR(IFERROR(INDEX(pl_trig,MATCH(F296,pl_num,0))&amp;"","")="Compteur",IFERROR(INDEX(pl_trig,MATCH(F296,pl_num,0))&amp;"","")="Au premier des deux")),"Compteur manquant (plan au compteur)","OK"))))))))))))))))))</f>
        <v/>
      </c>
      <c r="S296" s="67">
        <f>IF(AND(ISNUMBER(B296),N(B296)&gt;0),INT(B296),0)</f>
        <v>0.0</v>
      </c>
      <c r="T296" s="67">
        <f>IF(AND(ISNUMBER(J296),N(J296)&gt;=0),N(J296),0)</f>
        <v>0.0</v>
      </c>
      <c r="U296" s="67">
        <f>IF(AND(ISNUMBER(K296),N(K296)&gt;0),N(K296),0)</f>
        <v>0.0</v>
      </c>
      <c r="V296" s="67">
        <f>IF(AND(ISNUMBER(L296),N(L296)&gt;0),N(L296),0)</f>
        <v>0.0</v>
      </c>
      <c r="W296" s="67">
        <f>IF(AND(I296="Terminée",S296&gt;0,C296&lt;&gt;"",ISNUMBER(MATCH(C296,eq_code,0))),1,0)</f>
        <v>0.0</v>
      </c>
      <c r="X296" s="67">
        <f>IF(AND(W296=1,E296="Préventif"),1,0)</f>
        <v>0.0</v>
      </c>
      <c r="Y296" s="67">
        <f>IF(AND(ISNUMBER(N296),N(N296)&gt;0),N(N296),0)</f>
        <v>0.0</v>
      </c>
      <c r="Z296" s="67">
        <f>IF(AND(ISNUMBER(P296),N(P296)&gt;0),N(P296),0)</f>
        <v>0.0</v>
      </c>
    </row>
    <row r="297">
      <c r="A297" s="79" t="str">
        <f>IF(COUNTA(B297:C297,E297:G297,I297)=0,"","BI-"&amp;RIGHT("0000"&amp;(ROW()-5),4))</f>
        <v/>
      </c>
      <c r="B297" s="72" t="n"/>
      <c r="C297" s="66" t="n"/>
      <c r="D297" s="67" t="str">
        <f>IF(C297="","",IFERROR(INDEX(eq_des,MATCH(C297,eq_code,0))&amp;"","Équipement inconnu"))</f>
        <v/>
      </c>
      <c r="E297" s="68" t="n"/>
      <c r="F297" s="68" t="n"/>
      <c r="G297" s="66" t="n"/>
      <c r="H297" s="66" t="n"/>
      <c r="I297" s="68" t="n"/>
      <c r="J297" s="73" t="n"/>
      <c r="K297" s="71" t="n"/>
      <c r="L297" s="71" t="n"/>
      <c r="M297" s="66" t="n"/>
      <c r="N297" s="80" t="n"/>
      <c r="O297" s="81" t="str">
        <f>IF(A297="","",ROUND(V297*IFERROR(N(INDEX(tech_rate,MATCH(M297,tech_name,0))),0),2))</f>
        <v/>
      </c>
      <c r="P297" s="80" t="n"/>
      <c r="Q297" s="81" t="str">
        <f>IF(A297="","",ROUND(Y297+O297+Z297,2))</f>
        <v/>
      </c>
      <c r="R297" s="79" t="str">
        <f>IF(A297="","",IF(S297=0,"Date manquante ou invalide",IF(C297="","Équipement manquant",IF(ISNA(MATCH(C297,eq_code,0)),"Équipement inconnu",IF(E297="","Type manquant",IF(AND(E297&lt;&gt;"Préventif",E297&lt;&gt;"Correctif",E297&lt;&gt;"Amélioratif"),"Type inconnu",IF(I297="","Statut manquant",IF(AND(I297&lt;&gt;"Terminée",I297&lt;&gt;"En cours",I297&lt;&gt;"À faire",I297&lt;&gt;"Annulée"),"Statut inconnu",IF(AND(E297="Préventif",F297=""),"Plan manquant (préventif)",IF(AND(F297&lt;&gt;"",ISNA(MATCH(F297,pl_num,0))),"Plan inconnu",IF(AND(F297&lt;&gt;"",IFERROR(INDEX(pl_eq,MATCH(F297,pl_num,0))&amp;"",C297)&lt;&gt;C297),"Plan d'un autre équipement",IF(AND(J297&lt;&gt;"",OR(NOT(ISNUMBER(J297)),N(J297)&lt;0)),"Compteur invalide",IF(OR(AND(K297&lt;&gt;"",OR(NOT(ISNUMBER(K297)),N(K297)&lt;0)),AND(L297&lt;&gt;"",OR(NOT(ISNUMBER(L297)),N(L297)&lt;0))),"Durée invalide",IF(OR(AND(N297&lt;&gt;"",OR(NOT(ISNUMBER(N297)),N(N297)&lt;0)),AND(P297&lt;&gt;"",OR(NOT(ISNUMBER(P297)),N(P297)&lt;0))),"Coût invalide",IF(AND(M297&lt;&gt;"",ISNA(MATCH(M297,tech_name,0))),"Technicien inconnu",IF(AND(I297="Terminée",S297&gt;p_today),"Terminée à une date future",IF(AND(I297="Terminée",V297=0),"Durée d'intervention manquante",IF(AND(I297="Terminée",E297="Préventif",T297=0,OR(IFERROR(INDEX(pl_trig,MATCH(F297,pl_num,0))&amp;"","")="Compteur",IFERROR(INDEX(pl_trig,MATCH(F297,pl_num,0))&amp;"","")="Au premier des deux")),"Compteur manquant (plan au compteur)","OK"))))))))))))))))))</f>
        <v/>
      </c>
      <c r="S297" s="67">
        <f>IF(AND(ISNUMBER(B297),N(B297)&gt;0),INT(B297),0)</f>
        <v>0.0</v>
      </c>
      <c r="T297" s="67">
        <f>IF(AND(ISNUMBER(J297),N(J297)&gt;=0),N(J297),0)</f>
        <v>0.0</v>
      </c>
      <c r="U297" s="67">
        <f>IF(AND(ISNUMBER(K297),N(K297)&gt;0),N(K297),0)</f>
        <v>0.0</v>
      </c>
      <c r="V297" s="67">
        <f>IF(AND(ISNUMBER(L297),N(L297)&gt;0),N(L297),0)</f>
        <v>0.0</v>
      </c>
      <c r="W297" s="67">
        <f>IF(AND(I297="Terminée",S297&gt;0,C297&lt;&gt;"",ISNUMBER(MATCH(C297,eq_code,0))),1,0)</f>
        <v>0.0</v>
      </c>
      <c r="X297" s="67">
        <f>IF(AND(W297=1,E297="Préventif"),1,0)</f>
        <v>0.0</v>
      </c>
      <c r="Y297" s="67">
        <f>IF(AND(ISNUMBER(N297),N(N297)&gt;0),N(N297),0)</f>
        <v>0.0</v>
      </c>
      <c r="Z297" s="67">
        <f>IF(AND(ISNUMBER(P297),N(P297)&gt;0),N(P297),0)</f>
        <v>0.0</v>
      </c>
    </row>
    <row r="298">
      <c r="A298" s="79" t="str">
        <f>IF(COUNTA(B298:C298,E298:G298,I298)=0,"","BI-"&amp;RIGHT("0000"&amp;(ROW()-5),4))</f>
        <v/>
      </c>
      <c r="B298" s="72" t="n"/>
      <c r="C298" s="66" t="n"/>
      <c r="D298" s="67" t="str">
        <f>IF(C298="","",IFERROR(INDEX(eq_des,MATCH(C298,eq_code,0))&amp;"","Équipement inconnu"))</f>
        <v/>
      </c>
      <c r="E298" s="68" t="n"/>
      <c r="F298" s="68" t="n"/>
      <c r="G298" s="66" t="n"/>
      <c r="H298" s="66" t="n"/>
      <c r="I298" s="68" t="n"/>
      <c r="J298" s="73" t="n"/>
      <c r="K298" s="71" t="n"/>
      <c r="L298" s="71" t="n"/>
      <c r="M298" s="66" t="n"/>
      <c r="N298" s="80" t="n"/>
      <c r="O298" s="81" t="str">
        <f>IF(A298="","",ROUND(V298*IFERROR(N(INDEX(tech_rate,MATCH(M298,tech_name,0))),0),2))</f>
        <v/>
      </c>
      <c r="P298" s="80" t="n"/>
      <c r="Q298" s="81" t="str">
        <f>IF(A298="","",ROUND(Y298+O298+Z298,2))</f>
        <v/>
      </c>
      <c r="R298" s="79" t="str">
        <f>IF(A298="","",IF(S298=0,"Date manquante ou invalide",IF(C298="","Équipement manquant",IF(ISNA(MATCH(C298,eq_code,0)),"Équipement inconnu",IF(E298="","Type manquant",IF(AND(E298&lt;&gt;"Préventif",E298&lt;&gt;"Correctif",E298&lt;&gt;"Amélioratif"),"Type inconnu",IF(I298="","Statut manquant",IF(AND(I298&lt;&gt;"Terminée",I298&lt;&gt;"En cours",I298&lt;&gt;"À faire",I298&lt;&gt;"Annulée"),"Statut inconnu",IF(AND(E298="Préventif",F298=""),"Plan manquant (préventif)",IF(AND(F298&lt;&gt;"",ISNA(MATCH(F298,pl_num,0))),"Plan inconnu",IF(AND(F298&lt;&gt;"",IFERROR(INDEX(pl_eq,MATCH(F298,pl_num,0))&amp;"",C298)&lt;&gt;C298),"Plan d'un autre équipement",IF(AND(J298&lt;&gt;"",OR(NOT(ISNUMBER(J298)),N(J298)&lt;0)),"Compteur invalide",IF(OR(AND(K298&lt;&gt;"",OR(NOT(ISNUMBER(K298)),N(K298)&lt;0)),AND(L298&lt;&gt;"",OR(NOT(ISNUMBER(L298)),N(L298)&lt;0))),"Durée invalide",IF(OR(AND(N298&lt;&gt;"",OR(NOT(ISNUMBER(N298)),N(N298)&lt;0)),AND(P298&lt;&gt;"",OR(NOT(ISNUMBER(P298)),N(P298)&lt;0))),"Coût invalide",IF(AND(M298&lt;&gt;"",ISNA(MATCH(M298,tech_name,0))),"Technicien inconnu",IF(AND(I298="Terminée",S298&gt;p_today),"Terminée à une date future",IF(AND(I298="Terminée",V298=0),"Durée d'intervention manquante",IF(AND(I298="Terminée",E298="Préventif",T298=0,OR(IFERROR(INDEX(pl_trig,MATCH(F298,pl_num,0))&amp;"","")="Compteur",IFERROR(INDEX(pl_trig,MATCH(F298,pl_num,0))&amp;"","")="Au premier des deux")),"Compteur manquant (plan au compteur)","OK"))))))))))))))))))</f>
        <v/>
      </c>
      <c r="S298" s="67">
        <f>IF(AND(ISNUMBER(B298),N(B298)&gt;0),INT(B298),0)</f>
        <v>0.0</v>
      </c>
      <c r="T298" s="67">
        <f>IF(AND(ISNUMBER(J298),N(J298)&gt;=0),N(J298),0)</f>
        <v>0.0</v>
      </c>
      <c r="U298" s="67">
        <f>IF(AND(ISNUMBER(K298),N(K298)&gt;0),N(K298),0)</f>
        <v>0.0</v>
      </c>
      <c r="V298" s="67">
        <f>IF(AND(ISNUMBER(L298),N(L298)&gt;0),N(L298),0)</f>
        <v>0.0</v>
      </c>
      <c r="W298" s="67">
        <f>IF(AND(I298="Terminée",S298&gt;0,C298&lt;&gt;"",ISNUMBER(MATCH(C298,eq_code,0))),1,0)</f>
        <v>0.0</v>
      </c>
      <c r="X298" s="67">
        <f>IF(AND(W298=1,E298="Préventif"),1,0)</f>
        <v>0.0</v>
      </c>
      <c r="Y298" s="67">
        <f>IF(AND(ISNUMBER(N298),N(N298)&gt;0),N(N298),0)</f>
        <v>0.0</v>
      </c>
      <c r="Z298" s="67">
        <f>IF(AND(ISNUMBER(P298),N(P298)&gt;0),N(P298),0)</f>
        <v>0.0</v>
      </c>
    </row>
    <row r="299">
      <c r="A299" s="79" t="str">
        <f>IF(COUNTA(B299:C299,E299:G299,I299)=0,"","BI-"&amp;RIGHT("0000"&amp;(ROW()-5),4))</f>
        <v/>
      </c>
      <c r="B299" s="72" t="n"/>
      <c r="C299" s="66" t="n"/>
      <c r="D299" s="67" t="str">
        <f>IF(C299="","",IFERROR(INDEX(eq_des,MATCH(C299,eq_code,0))&amp;"","Équipement inconnu"))</f>
        <v/>
      </c>
      <c r="E299" s="68" t="n"/>
      <c r="F299" s="68" t="n"/>
      <c r="G299" s="66" t="n"/>
      <c r="H299" s="66" t="n"/>
      <c r="I299" s="68" t="n"/>
      <c r="J299" s="73" t="n"/>
      <c r="K299" s="71" t="n"/>
      <c r="L299" s="71" t="n"/>
      <c r="M299" s="66" t="n"/>
      <c r="N299" s="80" t="n"/>
      <c r="O299" s="81" t="str">
        <f>IF(A299="","",ROUND(V299*IFERROR(N(INDEX(tech_rate,MATCH(M299,tech_name,0))),0),2))</f>
        <v/>
      </c>
      <c r="P299" s="80" t="n"/>
      <c r="Q299" s="81" t="str">
        <f>IF(A299="","",ROUND(Y299+O299+Z299,2))</f>
        <v/>
      </c>
      <c r="R299" s="79" t="str">
        <f>IF(A299="","",IF(S299=0,"Date manquante ou invalide",IF(C299="","Équipement manquant",IF(ISNA(MATCH(C299,eq_code,0)),"Équipement inconnu",IF(E299="","Type manquant",IF(AND(E299&lt;&gt;"Préventif",E299&lt;&gt;"Correctif",E299&lt;&gt;"Amélioratif"),"Type inconnu",IF(I299="","Statut manquant",IF(AND(I299&lt;&gt;"Terminée",I299&lt;&gt;"En cours",I299&lt;&gt;"À faire",I299&lt;&gt;"Annulée"),"Statut inconnu",IF(AND(E299="Préventif",F299=""),"Plan manquant (préventif)",IF(AND(F299&lt;&gt;"",ISNA(MATCH(F299,pl_num,0))),"Plan inconnu",IF(AND(F299&lt;&gt;"",IFERROR(INDEX(pl_eq,MATCH(F299,pl_num,0))&amp;"",C299)&lt;&gt;C299),"Plan d'un autre équipement",IF(AND(J299&lt;&gt;"",OR(NOT(ISNUMBER(J299)),N(J299)&lt;0)),"Compteur invalide",IF(OR(AND(K299&lt;&gt;"",OR(NOT(ISNUMBER(K299)),N(K299)&lt;0)),AND(L299&lt;&gt;"",OR(NOT(ISNUMBER(L299)),N(L299)&lt;0))),"Durée invalide",IF(OR(AND(N299&lt;&gt;"",OR(NOT(ISNUMBER(N299)),N(N299)&lt;0)),AND(P299&lt;&gt;"",OR(NOT(ISNUMBER(P299)),N(P299)&lt;0))),"Coût invalide",IF(AND(M299&lt;&gt;"",ISNA(MATCH(M299,tech_name,0))),"Technicien inconnu",IF(AND(I299="Terminée",S299&gt;p_today),"Terminée à une date future",IF(AND(I299="Terminée",V299=0),"Durée d'intervention manquante",IF(AND(I299="Terminée",E299="Préventif",T299=0,OR(IFERROR(INDEX(pl_trig,MATCH(F299,pl_num,0))&amp;"","")="Compteur",IFERROR(INDEX(pl_trig,MATCH(F299,pl_num,0))&amp;"","")="Au premier des deux")),"Compteur manquant (plan au compteur)","OK"))))))))))))))))))</f>
        <v/>
      </c>
      <c r="S299" s="67">
        <f>IF(AND(ISNUMBER(B299),N(B299)&gt;0),INT(B299),0)</f>
        <v>0.0</v>
      </c>
      <c r="T299" s="67">
        <f>IF(AND(ISNUMBER(J299),N(J299)&gt;=0),N(J299),0)</f>
        <v>0.0</v>
      </c>
      <c r="U299" s="67">
        <f>IF(AND(ISNUMBER(K299),N(K299)&gt;0),N(K299),0)</f>
        <v>0.0</v>
      </c>
      <c r="V299" s="67">
        <f>IF(AND(ISNUMBER(L299),N(L299)&gt;0),N(L299),0)</f>
        <v>0.0</v>
      </c>
      <c r="W299" s="67">
        <f>IF(AND(I299="Terminée",S299&gt;0,C299&lt;&gt;"",ISNUMBER(MATCH(C299,eq_code,0))),1,0)</f>
        <v>0.0</v>
      </c>
      <c r="X299" s="67">
        <f>IF(AND(W299=1,E299="Préventif"),1,0)</f>
        <v>0.0</v>
      </c>
      <c r="Y299" s="67">
        <f>IF(AND(ISNUMBER(N299),N(N299)&gt;0),N(N299),0)</f>
        <v>0.0</v>
      </c>
      <c r="Z299" s="67">
        <f>IF(AND(ISNUMBER(P299),N(P299)&gt;0),N(P299),0)</f>
        <v>0.0</v>
      </c>
    </row>
    <row r="300">
      <c r="A300" s="79" t="str">
        <f>IF(COUNTA(B300:C300,E300:G300,I300)=0,"","BI-"&amp;RIGHT("0000"&amp;(ROW()-5),4))</f>
        <v/>
      </c>
      <c r="B300" s="72" t="n"/>
      <c r="C300" s="66" t="n"/>
      <c r="D300" s="67" t="str">
        <f>IF(C300="","",IFERROR(INDEX(eq_des,MATCH(C300,eq_code,0))&amp;"","Équipement inconnu"))</f>
        <v/>
      </c>
      <c r="E300" s="68" t="n"/>
      <c r="F300" s="68" t="n"/>
      <c r="G300" s="66" t="n"/>
      <c r="H300" s="66" t="n"/>
      <c r="I300" s="68" t="n"/>
      <c r="J300" s="73" t="n"/>
      <c r="K300" s="71" t="n"/>
      <c r="L300" s="71" t="n"/>
      <c r="M300" s="66" t="n"/>
      <c r="N300" s="80" t="n"/>
      <c r="O300" s="81" t="str">
        <f>IF(A300="","",ROUND(V300*IFERROR(N(INDEX(tech_rate,MATCH(M300,tech_name,0))),0),2))</f>
        <v/>
      </c>
      <c r="P300" s="80" t="n"/>
      <c r="Q300" s="81" t="str">
        <f>IF(A300="","",ROUND(Y300+O300+Z300,2))</f>
        <v/>
      </c>
      <c r="R300" s="79" t="str">
        <f>IF(A300="","",IF(S300=0,"Date manquante ou invalide",IF(C300="","Équipement manquant",IF(ISNA(MATCH(C300,eq_code,0)),"Équipement inconnu",IF(E300="","Type manquant",IF(AND(E300&lt;&gt;"Préventif",E300&lt;&gt;"Correctif",E300&lt;&gt;"Amélioratif"),"Type inconnu",IF(I300="","Statut manquant",IF(AND(I300&lt;&gt;"Terminée",I300&lt;&gt;"En cours",I300&lt;&gt;"À faire",I300&lt;&gt;"Annulée"),"Statut inconnu",IF(AND(E300="Préventif",F300=""),"Plan manquant (préventif)",IF(AND(F300&lt;&gt;"",ISNA(MATCH(F300,pl_num,0))),"Plan inconnu",IF(AND(F300&lt;&gt;"",IFERROR(INDEX(pl_eq,MATCH(F300,pl_num,0))&amp;"",C300)&lt;&gt;C300),"Plan d'un autre équipement",IF(AND(J300&lt;&gt;"",OR(NOT(ISNUMBER(J300)),N(J300)&lt;0)),"Compteur invalide",IF(OR(AND(K300&lt;&gt;"",OR(NOT(ISNUMBER(K300)),N(K300)&lt;0)),AND(L300&lt;&gt;"",OR(NOT(ISNUMBER(L300)),N(L300)&lt;0))),"Durée invalide",IF(OR(AND(N300&lt;&gt;"",OR(NOT(ISNUMBER(N300)),N(N300)&lt;0)),AND(P300&lt;&gt;"",OR(NOT(ISNUMBER(P300)),N(P300)&lt;0))),"Coût invalide",IF(AND(M300&lt;&gt;"",ISNA(MATCH(M300,tech_name,0))),"Technicien inconnu",IF(AND(I300="Terminée",S300&gt;p_today),"Terminée à une date future",IF(AND(I300="Terminée",V300=0),"Durée d'intervention manquante",IF(AND(I300="Terminée",E300="Préventif",T300=0,OR(IFERROR(INDEX(pl_trig,MATCH(F300,pl_num,0))&amp;"","")="Compteur",IFERROR(INDEX(pl_trig,MATCH(F300,pl_num,0))&amp;"","")="Au premier des deux")),"Compteur manquant (plan au compteur)","OK"))))))))))))))))))</f>
        <v/>
      </c>
      <c r="S300" s="67">
        <f>IF(AND(ISNUMBER(B300),N(B300)&gt;0),INT(B300),0)</f>
        <v>0.0</v>
      </c>
      <c r="T300" s="67">
        <f>IF(AND(ISNUMBER(J300),N(J300)&gt;=0),N(J300),0)</f>
        <v>0.0</v>
      </c>
      <c r="U300" s="67">
        <f>IF(AND(ISNUMBER(K300),N(K300)&gt;0),N(K300),0)</f>
        <v>0.0</v>
      </c>
      <c r="V300" s="67">
        <f>IF(AND(ISNUMBER(L300),N(L300)&gt;0),N(L300),0)</f>
        <v>0.0</v>
      </c>
      <c r="W300" s="67">
        <f>IF(AND(I300="Terminée",S300&gt;0,C300&lt;&gt;"",ISNUMBER(MATCH(C300,eq_code,0))),1,0)</f>
        <v>0.0</v>
      </c>
      <c r="X300" s="67">
        <f>IF(AND(W300=1,E300="Préventif"),1,0)</f>
        <v>0.0</v>
      </c>
      <c r="Y300" s="67">
        <f>IF(AND(ISNUMBER(N300),N(N300)&gt;0),N(N300),0)</f>
        <v>0.0</v>
      </c>
      <c r="Z300" s="67">
        <f>IF(AND(ISNUMBER(P300),N(P300)&gt;0),N(P300),0)</f>
        <v>0.0</v>
      </c>
    </row>
    <row r="301">
      <c r="A301" s="79" t="str">
        <f>IF(COUNTA(B301:C301,E301:G301,I301)=0,"","BI-"&amp;RIGHT("0000"&amp;(ROW()-5),4))</f>
        <v/>
      </c>
      <c r="B301" s="72" t="n"/>
      <c r="C301" s="66" t="n"/>
      <c r="D301" s="67" t="str">
        <f>IF(C301="","",IFERROR(INDEX(eq_des,MATCH(C301,eq_code,0))&amp;"","Équipement inconnu"))</f>
        <v/>
      </c>
      <c r="E301" s="68" t="n"/>
      <c r="F301" s="68" t="n"/>
      <c r="G301" s="66" t="n"/>
      <c r="H301" s="66" t="n"/>
      <c r="I301" s="68" t="n"/>
      <c r="J301" s="73" t="n"/>
      <c r="K301" s="71" t="n"/>
      <c r="L301" s="71" t="n"/>
      <c r="M301" s="66" t="n"/>
      <c r="N301" s="80" t="n"/>
      <c r="O301" s="81" t="str">
        <f>IF(A301="","",ROUND(V301*IFERROR(N(INDEX(tech_rate,MATCH(M301,tech_name,0))),0),2))</f>
        <v/>
      </c>
      <c r="P301" s="80" t="n"/>
      <c r="Q301" s="81" t="str">
        <f>IF(A301="","",ROUND(Y301+O301+Z301,2))</f>
        <v/>
      </c>
      <c r="R301" s="79" t="str">
        <f>IF(A301="","",IF(S301=0,"Date manquante ou invalide",IF(C301="","Équipement manquant",IF(ISNA(MATCH(C301,eq_code,0)),"Équipement inconnu",IF(E301="","Type manquant",IF(AND(E301&lt;&gt;"Préventif",E301&lt;&gt;"Correctif",E301&lt;&gt;"Amélioratif"),"Type inconnu",IF(I301="","Statut manquant",IF(AND(I301&lt;&gt;"Terminée",I301&lt;&gt;"En cours",I301&lt;&gt;"À faire",I301&lt;&gt;"Annulée"),"Statut inconnu",IF(AND(E301="Préventif",F301=""),"Plan manquant (préventif)",IF(AND(F301&lt;&gt;"",ISNA(MATCH(F301,pl_num,0))),"Plan inconnu",IF(AND(F301&lt;&gt;"",IFERROR(INDEX(pl_eq,MATCH(F301,pl_num,0))&amp;"",C301)&lt;&gt;C301),"Plan d'un autre équipement",IF(AND(J301&lt;&gt;"",OR(NOT(ISNUMBER(J301)),N(J301)&lt;0)),"Compteur invalide",IF(OR(AND(K301&lt;&gt;"",OR(NOT(ISNUMBER(K301)),N(K301)&lt;0)),AND(L301&lt;&gt;"",OR(NOT(ISNUMBER(L301)),N(L301)&lt;0))),"Durée invalide",IF(OR(AND(N301&lt;&gt;"",OR(NOT(ISNUMBER(N301)),N(N301)&lt;0)),AND(P301&lt;&gt;"",OR(NOT(ISNUMBER(P301)),N(P301)&lt;0))),"Coût invalide",IF(AND(M301&lt;&gt;"",ISNA(MATCH(M301,tech_name,0))),"Technicien inconnu",IF(AND(I301="Terminée",S301&gt;p_today),"Terminée à une date future",IF(AND(I301="Terminée",V301=0),"Durée d'intervention manquante",IF(AND(I301="Terminée",E301="Préventif",T301=0,OR(IFERROR(INDEX(pl_trig,MATCH(F301,pl_num,0))&amp;"","")="Compteur",IFERROR(INDEX(pl_trig,MATCH(F301,pl_num,0))&amp;"","")="Au premier des deux")),"Compteur manquant (plan au compteur)","OK"))))))))))))))))))</f>
        <v/>
      </c>
      <c r="S301" s="67">
        <f>IF(AND(ISNUMBER(B301),N(B301)&gt;0),INT(B301),0)</f>
        <v>0.0</v>
      </c>
      <c r="T301" s="67">
        <f>IF(AND(ISNUMBER(J301),N(J301)&gt;=0),N(J301),0)</f>
        <v>0.0</v>
      </c>
      <c r="U301" s="67">
        <f>IF(AND(ISNUMBER(K301),N(K301)&gt;0),N(K301),0)</f>
        <v>0.0</v>
      </c>
      <c r="V301" s="67">
        <f>IF(AND(ISNUMBER(L301),N(L301)&gt;0),N(L301),0)</f>
        <v>0.0</v>
      </c>
      <c r="W301" s="67">
        <f>IF(AND(I301="Terminée",S301&gt;0,C301&lt;&gt;"",ISNUMBER(MATCH(C301,eq_code,0))),1,0)</f>
        <v>0.0</v>
      </c>
      <c r="X301" s="67">
        <f>IF(AND(W301=1,E301="Préventif"),1,0)</f>
        <v>0.0</v>
      </c>
      <c r="Y301" s="67">
        <f>IF(AND(ISNUMBER(N301),N(N301)&gt;0),N(N301),0)</f>
        <v>0.0</v>
      </c>
      <c r="Z301" s="67">
        <f>IF(AND(ISNUMBER(P301),N(P301)&gt;0),N(P301),0)</f>
        <v>0.0</v>
      </c>
    </row>
    <row r="302">
      <c r="A302" s="79" t="str">
        <f>IF(COUNTA(B302:C302,E302:G302,I302)=0,"","BI-"&amp;RIGHT("0000"&amp;(ROW()-5),4))</f>
        <v/>
      </c>
      <c r="B302" s="72" t="n"/>
      <c r="C302" s="66" t="n"/>
      <c r="D302" s="67" t="str">
        <f>IF(C302="","",IFERROR(INDEX(eq_des,MATCH(C302,eq_code,0))&amp;"","Équipement inconnu"))</f>
        <v/>
      </c>
      <c r="E302" s="68" t="n"/>
      <c r="F302" s="68" t="n"/>
      <c r="G302" s="66" t="n"/>
      <c r="H302" s="66" t="n"/>
      <c r="I302" s="68" t="n"/>
      <c r="J302" s="73" t="n"/>
      <c r="K302" s="71" t="n"/>
      <c r="L302" s="71" t="n"/>
      <c r="M302" s="66" t="n"/>
      <c r="N302" s="80" t="n"/>
      <c r="O302" s="81" t="str">
        <f>IF(A302="","",ROUND(V302*IFERROR(N(INDEX(tech_rate,MATCH(M302,tech_name,0))),0),2))</f>
        <v/>
      </c>
      <c r="P302" s="80" t="n"/>
      <c r="Q302" s="81" t="str">
        <f>IF(A302="","",ROUND(Y302+O302+Z302,2))</f>
        <v/>
      </c>
      <c r="R302" s="79" t="str">
        <f>IF(A302="","",IF(S302=0,"Date manquante ou invalide",IF(C302="","Équipement manquant",IF(ISNA(MATCH(C302,eq_code,0)),"Équipement inconnu",IF(E302="","Type manquant",IF(AND(E302&lt;&gt;"Préventif",E302&lt;&gt;"Correctif",E302&lt;&gt;"Amélioratif"),"Type inconnu",IF(I302="","Statut manquant",IF(AND(I302&lt;&gt;"Terminée",I302&lt;&gt;"En cours",I302&lt;&gt;"À faire",I302&lt;&gt;"Annulée"),"Statut inconnu",IF(AND(E302="Préventif",F302=""),"Plan manquant (préventif)",IF(AND(F302&lt;&gt;"",ISNA(MATCH(F302,pl_num,0))),"Plan inconnu",IF(AND(F302&lt;&gt;"",IFERROR(INDEX(pl_eq,MATCH(F302,pl_num,0))&amp;"",C302)&lt;&gt;C302),"Plan d'un autre équipement",IF(AND(J302&lt;&gt;"",OR(NOT(ISNUMBER(J302)),N(J302)&lt;0)),"Compteur invalide",IF(OR(AND(K302&lt;&gt;"",OR(NOT(ISNUMBER(K302)),N(K302)&lt;0)),AND(L302&lt;&gt;"",OR(NOT(ISNUMBER(L302)),N(L302)&lt;0))),"Durée invalide",IF(OR(AND(N302&lt;&gt;"",OR(NOT(ISNUMBER(N302)),N(N302)&lt;0)),AND(P302&lt;&gt;"",OR(NOT(ISNUMBER(P302)),N(P302)&lt;0))),"Coût invalide",IF(AND(M302&lt;&gt;"",ISNA(MATCH(M302,tech_name,0))),"Technicien inconnu",IF(AND(I302="Terminée",S302&gt;p_today),"Terminée à une date future",IF(AND(I302="Terminée",V302=0),"Durée d'intervention manquante",IF(AND(I302="Terminée",E302="Préventif",T302=0,OR(IFERROR(INDEX(pl_trig,MATCH(F302,pl_num,0))&amp;"","")="Compteur",IFERROR(INDEX(pl_trig,MATCH(F302,pl_num,0))&amp;"","")="Au premier des deux")),"Compteur manquant (plan au compteur)","OK"))))))))))))))))))</f>
        <v/>
      </c>
      <c r="S302" s="67">
        <f>IF(AND(ISNUMBER(B302),N(B302)&gt;0),INT(B302),0)</f>
        <v>0.0</v>
      </c>
      <c r="T302" s="67">
        <f>IF(AND(ISNUMBER(J302),N(J302)&gt;=0),N(J302),0)</f>
        <v>0.0</v>
      </c>
      <c r="U302" s="67">
        <f>IF(AND(ISNUMBER(K302),N(K302)&gt;0),N(K302),0)</f>
        <v>0.0</v>
      </c>
      <c r="V302" s="67">
        <f>IF(AND(ISNUMBER(L302),N(L302)&gt;0),N(L302),0)</f>
        <v>0.0</v>
      </c>
      <c r="W302" s="67">
        <f>IF(AND(I302="Terminée",S302&gt;0,C302&lt;&gt;"",ISNUMBER(MATCH(C302,eq_code,0))),1,0)</f>
        <v>0.0</v>
      </c>
      <c r="X302" s="67">
        <f>IF(AND(W302=1,E302="Préventif"),1,0)</f>
        <v>0.0</v>
      </c>
      <c r="Y302" s="67">
        <f>IF(AND(ISNUMBER(N302),N(N302)&gt;0),N(N302),0)</f>
        <v>0.0</v>
      </c>
      <c r="Z302" s="67">
        <f>IF(AND(ISNUMBER(P302),N(P302)&gt;0),N(P302),0)</f>
        <v>0.0</v>
      </c>
    </row>
    <row r="303">
      <c r="A303" s="79" t="str">
        <f>IF(COUNTA(B303:C303,E303:G303,I303)=0,"","BI-"&amp;RIGHT("0000"&amp;(ROW()-5),4))</f>
        <v/>
      </c>
      <c r="B303" s="72" t="n"/>
      <c r="C303" s="66" t="n"/>
      <c r="D303" s="67" t="str">
        <f>IF(C303="","",IFERROR(INDEX(eq_des,MATCH(C303,eq_code,0))&amp;"","Équipement inconnu"))</f>
        <v/>
      </c>
      <c r="E303" s="68" t="n"/>
      <c r="F303" s="68" t="n"/>
      <c r="G303" s="66" t="n"/>
      <c r="H303" s="66" t="n"/>
      <c r="I303" s="68" t="n"/>
      <c r="J303" s="73" t="n"/>
      <c r="K303" s="71" t="n"/>
      <c r="L303" s="71" t="n"/>
      <c r="M303" s="66" t="n"/>
      <c r="N303" s="80" t="n"/>
      <c r="O303" s="81" t="str">
        <f>IF(A303="","",ROUND(V303*IFERROR(N(INDEX(tech_rate,MATCH(M303,tech_name,0))),0),2))</f>
        <v/>
      </c>
      <c r="P303" s="80" t="n"/>
      <c r="Q303" s="81" t="str">
        <f>IF(A303="","",ROUND(Y303+O303+Z303,2))</f>
        <v/>
      </c>
      <c r="R303" s="79" t="str">
        <f>IF(A303="","",IF(S303=0,"Date manquante ou invalide",IF(C303="","Équipement manquant",IF(ISNA(MATCH(C303,eq_code,0)),"Équipement inconnu",IF(E303="","Type manquant",IF(AND(E303&lt;&gt;"Préventif",E303&lt;&gt;"Correctif",E303&lt;&gt;"Amélioratif"),"Type inconnu",IF(I303="","Statut manquant",IF(AND(I303&lt;&gt;"Terminée",I303&lt;&gt;"En cours",I303&lt;&gt;"À faire",I303&lt;&gt;"Annulée"),"Statut inconnu",IF(AND(E303="Préventif",F303=""),"Plan manquant (préventif)",IF(AND(F303&lt;&gt;"",ISNA(MATCH(F303,pl_num,0))),"Plan inconnu",IF(AND(F303&lt;&gt;"",IFERROR(INDEX(pl_eq,MATCH(F303,pl_num,0))&amp;"",C303)&lt;&gt;C303),"Plan d'un autre équipement",IF(AND(J303&lt;&gt;"",OR(NOT(ISNUMBER(J303)),N(J303)&lt;0)),"Compteur invalide",IF(OR(AND(K303&lt;&gt;"",OR(NOT(ISNUMBER(K303)),N(K303)&lt;0)),AND(L303&lt;&gt;"",OR(NOT(ISNUMBER(L303)),N(L303)&lt;0))),"Durée invalide",IF(OR(AND(N303&lt;&gt;"",OR(NOT(ISNUMBER(N303)),N(N303)&lt;0)),AND(P303&lt;&gt;"",OR(NOT(ISNUMBER(P303)),N(P303)&lt;0))),"Coût invalide",IF(AND(M303&lt;&gt;"",ISNA(MATCH(M303,tech_name,0))),"Technicien inconnu",IF(AND(I303="Terminée",S303&gt;p_today),"Terminée à une date future",IF(AND(I303="Terminée",V303=0),"Durée d'intervention manquante",IF(AND(I303="Terminée",E303="Préventif",T303=0,OR(IFERROR(INDEX(pl_trig,MATCH(F303,pl_num,0))&amp;"","")="Compteur",IFERROR(INDEX(pl_trig,MATCH(F303,pl_num,0))&amp;"","")="Au premier des deux")),"Compteur manquant (plan au compteur)","OK"))))))))))))))))))</f>
        <v/>
      </c>
      <c r="S303" s="67">
        <f>IF(AND(ISNUMBER(B303),N(B303)&gt;0),INT(B303),0)</f>
        <v>0.0</v>
      </c>
      <c r="T303" s="67">
        <f>IF(AND(ISNUMBER(J303),N(J303)&gt;=0),N(J303),0)</f>
        <v>0.0</v>
      </c>
      <c r="U303" s="67">
        <f>IF(AND(ISNUMBER(K303),N(K303)&gt;0),N(K303),0)</f>
        <v>0.0</v>
      </c>
      <c r="V303" s="67">
        <f>IF(AND(ISNUMBER(L303),N(L303)&gt;0),N(L303),0)</f>
        <v>0.0</v>
      </c>
      <c r="W303" s="67">
        <f>IF(AND(I303="Terminée",S303&gt;0,C303&lt;&gt;"",ISNUMBER(MATCH(C303,eq_code,0))),1,0)</f>
        <v>0.0</v>
      </c>
      <c r="X303" s="67">
        <f>IF(AND(W303=1,E303="Préventif"),1,0)</f>
        <v>0.0</v>
      </c>
      <c r="Y303" s="67">
        <f>IF(AND(ISNUMBER(N303),N(N303)&gt;0),N(N303),0)</f>
        <v>0.0</v>
      </c>
      <c r="Z303" s="67">
        <f>IF(AND(ISNUMBER(P303),N(P303)&gt;0),N(P303),0)</f>
        <v>0.0</v>
      </c>
    </row>
    <row r="304">
      <c r="A304" s="79" t="str">
        <f>IF(COUNTA(B304:C304,E304:G304,I304)=0,"","BI-"&amp;RIGHT("0000"&amp;(ROW()-5),4))</f>
        <v/>
      </c>
      <c r="B304" s="72" t="n"/>
      <c r="C304" s="66" t="n"/>
      <c r="D304" s="67" t="str">
        <f>IF(C304="","",IFERROR(INDEX(eq_des,MATCH(C304,eq_code,0))&amp;"","Équipement inconnu"))</f>
        <v/>
      </c>
      <c r="E304" s="68" t="n"/>
      <c r="F304" s="68" t="n"/>
      <c r="G304" s="66" t="n"/>
      <c r="H304" s="66" t="n"/>
      <c r="I304" s="68" t="n"/>
      <c r="J304" s="73" t="n"/>
      <c r="K304" s="71" t="n"/>
      <c r="L304" s="71" t="n"/>
      <c r="M304" s="66" t="n"/>
      <c r="N304" s="80" t="n"/>
      <c r="O304" s="81" t="str">
        <f>IF(A304="","",ROUND(V304*IFERROR(N(INDEX(tech_rate,MATCH(M304,tech_name,0))),0),2))</f>
        <v/>
      </c>
      <c r="P304" s="80" t="n"/>
      <c r="Q304" s="81" t="str">
        <f>IF(A304="","",ROUND(Y304+O304+Z304,2))</f>
        <v/>
      </c>
      <c r="R304" s="79" t="str">
        <f>IF(A304="","",IF(S304=0,"Date manquante ou invalide",IF(C304="","Équipement manquant",IF(ISNA(MATCH(C304,eq_code,0)),"Équipement inconnu",IF(E304="","Type manquant",IF(AND(E304&lt;&gt;"Préventif",E304&lt;&gt;"Correctif",E304&lt;&gt;"Amélioratif"),"Type inconnu",IF(I304="","Statut manquant",IF(AND(I304&lt;&gt;"Terminée",I304&lt;&gt;"En cours",I304&lt;&gt;"À faire",I304&lt;&gt;"Annulée"),"Statut inconnu",IF(AND(E304="Préventif",F304=""),"Plan manquant (préventif)",IF(AND(F304&lt;&gt;"",ISNA(MATCH(F304,pl_num,0))),"Plan inconnu",IF(AND(F304&lt;&gt;"",IFERROR(INDEX(pl_eq,MATCH(F304,pl_num,0))&amp;"",C304)&lt;&gt;C304),"Plan d'un autre équipement",IF(AND(J304&lt;&gt;"",OR(NOT(ISNUMBER(J304)),N(J304)&lt;0)),"Compteur invalide",IF(OR(AND(K304&lt;&gt;"",OR(NOT(ISNUMBER(K304)),N(K304)&lt;0)),AND(L304&lt;&gt;"",OR(NOT(ISNUMBER(L304)),N(L304)&lt;0))),"Durée invalide",IF(OR(AND(N304&lt;&gt;"",OR(NOT(ISNUMBER(N304)),N(N304)&lt;0)),AND(P304&lt;&gt;"",OR(NOT(ISNUMBER(P304)),N(P304)&lt;0))),"Coût invalide",IF(AND(M304&lt;&gt;"",ISNA(MATCH(M304,tech_name,0))),"Technicien inconnu",IF(AND(I304="Terminée",S304&gt;p_today),"Terminée à une date future",IF(AND(I304="Terminée",V304=0),"Durée d'intervention manquante",IF(AND(I304="Terminée",E304="Préventif",T304=0,OR(IFERROR(INDEX(pl_trig,MATCH(F304,pl_num,0))&amp;"","")="Compteur",IFERROR(INDEX(pl_trig,MATCH(F304,pl_num,0))&amp;"","")="Au premier des deux")),"Compteur manquant (plan au compteur)","OK"))))))))))))))))))</f>
        <v/>
      </c>
      <c r="S304" s="67">
        <f>IF(AND(ISNUMBER(B304),N(B304)&gt;0),INT(B304),0)</f>
        <v>0.0</v>
      </c>
      <c r="T304" s="67">
        <f>IF(AND(ISNUMBER(J304),N(J304)&gt;=0),N(J304),0)</f>
        <v>0.0</v>
      </c>
      <c r="U304" s="67">
        <f>IF(AND(ISNUMBER(K304),N(K304)&gt;0),N(K304),0)</f>
        <v>0.0</v>
      </c>
      <c r="V304" s="67">
        <f>IF(AND(ISNUMBER(L304),N(L304)&gt;0),N(L304),0)</f>
        <v>0.0</v>
      </c>
      <c r="W304" s="67">
        <f>IF(AND(I304="Terminée",S304&gt;0,C304&lt;&gt;"",ISNUMBER(MATCH(C304,eq_code,0))),1,0)</f>
        <v>0.0</v>
      </c>
      <c r="X304" s="67">
        <f>IF(AND(W304=1,E304="Préventif"),1,0)</f>
        <v>0.0</v>
      </c>
      <c r="Y304" s="67">
        <f>IF(AND(ISNUMBER(N304),N(N304)&gt;0),N(N304),0)</f>
        <v>0.0</v>
      </c>
      <c r="Z304" s="67">
        <f>IF(AND(ISNUMBER(P304),N(P304)&gt;0),N(P304),0)</f>
        <v>0.0</v>
      </c>
    </row>
    <row r="305">
      <c r="A305" s="79" t="str">
        <f>IF(COUNTA(B305:C305,E305:G305,I305)=0,"","BI-"&amp;RIGHT("0000"&amp;(ROW()-5),4))</f>
        <v/>
      </c>
      <c r="B305" s="72" t="n"/>
      <c r="C305" s="66" t="n"/>
      <c r="D305" s="67" t="str">
        <f>IF(C305="","",IFERROR(INDEX(eq_des,MATCH(C305,eq_code,0))&amp;"","Équipement inconnu"))</f>
        <v/>
      </c>
      <c r="E305" s="68" t="n"/>
      <c r="F305" s="68" t="n"/>
      <c r="G305" s="66" t="n"/>
      <c r="H305" s="66" t="n"/>
      <c r="I305" s="68" t="n"/>
      <c r="J305" s="73" t="n"/>
      <c r="K305" s="71" t="n"/>
      <c r="L305" s="71" t="n"/>
      <c r="M305" s="66" t="n"/>
      <c r="N305" s="80" t="n"/>
      <c r="O305" s="81" t="str">
        <f>IF(A305="","",ROUND(V305*IFERROR(N(INDEX(tech_rate,MATCH(M305,tech_name,0))),0),2))</f>
        <v/>
      </c>
      <c r="P305" s="80" t="n"/>
      <c r="Q305" s="81" t="str">
        <f>IF(A305="","",ROUND(Y305+O305+Z305,2))</f>
        <v/>
      </c>
      <c r="R305" s="79" t="str">
        <f>IF(A305="","",IF(S305=0,"Date manquante ou invalide",IF(C305="","Équipement manquant",IF(ISNA(MATCH(C305,eq_code,0)),"Équipement inconnu",IF(E305="","Type manquant",IF(AND(E305&lt;&gt;"Préventif",E305&lt;&gt;"Correctif",E305&lt;&gt;"Amélioratif"),"Type inconnu",IF(I305="","Statut manquant",IF(AND(I305&lt;&gt;"Terminée",I305&lt;&gt;"En cours",I305&lt;&gt;"À faire",I305&lt;&gt;"Annulée"),"Statut inconnu",IF(AND(E305="Préventif",F305=""),"Plan manquant (préventif)",IF(AND(F305&lt;&gt;"",ISNA(MATCH(F305,pl_num,0))),"Plan inconnu",IF(AND(F305&lt;&gt;"",IFERROR(INDEX(pl_eq,MATCH(F305,pl_num,0))&amp;"",C305)&lt;&gt;C305),"Plan d'un autre équipement",IF(AND(J305&lt;&gt;"",OR(NOT(ISNUMBER(J305)),N(J305)&lt;0)),"Compteur invalide",IF(OR(AND(K305&lt;&gt;"",OR(NOT(ISNUMBER(K305)),N(K305)&lt;0)),AND(L305&lt;&gt;"",OR(NOT(ISNUMBER(L305)),N(L305)&lt;0))),"Durée invalide",IF(OR(AND(N305&lt;&gt;"",OR(NOT(ISNUMBER(N305)),N(N305)&lt;0)),AND(P305&lt;&gt;"",OR(NOT(ISNUMBER(P305)),N(P305)&lt;0))),"Coût invalide",IF(AND(M305&lt;&gt;"",ISNA(MATCH(M305,tech_name,0))),"Technicien inconnu",IF(AND(I305="Terminée",S305&gt;p_today),"Terminée à une date future",IF(AND(I305="Terminée",V305=0),"Durée d'intervention manquante",IF(AND(I305="Terminée",E305="Préventif",T305=0,OR(IFERROR(INDEX(pl_trig,MATCH(F305,pl_num,0))&amp;"","")="Compteur",IFERROR(INDEX(pl_trig,MATCH(F305,pl_num,0))&amp;"","")="Au premier des deux")),"Compteur manquant (plan au compteur)","OK"))))))))))))))))))</f>
        <v/>
      </c>
      <c r="S305" s="67">
        <f>IF(AND(ISNUMBER(B305),N(B305)&gt;0),INT(B305),0)</f>
        <v>0.0</v>
      </c>
      <c r="T305" s="67">
        <f>IF(AND(ISNUMBER(J305),N(J305)&gt;=0),N(J305),0)</f>
        <v>0.0</v>
      </c>
      <c r="U305" s="67">
        <f>IF(AND(ISNUMBER(K305),N(K305)&gt;0),N(K305),0)</f>
        <v>0.0</v>
      </c>
      <c r="V305" s="67">
        <f>IF(AND(ISNUMBER(L305),N(L305)&gt;0),N(L305),0)</f>
        <v>0.0</v>
      </c>
      <c r="W305" s="67">
        <f>IF(AND(I305="Terminée",S305&gt;0,C305&lt;&gt;"",ISNUMBER(MATCH(C305,eq_code,0))),1,0)</f>
        <v>0.0</v>
      </c>
      <c r="X305" s="67">
        <f>IF(AND(W305=1,E305="Préventif"),1,0)</f>
        <v>0.0</v>
      </c>
      <c r="Y305" s="67">
        <f>IF(AND(ISNUMBER(N305),N(N305)&gt;0),N(N305),0)</f>
        <v>0.0</v>
      </c>
      <c r="Z305" s="67">
        <f>IF(AND(ISNUMBER(P305),N(P305)&gt;0),N(P305),0)</f>
        <v>0.0</v>
      </c>
    </row>
    <row r="306">
      <c r="A306" s="79" t="str">
        <f>IF(COUNTA(B306:C306,E306:G306,I306)=0,"","BI-"&amp;RIGHT("0000"&amp;(ROW()-5),4))</f>
        <v/>
      </c>
      <c r="B306" s="72" t="n"/>
      <c r="C306" s="66" t="n"/>
      <c r="D306" s="67" t="str">
        <f>IF(C306="","",IFERROR(INDEX(eq_des,MATCH(C306,eq_code,0))&amp;"","Équipement inconnu"))</f>
        <v/>
      </c>
      <c r="E306" s="68" t="n"/>
      <c r="F306" s="68" t="n"/>
      <c r="G306" s="66" t="n"/>
      <c r="H306" s="66" t="n"/>
      <c r="I306" s="68" t="n"/>
      <c r="J306" s="73" t="n"/>
      <c r="K306" s="71" t="n"/>
      <c r="L306" s="71" t="n"/>
      <c r="M306" s="66" t="n"/>
      <c r="N306" s="80" t="n"/>
      <c r="O306" s="81" t="str">
        <f>IF(A306="","",ROUND(V306*IFERROR(N(INDEX(tech_rate,MATCH(M306,tech_name,0))),0),2))</f>
        <v/>
      </c>
      <c r="P306" s="80" t="n"/>
      <c r="Q306" s="81" t="str">
        <f>IF(A306="","",ROUND(Y306+O306+Z306,2))</f>
        <v/>
      </c>
      <c r="R306" s="79" t="str">
        <f>IF(A306="","",IF(S306=0,"Date manquante ou invalide",IF(C306="","Équipement manquant",IF(ISNA(MATCH(C306,eq_code,0)),"Équipement inconnu",IF(E306="","Type manquant",IF(AND(E306&lt;&gt;"Préventif",E306&lt;&gt;"Correctif",E306&lt;&gt;"Amélioratif"),"Type inconnu",IF(I306="","Statut manquant",IF(AND(I306&lt;&gt;"Terminée",I306&lt;&gt;"En cours",I306&lt;&gt;"À faire",I306&lt;&gt;"Annulée"),"Statut inconnu",IF(AND(E306="Préventif",F306=""),"Plan manquant (préventif)",IF(AND(F306&lt;&gt;"",ISNA(MATCH(F306,pl_num,0))),"Plan inconnu",IF(AND(F306&lt;&gt;"",IFERROR(INDEX(pl_eq,MATCH(F306,pl_num,0))&amp;"",C306)&lt;&gt;C306),"Plan d'un autre équipement",IF(AND(J306&lt;&gt;"",OR(NOT(ISNUMBER(J306)),N(J306)&lt;0)),"Compteur invalide",IF(OR(AND(K306&lt;&gt;"",OR(NOT(ISNUMBER(K306)),N(K306)&lt;0)),AND(L306&lt;&gt;"",OR(NOT(ISNUMBER(L306)),N(L306)&lt;0))),"Durée invalide",IF(OR(AND(N306&lt;&gt;"",OR(NOT(ISNUMBER(N306)),N(N306)&lt;0)),AND(P306&lt;&gt;"",OR(NOT(ISNUMBER(P306)),N(P306)&lt;0))),"Coût invalide",IF(AND(M306&lt;&gt;"",ISNA(MATCH(M306,tech_name,0))),"Technicien inconnu",IF(AND(I306="Terminée",S306&gt;p_today),"Terminée à une date future",IF(AND(I306="Terminée",V306=0),"Durée d'intervention manquante",IF(AND(I306="Terminée",E306="Préventif",T306=0,OR(IFERROR(INDEX(pl_trig,MATCH(F306,pl_num,0))&amp;"","")="Compteur",IFERROR(INDEX(pl_trig,MATCH(F306,pl_num,0))&amp;"","")="Au premier des deux")),"Compteur manquant (plan au compteur)","OK"))))))))))))))))))</f>
        <v/>
      </c>
      <c r="S306" s="67">
        <f>IF(AND(ISNUMBER(B306),N(B306)&gt;0),INT(B306),0)</f>
        <v>0.0</v>
      </c>
      <c r="T306" s="67">
        <f>IF(AND(ISNUMBER(J306),N(J306)&gt;=0),N(J306),0)</f>
        <v>0.0</v>
      </c>
      <c r="U306" s="67">
        <f>IF(AND(ISNUMBER(K306),N(K306)&gt;0),N(K306),0)</f>
        <v>0.0</v>
      </c>
      <c r="V306" s="67">
        <f>IF(AND(ISNUMBER(L306),N(L306)&gt;0),N(L306),0)</f>
        <v>0.0</v>
      </c>
      <c r="W306" s="67">
        <f>IF(AND(I306="Terminée",S306&gt;0,C306&lt;&gt;"",ISNUMBER(MATCH(C306,eq_code,0))),1,0)</f>
        <v>0.0</v>
      </c>
      <c r="X306" s="67">
        <f>IF(AND(W306=1,E306="Préventif"),1,0)</f>
        <v>0.0</v>
      </c>
      <c r="Y306" s="67">
        <f>IF(AND(ISNUMBER(N306),N(N306)&gt;0),N(N306),0)</f>
        <v>0.0</v>
      </c>
      <c r="Z306" s="67">
        <f>IF(AND(ISNUMBER(P306),N(P306)&gt;0),N(P306),0)</f>
        <v>0.0</v>
      </c>
    </row>
    <row r="307">
      <c r="A307" s="79" t="str">
        <f>IF(COUNTA(B307:C307,E307:G307,I307)=0,"","BI-"&amp;RIGHT("0000"&amp;(ROW()-5),4))</f>
        <v/>
      </c>
      <c r="B307" s="72" t="n"/>
      <c r="C307" s="66" t="n"/>
      <c r="D307" s="67" t="str">
        <f>IF(C307="","",IFERROR(INDEX(eq_des,MATCH(C307,eq_code,0))&amp;"","Équipement inconnu"))</f>
        <v/>
      </c>
      <c r="E307" s="68" t="n"/>
      <c r="F307" s="68" t="n"/>
      <c r="G307" s="66" t="n"/>
      <c r="H307" s="66" t="n"/>
      <c r="I307" s="68" t="n"/>
      <c r="J307" s="73" t="n"/>
      <c r="K307" s="71" t="n"/>
      <c r="L307" s="71" t="n"/>
      <c r="M307" s="66" t="n"/>
      <c r="N307" s="80" t="n"/>
      <c r="O307" s="81" t="str">
        <f>IF(A307="","",ROUND(V307*IFERROR(N(INDEX(tech_rate,MATCH(M307,tech_name,0))),0),2))</f>
        <v/>
      </c>
      <c r="P307" s="80" t="n"/>
      <c r="Q307" s="81" t="str">
        <f>IF(A307="","",ROUND(Y307+O307+Z307,2))</f>
        <v/>
      </c>
      <c r="R307" s="79" t="str">
        <f>IF(A307="","",IF(S307=0,"Date manquante ou invalide",IF(C307="","Équipement manquant",IF(ISNA(MATCH(C307,eq_code,0)),"Équipement inconnu",IF(E307="","Type manquant",IF(AND(E307&lt;&gt;"Préventif",E307&lt;&gt;"Correctif",E307&lt;&gt;"Amélioratif"),"Type inconnu",IF(I307="","Statut manquant",IF(AND(I307&lt;&gt;"Terminée",I307&lt;&gt;"En cours",I307&lt;&gt;"À faire",I307&lt;&gt;"Annulée"),"Statut inconnu",IF(AND(E307="Préventif",F307=""),"Plan manquant (préventif)",IF(AND(F307&lt;&gt;"",ISNA(MATCH(F307,pl_num,0))),"Plan inconnu",IF(AND(F307&lt;&gt;"",IFERROR(INDEX(pl_eq,MATCH(F307,pl_num,0))&amp;"",C307)&lt;&gt;C307),"Plan d'un autre équipement",IF(AND(J307&lt;&gt;"",OR(NOT(ISNUMBER(J307)),N(J307)&lt;0)),"Compteur invalide",IF(OR(AND(K307&lt;&gt;"",OR(NOT(ISNUMBER(K307)),N(K307)&lt;0)),AND(L307&lt;&gt;"",OR(NOT(ISNUMBER(L307)),N(L307)&lt;0))),"Durée invalide",IF(OR(AND(N307&lt;&gt;"",OR(NOT(ISNUMBER(N307)),N(N307)&lt;0)),AND(P307&lt;&gt;"",OR(NOT(ISNUMBER(P307)),N(P307)&lt;0))),"Coût invalide",IF(AND(M307&lt;&gt;"",ISNA(MATCH(M307,tech_name,0))),"Technicien inconnu",IF(AND(I307="Terminée",S307&gt;p_today),"Terminée à une date future",IF(AND(I307="Terminée",V307=0),"Durée d'intervention manquante",IF(AND(I307="Terminée",E307="Préventif",T307=0,OR(IFERROR(INDEX(pl_trig,MATCH(F307,pl_num,0))&amp;"","")="Compteur",IFERROR(INDEX(pl_trig,MATCH(F307,pl_num,0))&amp;"","")="Au premier des deux")),"Compteur manquant (plan au compteur)","OK"))))))))))))))))))</f>
        <v/>
      </c>
      <c r="S307" s="67">
        <f>IF(AND(ISNUMBER(B307),N(B307)&gt;0),INT(B307),0)</f>
        <v>0.0</v>
      </c>
      <c r="T307" s="67">
        <f>IF(AND(ISNUMBER(J307),N(J307)&gt;=0),N(J307),0)</f>
        <v>0.0</v>
      </c>
      <c r="U307" s="67">
        <f>IF(AND(ISNUMBER(K307),N(K307)&gt;0),N(K307),0)</f>
        <v>0.0</v>
      </c>
      <c r="V307" s="67">
        <f>IF(AND(ISNUMBER(L307),N(L307)&gt;0),N(L307),0)</f>
        <v>0.0</v>
      </c>
      <c r="W307" s="67">
        <f>IF(AND(I307="Terminée",S307&gt;0,C307&lt;&gt;"",ISNUMBER(MATCH(C307,eq_code,0))),1,0)</f>
        <v>0.0</v>
      </c>
      <c r="X307" s="67">
        <f>IF(AND(W307=1,E307="Préventif"),1,0)</f>
        <v>0.0</v>
      </c>
      <c r="Y307" s="67">
        <f>IF(AND(ISNUMBER(N307),N(N307)&gt;0),N(N307),0)</f>
        <v>0.0</v>
      </c>
      <c r="Z307" s="67">
        <f>IF(AND(ISNUMBER(P307),N(P307)&gt;0),N(P307),0)</f>
        <v>0.0</v>
      </c>
    </row>
    <row r="308">
      <c r="A308" s="79" t="str">
        <f>IF(COUNTA(B308:C308,E308:G308,I308)=0,"","BI-"&amp;RIGHT("0000"&amp;(ROW()-5),4))</f>
        <v/>
      </c>
      <c r="B308" s="72" t="n"/>
      <c r="C308" s="66" t="n"/>
      <c r="D308" s="67" t="str">
        <f>IF(C308="","",IFERROR(INDEX(eq_des,MATCH(C308,eq_code,0))&amp;"","Équipement inconnu"))</f>
        <v/>
      </c>
      <c r="E308" s="68" t="n"/>
      <c r="F308" s="68" t="n"/>
      <c r="G308" s="66" t="n"/>
      <c r="H308" s="66" t="n"/>
      <c r="I308" s="68" t="n"/>
      <c r="J308" s="73" t="n"/>
      <c r="K308" s="71" t="n"/>
      <c r="L308" s="71" t="n"/>
      <c r="M308" s="66" t="n"/>
      <c r="N308" s="80" t="n"/>
      <c r="O308" s="81" t="str">
        <f>IF(A308="","",ROUND(V308*IFERROR(N(INDEX(tech_rate,MATCH(M308,tech_name,0))),0),2))</f>
        <v/>
      </c>
      <c r="P308" s="80" t="n"/>
      <c r="Q308" s="81" t="str">
        <f>IF(A308="","",ROUND(Y308+O308+Z308,2))</f>
        <v/>
      </c>
      <c r="R308" s="79" t="str">
        <f>IF(A308="","",IF(S308=0,"Date manquante ou invalide",IF(C308="","Équipement manquant",IF(ISNA(MATCH(C308,eq_code,0)),"Équipement inconnu",IF(E308="","Type manquant",IF(AND(E308&lt;&gt;"Préventif",E308&lt;&gt;"Correctif",E308&lt;&gt;"Amélioratif"),"Type inconnu",IF(I308="","Statut manquant",IF(AND(I308&lt;&gt;"Terminée",I308&lt;&gt;"En cours",I308&lt;&gt;"À faire",I308&lt;&gt;"Annulée"),"Statut inconnu",IF(AND(E308="Préventif",F308=""),"Plan manquant (préventif)",IF(AND(F308&lt;&gt;"",ISNA(MATCH(F308,pl_num,0))),"Plan inconnu",IF(AND(F308&lt;&gt;"",IFERROR(INDEX(pl_eq,MATCH(F308,pl_num,0))&amp;"",C308)&lt;&gt;C308),"Plan d'un autre équipement",IF(AND(J308&lt;&gt;"",OR(NOT(ISNUMBER(J308)),N(J308)&lt;0)),"Compteur invalide",IF(OR(AND(K308&lt;&gt;"",OR(NOT(ISNUMBER(K308)),N(K308)&lt;0)),AND(L308&lt;&gt;"",OR(NOT(ISNUMBER(L308)),N(L308)&lt;0))),"Durée invalide",IF(OR(AND(N308&lt;&gt;"",OR(NOT(ISNUMBER(N308)),N(N308)&lt;0)),AND(P308&lt;&gt;"",OR(NOT(ISNUMBER(P308)),N(P308)&lt;0))),"Coût invalide",IF(AND(M308&lt;&gt;"",ISNA(MATCH(M308,tech_name,0))),"Technicien inconnu",IF(AND(I308="Terminée",S308&gt;p_today),"Terminée à une date future",IF(AND(I308="Terminée",V308=0),"Durée d'intervention manquante",IF(AND(I308="Terminée",E308="Préventif",T308=0,OR(IFERROR(INDEX(pl_trig,MATCH(F308,pl_num,0))&amp;"","")="Compteur",IFERROR(INDEX(pl_trig,MATCH(F308,pl_num,0))&amp;"","")="Au premier des deux")),"Compteur manquant (plan au compteur)","OK"))))))))))))))))))</f>
        <v/>
      </c>
      <c r="S308" s="67">
        <f>IF(AND(ISNUMBER(B308),N(B308)&gt;0),INT(B308),0)</f>
        <v>0.0</v>
      </c>
      <c r="T308" s="67">
        <f>IF(AND(ISNUMBER(J308),N(J308)&gt;=0),N(J308),0)</f>
        <v>0.0</v>
      </c>
      <c r="U308" s="67">
        <f>IF(AND(ISNUMBER(K308),N(K308)&gt;0),N(K308),0)</f>
        <v>0.0</v>
      </c>
      <c r="V308" s="67">
        <f>IF(AND(ISNUMBER(L308),N(L308)&gt;0),N(L308),0)</f>
        <v>0.0</v>
      </c>
      <c r="W308" s="67">
        <f>IF(AND(I308="Terminée",S308&gt;0,C308&lt;&gt;"",ISNUMBER(MATCH(C308,eq_code,0))),1,0)</f>
        <v>0.0</v>
      </c>
      <c r="X308" s="67">
        <f>IF(AND(W308=1,E308="Préventif"),1,0)</f>
        <v>0.0</v>
      </c>
      <c r="Y308" s="67">
        <f>IF(AND(ISNUMBER(N308),N(N308)&gt;0),N(N308),0)</f>
        <v>0.0</v>
      </c>
      <c r="Z308" s="67">
        <f>IF(AND(ISNUMBER(P308),N(P308)&gt;0),N(P308),0)</f>
        <v>0.0</v>
      </c>
    </row>
    <row r="309">
      <c r="A309" s="79" t="str">
        <f>IF(COUNTA(B309:C309,E309:G309,I309)=0,"","BI-"&amp;RIGHT("0000"&amp;(ROW()-5),4))</f>
        <v/>
      </c>
      <c r="B309" s="72" t="n"/>
      <c r="C309" s="66" t="n"/>
      <c r="D309" s="67" t="str">
        <f>IF(C309="","",IFERROR(INDEX(eq_des,MATCH(C309,eq_code,0))&amp;"","Équipement inconnu"))</f>
        <v/>
      </c>
      <c r="E309" s="68" t="n"/>
      <c r="F309" s="68" t="n"/>
      <c r="G309" s="66" t="n"/>
      <c r="H309" s="66" t="n"/>
      <c r="I309" s="68" t="n"/>
      <c r="J309" s="73" t="n"/>
      <c r="K309" s="71" t="n"/>
      <c r="L309" s="71" t="n"/>
      <c r="M309" s="66" t="n"/>
      <c r="N309" s="80" t="n"/>
      <c r="O309" s="81" t="str">
        <f>IF(A309="","",ROUND(V309*IFERROR(N(INDEX(tech_rate,MATCH(M309,tech_name,0))),0),2))</f>
        <v/>
      </c>
      <c r="P309" s="80" t="n"/>
      <c r="Q309" s="81" t="str">
        <f>IF(A309="","",ROUND(Y309+O309+Z309,2))</f>
        <v/>
      </c>
      <c r="R309" s="79" t="str">
        <f>IF(A309="","",IF(S309=0,"Date manquante ou invalide",IF(C309="","Équipement manquant",IF(ISNA(MATCH(C309,eq_code,0)),"Équipement inconnu",IF(E309="","Type manquant",IF(AND(E309&lt;&gt;"Préventif",E309&lt;&gt;"Correctif",E309&lt;&gt;"Amélioratif"),"Type inconnu",IF(I309="","Statut manquant",IF(AND(I309&lt;&gt;"Terminée",I309&lt;&gt;"En cours",I309&lt;&gt;"À faire",I309&lt;&gt;"Annulée"),"Statut inconnu",IF(AND(E309="Préventif",F309=""),"Plan manquant (préventif)",IF(AND(F309&lt;&gt;"",ISNA(MATCH(F309,pl_num,0))),"Plan inconnu",IF(AND(F309&lt;&gt;"",IFERROR(INDEX(pl_eq,MATCH(F309,pl_num,0))&amp;"",C309)&lt;&gt;C309),"Plan d'un autre équipement",IF(AND(J309&lt;&gt;"",OR(NOT(ISNUMBER(J309)),N(J309)&lt;0)),"Compteur invalide",IF(OR(AND(K309&lt;&gt;"",OR(NOT(ISNUMBER(K309)),N(K309)&lt;0)),AND(L309&lt;&gt;"",OR(NOT(ISNUMBER(L309)),N(L309)&lt;0))),"Durée invalide",IF(OR(AND(N309&lt;&gt;"",OR(NOT(ISNUMBER(N309)),N(N309)&lt;0)),AND(P309&lt;&gt;"",OR(NOT(ISNUMBER(P309)),N(P309)&lt;0))),"Coût invalide",IF(AND(M309&lt;&gt;"",ISNA(MATCH(M309,tech_name,0))),"Technicien inconnu",IF(AND(I309="Terminée",S309&gt;p_today),"Terminée à une date future",IF(AND(I309="Terminée",V309=0),"Durée d'intervention manquante",IF(AND(I309="Terminée",E309="Préventif",T309=0,OR(IFERROR(INDEX(pl_trig,MATCH(F309,pl_num,0))&amp;"","")="Compteur",IFERROR(INDEX(pl_trig,MATCH(F309,pl_num,0))&amp;"","")="Au premier des deux")),"Compteur manquant (plan au compteur)","OK"))))))))))))))))))</f>
        <v/>
      </c>
      <c r="S309" s="67">
        <f>IF(AND(ISNUMBER(B309),N(B309)&gt;0),INT(B309),0)</f>
        <v>0.0</v>
      </c>
      <c r="T309" s="67">
        <f>IF(AND(ISNUMBER(J309),N(J309)&gt;=0),N(J309),0)</f>
        <v>0.0</v>
      </c>
      <c r="U309" s="67">
        <f>IF(AND(ISNUMBER(K309),N(K309)&gt;0),N(K309),0)</f>
        <v>0.0</v>
      </c>
      <c r="V309" s="67">
        <f>IF(AND(ISNUMBER(L309),N(L309)&gt;0),N(L309),0)</f>
        <v>0.0</v>
      </c>
      <c r="W309" s="67">
        <f>IF(AND(I309="Terminée",S309&gt;0,C309&lt;&gt;"",ISNUMBER(MATCH(C309,eq_code,0))),1,0)</f>
        <v>0.0</v>
      </c>
      <c r="X309" s="67">
        <f>IF(AND(W309=1,E309="Préventif"),1,0)</f>
        <v>0.0</v>
      </c>
      <c r="Y309" s="67">
        <f>IF(AND(ISNUMBER(N309),N(N309)&gt;0),N(N309),0)</f>
        <v>0.0</v>
      </c>
      <c r="Z309" s="67">
        <f>IF(AND(ISNUMBER(P309),N(P309)&gt;0),N(P309),0)</f>
        <v>0.0</v>
      </c>
    </row>
    <row r="310">
      <c r="A310" s="79" t="str">
        <f>IF(COUNTA(B310:C310,E310:G310,I310)=0,"","BI-"&amp;RIGHT("0000"&amp;(ROW()-5),4))</f>
        <v/>
      </c>
      <c r="B310" s="72" t="n"/>
      <c r="C310" s="66" t="n"/>
      <c r="D310" s="67" t="str">
        <f>IF(C310="","",IFERROR(INDEX(eq_des,MATCH(C310,eq_code,0))&amp;"","Équipement inconnu"))</f>
        <v/>
      </c>
      <c r="E310" s="68" t="n"/>
      <c r="F310" s="68" t="n"/>
      <c r="G310" s="66" t="n"/>
      <c r="H310" s="66" t="n"/>
      <c r="I310" s="68" t="n"/>
      <c r="J310" s="73" t="n"/>
      <c r="K310" s="71" t="n"/>
      <c r="L310" s="71" t="n"/>
      <c r="M310" s="66" t="n"/>
      <c r="N310" s="80" t="n"/>
      <c r="O310" s="81" t="str">
        <f>IF(A310="","",ROUND(V310*IFERROR(N(INDEX(tech_rate,MATCH(M310,tech_name,0))),0),2))</f>
        <v/>
      </c>
      <c r="P310" s="80" t="n"/>
      <c r="Q310" s="81" t="str">
        <f>IF(A310="","",ROUND(Y310+O310+Z310,2))</f>
        <v/>
      </c>
      <c r="R310" s="79" t="str">
        <f>IF(A310="","",IF(S310=0,"Date manquante ou invalide",IF(C310="","Équipement manquant",IF(ISNA(MATCH(C310,eq_code,0)),"Équipement inconnu",IF(E310="","Type manquant",IF(AND(E310&lt;&gt;"Préventif",E310&lt;&gt;"Correctif",E310&lt;&gt;"Amélioratif"),"Type inconnu",IF(I310="","Statut manquant",IF(AND(I310&lt;&gt;"Terminée",I310&lt;&gt;"En cours",I310&lt;&gt;"À faire",I310&lt;&gt;"Annulée"),"Statut inconnu",IF(AND(E310="Préventif",F310=""),"Plan manquant (préventif)",IF(AND(F310&lt;&gt;"",ISNA(MATCH(F310,pl_num,0))),"Plan inconnu",IF(AND(F310&lt;&gt;"",IFERROR(INDEX(pl_eq,MATCH(F310,pl_num,0))&amp;"",C310)&lt;&gt;C310),"Plan d'un autre équipement",IF(AND(J310&lt;&gt;"",OR(NOT(ISNUMBER(J310)),N(J310)&lt;0)),"Compteur invalide",IF(OR(AND(K310&lt;&gt;"",OR(NOT(ISNUMBER(K310)),N(K310)&lt;0)),AND(L310&lt;&gt;"",OR(NOT(ISNUMBER(L310)),N(L310)&lt;0))),"Durée invalide",IF(OR(AND(N310&lt;&gt;"",OR(NOT(ISNUMBER(N310)),N(N310)&lt;0)),AND(P310&lt;&gt;"",OR(NOT(ISNUMBER(P310)),N(P310)&lt;0))),"Coût invalide",IF(AND(M310&lt;&gt;"",ISNA(MATCH(M310,tech_name,0))),"Technicien inconnu",IF(AND(I310="Terminée",S310&gt;p_today),"Terminée à une date future",IF(AND(I310="Terminée",V310=0),"Durée d'intervention manquante",IF(AND(I310="Terminée",E310="Préventif",T310=0,OR(IFERROR(INDEX(pl_trig,MATCH(F310,pl_num,0))&amp;"","")="Compteur",IFERROR(INDEX(pl_trig,MATCH(F310,pl_num,0))&amp;"","")="Au premier des deux")),"Compteur manquant (plan au compteur)","OK"))))))))))))))))))</f>
        <v/>
      </c>
      <c r="S310" s="67">
        <f>IF(AND(ISNUMBER(B310),N(B310)&gt;0),INT(B310),0)</f>
        <v>0.0</v>
      </c>
      <c r="T310" s="67">
        <f>IF(AND(ISNUMBER(J310),N(J310)&gt;=0),N(J310),0)</f>
        <v>0.0</v>
      </c>
      <c r="U310" s="67">
        <f>IF(AND(ISNUMBER(K310),N(K310)&gt;0),N(K310),0)</f>
        <v>0.0</v>
      </c>
      <c r="V310" s="67">
        <f>IF(AND(ISNUMBER(L310),N(L310)&gt;0),N(L310),0)</f>
        <v>0.0</v>
      </c>
      <c r="W310" s="67">
        <f>IF(AND(I310="Terminée",S310&gt;0,C310&lt;&gt;"",ISNUMBER(MATCH(C310,eq_code,0))),1,0)</f>
        <v>0.0</v>
      </c>
      <c r="X310" s="67">
        <f>IF(AND(W310=1,E310="Préventif"),1,0)</f>
        <v>0.0</v>
      </c>
      <c r="Y310" s="67">
        <f>IF(AND(ISNUMBER(N310),N(N310)&gt;0),N(N310),0)</f>
        <v>0.0</v>
      </c>
      <c r="Z310" s="67">
        <f>IF(AND(ISNUMBER(P310),N(P310)&gt;0),N(P310),0)</f>
        <v>0.0</v>
      </c>
    </row>
    <row r="311">
      <c r="A311" s="79" t="str">
        <f>IF(COUNTA(B311:C311,E311:G311,I311)=0,"","BI-"&amp;RIGHT("0000"&amp;(ROW()-5),4))</f>
        <v/>
      </c>
      <c r="B311" s="72" t="n"/>
      <c r="C311" s="66" t="n"/>
      <c r="D311" s="67" t="str">
        <f>IF(C311="","",IFERROR(INDEX(eq_des,MATCH(C311,eq_code,0))&amp;"","Équipement inconnu"))</f>
        <v/>
      </c>
      <c r="E311" s="68" t="n"/>
      <c r="F311" s="68" t="n"/>
      <c r="G311" s="66" t="n"/>
      <c r="H311" s="66" t="n"/>
      <c r="I311" s="68" t="n"/>
      <c r="J311" s="73" t="n"/>
      <c r="K311" s="71" t="n"/>
      <c r="L311" s="71" t="n"/>
      <c r="M311" s="66" t="n"/>
      <c r="N311" s="80" t="n"/>
      <c r="O311" s="81" t="str">
        <f>IF(A311="","",ROUND(V311*IFERROR(N(INDEX(tech_rate,MATCH(M311,tech_name,0))),0),2))</f>
        <v/>
      </c>
      <c r="P311" s="80" t="n"/>
      <c r="Q311" s="81" t="str">
        <f>IF(A311="","",ROUND(Y311+O311+Z311,2))</f>
        <v/>
      </c>
      <c r="R311" s="79" t="str">
        <f>IF(A311="","",IF(S311=0,"Date manquante ou invalide",IF(C311="","Équipement manquant",IF(ISNA(MATCH(C311,eq_code,0)),"Équipement inconnu",IF(E311="","Type manquant",IF(AND(E311&lt;&gt;"Préventif",E311&lt;&gt;"Correctif",E311&lt;&gt;"Amélioratif"),"Type inconnu",IF(I311="","Statut manquant",IF(AND(I311&lt;&gt;"Terminée",I311&lt;&gt;"En cours",I311&lt;&gt;"À faire",I311&lt;&gt;"Annulée"),"Statut inconnu",IF(AND(E311="Préventif",F311=""),"Plan manquant (préventif)",IF(AND(F311&lt;&gt;"",ISNA(MATCH(F311,pl_num,0))),"Plan inconnu",IF(AND(F311&lt;&gt;"",IFERROR(INDEX(pl_eq,MATCH(F311,pl_num,0))&amp;"",C311)&lt;&gt;C311),"Plan d'un autre équipement",IF(AND(J311&lt;&gt;"",OR(NOT(ISNUMBER(J311)),N(J311)&lt;0)),"Compteur invalide",IF(OR(AND(K311&lt;&gt;"",OR(NOT(ISNUMBER(K311)),N(K311)&lt;0)),AND(L311&lt;&gt;"",OR(NOT(ISNUMBER(L311)),N(L311)&lt;0))),"Durée invalide",IF(OR(AND(N311&lt;&gt;"",OR(NOT(ISNUMBER(N311)),N(N311)&lt;0)),AND(P311&lt;&gt;"",OR(NOT(ISNUMBER(P311)),N(P311)&lt;0))),"Coût invalide",IF(AND(M311&lt;&gt;"",ISNA(MATCH(M311,tech_name,0))),"Technicien inconnu",IF(AND(I311="Terminée",S311&gt;p_today),"Terminée à une date future",IF(AND(I311="Terminée",V311=0),"Durée d'intervention manquante",IF(AND(I311="Terminée",E311="Préventif",T311=0,OR(IFERROR(INDEX(pl_trig,MATCH(F311,pl_num,0))&amp;"","")="Compteur",IFERROR(INDEX(pl_trig,MATCH(F311,pl_num,0))&amp;"","")="Au premier des deux")),"Compteur manquant (plan au compteur)","OK"))))))))))))))))))</f>
        <v/>
      </c>
      <c r="S311" s="67">
        <f>IF(AND(ISNUMBER(B311),N(B311)&gt;0),INT(B311),0)</f>
        <v>0.0</v>
      </c>
      <c r="T311" s="67">
        <f>IF(AND(ISNUMBER(J311),N(J311)&gt;=0),N(J311),0)</f>
        <v>0.0</v>
      </c>
      <c r="U311" s="67">
        <f>IF(AND(ISNUMBER(K311),N(K311)&gt;0),N(K311),0)</f>
        <v>0.0</v>
      </c>
      <c r="V311" s="67">
        <f>IF(AND(ISNUMBER(L311),N(L311)&gt;0),N(L311),0)</f>
        <v>0.0</v>
      </c>
      <c r="W311" s="67">
        <f>IF(AND(I311="Terminée",S311&gt;0,C311&lt;&gt;"",ISNUMBER(MATCH(C311,eq_code,0))),1,0)</f>
        <v>0.0</v>
      </c>
      <c r="X311" s="67">
        <f>IF(AND(W311=1,E311="Préventif"),1,0)</f>
        <v>0.0</v>
      </c>
      <c r="Y311" s="67">
        <f>IF(AND(ISNUMBER(N311),N(N311)&gt;0),N(N311),0)</f>
        <v>0.0</v>
      </c>
      <c r="Z311" s="67">
        <f>IF(AND(ISNUMBER(P311),N(P311)&gt;0),N(P311),0)</f>
        <v>0.0</v>
      </c>
    </row>
    <row r="312">
      <c r="A312" s="79" t="str">
        <f>IF(COUNTA(B312:C312,E312:G312,I312)=0,"","BI-"&amp;RIGHT("0000"&amp;(ROW()-5),4))</f>
        <v/>
      </c>
      <c r="B312" s="72" t="n"/>
      <c r="C312" s="66" t="n"/>
      <c r="D312" s="67" t="str">
        <f>IF(C312="","",IFERROR(INDEX(eq_des,MATCH(C312,eq_code,0))&amp;"","Équipement inconnu"))</f>
        <v/>
      </c>
      <c r="E312" s="68" t="n"/>
      <c r="F312" s="68" t="n"/>
      <c r="G312" s="66" t="n"/>
      <c r="H312" s="66" t="n"/>
      <c r="I312" s="68" t="n"/>
      <c r="J312" s="73" t="n"/>
      <c r="K312" s="71" t="n"/>
      <c r="L312" s="71" t="n"/>
      <c r="M312" s="66" t="n"/>
      <c r="N312" s="80" t="n"/>
      <c r="O312" s="81" t="str">
        <f>IF(A312="","",ROUND(V312*IFERROR(N(INDEX(tech_rate,MATCH(M312,tech_name,0))),0),2))</f>
        <v/>
      </c>
      <c r="P312" s="80" t="n"/>
      <c r="Q312" s="81" t="str">
        <f>IF(A312="","",ROUND(Y312+O312+Z312,2))</f>
        <v/>
      </c>
      <c r="R312" s="79" t="str">
        <f>IF(A312="","",IF(S312=0,"Date manquante ou invalide",IF(C312="","Équipement manquant",IF(ISNA(MATCH(C312,eq_code,0)),"Équipement inconnu",IF(E312="","Type manquant",IF(AND(E312&lt;&gt;"Préventif",E312&lt;&gt;"Correctif",E312&lt;&gt;"Amélioratif"),"Type inconnu",IF(I312="","Statut manquant",IF(AND(I312&lt;&gt;"Terminée",I312&lt;&gt;"En cours",I312&lt;&gt;"À faire",I312&lt;&gt;"Annulée"),"Statut inconnu",IF(AND(E312="Préventif",F312=""),"Plan manquant (préventif)",IF(AND(F312&lt;&gt;"",ISNA(MATCH(F312,pl_num,0))),"Plan inconnu",IF(AND(F312&lt;&gt;"",IFERROR(INDEX(pl_eq,MATCH(F312,pl_num,0))&amp;"",C312)&lt;&gt;C312),"Plan d'un autre équipement",IF(AND(J312&lt;&gt;"",OR(NOT(ISNUMBER(J312)),N(J312)&lt;0)),"Compteur invalide",IF(OR(AND(K312&lt;&gt;"",OR(NOT(ISNUMBER(K312)),N(K312)&lt;0)),AND(L312&lt;&gt;"",OR(NOT(ISNUMBER(L312)),N(L312)&lt;0))),"Durée invalide",IF(OR(AND(N312&lt;&gt;"",OR(NOT(ISNUMBER(N312)),N(N312)&lt;0)),AND(P312&lt;&gt;"",OR(NOT(ISNUMBER(P312)),N(P312)&lt;0))),"Coût invalide",IF(AND(M312&lt;&gt;"",ISNA(MATCH(M312,tech_name,0))),"Technicien inconnu",IF(AND(I312="Terminée",S312&gt;p_today),"Terminée à une date future",IF(AND(I312="Terminée",V312=0),"Durée d'intervention manquante",IF(AND(I312="Terminée",E312="Préventif",T312=0,OR(IFERROR(INDEX(pl_trig,MATCH(F312,pl_num,0))&amp;"","")="Compteur",IFERROR(INDEX(pl_trig,MATCH(F312,pl_num,0))&amp;"","")="Au premier des deux")),"Compteur manquant (plan au compteur)","OK"))))))))))))))))))</f>
        <v/>
      </c>
      <c r="S312" s="67">
        <f>IF(AND(ISNUMBER(B312),N(B312)&gt;0),INT(B312),0)</f>
        <v>0.0</v>
      </c>
      <c r="T312" s="67">
        <f>IF(AND(ISNUMBER(J312),N(J312)&gt;=0),N(J312),0)</f>
        <v>0.0</v>
      </c>
      <c r="U312" s="67">
        <f>IF(AND(ISNUMBER(K312),N(K312)&gt;0),N(K312),0)</f>
        <v>0.0</v>
      </c>
      <c r="V312" s="67">
        <f>IF(AND(ISNUMBER(L312),N(L312)&gt;0),N(L312),0)</f>
        <v>0.0</v>
      </c>
      <c r="W312" s="67">
        <f>IF(AND(I312="Terminée",S312&gt;0,C312&lt;&gt;"",ISNUMBER(MATCH(C312,eq_code,0))),1,0)</f>
        <v>0.0</v>
      </c>
      <c r="X312" s="67">
        <f>IF(AND(W312=1,E312="Préventif"),1,0)</f>
        <v>0.0</v>
      </c>
      <c r="Y312" s="67">
        <f>IF(AND(ISNUMBER(N312),N(N312)&gt;0),N(N312),0)</f>
        <v>0.0</v>
      </c>
      <c r="Z312" s="67">
        <f>IF(AND(ISNUMBER(P312),N(P312)&gt;0),N(P312),0)</f>
        <v>0.0</v>
      </c>
    </row>
    <row r="313">
      <c r="A313" s="79" t="str">
        <f>IF(COUNTA(B313:C313,E313:G313,I313)=0,"","BI-"&amp;RIGHT("0000"&amp;(ROW()-5),4))</f>
        <v/>
      </c>
      <c r="B313" s="72" t="n"/>
      <c r="C313" s="66" t="n"/>
      <c r="D313" s="67" t="str">
        <f>IF(C313="","",IFERROR(INDEX(eq_des,MATCH(C313,eq_code,0))&amp;"","Équipement inconnu"))</f>
        <v/>
      </c>
      <c r="E313" s="68" t="n"/>
      <c r="F313" s="68" t="n"/>
      <c r="G313" s="66" t="n"/>
      <c r="H313" s="66" t="n"/>
      <c r="I313" s="68" t="n"/>
      <c r="J313" s="73" t="n"/>
      <c r="K313" s="71" t="n"/>
      <c r="L313" s="71" t="n"/>
      <c r="M313" s="66" t="n"/>
      <c r="N313" s="80" t="n"/>
      <c r="O313" s="81" t="str">
        <f>IF(A313="","",ROUND(V313*IFERROR(N(INDEX(tech_rate,MATCH(M313,tech_name,0))),0),2))</f>
        <v/>
      </c>
      <c r="P313" s="80" t="n"/>
      <c r="Q313" s="81" t="str">
        <f>IF(A313="","",ROUND(Y313+O313+Z313,2))</f>
        <v/>
      </c>
      <c r="R313" s="79" t="str">
        <f>IF(A313="","",IF(S313=0,"Date manquante ou invalide",IF(C313="","Équipement manquant",IF(ISNA(MATCH(C313,eq_code,0)),"Équipement inconnu",IF(E313="","Type manquant",IF(AND(E313&lt;&gt;"Préventif",E313&lt;&gt;"Correctif",E313&lt;&gt;"Amélioratif"),"Type inconnu",IF(I313="","Statut manquant",IF(AND(I313&lt;&gt;"Terminée",I313&lt;&gt;"En cours",I313&lt;&gt;"À faire",I313&lt;&gt;"Annulée"),"Statut inconnu",IF(AND(E313="Préventif",F313=""),"Plan manquant (préventif)",IF(AND(F313&lt;&gt;"",ISNA(MATCH(F313,pl_num,0))),"Plan inconnu",IF(AND(F313&lt;&gt;"",IFERROR(INDEX(pl_eq,MATCH(F313,pl_num,0))&amp;"",C313)&lt;&gt;C313),"Plan d'un autre équipement",IF(AND(J313&lt;&gt;"",OR(NOT(ISNUMBER(J313)),N(J313)&lt;0)),"Compteur invalide",IF(OR(AND(K313&lt;&gt;"",OR(NOT(ISNUMBER(K313)),N(K313)&lt;0)),AND(L313&lt;&gt;"",OR(NOT(ISNUMBER(L313)),N(L313)&lt;0))),"Durée invalide",IF(OR(AND(N313&lt;&gt;"",OR(NOT(ISNUMBER(N313)),N(N313)&lt;0)),AND(P313&lt;&gt;"",OR(NOT(ISNUMBER(P313)),N(P313)&lt;0))),"Coût invalide",IF(AND(M313&lt;&gt;"",ISNA(MATCH(M313,tech_name,0))),"Technicien inconnu",IF(AND(I313="Terminée",S313&gt;p_today),"Terminée à une date future",IF(AND(I313="Terminée",V313=0),"Durée d'intervention manquante",IF(AND(I313="Terminée",E313="Préventif",T313=0,OR(IFERROR(INDEX(pl_trig,MATCH(F313,pl_num,0))&amp;"","")="Compteur",IFERROR(INDEX(pl_trig,MATCH(F313,pl_num,0))&amp;"","")="Au premier des deux")),"Compteur manquant (plan au compteur)","OK"))))))))))))))))))</f>
        <v/>
      </c>
      <c r="S313" s="67">
        <f>IF(AND(ISNUMBER(B313),N(B313)&gt;0),INT(B313),0)</f>
        <v>0.0</v>
      </c>
      <c r="T313" s="67">
        <f>IF(AND(ISNUMBER(J313),N(J313)&gt;=0),N(J313),0)</f>
        <v>0.0</v>
      </c>
      <c r="U313" s="67">
        <f>IF(AND(ISNUMBER(K313),N(K313)&gt;0),N(K313),0)</f>
        <v>0.0</v>
      </c>
      <c r="V313" s="67">
        <f>IF(AND(ISNUMBER(L313),N(L313)&gt;0),N(L313),0)</f>
        <v>0.0</v>
      </c>
      <c r="W313" s="67">
        <f>IF(AND(I313="Terminée",S313&gt;0,C313&lt;&gt;"",ISNUMBER(MATCH(C313,eq_code,0))),1,0)</f>
        <v>0.0</v>
      </c>
      <c r="X313" s="67">
        <f>IF(AND(W313=1,E313="Préventif"),1,0)</f>
        <v>0.0</v>
      </c>
      <c r="Y313" s="67">
        <f>IF(AND(ISNUMBER(N313),N(N313)&gt;0),N(N313),0)</f>
        <v>0.0</v>
      </c>
      <c r="Z313" s="67">
        <f>IF(AND(ISNUMBER(P313),N(P313)&gt;0),N(P313),0)</f>
        <v>0.0</v>
      </c>
    </row>
    <row r="314">
      <c r="A314" s="79" t="str">
        <f>IF(COUNTA(B314:C314,E314:G314,I314)=0,"","BI-"&amp;RIGHT("0000"&amp;(ROW()-5),4))</f>
        <v/>
      </c>
      <c r="B314" s="72" t="n"/>
      <c r="C314" s="66" t="n"/>
      <c r="D314" s="67" t="str">
        <f>IF(C314="","",IFERROR(INDEX(eq_des,MATCH(C314,eq_code,0))&amp;"","Équipement inconnu"))</f>
        <v/>
      </c>
      <c r="E314" s="68" t="n"/>
      <c r="F314" s="68" t="n"/>
      <c r="G314" s="66" t="n"/>
      <c r="H314" s="66" t="n"/>
      <c r="I314" s="68" t="n"/>
      <c r="J314" s="73" t="n"/>
      <c r="K314" s="71" t="n"/>
      <c r="L314" s="71" t="n"/>
      <c r="M314" s="66" t="n"/>
      <c r="N314" s="80" t="n"/>
      <c r="O314" s="81" t="str">
        <f>IF(A314="","",ROUND(V314*IFERROR(N(INDEX(tech_rate,MATCH(M314,tech_name,0))),0),2))</f>
        <v/>
      </c>
      <c r="P314" s="80" t="n"/>
      <c r="Q314" s="81" t="str">
        <f>IF(A314="","",ROUND(Y314+O314+Z314,2))</f>
        <v/>
      </c>
      <c r="R314" s="79" t="str">
        <f>IF(A314="","",IF(S314=0,"Date manquante ou invalide",IF(C314="","Équipement manquant",IF(ISNA(MATCH(C314,eq_code,0)),"Équipement inconnu",IF(E314="","Type manquant",IF(AND(E314&lt;&gt;"Préventif",E314&lt;&gt;"Correctif",E314&lt;&gt;"Amélioratif"),"Type inconnu",IF(I314="","Statut manquant",IF(AND(I314&lt;&gt;"Terminée",I314&lt;&gt;"En cours",I314&lt;&gt;"À faire",I314&lt;&gt;"Annulée"),"Statut inconnu",IF(AND(E314="Préventif",F314=""),"Plan manquant (préventif)",IF(AND(F314&lt;&gt;"",ISNA(MATCH(F314,pl_num,0))),"Plan inconnu",IF(AND(F314&lt;&gt;"",IFERROR(INDEX(pl_eq,MATCH(F314,pl_num,0))&amp;"",C314)&lt;&gt;C314),"Plan d'un autre équipement",IF(AND(J314&lt;&gt;"",OR(NOT(ISNUMBER(J314)),N(J314)&lt;0)),"Compteur invalide",IF(OR(AND(K314&lt;&gt;"",OR(NOT(ISNUMBER(K314)),N(K314)&lt;0)),AND(L314&lt;&gt;"",OR(NOT(ISNUMBER(L314)),N(L314)&lt;0))),"Durée invalide",IF(OR(AND(N314&lt;&gt;"",OR(NOT(ISNUMBER(N314)),N(N314)&lt;0)),AND(P314&lt;&gt;"",OR(NOT(ISNUMBER(P314)),N(P314)&lt;0))),"Coût invalide",IF(AND(M314&lt;&gt;"",ISNA(MATCH(M314,tech_name,0))),"Technicien inconnu",IF(AND(I314="Terminée",S314&gt;p_today),"Terminée à une date future",IF(AND(I314="Terminée",V314=0),"Durée d'intervention manquante",IF(AND(I314="Terminée",E314="Préventif",T314=0,OR(IFERROR(INDEX(pl_trig,MATCH(F314,pl_num,0))&amp;"","")="Compteur",IFERROR(INDEX(pl_trig,MATCH(F314,pl_num,0))&amp;"","")="Au premier des deux")),"Compteur manquant (plan au compteur)","OK"))))))))))))))))))</f>
        <v/>
      </c>
      <c r="S314" s="67">
        <f>IF(AND(ISNUMBER(B314),N(B314)&gt;0),INT(B314),0)</f>
        <v>0.0</v>
      </c>
      <c r="T314" s="67">
        <f>IF(AND(ISNUMBER(J314),N(J314)&gt;=0),N(J314),0)</f>
        <v>0.0</v>
      </c>
      <c r="U314" s="67">
        <f>IF(AND(ISNUMBER(K314),N(K314)&gt;0),N(K314),0)</f>
        <v>0.0</v>
      </c>
      <c r="V314" s="67">
        <f>IF(AND(ISNUMBER(L314),N(L314)&gt;0),N(L314),0)</f>
        <v>0.0</v>
      </c>
      <c r="W314" s="67">
        <f>IF(AND(I314="Terminée",S314&gt;0,C314&lt;&gt;"",ISNUMBER(MATCH(C314,eq_code,0))),1,0)</f>
        <v>0.0</v>
      </c>
      <c r="X314" s="67">
        <f>IF(AND(W314=1,E314="Préventif"),1,0)</f>
        <v>0.0</v>
      </c>
      <c r="Y314" s="67">
        <f>IF(AND(ISNUMBER(N314),N(N314)&gt;0),N(N314),0)</f>
        <v>0.0</v>
      </c>
      <c r="Z314" s="67">
        <f>IF(AND(ISNUMBER(P314),N(P314)&gt;0),N(P314),0)</f>
        <v>0.0</v>
      </c>
    </row>
    <row r="315">
      <c r="A315" s="79" t="str">
        <f>IF(COUNTA(B315:C315,E315:G315,I315)=0,"","BI-"&amp;RIGHT("0000"&amp;(ROW()-5),4))</f>
        <v/>
      </c>
      <c r="B315" s="72" t="n"/>
      <c r="C315" s="66" t="n"/>
      <c r="D315" s="67" t="str">
        <f>IF(C315="","",IFERROR(INDEX(eq_des,MATCH(C315,eq_code,0))&amp;"","Équipement inconnu"))</f>
        <v/>
      </c>
      <c r="E315" s="68" t="n"/>
      <c r="F315" s="68" t="n"/>
      <c r="G315" s="66" t="n"/>
      <c r="H315" s="66" t="n"/>
      <c r="I315" s="68" t="n"/>
      <c r="J315" s="73" t="n"/>
      <c r="K315" s="71" t="n"/>
      <c r="L315" s="71" t="n"/>
      <c r="M315" s="66" t="n"/>
      <c r="N315" s="80" t="n"/>
      <c r="O315" s="81" t="str">
        <f>IF(A315="","",ROUND(V315*IFERROR(N(INDEX(tech_rate,MATCH(M315,tech_name,0))),0),2))</f>
        <v/>
      </c>
      <c r="P315" s="80" t="n"/>
      <c r="Q315" s="81" t="str">
        <f>IF(A315="","",ROUND(Y315+O315+Z315,2))</f>
        <v/>
      </c>
      <c r="R315" s="79" t="str">
        <f>IF(A315="","",IF(S315=0,"Date manquante ou invalide",IF(C315="","Équipement manquant",IF(ISNA(MATCH(C315,eq_code,0)),"Équipement inconnu",IF(E315="","Type manquant",IF(AND(E315&lt;&gt;"Préventif",E315&lt;&gt;"Correctif",E315&lt;&gt;"Amélioratif"),"Type inconnu",IF(I315="","Statut manquant",IF(AND(I315&lt;&gt;"Terminée",I315&lt;&gt;"En cours",I315&lt;&gt;"À faire",I315&lt;&gt;"Annulée"),"Statut inconnu",IF(AND(E315="Préventif",F315=""),"Plan manquant (préventif)",IF(AND(F315&lt;&gt;"",ISNA(MATCH(F315,pl_num,0))),"Plan inconnu",IF(AND(F315&lt;&gt;"",IFERROR(INDEX(pl_eq,MATCH(F315,pl_num,0))&amp;"",C315)&lt;&gt;C315),"Plan d'un autre équipement",IF(AND(J315&lt;&gt;"",OR(NOT(ISNUMBER(J315)),N(J315)&lt;0)),"Compteur invalide",IF(OR(AND(K315&lt;&gt;"",OR(NOT(ISNUMBER(K315)),N(K315)&lt;0)),AND(L315&lt;&gt;"",OR(NOT(ISNUMBER(L315)),N(L315)&lt;0))),"Durée invalide",IF(OR(AND(N315&lt;&gt;"",OR(NOT(ISNUMBER(N315)),N(N315)&lt;0)),AND(P315&lt;&gt;"",OR(NOT(ISNUMBER(P315)),N(P315)&lt;0))),"Coût invalide",IF(AND(M315&lt;&gt;"",ISNA(MATCH(M315,tech_name,0))),"Technicien inconnu",IF(AND(I315="Terminée",S315&gt;p_today),"Terminée à une date future",IF(AND(I315="Terminée",V315=0),"Durée d'intervention manquante",IF(AND(I315="Terminée",E315="Préventif",T315=0,OR(IFERROR(INDEX(pl_trig,MATCH(F315,pl_num,0))&amp;"","")="Compteur",IFERROR(INDEX(pl_trig,MATCH(F315,pl_num,0))&amp;"","")="Au premier des deux")),"Compteur manquant (plan au compteur)","OK"))))))))))))))))))</f>
        <v/>
      </c>
      <c r="S315" s="67">
        <f>IF(AND(ISNUMBER(B315),N(B315)&gt;0),INT(B315),0)</f>
        <v>0.0</v>
      </c>
      <c r="T315" s="67">
        <f>IF(AND(ISNUMBER(J315),N(J315)&gt;=0),N(J315),0)</f>
        <v>0.0</v>
      </c>
      <c r="U315" s="67">
        <f>IF(AND(ISNUMBER(K315),N(K315)&gt;0),N(K315),0)</f>
        <v>0.0</v>
      </c>
      <c r="V315" s="67">
        <f>IF(AND(ISNUMBER(L315),N(L315)&gt;0),N(L315),0)</f>
        <v>0.0</v>
      </c>
      <c r="W315" s="67">
        <f>IF(AND(I315="Terminée",S315&gt;0,C315&lt;&gt;"",ISNUMBER(MATCH(C315,eq_code,0))),1,0)</f>
        <v>0.0</v>
      </c>
      <c r="X315" s="67">
        <f>IF(AND(W315=1,E315="Préventif"),1,0)</f>
        <v>0.0</v>
      </c>
      <c r="Y315" s="67">
        <f>IF(AND(ISNUMBER(N315),N(N315)&gt;0),N(N315),0)</f>
        <v>0.0</v>
      </c>
      <c r="Z315" s="67">
        <f>IF(AND(ISNUMBER(P315),N(P315)&gt;0),N(P315),0)</f>
        <v>0.0</v>
      </c>
    </row>
    <row r="316">
      <c r="A316" s="79" t="str">
        <f>IF(COUNTA(B316:C316,E316:G316,I316)=0,"","BI-"&amp;RIGHT("0000"&amp;(ROW()-5),4))</f>
        <v/>
      </c>
      <c r="B316" s="72" t="n"/>
      <c r="C316" s="66" t="n"/>
      <c r="D316" s="67" t="str">
        <f>IF(C316="","",IFERROR(INDEX(eq_des,MATCH(C316,eq_code,0))&amp;"","Équipement inconnu"))</f>
        <v/>
      </c>
      <c r="E316" s="68" t="n"/>
      <c r="F316" s="68" t="n"/>
      <c r="G316" s="66" t="n"/>
      <c r="H316" s="66" t="n"/>
      <c r="I316" s="68" t="n"/>
      <c r="J316" s="73" t="n"/>
      <c r="K316" s="71" t="n"/>
      <c r="L316" s="71" t="n"/>
      <c r="M316" s="66" t="n"/>
      <c r="N316" s="80" t="n"/>
      <c r="O316" s="81" t="str">
        <f>IF(A316="","",ROUND(V316*IFERROR(N(INDEX(tech_rate,MATCH(M316,tech_name,0))),0),2))</f>
        <v/>
      </c>
      <c r="P316" s="80" t="n"/>
      <c r="Q316" s="81" t="str">
        <f>IF(A316="","",ROUND(Y316+O316+Z316,2))</f>
        <v/>
      </c>
      <c r="R316" s="79" t="str">
        <f>IF(A316="","",IF(S316=0,"Date manquante ou invalide",IF(C316="","Équipement manquant",IF(ISNA(MATCH(C316,eq_code,0)),"Équipement inconnu",IF(E316="","Type manquant",IF(AND(E316&lt;&gt;"Préventif",E316&lt;&gt;"Correctif",E316&lt;&gt;"Amélioratif"),"Type inconnu",IF(I316="","Statut manquant",IF(AND(I316&lt;&gt;"Terminée",I316&lt;&gt;"En cours",I316&lt;&gt;"À faire",I316&lt;&gt;"Annulée"),"Statut inconnu",IF(AND(E316="Préventif",F316=""),"Plan manquant (préventif)",IF(AND(F316&lt;&gt;"",ISNA(MATCH(F316,pl_num,0))),"Plan inconnu",IF(AND(F316&lt;&gt;"",IFERROR(INDEX(pl_eq,MATCH(F316,pl_num,0))&amp;"",C316)&lt;&gt;C316),"Plan d'un autre équipement",IF(AND(J316&lt;&gt;"",OR(NOT(ISNUMBER(J316)),N(J316)&lt;0)),"Compteur invalide",IF(OR(AND(K316&lt;&gt;"",OR(NOT(ISNUMBER(K316)),N(K316)&lt;0)),AND(L316&lt;&gt;"",OR(NOT(ISNUMBER(L316)),N(L316)&lt;0))),"Durée invalide",IF(OR(AND(N316&lt;&gt;"",OR(NOT(ISNUMBER(N316)),N(N316)&lt;0)),AND(P316&lt;&gt;"",OR(NOT(ISNUMBER(P316)),N(P316)&lt;0))),"Coût invalide",IF(AND(M316&lt;&gt;"",ISNA(MATCH(M316,tech_name,0))),"Technicien inconnu",IF(AND(I316="Terminée",S316&gt;p_today),"Terminée à une date future",IF(AND(I316="Terminée",V316=0),"Durée d'intervention manquante",IF(AND(I316="Terminée",E316="Préventif",T316=0,OR(IFERROR(INDEX(pl_trig,MATCH(F316,pl_num,0))&amp;"","")="Compteur",IFERROR(INDEX(pl_trig,MATCH(F316,pl_num,0))&amp;"","")="Au premier des deux")),"Compteur manquant (plan au compteur)","OK"))))))))))))))))))</f>
        <v/>
      </c>
      <c r="S316" s="67">
        <f>IF(AND(ISNUMBER(B316),N(B316)&gt;0),INT(B316),0)</f>
        <v>0.0</v>
      </c>
      <c r="T316" s="67">
        <f>IF(AND(ISNUMBER(J316),N(J316)&gt;=0),N(J316),0)</f>
        <v>0.0</v>
      </c>
      <c r="U316" s="67">
        <f>IF(AND(ISNUMBER(K316),N(K316)&gt;0),N(K316),0)</f>
        <v>0.0</v>
      </c>
      <c r="V316" s="67">
        <f>IF(AND(ISNUMBER(L316),N(L316)&gt;0),N(L316),0)</f>
        <v>0.0</v>
      </c>
      <c r="W316" s="67">
        <f>IF(AND(I316="Terminée",S316&gt;0,C316&lt;&gt;"",ISNUMBER(MATCH(C316,eq_code,0))),1,0)</f>
        <v>0.0</v>
      </c>
      <c r="X316" s="67">
        <f>IF(AND(W316=1,E316="Préventif"),1,0)</f>
        <v>0.0</v>
      </c>
      <c r="Y316" s="67">
        <f>IF(AND(ISNUMBER(N316),N(N316)&gt;0),N(N316),0)</f>
        <v>0.0</v>
      </c>
      <c r="Z316" s="67">
        <f>IF(AND(ISNUMBER(P316),N(P316)&gt;0),N(P316),0)</f>
        <v>0.0</v>
      </c>
    </row>
    <row r="317">
      <c r="A317" s="79" t="str">
        <f>IF(COUNTA(B317:C317,E317:G317,I317)=0,"","BI-"&amp;RIGHT("0000"&amp;(ROW()-5),4))</f>
        <v/>
      </c>
      <c r="B317" s="72" t="n"/>
      <c r="C317" s="66" t="n"/>
      <c r="D317" s="67" t="str">
        <f>IF(C317="","",IFERROR(INDEX(eq_des,MATCH(C317,eq_code,0))&amp;"","Équipement inconnu"))</f>
        <v/>
      </c>
      <c r="E317" s="68" t="n"/>
      <c r="F317" s="68" t="n"/>
      <c r="G317" s="66" t="n"/>
      <c r="H317" s="66" t="n"/>
      <c r="I317" s="68" t="n"/>
      <c r="J317" s="73" t="n"/>
      <c r="K317" s="71" t="n"/>
      <c r="L317" s="71" t="n"/>
      <c r="M317" s="66" t="n"/>
      <c r="N317" s="80" t="n"/>
      <c r="O317" s="81" t="str">
        <f>IF(A317="","",ROUND(V317*IFERROR(N(INDEX(tech_rate,MATCH(M317,tech_name,0))),0),2))</f>
        <v/>
      </c>
      <c r="P317" s="80" t="n"/>
      <c r="Q317" s="81" t="str">
        <f>IF(A317="","",ROUND(Y317+O317+Z317,2))</f>
        <v/>
      </c>
      <c r="R317" s="79" t="str">
        <f>IF(A317="","",IF(S317=0,"Date manquante ou invalide",IF(C317="","Équipement manquant",IF(ISNA(MATCH(C317,eq_code,0)),"Équipement inconnu",IF(E317="","Type manquant",IF(AND(E317&lt;&gt;"Préventif",E317&lt;&gt;"Correctif",E317&lt;&gt;"Amélioratif"),"Type inconnu",IF(I317="","Statut manquant",IF(AND(I317&lt;&gt;"Terminée",I317&lt;&gt;"En cours",I317&lt;&gt;"À faire",I317&lt;&gt;"Annulée"),"Statut inconnu",IF(AND(E317="Préventif",F317=""),"Plan manquant (préventif)",IF(AND(F317&lt;&gt;"",ISNA(MATCH(F317,pl_num,0))),"Plan inconnu",IF(AND(F317&lt;&gt;"",IFERROR(INDEX(pl_eq,MATCH(F317,pl_num,0))&amp;"",C317)&lt;&gt;C317),"Plan d'un autre équipement",IF(AND(J317&lt;&gt;"",OR(NOT(ISNUMBER(J317)),N(J317)&lt;0)),"Compteur invalide",IF(OR(AND(K317&lt;&gt;"",OR(NOT(ISNUMBER(K317)),N(K317)&lt;0)),AND(L317&lt;&gt;"",OR(NOT(ISNUMBER(L317)),N(L317)&lt;0))),"Durée invalide",IF(OR(AND(N317&lt;&gt;"",OR(NOT(ISNUMBER(N317)),N(N317)&lt;0)),AND(P317&lt;&gt;"",OR(NOT(ISNUMBER(P317)),N(P317)&lt;0))),"Coût invalide",IF(AND(M317&lt;&gt;"",ISNA(MATCH(M317,tech_name,0))),"Technicien inconnu",IF(AND(I317="Terminée",S317&gt;p_today),"Terminée à une date future",IF(AND(I317="Terminée",V317=0),"Durée d'intervention manquante",IF(AND(I317="Terminée",E317="Préventif",T317=0,OR(IFERROR(INDEX(pl_trig,MATCH(F317,pl_num,0))&amp;"","")="Compteur",IFERROR(INDEX(pl_trig,MATCH(F317,pl_num,0))&amp;"","")="Au premier des deux")),"Compteur manquant (plan au compteur)","OK"))))))))))))))))))</f>
        <v/>
      </c>
      <c r="S317" s="67">
        <f>IF(AND(ISNUMBER(B317),N(B317)&gt;0),INT(B317),0)</f>
        <v>0.0</v>
      </c>
      <c r="T317" s="67">
        <f>IF(AND(ISNUMBER(J317),N(J317)&gt;=0),N(J317),0)</f>
        <v>0.0</v>
      </c>
      <c r="U317" s="67">
        <f>IF(AND(ISNUMBER(K317),N(K317)&gt;0),N(K317),0)</f>
        <v>0.0</v>
      </c>
      <c r="V317" s="67">
        <f>IF(AND(ISNUMBER(L317),N(L317)&gt;0),N(L317),0)</f>
        <v>0.0</v>
      </c>
      <c r="W317" s="67">
        <f>IF(AND(I317="Terminée",S317&gt;0,C317&lt;&gt;"",ISNUMBER(MATCH(C317,eq_code,0))),1,0)</f>
        <v>0.0</v>
      </c>
      <c r="X317" s="67">
        <f>IF(AND(W317=1,E317="Préventif"),1,0)</f>
        <v>0.0</v>
      </c>
      <c r="Y317" s="67">
        <f>IF(AND(ISNUMBER(N317),N(N317)&gt;0),N(N317),0)</f>
        <v>0.0</v>
      </c>
      <c r="Z317" s="67">
        <f>IF(AND(ISNUMBER(P317),N(P317)&gt;0),N(P317),0)</f>
        <v>0.0</v>
      </c>
    </row>
    <row r="318">
      <c r="A318" s="79" t="str">
        <f>IF(COUNTA(B318:C318,E318:G318,I318)=0,"","BI-"&amp;RIGHT("0000"&amp;(ROW()-5),4))</f>
        <v/>
      </c>
      <c r="B318" s="72" t="n"/>
      <c r="C318" s="66" t="n"/>
      <c r="D318" s="67" t="str">
        <f>IF(C318="","",IFERROR(INDEX(eq_des,MATCH(C318,eq_code,0))&amp;"","Équipement inconnu"))</f>
        <v/>
      </c>
      <c r="E318" s="68" t="n"/>
      <c r="F318" s="68" t="n"/>
      <c r="G318" s="66" t="n"/>
      <c r="H318" s="66" t="n"/>
      <c r="I318" s="68" t="n"/>
      <c r="J318" s="73" t="n"/>
      <c r="K318" s="71" t="n"/>
      <c r="L318" s="71" t="n"/>
      <c r="M318" s="66" t="n"/>
      <c r="N318" s="80" t="n"/>
      <c r="O318" s="81" t="str">
        <f>IF(A318="","",ROUND(V318*IFERROR(N(INDEX(tech_rate,MATCH(M318,tech_name,0))),0),2))</f>
        <v/>
      </c>
      <c r="P318" s="80" t="n"/>
      <c r="Q318" s="81" t="str">
        <f>IF(A318="","",ROUND(Y318+O318+Z318,2))</f>
        <v/>
      </c>
      <c r="R318" s="79" t="str">
        <f>IF(A318="","",IF(S318=0,"Date manquante ou invalide",IF(C318="","Équipement manquant",IF(ISNA(MATCH(C318,eq_code,0)),"Équipement inconnu",IF(E318="","Type manquant",IF(AND(E318&lt;&gt;"Préventif",E318&lt;&gt;"Correctif",E318&lt;&gt;"Amélioratif"),"Type inconnu",IF(I318="","Statut manquant",IF(AND(I318&lt;&gt;"Terminée",I318&lt;&gt;"En cours",I318&lt;&gt;"À faire",I318&lt;&gt;"Annulée"),"Statut inconnu",IF(AND(E318="Préventif",F318=""),"Plan manquant (préventif)",IF(AND(F318&lt;&gt;"",ISNA(MATCH(F318,pl_num,0))),"Plan inconnu",IF(AND(F318&lt;&gt;"",IFERROR(INDEX(pl_eq,MATCH(F318,pl_num,0))&amp;"",C318)&lt;&gt;C318),"Plan d'un autre équipement",IF(AND(J318&lt;&gt;"",OR(NOT(ISNUMBER(J318)),N(J318)&lt;0)),"Compteur invalide",IF(OR(AND(K318&lt;&gt;"",OR(NOT(ISNUMBER(K318)),N(K318)&lt;0)),AND(L318&lt;&gt;"",OR(NOT(ISNUMBER(L318)),N(L318)&lt;0))),"Durée invalide",IF(OR(AND(N318&lt;&gt;"",OR(NOT(ISNUMBER(N318)),N(N318)&lt;0)),AND(P318&lt;&gt;"",OR(NOT(ISNUMBER(P318)),N(P318)&lt;0))),"Coût invalide",IF(AND(M318&lt;&gt;"",ISNA(MATCH(M318,tech_name,0))),"Technicien inconnu",IF(AND(I318="Terminée",S318&gt;p_today),"Terminée à une date future",IF(AND(I318="Terminée",V318=0),"Durée d'intervention manquante",IF(AND(I318="Terminée",E318="Préventif",T318=0,OR(IFERROR(INDEX(pl_trig,MATCH(F318,pl_num,0))&amp;"","")="Compteur",IFERROR(INDEX(pl_trig,MATCH(F318,pl_num,0))&amp;"","")="Au premier des deux")),"Compteur manquant (plan au compteur)","OK"))))))))))))))))))</f>
        <v/>
      </c>
      <c r="S318" s="67">
        <f>IF(AND(ISNUMBER(B318),N(B318)&gt;0),INT(B318),0)</f>
        <v>0.0</v>
      </c>
      <c r="T318" s="67">
        <f>IF(AND(ISNUMBER(J318),N(J318)&gt;=0),N(J318),0)</f>
        <v>0.0</v>
      </c>
      <c r="U318" s="67">
        <f>IF(AND(ISNUMBER(K318),N(K318)&gt;0),N(K318),0)</f>
        <v>0.0</v>
      </c>
      <c r="V318" s="67">
        <f>IF(AND(ISNUMBER(L318),N(L318)&gt;0),N(L318),0)</f>
        <v>0.0</v>
      </c>
      <c r="W318" s="67">
        <f>IF(AND(I318="Terminée",S318&gt;0,C318&lt;&gt;"",ISNUMBER(MATCH(C318,eq_code,0))),1,0)</f>
        <v>0.0</v>
      </c>
      <c r="X318" s="67">
        <f>IF(AND(W318=1,E318="Préventif"),1,0)</f>
        <v>0.0</v>
      </c>
      <c r="Y318" s="67">
        <f>IF(AND(ISNUMBER(N318),N(N318)&gt;0),N(N318),0)</f>
        <v>0.0</v>
      </c>
      <c r="Z318" s="67">
        <f>IF(AND(ISNUMBER(P318),N(P318)&gt;0),N(P318),0)</f>
        <v>0.0</v>
      </c>
    </row>
    <row r="319">
      <c r="A319" s="79" t="str">
        <f>IF(COUNTA(B319:C319,E319:G319,I319)=0,"","BI-"&amp;RIGHT("0000"&amp;(ROW()-5),4))</f>
        <v/>
      </c>
      <c r="B319" s="72" t="n"/>
      <c r="C319" s="66" t="n"/>
      <c r="D319" s="67" t="str">
        <f>IF(C319="","",IFERROR(INDEX(eq_des,MATCH(C319,eq_code,0))&amp;"","Équipement inconnu"))</f>
        <v/>
      </c>
      <c r="E319" s="68" t="n"/>
      <c r="F319" s="68" t="n"/>
      <c r="G319" s="66" t="n"/>
      <c r="H319" s="66" t="n"/>
      <c r="I319" s="68" t="n"/>
      <c r="J319" s="73" t="n"/>
      <c r="K319" s="71" t="n"/>
      <c r="L319" s="71" t="n"/>
      <c r="M319" s="66" t="n"/>
      <c r="N319" s="80" t="n"/>
      <c r="O319" s="81" t="str">
        <f>IF(A319="","",ROUND(V319*IFERROR(N(INDEX(tech_rate,MATCH(M319,tech_name,0))),0),2))</f>
        <v/>
      </c>
      <c r="P319" s="80" t="n"/>
      <c r="Q319" s="81" t="str">
        <f>IF(A319="","",ROUND(Y319+O319+Z319,2))</f>
        <v/>
      </c>
      <c r="R319" s="79" t="str">
        <f>IF(A319="","",IF(S319=0,"Date manquante ou invalide",IF(C319="","Équipement manquant",IF(ISNA(MATCH(C319,eq_code,0)),"Équipement inconnu",IF(E319="","Type manquant",IF(AND(E319&lt;&gt;"Préventif",E319&lt;&gt;"Correctif",E319&lt;&gt;"Amélioratif"),"Type inconnu",IF(I319="","Statut manquant",IF(AND(I319&lt;&gt;"Terminée",I319&lt;&gt;"En cours",I319&lt;&gt;"À faire",I319&lt;&gt;"Annulée"),"Statut inconnu",IF(AND(E319="Préventif",F319=""),"Plan manquant (préventif)",IF(AND(F319&lt;&gt;"",ISNA(MATCH(F319,pl_num,0))),"Plan inconnu",IF(AND(F319&lt;&gt;"",IFERROR(INDEX(pl_eq,MATCH(F319,pl_num,0))&amp;"",C319)&lt;&gt;C319),"Plan d'un autre équipement",IF(AND(J319&lt;&gt;"",OR(NOT(ISNUMBER(J319)),N(J319)&lt;0)),"Compteur invalide",IF(OR(AND(K319&lt;&gt;"",OR(NOT(ISNUMBER(K319)),N(K319)&lt;0)),AND(L319&lt;&gt;"",OR(NOT(ISNUMBER(L319)),N(L319)&lt;0))),"Durée invalide",IF(OR(AND(N319&lt;&gt;"",OR(NOT(ISNUMBER(N319)),N(N319)&lt;0)),AND(P319&lt;&gt;"",OR(NOT(ISNUMBER(P319)),N(P319)&lt;0))),"Coût invalide",IF(AND(M319&lt;&gt;"",ISNA(MATCH(M319,tech_name,0))),"Technicien inconnu",IF(AND(I319="Terminée",S319&gt;p_today),"Terminée à une date future",IF(AND(I319="Terminée",V319=0),"Durée d'intervention manquante",IF(AND(I319="Terminée",E319="Préventif",T319=0,OR(IFERROR(INDEX(pl_trig,MATCH(F319,pl_num,0))&amp;"","")="Compteur",IFERROR(INDEX(pl_trig,MATCH(F319,pl_num,0))&amp;"","")="Au premier des deux")),"Compteur manquant (plan au compteur)","OK"))))))))))))))))))</f>
        <v/>
      </c>
      <c r="S319" s="67">
        <f>IF(AND(ISNUMBER(B319),N(B319)&gt;0),INT(B319),0)</f>
        <v>0.0</v>
      </c>
      <c r="T319" s="67">
        <f>IF(AND(ISNUMBER(J319),N(J319)&gt;=0),N(J319),0)</f>
        <v>0.0</v>
      </c>
      <c r="U319" s="67">
        <f>IF(AND(ISNUMBER(K319),N(K319)&gt;0),N(K319),0)</f>
        <v>0.0</v>
      </c>
      <c r="V319" s="67">
        <f>IF(AND(ISNUMBER(L319),N(L319)&gt;0),N(L319),0)</f>
        <v>0.0</v>
      </c>
      <c r="W319" s="67">
        <f>IF(AND(I319="Terminée",S319&gt;0,C319&lt;&gt;"",ISNUMBER(MATCH(C319,eq_code,0))),1,0)</f>
        <v>0.0</v>
      </c>
      <c r="X319" s="67">
        <f>IF(AND(W319=1,E319="Préventif"),1,0)</f>
        <v>0.0</v>
      </c>
      <c r="Y319" s="67">
        <f>IF(AND(ISNUMBER(N319),N(N319)&gt;0),N(N319),0)</f>
        <v>0.0</v>
      </c>
      <c r="Z319" s="67">
        <f>IF(AND(ISNUMBER(P319),N(P319)&gt;0),N(P319),0)</f>
        <v>0.0</v>
      </c>
    </row>
    <row r="320">
      <c r="A320" s="79" t="str">
        <f>IF(COUNTA(B320:C320,E320:G320,I320)=0,"","BI-"&amp;RIGHT("0000"&amp;(ROW()-5),4))</f>
        <v/>
      </c>
      <c r="B320" s="72" t="n"/>
      <c r="C320" s="66" t="n"/>
      <c r="D320" s="67" t="str">
        <f>IF(C320="","",IFERROR(INDEX(eq_des,MATCH(C320,eq_code,0))&amp;"","Équipement inconnu"))</f>
        <v/>
      </c>
      <c r="E320" s="68" t="n"/>
      <c r="F320" s="68" t="n"/>
      <c r="G320" s="66" t="n"/>
      <c r="H320" s="66" t="n"/>
      <c r="I320" s="68" t="n"/>
      <c r="J320" s="73" t="n"/>
      <c r="K320" s="71" t="n"/>
      <c r="L320" s="71" t="n"/>
      <c r="M320" s="66" t="n"/>
      <c r="N320" s="80" t="n"/>
      <c r="O320" s="81" t="str">
        <f>IF(A320="","",ROUND(V320*IFERROR(N(INDEX(tech_rate,MATCH(M320,tech_name,0))),0),2))</f>
        <v/>
      </c>
      <c r="P320" s="80" t="n"/>
      <c r="Q320" s="81" t="str">
        <f>IF(A320="","",ROUND(Y320+O320+Z320,2))</f>
        <v/>
      </c>
      <c r="R320" s="79" t="str">
        <f>IF(A320="","",IF(S320=0,"Date manquante ou invalide",IF(C320="","Équipement manquant",IF(ISNA(MATCH(C320,eq_code,0)),"Équipement inconnu",IF(E320="","Type manquant",IF(AND(E320&lt;&gt;"Préventif",E320&lt;&gt;"Correctif",E320&lt;&gt;"Amélioratif"),"Type inconnu",IF(I320="","Statut manquant",IF(AND(I320&lt;&gt;"Terminée",I320&lt;&gt;"En cours",I320&lt;&gt;"À faire",I320&lt;&gt;"Annulée"),"Statut inconnu",IF(AND(E320="Préventif",F320=""),"Plan manquant (préventif)",IF(AND(F320&lt;&gt;"",ISNA(MATCH(F320,pl_num,0))),"Plan inconnu",IF(AND(F320&lt;&gt;"",IFERROR(INDEX(pl_eq,MATCH(F320,pl_num,0))&amp;"",C320)&lt;&gt;C320),"Plan d'un autre équipement",IF(AND(J320&lt;&gt;"",OR(NOT(ISNUMBER(J320)),N(J320)&lt;0)),"Compteur invalide",IF(OR(AND(K320&lt;&gt;"",OR(NOT(ISNUMBER(K320)),N(K320)&lt;0)),AND(L320&lt;&gt;"",OR(NOT(ISNUMBER(L320)),N(L320)&lt;0))),"Durée invalide",IF(OR(AND(N320&lt;&gt;"",OR(NOT(ISNUMBER(N320)),N(N320)&lt;0)),AND(P320&lt;&gt;"",OR(NOT(ISNUMBER(P320)),N(P320)&lt;0))),"Coût invalide",IF(AND(M320&lt;&gt;"",ISNA(MATCH(M320,tech_name,0))),"Technicien inconnu",IF(AND(I320="Terminée",S320&gt;p_today),"Terminée à une date future",IF(AND(I320="Terminée",V320=0),"Durée d'intervention manquante",IF(AND(I320="Terminée",E320="Préventif",T320=0,OR(IFERROR(INDEX(pl_trig,MATCH(F320,pl_num,0))&amp;"","")="Compteur",IFERROR(INDEX(pl_trig,MATCH(F320,pl_num,0))&amp;"","")="Au premier des deux")),"Compteur manquant (plan au compteur)","OK"))))))))))))))))))</f>
        <v/>
      </c>
      <c r="S320" s="67">
        <f>IF(AND(ISNUMBER(B320),N(B320)&gt;0),INT(B320),0)</f>
        <v>0.0</v>
      </c>
      <c r="T320" s="67">
        <f>IF(AND(ISNUMBER(J320),N(J320)&gt;=0),N(J320),0)</f>
        <v>0.0</v>
      </c>
      <c r="U320" s="67">
        <f>IF(AND(ISNUMBER(K320),N(K320)&gt;0),N(K320),0)</f>
        <v>0.0</v>
      </c>
      <c r="V320" s="67">
        <f>IF(AND(ISNUMBER(L320),N(L320)&gt;0),N(L320),0)</f>
        <v>0.0</v>
      </c>
      <c r="W320" s="67">
        <f>IF(AND(I320="Terminée",S320&gt;0,C320&lt;&gt;"",ISNUMBER(MATCH(C320,eq_code,0))),1,0)</f>
        <v>0.0</v>
      </c>
      <c r="X320" s="67">
        <f>IF(AND(W320=1,E320="Préventif"),1,0)</f>
        <v>0.0</v>
      </c>
      <c r="Y320" s="67">
        <f>IF(AND(ISNUMBER(N320),N(N320)&gt;0),N(N320),0)</f>
        <v>0.0</v>
      </c>
      <c r="Z320" s="67">
        <f>IF(AND(ISNUMBER(P320),N(P320)&gt;0),N(P320),0)</f>
        <v>0.0</v>
      </c>
    </row>
    <row r="321">
      <c r="A321" s="79" t="str">
        <f>IF(COUNTA(B321:C321,E321:G321,I321)=0,"","BI-"&amp;RIGHT("0000"&amp;(ROW()-5),4))</f>
        <v/>
      </c>
      <c r="B321" s="72" t="n"/>
      <c r="C321" s="66" t="n"/>
      <c r="D321" s="67" t="str">
        <f>IF(C321="","",IFERROR(INDEX(eq_des,MATCH(C321,eq_code,0))&amp;"","Équipement inconnu"))</f>
        <v/>
      </c>
      <c r="E321" s="68" t="n"/>
      <c r="F321" s="68" t="n"/>
      <c r="G321" s="66" t="n"/>
      <c r="H321" s="66" t="n"/>
      <c r="I321" s="68" t="n"/>
      <c r="J321" s="73" t="n"/>
      <c r="K321" s="71" t="n"/>
      <c r="L321" s="71" t="n"/>
      <c r="M321" s="66" t="n"/>
      <c r="N321" s="80" t="n"/>
      <c r="O321" s="81" t="str">
        <f>IF(A321="","",ROUND(V321*IFERROR(N(INDEX(tech_rate,MATCH(M321,tech_name,0))),0),2))</f>
        <v/>
      </c>
      <c r="P321" s="80" t="n"/>
      <c r="Q321" s="81" t="str">
        <f>IF(A321="","",ROUND(Y321+O321+Z321,2))</f>
        <v/>
      </c>
      <c r="R321" s="79" t="str">
        <f>IF(A321="","",IF(S321=0,"Date manquante ou invalide",IF(C321="","Équipement manquant",IF(ISNA(MATCH(C321,eq_code,0)),"Équipement inconnu",IF(E321="","Type manquant",IF(AND(E321&lt;&gt;"Préventif",E321&lt;&gt;"Correctif",E321&lt;&gt;"Amélioratif"),"Type inconnu",IF(I321="","Statut manquant",IF(AND(I321&lt;&gt;"Terminée",I321&lt;&gt;"En cours",I321&lt;&gt;"À faire",I321&lt;&gt;"Annulée"),"Statut inconnu",IF(AND(E321="Préventif",F321=""),"Plan manquant (préventif)",IF(AND(F321&lt;&gt;"",ISNA(MATCH(F321,pl_num,0))),"Plan inconnu",IF(AND(F321&lt;&gt;"",IFERROR(INDEX(pl_eq,MATCH(F321,pl_num,0))&amp;"",C321)&lt;&gt;C321),"Plan d'un autre équipement",IF(AND(J321&lt;&gt;"",OR(NOT(ISNUMBER(J321)),N(J321)&lt;0)),"Compteur invalide",IF(OR(AND(K321&lt;&gt;"",OR(NOT(ISNUMBER(K321)),N(K321)&lt;0)),AND(L321&lt;&gt;"",OR(NOT(ISNUMBER(L321)),N(L321)&lt;0))),"Durée invalide",IF(OR(AND(N321&lt;&gt;"",OR(NOT(ISNUMBER(N321)),N(N321)&lt;0)),AND(P321&lt;&gt;"",OR(NOT(ISNUMBER(P321)),N(P321)&lt;0))),"Coût invalide",IF(AND(M321&lt;&gt;"",ISNA(MATCH(M321,tech_name,0))),"Technicien inconnu",IF(AND(I321="Terminée",S321&gt;p_today),"Terminée à une date future",IF(AND(I321="Terminée",V321=0),"Durée d'intervention manquante",IF(AND(I321="Terminée",E321="Préventif",T321=0,OR(IFERROR(INDEX(pl_trig,MATCH(F321,pl_num,0))&amp;"","")="Compteur",IFERROR(INDEX(pl_trig,MATCH(F321,pl_num,0))&amp;"","")="Au premier des deux")),"Compteur manquant (plan au compteur)","OK"))))))))))))))))))</f>
        <v/>
      </c>
      <c r="S321" s="67">
        <f>IF(AND(ISNUMBER(B321),N(B321)&gt;0),INT(B321),0)</f>
        <v>0.0</v>
      </c>
      <c r="T321" s="67">
        <f>IF(AND(ISNUMBER(J321),N(J321)&gt;=0),N(J321),0)</f>
        <v>0.0</v>
      </c>
      <c r="U321" s="67">
        <f>IF(AND(ISNUMBER(K321),N(K321)&gt;0),N(K321),0)</f>
        <v>0.0</v>
      </c>
      <c r="V321" s="67">
        <f>IF(AND(ISNUMBER(L321),N(L321)&gt;0),N(L321),0)</f>
        <v>0.0</v>
      </c>
      <c r="W321" s="67">
        <f>IF(AND(I321="Terminée",S321&gt;0,C321&lt;&gt;"",ISNUMBER(MATCH(C321,eq_code,0))),1,0)</f>
        <v>0.0</v>
      </c>
      <c r="X321" s="67">
        <f>IF(AND(W321=1,E321="Préventif"),1,0)</f>
        <v>0.0</v>
      </c>
      <c r="Y321" s="67">
        <f>IF(AND(ISNUMBER(N321),N(N321)&gt;0),N(N321),0)</f>
        <v>0.0</v>
      </c>
      <c r="Z321" s="67">
        <f>IF(AND(ISNUMBER(P321),N(P321)&gt;0),N(P321),0)</f>
        <v>0.0</v>
      </c>
    </row>
    <row r="322">
      <c r="A322" s="79" t="str">
        <f>IF(COUNTA(B322:C322,E322:G322,I322)=0,"","BI-"&amp;RIGHT("0000"&amp;(ROW()-5),4))</f>
        <v/>
      </c>
      <c r="B322" s="72" t="n"/>
      <c r="C322" s="66" t="n"/>
      <c r="D322" s="67" t="str">
        <f>IF(C322="","",IFERROR(INDEX(eq_des,MATCH(C322,eq_code,0))&amp;"","Équipement inconnu"))</f>
        <v/>
      </c>
      <c r="E322" s="68" t="n"/>
      <c r="F322" s="68" t="n"/>
      <c r="G322" s="66" t="n"/>
      <c r="H322" s="66" t="n"/>
      <c r="I322" s="68" t="n"/>
      <c r="J322" s="73" t="n"/>
      <c r="K322" s="71" t="n"/>
      <c r="L322" s="71" t="n"/>
      <c r="M322" s="66" t="n"/>
      <c r="N322" s="80" t="n"/>
      <c r="O322" s="81" t="str">
        <f>IF(A322="","",ROUND(V322*IFERROR(N(INDEX(tech_rate,MATCH(M322,tech_name,0))),0),2))</f>
        <v/>
      </c>
      <c r="P322" s="80" t="n"/>
      <c r="Q322" s="81" t="str">
        <f>IF(A322="","",ROUND(Y322+O322+Z322,2))</f>
        <v/>
      </c>
      <c r="R322" s="79" t="str">
        <f>IF(A322="","",IF(S322=0,"Date manquante ou invalide",IF(C322="","Équipement manquant",IF(ISNA(MATCH(C322,eq_code,0)),"Équipement inconnu",IF(E322="","Type manquant",IF(AND(E322&lt;&gt;"Préventif",E322&lt;&gt;"Correctif",E322&lt;&gt;"Amélioratif"),"Type inconnu",IF(I322="","Statut manquant",IF(AND(I322&lt;&gt;"Terminée",I322&lt;&gt;"En cours",I322&lt;&gt;"À faire",I322&lt;&gt;"Annulée"),"Statut inconnu",IF(AND(E322="Préventif",F322=""),"Plan manquant (préventif)",IF(AND(F322&lt;&gt;"",ISNA(MATCH(F322,pl_num,0))),"Plan inconnu",IF(AND(F322&lt;&gt;"",IFERROR(INDEX(pl_eq,MATCH(F322,pl_num,0))&amp;"",C322)&lt;&gt;C322),"Plan d'un autre équipement",IF(AND(J322&lt;&gt;"",OR(NOT(ISNUMBER(J322)),N(J322)&lt;0)),"Compteur invalide",IF(OR(AND(K322&lt;&gt;"",OR(NOT(ISNUMBER(K322)),N(K322)&lt;0)),AND(L322&lt;&gt;"",OR(NOT(ISNUMBER(L322)),N(L322)&lt;0))),"Durée invalide",IF(OR(AND(N322&lt;&gt;"",OR(NOT(ISNUMBER(N322)),N(N322)&lt;0)),AND(P322&lt;&gt;"",OR(NOT(ISNUMBER(P322)),N(P322)&lt;0))),"Coût invalide",IF(AND(M322&lt;&gt;"",ISNA(MATCH(M322,tech_name,0))),"Technicien inconnu",IF(AND(I322="Terminée",S322&gt;p_today),"Terminée à une date future",IF(AND(I322="Terminée",V322=0),"Durée d'intervention manquante",IF(AND(I322="Terminée",E322="Préventif",T322=0,OR(IFERROR(INDEX(pl_trig,MATCH(F322,pl_num,0))&amp;"","")="Compteur",IFERROR(INDEX(pl_trig,MATCH(F322,pl_num,0))&amp;"","")="Au premier des deux")),"Compteur manquant (plan au compteur)","OK"))))))))))))))))))</f>
        <v/>
      </c>
      <c r="S322" s="67">
        <f>IF(AND(ISNUMBER(B322),N(B322)&gt;0),INT(B322),0)</f>
        <v>0.0</v>
      </c>
      <c r="T322" s="67">
        <f>IF(AND(ISNUMBER(J322),N(J322)&gt;=0),N(J322),0)</f>
        <v>0.0</v>
      </c>
      <c r="U322" s="67">
        <f>IF(AND(ISNUMBER(K322),N(K322)&gt;0),N(K322),0)</f>
        <v>0.0</v>
      </c>
      <c r="V322" s="67">
        <f>IF(AND(ISNUMBER(L322),N(L322)&gt;0),N(L322),0)</f>
        <v>0.0</v>
      </c>
      <c r="W322" s="67">
        <f>IF(AND(I322="Terminée",S322&gt;0,C322&lt;&gt;"",ISNUMBER(MATCH(C322,eq_code,0))),1,0)</f>
        <v>0.0</v>
      </c>
      <c r="X322" s="67">
        <f>IF(AND(W322=1,E322="Préventif"),1,0)</f>
        <v>0.0</v>
      </c>
      <c r="Y322" s="67">
        <f>IF(AND(ISNUMBER(N322),N(N322)&gt;0),N(N322),0)</f>
        <v>0.0</v>
      </c>
      <c r="Z322" s="67">
        <f>IF(AND(ISNUMBER(P322),N(P322)&gt;0),N(P322),0)</f>
        <v>0.0</v>
      </c>
    </row>
    <row r="323">
      <c r="A323" s="79" t="str">
        <f>IF(COUNTA(B323:C323,E323:G323,I323)=0,"","BI-"&amp;RIGHT("0000"&amp;(ROW()-5),4))</f>
        <v/>
      </c>
      <c r="B323" s="72" t="n"/>
      <c r="C323" s="66" t="n"/>
      <c r="D323" s="67" t="str">
        <f>IF(C323="","",IFERROR(INDEX(eq_des,MATCH(C323,eq_code,0))&amp;"","Équipement inconnu"))</f>
        <v/>
      </c>
      <c r="E323" s="68" t="n"/>
      <c r="F323" s="68" t="n"/>
      <c r="G323" s="66" t="n"/>
      <c r="H323" s="66" t="n"/>
      <c r="I323" s="68" t="n"/>
      <c r="J323" s="73" t="n"/>
      <c r="K323" s="71" t="n"/>
      <c r="L323" s="71" t="n"/>
      <c r="M323" s="66" t="n"/>
      <c r="N323" s="80" t="n"/>
      <c r="O323" s="81" t="str">
        <f>IF(A323="","",ROUND(V323*IFERROR(N(INDEX(tech_rate,MATCH(M323,tech_name,0))),0),2))</f>
        <v/>
      </c>
      <c r="P323" s="80" t="n"/>
      <c r="Q323" s="81" t="str">
        <f>IF(A323="","",ROUND(Y323+O323+Z323,2))</f>
        <v/>
      </c>
      <c r="R323" s="79" t="str">
        <f>IF(A323="","",IF(S323=0,"Date manquante ou invalide",IF(C323="","Équipement manquant",IF(ISNA(MATCH(C323,eq_code,0)),"Équipement inconnu",IF(E323="","Type manquant",IF(AND(E323&lt;&gt;"Préventif",E323&lt;&gt;"Correctif",E323&lt;&gt;"Amélioratif"),"Type inconnu",IF(I323="","Statut manquant",IF(AND(I323&lt;&gt;"Terminée",I323&lt;&gt;"En cours",I323&lt;&gt;"À faire",I323&lt;&gt;"Annulée"),"Statut inconnu",IF(AND(E323="Préventif",F323=""),"Plan manquant (préventif)",IF(AND(F323&lt;&gt;"",ISNA(MATCH(F323,pl_num,0))),"Plan inconnu",IF(AND(F323&lt;&gt;"",IFERROR(INDEX(pl_eq,MATCH(F323,pl_num,0))&amp;"",C323)&lt;&gt;C323),"Plan d'un autre équipement",IF(AND(J323&lt;&gt;"",OR(NOT(ISNUMBER(J323)),N(J323)&lt;0)),"Compteur invalide",IF(OR(AND(K323&lt;&gt;"",OR(NOT(ISNUMBER(K323)),N(K323)&lt;0)),AND(L323&lt;&gt;"",OR(NOT(ISNUMBER(L323)),N(L323)&lt;0))),"Durée invalide",IF(OR(AND(N323&lt;&gt;"",OR(NOT(ISNUMBER(N323)),N(N323)&lt;0)),AND(P323&lt;&gt;"",OR(NOT(ISNUMBER(P323)),N(P323)&lt;0))),"Coût invalide",IF(AND(M323&lt;&gt;"",ISNA(MATCH(M323,tech_name,0))),"Technicien inconnu",IF(AND(I323="Terminée",S323&gt;p_today),"Terminée à une date future",IF(AND(I323="Terminée",V323=0),"Durée d'intervention manquante",IF(AND(I323="Terminée",E323="Préventif",T323=0,OR(IFERROR(INDEX(pl_trig,MATCH(F323,pl_num,0))&amp;"","")="Compteur",IFERROR(INDEX(pl_trig,MATCH(F323,pl_num,0))&amp;"","")="Au premier des deux")),"Compteur manquant (plan au compteur)","OK"))))))))))))))))))</f>
        <v/>
      </c>
      <c r="S323" s="67">
        <f>IF(AND(ISNUMBER(B323),N(B323)&gt;0),INT(B323),0)</f>
        <v>0.0</v>
      </c>
      <c r="T323" s="67">
        <f>IF(AND(ISNUMBER(J323),N(J323)&gt;=0),N(J323),0)</f>
        <v>0.0</v>
      </c>
      <c r="U323" s="67">
        <f>IF(AND(ISNUMBER(K323),N(K323)&gt;0),N(K323),0)</f>
        <v>0.0</v>
      </c>
      <c r="V323" s="67">
        <f>IF(AND(ISNUMBER(L323),N(L323)&gt;0),N(L323),0)</f>
        <v>0.0</v>
      </c>
      <c r="W323" s="67">
        <f>IF(AND(I323="Terminée",S323&gt;0,C323&lt;&gt;"",ISNUMBER(MATCH(C323,eq_code,0))),1,0)</f>
        <v>0.0</v>
      </c>
      <c r="X323" s="67">
        <f>IF(AND(W323=1,E323="Préventif"),1,0)</f>
        <v>0.0</v>
      </c>
      <c r="Y323" s="67">
        <f>IF(AND(ISNUMBER(N323),N(N323)&gt;0),N(N323),0)</f>
        <v>0.0</v>
      </c>
      <c r="Z323" s="67">
        <f>IF(AND(ISNUMBER(P323),N(P323)&gt;0),N(P323),0)</f>
        <v>0.0</v>
      </c>
    </row>
    <row r="324">
      <c r="A324" s="79" t="str">
        <f>IF(COUNTA(B324:C324,E324:G324,I324)=0,"","BI-"&amp;RIGHT("0000"&amp;(ROW()-5),4))</f>
        <v/>
      </c>
      <c r="B324" s="72" t="n"/>
      <c r="C324" s="66" t="n"/>
      <c r="D324" s="67" t="str">
        <f>IF(C324="","",IFERROR(INDEX(eq_des,MATCH(C324,eq_code,0))&amp;"","Équipement inconnu"))</f>
        <v/>
      </c>
      <c r="E324" s="68" t="n"/>
      <c r="F324" s="68" t="n"/>
      <c r="G324" s="66" t="n"/>
      <c r="H324" s="66" t="n"/>
      <c r="I324" s="68" t="n"/>
      <c r="J324" s="73" t="n"/>
      <c r="K324" s="71" t="n"/>
      <c r="L324" s="71" t="n"/>
      <c r="M324" s="66" t="n"/>
      <c r="N324" s="80" t="n"/>
      <c r="O324" s="81" t="str">
        <f>IF(A324="","",ROUND(V324*IFERROR(N(INDEX(tech_rate,MATCH(M324,tech_name,0))),0),2))</f>
        <v/>
      </c>
      <c r="P324" s="80" t="n"/>
      <c r="Q324" s="81" t="str">
        <f>IF(A324="","",ROUND(Y324+O324+Z324,2))</f>
        <v/>
      </c>
      <c r="R324" s="79" t="str">
        <f>IF(A324="","",IF(S324=0,"Date manquante ou invalide",IF(C324="","Équipement manquant",IF(ISNA(MATCH(C324,eq_code,0)),"Équipement inconnu",IF(E324="","Type manquant",IF(AND(E324&lt;&gt;"Préventif",E324&lt;&gt;"Correctif",E324&lt;&gt;"Amélioratif"),"Type inconnu",IF(I324="","Statut manquant",IF(AND(I324&lt;&gt;"Terminée",I324&lt;&gt;"En cours",I324&lt;&gt;"À faire",I324&lt;&gt;"Annulée"),"Statut inconnu",IF(AND(E324="Préventif",F324=""),"Plan manquant (préventif)",IF(AND(F324&lt;&gt;"",ISNA(MATCH(F324,pl_num,0))),"Plan inconnu",IF(AND(F324&lt;&gt;"",IFERROR(INDEX(pl_eq,MATCH(F324,pl_num,0))&amp;"",C324)&lt;&gt;C324),"Plan d'un autre équipement",IF(AND(J324&lt;&gt;"",OR(NOT(ISNUMBER(J324)),N(J324)&lt;0)),"Compteur invalide",IF(OR(AND(K324&lt;&gt;"",OR(NOT(ISNUMBER(K324)),N(K324)&lt;0)),AND(L324&lt;&gt;"",OR(NOT(ISNUMBER(L324)),N(L324)&lt;0))),"Durée invalide",IF(OR(AND(N324&lt;&gt;"",OR(NOT(ISNUMBER(N324)),N(N324)&lt;0)),AND(P324&lt;&gt;"",OR(NOT(ISNUMBER(P324)),N(P324)&lt;0))),"Coût invalide",IF(AND(M324&lt;&gt;"",ISNA(MATCH(M324,tech_name,0))),"Technicien inconnu",IF(AND(I324="Terminée",S324&gt;p_today),"Terminée à une date future",IF(AND(I324="Terminée",V324=0),"Durée d'intervention manquante",IF(AND(I324="Terminée",E324="Préventif",T324=0,OR(IFERROR(INDEX(pl_trig,MATCH(F324,pl_num,0))&amp;"","")="Compteur",IFERROR(INDEX(pl_trig,MATCH(F324,pl_num,0))&amp;"","")="Au premier des deux")),"Compteur manquant (plan au compteur)","OK"))))))))))))))))))</f>
        <v/>
      </c>
      <c r="S324" s="67">
        <f>IF(AND(ISNUMBER(B324),N(B324)&gt;0),INT(B324),0)</f>
        <v>0.0</v>
      </c>
      <c r="T324" s="67">
        <f>IF(AND(ISNUMBER(J324),N(J324)&gt;=0),N(J324),0)</f>
        <v>0.0</v>
      </c>
      <c r="U324" s="67">
        <f>IF(AND(ISNUMBER(K324),N(K324)&gt;0),N(K324),0)</f>
        <v>0.0</v>
      </c>
      <c r="V324" s="67">
        <f>IF(AND(ISNUMBER(L324),N(L324)&gt;0),N(L324),0)</f>
        <v>0.0</v>
      </c>
      <c r="W324" s="67">
        <f>IF(AND(I324="Terminée",S324&gt;0,C324&lt;&gt;"",ISNUMBER(MATCH(C324,eq_code,0))),1,0)</f>
        <v>0.0</v>
      </c>
      <c r="X324" s="67">
        <f>IF(AND(W324=1,E324="Préventif"),1,0)</f>
        <v>0.0</v>
      </c>
      <c r="Y324" s="67">
        <f>IF(AND(ISNUMBER(N324),N(N324)&gt;0),N(N324),0)</f>
        <v>0.0</v>
      </c>
      <c r="Z324" s="67">
        <f>IF(AND(ISNUMBER(P324),N(P324)&gt;0),N(P324),0)</f>
        <v>0.0</v>
      </c>
    </row>
    <row r="325">
      <c r="A325" s="79" t="str">
        <f>IF(COUNTA(B325:C325,E325:G325,I325)=0,"","BI-"&amp;RIGHT("0000"&amp;(ROW()-5),4))</f>
        <v/>
      </c>
      <c r="B325" s="72" t="n"/>
      <c r="C325" s="66" t="n"/>
      <c r="D325" s="67" t="str">
        <f>IF(C325="","",IFERROR(INDEX(eq_des,MATCH(C325,eq_code,0))&amp;"","Équipement inconnu"))</f>
        <v/>
      </c>
      <c r="E325" s="68" t="n"/>
      <c r="F325" s="68" t="n"/>
      <c r="G325" s="66" t="n"/>
      <c r="H325" s="66" t="n"/>
      <c r="I325" s="68" t="n"/>
      <c r="J325" s="73" t="n"/>
      <c r="K325" s="71" t="n"/>
      <c r="L325" s="71" t="n"/>
      <c r="M325" s="66" t="n"/>
      <c r="N325" s="80" t="n"/>
      <c r="O325" s="81" t="str">
        <f>IF(A325="","",ROUND(V325*IFERROR(N(INDEX(tech_rate,MATCH(M325,tech_name,0))),0),2))</f>
        <v/>
      </c>
      <c r="P325" s="80" t="n"/>
      <c r="Q325" s="81" t="str">
        <f>IF(A325="","",ROUND(Y325+O325+Z325,2))</f>
        <v/>
      </c>
      <c r="R325" s="79" t="str">
        <f>IF(A325="","",IF(S325=0,"Date manquante ou invalide",IF(C325="","Équipement manquant",IF(ISNA(MATCH(C325,eq_code,0)),"Équipement inconnu",IF(E325="","Type manquant",IF(AND(E325&lt;&gt;"Préventif",E325&lt;&gt;"Correctif",E325&lt;&gt;"Amélioratif"),"Type inconnu",IF(I325="","Statut manquant",IF(AND(I325&lt;&gt;"Terminée",I325&lt;&gt;"En cours",I325&lt;&gt;"À faire",I325&lt;&gt;"Annulée"),"Statut inconnu",IF(AND(E325="Préventif",F325=""),"Plan manquant (préventif)",IF(AND(F325&lt;&gt;"",ISNA(MATCH(F325,pl_num,0))),"Plan inconnu",IF(AND(F325&lt;&gt;"",IFERROR(INDEX(pl_eq,MATCH(F325,pl_num,0))&amp;"",C325)&lt;&gt;C325),"Plan d'un autre équipement",IF(AND(J325&lt;&gt;"",OR(NOT(ISNUMBER(J325)),N(J325)&lt;0)),"Compteur invalide",IF(OR(AND(K325&lt;&gt;"",OR(NOT(ISNUMBER(K325)),N(K325)&lt;0)),AND(L325&lt;&gt;"",OR(NOT(ISNUMBER(L325)),N(L325)&lt;0))),"Durée invalide",IF(OR(AND(N325&lt;&gt;"",OR(NOT(ISNUMBER(N325)),N(N325)&lt;0)),AND(P325&lt;&gt;"",OR(NOT(ISNUMBER(P325)),N(P325)&lt;0))),"Coût invalide",IF(AND(M325&lt;&gt;"",ISNA(MATCH(M325,tech_name,0))),"Technicien inconnu",IF(AND(I325="Terminée",S325&gt;p_today),"Terminée à une date future",IF(AND(I325="Terminée",V325=0),"Durée d'intervention manquante",IF(AND(I325="Terminée",E325="Préventif",T325=0,OR(IFERROR(INDEX(pl_trig,MATCH(F325,pl_num,0))&amp;"","")="Compteur",IFERROR(INDEX(pl_trig,MATCH(F325,pl_num,0))&amp;"","")="Au premier des deux")),"Compteur manquant (plan au compteur)","OK"))))))))))))))))))</f>
        <v/>
      </c>
      <c r="S325" s="67">
        <f>IF(AND(ISNUMBER(B325),N(B325)&gt;0),INT(B325),0)</f>
        <v>0.0</v>
      </c>
      <c r="T325" s="67">
        <f>IF(AND(ISNUMBER(J325),N(J325)&gt;=0),N(J325),0)</f>
        <v>0.0</v>
      </c>
      <c r="U325" s="67">
        <f>IF(AND(ISNUMBER(K325),N(K325)&gt;0),N(K325),0)</f>
        <v>0.0</v>
      </c>
      <c r="V325" s="67">
        <f>IF(AND(ISNUMBER(L325),N(L325)&gt;0),N(L325),0)</f>
        <v>0.0</v>
      </c>
      <c r="W325" s="67">
        <f>IF(AND(I325="Terminée",S325&gt;0,C325&lt;&gt;"",ISNUMBER(MATCH(C325,eq_code,0))),1,0)</f>
        <v>0.0</v>
      </c>
      <c r="X325" s="67">
        <f>IF(AND(W325=1,E325="Préventif"),1,0)</f>
        <v>0.0</v>
      </c>
      <c r="Y325" s="67">
        <f>IF(AND(ISNUMBER(N325),N(N325)&gt;0),N(N325),0)</f>
        <v>0.0</v>
      </c>
      <c r="Z325" s="67">
        <f>IF(AND(ISNUMBER(P325),N(P325)&gt;0),N(P325),0)</f>
        <v>0.0</v>
      </c>
    </row>
    <row r="326">
      <c r="A326" s="79" t="str">
        <f>IF(COUNTA(B326:C326,E326:G326,I326)=0,"","BI-"&amp;RIGHT("0000"&amp;(ROW()-5),4))</f>
        <v/>
      </c>
      <c r="B326" s="72" t="n"/>
      <c r="C326" s="66" t="n"/>
      <c r="D326" s="67" t="str">
        <f>IF(C326="","",IFERROR(INDEX(eq_des,MATCH(C326,eq_code,0))&amp;"","Équipement inconnu"))</f>
        <v/>
      </c>
      <c r="E326" s="68" t="n"/>
      <c r="F326" s="68" t="n"/>
      <c r="G326" s="66" t="n"/>
      <c r="H326" s="66" t="n"/>
      <c r="I326" s="68" t="n"/>
      <c r="J326" s="73" t="n"/>
      <c r="K326" s="71" t="n"/>
      <c r="L326" s="71" t="n"/>
      <c r="M326" s="66" t="n"/>
      <c r="N326" s="80" t="n"/>
      <c r="O326" s="81" t="str">
        <f>IF(A326="","",ROUND(V326*IFERROR(N(INDEX(tech_rate,MATCH(M326,tech_name,0))),0),2))</f>
        <v/>
      </c>
      <c r="P326" s="80" t="n"/>
      <c r="Q326" s="81" t="str">
        <f>IF(A326="","",ROUND(Y326+O326+Z326,2))</f>
        <v/>
      </c>
      <c r="R326" s="79" t="str">
        <f>IF(A326="","",IF(S326=0,"Date manquante ou invalide",IF(C326="","Équipement manquant",IF(ISNA(MATCH(C326,eq_code,0)),"Équipement inconnu",IF(E326="","Type manquant",IF(AND(E326&lt;&gt;"Préventif",E326&lt;&gt;"Correctif",E326&lt;&gt;"Amélioratif"),"Type inconnu",IF(I326="","Statut manquant",IF(AND(I326&lt;&gt;"Terminée",I326&lt;&gt;"En cours",I326&lt;&gt;"À faire",I326&lt;&gt;"Annulée"),"Statut inconnu",IF(AND(E326="Préventif",F326=""),"Plan manquant (préventif)",IF(AND(F326&lt;&gt;"",ISNA(MATCH(F326,pl_num,0))),"Plan inconnu",IF(AND(F326&lt;&gt;"",IFERROR(INDEX(pl_eq,MATCH(F326,pl_num,0))&amp;"",C326)&lt;&gt;C326),"Plan d'un autre équipement",IF(AND(J326&lt;&gt;"",OR(NOT(ISNUMBER(J326)),N(J326)&lt;0)),"Compteur invalide",IF(OR(AND(K326&lt;&gt;"",OR(NOT(ISNUMBER(K326)),N(K326)&lt;0)),AND(L326&lt;&gt;"",OR(NOT(ISNUMBER(L326)),N(L326)&lt;0))),"Durée invalide",IF(OR(AND(N326&lt;&gt;"",OR(NOT(ISNUMBER(N326)),N(N326)&lt;0)),AND(P326&lt;&gt;"",OR(NOT(ISNUMBER(P326)),N(P326)&lt;0))),"Coût invalide",IF(AND(M326&lt;&gt;"",ISNA(MATCH(M326,tech_name,0))),"Technicien inconnu",IF(AND(I326="Terminée",S326&gt;p_today),"Terminée à une date future",IF(AND(I326="Terminée",V326=0),"Durée d'intervention manquante",IF(AND(I326="Terminée",E326="Préventif",T326=0,OR(IFERROR(INDEX(pl_trig,MATCH(F326,pl_num,0))&amp;"","")="Compteur",IFERROR(INDEX(pl_trig,MATCH(F326,pl_num,0))&amp;"","")="Au premier des deux")),"Compteur manquant (plan au compteur)","OK"))))))))))))))))))</f>
        <v/>
      </c>
      <c r="S326" s="67">
        <f>IF(AND(ISNUMBER(B326),N(B326)&gt;0),INT(B326),0)</f>
        <v>0.0</v>
      </c>
      <c r="T326" s="67">
        <f>IF(AND(ISNUMBER(J326),N(J326)&gt;=0),N(J326),0)</f>
        <v>0.0</v>
      </c>
      <c r="U326" s="67">
        <f>IF(AND(ISNUMBER(K326),N(K326)&gt;0),N(K326),0)</f>
        <v>0.0</v>
      </c>
      <c r="V326" s="67">
        <f>IF(AND(ISNUMBER(L326),N(L326)&gt;0),N(L326),0)</f>
        <v>0.0</v>
      </c>
      <c r="W326" s="67">
        <f>IF(AND(I326="Terminée",S326&gt;0,C326&lt;&gt;"",ISNUMBER(MATCH(C326,eq_code,0))),1,0)</f>
        <v>0.0</v>
      </c>
      <c r="X326" s="67">
        <f>IF(AND(W326=1,E326="Préventif"),1,0)</f>
        <v>0.0</v>
      </c>
      <c r="Y326" s="67">
        <f>IF(AND(ISNUMBER(N326),N(N326)&gt;0),N(N326),0)</f>
        <v>0.0</v>
      </c>
      <c r="Z326" s="67">
        <f>IF(AND(ISNUMBER(P326),N(P326)&gt;0),N(P326),0)</f>
        <v>0.0</v>
      </c>
    </row>
    <row r="327">
      <c r="A327" s="79" t="str">
        <f>IF(COUNTA(B327:C327,E327:G327,I327)=0,"","BI-"&amp;RIGHT("0000"&amp;(ROW()-5),4))</f>
        <v/>
      </c>
      <c r="B327" s="72" t="n"/>
      <c r="C327" s="66" t="n"/>
      <c r="D327" s="67" t="str">
        <f>IF(C327="","",IFERROR(INDEX(eq_des,MATCH(C327,eq_code,0))&amp;"","Équipement inconnu"))</f>
        <v/>
      </c>
      <c r="E327" s="68" t="n"/>
      <c r="F327" s="68" t="n"/>
      <c r="G327" s="66" t="n"/>
      <c r="H327" s="66" t="n"/>
      <c r="I327" s="68" t="n"/>
      <c r="J327" s="73" t="n"/>
      <c r="K327" s="71" t="n"/>
      <c r="L327" s="71" t="n"/>
      <c r="M327" s="66" t="n"/>
      <c r="N327" s="80" t="n"/>
      <c r="O327" s="81" t="str">
        <f>IF(A327="","",ROUND(V327*IFERROR(N(INDEX(tech_rate,MATCH(M327,tech_name,0))),0),2))</f>
        <v/>
      </c>
      <c r="P327" s="80" t="n"/>
      <c r="Q327" s="81" t="str">
        <f>IF(A327="","",ROUND(Y327+O327+Z327,2))</f>
        <v/>
      </c>
      <c r="R327" s="79" t="str">
        <f>IF(A327="","",IF(S327=0,"Date manquante ou invalide",IF(C327="","Équipement manquant",IF(ISNA(MATCH(C327,eq_code,0)),"Équipement inconnu",IF(E327="","Type manquant",IF(AND(E327&lt;&gt;"Préventif",E327&lt;&gt;"Correctif",E327&lt;&gt;"Amélioratif"),"Type inconnu",IF(I327="","Statut manquant",IF(AND(I327&lt;&gt;"Terminée",I327&lt;&gt;"En cours",I327&lt;&gt;"À faire",I327&lt;&gt;"Annulée"),"Statut inconnu",IF(AND(E327="Préventif",F327=""),"Plan manquant (préventif)",IF(AND(F327&lt;&gt;"",ISNA(MATCH(F327,pl_num,0))),"Plan inconnu",IF(AND(F327&lt;&gt;"",IFERROR(INDEX(pl_eq,MATCH(F327,pl_num,0))&amp;"",C327)&lt;&gt;C327),"Plan d'un autre équipement",IF(AND(J327&lt;&gt;"",OR(NOT(ISNUMBER(J327)),N(J327)&lt;0)),"Compteur invalide",IF(OR(AND(K327&lt;&gt;"",OR(NOT(ISNUMBER(K327)),N(K327)&lt;0)),AND(L327&lt;&gt;"",OR(NOT(ISNUMBER(L327)),N(L327)&lt;0))),"Durée invalide",IF(OR(AND(N327&lt;&gt;"",OR(NOT(ISNUMBER(N327)),N(N327)&lt;0)),AND(P327&lt;&gt;"",OR(NOT(ISNUMBER(P327)),N(P327)&lt;0))),"Coût invalide",IF(AND(M327&lt;&gt;"",ISNA(MATCH(M327,tech_name,0))),"Technicien inconnu",IF(AND(I327="Terminée",S327&gt;p_today),"Terminée à une date future",IF(AND(I327="Terminée",V327=0),"Durée d'intervention manquante",IF(AND(I327="Terminée",E327="Préventif",T327=0,OR(IFERROR(INDEX(pl_trig,MATCH(F327,pl_num,0))&amp;"","")="Compteur",IFERROR(INDEX(pl_trig,MATCH(F327,pl_num,0))&amp;"","")="Au premier des deux")),"Compteur manquant (plan au compteur)","OK"))))))))))))))))))</f>
        <v/>
      </c>
      <c r="S327" s="67">
        <f>IF(AND(ISNUMBER(B327),N(B327)&gt;0),INT(B327),0)</f>
        <v>0.0</v>
      </c>
      <c r="T327" s="67">
        <f>IF(AND(ISNUMBER(J327),N(J327)&gt;=0),N(J327),0)</f>
        <v>0.0</v>
      </c>
      <c r="U327" s="67">
        <f>IF(AND(ISNUMBER(K327),N(K327)&gt;0),N(K327),0)</f>
        <v>0.0</v>
      </c>
      <c r="V327" s="67">
        <f>IF(AND(ISNUMBER(L327),N(L327)&gt;0),N(L327),0)</f>
        <v>0.0</v>
      </c>
      <c r="W327" s="67">
        <f>IF(AND(I327="Terminée",S327&gt;0,C327&lt;&gt;"",ISNUMBER(MATCH(C327,eq_code,0))),1,0)</f>
        <v>0.0</v>
      </c>
      <c r="X327" s="67">
        <f>IF(AND(W327=1,E327="Préventif"),1,0)</f>
        <v>0.0</v>
      </c>
      <c r="Y327" s="67">
        <f>IF(AND(ISNUMBER(N327),N(N327)&gt;0),N(N327),0)</f>
        <v>0.0</v>
      </c>
      <c r="Z327" s="67">
        <f>IF(AND(ISNUMBER(P327),N(P327)&gt;0),N(P327),0)</f>
        <v>0.0</v>
      </c>
    </row>
    <row r="328">
      <c r="A328" s="79" t="str">
        <f>IF(COUNTA(B328:C328,E328:G328,I328)=0,"","BI-"&amp;RIGHT("0000"&amp;(ROW()-5),4))</f>
        <v/>
      </c>
      <c r="B328" s="72" t="n"/>
      <c r="C328" s="66" t="n"/>
      <c r="D328" s="67" t="str">
        <f>IF(C328="","",IFERROR(INDEX(eq_des,MATCH(C328,eq_code,0))&amp;"","Équipement inconnu"))</f>
        <v/>
      </c>
      <c r="E328" s="68" t="n"/>
      <c r="F328" s="68" t="n"/>
      <c r="G328" s="66" t="n"/>
      <c r="H328" s="66" t="n"/>
      <c r="I328" s="68" t="n"/>
      <c r="J328" s="73" t="n"/>
      <c r="K328" s="71" t="n"/>
      <c r="L328" s="71" t="n"/>
      <c r="M328" s="66" t="n"/>
      <c r="N328" s="80" t="n"/>
      <c r="O328" s="81" t="str">
        <f>IF(A328="","",ROUND(V328*IFERROR(N(INDEX(tech_rate,MATCH(M328,tech_name,0))),0),2))</f>
        <v/>
      </c>
      <c r="P328" s="80" t="n"/>
      <c r="Q328" s="81" t="str">
        <f>IF(A328="","",ROUND(Y328+O328+Z328,2))</f>
        <v/>
      </c>
      <c r="R328" s="79" t="str">
        <f>IF(A328="","",IF(S328=0,"Date manquante ou invalide",IF(C328="","Équipement manquant",IF(ISNA(MATCH(C328,eq_code,0)),"Équipement inconnu",IF(E328="","Type manquant",IF(AND(E328&lt;&gt;"Préventif",E328&lt;&gt;"Correctif",E328&lt;&gt;"Amélioratif"),"Type inconnu",IF(I328="","Statut manquant",IF(AND(I328&lt;&gt;"Terminée",I328&lt;&gt;"En cours",I328&lt;&gt;"À faire",I328&lt;&gt;"Annulée"),"Statut inconnu",IF(AND(E328="Préventif",F328=""),"Plan manquant (préventif)",IF(AND(F328&lt;&gt;"",ISNA(MATCH(F328,pl_num,0))),"Plan inconnu",IF(AND(F328&lt;&gt;"",IFERROR(INDEX(pl_eq,MATCH(F328,pl_num,0))&amp;"",C328)&lt;&gt;C328),"Plan d'un autre équipement",IF(AND(J328&lt;&gt;"",OR(NOT(ISNUMBER(J328)),N(J328)&lt;0)),"Compteur invalide",IF(OR(AND(K328&lt;&gt;"",OR(NOT(ISNUMBER(K328)),N(K328)&lt;0)),AND(L328&lt;&gt;"",OR(NOT(ISNUMBER(L328)),N(L328)&lt;0))),"Durée invalide",IF(OR(AND(N328&lt;&gt;"",OR(NOT(ISNUMBER(N328)),N(N328)&lt;0)),AND(P328&lt;&gt;"",OR(NOT(ISNUMBER(P328)),N(P328)&lt;0))),"Coût invalide",IF(AND(M328&lt;&gt;"",ISNA(MATCH(M328,tech_name,0))),"Technicien inconnu",IF(AND(I328="Terminée",S328&gt;p_today),"Terminée à une date future",IF(AND(I328="Terminée",V328=0),"Durée d'intervention manquante",IF(AND(I328="Terminée",E328="Préventif",T328=0,OR(IFERROR(INDEX(pl_trig,MATCH(F328,pl_num,0))&amp;"","")="Compteur",IFERROR(INDEX(pl_trig,MATCH(F328,pl_num,0))&amp;"","")="Au premier des deux")),"Compteur manquant (plan au compteur)","OK"))))))))))))))))))</f>
        <v/>
      </c>
      <c r="S328" s="67">
        <f>IF(AND(ISNUMBER(B328),N(B328)&gt;0),INT(B328),0)</f>
        <v>0.0</v>
      </c>
      <c r="T328" s="67">
        <f>IF(AND(ISNUMBER(J328),N(J328)&gt;=0),N(J328),0)</f>
        <v>0.0</v>
      </c>
      <c r="U328" s="67">
        <f>IF(AND(ISNUMBER(K328),N(K328)&gt;0),N(K328),0)</f>
        <v>0.0</v>
      </c>
      <c r="V328" s="67">
        <f>IF(AND(ISNUMBER(L328),N(L328)&gt;0),N(L328),0)</f>
        <v>0.0</v>
      </c>
      <c r="W328" s="67">
        <f>IF(AND(I328="Terminée",S328&gt;0,C328&lt;&gt;"",ISNUMBER(MATCH(C328,eq_code,0))),1,0)</f>
        <v>0.0</v>
      </c>
      <c r="X328" s="67">
        <f>IF(AND(W328=1,E328="Préventif"),1,0)</f>
        <v>0.0</v>
      </c>
      <c r="Y328" s="67">
        <f>IF(AND(ISNUMBER(N328),N(N328)&gt;0),N(N328),0)</f>
        <v>0.0</v>
      </c>
      <c r="Z328" s="67">
        <f>IF(AND(ISNUMBER(P328),N(P328)&gt;0),N(P328),0)</f>
        <v>0.0</v>
      </c>
    </row>
    <row r="329">
      <c r="A329" s="79" t="str">
        <f>IF(COUNTA(B329:C329,E329:G329,I329)=0,"","BI-"&amp;RIGHT("0000"&amp;(ROW()-5),4))</f>
        <v/>
      </c>
      <c r="B329" s="72" t="n"/>
      <c r="C329" s="66" t="n"/>
      <c r="D329" s="67" t="str">
        <f>IF(C329="","",IFERROR(INDEX(eq_des,MATCH(C329,eq_code,0))&amp;"","Équipement inconnu"))</f>
        <v/>
      </c>
      <c r="E329" s="68" t="n"/>
      <c r="F329" s="68" t="n"/>
      <c r="G329" s="66" t="n"/>
      <c r="H329" s="66" t="n"/>
      <c r="I329" s="68" t="n"/>
      <c r="J329" s="73" t="n"/>
      <c r="K329" s="71" t="n"/>
      <c r="L329" s="71" t="n"/>
      <c r="M329" s="66" t="n"/>
      <c r="N329" s="80" t="n"/>
      <c r="O329" s="81" t="str">
        <f>IF(A329="","",ROUND(V329*IFERROR(N(INDEX(tech_rate,MATCH(M329,tech_name,0))),0),2))</f>
        <v/>
      </c>
      <c r="P329" s="80" t="n"/>
      <c r="Q329" s="81" t="str">
        <f>IF(A329="","",ROUND(Y329+O329+Z329,2))</f>
        <v/>
      </c>
      <c r="R329" s="79" t="str">
        <f>IF(A329="","",IF(S329=0,"Date manquante ou invalide",IF(C329="","Équipement manquant",IF(ISNA(MATCH(C329,eq_code,0)),"Équipement inconnu",IF(E329="","Type manquant",IF(AND(E329&lt;&gt;"Préventif",E329&lt;&gt;"Correctif",E329&lt;&gt;"Amélioratif"),"Type inconnu",IF(I329="","Statut manquant",IF(AND(I329&lt;&gt;"Terminée",I329&lt;&gt;"En cours",I329&lt;&gt;"À faire",I329&lt;&gt;"Annulée"),"Statut inconnu",IF(AND(E329="Préventif",F329=""),"Plan manquant (préventif)",IF(AND(F329&lt;&gt;"",ISNA(MATCH(F329,pl_num,0))),"Plan inconnu",IF(AND(F329&lt;&gt;"",IFERROR(INDEX(pl_eq,MATCH(F329,pl_num,0))&amp;"",C329)&lt;&gt;C329),"Plan d'un autre équipement",IF(AND(J329&lt;&gt;"",OR(NOT(ISNUMBER(J329)),N(J329)&lt;0)),"Compteur invalide",IF(OR(AND(K329&lt;&gt;"",OR(NOT(ISNUMBER(K329)),N(K329)&lt;0)),AND(L329&lt;&gt;"",OR(NOT(ISNUMBER(L329)),N(L329)&lt;0))),"Durée invalide",IF(OR(AND(N329&lt;&gt;"",OR(NOT(ISNUMBER(N329)),N(N329)&lt;0)),AND(P329&lt;&gt;"",OR(NOT(ISNUMBER(P329)),N(P329)&lt;0))),"Coût invalide",IF(AND(M329&lt;&gt;"",ISNA(MATCH(M329,tech_name,0))),"Technicien inconnu",IF(AND(I329="Terminée",S329&gt;p_today),"Terminée à une date future",IF(AND(I329="Terminée",V329=0),"Durée d'intervention manquante",IF(AND(I329="Terminée",E329="Préventif",T329=0,OR(IFERROR(INDEX(pl_trig,MATCH(F329,pl_num,0))&amp;"","")="Compteur",IFERROR(INDEX(pl_trig,MATCH(F329,pl_num,0))&amp;"","")="Au premier des deux")),"Compteur manquant (plan au compteur)","OK"))))))))))))))))))</f>
        <v/>
      </c>
      <c r="S329" s="67">
        <f>IF(AND(ISNUMBER(B329),N(B329)&gt;0),INT(B329),0)</f>
        <v>0.0</v>
      </c>
      <c r="T329" s="67">
        <f>IF(AND(ISNUMBER(J329),N(J329)&gt;=0),N(J329),0)</f>
        <v>0.0</v>
      </c>
      <c r="U329" s="67">
        <f>IF(AND(ISNUMBER(K329),N(K329)&gt;0),N(K329),0)</f>
        <v>0.0</v>
      </c>
      <c r="V329" s="67">
        <f>IF(AND(ISNUMBER(L329),N(L329)&gt;0),N(L329),0)</f>
        <v>0.0</v>
      </c>
      <c r="W329" s="67">
        <f>IF(AND(I329="Terminée",S329&gt;0,C329&lt;&gt;"",ISNUMBER(MATCH(C329,eq_code,0))),1,0)</f>
        <v>0.0</v>
      </c>
      <c r="X329" s="67">
        <f>IF(AND(W329=1,E329="Préventif"),1,0)</f>
        <v>0.0</v>
      </c>
      <c r="Y329" s="67">
        <f>IF(AND(ISNUMBER(N329),N(N329)&gt;0),N(N329),0)</f>
        <v>0.0</v>
      </c>
      <c r="Z329" s="67">
        <f>IF(AND(ISNUMBER(P329),N(P329)&gt;0),N(P329),0)</f>
        <v>0.0</v>
      </c>
    </row>
    <row r="330">
      <c r="A330" s="79" t="str">
        <f>IF(COUNTA(B330:C330,E330:G330,I330)=0,"","BI-"&amp;RIGHT("0000"&amp;(ROW()-5),4))</f>
        <v/>
      </c>
      <c r="B330" s="72" t="n"/>
      <c r="C330" s="66" t="n"/>
      <c r="D330" s="67" t="str">
        <f>IF(C330="","",IFERROR(INDEX(eq_des,MATCH(C330,eq_code,0))&amp;"","Équipement inconnu"))</f>
        <v/>
      </c>
      <c r="E330" s="68" t="n"/>
      <c r="F330" s="68" t="n"/>
      <c r="G330" s="66" t="n"/>
      <c r="H330" s="66" t="n"/>
      <c r="I330" s="68" t="n"/>
      <c r="J330" s="73" t="n"/>
      <c r="K330" s="71" t="n"/>
      <c r="L330" s="71" t="n"/>
      <c r="M330" s="66" t="n"/>
      <c r="N330" s="80" t="n"/>
      <c r="O330" s="81" t="str">
        <f>IF(A330="","",ROUND(V330*IFERROR(N(INDEX(tech_rate,MATCH(M330,tech_name,0))),0),2))</f>
        <v/>
      </c>
      <c r="P330" s="80" t="n"/>
      <c r="Q330" s="81" t="str">
        <f>IF(A330="","",ROUND(Y330+O330+Z330,2))</f>
        <v/>
      </c>
      <c r="R330" s="79" t="str">
        <f>IF(A330="","",IF(S330=0,"Date manquante ou invalide",IF(C330="","Équipement manquant",IF(ISNA(MATCH(C330,eq_code,0)),"Équipement inconnu",IF(E330="","Type manquant",IF(AND(E330&lt;&gt;"Préventif",E330&lt;&gt;"Correctif",E330&lt;&gt;"Amélioratif"),"Type inconnu",IF(I330="","Statut manquant",IF(AND(I330&lt;&gt;"Terminée",I330&lt;&gt;"En cours",I330&lt;&gt;"À faire",I330&lt;&gt;"Annulée"),"Statut inconnu",IF(AND(E330="Préventif",F330=""),"Plan manquant (préventif)",IF(AND(F330&lt;&gt;"",ISNA(MATCH(F330,pl_num,0))),"Plan inconnu",IF(AND(F330&lt;&gt;"",IFERROR(INDEX(pl_eq,MATCH(F330,pl_num,0))&amp;"",C330)&lt;&gt;C330),"Plan d'un autre équipement",IF(AND(J330&lt;&gt;"",OR(NOT(ISNUMBER(J330)),N(J330)&lt;0)),"Compteur invalide",IF(OR(AND(K330&lt;&gt;"",OR(NOT(ISNUMBER(K330)),N(K330)&lt;0)),AND(L330&lt;&gt;"",OR(NOT(ISNUMBER(L330)),N(L330)&lt;0))),"Durée invalide",IF(OR(AND(N330&lt;&gt;"",OR(NOT(ISNUMBER(N330)),N(N330)&lt;0)),AND(P330&lt;&gt;"",OR(NOT(ISNUMBER(P330)),N(P330)&lt;0))),"Coût invalide",IF(AND(M330&lt;&gt;"",ISNA(MATCH(M330,tech_name,0))),"Technicien inconnu",IF(AND(I330="Terminée",S330&gt;p_today),"Terminée à une date future",IF(AND(I330="Terminée",V330=0),"Durée d'intervention manquante",IF(AND(I330="Terminée",E330="Préventif",T330=0,OR(IFERROR(INDEX(pl_trig,MATCH(F330,pl_num,0))&amp;"","")="Compteur",IFERROR(INDEX(pl_trig,MATCH(F330,pl_num,0))&amp;"","")="Au premier des deux")),"Compteur manquant (plan au compteur)","OK"))))))))))))))))))</f>
        <v/>
      </c>
      <c r="S330" s="67">
        <f>IF(AND(ISNUMBER(B330),N(B330)&gt;0),INT(B330),0)</f>
        <v>0.0</v>
      </c>
      <c r="T330" s="67">
        <f>IF(AND(ISNUMBER(J330),N(J330)&gt;=0),N(J330),0)</f>
        <v>0.0</v>
      </c>
      <c r="U330" s="67">
        <f>IF(AND(ISNUMBER(K330),N(K330)&gt;0),N(K330),0)</f>
        <v>0.0</v>
      </c>
      <c r="V330" s="67">
        <f>IF(AND(ISNUMBER(L330),N(L330)&gt;0),N(L330),0)</f>
        <v>0.0</v>
      </c>
      <c r="W330" s="67">
        <f>IF(AND(I330="Terminée",S330&gt;0,C330&lt;&gt;"",ISNUMBER(MATCH(C330,eq_code,0))),1,0)</f>
        <v>0.0</v>
      </c>
      <c r="X330" s="67">
        <f>IF(AND(W330=1,E330="Préventif"),1,0)</f>
        <v>0.0</v>
      </c>
      <c r="Y330" s="67">
        <f>IF(AND(ISNUMBER(N330),N(N330)&gt;0),N(N330),0)</f>
        <v>0.0</v>
      </c>
      <c r="Z330" s="67">
        <f>IF(AND(ISNUMBER(P330),N(P330)&gt;0),N(P330),0)</f>
        <v>0.0</v>
      </c>
    </row>
    <row r="331">
      <c r="A331" s="79" t="str">
        <f>IF(COUNTA(B331:C331,E331:G331,I331)=0,"","BI-"&amp;RIGHT("0000"&amp;(ROW()-5),4))</f>
        <v/>
      </c>
      <c r="B331" s="72" t="n"/>
      <c r="C331" s="66" t="n"/>
      <c r="D331" s="67" t="str">
        <f>IF(C331="","",IFERROR(INDEX(eq_des,MATCH(C331,eq_code,0))&amp;"","Équipement inconnu"))</f>
        <v/>
      </c>
      <c r="E331" s="68" t="n"/>
      <c r="F331" s="68" t="n"/>
      <c r="G331" s="66" t="n"/>
      <c r="H331" s="66" t="n"/>
      <c r="I331" s="68" t="n"/>
      <c r="J331" s="73" t="n"/>
      <c r="K331" s="71" t="n"/>
      <c r="L331" s="71" t="n"/>
      <c r="M331" s="66" t="n"/>
      <c r="N331" s="80" t="n"/>
      <c r="O331" s="81" t="str">
        <f>IF(A331="","",ROUND(V331*IFERROR(N(INDEX(tech_rate,MATCH(M331,tech_name,0))),0),2))</f>
        <v/>
      </c>
      <c r="P331" s="80" t="n"/>
      <c r="Q331" s="81" t="str">
        <f>IF(A331="","",ROUND(Y331+O331+Z331,2))</f>
        <v/>
      </c>
      <c r="R331" s="79" t="str">
        <f>IF(A331="","",IF(S331=0,"Date manquante ou invalide",IF(C331="","Équipement manquant",IF(ISNA(MATCH(C331,eq_code,0)),"Équipement inconnu",IF(E331="","Type manquant",IF(AND(E331&lt;&gt;"Préventif",E331&lt;&gt;"Correctif",E331&lt;&gt;"Amélioratif"),"Type inconnu",IF(I331="","Statut manquant",IF(AND(I331&lt;&gt;"Terminée",I331&lt;&gt;"En cours",I331&lt;&gt;"À faire",I331&lt;&gt;"Annulée"),"Statut inconnu",IF(AND(E331="Préventif",F331=""),"Plan manquant (préventif)",IF(AND(F331&lt;&gt;"",ISNA(MATCH(F331,pl_num,0))),"Plan inconnu",IF(AND(F331&lt;&gt;"",IFERROR(INDEX(pl_eq,MATCH(F331,pl_num,0))&amp;"",C331)&lt;&gt;C331),"Plan d'un autre équipement",IF(AND(J331&lt;&gt;"",OR(NOT(ISNUMBER(J331)),N(J331)&lt;0)),"Compteur invalide",IF(OR(AND(K331&lt;&gt;"",OR(NOT(ISNUMBER(K331)),N(K331)&lt;0)),AND(L331&lt;&gt;"",OR(NOT(ISNUMBER(L331)),N(L331)&lt;0))),"Durée invalide",IF(OR(AND(N331&lt;&gt;"",OR(NOT(ISNUMBER(N331)),N(N331)&lt;0)),AND(P331&lt;&gt;"",OR(NOT(ISNUMBER(P331)),N(P331)&lt;0))),"Coût invalide",IF(AND(M331&lt;&gt;"",ISNA(MATCH(M331,tech_name,0))),"Technicien inconnu",IF(AND(I331="Terminée",S331&gt;p_today),"Terminée à une date future",IF(AND(I331="Terminée",V331=0),"Durée d'intervention manquante",IF(AND(I331="Terminée",E331="Préventif",T331=0,OR(IFERROR(INDEX(pl_trig,MATCH(F331,pl_num,0))&amp;"","")="Compteur",IFERROR(INDEX(pl_trig,MATCH(F331,pl_num,0))&amp;"","")="Au premier des deux")),"Compteur manquant (plan au compteur)","OK"))))))))))))))))))</f>
        <v/>
      </c>
      <c r="S331" s="67">
        <f>IF(AND(ISNUMBER(B331),N(B331)&gt;0),INT(B331),0)</f>
        <v>0.0</v>
      </c>
      <c r="T331" s="67">
        <f>IF(AND(ISNUMBER(J331),N(J331)&gt;=0),N(J331),0)</f>
        <v>0.0</v>
      </c>
      <c r="U331" s="67">
        <f>IF(AND(ISNUMBER(K331),N(K331)&gt;0),N(K331),0)</f>
        <v>0.0</v>
      </c>
      <c r="V331" s="67">
        <f>IF(AND(ISNUMBER(L331),N(L331)&gt;0),N(L331),0)</f>
        <v>0.0</v>
      </c>
      <c r="W331" s="67">
        <f>IF(AND(I331="Terminée",S331&gt;0,C331&lt;&gt;"",ISNUMBER(MATCH(C331,eq_code,0))),1,0)</f>
        <v>0.0</v>
      </c>
      <c r="X331" s="67">
        <f>IF(AND(W331=1,E331="Préventif"),1,0)</f>
        <v>0.0</v>
      </c>
      <c r="Y331" s="67">
        <f>IF(AND(ISNUMBER(N331),N(N331)&gt;0),N(N331),0)</f>
        <v>0.0</v>
      </c>
      <c r="Z331" s="67">
        <f>IF(AND(ISNUMBER(P331),N(P331)&gt;0),N(P331),0)</f>
        <v>0.0</v>
      </c>
    </row>
    <row r="332">
      <c r="A332" s="79" t="str">
        <f>IF(COUNTA(B332:C332,E332:G332,I332)=0,"","BI-"&amp;RIGHT("0000"&amp;(ROW()-5),4))</f>
        <v/>
      </c>
      <c r="B332" s="72" t="n"/>
      <c r="C332" s="66" t="n"/>
      <c r="D332" s="67" t="str">
        <f>IF(C332="","",IFERROR(INDEX(eq_des,MATCH(C332,eq_code,0))&amp;"","Équipement inconnu"))</f>
        <v/>
      </c>
      <c r="E332" s="68" t="n"/>
      <c r="F332" s="68" t="n"/>
      <c r="G332" s="66" t="n"/>
      <c r="H332" s="66" t="n"/>
      <c r="I332" s="68" t="n"/>
      <c r="J332" s="73" t="n"/>
      <c r="K332" s="71" t="n"/>
      <c r="L332" s="71" t="n"/>
      <c r="M332" s="66" t="n"/>
      <c r="N332" s="80" t="n"/>
      <c r="O332" s="81" t="str">
        <f>IF(A332="","",ROUND(V332*IFERROR(N(INDEX(tech_rate,MATCH(M332,tech_name,0))),0),2))</f>
        <v/>
      </c>
      <c r="P332" s="80" t="n"/>
      <c r="Q332" s="81" t="str">
        <f>IF(A332="","",ROUND(Y332+O332+Z332,2))</f>
        <v/>
      </c>
      <c r="R332" s="79" t="str">
        <f>IF(A332="","",IF(S332=0,"Date manquante ou invalide",IF(C332="","Équipement manquant",IF(ISNA(MATCH(C332,eq_code,0)),"Équipement inconnu",IF(E332="","Type manquant",IF(AND(E332&lt;&gt;"Préventif",E332&lt;&gt;"Correctif",E332&lt;&gt;"Amélioratif"),"Type inconnu",IF(I332="","Statut manquant",IF(AND(I332&lt;&gt;"Terminée",I332&lt;&gt;"En cours",I332&lt;&gt;"À faire",I332&lt;&gt;"Annulée"),"Statut inconnu",IF(AND(E332="Préventif",F332=""),"Plan manquant (préventif)",IF(AND(F332&lt;&gt;"",ISNA(MATCH(F332,pl_num,0))),"Plan inconnu",IF(AND(F332&lt;&gt;"",IFERROR(INDEX(pl_eq,MATCH(F332,pl_num,0))&amp;"",C332)&lt;&gt;C332),"Plan d'un autre équipement",IF(AND(J332&lt;&gt;"",OR(NOT(ISNUMBER(J332)),N(J332)&lt;0)),"Compteur invalide",IF(OR(AND(K332&lt;&gt;"",OR(NOT(ISNUMBER(K332)),N(K332)&lt;0)),AND(L332&lt;&gt;"",OR(NOT(ISNUMBER(L332)),N(L332)&lt;0))),"Durée invalide",IF(OR(AND(N332&lt;&gt;"",OR(NOT(ISNUMBER(N332)),N(N332)&lt;0)),AND(P332&lt;&gt;"",OR(NOT(ISNUMBER(P332)),N(P332)&lt;0))),"Coût invalide",IF(AND(M332&lt;&gt;"",ISNA(MATCH(M332,tech_name,0))),"Technicien inconnu",IF(AND(I332="Terminée",S332&gt;p_today),"Terminée à une date future",IF(AND(I332="Terminée",V332=0),"Durée d'intervention manquante",IF(AND(I332="Terminée",E332="Préventif",T332=0,OR(IFERROR(INDEX(pl_trig,MATCH(F332,pl_num,0))&amp;"","")="Compteur",IFERROR(INDEX(pl_trig,MATCH(F332,pl_num,0))&amp;"","")="Au premier des deux")),"Compteur manquant (plan au compteur)","OK"))))))))))))))))))</f>
        <v/>
      </c>
      <c r="S332" s="67">
        <f>IF(AND(ISNUMBER(B332),N(B332)&gt;0),INT(B332),0)</f>
        <v>0.0</v>
      </c>
      <c r="T332" s="67">
        <f>IF(AND(ISNUMBER(J332),N(J332)&gt;=0),N(J332),0)</f>
        <v>0.0</v>
      </c>
      <c r="U332" s="67">
        <f>IF(AND(ISNUMBER(K332),N(K332)&gt;0),N(K332),0)</f>
        <v>0.0</v>
      </c>
      <c r="V332" s="67">
        <f>IF(AND(ISNUMBER(L332),N(L332)&gt;0),N(L332),0)</f>
        <v>0.0</v>
      </c>
      <c r="W332" s="67">
        <f>IF(AND(I332="Terminée",S332&gt;0,C332&lt;&gt;"",ISNUMBER(MATCH(C332,eq_code,0))),1,0)</f>
        <v>0.0</v>
      </c>
      <c r="X332" s="67">
        <f>IF(AND(W332=1,E332="Préventif"),1,0)</f>
        <v>0.0</v>
      </c>
      <c r="Y332" s="67">
        <f>IF(AND(ISNUMBER(N332),N(N332)&gt;0),N(N332),0)</f>
        <v>0.0</v>
      </c>
      <c r="Z332" s="67">
        <f>IF(AND(ISNUMBER(P332),N(P332)&gt;0),N(P332),0)</f>
        <v>0.0</v>
      </c>
    </row>
    <row r="333">
      <c r="A333" s="79" t="str">
        <f>IF(COUNTA(B333:C333,E333:G333,I333)=0,"","BI-"&amp;RIGHT("0000"&amp;(ROW()-5),4))</f>
        <v/>
      </c>
      <c r="B333" s="72" t="n"/>
      <c r="C333" s="66" t="n"/>
      <c r="D333" s="67" t="str">
        <f>IF(C333="","",IFERROR(INDEX(eq_des,MATCH(C333,eq_code,0))&amp;"","Équipement inconnu"))</f>
        <v/>
      </c>
      <c r="E333" s="68" t="n"/>
      <c r="F333" s="68" t="n"/>
      <c r="G333" s="66" t="n"/>
      <c r="H333" s="66" t="n"/>
      <c r="I333" s="68" t="n"/>
      <c r="J333" s="73" t="n"/>
      <c r="K333" s="71" t="n"/>
      <c r="L333" s="71" t="n"/>
      <c r="M333" s="66" t="n"/>
      <c r="N333" s="80" t="n"/>
      <c r="O333" s="81" t="str">
        <f>IF(A333="","",ROUND(V333*IFERROR(N(INDEX(tech_rate,MATCH(M333,tech_name,0))),0),2))</f>
        <v/>
      </c>
      <c r="P333" s="80" t="n"/>
      <c r="Q333" s="81" t="str">
        <f>IF(A333="","",ROUND(Y333+O333+Z333,2))</f>
        <v/>
      </c>
      <c r="R333" s="79" t="str">
        <f>IF(A333="","",IF(S333=0,"Date manquante ou invalide",IF(C333="","Équipement manquant",IF(ISNA(MATCH(C333,eq_code,0)),"Équipement inconnu",IF(E333="","Type manquant",IF(AND(E333&lt;&gt;"Préventif",E333&lt;&gt;"Correctif",E333&lt;&gt;"Amélioratif"),"Type inconnu",IF(I333="","Statut manquant",IF(AND(I333&lt;&gt;"Terminée",I333&lt;&gt;"En cours",I333&lt;&gt;"À faire",I333&lt;&gt;"Annulée"),"Statut inconnu",IF(AND(E333="Préventif",F333=""),"Plan manquant (préventif)",IF(AND(F333&lt;&gt;"",ISNA(MATCH(F333,pl_num,0))),"Plan inconnu",IF(AND(F333&lt;&gt;"",IFERROR(INDEX(pl_eq,MATCH(F333,pl_num,0))&amp;"",C333)&lt;&gt;C333),"Plan d'un autre équipement",IF(AND(J333&lt;&gt;"",OR(NOT(ISNUMBER(J333)),N(J333)&lt;0)),"Compteur invalide",IF(OR(AND(K333&lt;&gt;"",OR(NOT(ISNUMBER(K333)),N(K333)&lt;0)),AND(L333&lt;&gt;"",OR(NOT(ISNUMBER(L333)),N(L333)&lt;0))),"Durée invalide",IF(OR(AND(N333&lt;&gt;"",OR(NOT(ISNUMBER(N333)),N(N333)&lt;0)),AND(P333&lt;&gt;"",OR(NOT(ISNUMBER(P333)),N(P333)&lt;0))),"Coût invalide",IF(AND(M333&lt;&gt;"",ISNA(MATCH(M333,tech_name,0))),"Technicien inconnu",IF(AND(I333="Terminée",S333&gt;p_today),"Terminée à une date future",IF(AND(I333="Terminée",V333=0),"Durée d'intervention manquante",IF(AND(I333="Terminée",E333="Préventif",T333=0,OR(IFERROR(INDEX(pl_trig,MATCH(F333,pl_num,0))&amp;"","")="Compteur",IFERROR(INDEX(pl_trig,MATCH(F333,pl_num,0))&amp;"","")="Au premier des deux")),"Compteur manquant (plan au compteur)","OK"))))))))))))))))))</f>
        <v/>
      </c>
      <c r="S333" s="67">
        <f>IF(AND(ISNUMBER(B333),N(B333)&gt;0),INT(B333),0)</f>
        <v>0.0</v>
      </c>
      <c r="T333" s="67">
        <f>IF(AND(ISNUMBER(J333),N(J333)&gt;=0),N(J333),0)</f>
        <v>0.0</v>
      </c>
      <c r="U333" s="67">
        <f>IF(AND(ISNUMBER(K333),N(K333)&gt;0),N(K333),0)</f>
        <v>0.0</v>
      </c>
      <c r="V333" s="67">
        <f>IF(AND(ISNUMBER(L333),N(L333)&gt;0),N(L333),0)</f>
        <v>0.0</v>
      </c>
      <c r="W333" s="67">
        <f>IF(AND(I333="Terminée",S333&gt;0,C333&lt;&gt;"",ISNUMBER(MATCH(C333,eq_code,0))),1,0)</f>
        <v>0.0</v>
      </c>
      <c r="X333" s="67">
        <f>IF(AND(W333=1,E333="Préventif"),1,0)</f>
        <v>0.0</v>
      </c>
      <c r="Y333" s="67">
        <f>IF(AND(ISNUMBER(N333),N(N333)&gt;0),N(N333),0)</f>
        <v>0.0</v>
      </c>
      <c r="Z333" s="67">
        <f>IF(AND(ISNUMBER(P333),N(P333)&gt;0),N(P333),0)</f>
        <v>0.0</v>
      </c>
    </row>
    <row r="334">
      <c r="A334" s="79" t="str">
        <f>IF(COUNTA(B334:C334,E334:G334,I334)=0,"","BI-"&amp;RIGHT("0000"&amp;(ROW()-5),4))</f>
        <v/>
      </c>
      <c r="B334" s="72" t="n"/>
      <c r="C334" s="66" t="n"/>
      <c r="D334" s="67" t="str">
        <f>IF(C334="","",IFERROR(INDEX(eq_des,MATCH(C334,eq_code,0))&amp;"","Équipement inconnu"))</f>
        <v/>
      </c>
      <c r="E334" s="68" t="n"/>
      <c r="F334" s="68" t="n"/>
      <c r="G334" s="66" t="n"/>
      <c r="H334" s="66" t="n"/>
      <c r="I334" s="68" t="n"/>
      <c r="J334" s="73" t="n"/>
      <c r="K334" s="71" t="n"/>
      <c r="L334" s="71" t="n"/>
      <c r="M334" s="66" t="n"/>
      <c r="N334" s="80" t="n"/>
      <c r="O334" s="81" t="str">
        <f>IF(A334="","",ROUND(V334*IFERROR(N(INDEX(tech_rate,MATCH(M334,tech_name,0))),0),2))</f>
        <v/>
      </c>
      <c r="P334" s="80" t="n"/>
      <c r="Q334" s="81" t="str">
        <f>IF(A334="","",ROUND(Y334+O334+Z334,2))</f>
        <v/>
      </c>
      <c r="R334" s="79" t="str">
        <f>IF(A334="","",IF(S334=0,"Date manquante ou invalide",IF(C334="","Équipement manquant",IF(ISNA(MATCH(C334,eq_code,0)),"Équipement inconnu",IF(E334="","Type manquant",IF(AND(E334&lt;&gt;"Préventif",E334&lt;&gt;"Correctif",E334&lt;&gt;"Amélioratif"),"Type inconnu",IF(I334="","Statut manquant",IF(AND(I334&lt;&gt;"Terminée",I334&lt;&gt;"En cours",I334&lt;&gt;"À faire",I334&lt;&gt;"Annulée"),"Statut inconnu",IF(AND(E334="Préventif",F334=""),"Plan manquant (préventif)",IF(AND(F334&lt;&gt;"",ISNA(MATCH(F334,pl_num,0))),"Plan inconnu",IF(AND(F334&lt;&gt;"",IFERROR(INDEX(pl_eq,MATCH(F334,pl_num,0))&amp;"",C334)&lt;&gt;C334),"Plan d'un autre équipement",IF(AND(J334&lt;&gt;"",OR(NOT(ISNUMBER(J334)),N(J334)&lt;0)),"Compteur invalide",IF(OR(AND(K334&lt;&gt;"",OR(NOT(ISNUMBER(K334)),N(K334)&lt;0)),AND(L334&lt;&gt;"",OR(NOT(ISNUMBER(L334)),N(L334)&lt;0))),"Durée invalide",IF(OR(AND(N334&lt;&gt;"",OR(NOT(ISNUMBER(N334)),N(N334)&lt;0)),AND(P334&lt;&gt;"",OR(NOT(ISNUMBER(P334)),N(P334)&lt;0))),"Coût invalide",IF(AND(M334&lt;&gt;"",ISNA(MATCH(M334,tech_name,0))),"Technicien inconnu",IF(AND(I334="Terminée",S334&gt;p_today),"Terminée à une date future",IF(AND(I334="Terminée",V334=0),"Durée d'intervention manquante",IF(AND(I334="Terminée",E334="Préventif",T334=0,OR(IFERROR(INDEX(pl_trig,MATCH(F334,pl_num,0))&amp;"","")="Compteur",IFERROR(INDEX(pl_trig,MATCH(F334,pl_num,0))&amp;"","")="Au premier des deux")),"Compteur manquant (plan au compteur)","OK"))))))))))))))))))</f>
        <v/>
      </c>
      <c r="S334" s="67">
        <f>IF(AND(ISNUMBER(B334),N(B334)&gt;0),INT(B334),0)</f>
        <v>0.0</v>
      </c>
      <c r="T334" s="67">
        <f>IF(AND(ISNUMBER(J334),N(J334)&gt;=0),N(J334),0)</f>
        <v>0.0</v>
      </c>
      <c r="U334" s="67">
        <f>IF(AND(ISNUMBER(K334),N(K334)&gt;0),N(K334),0)</f>
        <v>0.0</v>
      </c>
      <c r="V334" s="67">
        <f>IF(AND(ISNUMBER(L334),N(L334)&gt;0),N(L334),0)</f>
        <v>0.0</v>
      </c>
      <c r="W334" s="67">
        <f>IF(AND(I334="Terminée",S334&gt;0,C334&lt;&gt;"",ISNUMBER(MATCH(C334,eq_code,0))),1,0)</f>
        <v>0.0</v>
      </c>
      <c r="X334" s="67">
        <f>IF(AND(W334=1,E334="Préventif"),1,0)</f>
        <v>0.0</v>
      </c>
      <c r="Y334" s="67">
        <f>IF(AND(ISNUMBER(N334),N(N334)&gt;0),N(N334),0)</f>
        <v>0.0</v>
      </c>
      <c r="Z334" s="67">
        <f>IF(AND(ISNUMBER(P334),N(P334)&gt;0),N(P334),0)</f>
        <v>0.0</v>
      </c>
    </row>
    <row r="335">
      <c r="A335" s="79" t="str">
        <f>IF(COUNTA(B335:C335,E335:G335,I335)=0,"","BI-"&amp;RIGHT("0000"&amp;(ROW()-5),4))</f>
        <v/>
      </c>
      <c r="B335" s="72" t="n"/>
      <c r="C335" s="66" t="n"/>
      <c r="D335" s="67" t="str">
        <f>IF(C335="","",IFERROR(INDEX(eq_des,MATCH(C335,eq_code,0))&amp;"","Équipement inconnu"))</f>
        <v/>
      </c>
      <c r="E335" s="68" t="n"/>
      <c r="F335" s="68" t="n"/>
      <c r="G335" s="66" t="n"/>
      <c r="H335" s="66" t="n"/>
      <c r="I335" s="68" t="n"/>
      <c r="J335" s="73" t="n"/>
      <c r="K335" s="71" t="n"/>
      <c r="L335" s="71" t="n"/>
      <c r="M335" s="66" t="n"/>
      <c r="N335" s="80" t="n"/>
      <c r="O335" s="81" t="str">
        <f>IF(A335="","",ROUND(V335*IFERROR(N(INDEX(tech_rate,MATCH(M335,tech_name,0))),0),2))</f>
        <v/>
      </c>
      <c r="P335" s="80" t="n"/>
      <c r="Q335" s="81" t="str">
        <f>IF(A335="","",ROUND(Y335+O335+Z335,2))</f>
        <v/>
      </c>
      <c r="R335" s="79" t="str">
        <f>IF(A335="","",IF(S335=0,"Date manquante ou invalide",IF(C335="","Équipement manquant",IF(ISNA(MATCH(C335,eq_code,0)),"Équipement inconnu",IF(E335="","Type manquant",IF(AND(E335&lt;&gt;"Préventif",E335&lt;&gt;"Correctif",E335&lt;&gt;"Amélioratif"),"Type inconnu",IF(I335="","Statut manquant",IF(AND(I335&lt;&gt;"Terminée",I335&lt;&gt;"En cours",I335&lt;&gt;"À faire",I335&lt;&gt;"Annulée"),"Statut inconnu",IF(AND(E335="Préventif",F335=""),"Plan manquant (préventif)",IF(AND(F335&lt;&gt;"",ISNA(MATCH(F335,pl_num,0))),"Plan inconnu",IF(AND(F335&lt;&gt;"",IFERROR(INDEX(pl_eq,MATCH(F335,pl_num,0))&amp;"",C335)&lt;&gt;C335),"Plan d'un autre équipement",IF(AND(J335&lt;&gt;"",OR(NOT(ISNUMBER(J335)),N(J335)&lt;0)),"Compteur invalide",IF(OR(AND(K335&lt;&gt;"",OR(NOT(ISNUMBER(K335)),N(K335)&lt;0)),AND(L335&lt;&gt;"",OR(NOT(ISNUMBER(L335)),N(L335)&lt;0))),"Durée invalide",IF(OR(AND(N335&lt;&gt;"",OR(NOT(ISNUMBER(N335)),N(N335)&lt;0)),AND(P335&lt;&gt;"",OR(NOT(ISNUMBER(P335)),N(P335)&lt;0))),"Coût invalide",IF(AND(M335&lt;&gt;"",ISNA(MATCH(M335,tech_name,0))),"Technicien inconnu",IF(AND(I335="Terminée",S335&gt;p_today),"Terminée à une date future",IF(AND(I335="Terminée",V335=0),"Durée d'intervention manquante",IF(AND(I335="Terminée",E335="Préventif",T335=0,OR(IFERROR(INDEX(pl_trig,MATCH(F335,pl_num,0))&amp;"","")="Compteur",IFERROR(INDEX(pl_trig,MATCH(F335,pl_num,0))&amp;"","")="Au premier des deux")),"Compteur manquant (plan au compteur)","OK"))))))))))))))))))</f>
        <v/>
      </c>
      <c r="S335" s="67">
        <f>IF(AND(ISNUMBER(B335),N(B335)&gt;0),INT(B335),0)</f>
        <v>0.0</v>
      </c>
      <c r="T335" s="67">
        <f>IF(AND(ISNUMBER(J335),N(J335)&gt;=0),N(J335),0)</f>
        <v>0.0</v>
      </c>
      <c r="U335" s="67">
        <f>IF(AND(ISNUMBER(K335),N(K335)&gt;0),N(K335),0)</f>
        <v>0.0</v>
      </c>
      <c r="V335" s="67">
        <f>IF(AND(ISNUMBER(L335),N(L335)&gt;0),N(L335),0)</f>
        <v>0.0</v>
      </c>
      <c r="W335" s="67">
        <f>IF(AND(I335="Terminée",S335&gt;0,C335&lt;&gt;"",ISNUMBER(MATCH(C335,eq_code,0))),1,0)</f>
        <v>0.0</v>
      </c>
      <c r="X335" s="67">
        <f>IF(AND(W335=1,E335="Préventif"),1,0)</f>
        <v>0.0</v>
      </c>
      <c r="Y335" s="67">
        <f>IF(AND(ISNUMBER(N335),N(N335)&gt;0),N(N335),0)</f>
        <v>0.0</v>
      </c>
      <c r="Z335" s="67">
        <f>IF(AND(ISNUMBER(P335),N(P335)&gt;0),N(P335),0)</f>
        <v>0.0</v>
      </c>
    </row>
    <row r="336">
      <c r="A336" s="79" t="str">
        <f>IF(COUNTA(B336:C336,E336:G336,I336)=0,"","BI-"&amp;RIGHT("0000"&amp;(ROW()-5),4))</f>
        <v/>
      </c>
      <c r="B336" s="72" t="n"/>
      <c r="C336" s="66" t="n"/>
      <c r="D336" s="67" t="str">
        <f>IF(C336="","",IFERROR(INDEX(eq_des,MATCH(C336,eq_code,0))&amp;"","Équipement inconnu"))</f>
        <v/>
      </c>
      <c r="E336" s="68" t="n"/>
      <c r="F336" s="68" t="n"/>
      <c r="G336" s="66" t="n"/>
      <c r="H336" s="66" t="n"/>
      <c r="I336" s="68" t="n"/>
      <c r="J336" s="73" t="n"/>
      <c r="K336" s="71" t="n"/>
      <c r="L336" s="71" t="n"/>
      <c r="M336" s="66" t="n"/>
      <c r="N336" s="80" t="n"/>
      <c r="O336" s="81" t="str">
        <f>IF(A336="","",ROUND(V336*IFERROR(N(INDEX(tech_rate,MATCH(M336,tech_name,0))),0),2))</f>
        <v/>
      </c>
      <c r="P336" s="80" t="n"/>
      <c r="Q336" s="81" t="str">
        <f>IF(A336="","",ROUND(Y336+O336+Z336,2))</f>
        <v/>
      </c>
      <c r="R336" s="79" t="str">
        <f>IF(A336="","",IF(S336=0,"Date manquante ou invalide",IF(C336="","Équipement manquant",IF(ISNA(MATCH(C336,eq_code,0)),"Équipement inconnu",IF(E336="","Type manquant",IF(AND(E336&lt;&gt;"Préventif",E336&lt;&gt;"Correctif",E336&lt;&gt;"Amélioratif"),"Type inconnu",IF(I336="","Statut manquant",IF(AND(I336&lt;&gt;"Terminée",I336&lt;&gt;"En cours",I336&lt;&gt;"À faire",I336&lt;&gt;"Annulée"),"Statut inconnu",IF(AND(E336="Préventif",F336=""),"Plan manquant (préventif)",IF(AND(F336&lt;&gt;"",ISNA(MATCH(F336,pl_num,0))),"Plan inconnu",IF(AND(F336&lt;&gt;"",IFERROR(INDEX(pl_eq,MATCH(F336,pl_num,0))&amp;"",C336)&lt;&gt;C336),"Plan d'un autre équipement",IF(AND(J336&lt;&gt;"",OR(NOT(ISNUMBER(J336)),N(J336)&lt;0)),"Compteur invalide",IF(OR(AND(K336&lt;&gt;"",OR(NOT(ISNUMBER(K336)),N(K336)&lt;0)),AND(L336&lt;&gt;"",OR(NOT(ISNUMBER(L336)),N(L336)&lt;0))),"Durée invalide",IF(OR(AND(N336&lt;&gt;"",OR(NOT(ISNUMBER(N336)),N(N336)&lt;0)),AND(P336&lt;&gt;"",OR(NOT(ISNUMBER(P336)),N(P336)&lt;0))),"Coût invalide",IF(AND(M336&lt;&gt;"",ISNA(MATCH(M336,tech_name,0))),"Technicien inconnu",IF(AND(I336="Terminée",S336&gt;p_today),"Terminée à une date future",IF(AND(I336="Terminée",V336=0),"Durée d'intervention manquante",IF(AND(I336="Terminée",E336="Préventif",T336=0,OR(IFERROR(INDEX(pl_trig,MATCH(F336,pl_num,0))&amp;"","")="Compteur",IFERROR(INDEX(pl_trig,MATCH(F336,pl_num,0))&amp;"","")="Au premier des deux")),"Compteur manquant (plan au compteur)","OK"))))))))))))))))))</f>
        <v/>
      </c>
      <c r="S336" s="67">
        <f>IF(AND(ISNUMBER(B336),N(B336)&gt;0),INT(B336),0)</f>
        <v>0.0</v>
      </c>
      <c r="T336" s="67">
        <f>IF(AND(ISNUMBER(J336),N(J336)&gt;=0),N(J336),0)</f>
        <v>0.0</v>
      </c>
      <c r="U336" s="67">
        <f>IF(AND(ISNUMBER(K336),N(K336)&gt;0),N(K336),0)</f>
        <v>0.0</v>
      </c>
      <c r="V336" s="67">
        <f>IF(AND(ISNUMBER(L336),N(L336)&gt;0),N(L336),0)</f>
        <v>0.0</v>
      </c>
      <c r="W336" s="67">
        <f>IF(AND(I336="Terminée",S336&gt;0,C336&lt;&gt;"",ISNUMBER(MATCH(C336,eq_code,0))),1,0)</f>
        <v>0.0</v>
      </c>
      <c r="X336" s="67">
        <f>IF(AND(W336=1,E336="Préventif"),1,0)</f>
        <v>0.0</v>
      </c>
      <c r="Y336" s="67">
        <f>IF(AND(ISNUMBER(N336),N(N336)&gt;0),N(N336),0)</f>
        <v>0.0</v>
      </c>
      <c r="Z336" s="67">
        <f>IF(AND(ISNUMBER(P336),N(P336)&gt;0),N(P336),0)</f>
        <v>0.0</v>
      </c>
    </row>
    <row r="337">
      <c r="A337" s="79" t="str">
        <f>IF(COUNTA(B337:C337,E337:G337,I337)=0,"","BI-"&amp;RIGHT("0000"&amp;(ROW()-5),4))</f>
        <v/>
      </c>
      <c r="B337" s="72" t="n"/>
      <c r="C337" s="66" t="n"/>
      <c r="D337" s="67" t="str">
        <f>IF(C337="","",IFERROR(INDEX(eq_des,MATCH(C337,eq_code,0))&amp;"","Équipement inconnu"))</f>
        <v/>
      </c>
      <c r="E337" s="68" t="n"/>
      <c r="F337" s="68" t="n"/>
      <c r="G337" s="66" t="n"/>
      <c r="H337" s="66" t="n"/>
      <c r="I337" s="68" t="n"/>
      <c r="J337" s="73" t="n"/>
      <c r="K337" s="71" t="n"/>
      <c r="L337" s="71" t="n"/>
      <c r="M337" s="66" t="n"/>
      <c r="N337" s="80" t="n"/>
      <c r="O337" s="81" t="str">
        <f>IF(A337="","",ROUND(V337*IFERROR(N(INDEX(tech_rate,MATCH(M337,tech_name,0))),0),2))</f>
        <v/>
      </c>
      <c r="P337" s="80" t="n"/>
      <c r="Q337" s="81" t="str">
        <f>IF(A337="","",ROUND(Y337+O337+Z337,2))</f>
        <v/>
      </c>
      <c r="R337" s="79" t="str">
        <f>IF(A337="","",IF(S337=0,"Date manquante ou invalide",IF(C337="","Équipement manquant",IF(ISNA(MATCH(C337,eq_code,0)),"Équipement inconnu",IF(E337="","Type manquant",IF(AND(E337&lt;&gt;"Préventif",E337&lt;&gt;"Correctif",E337&lt;&gt;"Amélioratif"),"Type inconnu",IF(I337="","Statut manquant",IF(AND(I337&lt;&gt;"Terminée",I337&lt;&gt;"En cours",I337&lt;&gt;"À faire",I337&lt;&gt;"Annulée"),"Statut inconnu",IF(AND(E337="Préventif",F337=""),"Plan manquant (préventif)",IF(AND(F337&lt;&gt;"",ISNA(MATCH(F337,pl_num,0))),"Plan inconnu",IF(AND(F337&lt;&gt;"",IFERROR(INDEX(pl_eq,MATCH(F337,pl_num,0))&amp;"",C337)&lt;&gt;C337),"Plan d'un autre équipement",IF(AND(J337&lt;&gt;"",OR(NOT(ISNUMBER(J337)),N(J337)&lt;0)),"Compteur invalide",IF(OR(AND(K337&lt;&gt;"",OR(NOT(ISNUMBER(K337)),N(K337)&lt;0)),AND(L337&lt;&gt;"",OR(NOT(ISNUMBER(L337)),N(L337)&lt;0))),"Durée invalide",IF(OR(AND(N337&lt;&gt;"",OR(NOT(ISNUMBER(N337)),N(N337)&lt;0)),AND(P337&lt;&gt;"",OR(NOT(ISNUMBER(P337)),N(P337)&lt;0))),"Coût invalide",IF(AND(M337&lt;&gt;"",ISNA(MATCH(M337,tech_name,0))),"Technicien inconnu",IF(AND(I337="Terminée",S337&gt;p_today),"Terminée à une date future",IF(AND(I337="Terminée",V337=0),"Durée d'intervention manquante",IF(AND(I337="Terminée",E337="Préventif",T337=0,OR(IFERROR(INDEX(pl_trig,MATCH(F337,pl_num,0))&amp;"","")="Compteur",IFERROR(INDEX(pl_trig,MATCH(F337,pl_num,0))&amp;"","")="Au premier des deux")),"Compteur manquant (plan au compteur)","OK"))))))))))))))))))</f>
        <v/>
      </c>
      <c r="S337" s="67">
        <f>IF(AND(ISNUMBER(B337),N(B337)&gt;0),INT(B337),0)</f>
        <v>0.0</v>
      </c>
      <c r="T337" s="67">
        <f>IF(AND(ISNUMBER(J337),N(J337)&gt;=0),N(J337),0)</f>
        <v>0.0</v>
      </c>
      <c r="U337" s="67">
        <f>IF(AND(ISNUMBER(K337),N(K337)&gt;0),N(K337),0)</f>
        <v>0.0</v>
      </c>
      <c r="V337" s="67">
        <f>IF(AND(ISNUMBER(L337),N(L337)&gt;0),N(L337),0)</f>
        <v>0.0</v>
      </c>
      <c r="W337" s="67">
        <f>IF(AND(I337="Terminée",S337&gt;0,C337&lt;&gt;"",ISNUMBER(MATCH(C337,eq_code,0))),1,0)</f>
        <v>0.0</v>
      </c>
      <c r="X337" s="67">
        <f>IF(AND(W337=1,E337="Préventif"),1,0)</f>
        <v>0.0</v>
      </c>
      <c r="Y337" s="67">
        <f>IF(AND(ISNUMBER(N337),N(N337)&gt;0),N(N337),0)</f>
        <v>0.0</v>
      </c>
      <c r="Z337" s="67">
        <f>IF(AND(ISNUMBER(P337),N(P337)&gt;0),N(P337),0)</f>
        <v>0.0</v>
      </c>
    </row>
    <row r="338">
      <c r="A338" s="79" t="str">
        <f>IF(COUNTA(B338:C338,E338:G338,I338)=0,"","BI-"&amp;RIGHT("0000"&amp;(ROW()-5),4))</f>
        <v/>
      </c>
      <c r="B338" s="72" t="n"/>
      <c r="C338" s="66" t="n"/>
      <c r="D338" s="67" t="str">
        <f>IF(C338="","",IFERROR(INDEX(eq_des,MATCH(C338,eq_code,0))&amp;"","Équipement inconnu"))</f>
        <v/>
      </c>
      <c r="E338" s="68" t="n"/>
      <c r="F338" s="68" t="n"/>
      <c r="G338" s="66" t="n"/>
      <c r="H338" s="66" t="n"/>
      <c r="I338" s="68" t="n"/>
      <c r="J338" s="73" t="n"/>
      <c r="K338" s="71" t="n"/>
      <c r="L338" s="71" t="n"/>
      <c r="M338" s="66" t="n"/>
      <c r="N338" s="80" t="n"/>
      <c r="O338" s="81" t="str">
        <f>IF(A338="","",ROUND(V338*IFERROR(N(INDEX(tech_rate,MATCH(M338,tech_name,0))),0),2))</f>
        <v/>
      </c>
      <c r="P338" s="80" t="n"/>
      <c r="Q338" s="81" t="str">
        <f>IF(A338="","",ROUND(Y338+O338+Z338,2))</f>
        <v/>
      </c>
      <c r="R338" s="79" t="str">
        <f>IF(A338="","",IF(S338=0,"Date manquante ou invalide",IF(C338="","Équipement manquant",IF(ISNA(MATCH(C338,eq_code,0)),"Équipement inconnu",IF(E338="","Type manquant",IF(AND(E338&lt;&gt;"Préventif",E338&lt;&gt;"Correctif",E338&lt;&gt;"Amélioratif"),"Type inconnu",IF(I338="","Statut manquant",IF(AND(I338&lt;&gt;"Terminée",I338&lt;&gt;"En cours",I338&lt;&gt;"À faire",I338&lt;&gt;"Annulée"),"Statut inconnu",IF(AND(E338="Préventif",F338=""),"Plan manquant (préventif)",IF(AND(F338&lt;&gt;"",ISNA(MATCH(F338,pl_num,0))),"Plan inconnu",IF(AND(F338&lt;&gt;"",IFERROR(INDEX(pl_eq,MATCH(F338,pl_num,0))&amp;"",C338)&lt;&gt;C338),"Plan d'un autre équipement",IF(AND(J338&lt;&gt;"",OR(NOT(ISNUMBER(J338)),N(J338)&lt;0)),"Compteur invalide",IF(OR(AND(K338&lt;&gt;"",OR(NOT(ISNUMBER(K338)),N(K338)&lt;0)),AND(L338&lt;&gt;"",OR(NOT(ISNUMBER(L338)),N(L338)&lt;0))),"Durée invalide",IF(OR(AND(N338&lt;&gt;"",OR(NOT(ISNUMBER(N338)),N(N338)&lt;0)),AND(P338&lt;&gt;"",OR(NOT(ISNUMBER(P338)),N(P338)&lt;0))),"Coût invalide",IF(AND(M338&lt;&gt;"",ISNA(MATCH(M338,tech_name,0))),"Technicien inconnu",IF(AND(I338="Terminée",S338&gt;p_today),"Terminée à une date future",IF(AND(I338="Terminée",V338=0),"Durée d'intervention manquante",IF(AND(I338="Terminée",E338="Préventif",T338=0,OR(IFERROR(INDEX(pl_trig,MATCH(F338,pl_num,0))&amp;"","")="Compteur",IFERROR(INDEX(pl_trig,MATCH(F338,pl_num,0))&amp;"","")="Au premier des deux")),"Compteur manquant (plan au compteur)","OK"))))))))))))))))))</f>
        <v/>
      </c>
      <c r="S338" s="67">
        <f>IF(AND(ISNUMBER(B338),N(B338)&gt;0),INT(B338),0)</f>
        <v>0.0</v>
      </c>
      <c r="T338" s="67">
        <f>IF(AND(ISNUMBER(J338),N(J338)&gt;=0),N(J338),0)</f>
        <v>0.0</v>
      </c>
      <c r="U338" s="67">
        <f>IF(AND(ISNUMBER(K338),N(K338)&gt;0),N(K338),0)</f>
        <v>0.0</v>
      </c>
      <c r="V338" s="67">
        <f>IF(AND(ISNUMBER(L338),N(L338)&gt;0),N(L338),0)</f>
        <v>0.0</v>
      </c>
      <c r="W338" s="67">
        <f>IF(AND(I338="Terminée",S338&gt;0,C338&lt;&gt;"",ISNUMBER(MATCH(C338,eq_code,0))),1,0)</f>
        <v>0.0</v>
      </c>
      <c r="X338" s="67">
        <f>IF(AND(W338=1,E338="Préventif"),1,0)</f>
        <v>0.0</v>
      </c>
      <c r="Y338" s="67">
        <f>IF(AND(ISNUMBER(N338),N(N338)&gt;0),N(N338),0)</f>
        <v>0.0</v>
      </c>
      <c r="Z338" s="67">
        <f>IF(AND(ISNUMBER(P338),N(P338)&gt;0),N(P338),0)</f>
        <v>0.0</v>
      </c>
    </row>
    <row r="339">
      <c r="A339" s="79" t="str">
        <f>IF(COUNTA(B339:C339,E339:G339,I339)=0,"","BI-"&amp;RIGHT("0000"&amp;(ROW()-5),4))</f>
        <v/>
      </c>
      <c r="B339" s="72" t="n"/>
      <c r="C339" s="66" t="n"/>
      <c r="D339" s="67" t="str">
        <f>IF(C339="","",IFERROR(INDEX(eq_des,MATCH(C339,eq_code,0))&amp;"","Équipement inconnu"))</f>
        <v/>
      </c>
      <c r="E339" s="68" t="n"/>
      <c r="F339" s="68" t="n"/>
      <c r="G339" s="66" t="n"/>
      <c r="H339" s="66" t="n"/>
      <c r="I339" s="68" t="n"/>
      <c r="J339" s="73" t="n"/>
      <c r="K339" s="71" t="n"/>
      <c r="L339" s="71" t="n"/>
      <c r="M339" s="66" t="n"/>
      <c r="N339" s="80" t="n"/>
      <c r="O339" s="81" t="str">
        <f>IF(A339="","",ROUND(V339*IFERROR(N(INDEX(tech_rate,MATCH(M339,tech_name,0))),0),2))</f>
        <v/>
      </c>
      <c r="P339" s="80" t="n"/>
      <c r="Q339" s="81" t="str">
        <f>IF(A339="","",ROUND(Y339+O339+Z339,2))</f>
        <v/>
      </c>
      <c r="R339" s="79" t="str">
        <f>IF(A339="","",IF(S339=0,"Date manquante ou invalide",IF(C339="","Équipement manquant",IF(ISNA(MATCH(C339,eq_code,0)),"Équipement inconnu",IF(E339="","Type manquant",IF(AND(E339&lt;&gt;"Préventif",E339&lt;&gt;"Correctif",E339&lt;&gt;"Amélioratif"),"Type inconnu",IF(I339="","Statut manquant",IF(AND(I339&lt;&gt;"Terminée",I339&lt;&gt;"En cours",I339&lt;&gt;"À faire",I339&lt;&gt;"Annulée"),"Statut inconnu",IF(AND(E339="Préventif",F339=""),"Plan manquant (préventif)",IF(AND(F339&lt;&gt;"",ISNA(MATCH(F339,pl_num,0))),"Plan inconnu",IF(AND(F339&lt;&gt;"",IFERROR(INDEX(pl_eq,MATCH(F339,pl_num,0))&amp;"",C339)&lt;&gt;C339),"Plan d'un autre équipement",IF(AND(J339&lt;&gt;"",OR(NOT(ISNUMBER(J339)),N(J339)&lt;0)),"Compteur invalide",IF(OR(AND(K339&lt;&gt;"",OR(NOT(ISNUMBER(K339)),N(K339)&lt;0)),AND(L339&lt;&gt;"",OR(NOT(ISNUMBER(L339)),N(L339)&lt;0))),"Durée invalide",IF(OR(AND(N339&lt;&gt;"",OR(NOT(ISNUMBER(N339)),N(N339)&lt;0)),AND(P339&lt;&gt;"",OR(NOT(ISNUMBER(P339)),N(P339)&lt;0))),"Coût invalide",IF(AND(M339&lt;&gt;"",ISNA(MATCH(M339,tech_name,0))),"Technicien inconnu",IF(AND(I339="Terminée",S339&gt;p_today),"Terminée à une date future",IF(AND(I339="Terminée",V339=0),"Durée d'intervention manquante",IF(AND(I339="Terminée",E339="Préventif",T339=0,OR(IFERROR(INDEX(pl_trig,MATCH(F339,pl_num,0))&amp;"","")="Compteur",IFERROR(INDEX(pl_trig,MATCH(F339,pl_num,0))&amp;"","")="Au premier des deux")),"Compteur manquant (plan au compteur)","OK"))))))))))))))))))</f>
        <v/>
      </c>
      <c r="S339" s="67">
        <f>IF(AND(ISNUMBER(B339),N(B339)&gt;0),INT(B339),0)</f>
        <v>0.0</v>
      </c>
      <c r="T339" s="67">
        <f>IF(AND(ISNUMBER(J339),N(J339)&gt;=0),N(J339),0)</f>
        <v>0.0</v>
      </c>
      <c r="U339" s="67">
        <f>IF(AND(ISNUMBER(K339),N(K339)&gt;0),N(K339),0)</f>
        <v>0.0</v>
      </c>
      <c r="V339" s="67">
        <f>IF(AND(ISNUMBER(L339),N(L339)&gt;0),N(L339),0)</f>
        <v>0.0</v>
      </c>
      <c r="W339" s="67">
        <f>IF(AND(I339="Terminée",S339&gt;0,C339&lt;&gt;"",ISNUMBER(MATCH(C339,eq_code,0))),1,0)</f>
        <v>0.0</v>
      </c>
      <c r="X339" s="67">
        <f>IF(AND(W339=1,E339="Préventif"),1,0)</f>
        <v>0.0</v>
      </c>
      <c r="Y339" s="67">
        <f>IF(AND(ISNUMBER(N339),N(N339)&gt;0),N(N339),0)</f>
        <v>0.0</v>
      </c>
      <c r="Z339" s="67">
        <f>IF(AND(ISNUMBER(P339),N(P339)&gt;0),N(P339),0)</f>
        <v>0.0</v>
      </c>
    </row>
    <row r="340">
      <c r="A340" s="79" t="str">
        <f>IF(COUNTA(B340:C340,E340:G340,I340)=0,"","BI-"&amp;RIGHT("0000"&amp;(ROW()-5),4))</f>
        <v/>
      </c>
      <c r="B340" s="72" t="n"/>
      <c r="C340" s="66" t="n"/>
      <c r="D340" s="67" t="str">
        <f>IF(C340="","",IFERROR(INDEX(eq_des,MATCH(C340,eq_code,0))&amp;"","Équipement inconnu"))</f>
        <v/>
      </c>
      <c r="E340" s="68" t="n"/>
      <c r="F340" s="68" t="n"/>
      <c r="G340" s="66" t="n"/>
      <c r="H340" s="66" t="n"/>
      <c r="I340" s="68" t="n"/>
      <c r="J340" s="73" t="n"/>
      <c r="K340" s="71" t="n"/>
      <c r="L340" s="71" t="n"/>
      <c r="M340" s="66" t="n"/>
      <c r="N340" s="80" t="n"/>
      <c r="O340" s="81" t="str">
        <f>IF(A340="","",ROUND(V340*IFERROR(N(INDEX(tech_rate,MATCH(M340,tech_name,0))),0),2))</f>
        <v/>
      </c>
      <c r="P340" s="80" t="n"/>
      <c r="Q340" s="81" t="str">
        <f>IF(A340="","",ROUND(Y340+O340+Z340,2))</f>
        <v/>
      </c>
      <c r="R340" s="79" t="str">
        <f>IF(A340="","",IF(S340=0,"Date manquante ou invalide",IF(C340="","Équipement manquant",IF(ISNA(MATCH(C340,eq_code,0)),"Équipement inconnu",IF(E340="","Type manquant",IF(AND(E340&lt;&gt;"Préventif",E340&lt;&gt;"Correctif",E340&lt;&gt;"Amélioratif"),"Type inconnu",IF(I340="","Statut manquant",IF(AND(I340&lt;&gt;"Terminée",I340&lt;&gt;"En cours",I340&lt;&gt;"À faire",I340&lt;&gt;"Annulée"),"Statut inconnu",IF(AND(E340="Préventif",F340=""),"Plan manquant (préventif)",IF(AND(F340&lt;&gt;"",ISNA(MATCH(F340,pl_num,0))),"Plan inconnu",IF(AND(F340&lt;&gt;"",IFERROR(INDEX(pl_eq,MATCH(F340,pl_num,0))&amp;"",C340)&lt;&gt;C340),"Plan d'un autre équipement",IF(AND(J340&lt;&gt;"",OR(NOT(ISNUMBER(J340)),N(J340)&lt;0)),"Compteur invalide",IF(OR(AND(K340&lt;&gt;"",OR(NOT(ISNUMBER(K340)),N(K340)&lt;0)),AND(L340&lt;&gt;"",OR(NOT(ISNUMBER(L340)),N(L340)&lt;0))),"Durée invalide",IF(OR(AND(N340&lt;&gt;"",OR(NOT(ISNUMBER(N340)),N(N340)&lt;0)),AND(P340&lt;&gt;"",OR(NOT(ISNUMBER(P340)),N(P340)&lt;0))),"Coût invalide",IF(AND(M340&lt;&gt;"",ISNA(MATCH(M340,tech_name,0))),"Technicien inconnu",IF(AND(I340="Terminée",S340&gt;p_today),"Terminée à une date future",IF(AND(I340="Terminée",V340=0),"Durée d'intervention manquante",IF(AND(I340="Terminée",E340="Préventif",T340=0,OR(IFERROR(INDEX(pl_trig,MATCH(F340,pl_num,0))&amp;"","")="Compteur",IFERROR(INDEX(pl_trig,MATCH(F340,pl_num,0))&amp;"","")="Au premier des deux")),"Compteur manquant (plan au compteur)","OK"))))))))))))))))))</f>
        <v/>
      </c>
      <c r="S340" s="67">
        <f>IF(AND(ISNUMBER(B340),N(B340)&gt;0),INT(B340),0)</f>
        <v>0.0</v>
      </c>
      <c r="T340" s="67">
        <f>IF(AND(ISNUMBER(J340),N(J340)&gt;=0),N(J340),0)</f>
        <v>0.0</v>
      </c>
      <c r="U340" s="67">
        <f>IF(AND(ISNUMBER(K340),N(K340)&gt;0),N(K340),0)</f>
        <v>0.0</v>
      </c>
      <c r="V340" s="67">
        <f>IF(AND(ISNUMBER(L340),N(L340)&gt;0),N(L340),0)</f>
        <v>0.0</v>
      </c>
      <c r="W340" s="67">
        <f>IF(AND(I340="Terminée",S340&gt;0,C340&lt;&gt;"",ISNUMBER(MATCH(C340,eq_code,0))),1,0)</f>
        <v>0.0</v>
      </c>
      <c r="X340" s="67">
        <f>IF(AND(W340=1,E340="Préventif"),1,0)</f>
        <v>0.0</v>
      </c>
      <c r="Y340" s="67">
        <f>IF(AND(ISNUMBER(N340),N(N340)&gt;0),N(N340),0)</f>
        <v>0.0</v>
      </c>
      <c r="Z340" s="67">
        <f>IF(AND(ISNUMBER(P340),N(P340)&gt;0),N(P340),0)</f>
        <v>0.0</v>
      </c>
    </row>
    <row r="341">
      <c r="A341" s="79" t="str">
        <f>IF(COUNTA(B341:C341,E341:G341,I341)=0,"","BI-"&amp;RIGHT("0000"&amp;(ROW()-5),4))</f>
        <v/>
      </c>
      <c r="B341" s="72" t="n"/>
      <c r="C341" s="66" t="n"/>
      <c r="D341" s="67" t="str">
        <f>IF(C341="","",IFERROR(INDEX(eq_des,MATCH(C341,eq_code,0))&amp;"","Équipement inconnu"))</f>
        <v/>
      </c>
      <c r="E341" s="68" t="n"/>
      <c r="F341" s="68" t="n"/>
      <c r="G341" s="66" t="n"/>
      <c r="H341" s="66" t="n"/>
      <c r="I341" s="68" t="n"/>
      <c r="J341" s="73" t="n"/>
      <c r="K341" s="71" t="n"/>
      <c r="L341" s="71" t="n"/>
      <c r="M341" s="66" t="n"/>
      <c r="N341" s="80" t="n"/>
      <c r="O341" s="81" t="str">
        <f>IF(A341="","",ROUND(V341*IFERROR(N(INDEX(tech_rate,MATCH(M341,tech_name,0))),0),2))</f>
        <v/>
      </c>
      <c r="P341" s="80" t="n"/>
      <c r="Q341" s="81" t="str">
        <f>IF(A341="","",ROUND(Y341+O341+Z341,2))</f>
        <v/>
      </c>
      <c r="R341" s="79" t="str">
        <f>IF(A341="","",IF(S341=0,"Date manquante ou invalide",IF(C341="","Équipement manquant",IF(ISNA(MATCH(C341,eq_code,0)),"Équipement inconnu",IF(E341="","Type manquant",IF(AND(E341&lt;&gt;"Préventif",E341&lt;&gt;"Correctif",E341&lt;&gt;"Amélioratif"),"Type inconnu",IF(I341="","Statut manquant",IF(AND(I341&lt;&gt;"Terminée",I341&lt;&gt;"En cours",I341&lt;&gt;"À faire",I341&lt;&gt;"Annulée"),"Statut inconnu",IF(AND(E341="Préventif",F341=""),"Plan manquant (préventif)",IF(AND(F341&lt;&gt;"",ISNA(MATCH(F341,pl_num,0))),"Plan inconnu",IF(AND(F341&lt;&gt;"",IFERROR(INDEX(pl_eq,MATCH(F341,pl_num,0))&amp;"",C341)&lt;&gt;C341),"Plan d'un autre équipement",IF(AND(J341&lt;&gt;"",OR(NOT(ISNUMBER(J341)),N(J341)&lt;0)),"Compteur invalide",IF(OR(AND(K341&lt;&gt;"",OR(NOT(ISNUMBER(K341)),N(K341)&lt;0)),AND(L341&lt;&gt;"",OR(NOT(ISNUMBER(L341)),N(L341)&lt;0))),"Durée invalide",IF(OR(AND(N341&lt;&gt;"",OR(NOT(ISNUMBER(N341)),N(N341)&lt;0)),AND(P341&lt;&gt;"",OR(NOT(ISNUMBER(P341)),N(P341)&lt;0))),"Coût invalide",IF(AND(M341&lt;&gt;"",ISNA(MATCH(M341,tech_name,0))),"Technicien inconnu",IF(AND(I341="Terminée",S341&gt;p_today),"Terminée à une date future",IF(AND(I341="Terminée",V341=0),"Durée d'intervention manquante",IF(AND(I341="Terminée",E341="Préventif",T341=0,OR(IFERROR(INDEX(pl_trig,MATCH(F341,pl_num,0))&amp;"","")="Compteur",IFERROR(INDEX(pl_trig,MATCH(F341,pl_num,0))&amp;"","")="Au premier des deux")),"Compteur manquant (plan au compteur)","OK"))))))))))))))))))</f>
        <v/>
      </c>
      <c r="S341" s="67">
        <f>IF(AND(ISNUMBER(B341),N(B341)&gt;0),INT(B341),0)</f>
        <v>0.0</v>
      </c>
      <c r="T341" s="67">
        <f>IF(AND(ISNUMBER(J341),N(J341)&gt;=0),N(J341),0)</f>
        <v>0.0</v>
      </c>
      <c r="U341" s="67">
        <f>IF(AND(ISNUMBER(K341),N(K341)&gt;0),N(K341),0)</f>
        <v>0.0</v>
      </c>
      <c r="V341" s="67">
        <f>IF(AND(ISNUMBER(L341),N(L341)&gt;0),N(L341),0)</f>
        <v>0.0</v>
      </c>
      <c r="W341" s="67">
        <f>IF(AND(I341="Terminée",S341&gt;0,C341&lt;&gt;"",ISNUMBER(MATCH(C341,eq_code,0))),1,0)</f>
        <v>0.0</v>
      </c>
      <c r="X341" s="67">
        <f>IF(AND(W341=1,E341="Préventif"),1,0)</f>
        <v>0.0</v>
      </c>
      <c r="Y341" s="67">
        <f>IF(AND(ISNUMBER(N341),N(N341)&gt;0),N(N341),0)</f>
        <v>0.0</v>
      </c>
      <c r="Z341" s="67">
        <f>IF(AND(ISNUMBER(P341),N(P341)&gt;0),N(P341),0)</f>
        <v>0.0</v>
      </c>
    </row>
    <row r="342">
      <c r="A342" s="79" t="str">
        <f>IF(COUNTA(B342:C342,E342:G342,I342)=0,"","BI-"&amp;RIGHT("0000"&amp;(ROW()-5),4))</f>
        <v/>
      </c>
      <c r="B342" s="72" t="n"/>
      <c r="C342" s="66" t="n"/>
      <c r="D342" s="67" t="str">
        <f>IF(C342="","",IFERROR(INDEX(eq_des,MATCH(C342,eq_code,0))&amp;"","Équipement inconnu"))</f>
        <v/>
      </c>
      <c r="E342" s="68" t="n"/>
      <c r="F342" s="68" t="n"/>
      <c r="G342" s="66" t="n"/>
      <c r="H342" s="66" t="n"/>
      <c r="I342" s="68" t="n"/>
      <c r="J342" s="73" t="n"/>
      <c r="K342" s="71" t="n"/>
      <c r="L342" s="71" t="n"/>
      <c r="M342" s="66" t="n"/>
      <c r="N342" s="80" t="n"/>
      <c r="O342" s="81" t="str">
        <f>IF(A342="","",ROUND(V342*IFERROR(N(INDEX(tech_rate,MATCH(M342,tech_name,0))),0),2))</f>
        <v/>
      </c>
      <c r="P342" s="80" t="n"/>
      <c r="Q342" s="81" t="str">
        <f>IF(A342="","",ROUND(Y342+O342+Z342,2))</f>
        <v/>
      </c>
      <c r="R342" s="79" t="str">
        <f>IF(A342="","",IF(S342=0,"Date manquante ou invalide",IF(C342="","Équipement manquant",IF(ISNA(MATCH(C342,eq_code,0)),"Équipement inconnu",IF(E342="","Type manquant",IF(AND(E342&lt;&gt;"Préventif",E342&lt;&gt;"Correctif",E342&lt;&gt;"Amélioratif"),"Type inconnu",IF(I342="","Statut manquant",IF(AND(I342&lt;&gt;"Terminée",I342&lt;&gt;"En cours",I342&lt;&gt;"À faire",I342&lt;&gt;"Annulée"),"Statut inconnu",IF(AND(E342="Préventif",F342=""),"Plan manquant (préventif)",IF(AND(F342&lt;&gt;"",ISNA(MATCH(F342,pl_num,0))),"Plan inconnu",IF(AND(F342&lt;&gt;"",IFERROR(INDEX(pl_eq,MATCH(F342,pl_num,0))&amp;"",C342)&lt;&gt;C342),"Plan d'un autre équipement",IF(AND(J342&lt;&gt;"",OR(NOT(ISNUMBER(J342)),N(J342)&lt;0)),"Compteur invalide",IF(OR(AND(K342&lt;&gt;"",OR(NOT(ISNUMBER(K342)),N(K342)&lt;0)),AND(L342&lt;&gt;"",OR(NOT(ISNUMBER(L342)),N(L342)&lt;0))),"Durée invalide",IF(OR(AND(N342&lt;&gt;"",OR(NOT(ISNUMBER(N342)),N(N342)&lt;0)),AND(P342&lt;&gt;"",OR(NOT(ISNUMBER(P342)),N(P342)&lt;0))),"Coût invalide",IF(AND(M342&lt;&gt;"",ISNA(MATCH(M342,tech_name,0))),"Technicien inconnu",IF(AND(I342="Terminée",S342&gt;p_today),"Terminée à une date future",IF(AND(I342="Terminée",V342=0),"Durée d'intervention manquante",IF(AND(I342="Terminée",E342="Préventif",T342=0,OR(IFERROR(INDEX(pl_trig,MATCH(F342,pl_num,0))&amp;"","")="Compteur",IFERROR(INDEX(pl_trig,MATCH(F342,pl_num,0))&amp;"","")="Au premier des deux")),"Compteur manquant (plan au compteur)","OK"))))))))))))))))))</f>
        <v/>
      </c>
      <c r="S342" s="67">
        <f>IF(AND(ISNUMBER(B342),N(B342)&gt;0),INT(B342),0)</f>
        <v>0.0</v>
      </c>
      <c r="T342" s="67">
        <f>IF(AND(ISNUMBER(J342),N(J342)&gt;=0),N(J342),0)</f>
        <v>0.0</v>
      </c>
      <c r="U342" s="67">
        <f>IF(AND(ISNUMBER(K342),N(K342)&gt;0),N(K342),0)</f>
        <v>0.0</v>
      </c>
      <c r="V342" s="67">
        <f>IF(AND(ISNUMBER(L342),N(L342)&gt;0),N(L342),0)</f>
        <v>0.0</v>
      </c>
      <c r="W342" s="67">
        <f>IF(AND(I342="Terminée",S342&gt;0,C342&lt;&gt;"",ISNUMBER(MATCH(C342,eq_code,0))),1,0)</f>
        <v>0.0</v>
      </c>
      <c r="X342" s="67">
        <f>IF(AND(W342=1,E342="Préventif"),1,0)</f>
        <v>0.0</v>
      </c>
      <c r="Y342" s="67">
        <f>IF(AND(ISNUMBER(N342),N(N342)&gt;0),N(N342),0)</f>
        <v>0.0</v>
      </c>
      <c r="Z342" s="67">
        <f>IF(AND(ISNUMBER(P342),N(P342)&gt;0),N(P342),0)</f>
        <v>0.0</v>
      </c>
    </row>
    <row r="343">
      <c r="A343" s="79" t="str">
        <f>IF(COUNTA(B343:C343,E343:G343,I343)=0,"","BI-"&amp;RIGHT("0000"&amp;(ROW()-5),4))</f>
        <v/>
      </c>
      <c r="B343" s="72" t="n"/>
      <c r="C343" s="66" t="n"/>
      <c r="D343" s="67" t="str">
        <f>IF(C343="","",IFERROR(INDEX(eq_des,MATCH(C343,eq_code,0))&amp;"","Équipement inconnu"))</f>
        <v/>
      </c>
      <c r="E343" s="68" t="n"/>
      <c r="F343" s="68" t="n"/>
      <c r="G343" s="66" t="n"/>
      <c r="H343" s="66" t="n"/>
      <c r="I343" s="68" t="n"/>
      <c r="J343" s="73" t="n"/>
      <c r="K343" s="71" t="n"/>
      <c r="L343" s="71" t="n"/>
      <c r="M343" s="66" t="n"/>
      <c r="N343" s="80" t="n"/>
      <c r="O343" s="81" t="str">
        <f>IF(A343="","",ROUND(V343*IFERROR(N(INDEX(tech_rate,MATCH(M343,tech_name,0))),0),2))</f>
        <v/>
      </c>
      <c r="P343" s="80" t="n"/>
      <c r="Q343" s="81" t="str">
        <f>IF(A343="","",ROUND(Y343+O343+Z343,2))</f>
        <v/>
      </c>
      <c r="R343" s="79" t="str">
        <f>IF(A343="","",IF(S343=0,"Date manquante ou invalide",IF(C343="","Équipement manquant",IF(ISNA(MATCH(C343,eq_code,0)),"Équipement inconnu",IF(E343="","Type manquant",IF(AND(E343&lt;&gt;"Préventif",E343&lt;&gt;"Correctif",E343&lt;&gt;"Amélioratif"),"Type inconnu",IF(I343="","Statut manquant",IF(AND(I343&lt;&gt;"Terminée",I343&lt;&gt;"En cours",I343&lt;&gt;"À faire",I343&lt;&gt;"Annulée"),"Statut inconnu",IF(AND(E343="Préventif",F343=""),"Plan manquant (préventif)",IF(AND(F343&lt;&gt;"",ISNA(MATCH(F343,pl_num,0))),"Plan inconnu",IF(AND(F343&lt;&gt;"",IFERROR(INDEX(pl_eq,MATCH(F343,pl_num,0))&amp;"",C343)&lt;&gt;C343),"Plan d'un autre équipement",IF(AND(J343&lt;&gt;"",OR(NOT(ISNUMBER(J343)),N(J343)&lt;0)),"Compteur invalide",IF(OR(AND(K343&lt;&gt;"",OR(NOT(ISNUMBER(K343)),N(K343)&lt;0)),AND(L343&lt;&gt;"",OR(NOT(ISNUMBER(L343)),N(L343)&lt;0))),"Durée invalide",IF(OR(AND(N343&lt;&gt;"",OR(NOT(ISNUMBER(N343)),N(N343)&lt;0)),AND(P343&lt;&gt;"",OR(NOT(ISNUMBER(P343)),N(P343)&lt;0))),"Coût invalide",IF(AND(M343&lt;&gt;"",ISNA(MATCH(M343,tech_name,0))),"Technicien inconnu",IF(AND(I343="Terminée",S343&gt;p_today),"Terminée à une date future",IF(AND(I343="Terminée",V343=0),"Durée d'intervention manquante",IF(AND(I343="Terminée",E343="Préventif",T343=0,OR(IFERROR(INDEX(pl_trig,MATCH(F343,pl_num,0))&amp;"","")="Compteur",IFERROR(INDEX(pl_trig,MATCH(F343,pl_num,0))&amp;"","")="Au premier des deux")),"Compteur manquant (plan au compteur)","OK"))))))))))))))))))</f>
        <v/>
      </c>
      <c r="S343" s="67">
        <f>IF(AND(ISNUMBER(B343),N(B343)&gt;0),INT(B343),0)</f>
        <v>0.0</v>
      </c>
      <c r="T343" s="67">
        <f>IF(AND(ISNUMBER(J343),N(J343)&gt;=0),N(J343),0)</f>
        <v>0.0</v>
      </c>
      <c r="U343" s="67">
        <f>IF(AND(ISNUMBER(K343),N(K343)&gt;0),N(K343),0)</f>
        <v>0.0</v>
      </c>
      <c r="V343" s="67">
        <f>IF(AND(ISNUMBER(L343),N(L343)&gt;0),N(L343),0)</f>
        <v>0.0</v>
      </c>
      <c r="W343" s="67">
        <f>IF(AND(I343="Terminée",S343&gt;0,C343&lt;&gt;"",ISNUMBER(MATCH(C343,eq_code,0))),1,0)</f>
        <v>0.0</v>
      </c>
      <c r="X343" s="67">
        <f>IF(AND(W343=1,E343="Préventif"),1,0)</f>
        <v>0.0</v>
      </c>
      <c r="Y343" s="67">
        <f>IF(AND(ISNUMBER(N343),N(N343)&gt;0),N(N343),0)</f>
        <v>0.0</v>
      </c>
      <c r="Z343" s="67">
        <f>IF(AND(ISNUMBER(P343),N(P343)&gt;0),N(P343),0)</f>
        <v>0.0</v>
      </c>
    </row>
    <row r="344">
      <c r="A344" s="79" t="str">
        <f>IF(COUNTA(B344:C344,E344:G344,I344)=0,"","BI-"&amp;RIGHT("0000"&amp;(ROW()-5),4))</f>
        <v/>
      </c>
      <c r="B344" s="72" t="n"/>
      <c r="C344" s="66" t="n"/>
      <c r="D344" s="67" t="str">
        <f>IF(C344="","",IFERROR(INDEX(eq_des,MATCH(C344,eq_code,0))&amp;"","Équipement inconnu"))</f>
        <v/>
      </c>
      <c r="E344" s="68" t="n"/>
      <c r="F344" s="68" t="n"/>
      <c r="G344" s="66" t="n"/>
      <c r="H344" s="66" t="n"/>
      <c r="I344" s="68" t="n"/>
      <c r="J344" s="73" t="n"/>
      <c r="K344" s="71" t="n"/>
      <c r="L344" s="71" t="n"/>
      <c r="M344" s="66" t="n"/>
      <c r="N344" s="80" t="n"/>
      <c r="O344" s="81" t="str">
        <f>IF(A344="","",ROUND(V344*IFERROR(N(INDEX(tech_rate,MATCH(M344,tech_name,0))),0),2))</f>
        <v/>
      </c>
      <c r="P344" s="80" t="n"/>
      <c r="Q344" s="81" t="str">
        <f>IF(A344="","",ROUND(Y344+O344+Z344,2))</f>
        <v/>
      </c>
      <c r="R344" s="79" t="str">
        <f>IF(A344="","",IF(S344=0,"Date manquante ou invalide",IF(C344="","Équipement manquant",IF(ISNA(MATCH(C344,eq_code,0)),"Équipement inconnu",IF(E344="","Type manquant",IF(AND(E344&lt;&gt;"Préventif",E344&lt;&gt;"Correctif",E344&lt;&gt;"Amélioratif"),"Type inconnu",IF(I344="","Statut manquant",IF(AND(I344&lt;&gt;"Terminée",I344&lt;&gt;"En cours",I344&lt;&gt;"À faire",I344&lt;&gt;"Annulée"),"Statut inconnu",IF(AND(E344="Préventif",F344=""),"Plan manquant (préventif)",IF(AND(F344&lt;&gt;"",ISNA(MATCH(F344,pl_num,0))),"Plan inconnu",IF(AND(F344&lt;&gt;"",IFERROR(INDEX(pl_eq,MATCH(F344,pl_num,0))&amp;"",C344)&lt;&gt;C344),"Plan d'un autre équipement",IF(AND(J344&lt;&gt;"",OR(NOT(ISNUMBER(J344)),N(J344)&lt;0)),"Compteur invalide",IF(OR(AND(K344&lt;&gt;"",OR(NOT(ISNUMBER(K344)),N(K344)&lt;0)),AND(L344&lt;&gt;"",OR(NOT(ISNUMBER(L344)),N(L344)&lt;0))),"Durée invalide",IF(OR(AND(N344&lt;&gt;"",OR(NOT(ISNUMBER(N344)),N(N344)&lt;0)),AND(P344&lt;&gt;"",OR(NOT(ISNUMBER(P344)),N(P344)&lt;0))),"Coût invalide",IF(AND(M344&lt;&gt;"",ISNA(MATCH(M344,tech_name,0))),"Technicien inconnu",IF(AND(I344="Terminée",S344&gt;p_today),"Terminée à une date future",IF(AND(I344="Terminée",V344=0),"Durée d'intervention manquante",IF(AND(I344="Terminée",E344="Préventif",T344=0,OR(IFERROR(INDEX(pl_trig,MATCH(F344,pl_num,0))&amp;"","")="Compteur",IFERROR(INDEX(pl_trig,MATCH(F344,pl_num,0))&amp;"","")="Au premier des deux")),"Compteur manquant (plan au compteur)","OK"))))))))))))))))))</f>
        <v/>
      </c>
      <c r="S344" s="67">
        <f>IF(AND(ISNUMBER(B344),N(B344)&gt;0),INT(B344),0)</f>
        <v>0.0</v>
      </c>
      <c r="T344" s="67">
        <f>IF(AND(ISNUMBER(J344),N(J344)&gt;=0),N(J344),0)</f>
        <v>0.0</v>
      </c>
      <c r="U344" s="67">
        <f>IF(AND(ISNUMBER(K344),N(K344)&gt;0),N(K344),0)</f>
        <v>0.0</v>
      </c>
      <c r="V344" s="67">
        <f>IF(AND(ISNUMBER(L344),N(L344)&gt;0),N(L344),0)</f>
        <v>0.0</v>
      </c>
      <c r="W344" s="67">
        <f>IF(AND(I344="Terminée",S344&gt;0,C344&lt;&gt;"",ISNUMBER(MATCH(C344,eq_code,0))),1,0)</f>
        <v>0.0</v>
      </c>
      <c r="X344" s="67">
        <f>IF(AND(W344=1,E344="Préventif"),1,0)</f>
        <v>0.0</v>
      </c>
      <c r="Y344" s="67">
        <f>IF(AND(ISNUMBER(N344),N(N344)&gt;0),N(N344),0)</f>
        <v>0.0</v>
      </c>
      <c r="Z344" s="67">
        <f>IF(AND(ISNUMBER(P344),N(P344)&gt;0),N(P344),0)</f>
        <v>0.0</v>
      </c>
    </row>
    <row r="345">
      <c r="A345" s="79" t="str">
        <f>IF(COUNTA(B345:C345,E345:G345,I345)=0,"","BI-"&amp;RIGHT("0000"&amp;(ROW()-5),4))</f>
        <v/>
      </c>
      <c r="B345" s="72" t="n"/>
      <c r="C345" s="66" t="n"/>
      <c r="D345" s="67" t="str">
        <f>IF(C345="","",IFERROR(INDEX(eq_des,MATCH(C345,eq_code,0))&amp;"","Équipement inconnu"))</f>
        <v/>
      </c>
      <c r="E345" s="68" t="n"/>
      <c r="F345" s="68" t="n"/>
      <c r="G345" s="66" t="n"/>
      <c r="H345" s="66" t="n"/>
      <c r="I345" s="68" t="n"/>
      <c r="J345" s="73" t="n"/>
      <c r="K345" s="71" t="n"/>
      <c r="L345" s="71" t="n"/>
      <c r="M345" s="66" t="n"/>
      <c r="N345" s="80" t="n"/>
      <c r="O345" s="81" t="str">
        <f>IF(A345="","",ROUND(V345*IFERROR(N(INDEX(tech_rate,MATCH(M345,tech_name,0))),0),2))</f>
        <v/>
      </c>
      <c r="P345" s="80" t="n"/>
      <c r="Q345" s="81" t="str">
        <f>IF(A345="","",ROUND(Y345+O345+Z345,2))</f>
        <v/>
      </c>
      <c r="R345" s="79" t="str">
        <f>IF(A345="","",IF(S345=0,"Date manquante ou invalide",IF(C345="","Équipement manquant",IF(ISNA(MATCH(C345,eq_code,0)),"Équipement inconnu",IF(E345="","Type manquant",IF(AND(E345&lt;&gt;"Préventif",E345&lt;&gt;"Correctif",E345&lt;&gt;"Amélioratif"),"Type inconnu",IF(I345="","Statut manquant",IF(AND(I345&lt;&gt;"Terminée",I345&lt;&gt;"En cours",I345&lt;&gt;"À faire",I345&lt;&gt;"Annulée"),"Statut inconnu",IF(AND(E345="Préventif",F345=""),"Plan manquant (préventif)",IF(AND(F345&lt;&gt;"",ISNA(MATCH(F345,pl_num,0))),"Plan inconnu",IF(AND(F345&lt;&gt;"",IFERROR(INDEX(pl_eq,MATCH(F345,pl_num,0))&amp;"",C345)&lt;&gt;C345),"Plan d'un autre équipement",IF(AND(J345&lt;&gt;"",OR(NOT(ISNUMBER(J345)),N(J345)&lt;0)),"Compteur invalide",IF(OR(AND(K345&lt;&gt;"",OR(NOT(ISNUMBER(K345)),N(K345)&lt;0)),AND(L345&lt;&gt;"",OR(NOT(ISNUMBER(L345)),N(L345)&lt;0))),"Durée invalide",IF(OR(AND(N345&lt;&gt;"",OR(NOT(ISNUMBER(N345)),N(N345)&lt;0)),AND(P345&lt;&gt;"",OR(NOT(ISNUMBER(P345)),N(P345)&lt;0))),"Coût invalide",IF(AND(M345&lt;&gt;"",ISNA(MATCH(M345,tech_name,0))),"Technicien inconnu",IF(AND(I345="Terminée",S345&gt;p_today),"Terminée à une date future",IF(AND(I345="Terminée",V345=0),"Durée d'intervention manquante",IF(AND(I345="Terminée",E345="Préventif",T345=0,OR(IFERROR(INDEX(pl_trig,MATCH(F345,pl_num,0))&amp;"","")="Compteur",IFERROR(INDEX(pl_trig,MATCH(F345,pl_num,0))&amp;"","")="Au premier des deux")),"Compteur manquant (plan au compteur)","OK"))))))))))))))))))</f>
        <v/>
      </c>
      <c r="S345" s="67">
        <f>IF(AND(ISNUMBER(B345),N(B345)&gt;0),INT(B345),0)</f>
        <v>0.0</v>
      </c>
      <c r="T345" s="67">
        <f>IF(AND(ISNUMBER(J345),N(J345)&gt;=0),N(J345),0)</f>
        <v>0.0</v>
      </c>
      <c r="U345" s="67">
        <f>IF(AND(ISNUMBER(K345),N(K345)&gt;0),N(K345),0)</f>
        <v>0.0</v>
      </c>
      <c r="V345" s="67">
        <f>IF(AND(ISNUMBER(L345),N(L345)&gt;0),N(L345),0)</f>
        <v>0.0</v>
      </c>
      <c r="W345" s="67">
        <f>IF(AND(I345="Terminée",S345&gt;0,C345&lt;&gt;"",ISNUMBER(MATCH(C345,eq_code,0))),1,0)</f>
        <v>0.0</v>
      </c>
      <c r="X345" s="67">
        <f>IF(AND(W345=1,E345="Préventif"),1,0)</f>
        <v>0.0</v>
      </c>
      <c r="Y345" s="67">
        <f>IF(AND(ISNUMBER(N345),N(N345)&gt;0),N(N345),0)</f>
        <v>0.0</v>
      </c>
      <c r="Z345" s="67">
        <f>IF(AND(ISNUMBER(P345),N(P345)&gt;0),N(P345),0)</f>
        <v>0.0</v>
      </c>
    </row>
    <row r="346">
      <c r="A346" s="79" t="str">
        <f>IF(COUNTA(B346:C346,E346:G346,I346)=0,"","BI-"&amp;RIGHT("0000"&amp;(ROW()-5),4))</f>
        <v/>
      </c>
      <c r="B346" s="72" t="n"/>
      <c r="C346" s="66" t="n"/>
      <c r="D346" s="67" t="str">
        <f>IF(C346="","",IFERROR(INDEX(eq_des,MATCH(C346,eq_code,0))&amp;"","Équipement inconnu"))</f>
        <v/>
      </c>
      <c r="E346" s="68" t="n"/>
      <c r="F346" s="68" t="n"/>
      <c r="G346" s="66" t="n"/>
      <c r="H346" s="66" t="n"/>
      <c r="I346" s="68" t="n"/>
      <c r="J346" s="73" t="n"/>
      <c r="K346" s="71" t="n"/>
      <c r="L346" s="71" t="n"/>
      <c r="M346" s="66" t="n"/>
      <c r="N346" s="80" t="n"/>
      <c r="O346" s="81" t="str">
        <f>IF(A346="","",ROUND(V346*IFERROR(N(INDEX(tech_rate,MATCH(M346,tech_name,0))),0),2))</f>
        <v/>
      </c>
      <c r="P346" s="80" t="n"/>
      <c r="Q346" s="81" t="str">
        <f>IF(A346="","",ROUND(Y346+O346+Z346,2))</f>
        <v/>
      </c>
      <c r="R346" s="79" t="str">
        <f>IF(A346="","",IF(S346=0,"Date manquante ou invalide",IF(C346="","Équipement manquant",IF(ISNA(MATCH(C346,eq_code,0)),"Équipement inconnu",IF(E346="","Type manquant",IF(AND(E346&lt;&gt;"Préventif",E346&lt;&gt;"Correctif",E346&lt;&gt;"Amélioratif"),"Type inconnu",IF(I346="","Statut manquant",IF(AND(I346&lt;&gt;"Terminée",I346&lt;&gt;"En cours",I346&lt;&gt;"À faire",I346&lt;&gt;"Annulée"),"Statut inconnu",IF(AND(E346="Préventif",F346=""),"Plan manquant (préventif)",IF(AND(F346&lt;&gt;"",ISNA(MATCH(F346,pl_num,0))),"Plan inconnu",IF(AND(F346&lt;&gt;"",IFERROR(INDEX(pl_eq,MATCH(F346,pl_num,0))&amp;"",C346)&lt;&gt;C346),"Plan d'un autre équipement",IF(AND(J346&lt;&gt;"",OR(NOT(ISNUMBER(J346)),N(J346)&lt;0)),"Compteur invalide",IF(OR(AND(K346&lt;&gt;"",OR(NOT(ISNUMBER(K346)),N(K346)&lt;0)),AND(L346&lt;&gt;"",OR(NOT(ISNUMBER(L346)),N(L346)&lt;0))),"Durée invalide",IF(OR(AND(N346&lt;&gt;"",OR(NOT(ISNUMBER(N346)),N(N346)&lt;0)),AND(P346&lt;&gt;"",OR(NOT(ISNUMBER(P346)),N(P346)&lt;0))),"Coût invalide",IF(AND(M346&lt;&gt;"",ISNA(MATCH(M346,tech_name,0))),"Technicien inconnu",IF(AND(I346="Terminée",S346&gt;p_today),"Terminée à une date future",IF(AND(I346="Terminée",V346=0),"Durée d'intervention manquante",IF(AND(I346="Terminée",E346="Préventif",T346=0,OR(IFERROR(INDEX(pl_trig,MATCH(F346,pl_num,0))&amp;"","")="Compteur",IFERROR(INDEX(pl_trig,MATCH(F346,pl_num,0))&amp;"","")="Au premier des deux")),"Compteur manquant (plan au compteur)","OK"))))))))))))))))))</f>
        <v/>
      </c>
      <c r="S346" s="67">
        <f>IF(AND(ISNUMBER(B346),N(B346)&gt;0),INT(B346),0)</f>
        <v>0.0</v>
      </c>
      <c r="T346" s="67">
        <f>IF(AND(ISNUMBER(J346),N(J346)&gt;=0),N(J346),0)</f>
        <v>0.0</v>
      </c>
      <c r="U346" s="67">
        <f>IF(AND(ISNUMBER(K346),N(K346)&gt;0),N(K346),0)</f>
        <v>0.0</v>
      </c>
      <c r="V346" s="67">
        <f>IF(AND(ISNUMBER(L346),N(L346)&gt;0),N(L346),0)</f>
        <v>0.0</v>
      </c>
      <c r="W346" s="67">
        <f>IF(AND(I346="Terminée",S346&gt;0,C346&lt;&gt;"",ISNUMBER(MATCH(C346,eq_code,0))),1,0)</f>
        <v>0.0</v>
      </c>
      <c r="X346" s="67">
        <f>IF(AND(W346=1,E346="Préventif"),1,0)</f>
        <v>0.0</v>
      </c>
      <c r="Y346" s="67">
        <f>IF(AND(ISNUMBER(N346),N(N346)&gt;0),N(N346),0)</f>
        <v>0.0</v>
      </c>
      <c r="Z346" s="67">
        <f>IF(AND(ISNUMBER(P346),N(P346)&gt;0),N(P346),0)</f>
        <v>0.0</v>
      </c>
    </row>
    <row r="347">
      <c r="A347" s="79" t="str">
        <f>IF(COUNTA(B347:C347,E347:G347,I347)=0,"","BI-"&amp;RIGHT("0000"&amp;(ROW()-5),4))</f>
        <v/>
      </c>
      <c r="B347" s="72" t="n"/>
      <c r="C347" s="66" t="n"/>
      <c r="D347" s="67" t="str">
        <f>IF(C347="","",IFERROR(INDEX(eq_des,MATCH(C347,eq_code,0))&amp;"","Équipement inconnu"))</f>
        <v/>
      </c>
      <c r="E347" s="68" t="n"/>
      <c r="F347" s="68" t="n"/>
      <c r="G347" s="66" t="n"/>
      <c r="H347" s="66" t="n"/>
      <c r="I347" s="68" t="n"/>
      <c r="J347" s="73" t="n"/>
      <c r="K347" s="71" t="n"/>
      <c r="L347" s="71" t="n"/>
      <c r="M347" s="66" t="n"/>
      <c r="N347" s="80" t="n"/>
      <c r="O347" s="81" t="str">
        <f>IF(A347="","",ROUND(V347*IFERROR(N(INDEX(tech_rate,MATCH(M347,tech_name,0))),0),2))</f>
        <v/>
      </c>
      <c r="P347" s="80" t="n"/>
      <c r="Q347" s="81" t="str">
        <f>IF(A347="","",ROUND(Y347+O347+Z347,2))</f>
        <v/>
      </c>
      <c r="R347" s="79" t="str">
        <f>IF(A347="","",IF(S347=0,"Date manquante ou invalide",IF(C347="","Équipement manquant",IF(ISNA(MATCH(C347,eq_code,0)),"Équipement inconnu",IF(E347="","Type manquant",IF(AND(E347&lt;&gt;"Préventif",E347&lt;&gt;"Correctif",E347&lt;&gt;"Amélioratif"),"Type inconnu",IF(I347="","Statut manquant",IF(AND(I347&lt;&gt;"Terminée",I347&lt;&gt;"En cours",I347&lt;&gt;"À faire",I347&lt;&gt;"Annulée"),"Statut inconnu",IF(AND(E347="Préventif",F347=""),"Plan manquant (préventif)",IF(AND(F347&lt;&gt;"",ISNA(MATCH(F347,pl_num,0))),"Plan inconnu",IF(AND(F347&lt;&gt;"",IFERROR(INDEX(pl_eq,MATCH(F347,pl_num,0))&amp;"",C347)&lt;&gt;C347),"Plan d'un autre équipement",IF(AND(J347&lt;&gt;"",OR(NOT(ISNUMBER(J347)),N(J347)&lt;0)),"Compteur invalide",IF(OR(AND(K347&lt;&gt;"",OR(NOT(ISNUMBER(K347)),N(K347)&lt;0)),AND(L347&lt;&gt;"",OR(NOT(ISNUMBER(L347)),N(L347)&lt;0))),"Durée invalide",IF(OR(AND(N347&lt;&gt;"",OR(NOT(ISNUMBER(N347)),N(N347)&lt;0)),AND(P347&lt;&gt;"",OR(NOT(ISNUMBER(P347)),N(P347)&lt;0))),"Coût invalide",IF(AND(M347&lt;&gt;"",ISNA(MATCH(M347,tech_name,0))),"Technicien inconnu",IF(AND(I347="Terminée",S347&gt;p_today),"Terminée à une date future",IF(AND(I347="Terminée",V347=0),"Durée d'intervention manquante",IF(AND(I347="Terminée",E347="Préventif",T347=0,OR(IFERROR(INDEX(pl_trig,MATCH(F347,pl_num,0))&amp;"","")="Compteur",IFERROR(INDEX(pl_trig,MATCH(F347,pl_num,0))&amp;"","")="Au premier des deux")),"Compteur manquant (plan au compteur)","OK"))))))))))))))))))</f>
        <v/>
      </c>
      <c r="S347" s="67">
        <f>IF(AND(ISNUMBER(B347),N(B347)&gt;0),INT(B347),0)</f>
        <v>0.0</v>
      </c>
      <c r="T347" s="67">
        <f>IF(AND(ISNUMBER(J347),N(J347)&gt;=0),N(J347),0)</f>
        <v>0.0</v>
      </c>
      <c r="U347" s="67">
        <f>IF(AND(ISNUMBER(K347),N(K347)&gt;0),N(K347),0)</f>
        <v>0.0</v>
      </c>
      <c r="V347" s="67">
        <f>IF(AND(ISNUMBER(L347),N(L347)&gt;0),N(L347),0)</f>
        <v>0.0</v>
      </c>
      <c r="W347" s="67">
        <f>IF(AND(I347="Terminée",S347&gt;0,C347&lt;&gt;"",ISNUMBER(MATCH(C347,eq_code,0))),1,0)</f>
        <v>0.0</v>
      </c>
      <c r="X347" s="67">
        <f>IF(AND(W347=1,E347="Préventif"),1,0)</f>
        <v>0.0</v>
      </c>
      <c r="Y347" s="67">
        <f>IF(AND(ISNUMBER(N347),N(N347)&gt;0),N(N347),0)</f>
        <v>0.0</v>
      </c>
      <c r="Z347" s="67">
        <f>IF(AND(ISNUMBER(P347),N(P347)&gt;0),N(P347),0)</f>
        <v>0.0</v>
      </c>
    </row>
    <row r="348">
      <c r="A348" s="79" t="str">
        <f>IF(COUNTA(B348:C348,E348:G348,I348)=0,"","BI-"&amp;RIGHT("0000"&amp;(ROW()-5),4))</f>
        <v/>
      </c>
      <c r="B348" s="72" t="n"/>
      <c r="C348" s="66" t="n"/>
      <c r="D348" s="67" t="str">
        <f>IF(C348="","",IFERROR(INDEX(eq_des,MATCH(C348,eq_code,0))&amp;"","Équipement inconnu"))</f>
        <v/>
      </c>
      <c r="E348" s="68" t="n"/>
      <c r="F348" s="68" t="n"/>
      <c r="G348" s="66" t="n"/>
      <c r="H348" s="66" t="n"/>
      <c r="I348" s="68" t="n"/>
      <c r="J348" s="73" t="n"/>
      <c r="K348" s="71" t="n"/>
      <c r="L348" s="71" t="n"/>
      <c r="M348" s="66" t="n"/>
      <c r="N348" s="80" t="n"/>
      <c r="O348" s="81" t="str">
        <f>IF(A348="","",ROUND(V348*IFERROR(N(INDEX(tech_rate,MATCH(M348,tech_name,0))),0),2))</f>
        <v/>
      </c>
      <c r="P348" s="80" t="n"/>
      <c r="Q348" s="81" t="str">
        <f>IF(A348="","",ROUND(Y348+O348+Z348,2))</f>
        <v/>
      </c>
      <c r="R348" s="79" t="str">
        <f>IF(A348="","",IF(S348=0,"Date manquante ou invalide",IF(C348="","Équipement manquant",IF(ISNA(MATCH(C348,eq_code,0)),"Équipement inconnu",IF(E348="","Type manquant",IF(AND(E348&lt;&gt;"Préventif",E348&lt;&gt;"Correctif",E348&lt;&gt;"Amélioratif"),"Type inconnu",IF(I348="","Statut manquant",IF(AND(I348&lt;&gt;"Terminée",I348&lt;&gt;"En cours",I348&lt;&gt;"À faire",I348&lt;&gt;"Annulée"),"Statut inconnu",IF(AND(E348="Préventif",F348=""),"Plan manquant (préventif)",IF(AND(F348&lt;&gt;"",ISNA(MATCH(F348,pl_num,0))),"Plan inconnu",IF(AND(F348&lt;&gt;"",IFERROR(INDEX(pl_eq,MATCH(F348,pl_num,0))&amp;"",C348)&lt;&gt;C348),"Plan d'un autre équipement",IF(AND(J348&lt;&gt;"",OR(NOT(ISNUMBER(J348)),N(J348)&lt;0)),"Compteur invalide",IF(OR(AND(K348&lt;&gt;"",OR(NOT(ISNUMBER(K348)),N(K348)&lt;0)),AND(L348&lt;&gt;"",OR(NOT(ISNUMBER(L348)),N(L348)&lt;0))),"Durée invalide",IF(OR(AND(N348&lt;&gt;"",OR(NOT(ISNUMBER(N348)),N(N348)&lt;0)),AND(P348&lt;&gt;"",OR(NOT(ISNUMBER(P348)),N(P348)&lt;0))),"Coût invalide",IF(AND(M348&lt;&gt;"",ISNA(MATCH(M348,tech_name,0))),"Technicien inconnu",IF(AND(I348="Terminée",S348&gt;p_today),"Terminée à une date future",IF(AND(I348="Terminée",V348=0),"Durée d'intervention manquante",IF(AND(I348="Terminée",E348="Préventif",T348=0,OR(IFERROR(INDEX(pl_trig,MATCH(F348,pl_num,0))&amp;"","")="Compteur",IFERROR(INDEX(pl_trig,MATCH(F348,pl_num,0))&amp;"","")="Au premier des deux")),"Compteur manquant (plan au compteur)","OK"))))))))))))))))))</f>
        <v/>
      </c>
      <c r="S348" s="67">
        <f>IF(AND(ISNUMBER(B348),N(B348)&gt;0),INT(B348),0)</f>
        <v>0.0</v>
      </c>
      <c r="T348" s="67">
        <f>IF(AND(ISNUMBER(J348),N(J348)&gt;=0),N(J348),0)</f>
        <v>0.0</v>
      </c>
      <c r="U348" s="67">
        <f>IF(AND(ISNUMBER(K348),N(K348)&gt;0),N(K348),0)</f>
        <v>0.0</v>
      </c>
      <c r="V348" s="67">
        <f>IF(AND(ISNUMBER(L348),N(L348)&gt;0),N(L348),0)</f>
        <v>0.0</v>
      </c>
      <c r="W348" s="67">
        <f>IF(AND(I348="Terminée",S348&gt;0,C348&lt;&gt;"",ISNUMBER(MATCH(C348,eq_code,0))),1,0)</f>
        <v>0.0</v>
      </c>
      <c r="X348" s="67">
        <f>IF(AND(W348=1,E348="Préventif"),1,0)</f>
        <v>0.0</v>
      </c>
      <c r="Y348" s="67">
        <f>IF(AND(ISNUMBER(N348),N(N348)&gt;0),N(N348),0)</f>
        <v>0.0</v>
      </c>
      <c r="Z348" s="67">
        <f>IF(AND(ISNUMBER(P348),N(P348)&gt;0),N(P348),0)</f>
        <v>0.0</v>
      </c>
    </row>
    <row r="349">
      <c r="A349" s="79" t="str">
        <f>IF(COUNTA(B349:C349,E349:G349,I349)=0,"","BI-"&amp;RIGHT("0000"&amp;(ROW()-5),4))</f>
        <v/>
      </c>
      <c r="B349" s="72" t="n"/>
      <c r="C349" s="66" t="n"/>
      <c r="D349" s="67" t="str">
        <f>IF(C349="","",IFERROR(INDEX(eq_des,MATCH(C349,eq_code,0))&amp;"","Équipement inconnu"))</f>
        <v/>
      </c>
      <c r="E349" s="68" t="n"/>
      <c r="F349" s="68" t="n"/>
      <c r="G349" s="66" t="n"/>
      <c r="H349" s="66" t="n"/>
      <c r="I349" s="68" t="n"/>
      <c r="J349" s="73" t="n"/>
      <c r="K349" s="71" t="n"/>
      <c r="L349" s="71" t="n"/>
      <c r="M349" s="66" t="n"/>
      <c r="N349" s="80" t="n"/>
      <c r="O349" s="81" t="str">
        <f>IF(A349="","",ROUND(V349*IFERROR(N(INDEX(tech_rate,MATCH(M349,tech_name,0))),0),2))</f>
        <v/>
      </c>
      <c r="P349" s="80" t="n"/>
      <c r="Q349" s="81" t="str">
        <f>IF(A349="","",ROUND(Y349+O349+Z349,2))</f>
        <v/>
      </c>
      <c r="R349" s="79" t="str">
        <f>IF(A349="","",IF(S349=0,"Date manquante ou invalide",IF(C349="","Équipement manquant",IF(ISNA(MATCH(C349,eq_code,0)),"Équipement inconnu",IF(E349="","Type manquant",IF(AND(E349&lt;&gt;"Préventif",E349&lt;&gt;"Correctif",E349&lt;&gt;"Amélioratif"),"Type inconnu",IF(I349="","Statut manquant",IF(AND(I349&lt;&gt;"Terminée",I349&lt;&gt;"En cours",I349&lt;&gt;"À faire",I349&lt;&gt;"Annulée"),"Statut inconnu",IF(AND(E349="Préventif",F349=""),"Plan manquant (préventif)",IF(AND(F349&lt;&gt;"",ISNA(MATCH(F349,pl_num,0))),"Plan inconnu",IF(AND(F349&lt;&gt;"",IFERROR(INDEX(pl_eq,MATCH(F349,pl_num,0))&amp;"",C349)&lt;&gt;C349),"Plan d'un autre équipement",IF(AND(J349&lt;&gt;"",OR(NOT(ISNUMBER(J349)),N(J349)&lt;0)),"Compteur invalide",IF(OR(AND(K349&lt;&gt;"",OR(NOT(ISNUMBER(K349)),N(K349)&lt;0)),AND(L349&lt;&gt;"",OR(NOT(ISNUMBER(L349)),N(L349)&lt;0))),"Durée invalide",IF(OR(AND(N349&lt;&gt;"",OR(NOT(ISNUMBER(N349)),N(N349)&lt;0)),AND(P349&lt;&gt;"",OR(NOT(ISNUMBER(P349)),N(P349)&lt;0))),"Coût invalide",IF(AND(M349&lt;&gt;"",ISNA(MATCH(M349,tech_name,0))),"Technicien inconnu",IF(AND(I349="Terminée",S349&gt;p_today),"Terminée à une date future",IF(AND(I349="Terminée",V349=0),"Durée d'intervention manquante",IF(AND(I349="Terminée",E349="Préventif",T349=0,OR(IFERROR(INDEX(pl_trig,MATCH(F349,pl_num,0))&amp;"","")="Compteur",IFERROR(INDEX(pl_trig,MATCH(F349,pl_num,0))&amp;"","")="Au premier des deux")),"Compteur manquant (plan au compteur)","OK"))))))))))))))))))</f>
        <v/>
      </c>
      <c r="S349" s="67">
        <f>IF(AND(ISNUMBER(B349),N(B349)&gt;0),INT(B349),0)</f>
        <v>0.0</v>
      </c>
      <c r="T349" s="67">
        <f>IF(AND(ISNUMBER(J349),N(J349)&gt;=0),N(J349),0)</f>
        <v>0.0</v>
      </c>
      <c r="U349" s="67">
        <f>IF(AND(ISNUMBER(K349),N(K349)&gt;0),N(K349),0)</f>
        <v>0.0</v>
      </c>
      <c r="V349" s="67">
        <f>IF(AND(ISNUMBER(L349),N(L349)&gt;0),N(L349),0)</f>
        <v>0.0</v>
      </c>
      <c r="W349" s="67">
        <f>IF(AND(I349="Terminée",S349&gt;0,C349&lt;&gt;"",ISNUMBER(MATCH(C349,eq_code,0))),1,0)</f>
        <v>0.0</v>
      </c>
      <c r="X349" s="67">
        <f>IF(AND(W349=1,E349="Préventif"),1,0)</f>
        <v>0.0</v>
      </c>
      <c r="Y349" s="67">
        <f>IF(AND(ISNUMBER(N349),N(N349)&gt;0),N(N349),0)</f>
        <v>0.0</v>
      </c>
      <c r="Z349" s="67">
        <f>IF(AND(ISNUMBER(P349),N(P349)&gt;0),N(P349),0)</f>
        <v>0.0</v>
      </c>
    </row>
    <row r="350">
      <c r="A350" s="79" t="str">
        <f>IF(COUNTA(B350:C350,E350:G350,I350)=0,"","BI-"&amp;RIGHT("0000"&amp;(ROW()-5),4))</f>
        <v/>
      </c>
      <c r="B350" s="72" t="n"/>
      <c r="C350" s="66" t="n"/>
      <c r="D350" s="67" t="str">
        <f>IF(C350="","",IFERROR(INDEX(eq_des,MATCH(C350,eq_code,0))&amp;"","Équipement inconnu"))</f>
        <v/>
      </c>
      <c r="E350" s="68" t="n"/>
      <c r="F350" s="68" t="n"/>
      <c r="G350" s="66" t="n"/>
      <c r="H350" s="66" t="n"/>
      <c r="I350" s="68" t="n"/>
      <c r="J350" s="73" t="n"/>
      <c r="K350" s="71" t="n"/>
      <c r="L350" s="71" t="n"/>
      <c r="M350" s="66" t="n"/>
      <c r="N350" s="80" t="n"/>
      <c r="O350" s="81" t="str">
        <f>IF(A350="","",ROUND(V350*IFERROR(N(INDEX(tech_rate,MATCH(M350,tech_name,0))),0),2))</f>
        <v/>
      </c>
      <c r="P350" s="80" t="n"/>
      <c r="Q350" s="81" t="str">
        <f>IF(A350="","",ROUND(Y350+O350+Z350,2))</f>
        <v/>
      </c>
      <c r="R350" s="79" t="str">
        <f>IF(A350="","",IF(S350=0,"Date manquante ou invalide",IF(C350="","Équipement manquant",IF(ISNA(MATCH(C350,eq_code,0)),"Équipement inconnu",IF(E350="","Type manquant",IF(AND(E350&lt;&gt;"Préventif",E350&lt;&gt;"Correctif",E350&lt;&gt;"Amélioratif"),"Type inconnu",IF(I350="","Statut manquant",IF(AND(I350&lt;&gt;"Terminée",I350&lt;&gt;"En cours",I350&lt;&gt;"À faire",I350&lt;&gt;"Annulée"),"Statut inconnu",IF(AND(E350="Préventif",F350=""),"Plan manquant (préventif)",IF(AND(F350&lt;&gt;"",ISNA(MATCH(F350,pl_num,0))),"Plan inconnu",IF(AND(F350&lt;&gt;"",IFERROR(INDEX(pl_eq,MATCH(F350,pl_num,0))&amp;"",C350)&lt;&gt;C350),"Plan d'un autre équipement",IF(AND(J350&lt;&gt;"",OR(NOT(ISNUMBER(J350)),N(J350)&lt;0)),"Compteur invalide",IF(OR(AND(K350&lt;&gt;"",OR(NOT(ISNUMBER(K350)),N(K350)&lt;0)),AND(L350&lt;&gt;"",OR(NOT(ISNUMBER(L350)),N(L350)&lt;0))),"Durée invalide",IF(OR(AND(N350&lt;&gt;"",OR(NOT(ISNUMBER(N350)),N(N350)&lt;0)),AND(P350&lt;&gt;"",OR(NOT(ISNUMBER(P350)),N(P350)&lt;0))),"Coût invalide",IF(AND(M350&lt;&gt;"",ISNA(MATCH(M350,tech_name,0))),"Technicien inconnu",IF(AND(I350="Terminée",S350&gt;p_today),"Terminée à une date future",IF(AND(I350="Terminée",V350=0),"Durée d'intervention manquante",IF(AND(I350="Terminée",E350="Préventif",T350=0,OR(IFERROR(INDEX(pl_trig,MATCH(F350,pl_num,0))&amp;"","")="Compteur",IFERROR(INDEX(pl_trig,MATCH(F350,pl_num,0))&amp;"","")="Au premier des deux")),"Compteur manquant (plan au compteur)","OK"))))))))))))))))))</f>
        <v/>
      </c>
      <c r="S350" s="67">
        <f>IF(AND(ISNUMBER(B350),N(B350)&gt;0),INT(B350),0)</f>
        <v>0.0</v>
      </c>
      <c r="T350" s="67">
        <f>IF(AND(ISNUMBER(J350),N(J350)&gt;=0),N(J350),0)</f>
        <v>0.0</v>
      </c>
      <c r="U350" s="67">
        <f>IF(AND(ISNUMBER(K350),N(K350)&gt;0),N(K350),0)</f>
        <v>0.0</v>
      </c>
      <c r="V350" s="67">
        <f>IF(AND(ISNUMBER(L350),N(L350)&gt;0),N(L350),0)</f>
        <v>0.0</v>
      </c>
      <c r="W350" s="67">
        <f>IF(AND(I350="Terminée",S350&gt;0,C350&lt;&gt;"",ISNUMBER(MATCH(C350,eq_code,0))),1,0)</f>
        <v>0.0</v>
      </c>
      <c r="X350" s="67">
        <f>IF(AND(W350=1,E350="Préventif"),1,0)</f>
        <v>0.0</v>
      </c>
      <c r="Y350" s="67">
        <f>IF(AND(ISNUMBER(N350),N(N350)&gt;0),N(N350),0)</f>
        <v>0.0</v>
      </c>
      <c r="Z350" s="67">
        <f>IF(AND(ISNUMBER(P350),N(P350)&gt;0),N(P350),0)</f>
        <v>0.0</v>
      </c>
    </row>
    <row r="351">
      <c r="A351" s="79" t="str">
        <f>IF(COUNTA(B351:C351,E351:G351,I351)=0,"","BI-"&amp;RIGHT("0000"&amp;(ROW()-5),4))</f>
        <v/>
      </c>
      <c r="B351" s="72" t="n"/>
      <c r="C351" s="66" t="n"/>
      <c r="D351" s="67" t="str">
        <f>IF(C351="","",IFERROR(INDEX(eq_des,MATCH(C351,eq_code,0))&amp;"","Équipement inconnu"))</f>
        <v/>
      </c>
      <c r="E351" s="68" t="n"/>
      <c r="F351" s="68" t="n"/>
      <c r="G351" s="66" t="n"/>
      <c r="H351" s="66" t="n"/>
      <c r="I351" s="68" t="n"/>
      <c r="J351" s="73" t="n"/>
      <c r="K351" s="71" t="n"/>
      <c r="L351" s="71" t="n"/>
      <c r="M351" s="66" t="n"/>
      <c r="N351" s="80" t="n"/>
      <c r="O351" s="81" t="str">
        <f>IF(A351="","",ROUND(V351*IFERROR(N(INDEX(tech_rate,MATCH(M351,tech_name,0))),0),2))</f>
        <v/>
      </c>
      <c r="P351" s="80" t="n"/>
      <c r="Q351" s="81" t="str">
        <f>IF(A351="","",ROUND(Y351+O351+Z351,2))</f>
        <v/>
      </c>
      <c r="R351" s="79" t="str">
        <f>IF(A351="","",IF(S351=0,"Date manquante ou invalide",IF(C351="","Équipement manquant",IF(ISNA(MATCH(C351,eq_code,0)),"Équipement inconnu",IF(E351="","Type manquant",IF(AND(E351&lt;&gt;"Préventif",E351&lt;&gt;"Correctif",E351&lt;&gt;"Amélioratif"),"Type inconnu",IF(I351="","Statut manquant",IF(AND(I351&lt;&gt;"Terminée",I351&lt;&gt;"En cours",I351&lt;&gt;"À faire",I351&lt;&gt;"Annulée"),"Statut inconnu",IF(AND(E351="Préventif",F351=""),"Plan manquant (préventif)",IF(AND(F351&lt;&gt;"",ISNA(MATCH(F351,pl_num,0))),"Plan inconnu",IF(AND(F351&lt;&gt;"",IFERROR(INDEX(pl_eq,MATCH(F351,pl_num,0))&amp;"",C351)&lt;&gt;C351),"Plan d'un autre équipement",IF(AND(J351&lt;&gt;"",OR(NOT(ISNUMBER(J351)),N(J351)&lt;0)),"Compteur invalide",IF(OR(AND(K351&lt;&gt;"",OR(NOT(ISNUMBER(K351)),N(K351)&lt;0)),AND(L351&lt;&gt;"",OR(NOT(ISNUMBER(L351)),N(L351)&lt;0))),"Durée invalide",IF(OR(AND(N351&lt;&gt;"",OR(NOT(ISNUMBER(N351)),N(N351)&lt;0)),AND(P351&lt;&gt;"",OR(NOT(ISNUMBER(P351)),N(P351)&lt;0))),"Coût invalide",IF(AND(M351&lt;&gt;"",ISNA(MATCH(M351,tech_name,0))),"Technicien inconnu",IF(AND(I351="Terminée",S351&gt;p_today),"Terminée à une date future",IF(AND(I351="Terminée",V351=0),"Durée d'intervention manquante",IF(AND(I351="Terminée",E351="Préventif",T351=0,OR(IFERROR(INDEX(pl_trig,MATCH(F351,pl_num,0))&amp;"","")="Compteur",IFERROR(INDEX(pl_trig,MATCH(F351,pl_num,0))&amp;"","")="Au premier des deux")),"Compteur manquant (plan au compteur)","OK"))))))))))))))))))</f>
        <v/>
      </c>
      <c r="S351" s="67">
        <f>IF(AND(ISNUMBER(B351),N(B351)&gt;0),INT(B351),0)</f>
        <v>0.0</v>
      </c>
      <c r="T351" s="67">
        <f>IF(AND(ISNUMBER(J351),N(J351)&gt;=0),N(J351),0)</f>
        <v>0.0</v>
      </c>
      <c r="U351" s="67">
        <f>IF(AND(ISNUMBER(K351),N(K351)&gt;0),N(K351),0)</f>
        <v>0.0</v>
      </c>
      <c r="V351" s="67">
        <f>IF(AND(ISNUMBER(L351),N(L351)&gt;0),N(L351),0)</f>
        <v>0.0</v>
      </c>
      <c r="W351" s="67">
        <f>IF(AND(I351="Terminée",S351&gt;0,C351&lt;&gt;"",ISNUMBER(MATCH(C351,eq_code,0))),1,0)</f>
        <v>0.0</v>
      </c>
      <c r="X351" s="67">
        <f>IF(AND(W351=1,E351="Préventif"),1,0)</f>
        <v>0.0</v>
      </c>
      <c r="Y351" s="67">
        <f>IF(AND(ISNUMBER(N351),N(N351)&gt;0),N(N351),0)</f>
        <v>0.0</v>
      </c>
      <c r="Z351" s="67">
        <f>IF(AND(ISNUMBER(P351),N(P351)&gt;0),N(P351),0)</f>
        <v>0.0</v>
      </c>
    </row>
    <row r="352">
      <c r="A352" s="79" t="str">
        <f>IF(COUNTA(B352:C352,E352:G352,I352)=0,"","BI-"&amp;RIGHT("0000"&amp;(ROW()-5),4))</f>
        <v/>
      </c>
      <c r="B352" s="72" t="n"/>
      <c r="C352" s="66" t="n"/>
      <c r="D352" s="67" t="str">
        <f>IF(C352="","",IFERROR(INDEX(eq_des,MATCH(C352,eq_code,0))&amp;"","Équipement inconnu"))</f>
        <v/>
      </c>
      <c r="E352" s="68" t="n"/>
      <c r="F352" s="68" t="n"/>
      <c r="G352" s="66" t="n"/>
      <c r="H352" s="66" t="n"/>
      <c r="I352" s="68" t="n"/>
      <c r="J352" s="73" t="n"/>
      <c r="K352" s="71" t="n"/>
      <c r="L352" s="71" t="n"/>
      <c r="M352" s="66" t="n"/>
      <c r="N352" s="80" t="n"/>
      <c r="O352" s="81" t="str">
        <f>IF(A352="","",ROUND(V352*IFERROR(N(INDEX(tech_rate,MATCH(M352,tech_name,0))),0),2))</f>
        <v/>
      </c>
      <c r="P352" s="80" t="n"/>
      <c r="Q352" s="81" t="str">
        <f>IF(A352="","",ROUND(Y352+O352+Z352,2))</f>
        <v/>
      </c>
      <c r="R352" s="79" t="str">
        <f>IF(A352="","",IF(S352=0,"Date manquante ou invalide",IF(C352="","Équipement manquant",IF(ISNA(MATCH(C352,eq_code,0)),"Équipement inconnu",IF(E352="","Type manquant",IF(AND(E352&lt;&gt;"Préventif",E352&lt;&gt;"Correctif",E352&lt;&gt;"Amélioratif"),"Type inconnu",IF(I352="","Statut manquant",IF(AND(I352&lt;&gt;"Terminée",I352&lt;&gt;"En cours",I352&lt;&gt;"À faire",I352&lt;&gt;"Annulée"),"Statut inconnu",IF(AND(E352="Préventif",F352=""),"Plan manquant (préventif)",IF(AND(F352&lt;&gt;"",ISNA(MATCH(F352,pl_num,0))),"Plan inconnu",IF(AND(F352&lt;&gt;"",IFERROR(INDEX(pl_eq,MATCH(F352,pl_num,0))&amp;"",C352)&lt;&gt;C352),"Plan d'un autre équipement",IF(AND(J352&lt;&gt;"",OR(NOT(ISNUMBER(J352)),N(J352)&lt;0)),"Compteur invalide",IF(OR(AND(K352&lt;&gt;"",OR(NOT(ISNUMBER(K352)),N(K352)&lt;0)),AND(L352&lt;&gt;"",OR(NOT(ISNUMBER(L352)),N(L352)&lt;0))),"Durée invalide",IF(OR(AND(N352&lt;&gt;"",OR(NOT(ISNUMBER(N352)),N(N352)&lt;0)),AND(P352&lt;&gt;"",OR(NOT(ISNUMBER(P352)),N(P352)&lt;0))),"Coût invalide",IF(AND(M352&lt;&gt;"",ISNA(MATCH(M352,tech_name,0))),"Technicien inconnu",IF(AND(I352="Terminée",S352&gt;p_today),"Terminée à une date future",IF(AND(I352="Terminée",V352=0),"Durée d'intervention manquante",IF(AND(I352="Terminée",E352="Préventif",T352=0,OR(IFERROR(INDEX(pl_trig,MATCH(F352,pl_num,0))&amp;"","")="Compteur",IFERROR(INDEX(pl_trig,MATCH(F352,pl_num,0))&amp;"","")="Au premier des deux")),"Compteur manquant (plan au compteur)","OK"))))))))))))))))))</f>
        <v/>
      </c>
      <c r="S352" s="67">
        <f>IF(AND(ISNUMBER(B352),N(B352)&gt;0),INT(B352),0)</f>
        <v>0.0</v>
      </c>
      <c r="T352" s="67">
        <f>IF(AND(ISNUMBER(J352),N(J352)&gt;=0),N(J352),0)</f>
        <v>0.0</v>
      </c>
      <c r="U352" s="67">
        <f>IF(AND(ISNUMBER(K352),N(K352)&gt;0),N(K352),0)</f>
        <v>0.0</v>
      </c>
      <c r="V352" s="67">
        <f>IF(AND(ISNUMBER(L352),N(L352)&gt;0),N(L352),0)</f>
        <v>0.0</v>
      </c>
      <c r="W352" s="67">
        <f>IF(AND(I352="Terminée",S352&gt;0,C352&lt;&gt;"",ISNUMBER(MATCH(C352,eq_code,0))),1,0)</f>
        <v>0.0</v>
      </c>
      <c r="X352" s="67">
        <f>IF(AND(W352=1,E352="Préventif"),1,0)</f>
        <v>0.0</v>
      </c>
      <c r="Y352" s="67">
        <f>IF(AND(ISNUMBER(N352),N(N352)&gt;0),N(N352),0)</f>
        <v>0.0</v>
      </c>
      <c r="Z352" s="67">
        <f>IF(AND(ISNUMBER(P352),N(P352)&gt;0),N(P352),0)</f>
        <v>0.0</v>
      </c>
    </row>
    <row r="353">
      <c r="A353" s="79" t="str">
        <f>IF(COUNTA(B353:C353,E353:G353,I353)=0,"","BI-"&amp;RIGHT("0000"&amp;(ROW()-5),4))</f>
        <v/>
      </c>
      <c r="B353" s="72" t="n"/>
      <c r="C353" s="66" t="n"/>
      <c r="D353" s="67" t="str">
        <f>IF(C353="","",IFERROR(INDEX(eq_des,MATCH(C353,eq_code,0))&amp;"","Équipement inconnu"))</f>
        <v/>
      </c>
      <c r="E353" s="68" t="n"/>
      <c r="F353" s="68" t="n"/>
      <c r="G353" s="66" t="n"/>
      <c r="H353" s="66" t="n"/>
      <c r="I353" s="68" t="n"/>
      <c r="J353" s="73" t="n"/>
      <c r="K353" s="71" t="n"/>
      <c r="L353" s="71" t="n"/>
      <c r="M353" s="66" t="n"/>
      <c r="N353" s="80" t="n"/>
      <c r="O353" s="81" t="str">
        <f>IF(A353="","",ROUND(V353*IFERROR(N(INDEX(tech_rate,MATCH(M353,tech_name,0))),0),2))</f>
        <v/>
      </c>
      <c r="P353" s="80" t="n"/>
      <c r="Q353" s="81" t="str">
        <f>IF(A353="","",ROUND(Y353+O353+Z353,2))</f>
        <v/>
      </c>
      <c r="R353" s="79" t="str">
        <f>IF(A353="","",IF(S353=0,"Date manquante ou invalide",IF(C353="","Équipement manquant",IF(ISNA(MATCH(C353,eq_code,0)),"Équipement inconnu",IF(E353="","Type manquant",IF(AND(E353&lt;&gt;"Préventif",E353&lt;&gt;"Correctif",E353&lt;&gt;"Amélioratif"),"Type inconnu",IF(I353="","Statut manquant",IF(AND(I353&lt;&gt;"Terminée",I353&lt;&gt;"En cours",I353&lt;&gt;"À faire",I353&lt;&gt;"Annulée"),"Statut inconnu",IF(AND(E353="Préventif",F353=""),"Plan manquant (préventif)",IF(AND(F353&lt;&gt;"",ISNA(MATCH(F353,pl_num,0))),"Plan inconnu",IF(AND(F353&lt;&gt;"",IFERROR(INDEX(pl_eq,MATCH(F353,pl_num,0))&amp;"",C353)&lt;&gt;C353),"Plan d'un autre équipement",IF(AND(J353&lt;&gt;"",OR(NOT(ISNUMBER(J353)),N(J353)&lt;0)),"Compteur invalide",IF(OR(AND(K353&lt;&gt;"",OR(NOT(ISNUMBER(K353)),N(K353)&lt;0)),AND(L353&lt;&gt;"",OR(NOT(ISNUMBER(L353)),N(L353)&lt;0))),"Durée invalide",IF(OR(AND(N353&lt;&gt;"",OR(NOT(ISNUMBER(N353)),N(N353)&lt;0)),AND(P353&lt;&gt;"",OR(NOT(ISNUMBER(P353)),N(P353)&lt;0))),"Coût invalide",IF(AND(M353&lt;&gt;"",ISNA(MATCH(M353,tech_name,0))),"Technicien inconnu",IF(AND(I353="Terminée",S353&gt;p_today),"Terminée à une date future",IF(AND(I353="Terminée",V353=0),"Durée d'intervention manquante",IF(AND(I353="Terminée",E353="Préventif",T353=0,OR(IFERROR(INDEX(pl_trig,MATCH(F353,pl_num,0))&amp;"","")="Compteur",IFERROR(INDEX(pl_trig,MATCH(F353,pl_num,0))&amp;"","")="Au premier des deux")),"Compteur manquant (plan au compteur)","OK"))))))))))))))))))</f>
        <v/>
      </c>
      <c r="S353" s="67">
        <f>IF(AND(ISNUMBER(B353),N(B353)&gt;0),INT(B353),0)</f>
        <v>0.0</v>
      </c>
      <c r="T353" s="67">
        <f>IF(AND(ISNUMBER(J353),N(J353)&gt;=0),N(J353),0)</f>
        <v>0.0</v>
      </c>
      <c r="U353" s="67">
        <f>IF(AND(ISNUMBER(K353),N(K353)&gt;0),N(K353),0)</f>
        <v>0.0</v>
      </c>
      <c r="V353" s="67">
        <f>IF(AND(ISNUMBER(L353),N(L353)&gt;0),N(L353),0)</f>
        <v>0.0</v>
      </c>
      <c r="W353" s="67">
        <f>IF(AND(I353="Terminée",S353&gt;0,C353&lt;&gt;"",ISNUMBER(MATCH(C353,eq_code,0))),1,0)</f>
        <v>0.0</v>
      </c>
      <c r="X353" s="67">
        <f>IF(AND(W353=1,E353="Préventif"),1,0)</f>
        <v>0.0</v>
      </c>
      <c r="Y353" s="67">
        <f>IF(AND(ISNUMBER(N353),N(N353)&gt;0),N(N353),0)</f>
        <v>0.0</v>
      </c>
      <c r="Z353" s="67">
        <f>IF(AND(ISNUMBER(P353),N(P353)&gt;0),N(P353),0)</f>
        <v>0.0</v>
      </c>
    </row>
    <row r="354">
      <c r="A354" s="79" t="str">
        <f>IF(COUNTA(B354:C354,E354:G354,I354)=0,"","BI-"&amp;RIGHT("0000"&amp;(ROW()-5),4))</f>
        <v/>
      </c>
      <c r="B354" s="72" t="n"/>
      <c r="C354" s="66" t="n"/>
      <c r="D354" s="67" t="str">
        <f>IF(C354="","",IFERROR(INDEX(eq_des,MATCH(C354,eq_code,0))&amp;"","Équipement inconnu"))</f>
        <v/>
      </c>
      <c r="E354" s="68" t="n"/>
      <c r="F354" s="68" t="n"/>
      <c r="G354" s="66" t="n"/>
      <c r="H354" s="66" t="n"/>
      <c r="I354" s="68" t="n"/>
      <c r="J354" s="73" t="n"/>
      <c r="K354" s="71" t="n"/>
      <c r="L354" s="71" t="n"/>
      <c r="M354" s="66" t="n"/>
      <c r="N354" s="80" t="n"/>
      <c r="O354" s="81" t="str">
        <f>IF(A354="","",ROUND(V354*IFERROR(N(INDEX(tech_rate,MATCH(M354,tech_name,0))),0),2))</f>
        <v/>
      </c>
      <c r="P354" s="80" t="n"/>
      <c r="Q354" s="81" t="str">
        <f>IF(A354="","",ROUND(Y354+O354+Z354,2))</f>
        <v/>
      </c>
      <c r="R354" s="79" t="str">
        <f>IF(A354="","",IF(S354=0,"Date manquante ou invalide",IF(C354="","Équipement manquant",IF(ISNA(MATCH(C354,eq_code,0)),"Équipement inconnu",IF(E354="","Type manquant",IF(AND(E354&lt;&gt;"Préventif",E354&lt;&gt;"Correctif",E354&lt;&gt;"Amélioratif"),"Type inconnu",IF(I354="","Statut manquant",IF(AND(I354&lt;&gt;"Terminée",I354&lt;&gt;"En cours",I354&lt;&gt;"À faire",I354&lt;&gt;"Annulée"),"Statut inconnu",IF(AND(E354="Préventif",F354=""),"Plan manquant (préventif)",IF(AND(F354&lt;&gt;"",ISNA(MATCH(F354,pl_num,0))),"Plan inconnu",IF(AND(F354&lt;&gt;"",IFERROR(INDEX(pl_eq,MATCH(F354,pl_num,0))&amp;"",C354)&lt;&gt;C354),"Plan d'un autre équipement",IF(AND(J354&lt;&gt;"",OR(NOT(ISNUMBER(J354)),N(J354)&lt;0)),"Compteur invalide",IF(OR(AND(K354&lt;&gt;"",OR(NOT(ISNUMBER(K354)),N(K354)&lt;0)),AND(L354&lt;&gt;"",OR(NOT(ISNUMBER(L354)),N(L354)&lt;0))),"Durée invalide",IF(OR(AND(N354&lt;&gt;"",OR(NOT(ISNUMBER(N354)),N(N354)&lt;0)),AND(P354&lt;&gt;"",OR(NOT(ISNUMBER(P354)),N(P354)&lt;0))),"Coût invalide",IF(AND(M354&lt;&gt;"",ISNA(MATCH(M354,tech_name,0))),"Technicien inconnu",IF(AND(I354="Terminée",S354&gt;p_today),"Terminée à une date future",IF(AND(I354="Terminée",V354=0),"Durée d'intervention manquante",IF(AND(I354="Terminée",E354="Préventif",T354=0,OR(IFERROR(INDEX(pl_trig,MATCH(F354,pl_num,0))&amp;"","")="Compteur",IFERROR(INDEX(pl_trig,MATCH(F354,pl_num,0))&amp;"","")="Au premier des deux")),"Compteur manquant (plan au compteur)","OK"))))))))))))))))))</f>
        <v/>
      </c>
      <c r="S354" s="67">
        <f>IF(AND(ISNUMBER(B354),N(B354)&gt;0),INT(B354),0)</f>
        <v>0.0</v>
      </c>
      <c r="T354" s="67">
        <f>IF(AND(ISNUMBER(J354),N(J354)&gt;=0),N(J354),0)</f>
        <v>0.0</v>
      </c>
      <c r="U354" s="67">
        <f>IF(AND(ISNUMBER(K354),N(K354)&gt;0),N(K354),0)</f>
        <v>0.0</v>
      </c>
      <c r="V354" s="67">
        <f>IF(AND(ISNUMBER(L354),N(L354)&gt;0),N(L354),0)</f>
        <v>0.0</v>
      </c>
      <c r="W354" s="67">
        <f>IF(AND(I354="Terminée",S354&gt;0,C354&lt;&gt;"",ISNUMBER(MATCH(C354,eq_code,0))),1,0)</f>
        <v>0.0</v>
      </c>
      <c r="X354" s="67">
        <f>IF(AND(W354=1,E354="Préventif"),1,0)</f>
        <v>0.0</v>
      </c>
      <c r="Y354" s="67">
        <f>IF(AND(ISNUMBER(N354),N(N354)&gt;0),N(N354),0)</f>
        <v>0.0</v>
      </c>
      <c r="Z354" s="67">
        <f>IF(AND(ISNUMBER(P354),N(P354)&gt;0),N(P354),0)</f>
        <v>0.0</v>
      </c>
    </row>
    <row r="355">
      <c r="A355" s="79" t="str">
        <f>IF(COUNTA(B355:C355,E355:G355,I355)=0,"","BI-"&amp;RIGHT("0000"&amp;(ROW()-5),4))</f>
        <v/>
      </c>
      <c r="B355" s="72" t="n"/>
      <c r="C355" s="66" t="n"/>
      <c r="D355" s="67" t="str">
        <f>IF(C355="","",IFERROR(INDEX(eq_des,MATCH(C355,eq_code,0))&amp;"","Équipement inconnu"))</f>
        <v/>
      </c>
      <c r="E355" s="68" t="n"/>
      <c r="F355" s="68" t="n"/>
      <c r="G355" s="66" t="n"/>
      <c r="H355" s="66" t="n"/>
      <c r="I355" s="68" t="n"/>
      <c r="J355" s="73" t="n"/>
      <c r="K355" s="71" t="n"/>
      <c r="L355" s="71" t="n"/>
      <c r="M355" s="66" t="n"/>
      <c r="N355" s="80" t="n"/>
      <c r="O355" s="81" t="str">
        <f>IF(A355="","",ROUND(V355*IFERROR(N(INDEX(tech_rate,MATCH(M355,tech_name,0))),0),2))</f>
        <v/>
      </c>
      <c r="P355" s="80" t="n"/>
      <c r="Q355" s="81" t="str">
        <f>IF(A355="","",ROUND(Y355+O355+Z355,2))</f>
        <v/>
      </c>
      <c r="R355" s="79" t="str">
        <f>IF(A355="","",IF(S355=0,"Date manquante ou invalide",IF(C355="","Équipement manquant",IF(ISNA(MATCH(C355,eq_code,0)),"Équipement inconnu",IF(E355="","Type manquant",IF(AND(E355&lt;&gt;"Préventif",E355&lt;&gt;"Correctif",E355&lt;&gt;"Amélioratif"),"Type inconnu",IF(I355="","Statut manquant",IF(AND(I355&lt;&gt;"Terminée",I355&lt;&gt;"En cours",I355&lt;&gt;"À faire",I355&lt;&gt;"Annulée"),"Statut inconnu",IF(AND(E355="Préventif",F355=""),"Plan manquant (préventif)",IF(AND(F355&lt;&gt;"",ISNA(MATCH(F355,pl_num,0))),"Plan inconnu",IF(AND(F355&lt;&gt;"",IFERROR(INDEX(pl_eq,MATCH(F355,pl_num,0))&amp;"",C355)&lt;&gt;C355),"Plan d'un autre équipement",IF(AND(J355&lt;&gt;"",OR(NOT(ISNUMBER(J355)),N(J355)&lt;0)),"Compteur invalide",IF(OR(AND(K355&lt;&gt;"",OR(NOT(ISNUMBER(K355)),N(K355)&lt;0)),AND(L355&lt;&gt;"",OR(NOT(ISNUMBER(L355)),N(L355)&lt;0))),"Durée invalide",IF(OR(AND(N355&lt;&gt;"",OR(NOT(ISNUMBER(N355)),N(N355)&lt;0)),AND(P355&lt;&gt;"",OR(NOT(ISNUMBER(P355)),N(P355)&lt;0))),"Coût invalide",IF(AND(M355&lt;&gt;"",ISNA(MATCH(M355,tech_name,0))),"Technicien inconnu",IF(AND(I355="Terminée",S355&gt;p_today),"Terminée à une date future",IF(AND(I355="Terminée",V355=0),"Durée d'intervention manquante",IF(AND(I355="Terminée",E355="Préventif",T355=0,OR(IFERROR(INDEX(pl_trig,MATCH(F355,pl_num,0))&amp;"","")="Compteur",IFERROR(INDEX(pl_trig,MATCH(F355,pl_num,0))&amp;"","")="Au premier des deux")),"Compteur manquant (plan au compteur)","OK"))))))))))))))))))</f>
        <v/>
      </c>
      <c r="S355" s="67">
        <f>IF(AND(ISNUMBER(B355),N(B355)&gt;0),INT(B355),0)</f>
        <v>0.0</v>
      </c>
      <c r="T355" s="67">
        <f>IF(AND(ISNUMBER(J355),N(J355)&gt;=0),N(J355),0)</f>
        <v>0.0</v>
      </c>
      <c r="U355" s="67">
        <f>IF(AND(ISNUMBER(K355),N(K355)&gt;0),N(K355),0)</f>
        <v>0.0</v>
      </c>
      <c r="V355" s="67">
        <f>IF(AND(ISNUMBER(L355),N(L355)&gt;0),N(L355),0)</f>
        <v>0.0</v>
      </c>
      <c r="W355" s="67">
        <f>IF(AND(I355="Terminée",S355&gt;0,C355&lt;&gt;"",ISNUMBER(MATCH(C355,eq_code,0))),1,0)</f>
        <v>0.0</v>
      </c>
      <c r="X355" s="67">
        <f>IF(AND(W355=1,E355="Préventif"),1,0)</f>
        <v>0.0</v>
      </c>
      <c r="Y355" s="67">
        <f>IF(AND(ISNUMBER(N355),N(N355)&gt;0),N(N355),0)</f>
        <v>0.0</v>
      </c>
      <c r="Z355" s="67">
        <f>IF(AND(ISNUMBER(P355),N(P355)&gt;0),N(P355),0)</f>
        <v>0.0</v>
      </c>
    </row>
    <row r="356">
      <c r="A356" s="79" t="str">
        <f>IF(COUNTA(B356:C356,E356:G356,I356)=0,"","BI-"&amp;RIGHT("0000"&amp;(ROW()-5),4))</f>
        <v/>
      </c>
      <c r="B356" s="72" t="n"/>
      <c r="C356" s="66" t="n"/>
      <c r="D356" s="67" t="str">
        <f>IF(C356="","",IFERROR(INDEX(eq_des,MATCH(C356,eq_code,0))&amp;"","Équipement inconnu"))</f>
        <v/>
      </c>
      <c r="E356" s="68" t="n"/>
      <c r="F356" s="68" t="n"/>
      <c r="G356" s="66" t="n"/>
      <c r="H356" s="66" t="n"/>
      <c r="I356" s="68" t="n"/>
      <c r="J356" s="73" t="n"/>
      <c r="K356" s="71" t="n"/>
      <c r="L356" s="71" t="n"/>
      <c r="M356" s="66" t="n"/>
      <c r="N356" s="80" t="n"/>
      <c r="O356" s="81" t="str">
        <f>IF(A356="","",ROUND(V356*IFERROR(N(INDEX(tech_rate,MATCH(M356,tech_name,0))),0),2))</f>
        <v/>
      </c>
      <c r="P356" s="80" t="n"/>
      <c r="Q356" s="81" t="str">
        <f>IF(A356="","",ROUND(Y356+O356+Z356,2))</f>
        <v/>
      </c>
      <c r="R356" s="79" t="str">
        <f>IF(A356="","",IF(S356=0,"Date manquante ou invalide",IF(C356="","Équipement manquant",IF(ISNA(MATCH(C356,eq_code,0)),"Équipement inconnu",IF(E356="","Type manquant",IF(AND(E356&lt;&gt;"Préventif",E356&lt;&gt;"Correctif",E356&lt;&gt;"Amélioratif"),"Type inconnu",IF(I356="","Statut manquant",IF(AND(I356&lt;&gt;"Terminée",I356&lt;&gt;"En cours",I356&lt;&gt;"À faire",I356&lt;&gt;"Annulée"),"Statut inconnu",IF(AND(E356="Préventif",F356=""),"Plan manquant (préventif)",IF(AND(F356&lt;&gt;"",ISNA(MATCH(F356,pl_num,0))),"Plan inconnu",IF(AND(F356&lt;&gt;"",IFERROR(INDEX(pl_eq,MATCH(F356,pl_num,0))&amp;"",C356)&lt;&gt;C356),"Plan d'un autre équipement",IF(AND(J356&lt;&gt;"",OR(NOT(ISNUMBER(J356)),N(J356)&lt;0)),"Compteur invalide",IF(OR(AND(K356&lt;&gt;"",OR(NOT(ISNUMBER(K356)),N(K356)&lt;0)),AND(L356&lt;&gt;"",OR(NOT(ISNUMBER(L356)),N(L356)&lt;0))),"Durée invalide",IF(OR(AND(N356&lt;&gt;"",OR(NOT(ISNUMBER(N356)),N(N356)&lt;0)),AND(P356&lt;&gt;"",OR(NOT(ISNUMBER(P356)),N(P356)&lt;0))),"Coût invalide",IF(AND(M356&lt;&gt;"",ISNA(MATCH(M356,tech_name,0))),"Technicien inconnu",IF(AND(I356="Terminée",S356&gt;p_today),"Terminée à une date future",IF(AND(I356="Terminée",V356=0),"Durée d'intervention manquante",IF(AND(I356="Terminée",E356="Préventif",T356=0,OR(IFERROR(INDEX(pl_trig,MATCH(F356,pl_num,0))&amp;"","")="Compteur",IFERROR(INDEX(pl_trig,MATCH(F356,pl_num,0))&amp;"","")="Au premier des deux")),"Compteur manquant (plan au compteur)","OK"))))))))))))))))))</f>
        <v/>
      </c>
      <c r="S356" s="67">
        <f>IF(AND(ISNUMBER(B356),N(B356)&gt;0),INT(B356),0)</f>
        <v>0.0</v>
      </c>
      <c r="T356" s="67">
        <f>IF(AND(ISNUMBER(J356),N(J356)&gt;=0),N(J356),0)</f>
        <v>0.0</v>
      </c>
      <c r="U356" s="67">
        <f>IF(AND(ISNUMBER(K356),N(K356)&gt;0),N(K356),0)</f>
        <v>0.0</v>
      </c>
      <c r="V356" s="67">
        <f>IF(AND(ISNUMBER(L356),N(L356)&gt;0),N(L356),0)</f>
        <v>0.0</v>
      </c>
      <c r="W356" s="67">
        <f>IF(AND(I356="Terminée",S356&gt;0,C356&lt;&gt;"",ISNUMBER(MATCH(C356,eq_code,0))),1,0)</f>
        <v>0.0</v>
      </c>
      <c r="X356" s="67">
        <f>IF(AND(W356=1,E356="Préventif"),1,0)</f>
        <v>0.0</v>
      </c>
      <c r="Y356" s="67">
        <f>IF(AND(ISNUMBER(N356),N(N356)&gt;0),N(N356),0)</f>
        <v>0.0</v>
      </c>
      <c r="Z356" s="67">
        <f>IF(AND(ISNUMBER(P356),N(P356)&gt;0),N(P356),0)</f>
        <v>0.0</v>
      </c>
    </row>
    <row r="357">
      <c r="A357" s="79" t="str">
        <f>IF(COUNTA(B357:C357,E357:G357,I357)=0,"","BI-"&amp;RIGHT("0000"&amp;(ROW()-5),4))</f>
        <v/>
      </c>
      <c r="B357" s="72" t="n"/>
      <c r="C357" s="66" t="n"/>
      <c r="D357" s="67" t="str">
        <f>IF(C357="","",IFERROR(INDEX(eq_des,MATCH(C357,eq_code,0))&amp;"","Équipement inconnu"))</f>
        <v/>
      </c>
      <c r="E357" s="68" t="n"/>
      <c r="F357" s="68" t="n"/>
      <c r="G357" s="66" t="n"/>
      <c r="H357" s="66" t="n"/>
      <c r="I357" s="68" t="n"/>
      <c r="J357" s="73" t="n"/>
      <c r="K357" s="71" t="n"/>
      <c r="L357" s="71" t="n"/>
      <c r="M357" s="66" t="n"/>
      <c r="N357" s="80" t="n"/>
      <c r="O357" s="81" t="str">
        <f>IF(A357="","",ROUND(V357*IFERROR(N(INDEX(tech_rate,MATCH(M357,tech_name,0))),0),2))</f>
        <v/>
      </c>
      <c r="P357" s="80" t="n"/>
      <c r="Q357" s="81" t="str">
        <f>IF(A357="","",ROUND(Y357+O357+Z357,2))</f>
        <v/>
      </c>
      <c r="R357" s="79" t="str">
        <f>IF(A357="","",IF(S357=0,"Date manquante ou invalide",IF(C357="","Équipement manquant",IF(ISNA(MATCH(C357,eq_code,0)),"Équipement inconnu",IF(E357="","Type manquant",IF(AND(E357&lt;&gt;"Préventif",E357&lt;&gt;"Correctif",E357&lt;&gt;"Amélioratif"),"Type inconnu",IF(I357="","Statut manquant",IF(AND(I357&lt;&gt;"Terminée",I357&lt;&gt;"En cours",I357&lt;&gt;"À faire",I357&lt;&gt;"Annulée"),"Statut inconnu",IF(AND(E357="Préventif",F357=""),"Plan manquant (préventif)",IF(AND(F357&lt;&gt;"",ISNA(MATCH(F357,pl_num,0))),"Plan inconnu",IF(AND(F357&lt;&gt;"",IFERROR(INDEX(pl_eq,MATCH(F357,pl_num,0))&amp;"",C357)&lt;&gt;C357),"Plan d'un autre équipement",IF(AND(J357&lt;&gt;"",OR(NOT(ISNUMBER(J357)),N(J357)&lt;0)),"Compteur invalide",IF(OR(AND(K357&lt;&gt;"",OR(NOT(ISNUMBER(K357)),N(K357)&lt;0)),AND(L357&lt;&gt;"",OR(NOT(ISNUMBER(L357)),N(L357)&lt;0))),"Durée invalide",IF(OR(AND(N357&lt;&gt;"",OR(NOT(ISNUMBER(N357)),N(N357)&lt;0)),AND(P357&lt;&gt;"",OR(NOT(ISNUMBER(P357)),N(P357)&lt;0))),"Coût invalide",IF(AND(M357&lt;&gt;"",ISNA(MATCH(M357,tech_name,0))),"Technicien inconnu",IF(AND(I357="Terminée",S357&gt;p_today),"Terminée à une date future",IF(AND(I357="Terminée",V357=0),"Durée d'intervention manquante",IF(AND(I357="Terminée",E357="Préventif",T357=0,OR(IFERROR(INDEX(pl_trig,MATCH(F357,pl_num,0))&amp;"","")="Compteur",IFERROR(INDEX(pl_trig,MATCH(F357,pl_num,0))&amp;"","")="Au premier des deux")),"Compteur manquant (plan au compteur)","OK"))))))))))))))))))</f>
        <v/>
      </c>
      <c r="S357" s="67">
        <f>IF(AND(ISNUMBER(B357),N(B357)&gt;0),INT(B357),0)</f>
        <v>0.0</v>
      </c>
      <c r="T357" s="67">
        <f>IF(AND(ISNUMBER(J357),N(J357)&gt;=0),N(J357),0)</f>
        <v>0.0</v>
      </c>
      <c r="U357" s="67">
        <f>IF(AND(ISNUMBER(K357),N(K357)&gt;0),N(K357),0)</f>
        <v>0.0</v>
      </c>
      <c r="V357" s="67">
        <f>IF(AND(ISNUMBER(L357),N(L357)&gt;0),N(L357),0)</f>
        <v>0.0</v>
      </c>
      <c r="W357" s="67">
        <f>IF(AND(I357="Terminée",S357&gt;0,C357&lt;&gt;"",ISNUMBER(MATCH(C357,eq_code,0))),1,0)</f>
        <v>0.0</v>
      </c>
      <c r="X357" s="67">
        <f>IF(AND(W357=1,E357="Préventif"),1,0)</f>
        <v>0.0</v>
      </c>
      <c r="Y357" s="67">
        <f>IF(AND(ISNUMBER(N357),N(N357)&gt;0),N(N357),0)</f>
        <v>0.0</v>
      </c>
      <c r="Z357" s="67">
        <f>IF(AND(ISNUMBER(P357),N(P357)&gt;0),N(P357),0)</f>
        <v>0.0</v>
      </c>
    </row>
    <row r="358">
      <c r="A358" s="79" t="str">
        <f>IF(COUNTA(B358:C358,E358:G358,I358)=0,"","BI-"&amp;RIGHT("0000"&amp;(ROW()-5),4))</f>
        <v/>
      </c>
      <c r="B358" s="72" t="n"/>
      <c r="C358" s="66" t="n"/>
      <c r="D358" s="67" t="str">
        <f>IF(C358="","",IFERROR(INDEX(eq_des,MATCH(C358,eq_code,0))&amp;"","Équipement inconnu"))</f>
        <v/>
      </c>
      <c r="E358" s="68" t="n"/>
      <c r="F358" s="68" t="n"/>
      <c r="G358" s="66" t="n"/>
      <c r="H358" s="66" t="n"/>
      <c r="I358" s="68" t="n"/>
      <c r="J358" s="73" t="n"/>
      <c r="K358" s="71" t="n"/>
      <c r="L358" s="71" t="n"/>
      <c r="M358" s="66" t="n"/>
      <c r="N358" s="80" t="n"/>
      <c r="O358" s="81" t="str">
        <f>IF(A358="","",ROUND(V358*IFERROR(N(INDEX(tech_rate,MATCH(M358,tech_name,0))),0),2))</f>
        <v/>
      </c>
      <c r="P358" s="80" t="n"/>
      <c r="Q358" s="81" t="str">
        <f>IF(A358="","",ROUND(Y358+O358+Z358,2))</f>
        <v/>
      </c>
      <c r="R358" s="79" t="str">
        <f>IF(A358="","",IF(S358=0,"Date manquante ou invalide",IF(C358="","Équipement manquant",IF(ISNA(MATCH(C358,eq_code,0)),"Équipement inconnu",IF(E358="","Type manquant",IF(AND(E358&lt;&gt;"Préventif",E358&lt;&gt;"Correctif",E358&lt;&gt;"Amélioratif"),"Type inconnu",IF(I358="","Statut manquant",IF(AND(I358&lt;&gt;"Terminée",I358&lt;&gt;"En cours",I358&lt;&gt;"À faire",I358&lt;&gt;"Annulée"),"Statut inconnu",IF(AND(E358="Préventif",F358=""),"Plan manquant (préventif)",IF(AND(F358&lt;&gt;"",ISNA(MATCH(F358,pl_num,0))),"Plan inconnu",IF(AND(F358&lt;&gt;"",IFERROR(INDEX(pl_eq,MATCH(F358,pl_num,0))&amp;"",C358)&lt;&gt;C358),"Plan d'un autre équipement",IF(AND(J358&lt;&gt;"",OR(NOT(ISNUMBER(J358)),N(J358)&lt;0)),"Compteur invalide",IF(OR(AND(K358&lt;&gt;"",OR(NOT(ISNUMBER(K358)),N(K358)&lt;0)),AND(L358&lt;&gt;"",OR(NOT(ISNUMBER(L358)),N(L358)&lt;0))),"Durée invalide",IF(OR(AND(N358&lt;&gt;"",OR(NOT(ISNUMBER(N358)),N(N358)&lt;0)),AND(P358&lt;&gt;"",OR(NOT(ISNUMBER(P358)),N(P358)&lt;0))),"Coût invalide",IF(AND(M358&lt;&gt;"",ISNA(MATCH(M358,tech_name,0))),"Technicien inconnu",IF(AND(I358="Terminée",S358&gt;p_today),"Terminée à une date future",IF(AND(I358="Terminée",V358=0),"Durée d'intervention manquante",IF(AND(I358="Terminée",E358="Préventif",T358=0,OR(IFERROR(INDEX(pl_trig,MATCH(F358,pl_num,0))&amp;"","")="Compteur",IFERROR(INDEX(pl_trig,MATCH(F358,pl_num,0))&amp;"","")="Au premier des deux")),"Compteur manquant (plan au compteur)","OK"))))))))))))))))))</f>
        <v/>
      </c>
      <c r="S358" s="67">
        <f>IF(AND(ISNUMBER(B358),N(B358)&gt;0),INT(B358),0)</f>
        <v>0.0</v>
      </c>
      <c r="T358" s="67">
        <f>IF(AND(ISNUMBER(J358),N(J358)&gt;=0),N(J358),0)</f>
        <v>0.0</v>
      </c>
      <c r="U358" s="67">
        <f>IF(AND(ISNUMBER(K358),N(K358)&gt;0),N(K358),0)</f>
        <v>0.0</v>
      </c>
      <c r="V358" s="67">
        <f>IF(AND(ISNUMBER(L358),N(L358)&gt;0),N(L358),0)</f>
        <v>0.0</v>
      </c>
      <c r="W358" s="67">
        <f>IF(AND(I358="Terminée",S358&gt;0,C358&lt;&gt;"",ISNUMBER(MATCH(C358,eq_code,0))),1,0)</f>
        <v>0.0</v>
      </c>
      <c r="X358" s="67">
        <f>IF(AND(W358=1,E358="Préventif"),1,0)</f>
        <v>0.0</v>
      </c>
      <c r="Y358" s="67">
        <f>IF(AND(ISNUMBER(N358),N(N358)&gt;0),N(N358),0)</f>
        <v>0.0</v>
      </c>
      <c r="Z358" s="67">
        <f>IF(AND(ISNUMBER(P358),N(P358)&gt;0),N(P358),0)</f>
        <v>0.0</v>
      </c>
    </row>
    <row r="359">
      <c r="A359" s="79" t="str">
        <f>IF(COUNTA(B359:C359,E359:G359,I359)=0,"","BI-"&amp;RIGHT("0000"&amp;(ROW()-5),4))</f>
        <v/>
      </c>
      <c r="B359" s="72" t="n"/>
      <c r="C359" s="66" t="n"/>
      <c r="D359" s="67" t="str">
        <f>IF(C359="","",IFERROR(INDEX(eq_des,MATCH(C359,eq_code,0))&amp;"","Équipement inconnu"))</f>
        <v/>
      </c>
      <c r="E359" s="68" t="n"/>
      <c r="F359" s="68" t="n"/>
      <c r="G359" s="66" t="n"/>
      <c r="H359" s="66" t="n"/>
      <c r="I359" s="68" t="n"/>
      <c r="J359" s="73" t="n"/>
      <c r="K359" s="71" t="n"/>
      <c r="L359" s="71" t="n"/>
      <c r="M359" s="66" t="n"/>
      <c r="N359" s="80" t="n"/>
      <c r="O359" s="81" t="str">
        <f>IF(A359="","",ROUND(V359*IFERROR(N(INDEX(tech_rate,MATCH(M359,tech_name,0))),0),2))</f>
        <v/>
      </c>
      <c r="P359" s="80" t="n"/>
      <c r="Q359" s="81" t="str">
        <f>IF(A359="","",ROUND(Y359+O359+Z359,2))</f>
        <v/>
      </c>
      <c r="R359" s="79" t="str">
        <f>IF(A359="","",IF(S359=0,"Date manquante ou invalide",IF(C359="","Équipement manquant",IF(ISNA(MATCH(C359,eq_code,0)),"Équipement inconnu",IF(E359="","Type manquant",IF(AND(E359&lt;&gt;"Préventif",E359&lt;&gt;"Correctif",E359&lt;&gt;"Amélioratif"),"Type inconnu",IF(I359="","Statut manquant",IF(AND(I359&lt;&gt;"Terminée",I359&lt;&gt;"En cours",I359&lt;&gt;"À faire",I359&lt;&gt;"Annulée"),"Statut inconnu",IF(AND(E359="Préventif",F359=""),"Plan manquant (préventif)",IF(AND(F359&lt;&gt;"",ISNA(MATCH(F359,pl_num,0))),"Plan inconnu",IF(AND(F359&lt;&gt;"",IFERROR(INDEX(pl_eq,MATCH(F359,pl_num,0))&amp;"",C359)&lt;&gt;C359),"Plan d'un autre équipement",IF(AND(J359&lt;&gt;"",OR(NOT(ISNUMBER(J359)),N(J359)&lt;0)),"Compteur invalide",IF(OR(AND(K359&lt;&gt;"",OR(NOT(ISNUMBER(K359)),N(K359)&lt;0)),AND(L359&lt;&gt;"",OR(NOT(ISNUMBER(L359)),N(L359)&lt;0))),"Durée invalide",IF(OR(AND(N359&lt;&gt;"",OR(NOT(ISNUMBER(N359)),N(N359)&lt;0)),AND(P359&lt;&gt;"",OR(NOT(ISNUMBER(P359)),N(P359)&lt;0))),"Coût invalide",IF(AND(M359&lt;&gt;"",ISNA(MATCH(M359,tech_name,0))),"Technicien inconnu",IF(AND(I359="Terminée",S359&gt;p_today),"Terminée à une date future",IF(AND(I359="Terminée",V359=0),"Durée d'intervention manquante",IF(AND(I359="Terminée",E359="Préventif",T359=0,OR(IFERROR(INDEX(pl_trig,MATCH(F359,pl_num,0))&amp;"","")="Compteur",IFERROR(INDEX(pl_trig,MATCH(F359,pl_num,0))&amp;"","")="Au premier des deux")),"Compteur manquant (plan au compteur)","OK"))))))))))))))))))</f>
        <v/>
      </c>
      <c r="S359" s="67">
        <f>IF(AND(ISNUMBER(B359),N(B359)&gt;0),INT(B359),0)</f>
        <v>0.0</v>
      </c>
      <c r="T359" s="67">
        <f>IF(AND(ISNUMBER(J359),N(J359)&gt;=0),N(J359),0)</f>
        <v>0.0</v>
      </c>
      <c r="U359" s="67">
        <f>IF(AND(ISNUMBER(K359),N(K359)&gt;0),N(K359),0)</f>
        <v>0.0</v>
      </c>
      <c r="V359" s="67">
        <f>IF(AND(ISNUMBER(L359),N(L359)&gt;0),N(L359),0)</f>
        <v>0.0</v>
      </c>
      <c r="W359" s="67">
        <f>IF(AND(I359="Terminée",S359&gt;0,C359&lt;&gt;"",ISNUMBER(MATCH(C359,eq_code,0))),1,0)</f>
        <v>0.0</v>
      </c>
      <c r="X359" s="67">
        <f>IF(AND(W359=1,E359="Préventif"),1,0)</f>
        <v>0.0</v>
      </c>
      <c r="Y359" s="67">
        <f>IF(AND(ISNUMBER(N359),N(N359)&gt;0),N(N359),0)</f>
        <v>0.0</v>
      </c>
      <c r="Z359" s="67">
        <f>IF(AND(ISNUMBER(P359),N(P359)&gt;0),N(P359),0)</f>
        <v>0.0</v>
      </c>
    </row>
    <row r="360">
      <c r="A360" s="79" t="str">
        <f>IF(COUNTA(B360:C360,E360:G360,I360)=0,"","BI-"&amp;RIGHT("0000"&amp;(ROW()-5),4))</f>
        <v/>
      </c>
      <c r="B360" s="72" t="n"/>
      <c r="C360" s="66" t="n"/>
      <c r="D360" s="67" t="str">
        <f>IF(C360="","",IFERROR(INDEX(eq_des,MATCH(C360,eq_code,0))&amp;"","Équipement inconnu"))</f>
        <v/>
      </c>
      <c r="E360" s="68" t="n"/>
      <c r="F360" s="68" t="n"/>
      <c r="G360" s="66" t="n"/>
      <c r="H360" s="66" t="n"/>
      <c r="I360" s="68" t="n"/>
      <c r="J360" s="73" t="n"/>
      <c r="K360" s="71" t="n"/>
      <c r="L360" s="71" t="n"/>
      <c r="M360" s="66" t="n"/>
      <c r="N360" s="80" t="n"/>
      <c r="O360" s="81" t="str">
        <f>IF(A360="","",ROUND(V360*IFERROR(N(INDEX(tech_rate,MATCH(M360,tech_name,0))),0),2))</f>
        <v/>
      </c>
      <c r="P360" s="80" t="n"/>
      <c r="Q360" s="81" t="str">
        <f>IF(A360="","",ROUND(Y360+O360+Z360,2))</f>
        <v/>
      </c>
      <c r="R360" s="79" t="str">
        <f>IF(A360="","",IF(S360=0,"Date manquante ou invalide",IF(C360="","Équipement manquant",IF(ISNA(MATCH(C360,eq_code,0)),"Équipement inconnu",IF(E360="","Type manquant",IF(AND(E360&lt;&gt;"Préventif",E360&lt;&gt;"Correctif",E360&lt;&gt;"Amélioratif"),"Type inconnu",IF(I360="","Statut manquant",IF(AND(I360&lt;&gt;"Terminée",I360&lt;&gt;"En cours",I360&lt;&gt;"À faire",I360&lt;&gt;"Annulée"),"Statut inconnu",IF(AND(E360="Préventif",F360=""),"Plan manquant (préventif)",IF(AND(F360&lt;&gt;"",ISNA(MATCH(F360,pl_num,0))),"Plan inconnu",IF(AND(F360&lt;&gt;"",IFERROR(INDEX(pl_eq,MATCH(F360,pl_num,0))&amp;"",C360)&lt;&gt;C360),"Plan d'un autre équipement",IF(AND(J360&lt;&gt;"",OR(NOT(ISNUMBER(J360)),N(J360)&lt;0)),"Compteur invalide",IF(OR(AND(K360&lt;&gt;"",OR(NOT(ISNUMBER(K360)),N(K360)&lt;0)),AND(L360&lt;&gt;"",OR(NOT(ISNUMBER(L360)),N(L360)&lt;0))),"Durée invalide",IF(OR(AND(N360&lt;&gt;"",OR(NOT(ISNUMBER(N360)),N(N360)&lt;0)),AND(P360&lt;&gt;"",OR(NOT(ISNUMBER(P360)),N(P360)&lt;0))),"Coût invalide",IF(AND(M360&lt;&gt;"",ISNA(MATCH(M360,tech_name,0))),"Technicien inconnu",IF(AND(I360="Terminée",S360&gt;p_today),"Terminée à une date future",IF(AND(I360="Terminée",V360=0),"Durée d'intervention manquante",IF(AND(I360="Terminée",E360="Préventif",T360=0,OR(IFERROR(INDEX(pl_trig,MATCH(F360,pl_num,0))&amp;"","")="Compteur",IFERROR(INDEX(pl_trig,MATCH(F360,pl_num,0))&amp;"","")="Au premier des deux")),"Compteur manquant (plan au compteur)","OK"))))))))))))))))))</f>
        <v/>
      </c>
      <c r="S360" s="67">
        <f>IF(AND(ISNUMBER(B360),N(B360)&gt;0),INT(B360),0)</f>
        <v>0.0</v>
      </c>
      <c r="T360" s="67">
        <f>IF(AND(ISNUMBER(J360),N(J360)&gt;=0),N(J360),0)</f>
        <v>0.0</v>
      </c>
      <c r="U360" s="67">
        <f>IF(AND(ISNUMBER(K360),N(K360)&gt;0),N(K360),0)</f>
        <v>0.0</v>
      </c>
      <c r="V360" s="67">
        <f>IF(AND(ISNUMBER(L360),N(L360)&gt;0),N(L360),0)</f>
        <v>0.0</v>
      </c>
      <c r="W360" s="67">
        <f>IF(AND(I360="Terminée",S360&gt;0,C360&lt;&gt;"",ISNUMBER(MATCH(C360,eq_code,0))),1,0)</f>
        <v>0.0</v>
      </c>
      <c r="X360" s="67">
        <f>IF(AND(W360=1,E360="Préventif"),1,0)</f>
        <v>0.0</v>
      </c>
      <c r="Y360" s="67">
        <f>IF(AND(ISNUMBER(N360),N(N360)&gt;0),N(N360),0)</f>
        <v>0.0</v>
      </c>
      <c r="Z360" s="67">
        <f>IF(AND(ISNUMBER(P360),N(P360)&gt;0),N(P360),0)</f>
        <v>0.0</v>
      </c>
    </row>
    <row r="361">
      <c r="A361" s="79" t="str">
        <f>IF(COUNTA(B361:C361,E361:G361,I361)=0,"","BI-"&amp;RIGHT("0000"&amp;(ROW()-5),4))</f>
        <v/>
      </c>
      <c r="B361" s="72" t="n"/>
      <c r="C361" s="66" t="n"/>
      <c r="D361" s="67" t="str">
        <f>IF(C361="","",IFERROR(INDEX(eq_des,MATCH(C361,eq_code,0))&amp;"","Équipement inconnu"))</f>
        <v/>
      </c>
      <c r="E361" s="68" t="n"/>
      <c r="F361" s="68" t="n"/>
      <c r="G361" s="66" t="n"/>
      <c r="H361" s="66" t="n"/>
      <c r="I361" s="68" t="n"/>
      <c r="J361" s="73" t="n"/>
      <c r="K361" s="71" t="n"/>
      <c r="L361" s="71" t="n"/>
      <c r="M361" s="66" t="n"/>
      <c r="N361" s="80" t="n"/>
      <c r="O361" s="81" t="str">
        <f>IF(A361="","",ROUND(V361*IFERROR(N(INDEX(tech_rate,MATCH(M361,tech_name,0))),0),2))</f>
        <v/>
      </c>
      <c r="P361" s="80" t="n"/>
      <c r="Q361" s="81" t="str">
        <f>IF(A361="","",ROUND(Y361+O361+Z361,2))</f>
        <v/>
      </c>
      <c r="R361" s="79" t="str">
        <f>IF(A361="","",IF(S361=0,"Date manquante ou invalide",IF(C361="","Équipement manquant",IF(ISNA(MATCH(C361,eq_code,0)),"Équipement inconnu",IF(E361="","Type manquant",IF(AND(E361&lt;&gt;"Préventif",E361&lt;&gt;"Correctif",E361&lt;&gt;"Amélioratif"),"Type inconnu",IF(I361="","Statut manquant",IF(AND(I361&lt;&gt;"Terminée",I361&lt;&gt;"En cours",I361&lt;&gt;"À faire",I361&lt;&gt;"Annulée"),"Statut inconnu",IF(AND(E361="Préventif",F361=""),"Plan manquant (préventif)",IF(AND(F361&lt;&gt;"",ISNA(MATCH(F361,pl_num,0))),"Plan inconnu",IF(AND(F361&lt;&gt;"",IFERROR(INDEX(pl_eq,MATCH(F361,pl_num,0))&amp;"",C361)&lt;&gt;C361),"Plan d'un autre équipement",IF(AND(J361&lt;&gt;"",OR(NOT(ISNUMBER(J361)),N(J361)&lt;0)),"Compteur invalide",IF(OR(AND(K361&lt;&gt;"",OR(NOT(ISNUMBER(K361)),N(K361)&lt;0)),AND(L361&lt;&gt;"",OR(NOT(ISNUMBER(L361)),N(L361)&lt;0))),"Durée invalide",IF(OR(AND(N361&lt;&gt;"",OR(NOT(ISNUMBER(N361)),N(N361)&lt;0)),AND(P361&lt;&gt;"",OR(NOT(ISNUMBER(P361)),N(P361)&lt;0))),"Coût invalide",IF(AND(M361&lt;&gt;"",ISNA(MATCH(M361,tech_name,0))),"Technicien inconnu",IF(AND(I361="Terminée",S361&gt;p_today),"Terminée à une date future",IF(AND(I361="Terminée",V361=0),"Durée d'intervention manquante",IF(AND(I361="Terminée",E361="Préventif",T361=0,OR(IFERROR(INDEX(pl_trig,MATCH(F361,pl_num,0))&amp;"","")="Compteur",IFERROR(INDEX(pl_trig,MATCH(F361,pl_num,0))&amp;"","")="Au premier des deux")),"Compteur manquant (plan au compteur)","OK"))))))))))))))))))</f>
        <v/>
      </c>
      <c r="S361" s="67">
        <f>IF(AND(ISNUMBER(B361),N(B361)&gt;0),INT(B361),0)</f>
        <v>0.0</v>
      </c>
      <c r="T361" s="67">
        <f>IF(AND(ISNUMBER(J361),N(J361)&gt;=0),N(J361),0)</f>
        <v>0.0</v>
      </c>
      <c r="U361" s="67">
        <f>IF(AND(ISNUMBER(K361),N(K361)&gt;0),N(K361),0)</f>
        <v>0.0</v>
      </c>
      <c r="V361" s="67">
        <f>IF(AND(ISNUMBER(L361),N(L361)&gt;0),N(L361),0)</f>
        <v>0.0</v>
      </c>
      <c r="W361" s="67">
        <f>IF(AND(I361="Terminée",S361&gt;0,C361&lt;&gt;"",ISNUMBER(MATCH(C361,eq_code,0))),1,0)</f>
        <v>0.0</v>
      </c>
      <c r="X361" s="67">
        <f>IF(AND(W361=1,E361="Préventif"),1,0)</f>
        <v>0.0</v>
      </c>
      <c r="Y361" s="67">
        <f>IF(AND(ISNUMBER(N361),N(N361)&gt;0),N(N361),0)</f>
        <v>0.0</v>
      </c>
      <c r="Z361" s="67">
        <f>IF(AND(ISNUMBER(P361),N(P361)&gt;0),N(P361),0)</f>
        <v>0.0</v>
      </c>
    </row>
    <row r="362">
      <c r="A362" s="79" t="str">
        <f>IF(COUNTA(B362:C362,E362:G362,I362)=0,"","BI-"&amp;RIGHT("0000"&amp;(ROW()-5),4))</f>
        <v/>
      </c>
      <c r="B362" s="72" t="n"/>
      <c r="C362" s="66" t="n"/>
      <c r="D362" s="67" t="str">
        <f>IF(C362="","",IFERROR(INDEX(eq_des,MATCH(C362,eq_code,0))&amp;"","Équipement inconnu"))</f>
        <v/>
      </c>
      <c r="E362" s="68" t="n"/>
      <c r="F362" s="68" t="n"/>
      <c r="G362" s="66" t="n"/>
      <c r="H362" s="66" t="n"/>
      <c r="I362" s="68" t="n"/>
      <c r="J362" s="73" t="n"/>
      <c r="K362" s="71" t="n"/>
      <c r="L362" s="71" t="n"/>
      <c r="M362" s="66" t="n"/>
      <c r="N362" s="80" t="n"/>
      <c r="O362" s="81" t="str">
        <f>IF(A362="","",ROUND(V362*IFERROR(N(INDEX(tech_rate,MATCH(M362,tech_name,0))),0),2))</f>
        <v/>
      </c>
      <c r="P362" s="80" t="n"/>
      <c r="Q362" s="81" t="str">
        <f>IF(A362="","",ROUND(Y362+O362+Z362,2))</f>
        <v/>
      </c>
      <c r="R362" s="79" t="str">
        <f>IF(A362="","",IF(S362=0,"Date manquante ou invalide",IF(C362="","Équipement manquant",IF(ISNA(MATCH(C362,eq_code,0)),"Équipement inconnu",IF(E362="","Type manquant",IF(AND(E362&lt;&gt;"Préventif",E362&lt;&gt;"Correctif",E362&lt;&gt;"Amélioratif"),"Type inconnu",IF(I362="","Statut manquant",IF(AND(I362&lt;&gt;"Terminée",I362&lt;&gt;"En cours",I362&lt;&gt;"À faire",I362&lt;&gt;"Annulée"),"Statut inconnu",IF(AND(E362="Préventif",F362=""),"Plan manquant (préventif)",IF(AND(F362&lt;&gt;"",ISNA(MATCH(F362,pl_num,0))),"Plan inconnu",IF(AND(F362&lt;&gt;"",IFERROR(INDEX(pl_eq,MATCH(F362,pl_num,0))&amp;"",C362)&lt;&gt;C362),"Plan d'un autre équipement",IF(AND(J362&lt;&gt;"",OR(NOT(ISNUMBER(J362)),N(J362)&lt;0)),"Compteur invalide",IF(OR(AND(K362&lt;&gt;"",OR(NOT(ISNUMBER(K362)),N(K362)&lt;0)),AND(L362&lt;&gt;"",OR(NOT(ISNUMBER(L362)),N(L362)&lt;0))),"Durée invalide",IF(OR(AND(N362&lt;&gt;"",OR(NOT(ISNUMBER(N362)),N(N362)&lt;0)),AND(P362&lt;&gt;"",OR(NOT(ISNUMBER(P362)),N(P362)&lt;0))),"Coût invalide",IF(AND(M362&lt;&gt;"",ISNA(MATCH(M362,tech_name,0))),"Technicien inconnu",IF(AND(I362="Terminée",S362&gt;p_today),"Terminée à une date future",IF(AND(I362="Terminée",V362=0),"Durée d'intervention manquante",IF(AND(I362="Terminée",E362="Préventif",T362=0,OR(IFERROR(INDEX(pl_trig,MATCH(F362,pl_num,0))&amp;"","")="Compteur",IFERROR(INDEX(pl_trig,MATCH(F362,pl_num,0))&amp;"","")="Au premier des deux")),"Compteur manquant (plan au compteur)","OK"))))))))))))))))))</f>
        <v/>
      </c>
      <c r="S362" s="67">
        <f>IF(AND(ISNUMBER(B362),N(B362)&gt;0),INT(B362),0)</f>
        <v>0.0</v>
      </c>
      <c r="T362" s="67">
        <f>IF(AND(ISNUMBER(J362),N(J362)&gt;=0),N(J362),0)</f>
        <v>0.0</v>
      </c>
      <c r="U362" s="67">
        <f>IF(AND(ISNUMBER(K362),N(K362)&gt;0),N(K362),0)</f>
        <v>0.0</v>
      </c>
      <c r="V362" s="67">
        <f>IF(AND(ISNUMBER(L362),N(L362)&gt;0),N(L362),0)</f>
        <v>0.0</v>
      </c>
      <c r="W362" s="67">
        <f>IF(AND(I362="Terminée",S362&gt;0,C362&lt;&gt;"",ISNUMBER(MATCH(C362,eq_code,0))),1,0)</f>
        <v>0.0</v>
      </c>
      <c r="X362" s="67">
        <f>IF(AND(W362=1,E362="Préventif"),1,0)</f>
        <v>0.0</v>
      </c>
      <c r="Y362" s="67">
        <f>IF(AND(ISNUMBER(N362),N(N362)&gt;0),N(N362),0)</f>
        <v>0.0</v>
      </c>
      <c r="Z362" s="67">
        <f>IF(AND(ISNUMBER(P362),N(P362)&gt;0),N(P362),0)</f>
        <v>0.0</v>
      </c>
    </row>
    <row r="363">
      <c r="A363" s="79" t="str">
        <f>IF(COUNTA(B363:C363,E363:G363,I363)=0,"","BI-"&amp;RIGHT("0000"&amp;(ROW()-5),4))</f>
        <v/>
      </c>
      <c r="B363" s="72" t="n"/>
      <c r="C363" s="66" t="n"/>
      <c r="D363" s="67" t="str">
        <f>IF(C363="","",IFERROR(INDEX(eq_des,MATCH(C363,eq_code,0))&amp;"","Équipement inconnu"))</f>
        <v/>
      </c>
      <c r="E363" s="68" t="n"/>
      <c r="F363" s="68" t="n"/>
      <c r="G363" s="66" t="n"/>
      <c r="H363" s="66" t="n"/>
      <c r="I363" s="68" t="n"/>
      <c r="J363" s="73" t="n"/>
      <c r="K363" s="71" t="n"/>
      <c r="L363" s="71" t="n"/>
      <c r="M363" s="66" t="n"/>
      <c r="N363" s="80" t="n"/>
      <c r="O363" s="81" t="str">
        <f>IF(A363="","",ROUND(V363*IFERROR(N(INDEX(tech_rate,MATCH(M363,tech_name,0))),0),2))</f>
        <v/>
      </c>
      <c r="P363" s="80" t="n"/>
      <c r="Q363" s="81" t="str">
        <f>IF(A363="","",ROUND(Y363+O363+Z363,2))</f>
        <v/>
      </c>
      <c r="R363" s="79" t="str">
        <f>IF(A363="","",IF(S363=0,"Date manquante ou invalide",IF(C363="","Équipement manquant",IF(ISNA(MATCH(C363,eq_code,0)),"Équipement inconnu",IF(E363="","Type manquant",IF(AND(E363&lt;&gt;"Préventif",E363&lt;&gt;"Correctif",E363&lt;&gt;"Amélioratif"),"Type inconnu",IF(I363="","Statut manquant",IF(AND(I363&lt;&gt;"Terminée",I363&lt;&gt;"En cours",I363&lt;&gt;"À faire",I363&lt;&gt;"Annulée"),"Statut inconnu",IF(AND(E363="Préventif",F363=""),"Plan manquant (préventif)",IF(AND(F363&lt;&gt;"",ISNA(MATCH(F363,pl_num,0))),"Plan inconnu",IF(AND(F363&lt;&gt;"",IFERROR(INDEX(pl_eq,MATCH(F363,pl_num,0))&amp;"",C363)&lt;&gt;C363),"Plan d'un autre équipement",IF(AND(J363&lt;&gt;"",OR(NOT(ISNUMBER(J363)),N(J363)&lt;0)),"Compteur invalide",IF(OR(AND(K363&lt;&gt;"",OR(NOT(ISNUMBER(K363)),N(K363)&lt;0)),AND(L363&lt;&gt;"",OR(NOT(ISNUMBER(L363)),N(L363)&lt;0))),"Durée invalide",IF(OR(AND(N363&lt;&gt;"",OR(NOT(ISNUMBER(N363)),N(N363)&lt;0)),AND(P363&lt;&gt;"",OR(NOT(ISNUMBER(P363)),N(P363)&lt;0))),"Coût invalide",IF(AND(M363&lt;&gt;"",ISNA(MATCH(M363,tech_name,0))),"Technicien inconnu",IF(AND(I363="Terminée",S363&gt;p_today),"Terminée à une date future",IF(AND(I363="Terminée",V363=0),"Durée d'intervention manquante",IF(AND(I363="Terminée",E363="Préventif",T363=0,OR(IFERROR(INDEX(pl_trig,MATCH(F363,pl_num,0))&amp;"","")="Compteur",IFERROR(INDEX(pl_trig,MATCH(F363,pl_num,0))&amp;"","")="Au premier des deux")),"Compteur manquant (plan au compteur)","OK"))))))))))))))))))</f>
        <v/>
      </c>
      <c r="S363" s="67">
        <f>IF(AND(ISNUMBER(B363),N(B363)&gt;0),INT(B363),0)</f>
        <v>0.0</v>
      </c>
      <c r="T363" s="67">
        <f>IF(AND(ISNUMBER(J363),N(J363)&gt;=0),N(J363),0)</f>
        <v>0.0</v>
      </c>
      <c r="U363" s="67">
        <f>IF(AND(ISNUMBER(K363),N(K363)&gt;0),N(K363),0)</f>
        <v>0.0</v>
      </c>
      <c r="V363" s="67">
        <f>IF(AND(ISNUMBER(L363),N(L363)&gt;0),N(L363),0)</f>
        <v>0.0</v>
      </c>
      <c r="W363" s="67">
        <f>IF(AND(I363="Terminée",S363&gt;0,C363&lt;&gt;"",ISNUMBER(MATCH(C363,eq_code,0))),1,0)</f>
        <v>0.0</v>
      </c>
      <c r="X363" s="67">
        <f>IF(AND(W363=1,E363="Préventif"),1,0)</f>
        <v>0.0</v>
      </c>
      <c r="Y363" s="67">
        <f>IF(AND(ISNUMBER(N363),N(N363)&gt;0),N(N363),0)</f>
        <v>0.0</v>
      </c>
      <c r="Z363" s="67">
        <f>IF(AND(ISNUMBER(P363),N(P363)&gt;0),N(P363),0)</f>
        <v>0.0</v>
      </c>
    </row>
    <row r="364">
      <c r="A364" s="79" t="str">
        <f>IF(COUNTA(B364:C364,E364:G364,I364)=0,"","BI-"&amp;RIGHT("0000"&amp;(ROW()-5),4))</f>
        <v/>
      </c>
      <c r="B364" s="72" t="n"/>
      <c r="C364" s="66" t="n"/>
      <c r="D364" s="67" t="str">
        <f>IF(C364="","",IFERROR(INDEX(eq_des,MATCH(C364,eq_code,0))&amp;"","Équipement inconnu"))</f>
        <v/>
      </c>
      <c r="E364" s="68" t="n"/>
      <c r="F364" s="68" t="n"/>
      <c r="G364" s="66" t="n"/>
      <c r="H364" s="66" t="n"/>
      <c r="I364" s="68" t="n"/>
      <c r="J364" s="73" t="n"/>
      <c r="K364" s="71" t="n"/>
      <c r="L364" s="71" t="n"/>
      <c r="M364" s="66" t="n"/>
      <c r="N364" s="80" t="n"/>
      <c r="O364" s="81" t="str">
        <f>IF(A364="","",ROUND(V364*IFERROR(N(INDEX(tech_rate,MATCH(M364,tech_name,0))),0),2))</f>
        <v/>
      </c>
      <c r="P364" s="80" t="n"/>
      <c r="Q364" s="81" t="str">
        <f>IF(A364="","",ROUND(Y364+O364+Z364,2))</f>
        <v/>
      </c>
      <c r="R364" s="79" t="str">
        <f>IF(A364="","",IF(S364=0,"Date manquante ou invalide",IF(C364="","Équipement manquant",IF(ISNA(MATCH(C364,eq_code,0)),"Équipement inconnu",IF(E364="","Type manquant",IF(AND(E364&lt;&gt;"Préventif",E364&lt;&gt;"Correctif",E364&lt;&gt;"Amélioratif"),"Type inconnu",IF(I364="","Statut manquant",IF(AND(I364&lt;&gt;"Terminée",I364&lt;&gt;"En cours",I364&lt;&gt;"À faire",I364&lt;&gt;"Annulée"),"Statut inconnu",IF(AND(E364="Préventif",F364=""),"Plan manquant (préventif)",IF(AND(F364&lt;&gt;"",ISNA(MATCH(F364,pl_num,0))),"Plan inconnu",IF(AND(F364&lt;&gt;"",IFERROR(INDEX(pl_eq,MATCH(F364,pl_num,0))&amp;"",C364)&lt;&gt;C364),"Plan d'un autre équipement",IF(AND(J364&lt;&gt;"",OR(NOT(ISNUMBER(J364)),N(J364)&lt;0)),"Compteur invalide",IF(OR(AND(K364&lt;&gt;"",OR(NOT(ISNUMBER(K364)),N(K364)&lt;0)),AND(L364&lt;&gt;"",OR(NOT(ISNUMBER(L364)),N(L364)&lt;0))),"Durée invalide",IF(OR(AND(N364&lt;&gt;"",OR(NOT(ISNUMBER(N364)),N(N364)&lt;0)),AND(P364&lt;&gt;"",OR(NOT(ISNUMBER(P364)),N(P364)&lt;0))),"Coût invalide",IF(AND(M364&lt;&gt;"",ISNA(MATCH(M364,tech_name,0))),"Technicien inconnu",IF(AND(I364="Terminée",S364&gt;p_today),"Terminée à une date future",IF(AND(I364="Terminée",V364=0),"Durée d'intervention manquante",IF(AND(I364="Terminée",E364="Préventif",T364=0,OR(IFERROR(INDEX(pl_trig,MATCH(F364,pl_num,0))&amp;"","")="Compteur",IFERROR(INDEX(pl_trig,MATCH(F364,pl_num,0))&amp;"","")="Au premier des deux")),"Compteur manquant (plan au compteur)","OK"))))))))))))))))))</f>
        <v/>
      </c>
      <c r="S364" s="67">
        <f>IF(AND(ISNUMBER(B364),N(B364)&gt;0),INT(B364),0)</f>
        <v>0.0</v>
      </c>
      <c r="T364" s="67">
        <f>IF(AND(ISNUMBER(J364),N(J364)&gt;=0),N(J364),0)</f>
        <v>0.0</v>
      </c>
      <c r="U364" s="67">
        <f>IF(AND(ISNUMBER(K364),N(K364)&gt;0),N(K364),0)</f>
        <v>0.0</v>
      </c>
      <c r="V364" s="67">
        <f>IF(AND(ISNUMBER(L364),N(L364)&gt;0),N(L364),0)</f>
        <v>0.0</v>
      </c>
      <c r="W364" s="67">
        <f>IF(AND(I364="Terminée",S364&gt;0,C364&lt;&gt;"",ISNUMBER(MATCH(C364,eq_code,0))),1,0)</f>
        <v>0.0</v>
      </c>
      <c r="X364" s="67">
        <f>IF(AND(W364=1,E364="Préventif"),1,0)</f>
        <v>0.0</v>
      </c>
      <c r="Y364" s="67">
        <f>IF(AND(ISNUMBER(N364),N(N364)&gt;0),N(N364),0)</f>
        <v>0.0</v>
      </c>
      <c r="Z364" s="67">
        <f>IF(AND(ISNUMBER(P364),N(P364)&gt;0),N(P364),0)</f>
        <v>0.0</v>
      </c>
    </row>
    <row r="365">
      <c r="A365" s="79" t="str">
        <f>IF(COUNTA(B365:C365,E365:G365,I365)=0,"","BI-"&amp;RIGHT("0000"&amp;(ROW()-5),4))</f>
        <v/>
      </c>
      <c r="B365" s="72" t="n"/>
      <c r="C365" s="66" t="n"/>
      <c r="D365" s="67" t="str">
        <f>IF(C365="","",IFERROR(INDEX(eq_des,MATCH(C365,eq_code,0))&amp;"","Équipement inconnu"))</f>
        <v/>
      </c>
      <c r="E365" s="68" t="n"/>
      <c r="F365" s="68" t="n"/>
      <c r="G365" s="66" t="n"/>
      <c r="H365" s="66" t="n"/>
      <c r="I365" s="68" t="n"/>
      <c r="J365" s="73" t="n"/>
      <c r="K365" s="71" t="n"/>
      <c r="L365" s="71" t="n"/>
      <c r="M365" s="66" t="n"/>
      <c r="N365" s="80" t="n"/>
      <c r="O365" s="81" t="str">
        <f>IF(A365="","",ROUND(V365*IFERROR(N(INDEX(tech_rate,MATCH(M365,tech_name,0))),0),2))</f>
        <v/>
      </c>
      <c r="P365" s="80" t="n"/>
      <c r="Q365" s="81" t="str">
        <f>IF(A365="","",ROUND(Y365+O365+Z365,2))</f>
        <v/>
      </c>
      <c r="R365" s="79" t="str">
        <f>IF(A365="","",IF(S365=0,"Date manquante ou invalide",IF(C365="","Équipement manquant",IF(ISNA(MATCH(C365,eq_code,0)),"Équipement inconnu",IF(E365="","Type manquant",IF(AND(E365&lt;&gt;"Préventif",E365&lt;&gt;"Correctif",E365&lt;&gt;"Amélioratif"),"Type inconnu",IF(I365="","Statut manquant",IF(AND(I365&lt;&gt;"Terminée",I365&lt;&gt;"En cours",I365&lt;&gt;"À faire",I365&lt;&gt;"Annulée"),"Statut inconnu",IF(AND(E365="Préventif",F365=""),"Plan manquant (préventif)",IF(AND(F365&lt;&gt;"",ISNA(MATCH(F365,pl_num,0))),"Plan inconnu",IF(AND(F365&lt;&gt;"",IFERROR(INDEX(pl_eq,MATCH(F365,pl_num,0))&amp;"",C365)&lt;&gt;C365),"Plan d'un autre équipement",IF(AND(J365&lt;&gt;"",OR(NOT(ISNUMBER(J365)),N(J365)&lt;0)),"Compteur invalide",IF(OR(AND(K365&lt;&gt;"",OR(NOT(ISNUMBER(K365)),N(K365)&lt;0)),AND(L365&lt;&gt;"",OR(NOT(ISNUMBER(L365)),N(L365)&lt;0))),"Durée invalide",IF(OR(AND(N365&lt;&gt;"",OR(NOT(ISNUMBER(N365)),N(N365)&lt;0)),AND(P365&lt;&gt;"",OR(NOT(ISNUMBER(P365)),N(P365)&lt;0))),"Coût invalide",IF(AND(M365&lt;&gt;"",ISNA(MATCH(M365,tech_name,0))),"Technicien inconnu",IF(AND(I365="Terminée",S365&gt;p_today),"Terminée à une date future",IF(AND(I365="Terminée",V365=0),"Durée d'intervention manquante",IF(AND(I365="Terminée",E365="Préventif",T365=0,OR(IFERROR(INDEX(pl_trig,MATCH(F365,pl_num,0))&amp;"","")="Compteur",IFERROR(INDEX(pl_trig,MATCH(F365,pl_num,0))&amp;"","")="Au premier des deux")),"Compteur manquant (plan au compteur)","OK"))))))))))))))))))</f>
        <v/>
      </c>
      <c r="S365" s="67">
        <f>IF(AND(ISNUMBER(B365),N(B365)&gt;0),INT(B365),0)</f>
        <v>0.0</v>
      </c>
      <c r="T365" s="67">
        <f>IF(AND(ISNUMBER(J365),N(J365)&gt;=0),N(J365),0)</f>
        <v>0.0</v>
      </c>
      <c r="U365" s="67">
        <f>IF(AND(ISNUMBER(K365),N(K365)&gt;0),N(K365),0)</f>
        <v>0.0</v>
      </c>
      <c r="V365" s="67">
        <f>IF(AND(ISNUMBER(L365),N(L365)&gt;0),N(L365),0)</f>
        <v>0.0</v>
      </c>
      <c r="W365" s="67">
        <f>IF(AND(I365="Terminée",S365&gt;0,C365&lt;&gt;"",ISNUMBER(MATCH(C365,eq_code,0))),1,0)</f>
        <v>0.0</v>
      </c>
      <c r="X365" s="67">
        <f>IF(AND(W365=1,E365="Préventif"),1,0)</f>
        <v>0.0</v>
      </c>
      <c r="Y365" s="67">
        <f>IF(AND(ISNUMBER(N365),N(N365)&gt;0),N(N365),0)</f>
        <v>0.0</v>
      </c>
      <c r="Z365" s="67">
        <f>IF(AND(ISNUMBER(P365),N(P365)&gt;0),N(P365),0)</f>
        <v>0.0</v>
      </c>
    </row>
    <row r="366">
      <c r="A366" s="79" t="str">
        <f>IF(COUNTA(B366:C366,E366:G366,I366)=0,"","BI-"&amp;RIGHT("0000"&amp;(ROW()-5),4))</f>
        <v/>
      </c>
      <c r="B366" s="72" t="n"/>
      <c r="C366" s="66" t="n"/>
      <c r="D366" s="67" t="str">
        <f>IF(C366="","",IFERROR(INDEX(eq_des,MATCH(C366,eq_code,0))&amp;"","Équipement inconnu"))</f>
        <v/>
      </c>
      <c r="E366" s="68" t="n"/>
      <c r="F366" s="68" t="n"/>
      <c r="G366" s="66" t="n"/>
      <c r="H366" s="66" t="n"/>
      <c r="I366" s="68" t="n"/>
      <c r="J366" s="73" t="n"/>
      <c r="K366" s="71" t="n"/>
      <c r="L366" s="71" t="n"/>
      <c r="M366" s="66" t="n"/>
      <c r="N366" s="80" t="n"/>
      <c r="O366" s="81" t="str">
        <f>IF(A366="","",ROUND(V366*IFERROR(N(INDEX(tech_rate,MATCH(M366,tech_name,0))),0),2))</f>
        <v/>
      </c>
      <c r="P366" s="80" t="n"/>
      <c r="Q366" s="81" t="str">
        <f>IF(A366="","",ROUND(Y366+O366+Z366,2))</f>
        <v/>
      </c>
      <c r="R366" s="79" t="str">
        <f>IF(A366="","",IF(S366=0,"Date manquante ou invalide",IF(C366="","Équipement manquant",IF(ISNA(MATCH(C366,eq_code,0)),"Équipement inconnu",IF(E366="","Type manquant",IF(AND(E366&lt;&gt;"Préventif",E366&lt;&gt;"Correctif",E366&lt;&gt;"Amélioratif"),"Type inconnu",IF(I366="","Statut manquant",IF(AND(I366&lt;&gt;"Terminée",I366&lt;&gt;"En cours",I366&lt;&gt;"À faire",I366&lt;&gt;"Annulée"),"Statut inconnu",IF(AND(E366="Préventif",F366=""),"Plan manquant (préventif)",IF(AND(F366&lt;&gt;"",ISNA(MATCH(F366,pl_num,0))),"Plan inconnu",IF(AND(F366&lt;&gt;"",IFERROR(INDEX(pl_eq,MATCH(F366,pl_num,0))&amp;"",C366)&lt;&gt;C366),"Plan d'un autre équipement",IF(AND(J366&lt;&gt;"",OR(NOT(ISNUMBER(J366)),N(J366)&lt;0)),"Compteur invalide",IF(OR(AND(K366&lt;&gt;"",OR(NOT(ISNUMBER(K366)),N(K366)&lt;0)),AND(L366&lt;&gt;"",OR(NOT(ISNUMBER(L366)),N(L366)&lt;0))),"Durée invalide",IF(OR(AND(N366&lt;&gt;"",OR(NOT(ISNUMBER(N366)),N(N366)&lt;0)),AND(P366&lt;&gt;"",OR(NOT(ISNUMBER(P366)),N(P366)&lt;0))),"Coût invalide",IF(AND(M366&lt;&gt;"",ISNA(MATCH(M366,tech_name,0))),"Technicien inconnu",IF(AND(I366="Terminée",S366&gt;p_today),"Terminée à une date future",IF(AND(I366="Terminée",V366=0),"Durée d'intervention manquante",IF(AND(I366="Terminée",E366="Préventif",T366=0,OR(IFERROR(INDEX(pl_trig,MATCH(F366,pl_num,0))&amp;"","")="Compteur",IFERROR(INDEX(pl_trig,MATCH(F366,pl_num,0))&amp;"","")="Au premier des deux")),"Compteur manquant (plan au compteur)","OK"))))))))))))))))))</f>
        <v/>
      </c>
      <c r="S366" s="67">
        <f>IF(AND(ISNUMBER(B366),N(B366)&gt;0),INT(B366),0)</f>
        <v>0.0</v>
      </c>
      <c r="T366" s="67">
        <f>IF(AND(ISNUMBER(J366),N(J366)&gt;=0),N(J366),0)</f>
        <v>0.0</v>
      </c>
      <c r="U366" s="67">
        <f>IF(AND(ISNUMBER(K366),N(K366)&gt;0),N(K366),0)</f>
        <v>0.0</v>
      </c>
      <c r="V366" s="67">
        <f>IF(AND(ISNUMBER(L366),N(L366)&gt;0),N(L366),0)</f>
        <v>0.0</v>
      </c>
      <c r="W366" s="67">
        <f>IF(AND(I366="Terminée",S366&gt;0,C366&lt;&gt;"",ISNUMBER(MATCH(C366,eq_code,0))),1,0)</f>
        <v>0.0</v>
      </c>
      <c r="X366" s="67">
        <f>IF(AND(W366=1,E366="Préventif"),1,0)</f>
        <v>0.0</v>
      </c>
      <c r="Y366" s="67">
        <f>IF(AND(ISNUMBER(N366),N(N366)&gt;0),N(N366),0)</f>
        <v>0.0</v>
      </c>
      <c r="Z366" s="67">
        <f>IF(AND(ISNUMBER(P366),N(P366)&gt;0),N(P366),0)</f>
        <v>0.0</v>
      </c>
    </row>
    <row r="367">
      <c r="A367" s="79" t="str">
        <f>IF(COUNTA(B367:C367,E367:G367,I367)=0,"","BI-"&amp;RIGHT("0000"&amp;(ROW()-5),4))</f>
        <v/>
      </c>
      <c r="B367" s="72" t="n"/>
      <c r="C367" s="66" t="n"/>
      <c r="D367" s="67" t="str">
        <f>IF(C367="","",IFERROR(INDEX(eq_des,MATCH(C367,eq_code,0))&amp;"","Équipement inconnu"))</f>
        <v/>
      </c>
      <c r="E367" s="68" t="n"/>
      <c r="F367" s="68" t="n"/>
      <c r="G367" s="66" t="n"/>
      <c r="H367" s="66" t="n"/>
      <c r="I367" s="68" t="n"/>
      <c r="J367" s="73" t="n"/>
      <c r="K367" s="71" t="n"/>
      <c r="L367" s="71" t="n"/>
      <c r="M367" s="66" t="n"/>
      <c r="N367" s="80" t="n"/>
      <c r="O367" s="81" t="str">
        <f>IF(A367="","",ROUND(V367*IFERROR(N(INDEX(tech_rate,MATCH(M367,tech_name,0))),0),2))</f>
        <v/>
      </c>
      <c r="P367" s="80" t="n"/>
      <c r="Q367" s="81" t="str">
        <f>IF(A367="","",ROUND(Y367+O367+Z367,2))</f>
        <v/>
      </c>
      <c r="R367" s="79" t="str">
        <f>IF(A367="","",IF(S367=0,"Date manquante ou invalide",IF(C367="","Équipement manquant",IF(ISNA(MATCH(C367,eq_code,0)),"Équipement inconnu",IF(E367="","Type manquant",IF(AND(E367&lt;&gt;"Préventif",E367&lt;&gt;"Correctif",E367&lt;&gt;"Amélioratif"),"Type inconnu",IF(I367="","Statut manquant",IF(AND(I367&lt;&gt;"Terminée",I367&lt;&gt;"En cours",I367&lt;&gt;"À faire",I367&lt;&gt;"Annulée"),"Statut inconnu",IF(AND(E367="Préventif",F367=""),"Plan manquant (préventif)",IF(AND(F367&lt;&gt;"",ISNA(MATCH(F367,pl_num,0))),"Plan inconnu",IF(AND(F367&lt;&gt;"",IFERROR(INDEX(pl_eq,MATCH(F367,pl_num,0))&amp;"",C367)&lt;&gt;C367),"Plan d'un autre équipement",IF(AND(J367&lt;&gt;"",OR(NOT(ISNUMBER(J367)),N(J367)&lt;0)),"Compteur invalide",IF(OR(AND(K367&lt;&gt;"",OR(NOT(ISNUMBER(K367)),N(K367)&lt;0)),AND(L367&lt;&gt;"",OR(NOT(ISNUMBER(L367)),N(L367)&lt;0))),"Durée invalide",IF(OR(AND(N367&lt;&gt;"",OR(NOT(ISNUMBER(N367)),N(N367)&lt;0)),AND(P367&lt;&gt;"",OR(NOT(ISNUMBER(P367)),N(P367)&lt;0))),"Coût invalide",IF(AND(M367&lt;&gt;"",ISNA(MATCH(M367,tech_name,0))),"Technicien inconnu",IF(AND(I367="Terminée",S367&gt;p_today),"Terminée à une date future",IF(AND(I367="Terminée",V367=0),"Durée d'intervention manquante",IF(AND(I367="Terminée",E367="Préventif",T367=0,OR(IFERROR(INDEX(pl_trig,MATCH(F367,pl_num,0))&amp;"","")="Compteur",IFERROR(INDEX(pl_trig,MATCH(F367,pl_num,0))&amp;"","")="Au premier des deux")),"Compteur manquant (plan au compteur)","OK"))))))))))))))))))</f>
        <v/>
      </c>
      <c r="S367" s="67">
        <f>IF(AND(ISNUMBER(B367),N(B367)&gt;0),INT(B367),0)</f>
        <v>0.0</v>
      </c>
      <c r="T367" s="67">
        <f>IF(AND(ISNUMBER(J367),N(J367)&gt;=0),N(J367),0)</f>
        <v>0.0</v>
      </c>
      <c r="U367" s="67">
        <f>IF(AND(ISNUMBER(K367),N(K367)&gt;0),N(K367),0)</f>
        <v>0.0</v>
      </c>
      <c r="V367" s="67">
        <f>IF(AND(ISNUMBER(L367),N(L367)&gt;0),N(L367),0)</f>
        <v>0.0</v>
      </c>
      <c r="W367" s="67">
        <f>IF(AND(I367="Terminée",S367&gt;0,C367&lt;&gt;"",ISNUMBER(MATCH(C367,eq_code,0))),1,0)</f>
        <v>0.0</v>
      </c>
      <c r="X367" s="67">
        <f>IF(AND(W367=1,E367="Préventif"),1,0)</f>
        <v>0.0</v>
      </c>
      <c r="Y367" s="67">
        <f>IF(AND(ISNUMBER(N367),N(N367)&gt;0),N(N367),0)</f>
        <v>0.0</v>
      </c>
      <c r="Z367" s="67">
        <f>IF(AND(ISNUMBER(P367),N(P367)&gt;0),N(P367),0)</f>
        <v>0.0</v>
      </c>
    </row>
    <row r="368">
      <c r="A368" s="79" t="str">
        <f>IF(COUNTA(B368:C368,E368:G368,I368)=0,"","BI-"&amp;RIGHT("0000"&amp;(ROW()-5),4))</f>
        <v/>
      </c>
      <c r="B368" s="72" t="n"/>
      <c r="C368" s="66" t="n"/>
      <c r="D368" s="67" t="str">
        <f>IF(C368="","",IFERROR(INDEX(eq_des,MATCH(C368,eq_code,0))&amp;"","Équipement inconnu"))</f>
        <v/>
      </c>
      <c r="E368" s="68" t="n"/>
      <c r="F368" s="68" t="n"/>
      <c r="G368" s="66" t="n"/>
      <c r="H368" s="66" t="n"/>
      <c r="I368" s="68" t="n"/>
      <c r="J368" s="73" t="n"/>
      <c r="K368" s="71" t="n"/>
      <c r="L368" s="71" t="n"/>
      <c r="M368" s="66" t="n"/>
      <c r="N368" s="80" t="n"/>
      <c r="O368" s="81" t="str">
        <f>IF(A368="","",ROUND(V368*IFERROR(N(INDEX(tech_rate,MATCH(M368,tech_name,0))),0),2))</f>
        <v/>
      </c>
      <c r="P368" s="80" t="n"/>
      <c r="Q368" s="81" t="str">
        <f>IF(A368="","",ROUND(Y368+O368+Z368,2))</f>
        <v/>
      </c>
      <c r="R368" s="79" t="str">
        <f>IF(A368="","",IF(S368=0,"Date manquante ou invalide",IF(C368="","Équipement manquant",IF(ISNA(MATCH(C368,eq_code,0)),"Équipement inconnu",IF(E368="","Type manquant",IF(AND(E368&lt;&gt;"Préventif",E368&lt;&gt;"Correctif",E368&lt;&gt;"Amélioratif"),"Type inconnu",IF(I368="","Statut manquant",IF(AND(I368&lt;&gt;"Terminée",I368&lt;&gt;"En cours",I368&lt;&gt;"À faire",I368&lt;&gt;"Annulée"),"Statut inconnu",IF(AND(E368="Préventif",F368=""),"Plan manquant (préventif)",IF(AND(F368&lt;&gt;"",ISNA(MATCH(F368,pl_num,0))),"Plan inconnu",IF(AND(F368&lt;&gt;"",IFERROR(INDEX(pl_eq,MATCH(F368,pl_num,0))&amp;"",C368)&lt;&gt;C368),"Plan d'un autre équipement",IF(AND(J368&lt;&gt;"",OR(NOT(ISNUMBER(J368)),N(J368)&lt;0)),"Compteur invalide",IF(OR(AND(K368&lt;&gt;"",OR(NOT(ISNUMBER(K368)),N(K368)&lt;0)),AND(L368&lt;&gt;"",OR(NOT(ISNUMBER(L368)),N(L368)&lt;0))),"Durée invalide",IF(OR(AND(N368&lt;&gt;"",OR(NOT(ISNUMBER(N368)),N(N368)&lt;0)),AND(P368&lt;&gt;"",OR(NOT(ISNUMBER(P368)),N(P368)&lt;0))),"Coût invalide",IF(AND(M368&lt;&gt;"",ISNA(MATCH(M368,tech_name,0))),"Technicien inconnu",IF(AND(I368="Terminée",S368&gt;p_today),"Terminée à une date future",IF(AND(I368="Terminée",V368=0),"Durée d'intervention manquante",IF(AND(I368="Terminée",E368="Préventif",T368=0,OR(IFERROR(INDEX(pl_trig,MATCH(F368,pl_num,0))&amp;"","")="Compteur",IFERROR(INDEX(pl_trig,MATCH(F368,pl_num,0))&amp;"","")="Au premier des deux")),"Compteur manquant (plan au compteur)","OK"))))))))))))))))))</f>
        <v/>
      </c>
      <c r="S368" s="67">
        <f>IF(AND(ISNUMBER(B368),N(B368)&gt;0),INT(B368),0)</f>
        <v>0.0</v>
      </c>
      <c r="T368" s="67">
        <f>IF(AND(ISNUMBER(J368),N(J368)&gt;=0),N(J368),0)</f>
        <v>0.0</v>
      </c>
      <c r="U368" s="67">
        <f>IF(AND(ISNUMBER(K368),N(K368)&gt;0),N(K368),0)</f>
        <v>0.0</v>
      </c>
      <c r="V368" s="67">
        <f>IF(AND(ISNUMBER(L368),N(L368)&gt;0),N(L368),0)</f>
        <v>0.0</v>
      </c>
      <c r="W368" s="67">
        <f>IF(AND(I368="Terminée",S368&gt;0,C368&lt;&gt;"",ISNUMBER(MATCH(C368,eq_code,0))),1,0)</f>
        <v>0.0</v>
      </c>
      <c r="X368" s="67">
        <f>IF(AND(W368=1,E368="Préventif"),1,0)</f>
        <v>0.0</v>
      </c>
      <c r="Y368" s="67">
        <f>IF(AND(ISNUMBER(N368),N(N368)&gt;0),N(N368),0)</f>
        <v>0.0</v>
      </c>
      <c r="Z368" s="67">
        <f>IF(AND(ISNUMBER(P368),N(P368)&gt;0),N(P368),0)</f>
        <v>0.0</v>
      </c>
    </row>
    <row r="369">
      <c r="A369" s="79" t="str">
        <f>IF(COUNTA(B369:C369,E369:G369,I369)=0,"","BI-"&amp;RIGHT("0000"&amp;(ROW()-5),4))</f>
        <v/>
      </c>
      <c r="B369" s="72" t="n"/>
      <c r="C369" s="66" t="n"/>
      <c r="D369" s="67" t="str">
        <f>IF(C369="","",IFERROR(INDEX(eq_des,MATCH(C369,eq_code,0))&amp;"","Équipement inconnu"))</f>
        <v/>
      </c>
      <c r="E369" s="68" t="n"/>
      <c r="F369" s="68" t="n"/>
      <c r="G369" s="66" t="n"/>
      <c r="H369" s="66" t="n"/>
      <c r="I369" s="68" t="n"/>
      <c r="J369" s="73" t="n"/>
      <c r="K369" s="71" t="n"/>
      <c r="L369" s="71" t="n"/>
      <c r="M369" s="66" t="n"/>
      <c r="N369" s="80" t="n"/>
      <c r="O369" s="81" t="str">
        <f>IF(A369="","",ROUND(V369*IFERROR(N(INDEX(tech_rate,MATCH(M369,tech_name,0))),0),2))</f>
        <v/>
      </c>
      <c r="P369" s="80" t="n"/>
      <c r="Q369" s="81" t="str">
        <f>IF(A369="","",ROUND(Y369+O369+Z369,2))</f>
        <v/>
      </c>
      <c r="R369" s="79" t="str">
        <f>IF(A369="","",IF(S369=0,"Date manquante ou invalide",IF(C369="","Équipement manquant",IF(ISNA(MATCH(C369,eq_code,0)),"Équipement inconnu",IF(E369="","Type manquant",IF(AND(E369&lt;&gt;"Préventif",E369&lt;&gt;"Correctif",E369&lt;&gt;"Amélioratif"),"Type inconnu",IF(I369="","Statut manquant",IF(AND(I369&lt;&gt;"Terminée",I369&lt;&gt;"En cours",I369&lt;&gt;"À faire",I369&lt;&gt;"Annulée"),"Statut inconnu",IF(AND(E369="Préventif",F369=""),"Plan manquant (préventif)",IF(AND(F369&lt;&gt;"",ISNA(MATCH(F369,pl_num,0))),"Plan inconnu",IF(AND(F369&lt;&gt;"",IFERROR(INDEX(pl_eq,MATCH(F369,pl_num,0))&amp;"",C369)&lt;&gt;C369),"Plan d'un autre équipement",IF(AND(J369&lt;&gt;"",OR(NOT(ISNUMBER(J369)),N(J369)&lt;0)),"Compteur invalide",IF(OR(AND(K369&lt;&gt;"",OR(NOT(ISNUMBER(K369)),N(K369)&lt;0)),AND(L369&lt;&gt;"",OR(NOT(ISNUMBER(L369)),N(L369)&lt;0))),"Durée invalide",IF(OR(AND(N369&lt;&gt;"",OR(NOT(ISNUMBER(N369)),N(N369)&lt;0)),AND(P369&lt;&gt;"",OR(NOT(ISNUMBER(P369)),N(P369)&lt;0))),"Coût invalide",IF(AND(M369&lt;&gt;"",ISNA(MATCH(M369,tech_name,0))),"Technicien inconnu",IF(AND(I369="Terminée",S369&gt;p_today),"Terminée à une date future",IF(AND(I369="Terminée",V369=0),"Durée d'intervention manquante",IF(AND(I369="Terminée",E369="Préventif",T369=0,OR(IFERROR(INDEX(pl_trig,MATCH(F369,pl_num,0))&amp;"","")="Compteur",IFERROR(INDEX(pl_trig,MATCH(F369,pl_num,0))&amp;"","")="Au premier des deux")),"Compteur manquant (plan au compteur)","OK"))))))))))))))))))</f>
        <v/>
      </c>
      <c r="S369" s="67">
        <f>IF(AND(ISNUMBER(B369),N(B369)&gt;0),INT(B369),0)</f>
        <v>0.0</v>
      </c>
      <c r="T369" s="67">
        <f>IF(AND(ISNUMBER(J369),N(J369)&gt;=0),N(J369),0)</f>
        <v>0.0</v>
      </c>
      <c r="U369" s="67">
        <f>IF(AND(ISNUMBER(K369),N(K369)&gt;0),N(K369),0)</f>
        <v>0.0</v>
      </c>
      <c r="V369" s="67">
        <f>IF(AND(ISNUMBER(L369),N(L369)&gt;0),N(L369),0)</f>
        <v>0.0</v>
      </c>
      <c r="W369" s="67">
        <f>IF(AND(I369="Terminée",S369&gt;0,C369&lt;&gt;"",ISNUMBER(MATCH(C369,eq_code,0))),1,0)</f>
        <v>0.0</v>
      </c>
      <c r="X369" s="67">
        <f>IF(AND(W369=1,E369="Préventif"),1,0)</f>
        <v>0.0</v>
      </c>
      <c r="Y369" s="67">
        <f>IF(AND(ISNUMBER(N369),N(N369)&gt;0),N(N369),0)</f>
        <v>0.0</v>
      </c>
      <c r="Z369" s="67">
        <f>IF(AND(ISNUMBER(P369),N(P369)&gt;0),N(P369),0)</f>
        <v>0.0</v>
      </c>
    </row>
    <row r="370">
      <c r="A370" s="79" t="str">
        <f>IF(COUNTA(B370:C370,E370:G370,I370)=0,"","BI-"&amp;RIGHT("0000"&amp;(ROW()-5),4))</f>
        <v/>
      </c>
      <c r="B370" s="72" t="n"/>
      <c r="C370" s="66" t="n"/>
      <c r="D370" s="67" t="str">
        <f>IF(C370="","",IFERROR(INDEX(eq_des,MATCH(C370,eq_code,0))&amp;"","Équipement inconnu"))</f>
        <v/>
      </c>
      <c r="E370" s="68" t="n"/>
      <c r="F370" s="68" t="n"/>
      <c r="G370" s="66" t="n"/>
      <c r="H370" s="66" t="n"/>
      <c r="I370" s="68" t="n"/>
      <c r="J370" s="73" t="n"/>
      <c r="K370" s="71" t="n"/>
      <c r="L370" s="71" t="n"/>
      <c r="M370" s="66" t="n"/>
      <c r="N370" s="80" t="n"/>
      <c r="O370" s="81" t="str">
        <f>IF(A370="","",ROUND(V370*IFERROR(N(INDEX(tech_rate,MATCH(M370,tech_name,0))),0),2))</f>
        <v/>
      </c>
      <c r="P370" s="80" t="n"/>
      <c r="Q370" s="81" t="str">
        <f>IF(A370="","",ROUND(Y370+O370+Z370,2))</f>
        <v/>
      </c>
      <c r="R370" s="79" t="str">
        <f>IF(A370="","",IF(S370=0,"Date manquante ou invalide",IF(C370="","Équipement manquant",IF(ISNA(MATCH(C370,eq_code,0)),"Équipement inconnu",IF(E370="","Type manquant",IF(AND(E370&lt;&gt;"Préventif",E370&lt;&gt;"Correctif",E370&lt;&gt;"Amélioratif"),"Type inconnu",IF(I370="","Statut manquant",IF(AND(I370&lt;&gt;"Terminée",I370&lt;&gt;"En cours",I370&lt;&gt;"À faire",I370&lt;&gt;"Annulée"),"Statut inconnu",IF(AND(E370="Préventif",F370=""),"Plan manquant (préventif)",IF(AND(F370&lt;&gt;"",ISNA(MATCH(F370,pl_num,0))),"Plan inconnu",IF(AND(F370&lt;&gt;"",IFERROR(INDEX(pl_eq,MATCH(F370,pl_num,0))&amp;"",C370)&lt;&gt;C370),"Plan d'un autre équipement",IF(AND(J370&lt;&gt;"",OR(NOT(ISNUMBER(J370)),N(J370)&lt;0)),"Compteur invalide",IF(OR(AND(K370&lt;&gt;"",OR(NOT(ISNUMBER(K370)),N(K370)&lt;0)),AND(L370&lt;&gt;"",OR(NOT(ISNUMBER(L370)),N(L370)&lt;0))),"Durée invalide",IF(OR(AND(N370&lt;&gt;"",OR(NOT(ISNUMBER(N370)),N(N370)&lt;0)),AND(P370&lt;&gt;"",OR(NOT(ISNUMBER(P370)),N(P370)&lt;0))),"Coût invalide",IF(AND(M370&lt;&gt;"",ISNA(MATCH(M370,tech_name,0))),"Technicien inconnu",IF(AND(I370="Terminée",S370&gt;p_today),"Terminée à une date future",IF(AND(I370="Terminée",V370=0),"Durée d'intervention manquante",IF(AND(I370="Terminée",E370="Préventif",T370=0,OR(IFERROR(INDEX(pl_trig,MATCH(F370,pl_num,0))&amp;"","")="Compteur",IFERROR(INDEX(pl_trig,MATCH(F370,pl_num,0))&amp;"","")="Au premier des deux")),"Compteur manquant (plan au compteur)","OK"))))))))))))))))))</f>
        <v/>
      </c>
      <c r="S370" s="67">
        <f>IF(AND(ISNUMBER(B370),N(B370)&gt;0),INT(B370),0)</f>
        <v>0.0</v>
      </c>
      <c r="T370" s="67">
        <f>IF(AND(ISNUMBER(J370),N(J370)&gt;=0),N(J370),0)</f>
        <v>0.0</v>
      </c>
      <c r="U370" s="67">
        <f>IF(AND(ISNUMBER(K370),N(K370)&gt;0),N(K370),0)</f>
        <v>0.0</v>
      </c>
      <c r="V370" s="67">
        <f>IF(AND(ISNUMBER(L370),N(L370)&gt;0),N(L370),0)</f>
        <v>0.0</v>
      </c>
      <c r="W370" s="67">
        <f>IF(AND(I370="Terminée",S370&gt;0,C370&lt;&gt;"",ISNUMBER(MATCH(C370,eq_code,0))),1,0)</f>
        <v>0.0</v>
      </c>
      <c r="X370" s="67">
        <f>IF(AND(W370=1,E370="Préventif"),1,0)</f>
        <v>0.0</v>
      </c>
      <c r="Y370" s="67">
        <f>IF(AND(ISNUMBER(N370),N(N370)&gt;0),N(N370),0)</f>
        <v>0.0</v>
      </c>
      <c r="Z370" s="67">
        <f>IF(AND(ISNUMBER(P370),N(P370)&gt;0),N(P370),0)</f>
        <v>0.0</v>
      </c>
    </row>
    <row r="371">
      <c r="A371" s="79" t="str">
        <f>IF(COUNTA(B371:C371,E371:G371,I371)=0,"","BI-"&amp;RIGHT("0000"&amp;(ROW()-5),4))</f>
        <v/>
      </c>
      <c r="B371" s="72" t="n"/>
      <c r="C371" s="66" t="n"/>
      <c r="D371" s="67" t="str">
        <f>IF(C371="","",IFERROR(INDEX(eq_des,MATCH(C371,eq_code,0))&amp;"","Équipement inconnu"))</f>
        <v/>
      </c>
      <c r="E371" s="68" t="n"/>
      <c r="F371" s="68" t="n"/>
      <c r="G371" s="66" t="n"/>
      <c r="H371" s="66" t="n"/>
      <c r="I371" s="68" t="n"/>
      <c r="J371" s="73" t="n"/>
      <c r="K371" s="71" t="n"/>
      <c r="L371" s="71" t="n"/>
      <c r="M371" s="66" t="n"/>
      <c r="N371" s="80" t="n"/>
      <c r="O371" s="81" t="str">
        <f>IF(A371="","",ROUND(V371*IFERROR(N(INDEX(tech_rate,MATCH(M371,tech_name,0))),0),2))</f>
        <v/>
      </c>
      <c r="P371" s="80" t="n"/>
      <c r="Q371" s="81" t="str">
        <f>IF(A371="","",ROUND(Y371+O371+Z371,2))</f>
        <v/>
      </c>
      <c r="R371" s="79" t="str">
        <f>IF(A371="","",IF(S371=0,"Date manquante ou invalide",IF(C371="","Équipement manquant",IF(ISNA(MATCH(C371,eq_code,0)),"Équipement inconnu",IF(E371="","Type manquant",IF(AND(E371&lt;&gt;"Préventif",E371&lt;&gt;"Correctif",E371&lt;&gt;"Amélioratif"),"Type inconnu",IF(I371="","Statut manquant",IF(AND(I371&lt;&gt;"Terminée",I371&lt;&gt;"En cours",I371&lt;&gt;"À faire",I371&lt;&gt;"Annulée"),"Statut inconnu",IF(AND(E371="Préventif",F371=""),"Plan manquant (préventif)",IF(AND(F371&lt;&gt;"",ISNA(MATCH(F371,pl_num,0))),"Plan inconnu",IF(AND(F371&lt;&gt;"",IFERROR(INDEX(pl_eq,MATCH(F371,pl_num,0))&amp;"",C371)&lt;&gt;C371),"Plan d'un autre équipement",IF(AND(J371&lt;&gt;"",OR(NOT(ISNUMBER(J371)),N(J371)&lt;0)),"Compteur invalide",IF(OR(AND(K371&lt;&gt;"",OR(NOT(ISNUMBER(K371)),N(K371)&lt;0)),AND(L371&lt;&gt;"",OR(NOT(ISNUMBER(L371)),N(L371)&lt;0))),"Durée invalide",IF(OR(AND(N371&lt;&gt;"",OR(NOT(ISNUMBER(N371)),N(N371)&lt;0)),AND(P371&lt;&gt;"",OR(NOT(ISNUMBER(P371)),N(P371)&lt;0))),"Coût invalide",IF(AND(M371&lt;&gt;"",ISNA(MATCH(M371,tech_name,0))),"Technicien inconnu",IF(AND(I371="Terminée",S371&gt;p_today),"Terminée à une date future",IF(AND(I371="Terminée",V371=0),"Durée d'intervention manquante",IF(AND(I371="Terminée",E371="Préventif",T371=0,OR(IFERROR(INDEX(pl_trig,MATCH(F371,pl_num,0))&amp;"","")="Compteur",IFERROR(INDEX(pl_trig,MATCH(F371,pl_num,0))&amp;"","")="Au premier des deux")),"Compteur manquant (plan au compteur)","OK"))))))))))))))))))</f>
        <v/>
      </c>
      <c r="S371" s="67">
        <f>IF(AND(ISNUMBER(B371),N(B371)&gt;0),INT(B371),0)</f>
        <v>0.0</v>
      </c>
      <c r="T371" s="67">
        <f>IF(AND(ISNUMBER(J371),N(J371)&gt;=0),N(J371),0)</f>
        <v>0.0</v>
      </c>
      <c r="U371" s="67">
        <f>IF(AND(ISNUMBER(K371),N(K371)&gt;0),N(K371),0)</f>
        <v>0.0</v>
      </c>
      <c r="V371" s="67">
        <f>IF(AND(ISNUMBER(L371),N(L371)&gt;0),N(L371),0)</f>
        <v>0.0</v>
      </c>
      <c r="W371" s="67">
        <f>IF(AND(I371="Terminée",S371&gt;0,C371&lt;&gt;"",ISNUMBER(MATCH(C371,eq_code,0))),1,0)</f>
        <v>0.0</v>
      </c>
      <c r="X371" s="67">
        <f>IF(AND(W371=1,E371="Préventif"),1,0)</f>
        <v>0.0</v>
      </c>
      <c r="Y371" s="67">
        <f>IF(AND(ISNUMBER(N371),N(N371)&gt;0),N(N371),0)</f>
        <v>0.0</v>
      </c>
      <c r="Z371" s="67">
        <f>IF(AND(ISNUMBER(P371),N(P371)&gt;0),N(P371),0)</f>
        <v>0.0</v>
      </c>
    </row>
    <row r="372">
      <c r="A372" s="79" t="str">
        <f>IF(COUNTA(B372:C372,E372:G372,I372)=0,"","BI-"&amp;RIGHT("0000"&amp;(ROW()-5),4))</f>
        <v/>
      </c>
      <c r="B372" s="72" t="n"/>
      <c r="C372" s="66" t="n"/>
      <c r="D372" s="67" t="str">
        <f>IF(C372="","",IFERROR(INDEX(eq_des,MATCH(C372,eq_code,0))&amp;"","Équipement inconnu"))</f>
        <v/>
      </c>
      <c r="E372" s="68" t="n"/>
      <c r="F372" s="68" t="n"/>
      <c r="G372" s="66" t="n"/>
      <c r="H372" s="66" t="n"/>
      <c r="I372" s="68" t="n"/>
      <c r="J372" s="73" t="n"/>
      <c r="K372" s="71" t="n"/>
      <c r="L372" s="71" t="n"/>
      <c r="M372" s="66" t="n"/>
      <c r="N372" s="80" t="n"/>
      <c r="O372" s="81" t="str">
        <f>IF(A372="","",ROUND(V372*IFERROR(N(INDEX(tech_rate,MATCH(M372,tech_name,0))),0),2))</f>
        <v/>
      </c>
      <c r="P372" s="80" t="n"/>
      <c r="Q372" s="81" t="str">
        <f>IF(A372="","",ROUND(Y372+O372+Z372,2))</f>
        <v/>
      </c>
      <c r="R372" s="79" t="str">
        <f>IF(A372="","",IF(S372=0,"Date manquante ou invalide",IF(C372="","Équipement manquant",IF(ISNA(MATCH(C372,eq_code,0)),"Équipement inconnu",IF(E372="","Type manquant",IF(AND(E372&lt;&gt;"Préventif",E372&lt;&gt;"Correctif",E372&lt;&gt;"Amélioratif"),"Type inconnu",IF(I372="","Statut manquant",IF(AND(I372&lt;&gt;"Terminée",I372&lt;&gt;"En cours",I372&lt;&gt;"À faire",I372&lt;&gt;"Annulée"),"Statut inconnu",IF(AND(E372="Préventif",F372=""),"Plan manquant (préventif)",IF(AND(F372&lt;&gt;"",ISNA(MATCH(F372,pl_num,0))),"Plan inconnu",IF(AND(F372&lt;&gt;"",IFERROR(INDEX(pl_eq,MATCH(F372,pl_num,0))&amp;"",C372)&lt;&gt;C372),"Plan d'un autre équipement",IF(AND(J372&lt;&gt;"",OR(NOT(ISNUMBER(J372)),N(J372)&lt;0)),"Compteur invalide",IF(OR(AND(K372&lt;&gt;"",OR(NOT(ISNUMBER(K372)),N(K372)&lt;0)),AND(L372&lt;&gt;"",OR(NOT(ISNUMBER(L372)),N(L372)&lt;0))),"Durée invalide",IF(OR(AND(N372&lt;&gt;"",OR(NOT(ISNUMBER(N372)),N(N372)&lt;0)),AND(P372&lt;&gt;"",OR(NOT(ISNUMBER(P372)),N(P372)&lt;0))),"Coût invalide",IF(AND(M372&lt;&gt;"",ISNA(MATCH(M372,tech_name,0))),"Technicien inconnu",IF(AND(I372="Terminée",S372&gt;p_today),"Terminée à une date future",IF(AND(I372="Terminée",V372=0),"Durée d'intervention manquante",IF(AND(I372="Terminée",E372="Préventif",T372=0,OR(IFERROR(INDEX(pl_trig,MATCH(F372,pl_num,0))&amp;"","")="Compteur",IFERROR(INDEX(pl_trig,MATCH(F372,pl_num,0))&amp;"","")="Au premier des deux")),"Compteur manquant (plan au compteur)","OK"))))))))))))))))))</f>
        <v/>
      </c>
      <c r="S372" s="67">
        <f>IF(AND(ISNUMBER(B372),N(B372)&gt;0),INT(B372),0)</f>
        <v>0.0</v>
      </c>
      <c r="T372" s="67">
        <f>IF(AND(ISNUMBER(J372),N(J372)&gt;=0),N(J372),0)</f>
        <v>0.0</v>
      </c>
      <c r="U372" s="67">
        <f>IF(AND(ISNUMBER(K372),N(K372)&gt;0),N(K372),0)</f>
        <v>0.0</v>
      </c>
      <c r="V372" s="67">
        <f>IF(AND(ISNUMBER(L372),N(L372)&gt;0),N(L372),0)</f>
        <v>0.0</v>
      </c>
      <c r="W372" s="67">
        <f>IF(AND(I372="Terminée",S372&gt;0,C372&lt;&gt;"",ISNUMBER(MATCH(C372,eq_code,0))),1,0)</f>
        <v>0.0</v>
      </c>
      <c r="X372" s="67">
        <f>IF(AND(W372=1,E372="Préventif"),1,0)</f>
        <v>0.0</v>
      </c>
      <c r="Y372" s="67">
        <f>IF(AND(ISNUMBER(N372),N(N372)&gt;0),N(N372),0)</f>
        <v>0.0</v>
      </c>
      <c r="Z372" s="67">
        <f>IF(AND(ISNUMBER(P372),N(P372)&gt;0),N(P372),0)</f>
        <v>0.0</v>
      </c>
    </row>
    <row r="373">
      <c r="A373" s="79" t="str">
        <f>IF(COUNTA(B373:C373,E373:G373,I373)=0,"","BI-"&amp;RIGHT("0000"&amp;(ROW()-5),4))</f>
        <v/>
      </c>
      <c r="B373" s="72" t="n"/>
      <c r="C373" s="66" t="n"/>
      <c r="D373" s="67" t="str">
        <f>IF(C373="","",IFERROR(INDEX(eq_des,MATCH(C373,eq_code,0))&amp;"","Équipement inconnu"))</f>
        <v/>
      </c>
      <c r="E373" s="68" t="n"/>
      <c r="F373" s="68" t="n"/>
      <c r="G373" s="66" t="n"/>
      <c r="H373" s="66" t="n"/>
      <c r="I373" s="68" t="n"/>
      <c r="J373" s="73" t="n"/>
      <c r="K373" s="71" t="n"/>
      <c r="L373" s="71" t="n"/>
      <c r="M373" s="66" t="n"/>
      <c r="N373" s="80" t="n"/>
      <c r="O373" s="81" t="str">
        <f>IF(A373="","",ROUND(V373*IFERROR(N(INDEX(tech_rate,MATCH(M373,tech_name,0))),0),2))</f>
        <v/>
      </c>
      <c r="P373" s="80" t="n"/>
      <c r="Q373" s="81" t="str">
        <f>IF(A373="","",ROUND(Y373+O373+Z373,2))</f>
        <v/>
      </c>
      <c r="R373" s="79" t="str">
        <f>IF(A373="","",IF(S373=0,"Date manquante ou invalide",IF(C373="","Équipement manquant",IF(ISNA(MATCH(C373,eq_code,0)),"Équipement inconnu",IF(E373="","Type manquant",IF(AND(E373&lt;&gt;"Préventif",E373&lt;&gt;"Correctif",E373&lt;&gt;"Amélioratif"),"Type inconnu",IF(I373="","Statut manquant",IF(AND(I373&lt;&gt;"Terminée",I373&lt;&gt;"En cours",I373&lt;&gt;"À faire",I373&lt;&gt;"Annulée"),"Statut inconnu",IF(AND(E373="Préventif",F373=""),"Plan manquant (préventif)",IF(AND(F373&lt;&gt;"",ISNA(MATCH(F373,pl_num,0))),"Plan inconnu",IF(AND(F373&lt;&gt;"",IFERROR(INDEX(pl_eq,MATCH(F373,pl_num,0))&amp;"",C373)&lt;&gt;C373),"Plan d'un autre équipement",IF(AND(J373&lt;&gt;"",OR(NOT(ISNUMBER(J373)),N(J373)&lt;0)),"Compteur invalide",IF(OR(AND(K373&lt;&gt;"",OR(NOT(ISNUMBER(K373)),N(K373)&lt;0)),AND(L373&lt;&gt;"",OR(NOT(ISNUMBER(L373)),N(L373)&lt;0))),"Durée invalide",IF(OR(AND(N373&lt;&gt;"",OR(NOT(ISNUMBER(N373)),N(N373)&lt;0)),AND(P373&lt;&gt;"",OR(NOT(ISNUMBER(P373)),N(P373)&lt;0))),"Coût invalide",IF(AND(M373&lt;&gt;"",ISNA(MATCH(M373,tech_name,0))),"Technicien inconnu",IF(AND(I373="Terminée",S373&gt;p_today),"Terminée à une date future",IF(AND(I373="Terminée",V373=0),"Durée d'intervention manquante",IF(AND(I373="Terminée",E373="Préventif",T373=0,OR(IFERROR(INDEX(pl_trig,MATCH(F373,pl_num,0))&amp;"","")="Compteur",IFERROR(INDEX(pl_trig,MATCH(F373,pl_num,0))&amp;"","")="Au premier des deux")),"Compteur manquant (plan au compteur)","OK"))))))))))))))))))</f>
        <v/>
      </c>
      <c r="S373" s="67">
        <f>IF(AND(ISNUMBER(B373),N(B373)&gt;0),INT(B373),0)</f>
        <v>0.0</v>
      </c>
      <c r="T373" s="67">
        <f>IF(AND(ISNUMBER(J373),N(J373)&gt;=0),N(J373),0)</f>
        <v>0.0</v>
      </c>
      <c r="U373" s="67">
        <f>IF(AND(ISNUMBER(K373),N(K373)&gt;0),N(K373),0)</f>
        <v>0.0</v>
      </c>
      <c r="V373" s="67">
        <f>IF(AND(ISNUMBER(L373),N(L373)&gt;0),N(L373),0)</f>
        <v>0.0</v>
      </c>
      <c r="W373" s="67">
        <f>IF(AND(I373="Terminée",S373&gt;0,C373&lt;&gt;"",ISNUMBER(MATCH(C373,eq_code,0))),1,0)</f>
        <v>0.0</v>
      </c>
      <c r="X373" s="67">
        <f>IF(AND(W373=1,E373="Préventif"),1,0)</f>
        <v>0.0</v>
      </c>
      <c r="Y373" s="67">
        <f>IF(AND(ISNUMBER(N373),N(N373)&gt;0),N(N373),0)</f>
        <v>0.0</v>
      </c>
      <c r="Z373" s="67">
        <f>IF(AND(ISNUMBER(P373),N(P373)&gt;0),N(P373),0)</f>
        <v>0.0</v>
      </c>
    </row>
    <row r="374">
      <c r="A374" s="79" t="str">
        <f>IF(COUNTA(B374:C374,E374:G374,I374)=0,"","BI-"&amp;RIGHT("0000"&amp;(ROW()-5),4))</f>
        <v/>
      </c>
      <c r="B374" s="72" t="n"/>
      <c r="C374" s="66" t="n"/>
      <c r="D374" s="67" t="str">
        <f>IF(C374="","",IFERROR(INDEX(eq_des,MATCH(C374,eq_code,0))&amp;"","Équipement inconnu"))</f>
        <v/>
      </c>
      <c r="E374" s="68" t="n"/>
      <c r="F374" s="68" t="n"/>
      <c r="G374" s="66" t="n"/>
      <c r="H374" s="66" t="n"/>
      <c r="I374" s="68" t="n"/>
      <c r="J374" s="73" t="n"/>
      <c r="K374" s="71" t="n"/>
      <c r="L374" s="71" t="n"/>
      <c r="M374" s="66" t="n"/>
      <c r="N374" s="80" t="n"/>
      <c r="O374" s="81" t="str">
        <f>IF(A374="","",ROUND(V374*IFERROR(N(INDEX(tech_rate,MATCH(M374,tech_name,0))),0),2))</f>
        <v/>
      </c>
      <c r="P374" s="80" t="n"/>
      <c r="Q374" s="81" t="str">
        <f>IF(A374="","",ROUND(Y374+O374+Z374,2))</f>
        <v/>
      </c>
      <c r="R374" s="79" t="str">
        <f>IF(A374="","",IF(S374=0,"Date manquante ou invalide",IF(C374="","Équipement manquant",IF(ISNA(MATCH(C374,eq_code,0)),"Équipement inconnu",IF(E374="","Type manquant",IF(AND(E374&lt;&gt;"Préventif",E374&lt;&gt;"Correctif",E374&lt;&gt;"Amélioratif"),"Type inconnu",IF(I374="","Statut manquant",IF(AND(I374&lt;&gt;"Terminée",I374&lt;&gt;"En cours",I374&lt;&gt;"À faire",I374&lt;&gt;"Annulée"),"Statut inconnu",IF(AND(E374="Préventif",F374=""),"Plan manquant (préventif)",IF(AND(F374&lt;&gt;"",ISNA(MATCH(F374,pl_num,0))),"Plan inconnu",IF(AND(F374&lt;&gt;"",IFERROR(INDEX(pl_eq,MATCH(F374,pl_num,0))&amp;"",C374)&lt;&gt;C374),"Plan d'un autre équipement",IF(AND(J374&lt;&gt;"",OR(NOT(ISNUMBER(J374)),N(J374)&lt;0)),"Compteur invalide",IF(OR(AND(K374&lt;&gt;"",OR(NOT(ISNUMBER(K374)),N(K374)&lt;0)),AND(L374&lt;&gt;"",OR(NOT(ISNUMBER(L374)),N(L374)&lt;0))),"Durée invalide",IF(OR(AND(N374&lt;&gt;"",OR(NOT(ISNUMBER(N374)),N(N374)&lt;0)),AND(P374&lt;&gt;"",OR(NOT(ISNUMBER(P374)),N(P374)&lt;0))),"Coût invalide",IF(AND(M374&lt;&gt;"",ISNA(MATCH(M374,tech_name,0))),"Technicien inconnu",IF(AND(I374="Terminée",S374&gt;p_today),"Terminée à une date future",IF(AND(I374="Terminée",V374=0),"Durée d'intervention manquante",IF(AND(I374="Terminée",E374="Préventif",T374=0,OR(IFERROR(INDEX(pl_trig,MATCH(F374,pl_num,0))&amp;"","")="Compteur",IFERROR(INDEX(pl_trig,MATCH(F374,pl_num,0))&amp;"","")="Au premier des deux")),"Compteur manquant (plan au compteur)","OK"))))))))))))))))))</f>
        <v/>
      </c>
      <c r="S374" s="67">
        <f>IF(AND(ISNUMBER(B374),N(B374)&gt;0),INT(B374),0)</f>
        <v>0.0</v>
      </c>
      <c r="T374" s="67">
        <f>IF(AND(ISNUMBER(J374),N(J374)&gt;=0),N(J374),0)</f>
        <v>0.0</v>
      </c>
      <c r="U374" s="67">
        <f>IF(AND(ISNUMBER(K374),N(K374)&gt;0),N(K374),0)</f>
        <v>0.0</v>
      </c>
      <c r="V374" s="67">
        <f>IF(AND(ISNUMBER(L374),N(L374)&gt;0),N(L374),0)</f>
        <v>0.0</v>
      </c>
      <c r="W374" s="67">
        <f>IF(AND(I374="Terminée",S374&gt;0,C374&lt;&gt;"",ISNUMBER(MATCH(C374,eq_code,0))),1,0)</f>
        <v>0.0</v>
      </c>
      <c r="X374" s="67">
        <f>IF(AND(W374=1,E374="Préventif"),1,0)</f>
        <v>0.0</v>
      </c>
      <c r="Y374" s="67">
        <f>IF(AND(ISNUMBER(N374),N(N374)&gt;0),N(N374),0)</f>
        <v>0.0</v>
      </c>
      <c r="Z374" s="67">
        <f>IF(AND(ISNUMBER(P374),N(P374)&gt;0),N(P374),0)</f>
        <v>0.0</v>
      </c>
    </row>
    <row r="375">
      <c r="A375" s="79" t="str">
        <f>IF(COUNTA(B375:C375,E375:G375,I375)=0,"","BI-"&amp;RIGHT("0000"&amp;(ROW()-5),4))</f>
        <v/>
      </c>
      <c r="B375" s="72" t="n"/>
      <c r="C375" s="66" t="n"/>
      <c r="D375" s="67" t="str">
        <f>IF(C375="","",IFERROR(INDEX(eq_des,MATCH(C375,eq_code,0))&amp;"","Équipement inconnu"))</f>
        <v/>
      </c>
      <c r="E375" s="68" t="n"/>
      <c r="F375" s="68" t="n"/>
      <c r="G375" s="66" t="n"/>
      <c r="H375" s="66" t="n"/>
      <c r="I375" s="68" t="n"/>
      <c r="J375" s="73" t="n"/>
      <c r="K375" s="71" t="n"/>
      <c r="L375" s="71" t="n"/>
      <c r="M375" s="66" t="n"/>
      <c r="N375" s="80" t="n"/>
      <c r="O375" s="81" t="str">
        <f>IF(A375="","",ROUND(V375*IFERROR(N(INDEX(tech_rate,MATCH(M375,tech_name,0))),0),2))</f>
        <v/>
      </c>
      <c r="P375" s="80" t="n"/>
      <c r="Q375" s="81" t="str">
        <f>IF(A375="","",ROUND(Y375+O375+Z375,2))</f>
        <v/>
      </c>
      <c r="R375" s="79" t="str">
        <f>IF(A375="","",IF(S375=0,"Date manquante ou invalide",IF(C375="","Équipement manquant",IF(ISNA(MATCH(C375,eq_code,0)),"Équipement inconnu",IF(E375="","Type manquant",IF(AND(E375&lt;&gt;"Préventif",E375&lt;&gt;"Correctif",E375&lt;&gt;"Amélioratif"),"Type inconnu",IF(I375="","Statut manquant",IF(AND(I375&lt;&gt;"Terminée",I375&lt;&gt;"En cours",I375&lt;&gt;"À faire",I375&lt;&gt;"Annulée"),"Statut inconnu",IF(AND(E375="Préventif",F375=""),"Plan manquant (préventif)",IF(AND(F375&lt;&gt;"",ISNA(MATCH(F375,pl_num,0))),"Plan inconnu",IF(AND(F375&lt;&gt;"",IFERROR(INDEX(pl_eq,MATCH(F375,pl_num,0))&amp;"",C375)&lt;&gt;C375),"Plan d'un autre équipement",IF(AND(J375&lt;&gt;"",OR(NOT(ISNUMBER(J375)),N(J375)&lt;0)),"Compteur invalide",IF(OR(AND(K375&lt;&gt;"",OR(NOT(ISNUMBER(K375)),N(K375)&lt;0)),AND(L375&lt;&gt;"",OR(NOT(ISNUMBER(L375)),N(L375)&lt;0))),"Durée invalide",IF(OR(AND(N375&lt;&gt;"",OR(NOT(ISNUMBER(N375)),N(N375)&lt;0)),AND(P375&lt;&gt;"",OR(NOT(ISNUMBER(P375)),N(P375)&lt;0))),"Coût invalide",IF(AND(M375&lt;&gt;"",ISNA(MATCH(M375,tech_name,0))),"Technicien inconnu",IF(AND(I375="Terminée",S375&gt;p_today),"Terminée à une date future",IF(AND(I375="Terminée",V375=0),"Durée d'intervention manquante",IF(AND(I375="Terminée",E375="Préventif",T375=0,OR(IFERROR(INDEX(pl_trig,MATCH(F375,pl_num,0))&amp;"","")="Compteur",IFERROR(INDEX(pl_trig,MATCH(F375,pl_num,0))&amp;"","")="Au premier des deux")),"Compteur manquant (plan au compteur)","OK"))))))))))))))))))</f>
        <v/>
      </c>
      <c r="S375" s="67">
        <f>IF(AND(ISNUMBER(B375),N(B375)&gt;0),INT(B375),0)</f>
        <v>0.0</v>
      </c>
      <c r="T375" s="67">
        <f>IF(AND(ISNUMBER(J375),N(J375)&gt;=0),N(J375),0)</f>
        <v>0.0</v>
      </c>
      <c r="U375" s="67">
        <f>IF(AND(ISNUMBER(K375),N(K375)&gt;0),N(K375),0)</f>
        <v>0.0</v>
      </c>
      <c r="V375" s="67">
        <f>IF(AND(ISNUMBER(L375),N(L375)&gt;0),N(L375),0)</f>
        <v>0.0</v>
      </c>
      <c r="W375" s="67">
        <f>IF(AND(I375="Terminée",S375&gt;0,C375&lt;&gt;"",ISNUMBER(MATCH(C375,eq_code,0))),1,0)</f>
        <v>0.0</v>
      </c>
      <c r="X375" s="67">
        <f>IF(AND(W375=1,E375="Préventif"),1,0)</f>
        <v>0.0</v>
      </c>
      <c r="Y375" s="67">
        <f>IF(AND(ISNUMBER(N375),N(N375)&gt;0),N(N375),0)</f>
        <v>0.0</v>
      </c>
      <c r="Z375" s="67">
        <f>IF(AND(ISNUMBER(P375),N(P375)&gt;0),N(P375),0)</f>
        <v>0.0</v>
      </c>
    </row>
    <row r="376">
      <c r="A376" s="79" t="str">
        <f>IF(COUNTA(B376:C376,E376:G376,I376)=0,"","BI-"&amp;RIGHT("0000"&amp;(ROW()-5),4))</f>
        <v/>
      </c>
      <c r="B376" s="72" t="n"/>
      <c r="C376" s="66" t="n"/>
      <c r="D376" s="67" t="str">
        <f>IF(C376="","",IFERROR(INDEX(eq_des,MATCH(C376,eq_code,0))&amp;"","Équipement inconnu"))</f>
        <v/>
      </c>
      <c r="E376" s="68" t="n"/>
      <c r="F376" s="68" t="n"/>
      <c r="G376" s="66" t="n"/>
      <c r="H376" s="66" t="n"/>
      <c r="I376" s="68" t="n"/>
      <c r="J376" s="73" t="n"/>
      <c r="K376" s="71" t="n"/>
      <c r="L376" s="71" t="n"/>
      <c r="M376" s="66" t="n"/>
      <c r="N376" s="80" t="n"/>
      <c r="O376" s="81" t="str">
        <f>IF(A376="","",ROUND(V376*IFERROR(N(INDEX(tech_rate,MATCH(M376,tech_name,0))),0),2))</f>
        <v/>
      </c>
      <c r="P376" s="80" t="n"/>
      <c r="Q376" s="81" t="str">
        <f>IF(A376="","",ROUND(Y376+O376+Z376,2))</f>
        <v/>
      </c>
      <c r="R376" s="79" t="str">
        <f>IF(A376="","",IF(S376=0,"Date manquante ou invalide",IF(C376="","Équipement manquant",IF(ISNA(MATCH(C376,eq_code,0)),"Équipement inconnu",IF(E376="","Type manquant",IF(AND(E376&lt;&gt;"Préventif",E376&lt;&gt;"Correctif",E376&lt;&gt;"Amélioratif"),"Type inconnu",IF(I376="","Statut manquant",IF(AND(I376&lt;&gt;"Terminée",I376&lt;&gt;"En cours",I376&lt;&gt;"À faire",I376&lt;&gt;"Annulée"),"Statut inconnu",IF(AND(E376="Préventif",F376=""),"Plan manquant (préventif)",IF(AND(F376&lt;&gt;"",ISNA(MATCH(F376,pl_num,0))),"Plan inconnu",IF(AND(F376&lt;&gt;"",IFERROR(INDEX(pl_eq,MATCH(F376,pl_num,0))&amp;"",C376)&lt;&gt;C376),"Plan d'un autre équipement",IF(AND(J376&lt;&gt;"",OR(NOT(ISNUMBER(J376)),N(J376)&lt;0)),"Compteur invalide",IF(OR(AND(K376&lt;&gt;"",OR(NOT(ISNUMBER(K376)),N(K376)&lt;0)),AND(L376&lt;&gt;"",OR(NOT(ISNUMBER(L376)),N(L376)&lt;0))),"Durée invalide",IF(OR(AND(N376&lt;&gt;"",OR(NOT(ISNUMBER(N376)),N(N376)&lt;0)),AND(P376&lt;&gt;"",OR(NOT(ISNUMBER(P376)),N(P376)&lt;0))),"Coût invalide",IF(AND(M376&lt;&gt;"",ISNA(MATCH(M376,tech_name,0))),"Technicien inconnu",IF(AND(I376="Terminée",S376&gt;p_today),"Terminée à une date future",IF(AND(I376="Terminée",V376=0),"Durée d'intervention manquante",IF(AND(I376="Terminée",E376="Préventif",T376=0,OR(IFERROR(INDEX(pl_trig,MATCH(F376,pl_num,0))&amp;"","")="Compteur",IFERROR(INDEX(pl_trig,MATCH(F376,pl_num,0))&amp;"","")="Au premier des deux")),"Compteur manquant (plan au compteur)","OK"))))))))))))))))))</f>
        <v/>
      </c>
      <c r="S376" s="67">
        <f>IF(AND(ISNUMBER(B376),N(B376)&gt;0),INT(B376),0)</f>
        <v>0.0</v>
      </c>
      <c r="T376" s="67">
        <f>IF(AND(ISNUMBER(J376),N(J376)&gt;=0),N(J376),0)</f>
        <v>0.0</v>
      </c>
      <c r="U376" s="67">
        <f>IF(AND(ISNUMBER(K376),N(K376)&gt;0),N(K376),0)</f>
        <v>0.0</v>
      </c>
      <c r="V376" s="67">
        <f>IF(AND(ISNUMBER(L376),N(L376)&gt;0),N(L376),0)</f>
        <v>0.0</v>
      </c>
      <c r="W376" s="67">
        <f>IF(AND(I376="Terminée",S376&gt;0,C376&lt;&gt;"",ISNUMBER(MATCH(C376,eq_code,0))),1,0)</f>
        <v>0.0</v>
      </c>
      <c r="X376" s="67">
        <f>IF(AND(W376=1,E376="Préventif"),1,0)</f>
        <v>0.0</v>
      </c>
      <c r="Y376" s="67">
        <f>IF(AND(ISNUMBER(N376),N(N376)&gt;0),N(N376),0)</f>
        <v>0.0</v>
      </c>
      <c r="Z376" s="67">
        <f>IF(AND(ISNUMBER(P376),N(P376)&gt;0),N(P376),0)</f>
        <v>0.0</v>
      </c>
    </row>
    <row r="377">
      <c r="A377" s="79" t="str">
        <f>IF(COUNTA(B377:C377,E377:G377,I377)=0,"","BI-"&amp;RIGHT("0000"&amp;(ROW()-5),4))</f>
        <v/>
      </c>
      <c r="B377" s="72" t="n"/>
      <c r="C377" s="66" t="n"/>
      <c r="D377" s="67" t="str">
        <f>IF(C377="","",IFERROR(INDEX(eq_des,MATCH(C377,eq_code,0))&amp;"","Équipement inconnu"))</f>
        <v/>
      </c>
      <c r="E377" s="68" t="n"/>
      <c r="F377" s="68" t="n"/>
      <c r="G377" s="66" t="n"/>
      <c r="H377" s="66" t="n"/>
      <c r="I377" s="68" t="n"/>
      <c r="J377" s="73" t="n"/>
      <c r="K377" s="71" t="n"/>
      <c r="L377" s="71" t="n"/>
      <c r="M377" s="66" t="n"/>
      <c r="N377" s="80" t="n"/>
      <c r="O377" s="81" t="str">
        <f>IF(A377="","",ROUND(V377*IFERROR(N(INDEX(tech_rate,MATCH(M377,tech_name,0))),0),2))</f>
        <v/>
      </c>
      <c r="P377" s="80" t="n"/>
      <c r="Q377" s="81" t="str">
        <f>IF(A377="","",ROUND(Y377+O377+Z377,2))</f>
        <v/>
      </c>
      <c r="R377" s="79" t="str">
        <f>IF(A377="","",IF(S377=0,"Date manquante ou invalide",IF(C377="","Équipement manquant",IF(ISNA(MATCH(C377,eq_code,0)),"Équipement inconnu",IF(E377="","Type manquant",IF(AND(E377&lt;&gt;"Préventif",E377&lt;&gt;"Correctif",E377&lt;&gt;"Amélioratif"),"Type inconnu",IF(I377="","Statut manquant",IF(AND(I377&lt;&gt;"Terminée",I377&lt;&gt;"En cours",I377&lt;&gt;"À faire",I377&lt;&gt;"Annulée"),"Statut inconnu",IF(AND(E377="Préventif",F377=""),"Plan manquant (préventif)",IF(AND(F377&lt;&gt;"",ISNA(MATCH(F377,pl_num,0))),"Plan inconnu",IF(AND(F377&lt;&gt;"",IFERROR(INDEX(pl_eq,MATCH(F377,pl_num,0))&amp;"",C377)&lt;&gt;C377),"Plan d'un autre équipement",IF(AND(J377&lt;&gt;"",OR(NOT(ISNUMBER(J377)),N(J377)&lt;0)),"Compteur invalide",IF(OR(AND(K377&lt;&gt;"",OR(NOT(ISNUMBER(K377)),N(K377)&lt;0)),AND(L377&lt;&gt;"",OR(NOT(ISNUMBER(L377)),N(L377)&lt;0))),"Durée invalide",IF(OR(AND(N377&lt;&gt;"",OR(NOT(ISNUMBER(N377)),N(N377)&lt;0)),AND(P377&lt;&gt;"",OR(NOT(ISNUMBER(P377)),N(P377)&lt;0))),"Coût invalide",IF(AND(M377&lt;&gt;"",ISNA(MATCH(M377,tech_name,0))),"Technicien inconnu",IF(AND(I377="Terminée",S377&gt;p_today),"Terminée à une date future",IF(AND(I377="Terminée",V377=0),"Durée d'intervention manquante",IF(AND(I377="Terminée",E377="Préventif",T377=0,OR(IFERROR(INDEX(pl_trig,MATCH(F377,pl_num,0))&amp;"","")="Compteur",IFERROR(INDEX(pl_trig,MATCH(F377,pl_num,0))&amp;"","")="Au premier des deux")),"Compteur manquant (plan au compteur)","OK"))))))))))))))))))</f>
        <v/>
      </c>
      <c r="S377" s="67">
        <f>IF(AND(ISNUMBER(B377),N(B377)&gt;0),INT(B377),0)</f>
        <v>0.0</v>
      </c>
      <c r="T377" s="67">
        <f>IF(AND(ISNUMBER(J377),N(J377)&gt;=0),N(J377),0)</f>
        <v>0.0</v>
      </c>
      <c r="U377" s="67">
        <f>IF(AND(ISNUMBER(K377),N(K377)&gt;0),N(K377),0)</f>
        <v>0.0</v>
      </c>
      <c r="V377" s="67">
        <f>IF(AND(ISNUMBER(L377),N(L377)&gt;0),N(L377),0)</f>
        <v>0.0</v>
      </c>
      <c r="W377" s="67">
        <f>IF(AND(I377="Terminée",S377&gt;0,C377&lt;&gt;"",ISNUMBER(MATCH(C377,eq_code,0))),1,0)</f>
        <v>0.0</v>
      </c>
      <c r="X377" s="67">
        <f>IF(AND(W377=1,E377="Préventif"),1,0)</f>
        <v>0.0</v>
      </c>
      <c r="Y377" s="67">
        <f>IF(AND(ISNUMBER(N377),N(N377)&gt;0),N(N377),0)</f>
        <v>0.0</v>
      </c>
      <c r="Z377" s="67">
        <f>IF(AND(ISNUMBER(P377),N(P377)&gt;0),N(P377),0)</f>
        <v>0.0</v>
      </c>
    </row>
    <row r="378">
      <c r="A378" s="79" t="str">
        <f>IF(COUNTA(B378:C378,E378:G378,I378)=0,"","BI-"&amp;RIGHT("0000"&amp;(ROW()-5),4))</f>
        <v/>
      </c>
      <c r="B378" s="72" t="n"/>
      <c r="C378" s="66" t="n"/>
      <c r="D378" s="67" t="str">
        <f>IF(C378="","",IFERROR(INDEX(eq_des,MATCH(C378,eq_code,0))&amp;"","Équipement inconnu"))</f>
        <v/>
      </c>
      <c r="E378" s="68" t="n"/>
      <c r="F378" s="68" t="n"/>
      <c r="G378" s="66" t="n"/>
      <c r="H378" s="66" t="n"/>
      <c r="I378" s="68" t="n"/>
      <c r="J378" s="73" t="n"/>
      <c r="K378" s="71" t="n"/>
      <c r="L378" s="71" t="n"/>
      <c r="M378" s="66" t="n"/>
      <c r="N378" s="80" t="n"/>
      <c r="O378" s="81" t="str">
        <f>IF(A378="","",ROUND(V378*IFERROR(N(INDEX(tech_rate,MATCH(M378,tech_name,0))),0),2))</f>
        <v/>
      </c>
      <c r="P378" s="80" t="n"/>
      <c r="Q378" s="81" t="str">
        <f>IF(A378="","",ROUND(Y378+O378+Z378,2))</f>
        <v/>
      </c>
      <c r="R378" s="79" t="str">
        <f>IF(A378="","",IF(S378=0,"Date manquante ou invalide",IF(C378="","Équipement manquant",IF(ISNA(MATCH(C378,eq_code,0)),"Équipement inconnu",IF(E378="","Type manquant",IF(AND(E378&lt;&gt;"Préventif",E378&lt;&gt;"Correctif",E378&lt;&gt;"Amélioratif"),"Type inconnu",IF(I378="","Statut manquant",IF(AND(I378&lt;&gt;"Terminée",I378&lt;&gt;"En cours",I378&lt;&gt;"À faire",I378&lt;&gt;"Annulée"),"Statut inconnu",IF(AND(E378="Préventif",F378=""),"Plan manquant (préventif)",IF(AND(F378&lt;&gt;"",ISNA(MATCH(F378,pl_num,0))),"Plan inconnu",IF(AND(F378&lt;&gt;"",IFERROR(INDEX(pl_eq,MATCH(F378,pl_num,0))&amp;"",C378)&lt;&gt;C378),"Plan d'un autre équipement",IF(AND(J378&lt;&gt;"",OR(NOT(ISNUMBER(J378)),N(J378)&lt;0)),"Compteur invalide",IF(OR(AND(K378&lt;&gt;"",OR(NOT(ISNUMBER(K378)),N(K378)&lt;0)),AND(L378&lt;&gt;"",OR(NOT(ISNUMBER(L378)),N(L378)&lt;0))),"Durée invalide",IF(OR(AND(N378&lt;&gt;"",OR(NOT(ISNUMBER(N378)),N(N378)&lt;0)),AND(P378&lt;&gt;"",OR(NOT(ISNUMBER(P378)),N(P378)&lt;0))),"Coût invalide",IF(AND(M378&lt;&gt;"",ISNA(MATCH(M378,tech_name,0))),"Technicien inconnu",IF(AND(I378="Terminée",S378&gt;p_today),"Terminée à une date future",IF(AND(I378="Terminée",V378=0),"Durée d'intervention manquante",IF(AND(I378="Terminée",E378="Préventif",T378=0,OR(IFERROR(INDEX(pl_trig,MATCH(F378,pl_num,0))&amp;"","")="Compteur",IFERROR(INDEX(pl_trig,MATCH(F378,pl_num,0))&amp;"","")="Au premier des deux")),"Compteur manquant (plan au compteur)","OK"))))))))))))))))))</f>
        <v/>
      </c>
      <c r="S378" s="67">
        <f>IF(AND(ISNUMBER(B378),N(B378)&gt;0),INT(B378),0)</f>
        <v>0.0</v>
      </c>
      <c r="T378" s="67">
        <f>IF(AND(ISNUMBER(J378),N(J378)&gt;=0),N(J378),0)</f>
        <v>0.0</v>
      </c>
      <c r="U378" s="67">
        <f>IF(AND(ISNUMBER(K378),N(K378)&gt;0),N(K378),0)</f>
        <v>0.0</v>
      </c>
      <c r="V378" s="67">
        <f>IF(AND(ISNUMBER(L378),N(L378)&gt;0),N(L378),0)</f>
        <v>0.0</v>
      </c>
      <c r="W378" s="67">
        <f>IF(AND(I378="Terminée",S378&gt;0,C378&lt;&gt;"",ISNUMBER(MATCH(C378,eq_code,0))),1,0)</f>
        <v>0.0</v>
      </c>
      <c r="X378" s="67">
        <f>IF(AND(W378=1,E378="Préventif"),1,0)</f>
        <v>0.0</v>
      </c>
      <c r="Y378" s="67">
        <f>IF(AND(ISNUMBER(N378),N(N378)&gt;0),N(N378),0)</f>
        <v>0.0</v>
      </c>
      <c r="Z378" s="67">
        <f>IF(AND(ISNUMBER(P378),N(P378)&gt;0),N(P378),0)</f>
        <v>0.0</v>
      </c>
    </row>
    <row r="379">
      <c r="A379" s="79" t="str">
        <f>IF(COUNTA(B379:C379,E379:G379,I379)=0,"","BI-"&amp;RIGHT("0000"&amp;(ROW()-5),4))</f>
        <v/>
      </c>
      <c r="B379" s="72" t="n"/>
      <c r="C379" s="66" t="n"/>
      <c r="D379" s="67" t="str">
        <f>IF(C379="","",IFERROR(INDEX(eq_des,MATCH(C379,eq_code,0))&amp;"","Équipement inconnu"))</f>
        <v/>
      </c>
      <c r="E379" s="68" t="n"/>
      <c r="F379" s="68" t="n"/>
      <c r="G379" s="66" t="n"/>
      <c r="H379" s="66" t="n"/>
      <c r="I379" s="68" t="n"/>
      <c r="J379" s="73" t="n"/>
      <c r="K379" s="71" t="n"/>
      <c r="L379" s="71" t="n"/>
      <c r="M379" s="66" t="n"/>
      <c r="N379" s="80" t="n"/>
      <c r="O379" s="81" t="str">
        <f>IF(A379="","",ROUND(V379*IFERROR(N(INDEX(tech_rate,MATCH(M379,tech_name,0))),0),2))</f>
        <v/>
      </c>
      <c r="P379" s="80" t="n"/>
      <c r="Q379" s="81" t="str">
        <f>IF(A379="","",ROUND(Y379+O379+Z379,2))</f>
        <v/>
      </c>
      <c r="R379" s="79" t="str">
        <f>IF(A379="","",IF(S379=0,"Date manquante ou invalide",IF(C379="","Équipement manquant",IF(ISNA(MATCH(C379,eq_code,0)),"Équipement inconnu",IF(E379="","Type manquant",IF(AND(E379&lt;&gt;"Préventif",E379&lt;&gt;"Correctif",E379&lt;&gt;"Amélioratif"),"Type inconnu",IF(I379="","Statut manquant",IF(AND(I379&lt;&gt;"Terminée",I379&lt;&gt;"En cours",I379&lt;&gt;"À faire",I379&lt;&gt;"Annulée"),"Statut inconnu",IF(AND(E379="Préventif",F379=""),"Plan manquant (préventif)",IF(AND(F379&lt;&gt;"",ISNA(MATCH(F379,pl_num,0))),"Plan inconnu",IF(AND(F379&lt;&gt;"",IFERROR(INDEX(pl_eq,MATCH(F379,pl_num,0))&amp;"",C379)&lt;&gt;C379),"Plan d'un autre équipement",IF(AND(J379&lt;&gt;"",OR(NOT(ISNUMBER(J379)),N(J379)&lt;0)),"Compteur invalide",IF(OR(AND(K379&lt;&gt;"",OR(NOT(ISNUMBER(K379)),N(K379)&lt;0)),AND(L379&lt;&gt;"",OR(NOT(ISNUMBER(L379)),N(L379)&lt;0))),"Durée invalide",IF(OR(AND(N379&lt;&gt;"",OR(NOT(ISNUMBER(N379)),N(N379)&lt;0)),AND(P379&lt;&gt;"",OR(NOT(ISNUMBER(P379)),N(P379)&lt;0))),"Coût invalide",IF(AND(M379&lt;&gt;"",ISNA(MATCH(M379,tech_name,0))),"Technicien inconnu",IF(AND(I379="Terminée",S379&gt;p_today),"Terminée à une date future",IF(AND(I379="Terminée",V379=0),"Durée d'intervention manquante",IF(AND(I379="Terminée",E379="Préventif",T379=0,OR(IFERROR(INDEX(pl_trig,MATCH(F379,pl_num,0))&amp;"","")="Compteur",IFERROR(INDEX(pl_trig,MATCH(F379,pl_num,0))&amp;"","")="Au premier des deux")),"Compteur manquant (plan au compteur)","OK"))))))))))))))))))</f>
        <v/>
      </c>
      <c r="S379" s="67">
        <f>IF(AND(ISNUMBER(B379),N(B379)&gt;0),INT(B379),0)</f>
        <v>0.0</v>
      </c>
      <c r="T379" s="67">
        <f>IF(AND(ISNUMBER(J379),N(J379)&gt;=0),N(J379),0)</f>
        <v>0.0</v>
      </c>
      <c r="U379" s="67">
        <f>IF(AND(ISNUMBER(K379),N(K379)&gt;0),N(K379),0)</f>
        <v>0.0</v>
      </c>
      <c r="V379" s="67">
        <f>IF(AND(ISNUMBER(L379),N(L379)&gt;0),N(L379),0)</f>
        <v>0.0</v>
      </c>
      <c r="W379" s="67">
        <f>IF(AND(I379="Terminée",S379&gt;0,C379&lt;&gt;"",ISNUMBER(MATCH(C379,eq_code,0))),1,0)</f>
        <v>0.0</v>
      </c>
      <c r="X379" s="67">
        <f>IF(AND(W379=1,E379="Préventif"),1,0)</f>
        <v>0.0</v>
      </c>
      <c r="Y379" s="67">
        <f>IF(AND(ISNUMBER(N379),N(N379)&gt;0),N(N379),0)</f>
        <v>0.0</v>
      </c>
      <c r="Z379" s="67">
        <f>IF(AND(ISNUMBER(P379),N(P379)&gt;0),N(P379),0)</f>
        <v>0.0</v>
      </c>
    </row>
    <row r="380">
      <c r="A380" s="79" t="str">
        <f>IF(COUNTA(B380:C380,E380:G380,I380)=0,"","BI-"&amp;RIGHT("0000"&amp;(ROW()-5),4))</f>
        <v/>
      </c>
      <c r="B380" s="72" t="n"/>
      <c r="C380" s="66" t="n"/>
      <c r="D380" s="67" t="str">
        <f>IF(C380="","",IFERROR(INDEX(eq_des,MATCH(C380,eq_code,0))&amp;"","Équipement inconnu"))</f>
        <v/>
      </c>
      <c r="E380" s="68" t="n"/>
      <c r="F380" s="68" t="n"/>
      <c r="G380" s="66" t="n"/>
      <c r="H380" s="66" t="n"/>
      <c r="I380" s="68" t="n"/>
      <c r="J380" s="73" t="n"/>
      <c r="K380" s="71" t="n"/>
      <c r="L380" s="71" t="n"/>
      <c r="M380" s="66" t="n"/>
      <c r="N380" s="80" t="n"/>
      <c r="O380" s="81" t="str">
        <f>IF(A380="","",ROUND(V380*IFERROR(N(INDEX(tech_rate,MATCH(M380,tech_name,0))),0),2))</f>
        <v/>
      </c>
      <c r="P380" s="80" t="n"/>
      <c r="Q380" s="81" t="str">
        <f>IF(A380="","",ROUND(Y380+O380+Z380,2))</f>
        <v/>
      </c>
      <c r="R380" s="79" t="str">
        <f>IF(A380="","",IF(S380=0,"Date manquante ou invalide",IF(C380="","Équipement manquant",IF(ISNA(MATCH(C380,eq_code,0)),"Équipement inconnu",IF(E380="","Type manquant",IF(AND(E380&lt;&gt;"Préventif",E380&lt;&gt;"Correctif",E380&lt;&gt;"Amélioratif"),"Type inconnu",IF(I380="","Statut manquant",IF(AND(I380&lt;&gt;"Terminée",I380&lt;&gt;"En cours",I380&lt;&gt;"À faire",I380&lt;&gt;"Annulée"),"Statut inconnu",IF(AND(E380="Préventif",F380=""),"Plan manquant (préventif)",IF(AND(F380&lt;&gt;"",ISNA(MATCH(F380,pl_num,0))),"Plan inconnu",IF(AND(F380&lt;&gt;"",IFERROR(INDEX(pl_eq,MATCH(F380,pl_num,0))&amp;"",C380)&lt;&gt;C380),"Plan d'un autre équipement",IF(AND(J380&lt;&gt;"",OR(NOT(ISNUMBER(J380)),N(J380)&lt;0)),"Compteur invalide",IF(OR(AND(K380&lt;&gt;"",OR(NOT(ISNUMBER(K380)),N(K380)&lt;0)),AND(L380&lt;&gt;"",OR(NOT(ISNUMBER(L380)),N(L380)&lt;0))),"Durée invalide",IF(OR(AND(N380&lt;&gt;"",OR(NOT(ISNUMBER(N380)),N(N380)&lt;0)),AND(P380&lt;&gt;"",OR(NOT(ISNUMBER(P380)),N(P380)&lt;0))),"Coût invalide",IF(AND(M380&lt;&gt;"",ISNA(MATCH(M380,tech_name,0))),"Technicien inconnu",IF(AND(I380="Terminée",S380&gt;p_today),"Terminée à une date future",IF(AND(I380="Terminée",V380=0),"Durée d'intervention manquante",IF(AND(I380="Terminée",E380="Préventif",T380=0,OR(IFERROR(INDEX(pl_trig,MATCH(F380,pl_num,0))&amp;"","")="Compteur",IFERROR(INDEX(pl_trig,MATCH(F380,pl_num,0))&amp;"","")="Au premier des deux")),"Compteur manquant (plan au compteur)","OK"))))))))))))))))))</f>
        <v/>
      </c>
      <c r="S380" s="67">
        <f>IF(AND(ISNUMBER(B380),N(B380)&gt;0),INT(B380),0)</f>
        <v>0.0</v>
      </c>
      <c r="T380" s="67">
        <f>IF(AND(ISNUMBER(J380),N(J380)&gt;=0),N(J380),0)</f>
        <v>0.0</v>
      </c>
      <c r="U380" s="67">
        <f>IF(AND(ISNUMBER(K380),N(K380)&gt;0),N(K380),0)</f>
        <v>0.0</v>
      </c>
      <c r="V380" s="67">
        <f>IF(AND(ISNUMBER(L380),N(L380)&gt;0),N(L380),0)</f>
        <v>0.0</v>
      </c>
      <c r="W380" s="67">
        <f>IF(AND(I380="Terminée",S380&gt;0,C380&lt;&gt;"",ISNUMBER(MATCH(C380,eq_code,0))),1,0)</f>
        <v>0.0</v>
      </c>
      <c r="X380" s="67">
        <f>IF(AND(W380=1,E380="Préventif"),1,0)</f>
        <v>0.0</v>
      </c>
      <c r="Y380" s="67">
        <f>IF(AND(ISNUMBER(N380),N(N380)&gt;0),N(N380),0)</f>
        <v>0.0</v>
      </c>
      <c r="Z380" s="67">
        <f>IF(AND(ISNUMBER(P380),N(P380)&gt;0),N(P380),0)</f>
        <v>0.0</v>
      </c>
    </row>
    <row r="381">
      <c r="A381" s="79" t="str">
        <f>IF(COUNTA(B381:C381,E381:G381,I381)=0,"","BI-"&amp;RIGHT("0000"&amp;(ROW()-5),4))</f>
        <v/>
      </c>
      <c r="B381" s="72" t="n"/>
      <c r="C381" s="66" t="n"/>
      <c r="D381" s="67" t="str">
        <f>IF(C381="","",IFERROR(INDEX(eq_des,MATCH(C381,eq_code,0))&amp;"","Équipement inconnu"))</f>
        <v/>
      </c>
      <c r="E381" s="68" t="n"/>
      <c r="F381" s="68" t="n"/>
      <c r="G381" s="66" t="n"/>
      <c r="H381" s="66" t="n"/>
      <c r="I381" s="68" t="n"/>
      <c r="J381" s="73" t="n"/>
      <c r="K381" s="71" t="n"/>
      <c r="L381" s="71" t="n"/>
      <c r="M381" s="66" t="n"/>
      <c r="N381" s="80" t="n"/>
      <c r="O381" s="81" t="str">
        <f>IF(A381="","",ROUND(V381*IFERROR(N(INDEX(tech_rate,MATCH(M381,tech_name,0))),0),2))</f>
        <v/>
      </c>
      <c r="P381" s="80" t="n"/>
      <c r="Q381" s="81" t="str">
        <f>IF(A381="","",ROUND(Y381+O381+Z381,2))</f>
        <v/>
      </c>
      <c r="R381" s="79" t="str">
        <f>IF(A381="","",IF(S381=0,"Date manquante ou invalide",IF(C381="","Équipement manquant",IF(ISNA(MATCH(C381,eq_code,0)),"Équipement inconnu",IF(E381="","Type manquant",IF(AND(E381&lt;&gt;"Préventif",E381&lt;&gt;"Correctif",E381&lt;&gt;"Amélioratif"),"Type inconnu",IF(I381="","Statut manquant",IF(AND(I381&lt;&gt;"Terminée",I381&lt;&gt;"En cours",I381&lt;&gt;"À faire",I381&lt;&gt;"Annulée"),"Statut inconnu",IF(AND(E381="Préventif",F381=""),"Plan manquant (préventif)",IF(AND(F381&lt;&gt;"",ISNA(MATCH(F381,pl_num,0))),"Plan inconnu",IF(AND(F381&lt;&gt;"",IFERROR(INDEX(pl_eq,MATCH(F381,pl_num,0))&amp;"",C381)&lt;&gt;C381),"Plan d'un autre équipement",IF(AND(J381&lt;&gt;"",OR(NOT(ISNUMBER(J381)),N(J381)&lt;0)),"Compteur invalide",IF(OR(AND(K381&lt;&gt;"",OR(NOT(ISNUMBER(K381)),N(K381)&lt;0)),AND(L381&lt;&gt;"",OR(NOT(ISNUMBER(L381)),N(L381)&lt;0))),"Durée invalide",IF(OR(AND(N381&lt;&gt;"",OR(NOT(ISNUMBER(N381)),N(N381)&lt;0)),AND(P381&lt;&gt;"",OR(NOT(ISNUMBER(P381)),N(P381)&lt;0))),"Coût invalide",IF(AND(M381&lt;&gt;"",ISNA(MATCH(M381,tech_name,0))),"Technicien inconnu",IF(AND(I381="Terminée",S381&gt;p_today),"Terminée à une date future",IF(AND(I381="Terminée",V381=0),"Durée d'intervention manquante",IF(AND(I381="Terminée",E381="Préventif",T381=0,OR(IFERROR(INDEX(pl_trig,MATCH(F381,pl_num,0))&amp;"","")="Compteur",IFERROR(INDEX(pl_trig,MATCH(F381,pl_num,0))&amp;"","")="Au premier des deux")),"Compteur manquant (plan au compteur)","OK"))))))))))))))))))</f>
        <v/>
      </c>
      <c r="S381" s="67">
        <f>IF(AND(ISNUMBER(B381),N(B381)&gt;0),INT(B381),0)</f>
        <v>0.0</v>
      </c>
      <c r="T381" s="67">
        <f>IF(AND(ISNUMBER(J381),N(J381)&gt;=0),N(J381),0)</f>
        <v>0.0</v>
      </c>
      <c r="U381" s="67">
        <f>IF(AND(ISNUMBER(K381),N(K381)&gt;0),N(K381),0)</f>
        <v>0.0</v>
      </c>
      <c r="V381" s="67">
        <f>IF(AND(ISNUMBER(L381),N(L381)&gt;0),N(L381),0)</f>
        <v>0.0</v>
      </c>
      <c r="W381" s="67">
        <f>IF(AND(I381="Terminée",S381&gt;0,C381&lt;&gt;"",ISNUMBER(MATCH(C381,eq_code,0))),1,0)</f>
        <v>0.0</v>
      </c>
      <c r="X381" s="67">
        <f>IF(AND(W381=1,E381="Préventif"),1,0)</f>
        <v>0.0</v>
      </c>
      <c r="Y381" s="67">
        <f>IF(AND(ISNUMBER(N381),N(N381)&gt;0),N(N381),0)</f>
        <v>0.0</v>
      </c>
      <c r="Z381" s="67">
        <f>IF(AND(ISNUMBER(P381),N(P381)&gt;0),N(P381),0)</f>
        <v>0.0</v>
      </c>
    </row>
    <row r="382">
      <c r="A382" s="79" t="str">
        <f>IF(COUNTA(B382:C382,E382:G382,I382)=0,"","BI-"&amp;RIGHT("0000"&amp;(ROW()-5),4))</f>
        <v/>
      </c>
      <c r="B382" s="72" t="n"/>
      <c r="C382" s="66" t="n"/>
      <c r="D382" s="67" t="str">
        <f>IF(C382="","",IFERROR(INDEX(eq_des,MATCH(C382,eq_code,0))&amp;"","Équipement inconnu"))</f>
        <v/>
      </c>
      <c r="E382" s="68" t="n"/>
      <c r="F382" s="68" t="n"/>
      <c r="G382" s="66" t="n"/>
      <c r="H382" s="66" t="n"/>
      <c r="I382" s="68" t="n"/>
      <c r="J382" s="73" t="n"/>
      <c r="K382" s="71" t="n"/>
      <c r="L382" s="71" t="n"/>
      <c r="M382" s="66" t="n"/>
      <c r="N382" s="80" t="n"/>
      <c r="O382" s="81" t="str">
        <f>IF(A382="","",ROUND(V382*IFERROR(N(INDEX(tech_rate,MATCH(M382,tech_name,0))),0),2))</f>
        <v/>
      </c>
      <c r="P382" s="80" t="n"/>
      <c r="Q382" s="81" t="str">
        <f>IF(A382="","",ROUND(Y382+O382+Z382,2))</f>
        <v/>
      </c>
      <c r="R382" s="79" t="str">
        <f>IF(A382="","",IF(S382=0,"Date manquante ou invalide",IF(C382="","Équipement manquant",IF(ISNA(MATCH(C382,eq_code,0)),"Équipement inconnu",IF(E382="","Type manquant",IF(AND(E382&lt;&gt;"Préventif",E382&lt;&gt;"Correctif",E382&lt;&gt;"Amélioratif"),"Type inconnu",IF(I382="","Statut manquant",IF(AND(I382&lt;&gt;"Terminée",I382&lt;&gt;"En cours",I382&lt;&gt;"À faire",I382&lt;&gt;"Annulée"),"Statut inconnu",IF(AND(E382="Préventif",F382=""),"Plan manquant (préventif)",IF(AND(F382&lt;&gt;"",ISNA(MATCH(F382,pl_num,0))),"Plan inconnu",IF(AND(F382&lt;&gt;"",IFERROR(INDEX(pl_eq,MATCH(F382,pl_num,0))&amp;"",C382)&lt;&gt;C382),"Plan d'un autre équipement",IF(AND(J382&lt;&gt;"",OR(NOT(ISNUMBER(J382)),N(J382)&lt;0)),"Compteur invalide",IF(OR(AND(K382&lt;&gt;"",OR(NOT(ISNUMBER(K382)),N(K382)&lt;0)),AND(L382&lt;&gt;"",OR(NOT(ISNUMBER(L382)),N(L382)&lt;0))),"Durée invalide",IF(OR(AND(N382&lt;&gt;"",OR(NOT(ISNUMBER(N382)),N(N382)&lt;0)),AND(P382&lt;&gt;"",OR(NOT(ISNUMBER(P382)),N(P382)&lt;0))),"Coût invalide",IF(AND(M382&lt;&gt;"",ISNA(MATCH(M382,tech_name,0))),"Technicien inconnu",IF(AND(I382="Terminée",S382&gt;p_today),"Terminée à une date future",IF(AND(I382="Terminée",V382=0),"Durée d'intervention manquante",IF(AND(I382="Terminée",E382="Préventif",T382=0,OR(IFERROR(INDEX(pl_trig,MATCH(F382,pl_num,0))&amp;"","")="Compteur",IFERROR(INDEX(pl_trig,MATCH(F382,pl_num,0))&amp;"","")="Au premier des deux")),"Compteur manquant (plan au compteur)","OK"))))))))))))))))))</f>
        <v/>
      </c>
      <c r="S382" s="67">
        <f>IF(AND(ISNUMBER(B382),N(B382)&gt;0),INT(B382),0)</f>
        <v>0.0</v>
      </c>
      <c r="T382" s="67">
        <f>IF(AND(ISNUMBER(J382),N(J382)&gt;=0),N(J382),0)</f>
        <v>0.0</v>
      </c>
      <c r="U382" s="67">
        <f>IF(AND(ISNUMBER(K382),N(K382)&gt;0),N(K382),0)</f>
        <v>0.0</v>
      </c>
      <c r="V382" s="67">
        <f>IF(AND(ISNUMBER(L382),N(L382)&gt;0),N(L382),0)</f>
        <v>0.0</v>
      </c>
      <c r="W382" s="67">
        <f>IF(AND(I382="Terminée",S382&gt;0,C382&lt;&gt;"",ISNUMBER(MATCH(C382,eq_code,0))),1,0)</f>
        <v>0.0</v>
      </c>
      <c r="X382" s="67">
        <f>IF(AND(W382=1,E382="Préventif"),1,0)</f>
        <v>0.0</v>
      </c>
      <c r="Y382" s="67">
        <f>IF(AND(ISNUMBER(N382),N(N382)&gt;0),N(N382),0)</f>
        <v>0.0</v>
      </c>
      <c r="Z382" s="67">
        <f>IF(AND(ISNUMBER(P382),N(P382)&gt;0),N(P382),0)</f>
        <v>0.0</v>
      </c>
    </row>
    <row r="383">
      <c r="A383" s="79" t="str">
        <f>IF(COUNTA(B383:C383,E383:G383,I383)=0,"","BI-"&amp;RIGHT("0000"&amp;(ROW()-5),4))</f>
        <v/>
      </c>
      <c r="B383" s="72" t="n"/>
      <c r="C383" s="66" t="n"/>
      <c r="D383" s="67" t="str">
        <f>IF(C383="","",IFERROR(INDEX(eq_des,MATCH(C383,eq_code,0))&amp;"","Équipement inconnu"))</f>
        <v/>
      </c>
      <c r="E383" s="68" t="n"/>
      <c r="F383" s="68" t="n"/>
      <c r="G383" s="66" t="n"/>
      <c r="H383" s="66" t="n"/>
      <c r="I383" s="68" t="n"/>
      <c r="J383" s="73" t="n"/>
      <c r="K383" s="71" t="n"/>
      <c r="L383" s="71" t="n"/>
      <c r="M383" s="66" t="n"/>
      <c r="N383" s="80" t="n"/>
      <c r="O383" s="81" t="str">
        <f>IF(A383="","",ROUND(V383*IFERROR(N(INDEX(tech_rate,MATCH(M383,tech_name,0))),0),2))</f>
        <v/>
      </c>
      <c r="P383" s="80" t="n"/>
      <c r="Q383" s="81" t="str">
        <f>IF(A383="","",ROUND(Y383+O383+Z383,2))</f>
        <v/>
      </c>
      <c r="R383" s="79" t="str">
        <f>IF(A383="","",IF(S383=0,"Date manquante ou invalide",IF(C383="","Équipement manquant",IF(ISNA(MATCH(C383,eq_code,0)),"Équipement inconnu",IF(E383="","Type manquant",IF(AND(E383&lt;&gt;"Préventif",E383&lt;&gt;"Correctif",E383&lt;&gt;"Amélioratif"),"Type inconnu",IF(I383="","Statut manquant",IF(AND(I383&lt;&gt;"Terminée",I383&lt;&gt;"En cours",I383&lt;&gt;"À faire",I383&lt;&gt;"Annulée"),"Statut inconnu",IF(AND(E383="Préventif",F383=""),"Plan manquant (préventif)",IF(AND(F383&lt;&gt;"",ISNA(MATCH(F383,pl_num,0))),"Plan inconnu",IF(AND(F383&lt;&gt;"",IFERROR(INDEX(pl_eq,MATCH(F383,pl_num,0))&amp;"",C383)&lt;&gt;C383),"Plan d'un autre équipement",IF(AND(J383&lt;&gt;"",OR(NOT(ISNUMBER(J383)),N(J383)&lt;0)),"Compteur invalide",IF(OR(AND(K383&lt;&gt;"",OR(NOT(ISNUMBER(K383)),N(K383)&lt;0)),AND(L383&lt;&gt;"",OR(NOT(ISNUMBER(L383)),N(L383)&lt;0))),"Durée invalide",IF(OR(AND(N383&lt;&gt;"",OR(NOT(ISNUMBER(N383)),N(N383)&lt;0)),AND(P383&lt;&gt;"",OR(NOT(ISNUMBER(P383)),N(P383)&lt;0))),"Coût invalide",IF(AND(M383&lt;&gt;"",ISNA(MATCH(M383,tech_name,0))),"Technicien inconnu",IF(AND(I383="Terminée",S383&gt;p_today),"Terminée à une date future",IF(AND(I383="Terminée",V383=0),"Durée d'intervention manquante",IF(AND(I383="Terminée",E383="Préventif",T383=0,OR(IFERROR(INDEX(pl_trig,MATCH(F383,pl_num,0))&amp;"","")="Compteur",IFERROR(INDEX(pl_trig,MATCH(F383,pl_num,0))&amp;"","")="Au premier des deux")),"Compteur manquant (plan au compteur)","OK"))))))))))))))))))</f>
        <v/>
      </c>
      <c r="S383" s="67">
        <f>IF(AND(ISNUMBER(B383),N(B383)&gt;0),INT(B383),0)</f>
        <v>0.0</v>
      </c>
      <c r="T383" s="67">
        <f>IF(AND(ISNUMBER(J383),N(J383)&gt;=0),N(J383),0)</f>
        <v>0.0</v>
      </c>
      <c r="U383" s="67">
        <f>IF(AND(ISNUMBER(K383),N(K383)&gt;0),N(K383),0)</f>
        <v>0.0</v>
      </c>
      <c r="V383" s="67">
        <f>IF(AND(ISNUMBER(L383),N(L383)&gt;0),N(L383),0)</f>
        <v>0.0</v>
      </c>
      <c r="W383" s="67">
        <f>IF(AND(I383="Terminée",S383&gt;0,C383&lt;&gt;"",ISNUMBER(MATCH(C383,eq_code,0))),1,0)</f>
        <v>0.0</v>
      </c>
      <c r="X383" s="67">
        <f>IF(AND(W383=1,E383="Préventif"),1,0)</f>
        <v>0.0</v>
      </c>
      <c r="Y383" s="67">
        <f>IF(AND(ISNUMBER(N383),N(N383)&gt;0),N(N383),0)</f>
        <v>0.0</v>
      </c>
      <c r="Z383" s="67">
        <f>IF(AND(ISNUMBER(P383),N(P383)&gt;0),N(P383),0)</f>
        <v>0.0</v>
      </c>
    </row>
    <row r="384">
      <c r="A384" s="79" t="str">
        <f>IF(COUNTA(B384:C384,E384:G384,I384)=0,"","BI-"&amp;RIGHT("0000"&amp;(ROW()-5),4))</f>
        <v/>
      </c>
      <c r="B384" s="72" t="n"/>
      <c r="C384" s="66" t="n"/>
      <c r="D384" s="67" t="str">
        <f>IF(C384="","",IFERROR(INDEX(eq_des,MATCH(C384,eq_code,0))&amp;"","Équipement inconnu"))</f>
        <v/>
      </c>
      <c r="E384" s="68" t="n"/>
      <c r="F384" s="68" t="n"/>
      <c r="G384" s="66" t="n"/>
      <c r="H384" s="66" t="n"/>
      <c r="I384" s="68" t="n"/>
      <c r="J384" s="73" t="n"/>
      <c r="K384" s="71" t="n"/>
      <c r="L384" s="71" t="n"/>
      <c r="M384" s="66" t="n"/>
      <c r="N384" s="80" t="n"/>
      <c r="O384" s="81" t="str">
        <f>IF(A384="","",ROUND(V384*IFERROR(N(INDEX(tech_rate,MATCH(M384,tech_name,0))),0),2))</f>
        <v/>
      </c>
      <c r="P384" s="80" t="n"/>
      <c r="Q384" s="81" t="str">
        <f>IF(A384="","",ROUND(Y384+O384+Z384,2))</f>
        <v/>
      </c>
      <c r="R384" s="79" t="str">
        <f>IF(A384="","",IF(S384=0,"Date manquante ou invalide",IF(C384="","Équipement manquant",IF(ISNA(MATCH(C384,eq_code,0)),"Équipement inconnu",IF(E384="","Type manquant",IF(AND(E384&lt;&gt;"Préventif",E384&lt;&gt;"Correctif",E384&lt;&gt;"Amélioratif"),"Type inconnu",IF(I384="","Statut manquant",IF(AND(I384&lt;&gt;"Terminée",I384&lt;&gt;"En cours",I384&lt;&gt;"À faire",I384&lt;&gt;"Annulée"),"Statut inconnu",IF(AND(E384="Préventif",F384=""),"Plan manquant (préventif)",IF(AND(F384&lt;&gt;"",ISNA(MATCH(F384,pl_num,0))),"Plan inconnu",IF(AND(F384&lt;&gt;"",IFERROR(INDEX(pl_eq,MATCH(F384,pl_num,0))&amp;"",C384)&lt;&gt;C384),"Plan d'un autre équipement",IF(AND(J384&lt;&gt;"",OR(NOT(ISNUMBER(J384)),N(J384)&lt;0)),"Compteur invalide",IF(OR(AND(K384&lt;&gt;"",OR(NOT(ISNUMBER(K384)),N(K384)&lt;0)),AND(L384&lt;&gt;"",OR(NOT(ISNUMBER(L384)),N(L384)&lt;0))),"Durée invalide",IF(OR(AND(N384&lt;&gt;"",OR(NOT(ISNUMBER(N384)),N(N384)&lt;0)),AND(P384&lt;&gt;"",OR(NOT(ISNUMBER(P384)),N(P384)&lt;0))),"Coût invalide",IF(AND(M384&lt;&gt;"",ISNA(MATCH(M384,tech_name,0))),"Technicien inconnu",IF(AND(I384="Terminée",S384&gt;p_today),"Terminée à une date future",IF(AND(I384="Terminée",V384=0),"Durée d'intervention manquante",IF(AND(I384="Terminée",E384="Préventif",T384=0,OR(IFERROR(INDEX(pl_trig,MATCH(F384,pl_num,0))&amp;"","")="Compteur",IFERROR(INDEX(pl_trig,MATCH(F384,pl_num,0))&amp;"","")="Au premier des deux")),"Compteur manquant (plan au compteur)","OK"))))))))))))))))))</f>
        <v/>
      </c>
      <c r="S384" s="67">
        <f>IF(AND(ISNUMBER(B384),N(B384)&gt;0),INT(B384),0)</f>
        <v>0.0</v>
      </c>
      <c r="T384" s="67">
        <f>IF(AND(ISNUMBER(J384),N(J384)&gt;=0),N(J384),0)</f>
        <v>0.0</v>
      </c>
      <c r="U384" s="67">
        <f>IF(AND(ISNUMBER(K384),N(K384)&gt;0),N(K384),0)</f>
        <v>0.0</v>
      </c>
      <c r="V384" s="67">
        <f>IF(AND(ISNUMBER(L384),N(L384)&gt;0),N(L384),0)</f>
        <v>0.0</v>
      </c>
      <c r="W384" s="67">
        <f>IF(AND(I384="Terminée",S384&gt;0,C384&lt;&gt;"",ISNUMBER(MATCH(C384,eq_code,0))),1,0)</f>
        <v>0.0</v>
      </c>
      <c r="X384" s="67">
        <f>IF(AND(W384=1,E384="Préventif"),1,0)</f>
        <v>0.0</v>
      </c>
      <c r="Y384" s="67">
        <f>IF(AND(ISNUMBER(N384),N(N384)&gt;0),N(N384),0)</f>
        <v>0.0</v>
      </c>
      <c r="Z384" s="67">
        <f>IF(AND(ISNUMBER(P384),N(P384)&gt;0),N(P384),0)</f>
        <v>0.0</v>
      </c>
    </row>
    <row r="385">
      <c r="A385" s="79" t="str">
        <f>IF(COUNTA(B385:C385,E385:G385,I385)=0,"","BI-"&amp;RIGHT("0000"&amp;(ROW()-5),4))</f>
        <v/>
      </c>
      <c r="B385" s="72" t="n"/>
      <c r="C385" s="66" t="n"/>
      <c r="D385" s="67" t="str">
        <f>IF(C385="","",IFERROR(INDEX(eq_des,MATCH(C385,eq_code,0))&amp;"","Équipement inconnu"))</f>
        <v/>
      </c>
      <c r="E385" s="68" t="n"/>
      <c r="F385" s="68" t="n"/>
      <c r="G385" s="66" t="n"/>
      <c r="H385" s="66" t="n"/>
      <c r="I385" s="68" t="n"/>
      <c r="J385" s="73" t="n"/>
      <c r="K385" s="71" t="n"/>
      <c r="L385" s="71" t="n"/>
      <c r="M385" s="66" t="n"/>
      <c r="N385" s="80" t="n"/>
      <c r="O385" s="81" t="str">
        <f>IF(A385="","",ROUND(V385*IFERROR(N(INDEX(tech_rate,MATCH(M385,tech_name,0))),0),2))</f>
        <v/>
      </c>
      <c r="P385" s="80" t="n"/>
      <c r="Q385" s="81" t="str">
        <f>IF(A385="","",ROUND(Y385+O385+Z385,2))</f>
        <v/>
      </c>
      <c r="R385" s="79" t="str">
        <f>IF(A385="","",IF(S385=0,"Date manquante ou invalide",IF(C385="","Équipement manquant",IF(ISNA(MATCH(C385,eq_code,0)),"Équipement inconnu",IF(E385="","Type manquant",IF(AND(E385&lt;&gt;"Préventif",E385&lt;&gt;"Correctif",E385&lt;&gt;"Amélioratif"),"Type inconnu",IF(I385="","Statut manquant",IF(AND(I385&lt;&gt;"Terminée",I385&lt;&gt;"En cours",I385&lt;&gt;"À faire",I385&lt;&gt;"Annulée"),"Statut inconnu",IF(AND(E385="Préventif",F385=""),"Plan manquant (préventif)",IF(AND(F385&lt;&gt;"",ISNA(MATCH(F385,pl_num,0))),"Plan inconnu",IF(AND(F385&lt;&gt;"",IFERROR(INDEX(pl_eq,MATCH(F385,pl_num,0))&amp;"",C385)&lt;&gt;C385),"Plan d'un autre équipement",IF(AND(J385&lt;&gt;"",OR(NOT(ISNUMBER(J385)),N(J385)&lt;0)),"Compteur invalide",IF(OR(AND(K385&lt;&gt;"",OR(NOT(ISNUMBER(K385)),N(K385)&lt;0)),AND(L385&lt;&gt;"",OR(NOT(ISNUMBER(L385)),N(L385)&lt;0))),"Durée invalide",IF(OR(AND(N385&lt;&gt;"",OR(NOT(ISNUMBER(N385)),N(N385)&lt;0)),AND(P385&lt;&gt;"",OR(NOT(ISNUMBER(P385)),N(P385)&lt;0))),"Coût invalide",IF(AND(M385&lt;&gt;"",ISNA(MATCH(M385,tech_name,0))),"Technicien inconnu",IF(AND(I385="Terminée",S385&gt;p_today),"Terminée à une date future",IF(AND(I385="Terminée",V385=0),"Durée d'intervention manquante",IF(AND(I385="Terminée",E385="Préventif",T385=0,OR(IFERROR(INDEX(pl_trig,MATCH(F385,pl_num,0))&amp;"","")="Compteur",IFERROR(INDEX(pl_trig,MATCH(F385,pl_num,0))&amp;"","")="Au premier des deux")),"Compteur manquant (plan au compteur)","OK"))))))))))))))))))</f>
        <v/>
      </c>
      <c r="S385" s="67">
        <f>IF(AND(ISNUMBER(B385),N(B385)&gt;0),INT(B385),0)</f>
        <v>0.0</v>
      </c>
      <c r="T385" s="67">
        <f>IF(AND(ISNUMBER(J385),N(J385)&gt;=0),N(J385),0)</f>
        <v>0.0</v>
      </c>
      <c r="U385" s="67">
        <f>IF(AND(ISNUMBER(K385),N(K385)&gt;0),N(K385),0)</f>
        <v>0.0</v>
      </c>
      <c r="V385" s="67">
        <f>IF(AND(ISNUMBER(L385),N(L385)&gt;0),N(L385),0)</f>
        <v>0.0</v>
      </c>
      <c r="W385" s="67">
        <f>IF(AND(I385="Terminée",S385&gt;0,C385&lt;&gt;"",ISNUMBER(MATCH(C385,eq_code,0))),1,0)</f>
        <v>0.0</v>
      </c>
      <c r="X385" s="67">
        <f>IF(AND(W385=1,E385="Préventif"),1,0)</f>
        <v>0.0</v>
      </c>
      <c r="Y385" s="67">
        <f>IF(AND(ISNUMBER(N385),N(N385)&gt;0),N(N385),0)</f>
        <v>0.0</v>
      </c>
      <c r="Z385" s="67">
        <f>IF(AND(ISNUMBER(P385),N(P385)&gt;0),N(P385),0)</f>
        <v>0.0</v>
      </c>
    </row>
    <row r="386">
      <c r="A386" s="79" t="str">
        <f>IF(COUNTA(B386:C386,E386:G386,I386)=0,"","BI-"&amp;RIGHT("0000"&amp;(ROW()-5),4))</f>
        <v/>
      </c>
      <c r="B386" s="72" t="n"/>
      <c r="C386" s="66" t="n"/>
      <c r="D386" s="67" t="str">
        <f>IF(C386="","",IFERROR(INDEX(eq_des,MATCH(C386,eq_code,0))&amp;"","Équipement inconnu"))</f>
        <v/>
      </c>
      <c r="E386" s="68" t="n"/>
      <c r="F386" s="68" t="n"/>
      <c r="G386" s="66" t="n"/>
      <c r="H386" s="66" t="n"/>
      <c r="I386" s="68" t="n"/>
      <c r="J386" s="73" t="n"/>
      <c r="K386" s="71" t="n"/>
      <c r="L386" s="71" t="n"/>
      <c r="M386" s="66" t="n"/>
      <c r="N386" s="80" t="n"/>
      <c r="O386" s="81" t="str">
        <f>IF(A386="","",ROUND(V386*IFERROR(N(INDEX(tech_rate,MATCH(M386,tech_name,0))),0),2))</f>
        <v/>
      </c>
      <c r="P386" s="80" t="n"/>
      <c r="Q386" s="81" t="str">
        <f>IF(A386="","",ROUND(Y386+O386+Z386,2))</f>
        <v/>
      </c>
      <c r="R386" s="79" t="str">
        <f>IF(A386="","",IF(S386=0,"Date manquante ou invalide",IF(C386="","Équipement manquant",IF(ISNA(MATCH(C386,eq_code,0)),"Équipement inconnu",IF(E386="","Type manquant",IF(AND(E386&lt;&gt;"Préventif",E386&lt;&gt;"Correctif",E386&lt;&gt;"Amélioratif"),"Type inconnu",IF(I386="","Statut manquant",IF(AND(I386&lt;&gt;"Terminée",I386&lt;&gt;"En cours",I386&lt;&gt;"À faire",I386&lt;&gt;"Annulée"),"Statut inconnu",IF(AND(E386="Préventif",F386=""),"Plan manquant (préventif)",IF(AND(F386&lt;&gt;"",ISNA(MATCH(F386,pl_num,0))),"Plan inconnu",IF(AND(F386&lt;&gt;"",IFERROR(INDEX(pl_eq,MATCH(F386,pl_num,0))&amp;"",C386)&lt;&gt;C386),"Plan d'un autre équipement",IF(AND(J386&lt;&gt;"",OR(NOT(ISNUMBER(J386)),N(J386)&lt;0)),"Compteur invalide",IF(OR(AND(K386&lt;&gt;"",OR(NOT(ISNUMBER(K386)),N(K386)&lt;0)),AND(L386&lt;&gt;"",OR(NOT(ISNUMBER(L386)),N(L386)&lt;0))),"Durée invalide",IF(OR(AND(N386&lt;&gt;"",OR(NOT(ISNUMBER(N386)),N(N386)&lt;0)),AND(P386&lt;&gt;"",OR(NOT(ISNUMBER(P386)),N(P386)&lt;0))),"Coût invalide",IF(AND(M386&lt;&gt;"",ISNA(MATCH(M386,tech_name,0))),"Technicien inconnu",IF(AND(I386="Terminée",S386&gt;p_today),"Terminée à une date future",IF(AND(I386="Terminée",V386=0),"Durée d'intervention manquante",IF(AND(I386="Terminée",E386="Préventif",T386=0,OR(IFERROR(INDEX(pl_trig,MATCH(F386,pl_num,0))&amp;"","")="Compteur",IFERROR(INDEX(pl_trig,MATCH(F386,pl_num,0))&amp;"","")="Au premier des deux")),"Compteur manquant (plan au compteur)","OK"))))))))))))))))))</f>
        <v/>
      </c>
      <c r="S386" s="67">
        <f>IF(AND(ISNUMBER(B386),N(B386)&gt;0),INT(B386),0)</f>
        <v>0.0</v>
      </c>
      <c r="T386" s="67">
        <f>IF(AND(ISNUMBER(J386),N(J386)&gt;=0),N(J386),0)</f>
        <v>0.0</v>
      </c>
      <c r="U386" s="67">
        <f>IF(AND(ISNUMBER(K386),N(K386)&gt;0),N(K386),0)</f>
        <v>0.0</v>
      </c>
      <c r="V386" s="67">
        <f>IF(AND(ISNUMBER(L386),N(L386)&gt;0),N(L386),0)</f>
        <v>0.0</v>
      </c>
      <c r="W386" s="67">
        <f>IF(AND(I386="Terminée",S386&gt;0,C386&lt;&gt;"",ISNUMBER(MATCH(C386,eq_code,0))),1,0)</f>
        <v>0.0</v>
      </c>
      <c r="X386" s="67">
        <f>IF(AND(W386=1,E386="Préventif"),1,0)</f>
        <v>0.0</v>
      </c>
      <c r="Y386" s="67">
        <f>IF(AND(ISNUMBER(N386),N(N386)&gt;0),N(N386),0)</f>
        <v>0.0</v>
      </c>
      <c r="Z386" s="67">
        <f>IF(AND(ISNUMBER(P386),N(P386)&gt;0),N(P386),0)</f>
        <v>0.0</v>
      </c>
    </row>
    <row r="387">
      <c r="A387" s="79" t="str">
        <f>IF(COUNTA(B387:C387,E387:G387,I387)=0,"","BI-"&amp;RIGHT("0000"&amp;(ROW()-5),4))</f>
        <v/>
      </c>
      <c r="B387" s="72" t="n"/>
      <c r="C387" s="66" t="n"/>
      <c r="D387" s="67" t="str">
        <f>IF(C387="","",IFERROR(INDEX(eq_des,MATCH(C387,eq_code,0))&amp;"","Équipement inconnu"))</f>
        <v/>
      </c>
      <c r="E387" s="68" t="n"/>
      <c r="F387" s="68" t="n"/>
      <c r="G387" s="66" t="n"/>
      <c r="H387" s="66" t="n"/>
      <c r="I387" s="68" t="n"/>
      <c r="J387" s="73" t="n"/>
      <c r="K387" s="71" t="n"/>
      <c r="L387" s="71" t="n"/>
      <c r="M387" s="66" t="n"/>
      <c r="N387" s="80" t="n"/>
      <c r="O387" s="81" t="str">
        <f>IF(A387="","",ROUND(V387*IFERROR(N(INDEX(tech_rate,MATCH(M387,tech_name,0))),0),2))</f>
        <v/>
      </c>
      <c r="P387" s="80" t="n"/>
      <c r="Q387" s="81" t="str">
        <f>IF(A387="","",ROUND(Y387+O387+Z387,2))</f>
        <v/>
      </c>
      <c r="R387" s="79" t="str">
        <f>IF(A387="","",IF(S387=0,"Date manquante ou invalide",IF(C387="","Équipement manquant",IF(ISNA(MATCH(C387,eq_code,0)),"Équipement inconnu",IF(E387="","Type manquant",IF(AND(E387&lt;&gt;"Préventif",E387&lt;&gt;"Correctif",E387&lt;&gt;"Amélioratif"),"Type inconnu",IF(I387="","Statut manquant",IF(AND(I387&lt;&gt;"Terminée",I387&lt;&gt;"En cours",I387&lt;&gt;"À faire",I387&lt;&gt;"Annulée"),"Statut inconnu",IF(AND(E387="Préventif",F387=""),"Plan manquant (préventif)",IF(AND(F387&lt;&gt;"",ISNA(MATCH(F387,pl_num,0))),"Plan inconnu",IF(AND(F387&lt;&gt;"",IFERROR(INDEX(pl_eq,MATCH(F387,pl_num,0))&amp;"",C387)&lt;&gt;C387),"Plan d'un autre équipement",IF(AND(J387&lt;&gt;"",OR(NOT(ISNUMBER(J387)),N(J387)&lt;0)),"Compteur invalide",IF(OR(AND(K387&lt;&gt;"",OR(NOT(ISNUMBER(K387)),N(K387)&lt;0)),AND(L387&lt;&gt;"",OR(NOT(ISNUMBER(L387)),N(L387)&lt;0))),"Durée invalide",IF(OR(AND(N387&lt;&gt;"",OR(NOT(ISNUMBER(N387)),N(N387)&lt;0)),AND(P387&lt;&gt;"",OR(NOT(ISNUMBER(P387)),N(P387)&lt;0))),"Coût invalide",IF(AND(M387&lt;&gt;"",ISNA(MATCH(M387,tech_name,0))),"Technicien inconnu",IF(AND(I387="Terminée",S387&gt;p_today),"Terminée à une date future",IF(AND(I387="Terminée",V387=0),"Durée d'intervention manquante",IF(AND(I387="Terminée",E387="Préventif",T387=0,OR(IFERROR(INDEX(pl_trig,MATCH(F387,pl_num,0))&amp;"","")="Compteur",IFERROR(INDEX(pl_trig,MATCH(F387,pl_num,0))&amp;"","")="Au premier des deux")),"Compteur manquant (plan au compteur)","OK"))))))))))))))))))</f>
        <v/>
      </c>
      <c r="S387" s="67">
        <f>IF(AND(ISNUMBER(B387),N(B387)&gt;0),INT(B387),0)</f>
        <v>0.0</v>
      </c>
      <c r="T387" s="67">
        <f>IF(AND(ISNUMBER(J387),N(J387)&gt;=0),N(J387),0)</f>
        <v>0.0</v>
      </c>
      <c r="U387" s="67">
        <f>IF(AND(ISNUMBER(K387),N(K387)&gt;0),N(K387),0)</f>
        <v>0.0</v>
      </c>
      <c r="V387" s="67">
        <f>IF(AND(ISNUMBER(L387),N(L387)&gt;0),N(L387),0)</f>
        <v>0.0</v>
      </c>
      <c r="W387" s="67">
        <f>IF(AND(I387="Terminée",S387&gt;0,C387&lt;&gt;"",ISNUMBER(MATCH(C387,eq_code,0))),1,0)</f>
        <v>0.0</v>
      </c>
      <c r="X387" s="67">
        <f>IF(AND(W387=1,E387="Préventif"),1,0)</f>
        <v>0.0</v>
      </c>
      <c r="Y387" s="67">
        <f>IF(AND(ISNUMBER(N387),N(N387)&gt;0),N(N387),0)</f>
        <v>0.0</v>
      </c>
      <c r="Z387" s="67">
        <f>IF(AND(ISNUMBER(P387),N(P387)&gt;0),N(P387),0)</f>
        <v>0.0</v>
      </c>
    </row>
    <row r="388">
      <c r="A388" s="79" t="str">
        <f>IF(COUNTA(B388:C388,E388:G388,I388)=0,"","BI-"&amp;RIGHT("0000"&amp;(ROW()-5),4))</f>
        <v/>
      </c>
      <c r="B388" s="72" t="n"/>
      <c r="C388" s="66" t="n"/>
      <c r="D388" s="67" t="str">
        <f>IF(C388="","",IFERROR(INDEX(eq_des,MATCH(C388,eq_code,0))&amp;"","Équipement inconnu"))</f>
        <v/>
      </c>
      <c r="E388" s="68" t="n"/>
      <c r="F388" s="68" t="n"/>
      <c r="G388" s="66" t="n"/>
      <c r="H388" s="66" t="n"/>
      <c r="I388" s="68" t="n"/>
      <c r="J388" s="73" t="n"/>
      <c r="K388" s="71" t="n"/>
      <c r="L388" s="71" t="n"/>
      <c r="M388" s="66" t="n"/>
      <c r="N388" s="80" t="n"/>
      <c r="O388" s="81" t="str">
        <f>IF(A388="","",ROUND(V388*IFERROR(N(INDEX(tech_rate,MATCH(M388,tech_name,0))),0),2))</f>
        <v/>
      </c>
      <c r="P388" s="80" t="n"/>
      <c r="Q388" s="81" t="str">
        <f>IF(A388="","",ROUND(Y388+O388+Z388,2))</f>
        <v/>
      </c>
      <c r="R388" s="79" t="str">
        <f>IF(A388="","",IF(S388=0,"Date manquante ou invalide",IF(C388="","Équipement manquant",IF(ISNA(MATCH(C388,eq_code,0)),"Équipement inconnu",IF(E388="","Type manquant",IF(AND(E388&lt;&gt;"Préventif",E388&lt;&gt;"Correctif",E388&lt;&gt;"Amélioratif"),"Type inconnu",IF(I388="","Statut manquant",IF(AND(I388&lt;&gt;"Terminée",I388&lt;&gt;"En cours",I388&lt;&gt;"À faire",I388&lt;&gt;"Annulée"),"Statut inconnu",IF(AND(E388="Préventif",F388=""),"Plan manquant (préventif)",IF(AND(F388&lt;&gt;"",ISNA(MATCH(F388,pl_num,0))),"Plan inconnu",IF(AND(F388&lt;&gt;"",IFERROR(INDEX(pl_eq,MATCH(F388,pl_num,0))&amp;"",C388)&lt;&gt;C388),"Plan d'un autre équipement",IF(AND(J388&lt;&gt;"",OR(NOT(ISNUMBER(J388)),N(J388)&lt;0)),"Compteur invalide",IF(OR(AND(K388&lt;&gt;"",OR(NOT(ISNUMBER(K388)),N(K388)&lt;0)),AND(L388&lt;&gt;"",OR(NOT(ISNUMBER(L388)),N(L388)&lt;0))),"Durée invalide",IF(OR(AND(N388&lt;&gt;"",OR(NOT(ISNUMBER(N388)),N(N388)&lt;0)),AND(P388&lt;&gt;"",OR(NOT(ISNUMBER(P388)),N(P388)&lt;0))),"Coût invalide",IF(AND(M388&lt;&gt;"",ISNA(MATCH(M388,tech_name,0))),"Technicien inconnu",IF(AND(I388="Terminée",S388&gt;p_today),"Terminée à une date future",IF(AND(I388="Terminée",V388=0),"Durée d'intervention manquante",IF(AND(I388="Terminée",E388="Préventif",T388=0,OR(IFERROR(INDEX(pl_trig,MATCH(F388,pl_num,0))&amp;"","")="Compteur",IFERROR(INDEX(pl_trig,MATCH(F388,pl_num,0))&amp;"","")="Au premier des deux")),"Compteur manquant (plan au compteur)","OK"))))))))))))))))))</f>
        <v/>
      </c>
      <c r="S388" s="67">
        <f>IF(AND(ISNUMBER(B388),N(B388)&gt;0),INT(B388),0)</f>
        <v>0.0</v>
      </c>
      <c r="T388" s="67">
        <f>IF(AND(ISNUMBER(J388),N(J388)&gt;=0),N(J388),0)</f>
        <v>0.0</v>
      </c>
      <c r="U388" s="67">
        <f>IF(AND(ISNUMBER(K388),N(K388)&gt;0),N(K388),0)</f>
        <v>0.0</v>
      </c>
      <c r="V388" s="67">
        <f>IF(AND(ISNUMBER(L388),N(L388)&gt;0),N(L388),0)</f>
        <v>0.0</v>
      </c>
      <c r="W388" s="67">
        <f>IF(AND(I388="Terminée",S388&gt;0,C388&lt;&gt;"",ISNUMBER(MATCH(C388,eq_code,0))),1,0)</f>
        <v>0.0</v>
      </c>
      <c r="X388" s="67">
        <f>IF(AND(W388=1,E388="Préventif"),1,0)</f>
        <v>0.0</v>
      </c>
      <c r="Y388" s="67">
        <f>IF(AND(ISNUMBER(N388),N(N388)&gt;0),N(N388),0)</f>
        <v>0.0</v>
      </c>
      <c r="Z388" s="67">
        <f>IF(AND(ISNUMBER(P388),N(P388)&gt;0),N(P388),0)</f>
        <v>0.0</v>
      </c>
    </row>
    <row r="389">
      <c r="A389" s="79" t="str">
        <f>IF(COUNTA(B389:C389,E389:G389,I389)=0,"","BI-"&amp;RIGHT("0000"&amp;(ROW()-5),4))</f>
        <v/>
      </c>
      <c r="B389" s="72" t="n"/>
      <c r="C389" s="66" t="n"/>
      <c r="D389" s="67" t="str">
        <f>IF(C389="","",IFERROR(INDEX(eq_des,MATCH(C389,eq_code,0))&amp;"","Équipement inconnu"))</f>
        <v/>
      </c>
      <c r="E389" s="68" t="n"/>
      <c r="F389" s="68" t="n"/>
      <c r="G389" s="66" t="n"/>
      <c r="H389" s="66" t="n"/>
      <c r="I389" s="68" t="n"/>
      <c r="J389" s="73" t="n"/>
      <c r="K389" s="71" t="n"/>
      <c r="L389" s="71" t="n"/>
      <c r="M389" s="66" t="n"/>
      <c r="N389" s="80" t="n"/>
      <c r="O389" s="81" t="str">
        <f>IF(A389="","",ROUND(V389*IFERROR(N(INDEX(tech_rate,MATCH(M389,tech_name,0))),0),2))</f>
        <v/>
      </c>
      <c r="P389" s="80" t="n"/>
      <c r="Q389" s="81" t="str">
        <f>IF(A389="","",ROUND(Y389+O389+Z389,2))</f>
        <v/>
      </c>
      <c r="R389" s="79" t="str">
        <f>IF(A389="","",IF(S389=0,"Date manquante ou invalide",IF(C389="","Équipement manquant",IF(ISNA(MATCH(C389,eq_code,0)),"Équipement inconnu",IF(E389="","Type manquant",IF(AND(E389&lt;&gt;"Préventif",E389&lt;&gt;"Correctif",E389&lt;&gt;"Amélioratif"),"Type inconnu",IF(I389="","Statut manquant",IF(AND(I389&lt;&gt;"Terminée",I389&lt;&gt;"En cours",I389&lt;&gt;"À faire",I389&lt;&gt;"Annulée"),"Statut inconnu",IF(AND(E389="Préventif",F389=""),"Plan manquant (préventif)",IF(AND(F389&lt;&gt;"",ISNA(MATCH(F389,pl_num,0))),"Plan inconnu",IF(AND(F389&lt;&gt;"",IFERROR(INDEX(pl_eq,MATCH(F389,pl_num,0))&amp;"",C389)&lt;&gt;C389),"Plan d'un autre équipement",IF(AND(J389&lt;&gt;"",OR(NOT(ISNUMBER(J389)),N(J389)&lt;0)),"Compteur invalide",IF(OR(AND(K389&lt;&gt;"",OR(NOT(ISNUMBER(K389)),N(K389)&lt;0)),AND(L389&lt;&gt;"",OR(NOT(ISNUMBER(L389)),N(L389)&lt;0))),"Durée invalide",IF(OR(AND(N389&lt;&gt;"",OR(NOT(ISNUMBER(N389)),N(N389)&lt;0)),AND(P389&lt;&gt;"",OR(NOT(ISNUMBER(P389)),N(P389)&lt;0))),"Coût invalide",IF(AND(M389&lt;&gt;"",ISNA(MATCH(M389,tech_name,0))),"Technicien inconnu",IF(AND(I389="Terminée",S389&gt;p_today),"Terminée à une date future",IF(AND(I389="Terminée",V389=0),"Durée d'intervention manquante",IF(AND(I389="Terminée",E389="Préventif",T389=0,OR(IFERROR(INDEX(pl_trig,MATCH(F389,pl_num,0))&amp;"","")="Compteur",IFERROR(INDEX(pl_trig,MATCH(F389,pl_num,0))&amp;"","")="Au premier des deux")),"Compteur manquant (plan au compteur)","OK"))))))))))))))))))</f>
        <v/>
      </c>
      <c r="S389" s="67">
        <f>IF(AND(ISNUMBER(B389),N(B389)&gt;0),INT(B389),0)</f>
        <v>0.0</v>
      </c>
      <c r="T389" s="67">
        <f>IF(AND(ISNUMBER(J389),N(J389)&gt;=0),N(J389),0)</f>
        <v>0.0</v>
      </c>
      <c r="U389" s="67">
        <f>IF(AND(ISNUMBER(K389),N(K389)&gt;0),N(K389),0)</f>
        <v>0.0</v>
      </c>
      <c r="V389" s="67">
        <f>IF(AND(ISNUMBER(L389),N(L389)&gt;0),N(L389),0)</f>
        <v>0.0</v>
      </c>
      <c r="W389" s="67">
        <f>IF(AND(I389="Terminée",S389&gt;0,C389&lt;&gt;"",ISNUMBER(MATCH(C389,eq_code,0))),1,0)</f>
        <v>0.0</v>
      </c>
      <c r="X389" s="67">
        <f>IF(AND(W389=1,E389="Préventif"),1,0)</f>
        <v>0.0</v>
      </c>
      <c r="Y389" s="67">
        <f>IF(AND(ISNUMBER(N389),N(N389)&gt;0),N(N389),0)</f>
        <v>0.0</v>
      </c>
      <c r="Z389" s="67">
        <f>IF(AND(ISNUMBER(P389),N(P389)&gt;0),N(P389),0)</f>
        <v>0.0</v>
      </c>
    </row>
    <row r="390">
      <c r="A390" s="79" t="str">
        <f>IF(COUNTA(B390:C390,E390:G390,I390)=0,"","BI-"&amp;RIGHT("0000"&amp;(ROW()-5),4))</f>
        <v/>
      </c>
      <c r="B390" s="72" t="n"/>
      <c r="C390" s="66" t="n"/>
      <c r="D390" s="67" t="str">
        <f>IF(C390="","",IFERROR(INDEX(eq_des,MATCH(C390,eq_code,0))&amp;"","Équipement inconnu"))</f>
        <v/>
      </c>
      <c r="E390" s="68" t="n"/>
      <c r="F390" s="68" t="n"/>
      <c r="G390" s="66" t="n"/>
      <c r="H390" s="66" t="n"/>
      <c r="I390" s="68" t="n"/>
      <c r="J390" s="73" t="n"/>
      <c r="K390" s="71" t="n"/>
      <c r="L390" s="71" t="n"/>
      <c r="M390" s="66" t="n"/>
      <c r="N390" s="80" t="n"/>
      <c r="O390" s="81" t="str">
        <f>IF(A390="","",ROUND(V390*IFERROR(N(INDEX(tech_rate,MATCH(M390,tech_name,0))),0),2))</f>
        <v/>
      </c>
      <c r="P390" s="80" t="n"/>
      <c r="Q390" s="81" t="str">
        <f>IF(A390="","",ROUND(Y390+O390+Z390,2))</f>
        <v/>
      </c>
      <c r="R390" s="79" t="str">
        <f>IF(A390="","",IF(S390=0,"Date manquante ou invalide",IF(C390="","Équipement manquant",IF(ISNA(MATCH(C390,eq_code,0)),"Équipement inconnu",IF(E390="","Type manquant",IF(AND(E390&lt;&gt;"Préventif",E390&lt;&gt;"Correctif",E390&lt;&gt;"Amélioratif"),"Type inconnu",IF(I390="","Statut manquant",IF(AND(I390&lt;&gt;"Terminée",I390&lt;&gt;"En cours",I390&lt;&gt;"À faire",I390&lt;&gt;"Annulée"),"Statut inconnu",IF(AND(E390="Préventif",F390=""),"Plan manquant (préventif)",IF(AND(F390&lt;&gt;"",ISNA(MATCH(F390,pl_num,0))),"Plan inconnu",IF(AND(F390&lt;&gt;"",IFERROR(INDEX(pl_eq,MATCH(F390,pl_num,0))&amp;"",C390)&lt;&gt;C390),"Plan d'un autre équipement",IF(AND(J390&lt;&gt;"",OR(NOT(ISNUMBER(J390)),N(J390)&lt;0)),"Compteur invalide",IF(OR(AND(K390&lt;&gt;"",OR(NOT(ISNUMBER(K390)),N(K390)&lt;0)),AND(L390&lt;&gt;"",OR(NOT(ISNUMBER(L390)),N(L390)&lt;0))),"Durée invalide",IF(OR(AND(N390&lt;&gt;"",OR(NOT(ISNUMBER(N390)),N(N390)&lt;0)),AND(P390&lt;&gt;"",OR(NOT(ISNUMBER(P390)),N(P390)&lt;0))),"Coût invalide",IF(AND(M390&lt;&gt;"",ISNA(MATCH(M390,tech_name,0))),"Technicien inconnu",IF(AND(I390="Terminée",S390&gt;p_today),"Terminée à une date future",IF(AND(I390="Terminée",V390=0),"Durée d'intervention manquante",IF(AND(I390="Terminée",E390="Préventif",T390=0,OR(IFERROR(INDEX(pl_trig,MATCH(F390,pl_num,0))&amp;"","")="Compteur",IFERROR(INDEX(pl_trig,MATCH(F390,pl_num,0))&amp;"","")="Au premier des deux")),"Compteur manquant (plan au compteur)","OK"))))))))))))))))))</f>
        <v/>
      </c>
      <c r="S390" s="67">
        <f>IF(AND(ISNUMBER(B390),N(B390)&gt;0),INT(B390),0)</f>
        <v>0.0</v>
      </c>
      <c r="T390" s="67">
        <f>IF(AND(ISNUMBER(J390),N(J390)&gt;=0),N(J390),0)</f>
        <v>0.0</v>
      </c>
      <c r="U390" s="67">
        <f>IF(AND(ISNUMBER(K390),N(K390)&gt;0),N(K390),0)</f>
        <v>0.0</v>
      </c>
      <c r="V390" s="67">
        <f>IF(AND(ISNUMBER(L390),N(L390)&gt;0),N(L390),0)</f>
        <v>0.0</v>
      </c>
      <c r="W390" s="67">
        <f>IF(AND(I390="Terminée",S390&gt;0,C390&lt;&gt;"",ISNUMBER(MATCH(C390,eq_code,0))),1,0)</f>
        <v>0.0</v>
      </c>
      <c r="X390" s="67">
        <f>IF(AND(W390=1,E390="Préventif"),1,0)</f>
        <v>0.0</v>
      </c>
      <c r="Y390" s="67">
        <f>IF(AND(ISNUMBER(N390),N(N390)&gt;0),N(N390),0)</f>
        <v>0.0</v>
      </c>
      <c r="Z390" s="67">
        <f>IF(AND(ISNUMBER(P390),N(P390)&gt;0),N(P390),0)</f>
        <v>0.0</v>
      </c>
    </row>
    <row r="391">
      <c r="A391" s="79" t="str">
        <f>IF(COUNTA(B391:C391,E391:G391,I391)=0,"","BI-"&amp;RIGHT("0000"&amp;(ROW()-5),4))</f>
        <v/>
      </c>
      <c r="B391" s="72" t="n"/>
      <c r="C391" s="66" t="n"/>
      <c r="D391" s="67" t="str">
        <f>IF(C391="","",IFERROR(INDEX(eq_des,MATCH(C391,eq_code,0))&amp;"","Équipement inconnu"))</f>
        <v/>
      </c>
      <c r="E391" s="68" t="n"/>
      <c r="F391" s="68" t="n"/>
      <c r="G391" s="66" t="n"/>
      <c r="H391" s="66" t="n"/>
      <c r="I391" s="68" t="n"/>
      <c r="J391" s="73" t="n"/>
      <c r="K391" s="71" t="n"/>
      <c r="L391" s="71" t="n"/>
      <c r="M391" s="66" t="n"/>
      <c r="N391" s="80" t="n"/>
      <c r="O391" s="81" t="str">
        <f>IF(A391="","",ROUND(V391*IFERROR(N(INDEX(tech_rate,MATCH(M391,tech_name,0))),0),2))</f>
        <v/>
      </c>
      <c r="P391" s="80" t="n"/>
      <c r="Q391" s="81" t="str">
        <f>IF(A391="","",ROUND(Y391+O391+Z391,2))</f>
        <v/>
      </c>
      <c r="R391" s="79" t="str">
        <f>IF(A391="","",IF(S391=0,"Date manquante ou invalide",IF(C391="","Équipement manquant",IF(ISNA(MATCH(C391,eq_code,0)),"Équipement inconnu",IF(E391="","Type manquant",IF(AND(E391&lt;&gt;"Préventif",E391&lt;&gt;"Correctif",E391&lt;&gt;"Amélioratif"),"Type inconnu",IF(I391="","Statut manquant",IF(AND(I391&lt;&gt;"Terminée",I391&lt;&gt;"En cours",I391&lt;&gt;"À faire",I391&lt;&gt;"Annulée"),"Statut inconnu",IF(AND(E391="Préventif",F391=""),"Plan manquant (préventif)",IF(AND(F391&lt;&gt;"",ISNA(MATCH(F391,pl_num,0))),"Plan inconnu",IF(AND(F391&lt;&gt;"",IFERROR(INDEX(pl_eq,MATCH(F391,pl_num,0))&amp;"",C391)&lt;&gt;C391),"Plan d'un autre équipement",IF(AND(J391&lt;&gt;"",OR(NOT(ISNUMBER(J391)),N(J391)&lt;0)),"Compteur invalide",IF(OR(AND(K391&lt;&gt;"",OR(NOT(ISNUMBER(K391)),N(K391)&lt;0)),AND(L391&lt;&gt;"",OR(NOT(ISNUMBER(L391)),N(L391)&lt;0))),"Durée invalide",IF(OR(AND(N391&lt;&gt;"",OR(NOT(ISNUMBER(N391)),N(N391)&lt;0)),AND(P391&lt;&gt;"",OR(NOT(ISNUMBER(P391)),N(P391)&lt;0))),"Coût invalide",IF(AND(M391&lt;&gt;"",ISNA(MATCH(M391,tech_name,0))),"Technicien inconnu",IF(AND(I391="Terminée",S391&gt;p_today),"Terminée à une date future",IF(AND(I391="Terminée",V391=0),"Durée d'intervention manquante",IF(AND(I391="Terminée",E391="Préventif",T391=0,OR(IFERROR(INDEX(pl_trig,MATCH(F391,pl_num,0))&amp;"","")="Compteur",IFERROR(INDEX(pl_trig,MATCH(F391,pl_num,0))&amp;"","")="Au premier des deux")),"Compteur manquant (plan au compteur)","OK"))))))))))))))))))</f>
        <v/>
      </c>
      <c r="S391" s="67">
        <f>IF(AND(ISNUMBER(B391),N(B391)&gt;0),INT(B391),0)</f>
        <v>0.0</v>
      </c>
      <c r="T391" s="67">
        <f>IF(AND(ISNUMBER(J391),N(J391)&gt;=0),N(J391),0)</f>
        <v>0.0</v>
      </c>
      <c r="U391" s="67">
        <f>IF(AND(ISNUMBER(K391),N(K391)&gt;0),N(K391),0)</f>
        <v>0.0</v>
      </c>
      <c r="V391" s="67">
        <f>IF(AND(ISNUMBER(L391),N(L391)&gt;0),N(L391),0)</f>
        <v>0.0</v>
      </c>
      <c r="W391" s="67">
        <f>IF(AND(I391="Terminée",S391&gt;0,C391&lt;&gt;"",ISNUMBER(MATCH(C391,eq_code,0))),1,0)</f>
        <v>0.0</v>
      </c>
      <c r="X391" s="67">
        <f>IF(AND(W391=1,E391="Préventif"),1,0)</f>
        <v>0.0</v>
      </c>
      <c r="Y391" s="67">
        <f>IF(AND(ISNUMBER(N391),N(N391)&gt;0),N(N391),0)</f>
        <v>0.0</v>
      </c>
      <c r="Z391" s="67">
        <f>IF(AND(ISNUMBER(P391),N(P391)&gt;0),N(P391),0)</f>
        <v>0.0</v>
      </c>
    </row>
    <row r="392">
      <c r="A392" s="79" t="str">
        <f>IF(COUNTA(B392:C392,E392:G392,I392)=0,"","BI-"&amp;RIGHT("0000"&amp;(ROW()-5),4))</f>
        <v/>
      </c>
      <c r="B392" s="72" t="n"/>
      <c r="C392" s="66" t="n"/>
      <c r="D392" s="67" t="str">
        <f>IF(C392="","",IFERROR(INDEX(eq_des,MATCH(C392,eq_code,0))&amp;"","Équipement inconnu"))</f>
        <v/>
      </c>
      <c r="E392" s="68" t="n"/>
      <c r="F392" s="68" t="n"/>
      <c r="G392" s="66" t="n"/>
      <c r="H392" s="66" t="n"/>
      <c r="I392" s="68" t="n"/>
      <c r="J392" s="73" t="n"/>
      <c r="K392" s="71" t="n"/>
      <c r="L392" s="71" t="n"/>
      <c r="M392" s="66" t="n"/>
      <c r="N392" s="80" t="n"/>
      <c r="O392" s="81" t="str">
        <f>IF(A392="","",ROUND(V392*IFERROR(N(INDEX(tech_rate,MATCH(M392,tech_name,0))),0),2))</f>
        <v/>
      </c>
      <c r="P392" s="80" t="n"/>
      <c r="Q392" s="81" t="str">
        <f>IF(A392="","",ROUND(Y392+O392+Z392,2))</f>
        <v/>
      </c>
      <c r="R392" s="79" t="str">
        <f>IF(A392="","",IF(S392=0,"Date manquante ou invalide",IF(C392="","Équipement manquant",IF(ISNA(MATCH(C392,eq_code,0)),"Équipement inconnu",IF(E392="","Type manquant",IF(AND(E392&lt;&gt;"Préventif",E392&lt;&gt;"Correctif",E392&lt;&gt;"Amélioratif"),"Type inconnu",IF(I392="","Statut manquant",IF(AND(I392&lt;&gt;"Terminée",I392&lt;&gt;"En cours",I392&lt;&gt;"À faire",I392&lt;&gt;"Annulée"),"Statut inconnu",IF(AND(E392="Préventif",F392=""),"Plan manquant (préventif)",IF(AND(F392&lt;&gt;"",ISNA(MATCH(F392,pl_num,0))),"Plan inconnu",IF(AND(F392&lt;&gt;"",IFERROR(INDEX(pl_eq,MATCH(F392,pl_num,0))&amp;"",C392)&lt;&gt;C392),"Plan d'un autre équipement",IF(AND(J392&lt;&gt;"",OR(NOT(ISNUMBER(J392)),N(J392)&lt;0)),"Compteur invalide",IF(OR(AND(K392&lt;&gt;"",OR(NOT(ISNUMBER(K392)),N(K392)&lt;0)),AND(L392&lt;&gt;"",OR(NOT(ISNUMBER(L392)),N(L392)&lt;0))),"Durée invalide",IF(OR(AND(N392&lt;&gt;"",OR(NOT(ISNUMBER(N392)),N(N392)&lt;0)),AND(P392&lt;&gt;"",OR(NOT(ISNUMBER(P392)),N(P392)&lt;0))),"Coût invalide",IF(AND(M392&lt;&gt;"",ISNA(MATCH(M392,tech_name,0))),"Technicien inconnu",IF(AND(I392="Terminée",S392&gt;p_today),"Terminée à une date future",IF(AND(I392="Terminée",V392=0),"Durée d'intervention manquante",IF(AND(I392="Terminée",E392="Préventif",T392=0,OR(IFERROR(INDEX(pl_trig,MATCH(F392,pl_num,0))&amp;"","")="Compteur",IFERROR(INDEX(pl_trig,MATCH(F392,pl_num,0))&amp;"","")="Au premier des deux")),"Compteur manquant (plan au compteur)","OK"))))))))))))))))))</f>
        <v/>
      </c>
      <c r="S392" s="67">
        <f>IF(AND(ISNUMBER(B392),N(B392)&gt;0),INT(B392),0)</f>
        <v>0.0</v>
      </c>
      <c r="T392" s="67">
        <f>IF(AND(ISNUMBER(J392),N(J392)&gt;=0),N(J392),0)</f>
        <v>0.0</v>
      </c>
      <c r="U392" s="67">
        <f>IF(AND(ISNUMBER(K392),N(K392)&gt;0),N(K392),0)</f>
        <v>0.0</v>
      </c>
      <c r="V392" s="67">
        <f>IF(AND(ISNUMBER(L392),N(L392)&gt;0),N(L392),0)</f>
        <v>0.0</v>
      </c>
      <c r="W392" s="67">
        <f>IF(AND(I392="Terminée",S392&gt;0,C392&lt;&gt;"",ISNUMBER(MATCH(C392,eq_code,0))),1,0)</f>
        <v>0.0</v>
      </c>
      <c r="X392" s="67">
        <f>IF(AND(W392=1,E392="Préventif"),1,0)</f>
        <v>0.0</v>
      </c>
      <c r="Y392" s="67">
        <f>IF(AND(ISNUMBER(N392),N(N392)&gt;0),N(N392),0)</f>
        <v>0.0</v>
      </c>
      <c r="Z392" s="67">
        <f>IF(AND(ISNUMBER(P392),N(P392)&gt;0),N(P392),0)</f>
        <v>0.0</v>
      </c>
    </row>
    <row r="393">
      <c r="A393" s="79" t="str">
        <f>IF(COUNTA(B393:C393,E393:G393,I393)=0,"","BI-"&amp;RIGHT("0000"&amp;(ROW()-5),4))</f>
        <v/>
      </c>
      <c r="B393" s="72" t="n"/>
      <c r="C393" s="66" t="n"/>
      <c r="D393" s="67" t="str">
        <f>IF(C393="","",IFERROR(INDEX(eq_des,MATCH(C393,eq_code,0))&amp;"","Équipement inconnu"))</f>
        <v/>
      </c>
      <c r="E393" s="68" t="n"/>
      <c r="F393" s="68" t="n"/>
      <c r="G393" s="66" t="n"/>
      <c r="H393" s="66" t="n"/>
      <c r="I393" s="68" t="n"/>
      <c r="J393" s="73" t="n"/>
      <c r="K393" s="71" t="n"/>
      <c r="L393" s="71" t="n"/>
      <c r="M393" s="66" t="n"/>
      <c r="N393" s="80" t="n"/>
      <c r="O393" s="81" t="str">
        <f>IF(A393="","",ROUND(V393*IFERROR(N(INDEX(tech_rate,MATCH(M393,tech_name,0))),0),2))</f>
        <v/>
      </c>
      <c r="P393" s="80" t="n"/>
      <c r="Q393" s="81" t="str">
        <f>IF(A393="","",ROUND(Y393+O393+Z393,2))</f>
        <v/>
      </c>
      <c r="R393" s="79" t="str">
        <f>IF(A393="","",IF(S393=0,"Date manquante ou invalide",IF(C393="","Équipement manquant",IF(ISNA(MATCH(C393,eq_code,0)),"Équipement inconnu",IF(E393="","Type manquant",IF(AND(E393&lt;&gt;"Préventif",E393&lt;&gt;"Correctif",E393&lt;&gt;"Amélioratif"),"Type inconnu",IF(I393="","Statut manquant",IF(AND(I393&lt;&gt;"Terminée",I393&lt;&gt;"En cours",I393&lt;&gt;"À faire",I393&lt;&gt;"Annulée"),"Statut inconnu",IF(AND(E393="Préventif",F393=""),"Plan manquant (préventif)",IF(AND(F393&lt;&gt;"",ISNA(MATCH(F393,pl_num,0))),"Plan inconnu",IF(AND(F393&lt;&gt;"",IFERROR(INDEX(pl_eq,MATCH(F393,pl_num,0))&amp;"",C393)&lt;&gt;C393),"Plan d'un autre équipement",IF(AND(J393&lt;&gt;"",OR(NOT(ISNUMBER(J393)),N(J393)&lt;0)),"Compteur invalide",IF(OR(AND(K393&lt;&gt;"",OR(NOT(ISNUMBER(K393)),N(K393)&lt;0)),AND(L393&lt;&gt;"",OR(NOT(ISNUMBER(L393)),N(L393)&lt;0))),"Durée invalide",IF(OR(AND(N393&lt;&gt;"",OR(NOT(ISNUMBER(N393)),N(N393)&lt;0)),AND(P393&lt;&gt;"",OR(NOT(ISNUMBER(P393)),N(P393)&lt;0))),"Coût invalide",IF(AND(M393&lt;&gt;"",ISNA(MATCH(M393,tech_name,0))),"Technicien inconnu",IF(AND(I393="Terminée",S393&gt;p_today),"Terminée à une date future",IF(AND(I393="Terminée",V393=0),"Durée d'intervention manquante",IF(AND(I393="Terminée",E393="Préventif",T393=0,OR(IFERROR(INDEX(pl_trig,MATCH(F393,pl_num,0))&amp;"","")="Compteur",IFERROR(INDEX(pl_trig,MATCH(F393,pl_num,0))&amp;"","")="Au premier des deux")),"Compteur manquant (plan au compteur)","OK"))))))))))))))))))</f>
        <v/>
      </c>
      <c r="S393" s="67">
        <f>IF(AND(ISNUMBER(B393),N(B393)&gt;0),INT(B393),0)</f>
        <v>0.0</v>
      </c>
      <c r="T393" s="67">
        <f>IF(AND(ISNUMBER(J393),N(J393)&gt;=0),N(J393),0)</f>
        <v>0.0</v>
      </c>
      <c r="U393" s="67">
        <f>IF(AND(ISNUMBER(K393),N(K393)&gt;0),N(K393),0)</f>
        <v>0.0</v>
      </c>
      <c r="V393" s="67">
        <f>IF(AND(ISNUMBER(L393),N(L393)&gt;0),N(L393),0)</f>
        <v>0.0</v>
      </c>
      <c r="W393" s="67">
        <f>IF(AND(I393="Terminée",S393&gt;0,C393&lt;&gt;"",ISNUMBER(MATCH(C393,eq_code,0))),1,0)</f>
        <v>0.0</v>
      </c>
      <c r="X393" s="67">
        <f>IF(AND(W393=1,E393="Préventif"),1,0)</f>
        <v>0.0</v>
      </c>
      <c r="Y393" s="67">
        <f>IF(AND(ISNUMBER(N393),N(N393)&gt;0),N(N393),0)</f>
        <v>0.0</v>
      </c>
      <c r="Z393" s="67">
        <f>IF(AND(ISNUMBER(P393),N(P393)&gt;0),N(P393),0)</f>
        <v>0.0</v>
      </c>
    </row>
    <row r="394">
      <c r="A394" s="79" t="str">
        <f>IF(COUNTA(B394:C394,E394:G394,I394)=0,"","BI-"&amp;RIGHT("0000"&amp;(ROW()-5),4))</f>
        <v/>
      </c>
      <c r="B394" s="72" t="n"/>
      <c r="C394" s="66" t="n"/>
      <c r="D394" s="67" t="str">
        <f>IF(C394="","",IFERROR(INDEX(eq_des,MATCH(C394,eq_code,0))&amp;"","Équipement inconnu"))</f>
        <v/>
      </c>
      <c r="E394" s="68" t="n"/>
      <c r="F394" s="68" t="n"/>
      <c r="G394" s="66" t="n"/>
      <c r="H394" s="66" t="n"/>
      <c r="I394" s="68" t="n"/>
      <c r="J394" s="73" t="n"/>
      <c r="K394" s="71" t="n"/>
      <c r="L394" s="71" t="n"/>
      <c r="M394" s="66" t="n"/>
      <c r="N394" s="80" t="n"/>
      <c r="O394" s="81" t="str">
        <f>IF(A394="","",ROUND(V394*IFERROR(N(INDEX(tech_rate,MATCH(M394,tech_name,0))),0),2))</f>
        <v/>
      </c>
      <c r="P394" s="80" t="n"/>
      <c r="Q394" s="81" t="str">
        <f>IF(A394="","",ROUND(Y394+O394+Z394,2))</f>
        <v/>
      </c>
      <c r="R394" s="79" t="str">
        <f>IF(A394="","",IF(S394=0,"Date manquante ou invalide",IF(C394="","Équipement manquant",IF(ISNA(MATCH(C394,eq_code,0)),"Équipement inconnu",IF(E394="","Type manquant",IF(AND(E394&lt;&gt;"Préventif",E394&lt;&gt;"Correctif",E394&lt;&gt;"Amélioratif"),"Type inconnu",IF(I394="","Statut manquant",IF(AND(I394&lt;&gt;"Terminée",I394&lt;&gt;"En cours",I394&lt;&gt;"À faire",I394&lt;&gt;"Annulée"),"Statut inconnu",IF(AND(E394="Préventif",F394=""),"Plan manquant (préventif)",IF(AND(F394&lt;&gt;"",ISNA(MATCH(F394,pl_num,0))),"Plan inconnu",IF(AND(F394&lt;&gt;"",IFERROR(INDEX(pl_eq,MATCH(F394,pl_num,0))&amp;"",C394)&lt;&gt;C394),"Plan d'un autre équipement",IF(AND(J394&lt;&gt;"",OR(NOT(ISNUMBER(J394)),N(J394)&lt;0)),"Compteur invalide",IF(OR(AND(K394&lt;&gt;"",OR(NOT(ISNUMBER(K394)),N(K394)&lt;0)),AND(L394&lt;&gt;"",OR(NOT(ISNUMBER(L394)),N(L394)&lt;0))),"Durée invalide",IF(OR(AND(N394&lt;&gt;"",OR(NOT(ISNUMBER(N394)),N(N394)&lt;0)),AND(P394&lt;&gt;"",OR(NOT(ISNUMBER(P394)),N(P394)&lt;0))),"Coût invalide",IF(AND(M394&lt;&gt;"",ISNA(MATCH(M394,tech_name,0))),"Technicien inconnu",IF(AND(I394="Terminée",S394&gt;p_today),"Terminée à une date future",IF(AND(I394="Terminée",V394=0),"Durée d'intervention manquante",IF(AND(I394="Terminée",E394="Préventif",T394=0,OR(IFERROR(INDEX(pl_trig,MATCH(F394,pl_num,0))&amp;"","")="Compteur",IFERROR(INDEX(pl_trig,MATCH(F394,pl_num,0))&amp;"","")="Au premier des deux")),"Compteur manquant (plan au compteur)","OK"))))))))))))))))))</f>
        <v/>
      </c>
      <c r="S394" s="67">
        <f>IF(AND(ISNUMBER(B394),N(B394)&gt;0),INT(B394),0)</f>
        <v>0.0</v>
      </c>
      <c r="T394" s="67">
        <f>IF(AND(ISNUMBER(J394),N(J394)&gt;=0),N(J394),0)</f>
        <v>0.0</v>
      </c>
      <c r="U394" s="67">
        <f>IF(AND(ISNUMBER(K394),N(K394)&gt;0),N(K394),0)</f>
        <v>0.0</v>
      </c>
      <c r="V394" s="67">
        <f>IF(AND(ISNUMBER(L394),N(L394)&gt;0),N(L394),0)</f>
        <v>0.0</v>
      </c>
      <c r="W394" s="67">
        <f>IF(AND(I394="Terminée",S394&gt;0,C394&lt;&gt;"",ISNUMBER(MATCH(C394,eq_code,0))),1,0)</f>
        <v>0.0</v>
      </c>
      <c r="X394" s="67">
        <f>IF(AND(W394=1,E394="Préventif"),1,0)</f>
        <v>0.0</v>
      </c>
      <c r="Y394" s="67">
        <f>IF(AND(ISNUMBER(N394),N(N394)&gt;0),N(N394),0)</f>
        <v>0.0</v>
      </c>
      <c r="Z394" s="67">
        <f>IF(AND(ISNUMBER(P394),N(P394)&gt;0),N(P394),0)</f>
        <v>0.0</v>
      </c>
    </row>
    <row r="395">
      <c r="A395" s="79" t="str">
        <f>IF(COUNTA(B395:C395,E395:G395,I395)=0,"","BI-"&amp;RIGHT("0000"&amp;(ROW()-5),4))</f>
        <v/>
      </c>
      <c r="B395" s="72" t="n"/>
      <c r="C395" s="66" t="n"/>
      <c r="D395" s="67" t="str">
        <f>IF(C395="","",IFERROR(INDEX(eq_des,MATCH(C395,eq_code,0))&amp;"","Équipement inconnu"))</f>
        <v/>
      </c>
      <c r="E395" s="68" t="n"/>
      <c r="F395" s="68" t="n"/>
      <c r="G395" s="66" t="n"/>
      <c r="H395" s="66" t="n"/>
      <c r="I395" s="68" t="n"/>
      <c r="J395" s="73" t="n"/>
      <c r="K395" s="71" t="n"/>
      <c r="L395" s="71" t="n"/>
      <c r="M395" s="66" t="n"/>
      <c r="N395" s="80" t="n"/>
      <c r="O395" s="81" t="str">
        <f>IF(A395="","",ROUND(V395*IFERROR(N(INDEX(tech_rate,MATCH(M395,tech_name,0))),0),2))</f>
        <v/>
      </c>
      <c r="P395" s="80" t="n"/>
      <c r="Q395" s="81" t="str">
        <f>IF(A395="","",ROUND(Y395+O395+Z395,2))</f>
        <v/>
      </c>
      <c r="R395" s="79" t="str">
        <f>IF(A395="","",IF(S395=0,"Date manquante ou invalide",IF(C395="","Équipement manquant",IF(ISNA(MATCH(C395,eq_code,0)),"Équipement inconnu",IF(E395="","Type manquant",IF(AND(E395&lt;&gt;"Préventif",E395&lt;&gt;"Correctif",E395&lt;&gt;"Amélioratif"),"Type inconnu",IF(I395="","Statut manquant",IF(AND(I395&lt;&gt;"Terminée",I395&lt;&gt;"En cours",I395&lt;&gt;"À faire",I395&lt;&gt;"Annulée"),"Statut inconnu",IF(AND(E395="Préventif",F395=""),"Plan manquant (préventif)",IF(AND(F395&lt;&gt;"",ISNA(MATCH(F395,pl_num,0))),"Plan inconnu",IF(AND(F395&lt;&gt;"",IFERROR(INDEX(pl_eq,MATCH(F395,pl_num,0))&amp;"",C395)&lt;&gt;C395),"Plan d'un autre équipement",IF(AND(J395&lt;&gt;"",OR(NOT(ISNUMBER(J395)),N(J395)&lt;0)),"Compteur invalide",IF(OR(AND(K395&lt;&gt;"",OR(NOT(ISNUMBER(K395)),N(K395)&lt;0)),AND(L395&lt;&gt;"",OR(NOT(ISNUMBER(L395)),N(L395)&lt;0))),"Durée invalide",IF(OR(AND(N395&lt;&gt;"",OR(NOT(ISNUMBER(N395)),N(N395)&lt;0)),AND(P395&lt;&gt;"",OR(NOT(ISNUMBER(P395)),N(P395)&lt;0))),"Coût invalide",IF(AND(M395&lt;&gt;"",ISNA(MATCH(M395,tech_name,0))),"Technicien inconnu",IF(AND(I395="Terminée",S395&gt;p_today),"Terminée à une date future",IF(AND(I395="Terminée",V395=0),"Durée d'intervention manquante",IF(AND(I395="Terminée",E395="Préventif",T395=0,OR(IFERROR(INDEX(pl_trig,MATCH(F395,pl_num,0))&amp;"","")="Compteur",IFERROR(INDEX(pl_trig,MATCH(F395,pl_num,0))&amp;"","")="Au premier des deux")),"Compteur manquant (plan au compteur)","OK"))))))))))))))))))</f>
        <v/>
      </c>
      <c r="S395" s="67">
        <f>IF(AND(ISNUMBER(B395),N(B395)&gt;0),INT(B395),0)</f>
        <v>0.0</v>
      </c>
      <c r="T395" s="67">
        <f>IF(AND(ISNUMBER(J395),N(J395)&gt;=0),N(J395),0)</f>
        <v>0.0</v>
      </c>
      <c r="U395" s="67">
        <f>IF(AND(ISNUMBER(K395),N(K395)&gt;0),N(K395),0)</f>
        <v>0.0</v>
      </c>
      <c r="V395" s="67">
        <f>IF(AND(ISNUMBER(L395),N(L395)&gt;0),N(L395),0)</f>
        <v>0.0</v>
      </c>
      <c r="W395" s="67">
        <f>IF(AND(I395="Terminée",S395&gt;0,C395&lt;&gt;"",ISNUMBER(MATCH(C395,eq_code,0))),1,0)</f>
        <v>0.0</v>
      </c>
      <c r="X395" s="67">
        <f>IF(AND(W395=1,E395="Préventif"),1,0)</f>
        <v>0.0</v>
      </c>
      <c r="Y395" s="67">
        <f>IF(AND(ISNUMBER(N395),N(N395)&gt;0),N(N395),0)</f>
        <v>0.0</v>
      </c>
      <c r="Z395" s="67">
        <f>IF(AND(ISNUMBER(P395),N(P395)&gt;0),N(P395),0)</f>
        <v>0.0</v>
      </c>
    </row>
    <row r="396">
      <c r="A396" s="79" t="str">
        <f>IF(COUNTA(B396:C396,E396:G396,I396)=0,"","BI-"&amp;RIGHT("0000"&amp;(ROW()-5),4))</f>
        <v/>
      </c>
      <c r="B396" s="72" t="n"/>
      <c r="C396" s="66" t="n"/>
      <c r="D396" s="67" t="str">
        <f>IF(C396="","",IFERROR(INDEX(eq_des,MATCH(C396,eq_code,0))&amp;"","Équipement inconnu"))</f>
        <v/>
      </c>
      <c r="E396" s="68" t="n"/>
      <c r="F396" s="68" t="n"/>
      <c r="G396" s="66" t="n"/>
      <c r="H396" s="66" t="n"/>
      <c r="I396" s="68" t="n"/>
      <c r="J396" s="73" t="n"/>
      <c r="K396" s="71" t="n"/>
      <c r="L396" s="71" t="n"/>
      <c r="M396" s="66" t="n"/>
      <c r="N396" s="80" t="n"/>
      <c r="O396" s="81" t="str">
        <f>IF(A396="","",ROUND(V396*IFERROR(N(INDEX(tech_rate,MATCH(M396,tech_name,0))),0),2))</f>
        <v/>
      </c>
      <c r="P396" s="80" t="n"/>
      <c r="Q396" s="81" t="str">
        <f>IF(A396="","",ROUND(Y396+O396+Z396,2))</f>
        <v/>
      </c>
      <c r="R396" s="79" t="str">
        <f>IF(A396="","",IF(S396=0,"Date manquante ou invalide",IF(C396="","Équipement manquant",IF(ISNA(MATCH(C396,eq_code,0)),"Équipement inconnu",IF(E396="","Type manquant",IF(AND(E396&lt;&gt;"Préventif",E396&lt;&gt;"Correctif",E396&lt;&gt;"Amélioratif"),"Type inconnu",IF(I396="","Statut manquant",IF(AND(I396&lt;&gt;"Terminée",I396&lt;&gt;"En cours",I396&lt;&gt;"À faire",I396&lt;&gt;"Annulée"),"Statut inconnu",IF(AND(E396="Préventif",F396=""),"Plan manquant (préventif)",IF(AND(F396&lt;&gt;"",ISNA(MATCH(F396,pl_num,0))),"Plan inconnu",IF(AND(F396&lt;&gt;"",IFERROR(INDEX(pl_eq,MATCH(F396,pl_num,0))&amp;"",C396)&lt;&gt;C396),"Plan d'un autre équipement",IF(AND(J396&lt;&gt;"",OR(NOT(ISNUMBER(J396)),N(J396)&lt;0)),"Compteur invalide",IF(OR(AND(K396&lt;&gt;"",OR(NOT(ISNUMBER(K396)),N(K396)&lt;0)),AND(L396&lt;&gt;"",OR(NOT(ISNUMBER(L396)),N(L396)&lt;0))),"Durée invalide",IF(OR(AND(N396&lt;&gt;"",OR(NOT(ISNUMBER(N396)),N(N396)&lt;0)),AND(P396&lt;&gt;"",OR(NOT(ISNUMBER(P396)),N(P396)&lt;0))),"Coût invalide",IF(AND(M396&lt;&gt;"",ISNA(MATCH(M396,tech_name,0))),"Technicien inconnu",IF(AND(I396="Terminée",S396&gt;p_today),"Terminée à une date future",IF(AND(I396="Terminée",V396=0),"Durée d'intervention manquante",IF(AND(I396="Terminée",E396="Préventif",T396=0,OR(IFERROR(INDEX(pl_trig,MATCH(F396,pl_num,0))&amp;"","")="Compteur",IFERROR(INDEX(pl_trig,MATCH(F396,pl_num,0))&amp;"","")="Au premier des deux")),"Compteur manquant (plan au compteur)","OK"))))))))))))))))))</f>
        <v/>
      </c>
      <c r="S396" s="67">
        <f>IF(AND(ISNUMBER(B396),N(B396)&gt;0),INT(B396),0)</f>
        <v>0.0</v>
      </c>
      <c r="T396" s="67">
        <f>IF(AND(ISNUMBER(J396),N(J396)&gt;=0),N(J396),0)</f>
        <v>0.0</v>
      </c>
      <c r="U396" s="67">
        <f>IF(AND(ISNUMBER(K396),N(K396)&gt;0),N(K396),0)</f>
        <v>0.0</v>
      </c>
      <c r="V396" s="67">
        <f>IF(AND(ISNUMBER(L396),N(L396)&gt;0),N(L396),0)</f>
        <v>0.0</v>
      </c>
      <c r="W396" s="67">
        <f>IF(AND(I396="Terminée",S396&gt;0,C396&lt;&gt;"",ISNUMBER(MATCH(C396,eq_code,0))),1,0)</f>
        <v>0.0</v>
      </c>
      <c r="X396" s="67">
        <f>IF(AND(W396=1,E396="Préventif"),1,0)</f>
        <v>0.0</v>
      </c>
      <c r="Y396" s="67">
        <f>IF(AND(ISNUMBER(N396),N(N396)&gt;0),N(N396),0)</f>
        <v>0.0</v>
      </c>
      <c r="Z396" s="67">
        <f>IF(AND(ISNUMBER(P396),N(P396)&gt;0),N(P396),0)</f>
        <v>0.0</v>
      </c>
    </row>
    <row r="397">
      <c r="A397" s="79" t="str">
        <f>IF(COUNTA(B397:C397,E397:G397,I397)=0,"","BI-"&amp;RIGHT("0000"&amp;(ROW()-5),4))</f>
        <v/>
      </c>
      <c r="B397" s="72" t="n"/>
      <c r="C397" s="66" t="n"/>
      <c r="D397" s="67" t="str">
        <f>IF(C397="","",IFERROR(INDEX(eq_des,MATCH(C397,eq_code,0))&amp;"","Équipement inconnu"))</f>
        <v/>
      </c>
      <c r="E397" s="68" t="n"/>
      <c r="F397" s="68" t="n"/>
      <c r="G397" s="66" t="n"/>
      <c r="H397" s="66" t="n"/>
      <c r="I397" s="68" t="n"/>
      <c r="J397" s="73" t="n"/>
      <c r="K397" s="71" t="n"/>
      <c r="L397" s="71" t="n"/>
      <c r="M397" s="66" t="n"/>
      <c r="N397" s="80" t="n"/>
      <c r="O397" s="81" t="str">
        <f>IF(A397="","",ROUND(V397*IFERROR(N(INDEX(tech_rate,MATCH(M397,tech_name,0))),0),2))</f>
        <v/>
      </c>
      <c r="P397" s="80" t="n"/>
      <c r="Q397" s="81" t="str">
        <f>IF(A397="","",ROUND(Y397+O397+Z397,2))</f>
        <v/>
      </c>
      <c r="R397" s="79" t="str">
        <f>IF(A397="","",IF(S397=0,"Date manquante ou invalide",IF(C397="","Équipement manquant",IF(ISNA(MATCH(C397,eq_code,0)),"Équipement inconnu",IF(E397="","Type manquant",IF(AND(E397&lt;&gt;"Préventif",E397&lt;&gt;"Correctif",E397&lt;&gt;"Amélioratif"),"Type inconnu",IF(I397="","Statut manquant",IF(AND(I397&lt;&gt;"Terminée",I397&lt;&gt;"En cours",I397&lt;&gt;"À faire",I397&lt;&gt;"Annulée"),"Statut inconnu",IF(AND(E397="Préventif",F397=""),"Plan manquant (préventif)",IF(AND(F397&lt;&gt;"",ISNA(MATCH(F397,pl_num,0))),"Plan inconnu",IF(AND(F397&lt;&gt;"",IFERROR(INDEX(pl_eq,MATCH(F397,pl_num,0))&amp;"",C397)&lt;&gt;C397),"Plan d'un autre équipement",IF(AND(J397&lt;&gt;"",OR(NOT(ISNUMBER(J397)),N(J397)&lt;0)),"Compteur invalide",IF(OR(AND(K397&lt;&gt;"",OR(NOT(ISNUMBER(K397)),N(K397)&lt;0)),AND(L397&lt;&gt;"",OR(NOT(ISNUMBER(L397)),N(L397)&lt;0))),"Durée invalide",IF(OR(AND(N397&lt;&gt;"",OR(NOT(ISNUMBER(N397)),N(N397)&lt;0)),AND(P397&lt;&gt;"",OR(NOT(ISNUMBER(P397)),N(P397)&lt;0))),"Coût invalide",IF(AND(M397&lt;&gt;"",ISNA(MATCH(M397,tech_name,0))),"Technicien inconnu",IF(AND(I397="Terminée",S397&gt;p_today),"Terminée à une date future",IF(AND(I397="Terminée",V397=0),"Durée d'intervention manquante",IF(AND(I397="Terminée",E397="Préventif",T397=0,OR(IFERROR(INDEX(pl_trig,MATCH(F397,pl_num,0))&amp;"","")="Compteur",IFERROR(INDEX(pl_trig,MATCH(F397,pl_num,0))&amp;"","")="Au premier des deux")),"Compteur manquant (plan au compteur)","OK"))))))))))))))))))</f>
        <v/>
      </c>
      <c r="S397" s="67">
        <f>IF(AND(ISNUMBER(B397),N(B397)&gt;0),INT(B397),0)</f>
        <v>0.0</v>
      </c>
      <c r="T397" s="67">
        <f>IF(AND(ISNUMBER(J397),N(J397)&gt;=0),N(J397),0)</f>
        <v>0.0</v>
      </c>
      <c r="U397" s="67">
        <f>IF(AND(ISNUMBER(K397),N(K397)&gt;0),N(K397),0)</f>
        <v>0.0</v>
      </c>
      <c r="V397" s="67">
        <f>IF(AND(ISNUMBER(L397),N(L397)&gt;0),N(L397),0)</f>
        <v>0.0</v>
      </c>
      <c r="W397" s="67">
        <f>IF(AND(I397="Terminée",S397&gt;0,C397&lt;&gt;"",ISNUMBER(MATCH(C397,eq_code,0))),1,0)</f>
        <v>0.0</v>
      </c>
      <c r="X397" s="67">
        <f>IF(AND(W397=1,E397="Préventif"),1,0)</f>
        <v>0.0</v>
      </c>
      <c r="Y397" s="67">
        <f>IF(AND(ISNUMBER(N397),N(N397)&gt;0),N(N397),0)</f>
        <v>0.0</v>
      </c>
      <c r="Z397" s="67">
        <f>IF(AND(ISNUMBER(P397),N(P397)&gt;0),N(P397),0)</f>
        <v>0.0</v>
      </c>
    </row>
    <row r="398">
      <c r="A398" s="79" t="str">
        <f>IF(COUNTA(B398:C398,E398:G398,I398)=0,"","BI-"&amp;RIGHT("0000"&amp;(ROW()-5),4))</f>
        <v/>
      </c>
      <c r="B398" s="72" t="n"/>
      <c r="C398" s="66" t="n"/>
      <c r="D398" s="67" t="str">
        <f>IF(C398="","",IFERROR(INDEX(eq_des,MATCH(C398,eq_code,0))&amp;"","Équipement inconnu"))</f>
        <v/>
      </c>
      <c r="E398" s="68" t="n"/>
      <c r="F398" s="68" t="n"/>
      <c r="G398" s="66" t="n"/>
      <c r="H398" s="66" t="n"/>
      <c r="I398" s="68" t="n"/>
      <c r="J398" s="73" t="n"/>
      <c r="K398" s="71" t="n"/>
      <c r="L398" s="71" t="n"/>
      <c r="M398" s="66" t="n"/>
      <c r="N398" s="80" t="n"/>
      <c r="O398" s="81" t="str">
        <f>IF(A398="","",ROUND(V398*IFERROR(N(INDEX(tech_rate,MATCH(M398,tech_name,0))),0),2))</f>
        <v/>
      </c>
      <c r="P398" s="80" t="n"/>
      <c r="Q398" s="81" t="str">
        <f>IF(A398="","",ROUND(Y398+O398+Z398,2))</f>
        <v/>
      </c>
      <c r="R398" s="79" t="str">
        <f>IF(A398="","",IF(S398=0,"Date manquante ou invalide",IF(C398="","Équipement manquant",IF(ISNA(MATCH(C398,eq_code,0)),"Équipement inconnu",IF(E398="","Type manquant",IF(AND(E398&lt;&gt;"Préventif",E398&lt;&gt;"Correctif",E398&lt;&gt;"Amélioratif"),"Type inconnu",IF(I398="","Statut manquant",IF(AND(I398&lt;&gt;"Terminée",I398&lt;&gt;"En cours",I398&lt;&gt;"À faire",I398&lt;&gt;"Annulée"),"Statut inconnu",IF(AND(E398="Préventif",F398=""),"Plan manquant (préventif)",IF(AND(F398&lt;&gt;"",ISNA(MATCH(F398,pl_num,0))),"Plan inconnu",IF(AND(F398&lt;&gt;"",IFERROR(INDEX(pl_eq,MATCH(F398,pl_num,0))&amp;"",C398)&lt;&gt;C398),"Plan d'un autre équipement",IF(AND(J398&lt;&gt;"",OR(NOT(ISNUMBER(J398)),N(J398)&lt;0)),"Compteur invalide",IF(OR(AND(K398&lt;&gt;"",OR(NOT(ISNUMBER(K398)),N(K398)&lt;0)),AND(L398&lt;&gt;"",OR(NOT(ISNUMBER(L398)),N(L398)&lt;0))),"Durée invalide",IF(OR(AND(N398&lt;&gt;"",OR(NOT(ISNUMBER(N398)),N(N398)&lt;0)),AND(P398&lt;&gt;"",OR(NOT(ISNUMBER(P398)),N(P398)&lt;0))),"Coût invalide",IF(AND(M398&lt;&gt;"",ISNA(MATCH(M398,tech_name,0))),"Technicien inconnu",IF(AND(I398="Terminée",S398&gt;p_today),"Terminée à une date future",IF(AND(I398="Terminée",V398=0),"Durée d'intervention manquante",IF(AND(I398="Terminée",E398="Préventif",T398=0,OR(IFERROR(INDEX(pl_trig,MATCH(F398,pl_num,0))&amp;"","")="Compteur",IFERROR(INDEX(pl_trig,MATCH(F398,pl_num,0))&amp;"","")="Au premier des deux")),"Compteur manquant (plan au compteur)","OK"))))))))))))))))))</f>
        <v/>
      </c>
      <c r="S398" s="67">
        <f>IF(AND(ISNUMBER(B398),N(B398)&gt;0),INT(B398),0)</f>
        <v>0.0</v>
      </c>
      <c r="T398" s="67">
        <f>IF(AND(ISNUMBER(J398),N(J398)&gt;=0),N(J398),0)</f>
        <v>0.0</v>
      </c>
      <c r="U398" s="67">
        <f>IF(AND(ISNUMBER(K398),N(K398)&gt;0),N(K398),0)</f>
        <v>0.0</v>
      </c>
      <c r="V398" s="67">
        <f>IF(AND(ISNUMBER(L398),N(L398)&gt;0),N(L398),0)</f>
        <v>0.0</v>
      </c>
      <c r="W398" s="67">
        <f>IF(AND(I398="Terminée",S398&gt;0,C398&lt;&gt;"",ISNUMBER(MATCH(C398,eq_code,0))),1,0)</f>
        <v>0.0</v>
      </c>
      <c r="X398" s="67">
        <f>IF(AND(W398=1,E398="Préventif"),1,0)</f>
        <v>0.0</v>
      </c>
      <c r="Y398" s="67">
        <f>IF(AND(ISNUMBER(N398),N(N398)&gt;0),N(N398),0)</f>
        <v>0.0</v>
      </c>
      <c r="Z398" s="67">
        <f>IF(AND(ISNUMBER(P398),N(P398)&gt;0),N(P398),0)</f>
        <v>0.0</v>
      </c>
    </row>
    <row r="399">
      <c r="A399" s="79" t="str">
        <f>IF(COUNTA(B399:C399,E399:G399,I399)=0,"","BI-"&amp;RIGHT("0000"&amp;(ROW()-5),4))</f>
        <v/>
      </c>
      <c r="B399" s="72" t="n"/>
      <c r="C399" s="66" t="n"/>
      <c r="D399" s="67" t="str">
        <f>IF(C399="","",IFERROR(INDEX(eq_des,MATCH(C399,eq_code,0))&amp;"","Équipement inconnu"))</f>
        <v/>
      </c>
      <c r="E399" s="68" t="n"/>
      <c r="F399" s="68" t="n"/>
      <c r="G399" s="66" t="n"/>
      <c r="H399" s="66" t="n"/>
      <c r="I399" s="68" t="n"/>
      <c r="J399" s="73" t="n"/>
      <c r="K399" s="71" t="n"/>
      <c r="L399" s="71" t="n"/>
      <c r="M399" s="66" t="n"/>
      <c r="N399" s="80" t="n"/>
      <c r="O399" s="81" t="str">
        <f>IF(A399="","",ROUND(V399*IFERROR(N(INDEX(tech_rate,MATCH(M399,tech_name,0))),0),2))</f>
        <v/>
      </c>
      <c r="P399" s="80" t="n"/>
      <c r="Q399" s="81" t="str">
        <f>IF(A399="","",ROUND(Y399+O399+Z399,2))</f>
        <v/>
      </c>
      <c r="R399" s="79" t="str">
        <f>IF(A399="","",IF(S399=0,"Date manquante ou invalide",IF(C399="","Équipement manquant",IF(ISNA(MATCH(C399,eq_code,0)),"Équipement inconnu",IF(E399="","Type manquant",IF(AND(E399&lt;&gt;"Préventif",E399&lt;&gt;"Correctif",E399&lt;&gt;"Amélioratif"),"Type inconnu",IF(I399="","Statut manquant",IF(AND(I399&lt;&gt;"Terminée",I399&lt;&gt;"En cours",I399&lt;&gt;"À faire",I399&lt;&gt;"Annulée"),"Statut inconnu",IF(AND(E399="Préventif",F399=""),"Plan manquant (préventif)",IF(AND(F399&lt;&gt;"",ISNA(MATCH(F399,pl_num,0))),"Plan inconnu",IF(AND(F399&lt;&gt;"",IFERROR(INDEX(pl_eq,MATCH(F399,pl_num,0))&amp;"",C399)&lt;&gt;C399),"Plan d'un autre équipement",IF(AND(J399&lt;&gt;"",OR(NOT(ISNUMBER(J399)),N(J399)&lt;0)),"Compteur invalide",IF(OR(AND(K399&lt;&gt;"",OR(NOT(ISNUMBER(K399)),N(K399)&lt;0)),AND(L399&lt;&gt;"",OR(NOT(ISNUMBER(L399)),N(L399)&lt;0))),"Durée invalide",IF(OR(AND(N399&lt;&gt;"",OR(NOT(ISNUMBER(N399)),N(N399)&lt;0)),AND(P399&lt;&gt;"",OR(NOT(ISNUMBER(P399)),N(P399)&lt;0))),"Coût invalide",IF(AND(M399&lt;&gt;"",ISNA(MATCH(M399,tech_name,0))),"Technicien inconnu",IF(AND(I399="Terminée",S399&gt;p_today),"Terminée à une date future",IF(AND(I399="Terminée",V399=0),"Durée d'intervention manquante",IF(AND(I399="Terminée",E399="Préventif",T399=0,OR(IFERROR(INDEX(pl_trig,MATCH(F399,pl_num,0))&amp;"","")="Compteur",IFERROR(INDEX(pl_trig,MATCH(F399,pl_num,0))&amp;"","")="Au premier des deux")),"Compteur manquant (plan au compteur)","OK"))))))))))))))))))</f>
        <v/>
      </c>
      <c r="S399" s="67">
        <f>IF(AND(ISNUMBER(B399),N(B399)&gt;0),INT(B399),0)</f>
        <v>0.0</v>
      </c>
      <c r="T399" s="67">
        <f>IF(AND(ISNUMBER(J399),N(J399)&gt;=0),N(J399),0)</f>
        <v>0.0</v>
      </c>
      <c r="U399" s="67">
        <f>IF(AND(ISNUMBER(K399),N(K399)&gt;0),N(K399),0)</f>
        <v>0.0</v>
      </c>
      <c r="V399" s="67">
        <f>IF(AND(ISNUMBER(L399),N(L399)&gt;0),N(L399),0)</f>
        <v>0.0</v>
      </c>
      <c r="W399" s="67">
        <f>IF(AND(I399="Terminée",S399&gt;0,C399&lt;&gt;"",ISNUMBER(MATCH(C399,eq_code,0))),1,0)</f>
        <v>0.0</v>
      </c>
      <c r="X399" s="67">
        <f>IF(AND(W399=1,E399="Préventif"),1,0)</f>
        <v>0.0</v>
      </c>
      <c r="Y399" s="67">
        <f>IF(AND(ISNUMBER(N399),N(N399)&gt;0),N(N399),0)</f>
        <v>0.0</v>
      </c>
      <c r="Z399" s="67">
        <f>IF(AND(ISNUMBER(P399),N(P399)&gt;0),N(P399),0)</f>
        <v>0.0</v>
      </c>
    </row>
    <row r="400">
      <c r="A400" s="79" t="str">
        <f>IF(COUNTA(B400:C400,E400:G400,I400)=0,"","BI-"&amp;RIGHT("0000"&amp;(ROW()-5),4))</f>
        <v/>
      </c>
      <c r="B400" s="72" t="n"/>
      <c r="C400" s="66" t="n"/>
      <c r="D400" s="67" t="str">
        <f>IF(C400="","",IFERROR(INDEX(eq_des,MATCH(C400,eq_code,0))&amp;"","Équipement inconnu"))</f>
        <v/>
      </c>
      <c r="E400" s="68" t="n"/>
      <c r="F400" s="68" t="n"/>
      <c r="G400" s="66" t="n"/>
      <c r="H400" s="66" t="n"/>
      <c r="I400" s="68" t="n"/>
      <c r="J400" s="73" t="n"/>
      <c r="K400" s="71" t="n"/>
      <c r="L400" s="71" t="n"/>
      <c r="M400" s="66" t="n"/>
      <c r="N400" s="80" t="n"/>
      <c r="O400" s="81" t="str">
        <f>IF(A400="","",ROUND(V400*IFERROR(N(INDEX(tech_rate,MATCH(M400,tech_name,0))),0),2))</f>
        <v/>
      </c>
      <c r="P400" s="80" t="n"/>
      <c r="Q400" s="81" t="str">
        <f>IF(A400="","",ROUND(Y400+O400+Z400,2))</f>
        <v/>
      </c>
      <c r="R400" s="79" t="str">
        <f>IF(A400="","",IF(S400=0,"Date manquante ou invalide",IF(C400="","Équipement manquant",IF(ISNA(MATCH(C400,eq_code,0)),"Équipement inconnu",IF(E400="","Type manquant",IF(AND(E400&lt;&gt;"Préventif",E400&lt;&gt;"Correctif",E400&lt;&gt;"Amélioratif"),"Type inconnu",IF(I400="","Statut manquant",IF(AND(I400&lt;&gt;"Terminée",I400&lt;&gt;"En cours",I400&lt;&gt;"À faire",I400&lt;&gt;"Annulée"),"Statut inconnu",IF(AND(E400="Préventif",F400=""),"Plan manquant (préventif)",IF(AND(F400&lt;&gt;"",ISNA(MATCH(F400,pl_num,0))),"Plan inconnu",IF(AND(F400&lt;&gt;"",IFERROR(INDEX(pl_eq,MATCH(F400,pl_num,0))&amp;"",C400)&lt;&gt;C400),"Plan d'un autre équipement",IF(AND(J400&lt;&gt;"",OR(NOT(ISNUMBER(J400)),N(J400)&lt;0)),"Compteur invalide",IF(OR(AND(K400&lt;&gt;"",OR(NOT(ISNUMBER(K400)),N(K400)&lt;0)),AND(L400&lt;&gt;"",OR(NOT(ISNUMBER(L400)),N(L400)&lt;0))),"Durée invalide",IF(OR(AND(N400&lt;&gt;"",OR(NOT(ISNUMBER(N400)),N(N400)&lt;0)),AND(P400&lt;&gt;"",OR(NOT(ISNUMBER(P400)),N(P400)&lt;0))),"Coût invalide",IF(AND(M400&lt;&gt;"",ISNA(MATCH(M400,tech_name,0))),"Technicien inconnu",IF(AND(I400="Terminée",S400&gt;p_today),"Terminée à une date future",IF(AND(I400="Terminée",V400=0),"Durée d'intervention manquante",IF(AND(I400="Terminée",E400="Préventif",T400=0,OR(IFERROR(INDEX(pl_trig,MATCH(F400,pl_num,0))&amp;"","")="Compteur",IFERROR(INDEX(pl_trig,MATCH(F400,pl_num,0))&amp;"","")="Au premier des deux")),"Compteur manquant (plan au compteur)","OK"))))))))))))))))))</f>
        <v/>
      </c>
      <c r="S400" s="67">
        <f>IF(AND(ISNUMBER(B400),N(B400)&gt;0),INT(B400),0)</f>
        <v>0.0</v>
      </c>
      <c r="T400" s="67">
        <f>IF(AND(ISNUMBER(J400),N(J400)&gt;=0),N(J400),0)</f>
        <v>0.0</v>
      </c>
      <c r="U400" s="67">
        <f>IF(AND(ISNUMBER(K400),N(K400)&gt;0),N(K400),0)</f>
        <v>0.0</v>
      </c>
      <c r="V400" s="67">
        <f>IF(AND(ISNUMBER(L400),N(L400)&gt;0),N(L400),0)</f>
        <v>0.0</v>
      </c>
      <c r="W400" s="67">
        <f>IF(AND(I400="Terminée",S400&gt;0,C400&lt;&gt;"",ISNUMBER(MATCH(C400,eq_code,0))),1,0)</f>
        <v>0.0</v>
      </c>
      <c r="X400" s="67">
        <f>IF(AND(W400=1,E400="Préventif"),1,0)</f>
        <v>0.0</v>
      </c>
      <c r="Y400" s="67">
        <f>IF(AND(ISNUMBER(N400),N(N400)&gt;0),N(N400),0)</f>
        <v>0.0</v>
      </c>
      <c r="Z400" s="67">
        <f>IF(AND(ISNUMBER(P400),N(P400)&gt;0),N(P400),0)</f>
        <v>0.0</v>
      </c>
    </row>
    <row r="401">
      <c r="A401" s="79" t="str">
        <f>IF(COUNTA(B401:C401,E401:G401,I401)=0,"","BI-"&amp;RIGHT("0000"&amp;(ROW()-5),4))</f>
        <v/>
      </c>
      <c r="B401" s="72" t="n"/>
      <c r="C401" s="66" t="n"/>
      <c r="D401" s="67" t="str">
        <f>IF(C401="","",IFERROR(INDEX(eq_des,MATCH(C401,eq_code,0))&amp;"","Équipement inconnu"))</f>
        <v/>
      </c>
      <c r="E401" s="68" t="n"/>
      <c r="F401" s="68" t="n"/>
      <c r="G401" s="66" t="n"/>
      <c r="H401" s="66" t="n"/>
      <c r="I401" s="68" t="n"/>
      <c r="J401" s="73" t="n"/>
      <c r="K401" s="71" t="n"/>
      <c r="L401" s="71" t="n"/>
      <c r="M401" s="66" t="n"/>
      <c r="N401" s="80" t="n"/>
      <c r="O401" s="81" t="str">
        <f>IF(A401="","",ROUND(V401*IFERROR(N(INDEX(tech_rate,MATCH(M401,tech_name,0))),0),2))</f>
        <v/>
      </c>
      <c r="P401" s="80" t="n"/>
      <c r="Q401" s="81" t="str">
        <f>IF(A401="","",ROUND(Y401+O401+Z401,2))</f>
        <v/>
      </c>
      <c r="R401" s="79" t="str">
        <f>IF(A401="","",IF(S401=0,"Date manquante ou invalide",IF(C401="","Équipement manquant",IF(ISNA(MATCH(C401,eq_code,0)),"Équipement inconnu",IF(E401="","Type manquant",IF(AND(E401&lt;&gt;"Préventif",E401&lt;&gt;"Correctif",E401&lt;&gt;"Amélioratif"),"Type inconnu",IF(I401="","Statut manquant",IF(AND(I401&lt;&gt;"Terminée",I401&lt;&gt;"En cours",I401&lt;&gt;"À faire",I401&lt;&gt;"Annulée"),"Statut inconnu",IF(AND(E401="Préventif",F401=""),"Plan manquant (préventif)",IF(AND(F401&lt;&gt;"",ISNA(MATCH(F401,pl_num,0))),"Plan inconnu",IF(AND(F401&lt;&gt;"",IFERROR(INDEX(pl_eq,MATCH(F401,pl_num,0))&amp;"",C401)&lt;&gt;C401),"Plan d'un autre équipement",IF(AND(J401&lt;&gt;"",OR(NOT(ISNUMBER(J401)),N(J401)&lt;0)),"Compteur invalide",IF(OR(AND(K401&lt;&gt;"",OR(NOT(ISNUMBER(K401)),N(K401)&lt;0)),AND(L401&lt;&gt;"",OR(NOT(ISNUMBER(L401)),N(L401)&lt;0))),"Durée invalide",IF(OR(AND(N401&lt;&gt;"",OR(NOT(ISNUMBER(N401)),N(N401)&lt;0)),AND(P401&lt;&gt;"",OR(NOT(ISNUMBER(P401)),N(P401)&lt;0))),"Coût invalide",IF(AND(M401&lt;&gt;"",ISNA(MATCH(M401,tech_name,0))),"Technicien inconnu",IF(AND(I401="Terminée",S401&gt;p_today),"Terminée à une date future",IF(AND(I401="Terminée",V401=0),"Durée d'intervention manquante",IF(AND(I401="Terminée",E401="Préventif",T401=0,OR(IFERROR(INDEX(pl_trig,MATCH(F401,pl_num,0))&amp;"","")="Compteur",IFERROR(INDEX(pl_trig,MATCH(F401,pl_num,0))&amp;"","")="Au premier des deux")),"Compteur manquant (plan au compteur)","OK"))))))))))))))))))</f>
        <v/>
      </c>
      <c r="S401" s="67">
        <f>IF(AND(ISNUMBER(B401),N(B401)&gt;0),INT(B401),0)</f>
        <v>0.0</v>
      </c>
      <c r="T401" s="67">
        <f>IF(AND(ISNUMBER(J401),N(J401)&gt;=0),N(J401),0)</f>
        <v>0.0</v>
      </c>
      <c r="U401" s="67">
        <f>IF(AND(ISNUMBER(K401),N(K401)&gt;0),N(K401),0)</f>
        <v>0.0</v>
      </c>
      <c r="V401" s="67">
        <f>IF(AND(ISNUMBER(L401),N(L401)&gt;0),N(L401),0)</f>
        <v>0.0</v>
      </c>
      <c r="W401" s="67">
        <f>IF(AND(I401="Terminée",S401&gt;0,C401&lt;&gt;"",ISNUMBER(MATCH(C401,eq_code,0))),1,0)</f>
        <v>0.0</v>
      </c>
      <c r="X401" s="67">
        <f>IF(AND(W401=1,E401="Préventif"),1,0)</f>
        <v>0.0</v>
      </c>
      <c r="Y401" s="67">
        <f>IF(AND(ISNUMBER(N401),N(N401)&gt;0),N(N401),0)</f>
        <v>0.0</v>
      </c>
      <c r="Z401" s="67">
        <f>IF(AND(ISNUMBER(P401),N(P401)&gt;0),N(P401),0)</f>
        <v>0.0</v>
      </c>
    </row>
    <row r="402">
      <c r="A402" s="79" t="str">
        <f>IF(COUNTA(B402:C402,E402:G402,I402)=0,"","BI-"&amp;RIGHT("0000"&amp;(ROW()-5),4))</f>
        <v/>
      </c>
      <c r="B402" s="72" t="n"/>
      <c r="C402" s="66" t="n"/>
      <c r="D402" s="67" t="str">
        <f>IF(C402="","",IFERROR(INDEX(eq_des,MATCH(C402,eq_code,0))&amp;"","Équipement inconnu"))</f>
        <v/>
      </c>
      <c r="E402" s="68" t="n"/>
      <c r="F402" s="68" t="n"/>
      <c r="G402" s="66" t="n"/>
      <c r="H402" s="66" t="n"/>
      <c r="I402" s="68" t="n"/>
      <c r="J402" s="73" t="n"/>
      <c r="K402" s="71" t="n"/>
      <c r="L402" s="71" t="n"/>
      <c r="M402" s="66" t="n"/>
      <c r="N402" s="80" t="n"/>
      <c r="O402" s="81" t="str">
        <f>IF(A402="","",ROUND(V402*IFERROR(N(INDEX(tech_rate,MATCH(M402,tech_name,0))),0),2))</f>
        <v/>
      </c>
      <c r="P402" s="80" t="n"/>
      <c r="Q402" s="81" t="str">
        <f>IF(A402="","",ROUND(Y402+O402+Z402,2))</f>
        <v/>
      </c>
      <c r="R402" s="79" t="str">
        <f>IF(A402="","",IF(S402=0,"Date manquante ou invalide",IF(C402="","Équipement manquant",IF(ISNA(MATCH(C402,eq_code,0)),"Équipement inconnu",IF(E402="","Type manquant",IF(AND(E402&lt;&gt;"Préventif",E402&lt;&gt;"Correctif",E402&lt;&gt;"Amélioratif"),"Type inconnu",IF(I402="","Statut manquant",IF(AND(I402&lt;&gt;"Terminée",I402&lt;&gt;"En cours",I402&lt;&gt;"À faire",I402&lt;&gt;"Annulée"),"Statut inconnu",IF(AND(E402="Préventif",F402=""),"Plan manquant (préventif)",IF(AND(F402&lt;&gt;"",ISNA(MATCH(F402,pl_num,0))),"Plan inconnu",IF(AND(F402&lt;&gt;"",IFERROR(INDEX(pl_eq,MATCH(F402,pl_num,0))&amp;"",C402)&lt;&gt;C402),"Plan d'un autre équipement",IF(AND(J402&lt;&gt;"",OR(NOT(ISNUMBER(J402)),N(J402)&lt;0)),"Compteur invalide",IF(OR(AND(K402&lt;&gt;"",OR(NOT(ISNUMBER(K402)),N(K402)&lt;0)),AND(L402&lt;&gt;"",OR(NOT(ISNUMBER(L402)),N(L402)&lt;0))),"Durée invalide",IF(OR(AND(N402&lt;&gt;"",OR(NOT(ISNUMBER(N402)),N(N402)&lt;0)),AND(P402&lt;&gt;"",OR(NOT(ISNUMBER(P402)),N(P402)&lt;0))),"Coût invalide",IF(AND(M402&lt;&gt;"",ISNA(MATCH(M402,tech_name,0))),"Technicien inconnu",IF(AND(I402="Terminée",S402&gt;p_today),"Terminée à une date future",IF(AND(I402="Terminée",V402=0),"Durée d'intervention manquante",IF(AND(I402="Terminée",E402="Préventif",T402=0,OR(IFERROR(INDEX(pl_trig,MATCH(F402,pl_num,0))&amp;"","")="Compteur",IFERROR(INDEX(pl_trig,MATCH(F402,pl_num,0))&amp;"","")="Au premier des deux")),"Compteur manquant (plan au compteur)","OK"))))))))))))))))))</f>
        <v/>
      </c>
      <c r="S402" s="67">
        <f>IF(AND(ISNUMBER(B402),N(B402)&gt;0),INT(B402),0)</f>
        <v>0.0</v>
      </c>
      <c r="T402" s="67">
        <f>IF(AND(ISNUMBER(J402),N(J402)&gt;=0),N(J402),0)</f>
        <v>0.0</v>
      </c>
      <c r="U402" s="67">
        <f>IF(AND(ISNUMBER(K402),N(K402)&gt;0),N(K402),0)</f>
        <v>0.0</v>
      </c>
      <c r="V402" s="67">
        <f>IF(AND(ISNUMBER(L402),N(L402)&gt;0),N(L402),0)</f>
        <v>0.0</v>
      </c>
      <c r="W402" s="67">
        <f>IF(AND(I402="Terminée",S402&gt;0,C402&lt;&gt;"",ISNUMBER(MATCH(C402,eq_code,0))),1,0)</f>
        <v>0.0</v>
      </c>
      <c r="X402" s="67">
        <f>IF(AND(W402=1,E402="Préventif"),1,0)</f>
        <v>0.0</v>
      </c>
      <c r="Y402" s="67">
        <f>IF(AND(ISNUMBER(N402),N(N402)&gt;0),N(N402),0)</f>
        <v>0.0</v>
      </c>
      <c r="Z402" s="67">
        <f>IF(AND(ISNUMBER(P402),N(P402)&gt;0),N(P402),0)</f>
        <v>0.0</v>
      </c>
    </row>
    <row r="403">
      <c r="A403" s="79" t="str">
        <f>IF(COUNTA(B403:C403,E403:G403,I403)=0,"","BI-"&amp;RIGHT("0000"&amp;(ROW()-5),4))</f>
        <v/>
      </c>
      <c r="B403" s="72" t="n"/>
      <c r="C403" s="66" t="n"/>
      <c r="D403" s="67" t="str">
        <f>IF(C403="","",IFERROR(INDEX(eq_des,MATCH(C403,eq_code,0))&amp;"","Équipement inconnu"))</f>
        <v/>
      </c>
      <c r="E403" s="68" t="n"/>
      <c r="F403" s="68" t="n"/>
      <c r="G403" s="66" t="n"/>
      <c r="H403" s="66" t="n"/>
      <c r="I403" s="68" t="n"/>
      <c r="J403" s="73" t="n"/>
      <c r="K403" s="71" t="n"/>
      <c r="L403" s="71" t="n"/>
      <c r="M403" s="66" t="n"/>
      <c r="N403" s="80" t="n"/>
      <c r="O403" s="81" t="str">
        <f>IF(A403="","",ROUND(V403*IFERROR(N(INDEX(tech_rate,MATCH(M403,tech_name,0))),0),2))</f>
        <v/>
      </c>
      <c r="P403" s="80" t="n"/>
      <c r="Q403" s="81" t="str">
        <f>IF(A403="","",ROUND(Y403+O403+Z403,2))</f>
        <v/>
      </c>
      <c r="R403" s="79" t="str">
        <f>IF(A403="","",IF(S403=0,"Date manquante ou invalide",IF(C403="","Équipement manquant",IF(ISNA(MATCH(C403,eq_code,0)),"Équipement inconnu",IF(E403="","Type manquant",IF(AND(E403&lt;&gt;"Préventif",E403&lt;&gt;"Correctif",E403&lt;&gt;"Amélioratif"),"Type inconnu",IF(I403="","Statut manquant",IF(AND(I403&lt;&gt;"Terminée",I403&lt;&gt;"En cours",I403&lt;&gt;"À faire",I403&lt;&gt;"Annulée"),"Statut inconnu",IF(AND(E403="Préventif",F403=""),"Plan manquant (préventif)",IF(AND(F403&lt;&gt;"",ISNA(MATCH(F403,pl_num,0))),"Plan inconnu",IF(AND(F403&lt;&gt;"",IFERROR(INDEX(pl_eq,MATCH(F403,pl_num,0))&amp;"",C403)&lt;&gt;C403),"Plan d'un autre équipement",IF(AND(J403&lt;&gt;"",OR(NOT(ISNUMBER(J403)),N(J403)&lt;0)),"Compteur invalide",IF(OR(AND(K403&lt;&gt;"",OR(NOT(ISNUMBER(K403)),N(K403)&lt;0)),AND(L403&lt;&gt;"",OR(NOT(ISNUMBER(L403)),N(L403)&lt;0))),"Durée invalide",IF(OR(AND(N403&lt;&gt;"",OR(NOT(ISNUMBER(N403)),N(N403)&lt;0)),AND(P403&lt;&gt;"",OR(NOT(ISNUMBER(P403)),N(P403)&lt;0))),"Coût invalide",IF(AND(M403&lt;&gt;"",ISNA(MATCH(M403,tech_name,0))),"Technicien inconnu",IF(AND(I403="Terminée",S403&gt;p_today),"Terminée à une date future",IF(AND(I403="Terminée",V403=0),"Durée d'intervention manquante",IF(AND(I403="Terminée",E403="Préventif",T403=0,OR(IFERROR(INDEX(pl_trig,MATCH(F403,pl_num,0))&amp;"","")="Compteur",IFERROR(INDEX(pl_trig,MATCH(F403,pl_num,0))&amp;"","")="Au premier des deux")),"Compteur manquant (plan au compteur)","OK"))))))))))))))))))</f>
        <v/>
      </c>
      <c r="S403" s="67">
        <f>IF(AND(ISNUMBER(B403),N(B403)&gt;0),INT(B403),0)</f>
        <v>0.0</v>
      </c>
      <c r="T403" s="67">
        <f>IF(AND(ISNUMBER(J403),N(J403)&gt;=0),N(J403),0)</f>
        <v>0.0</v>
      </c>
      <c r="U403" s="67">
        <f>IF(AND(ISNUMBER(K403),N(K403)&gt;0),N(K403),0)</f>
        <v>0.0</v>
      </c>
      <c r="V403" s="67">
        <f>IF(AND(ISNUMBER(L403),N(L403)&gt;0),N(L403),0)</f>
        <v>0.0</v>
      </c>
      <c r="W403" s="67">
        <f>IF(AND(I403="Terminée",S403&gt;0,C403&lt;&gt;"",ISNUMBER(MATCH(C403,eq_code,0))),1,0)</f>
        <v>0.0</v>
      </c>
      <c r="X403" s="67">
        <f>IF(AND(W403=1,E403="Préventif"),1,0)</f>
        <v>0.0</v>
      </c>
      <c r="Y403" s="67">
        <f>IF(AND(ISNUMBER(N403),N(N403)&gt;0),N(N403),0)</f>
        <v>0.0</v>
      </c>
      <c r="Z403" s="67">
        <f>IF(AND(ISNUMBER(P403),N(P403)&gt;0),N(P403),0)</f>
        <v>0.0</v>
      </c>
    </row>
    <row r="404">
      <c r="A404" s="79" t="str">
        <f>IF(COUNTA(B404:C404,E404:G404,I404)=0,"","BI-"&amp;RIGHT("0000"&amp;(ROW()-5),4))</f>
        <v/>
      </c>
      <c r="B404" s="72" t="n"/>
      <c r="C404" s="66" t="n"/>
      <c r="D404" s="67" t="str">
        <f>IF(C404="","",IFERROR(INDEX(eq_des,MATCH(C404,eq_code,0))&amp;"","Équipement inconnu"))</f>
        <v/>
      </c>
      <c r="E404" s="68" t="n"/>
      <c r="F404" s="68" t="n"/>
      <c r="G404" s="66" t="n"/>
      <c r="H404" s="66" t="n"/>
      <c r="I404" s="68" t="n"/>
      <c r="J404" s="73" t="n"/>
      <c r="K404" s="71" t="n"/>
      <c r="L404" s="71" t="n"/>
      <c r="M404" s="66" t="n"/>
      <c r="N404" s="80" t="n"/>
      <c r="O404" s="81" t="str">
        <f>IF(A404="","",ROUND(V404*IFERROR(N(INDEX(tech_rate,MATCH(M404,tech_name,0))),0),2))</f>
        <v/>
      </c>
      <c r="P404" s="80" t="n"/>
      <c r="Q404" s="81" t="str">
        <f>IF(A404="","",ROUND(Y404+O404+Z404,2))</f>
        <v/>
      </c>
      <c r="R404" s="79" t="str">
        <f>IF(A404="","",IF(S404=0,"Date manquante ou invalide",IF(C404="","Équipement manquant",IF(ISNA(MATCH(C404,eq_code,0)),"Équipement inconnu",IF(E404="","Type manquant",IF(AND(E404&lt;&gt;"Préventif",E404&lt;&gt;"Correctif",E404&lt;&gt;"Amélioratif"),"Type inconnu",IF(I404="","Statut manquant",IF(AND(I404&lt;&gt;"Terminée",I404&lt;&gt;"En cours",I404&lt;&gt;"À faire",I404&lt;&gt;"Annulée"),"Statut inconnu",IF(AND(E404="Préventif",F404=""),"Plan manquant (préventif)",IF(AND(F404&lt;&gt;"",ISNA(MATCH(F404,pl_num,0))),"Plan inconnu",IF(AND(F404&lt;&gt;"",IFERROR(INDEX(pl_eq,MATCH(F404,pl_num,0))&amp;"",C404)&lt;&gt;C404),"Plan d'un autre équipement",IF(AND(J404&lt;&gt;"",OR(NOT(ISNUMBER(J404)),N(J404)&lt;0)),"Compteur invalide",IF(OR(AND(K404&lt;&gt;"",OR(NOT(ISNUMBER(K404)),N(K404)&lt;0)),AND(L404&lt;&gt;"",OR(NOT(ISNUMBER(L404)),N(L404)&lt;0))),"Durée invalide",IF(OR(AND(N404&lt;&gt;"",OR(NOT(ISNUMBER(N404)),N(N404)&lt;0)),AND(P404&lt;&gt;"",OR(NOT(ISNUMBER(P404)),N(P404)&lt;0))),"Coût invalide",IF(AND(M404&lt;&gt;"",ISNA(MATCH(M404,tech_name,0))),"Technicien inconnu",IF(AND(I404="Terminée",S404&gt;p_today),"Terminée à une date future",IF(AND(I404="Terminée",V404=0),"Durée d'intervention manquante",IF(AND(I404="Terminée",E404="Préventif",T404=0,OR(IFERROR(INDEX(pl_trig,MATCH(F404,pl_num,0))&amp;"","")="Compteur",IFERROR(INDEX(pl_trig,MATCH(F404,pl_num,0))&amp;"","")="Au premier des deux")),"Compteur manquant (plan au compteur)","OK"))))))))))))))))))</f>
        <v/>
      </c>
      <c r="S404" s="67">
        <f>IF(AND(ISNUMBER(B404),N(B404)&gt;0),INT(B404),0)</f>
        <v>0.0</v>
      </c>
      <c r="T404" s="67">
        <f>IF(AND(ISNUMBER(J404),N(J404)&gt;=0),N(J404),0)</f>
        <v>0.0</v>
      </c>
      <c r="U404" s="67">
        <f>IF(AND(ISNUMBER(K404),N(K404)&gt;0),N(K404),0)</f>
        <v>0.0</v>
      </c>
      <c r="V404" s="67">
        <f>IF(AND(ISNUMBER(L404),N(L404)&gt;0),N(L404),0)</f>
        <v>0.0</v>
      </c>
      <c r="W404" s="67">
        <f>IF(AND(I404="Terminée",S404&gt;0,C404&lt;&gt;"",ISNUMBER(MATCH(C404,eq_code,0))),1,0)</f>
        <v>0.0</v>
      </c>
      <c r="X404" s="67">
        <f>IF(AND(W404=1,E404="Préventif"),1,0)</f>
        <v>0.0</v>
      </c>
      <c r="Y404" s="67">
        <f>IF(AND(ISNUMBER(N404),N(N404)&gt;0),N(N404),0)</f>
        <v>0.0</v>
      </c>
      <c r="Z404" s="67">
        <f>IF(AND(ISNUMBER(P404),N(P404)&gt;0),N(P404),0)</f>
        <v>0.0</v>
      </c>
    </row>
    <row r="405">
      <c r="A405" s="79" t="str">
        <f>IF(COUNTA(B405:C405,E405:G405,I405)=0,"","BI-"&amp;RIGHT("0000"&amp;(ROW()-5),4))</f>
        <v/>
      </c>
      <c r="B405" s="72" t="n"/>
      <c r="C405" s="66" t="n"/>
      <c r="D405" s="67" t="str">
        <f>IF(C405="","",IFERROR(INDEX(eq_des,MATCH(C405,eq_code,0))&amp;"","Équipement inconnu"))</f>
        <v/>
      </c>
      <c r="E405" s="68" t="n"/>
      <c r="F405" s="68" t="n"/>
      <c r="G405" s="66" t="n"/>
      <c r="H405" s="66" t="n"/>
      <c r="I405" s="68" t="n"/>
      <c r="J405" s="73" t="n"/>
      <c r="K405" s="71" t="n"/>
      <c r="L405" s="71" t="n"/>
      <c r="M405" s="66" t="n"/>
      <c r="N405" s="80" t="n"/>
      <c r="O405" s="81" t="str">
        <f>IF(A405="","",ROUND(V405*IFERROR(N(INDEX(tech_rate,MATCH(M405,tech_name,0))),0),2))</f>
        <v/>
      </c>
      <c r="P405" s="80" t="n"/>
      <c r="Q405" s="81" t="str">
        <f>IF(A405="","",ROUND(Y405+O405+Z405,2))</f>
        <v/>
      </c>
      <c r="R405" s="79" t="str">
        <f>IF(A405="","",IF(S405=0,"Date manquante ou invalide",IF(C405="","Équipement manquant",IF(ISNA(MATCH(C405,eq_code,0)),"Équipement inconnu",IF(E405="","Type manquant",IF(AND(E405&lt;&gt;"Préventif",E405&lt;&gt;"Correctif",E405&lt;&gt;"Amélioratif"),"Type inconnu",IF(I405="","Statut manquant",IF(AND(I405&lt;&gt;"Terminée",I405&lt;&gt;"En cours",I405&lt;&gt;"À faire",I405&lt;&gt;"Annulée"),"Statut inconnu",IF(AND(E405="Préventif",F405=""),"Plan manquant (préventif)",IF(AND(F405&lt;&gt;"",ISNA(MATCH(F405,pl_num,0))),"Plan inconnu",IF(AND(F405&lt;&gt;"",IFERROR(INDEX(pl_eq,MATCH(F405,pl_num,0))&amp;"",C405)&lt;&gt;C405),"Plan d'un autre équipement",IF(AND(J405&lt;&gt;"",OR(NOT(ISNUMBER(J405)),N(J405)&lt;0)),"Compteur invalide",IF(OR(AND(K405&lt;&gt;"",OR(NOT(ISNUMBER(K405)),N(K405)&lt;0)),AND(L405&lt;&gt;"",OR(NOT(ISNUMBER(L405)),N(L405)&lt;0))),"Durée invalide",IF(OR(AND(N405&lt;&gt;"",OR(NOT(ISNUMBER(N405)),N(N405)&lt;0)),AND(P405&lt;&gt;"",OR(NOT(ISNUMBER(P405)),N(P405)&lt;0))),"Coût invalide",IF(AND(M405&lt;&gt;"",ISNA(MATCH(M405,tech_name,0))),"Technicien inconnu",IF(AND(I405="Terminée",S405&gt;p_today),"Terminée à une date future",IF(AND(I405="Terminée",V405=0),"Durée d'intervention manquante",IF(AND(I405="Terminée",E405="Préventif",T405=0,OR(IFERROR(INDEX(pl_trig,MATCH(F405,pl_num,0))&amp;"","")="Compteur",IFERROR(INDEX(pl_trig,MATCH(F405,pl_num,0))&amp;"","")="Au premier des deux")),"Compteur manquant (plan au compteur)","OK"))))))))))))))))))</f>
        <v/>
      </c>
      <c r="S405" s="67">
        <f>IF(AND(ISNUMBER(B405),N(B405)&gt;0),INT(B405),0)</f>
        <v>0.0</v>
      </c>
      <c r="T405" s="67">
        <f>IF(AND(ISNUMBER(J405),N(J405)&gt;=0),N(J405),0)</f>
        <v>0.0</v>
      </c>
      <c r="U405" s="67">
        <f>IF(AND(ISNUMBER(K405),N(K405)&gt;0),N(K405),0)</f>
        <v>0.0</v>
      </c>
      <c r="V405" s="67">
        <f>IF(AND(ISNUMBER(L405),N(L405)&gt;0),N(L405),0)</f>
        <v>0.0</v>
      </c>
      <c r="W405" s="67">
        <f>IF(AND(I405="Terminée",S405&gt;0,C405&lt;&gt;"",ISNUMBER(MATCH(C405,eq_code,0))),1,0)</f>
        <v>0.0</v>
      </c>
      <c r="X405" s="67">
        <f>IF(AND(W405=1,E405="Préventif"),1,0)</f>
        <v>0.0</v>
      </c>
      <c r="Y405" s="67">
        <f>IF(AND(ISNUMBER(N405),N(N405)&gt;0),N(N405),0)</f>
        <v>0.0</v>
      </c>
      <c r="Z405" s="67">
        <f>IF(AND(ISNUMBER(P405),N(P405)&gt;0),N(P405),0)</f>
        <v>0.0</v>
      </c>
    </row>
    <row r="406">
      <c r="A406" s="79" t="str">
        <f>IF(COUNTA(B406:C406,E406:G406,I406)=0,"","BI-"&amp;RIGHT("0000"&amp;(ROW()-5),4))</f>
        <v/>
      </c>
      <c r="B406" s="72" t="n"/>
      <c r="C406" s="66" t="n"/>
      <c r="D406" s="67" t="str">
        <f>IF(C406="","",IFERROR(INDEX(eq_des,MATCH(C406,eq_code,0))&amp;"","Équipement inconnu"))</f>
        <v/>
      </c>
      <c r="E406" s="68" t="n"/>
      <c r="F406" s="68" t="n"/>
      <c r="G406" s="66" t="n"/>
      <c r="H406" s="66" t="n"/>
      <c r="I406" s="68" t="n"/>
      <c r="J406" s="73" t="n"/>
      <c r="K406" s="71" t="n"/>
      <c r="L406" s="71" t="n"/>
      <c r="M406" s="66" t="n"/>
      <c r="N406" s="80" t="n"/>
      <c r="O406" s="81" t="str">
        <f>IF(A406="","",ROUND(V406*IFERROR(N(INDEX(tech_rate,MATCH(M406,tech_name,0))),0),2))</f>
        <v/>
      </c>
      <c r="P406" s="80" t="n"/>
      <c r="Q406" s="81" t="str">
        <f>IF(A406="","",ROUND(Y406+O406+Z406,2))</f>
        <v/>
      </c>
      <c r="R406" s="79" t="str">
        <f>IF(A406="","",IF(S406=0,"Date manquante ou invalide",IF(C406="","Équipement manquant",IF(ISNA(MATCH(C406,eq_code,0)),"Équipement inconnu",IF(E406="","Type manquant",IF(AND(E406&lt;&gt;"Préventif",E406&lt;&gt;"Correctif",E406&lt;&gt;"Amélioratif"),"Type inconnu",IF(I406="","Statut manquant",IF(AND(I406&lt;&gt;"Terminée",I406&lt;&gt;"En cours",I406&lt;&gt;"À faire",I406&lt;&gt;"Annulée"),"Statut inconnu",IF(AND(E406="Préventif",F406=""),"Plan manquant (préventif)",IF(AND(F406&lt;&gt;"",ISNA(MATCH(F406,pl_num,0))),"Plan inconnu",IF(AND(F406&lt;&gt;"",IFERROR(INDEX(pl_eq,MATCH(F406,pl_num,0))&amp;"",C406)&lt;&gt;C406),"Plan d'un autre équipement",IF(AND(J406&lt;&gt;"",OR(NOT(ISNUMBER(J406)),N(J406)&lt;0)),"Compteur invalide",IF(OR(AND(K406&lt;&gt;"",OR(NOT(ISNUMBER(K406)),N(K406)&lt;0)),AND(L406&lt;&gt;"",OR(NOT(ISNUMBER(L406)),N(L406)&lt;0))),"Durée invalide",IF(OR(AND(N406&lt;&gt;"",OR(NOT(ISNUMBER(N406)),N(N406)&lt;0)),AND(P406&lt;&gt;"",OR(NOT(ISNUMBER(P406)),N(P406)&lt;0))),"Coût invalide",IF(AND(M406&lt;&gt;"",ISNA(MATCH(M406,tech_name,0))),"Technicien inconnu",IF(AND(I406="Terminée",S406&gt;p_today),"Terminée à une date future",IF(AND(I406="Terminée",V406=0),"Durée d'intervention manquante",IF(AND(I406="Terminée",E406="Préventif",T406=0,OR(IFERROR(INDEX(pl_trig,MATCH(F406,pl_num,0))&amp;"","")="Compteur",IFERROR(INDEX(pl_trig,MATCH(F406,pl_num,0))&amp;"","")="Au premier des deux")),"Compteur manquant (plan au compteur)","OK"))))))))))))))))))</f>
        <v/>
      </c>
      <c r="S406" s="67">
        <f>IF(AND(ISNUMBER(B406),N(B406)&gt;0),INT(B406),0)</f>
        <v>0.0</v>
      </c>
      <c r="T406" s="67">
        <f>IF(AND(ISNUMBER(J406),N(J406)&gt;=0),N(J406),0)</f>
        <v>0.0</v>
      </c>
      <c r="U406" s="67">
        <f>IF(AND(ISNUMBER(K406),N(K406)&gt;0),N(K406),0)</f>
        <v>0.0</v>
      </c>
      <c r="V406" s="67">
        <f>IF(AND(ISNUMBER(L406),N(L406)&gt;0),N(L406),0)</f>
        <v>0.0</v>
      </c>
      <c r="W406" s="67">
        <f>IF(AND(I406="Terminée",S406&gt;0,C406&lt;&gt;"",ISNUMBER(MATCH(C406,eq_code,0))),1,0)</f>
        <v>0.0</v>
      </c>
      <c r="X406" s="67">
        <f>IF(AND(W406=1,E406="Préventif"),1,0)</f>
        <v>0.0</v>
      </c>
      <c r="Y406" s="67">
        <f>IF(AND(ISNUMBER(N406),N(N406)&gt;0),N(N406),0)</f>
        <v>0.0</v>
      </c>
      <c r="Z406" s="67">
        <f>IF(AND(ISNUMBER(P406),N(P406)&gt;0),N(P406),0)</f>
        <v>0.0</v>
      </c>
    </row>
    <row r="407">
      <c r="A407" s="79" t="str">
        <f>IF(COUNTA(B407:C407,E407:G407,I407)=0,"","BI-"&amp;RIGHT("0000"&amp;(ROW()-5),4))</f>
        <v/>
      </c>
      <c r="B407" s="72" t="n"/>
      <c r="C407" s="66" t="n"/>
      <c r="D407" s="67" t="str">
        <f>IF(C407="","",IFERROR(INDEX(eq_des,MATCH(C407,eq_code,0))&amp;"","Équipement inconnu"))</f>
        <v/>
      </c>
      <c r="E407" s="68" t="n"/>
      <c r="F407" s="68" t="n"/>
      <c r="G407" s="66" t="n"/>
      <c r="H407" s="66" t="n"/>
      <c r="I407" s="68" t="n"/>
      <c r="J407" s="73" t="n"/>
      <c r="K407" s="71" t="n"/>
      <c r="L407" s="71" t="n"/>
      <c r="M407" s="66" t="n"/>
      <c r="N407" s="80" t="n"/>
      <c r="O407" s="81" t="str">
        <f>IF(A407="","",ROUND(V407*IFERROR(N(INDEX(tech_rate,MATCH(M407,tech_name,0))),0),2))</f>
        <v/>
      </c>
      <c r="P407" s="80" t="n"/>
      <c r="Q407" s="81" t="str">
        <f>IF(A407="","",ROUND(Y407+O407+Z407,2))</f>
        <v/>
      </c>
      <c r="R407" s="79" t="str">
        <f>IF(A407="","",IF(S407=0,"Date manquante ou invalide",IF(C407="","Équipement manquant",IF(ISNA(MATCH(C407,eq_code,0)),"Équipement inconnu",IF(E407="","Type manquant",IF(AND(E407&lt;&gt;"Préventif",E407&lt;&gt;"Correctif",E407&lt;&gt;"Amélioratif"),"Type inconnu",IF(I407="","Statut manquant",IF(AND(I407&lt;&gt;"Terminée",I407&lt;&gt;"En cours",I407&lt;&gt;"À faire",I407&lt;&gt;"Annulée"),"Statut inconnu",IF(AND(E407="Préventif",F407=""),"Plan manquant (préventif)",IF(AND(F407&lt;&gt;"",ISNA(MATCH(F407,pl_num,0))),"Plan inconnu",IF(AND(F407&lt;&gt;"",IFERROR(INDEX(pl_eq,MATCH(F407,pl_num,0))&amp;"",C407)&lt;&gt;C407),"Plan d'un autre équipement",IF(AND(J407&lt;&gt;"",OR(NOT(ISNUMBER(J407)),N(J407)&lt;0)),"Compteur invalide",IF(OR(AND(K407&lt;&gt;"",OR(NOT(ISNUMBER(K407)),N(K407)&lt;0)),AND(L407&lt;&gt;"",OR(NOT(ISNUMBER(L407)),N(L407)&lt;0))),"Durée invalide",IF(OR(AND(N407&lt;&gt;"",OR(NOT(ISNUMBER(N407)),N(N407)&lt;0)),AND(P407&lt;&gt;"",OR(NOT(ISNUMBER(P407)),N(P407)&lt;0))),"Coût invalide",IF(AND(M407&lt;&gt;"",ISNA(MATCH(M407,tech_name,0))),"Technicien inconnu",IF(AND(I407="Terminée",S407&gt;p_today),"Terminée à une date future",IF(AND(I407="Terminée",V407=0),"Durée d'intervention manquante",IF(AND(I407="Terminée",E407="Préventif",T407=0,OR(IFERROR(INDEX(pl_trig,MATCH(F407,pl_num,0))&amp;"","")="Compteur",IFERROR(INDEX(pl_trig,MATCH(F407,pl_num,0))&amp;"","")="Au premier des deux")),"Compteur manquant (plan au compteur)","OK"))))))))))))))))))</f>
        <v/>
      </c>
      <c r="S407" s="67">
        <f>IF(AND(ISNUMBER(B407),N(B407)&gt;0),INT(B407),0)</f>
        <v>0.0</v>
      </c>
      <c r="T407" s="67">
        <f>IF(AND(ISNUMBER(J407),N(J407)&gt;=0),N(J407),0)</f>
        <v>0.0</v>
      </c>
      <c r="U407" s="67">
        <f>IF(AND(ISNUMBER(K407),N(K407)&gt;0),N(K407),0)</f>
        <v>0.0</v>
      </c>
      <c r="V407" s="67">
        <f>IF(AND(ISNUMBER(L407),N(L407)&gt;0),N(L407),0)</f>
        <v>0.0</v>
      </c>
      <c r="W407" s="67">
        <f>IF(AND(I407="Terminée",S407&gt;0,C407&lt;&gt;"",ISNUMBER(MATCH(C407,eq_code,0))),1,0)</f>
        <v>0.0</v>
      </c>
      <c r="X407" s="67">
        <f>IF(AND(W407=1,E407="Préventif"),1,0)</f>
        <v>0.0</v>
      </c>
      <c r="Y407" s="67">
        <f>IF(AND(ISNUMBER(N407),N(N407)&gt;0),N(N407),0)</f>
        <v>0.0</v>
      </c>
      <c r="Z407" s="67">
        <f>IF(AND(ISNUMBER(P407),N(P407)&gt;0),N(P407),0)</f>
        <v>0.0</v>
      </c>
    </row>
    <row r="408">
      <c r="A408" s="79" t="str">
        <f>IF(COUNTA(B408:C408,E408:G408,I408)=0,"","BI-"&amp;RIGHT("0000"&amp;(ROW()-5),4))</f>
        <v/>
      </c>
      <c r="B408" s="72" t="n"/>
      <c r="C408" s="66" t="n"/>
      <c r="D408" s="67" t="str">
        <f>IF(C408="","",IFERROR(INDEX(eq_des,MATCH(C408,eq_code,0))&amp;"","Équipement inconnu"))</f>
        <v/>
      </c>
      <c r="E408" s="68" t="n"/>
      <c r="F408" s="68" t="n"/>
      <c r="G408" s="66" t="n"/>
      <c r="H408" s="66" t="n"/>
      <c r="I408" s="68" t="n"/>
      <c r="J408" s="73" t="n"/>
      <c r="K408" s="71" t="n"/>
      <c r="L408" s="71" t="n"/>
      <c r="M408" s="66" t="n"/>
      <c r="N408" s="80" t="n"/>
      <c r="O408" s="81" t="str">
        <f>IF(A408="","",ROUND(V408*IFERROR(N(INDEX(tech_rate,MATCH(M408,tech_name,0))),0),2))</f>
        <v/>
      </c>
      <c r="P408" s="80" t="n"/>
      <c r="Q408" s="81" t="str">
        <f>IF(A408="","",ROUND(Y408+O408+Z408,2))</f>
        <v/>
      </c>
      <c r="R408" s="79" t="str">
        <f>IF(A408="","",IF(S408=0,"Date manquante ou invalide",IF(C408="","Équipement manquant",IF(ISNA(MATCH(C408,eq_code,0)),"Équipement inconnu",IF(E408="","Type manquant",IF(AND(E408&lt;&gt;"Préventif",E408&lt;&gt;"Correctif",E408&lt;&gt;"Amélioratif"),"Type inconnu",IF(I408="","Statut manquant",IF(AND(I408&lt;&gt;"Terminée",I408&lt;&gt;"En cours",I408&lt;&gt;"À faire",I408&lt;&gt;"Annulée"),"Statut inconnu",IF(AND(E408="Préventif",F408=""),"Plan manquant (préventif)",IF(AND(F408&lt;&gt;"",ISNA(MATCH(F408,pl_num,0))),"Plan inconnu",IF(AND(F408&lt;&gt;"",IFERROR(INDEX(pl_eq,MATCH(F408,pl_num,0))&amp;"",C408)&lt;&gt;C408),"Plan d'un autre équipement",IF(AND(J408&lt;&gt;"",OR(NOT(ISNUMBER(J408)),N(J408)&lt;0)),"Compteur invalide",IF(OR(AND(K408&lt;&gt;"",OR(NOT(ISNUMBER(K408)),N(K408)&lt;0)),AND(L408&lt;&gt;"",OR(NOT(ISNUMBER(L408)),N(L408)&lt;0))),"Durée invalide",IF(OR(AND(N408&lt;&gt;"",OR(NOT(ISNUMBER(N408)),N(N408)&lt;0)),AND(P408&lt;&gt;"",OR(NOT(ISNUMBER(P408)),N(P408)&lt;0))),"Coût invalide",IF(AND(M408&lt;&gt;"",ISNA(MATCH(M408,tech_name,0))),"Technicien inconnu",IF(AND(I408="Terminée",S408&gt;p_today),"Terminée à une date future",IF(AND(I408="Terminée",V408=0),"Durée d'intervention manquante",IF(AND(I408="Terminée",E408="Préventif",T408=0,OR(IFERROR(INDEX(pl_trig,MATCH(F408,pl_num,0))&amp;"","")="Compteur",IFERROR(INDEX(pl_trig,MATCH(F408,pl_num,0))&amp;"","")="Au premier des deux")),"Compteur manquant (plan au compteur)","OK"))))))))))))))))))</f>
        <v/>
      </c>
      <c r="S408" s="67">
        <f>IF(AND(ISNUMBER(B408),N(B408)&gt;0),INT(B408),0)</f>
        <v>0.0</v>
      </c>
      <c r="T408" s="67">
        <f>IF(AND(ISNUMBER(J408),N(J408)&gt;=0),N(J408),0)</f>
        <v>0.0</v>
      </c>
      <c r="U408" s="67">
        <f>IF(AND(ISNUMBER(K408),N(K408)&gt;0),N(K408),0)</f>
        <v>0.0</v>
      </c>
      <c r="V408" s="67">
        <f>IF(AND(ISNUMBER(L408),N(L408)&gt;0),N(L408),0)</f>
        <v>0.0</v>
      </c>
      <c r="W408" s="67">
        <f>IF(AND(I408="Terminée",S408&gt;0,C408&lt;&gt;"",ISNUMBER(MATCH(C408,eq_code,0))),1,0)</f>
        <v>0.0</v>
      </c>
      <c r="X408" s="67">
        <f>IF(AND(W408=1,E408="Préventif"),1,0)</f>
        <v>0.0</v>
      </c>
      <c r="Y408" s="67">
        <f>IF(AND(ISNUMBER(N408),N(N408)&gt;0),N(N408),0)</f>
        <v>0.0</v>
      </c>
      <c r="Z408" s="67">
        <f>IF(AND(ISNUMBER(P408),N(P408)&gt;0),N(P408),0)</f>
        <v>0.0</v>
      </c>
    </row>
    <row r="409">
      <c r="A409" s="79" t="str">
        <f>IF(COUNTA(B409:C409,E409:G409,I409)=0,"","BI-"&amp;RIGHT("0000"&amp;(ROW()-5),4))</f>
        <v/>
      </c>
      <c r="B409" s="72" t="n"/>
      <c r="C409" s="66" t="n"/>
      <c r="D409" s="67" t="str">
        <f>IF(C409="","",IFERROR(INDEX(eq_des,MATCH(C409,eq_code,0))&amp;"","Équipement inconnu"))</f>
        <v/>
      </c>
      <c r="E409" s="68" t="n"/>
      <c r="F409" s="68" t="n"/>
      <c r="G409" s="66" t="n"/>
      <c r="H409" s="66" t="n"/>
      <c r="I409" s="68" t="n"/>
      <c r="J409" s="73" t="n"/>
      <c r="K409" s="71" t="n"/>
      <c r="L409" s="71" t="n"/>
      <c r="M409" s="66" t="n"/>
      <c r="N409" s="80" t="n"/>
      <c r="O409" s="81" t="str">
        <f>IF(A409="","",ROUND(V409*IFERROR(N(INDEX(tech_rate,MATCH(M409,tech_name,0))),0),2))</f>
        <v/>
      </c>
      <c r="P409" s="80" t="n"/>
      <c r="Q409" s="81" t="str">
        <f>IF(A409="","",ROUND(Y409+O409+Z409,2))</f>
        <v/>
      </c>
      <c r="R409" s="79" t="str">
        <f>IF(A409="","",IF(S409=0,"Date manquante ou invalide",IF(C409="","Équipement manquant",IF(ISNA(MATCH(C409,eq_code,0)),"Équipement inconnu",IF(E409="","Type manquant",IF(AND(E409&lt;&gt;"Préventif",E409&lt;&gt;"Correctif",E409&lt;&gt;"Amélioratif"),"Type inconnu",IF(I409="","Statut manquant",IF(AND(I409&lt;&gt;"Terminée",I409&lt;&gt;"En cours",I409&lt;&gt;"À faire",I409&lt;&gt;"Annulée"),"Statut inconnu",IF(AND(E409="Préventif",F409=""),"Plan manquant (préventif)",IF(AND(F409&lt;&gt;"",ISNA(MATCH(F409,pl_num,0))),"Plan inconnu",IF(AND(F409&lt;&gt;"",IFERROR(INDEX(pl_eq,MATCH(F409,pl_num,0))&amp;"",C409)&lt;&gt;C409),"Plan d'un autre équipement",IF(AND(J409&lt;&gt;"",OR(NOT(ISNUMBER(J409)),N(J409)&lt;0)),"Compteur invalide",IF(OR(AND(K409&lt;&gt;"",OR(NOT(ISNUMBER(K409)),N(K409)&lt;0)),AND(L409&lt;&gt;"",OR(NOT(ISNUMBER(L409)),N(L409)&lt;0))),"Durée invalide",IF(OR(AND(N409&lt;&gt;"",OR(NOT(ISNUMBER(N409)),N(N409)&lt;0)),AND(P409&lt;&gt;"",OR(NOT(ISNUMBER(P409)),N(P409)&lt;0))),"Coût invalide",IF(AND(M409&lt;&gt;"",ISNA(MATCH(M409,tech_name,0))),"Technicien inconnu",IF(AND(I409="Terminée",S409&gt;p_today),"Terminée à une date future",IF(AND(I409="Terminée",V409=0),"Durée d'intervention manquante",IF(AND(I409="Terminée",E409="Préventif",T409=0,OR(IFERROR(INDEX(pl_trig,MATCH(F409,pl_num,0))&amp;"","")="Compteur",IFERROR(INDEX(pl_trig,MATCH(F409,pl_num,0))&amp;"","")="Au premier des deux")),"Compteur manquant (plan au compteur)","OK"))))))))))))))))))</f>
        <v/>
      </c>
      <c r="S409" s="67">
        <f>IF(AND(ISNUMBER(B409),N(B409)&gt;0),INT(B409),0)</f>
        <v>0.0</v>
      </c>
      <c r="T409" s="67">
        <f>IF(AND(ISNUMBER(J409),N(J409)&gt;=0),N(J409),0)</f>
        <v>0.0</v>
      </c>
      <c r="U409" s="67">
        <f>IF(AND(ISNUMBER(K409),N(K409)&gt;0),N(K409),0)</f>
        <v>0.0</v>
      </c>
      <c r="V409" s="67">
        <f>IF(AND(ISNUMBER(L409),N(L409)&gt;0),N(L409),0)</f>
        <v>0.0</v>
      </c>
      <c r="W409" s="67">
        <f>IF(AND(I409="Terminée",S409&gt;0,C409&lt;&gt;"",ISNUMBER(MATCH(C409,eq_code,0))),1,0)</f>
        <v>0.0</v>
      </c>
      <c r="X409" s="67">
        <f>IF(AND(W409=1,E409="Préventif"),1,0)</f>
        <v>0.0</v>
      </c>
      <c r="Y409" s="67">
        <f>IF(AND(ISNUMBER(N409),N(N409)&gt;0),N(N409),0)</f>
        <v>0.0</v>
      </c>
      <c r="Z409" s="67">
        <f>IF(AND(ISNUMBER(P409),N(P409)&gt;0),N(P409),0)</f>
        <v>0.0</v>
      </c>
    </row>
    <row r="410">
      <c r="A410" s="79" t="str">
        <f>IF(COUNTA(B410:C410,E410:G410,I410)=0,"","BI-"&amp;RIGHT("0000"&amp;(ROW()-5),4))</f>
        <v/>
      </c>
      <c r="B410" s="72" t="n"/>
      <c r="C410" s="66" t="n"/>
      <c r="D410" s="67" t="str">
        <f>IF(C410="","",IFERROR(INDEX(eq_des,MATCH(C410,eq_code,0))&amp;"","Équipement inconnu"))</f>
        <v/>
      </c>
      <c r="E410" s="68" t="n"/>
      <c r="F410" s="68" t="n"/>
      <c r="G410" s="66" t="n"/>
      <c r="H410" s="66" t="n"/>
      <c r="I410" s="68" t="n"/>
      <c r="J410" s="73" t="n"/>
      <c r="K410" s="71" t="n"/>
      <c r="L410" s="71" t="n"/>
      <c r="M410" s="66" t="n"/>
      <c r="N410" s="80" t="n"/>
      <c r="O410" s="81" t="str">
        <f>IF(A410="","",ROUND(V410*IFERROR(N(INDEX(tech_rate,MATCH(M410,tech_name,0))),0),2))</f>
        <v/>
      </c>
      <c r="P410" s="80" t="n"/>
      <c r="Q410" s="81" t="str">
        <f>IF(A410="","",ROUND(Y410+O410+Z410,2))</f>
        <v/>
      </c>
      <c r="R410" s="79" t="str">
        <f>IF(A410="","",IF(S410=0,"Date manquante ou invalide",IF(C410="","Équipement manquant",IF(ISNA(MATCH(C410,eq_code,0)),"Équipement inconnu",IF(E410="","Type manquant",IF(AND(E410&lt;&gt;"Préventif",E410&lt;&gt;"Correctif",E410&lt;&gt;"Amélioratif"),"Type inconnu",IF(I410="","Statut manquant",IF(AND(I410&lt;&gt;"Terminée",I410&lt;&gt;"En cours",I410&lt;&gt;"À faire",I410&lt;&gt;"Annulée"),"Statut inconnu",IF(AND(E410="Préventif",F410=""),"Plan manquant (préventif)",IF(AND(F410&lt;&gt;"",ISNA(MATCH(F410,pl_num,0))),"Plan inconnu",IF(AND(F410&lt;&gt;"",IFERROR(INDEX(pl_eq,MATCH(F410,pl_num,0))&amp;"",C410)&lt;&gt;C410),"Plan d'un autre équipement",IF(AND(J410&lt;&gt;"",OR(NOT(ISNUMBER(J410)),N(J410)&lt;0)),"Compteur invalide",IF(OR(AND(K410&lt;&gt;"",OR(NOT(ISNUMBER(K410)),N(K410)&lt;0)),AND(L410&lt;&gt;"",OR(NOT(ISNUMBER(L410)),N(L410)&lt;0))),"Durée invalide",IF(OR(AND(N410&lt;&gt;"",OR(NOT(ISNUMBER(N410)),N(N410)&lt;0)),AND(P410&lt;&gt;"",OR(NOT(ISNUMBER(P410)),N(P410)&lt;0))),"Coût invalide",IF(AND(M410&lt;&gt;"",ISNA(MATCH(M410,tech_name,0))),"Technicien inconnu",IF(AND(I410="Terminée",S410&gt;p_today),"Terminée à une date future",IF(AND(I410="Terminée",V410=0),"Durée d'intervention manquante",IF(AND(I410="Terminée",E410="Préventif",T410=0,OR(IFERROR(INDEX(pl_trig,MATCH(F410,pl_num,0))&amp;"","")="Compteur",IFERROR(INDEX(pl_trig,MATCH(F410,pl_num,0))&amp;"","")="Au premier des deux")),"Compteur manquant (plan au compteur)","OK"))))))))))))))))))</f>
        <v/>
      </c>
      <c r="S410" s="67">
        <f>IF(AND(ISNUMBER(B410),N(B410)&gt;0),INT(B410),0)</f>
        <v>0.0</v>
      </c>
      <c r="T410" s="67">
        <f>IF(AND(ISNUMBER(J410),N(J410)&gt;=0),N(J410),0)</f>
        <v>0.0</v>
      </c>
      <c r="U410" s="67">
        <f>IF(AND(ISNUMBER(K410),N(K410)&gt;0),N(K410),0)</f>
        <v>0.0</v>
      </c>
      <c r="V410" s="67">
        <f>IF(AND(ISNUMBER(L410),N(L410)&gt;0),N(L410),0)</f>
        <v>0.0</v>
      </c>
      <c r="W410" s="67">
        <f>IF(AND(I410="Terminée",S410&gt;0,C410&lt;&gt;"",ISNUMBER(MATCH(C410,eq_code,0))),1,0)</f>
        <v>0.0</v>
      </c>
      <c r="X410" s="67">
        <f>IF(AND(W410=1,E410="Préventif"),1,0)</f>
        <v>0.0</v>
      </c>
      <c r="Y410" s="67">
        <f>IF(AND(ISNUMBER(N410),N(N410)&gt;0),N(N410),0)</f>
        <v>0.0</v>
      </c>
      <c r="Z410" s="67">
        <f>IF(AND(ISNUMBER(P410),N(P410)&gt;0),N(P410),0)</f>
        <v>0.0</v>
      </c>
    </row>
    <row r="411">
      <c r="A411" s="79" t="str">
        <f>IF(COUNTA(B411:C411,E411:G411,I411)=0,"","BI-"&amp;RIGHT("0000"&amp;(ROW()-5),4))</f>
        <v/>
      </c>
      <c r="B411" s="72" t="n"/>
      <c r="C411" s="66" t="n"/>
      <c r="D411" s="67" t="str">
        <f>IF(C411="","",IFERROR(INDEX(eq_des,MATCH(C411,eq_code,0))&amp;"","Équipement inconnu"))</f>
        <v/>
      </c>
      <c r="E411" s="68" t="n"/>
      <c r="F411" s="68" t="n"/>
      <c r="G411" s="66" t="n"/>
      <c r="H411" s="66" t="n"/>
      <c r="I411" s="68" t="n"/>
      <c r="J411" s="73" t="n"/>
      <c r="K411" s="71" t="n"/>
      <c r="L411" s="71" t="n"/>
      <c r="M411" s="66" t="n"/>
      <c r="N411" s="80" t="n"/>
      <c r="O411" s="81" t="str">
        <f>IF(A411="","",ROUND(V411*IFERROR(N(INDEX(tech_rate,MATCH(M411,tech_name,0))),0),2))</f>
        <v/>
      </c>
      <c r="P411" s="80" t="n"/>
      <c r="Q411" s="81" t="str">
        <f>IF(A411="","",ROUND(Y411+O411+Z411,2))</f>
        <v/>
      </c>
      <c r="R411" s="79" t="str">
        <f>IF(A411="","",IF(S411=0,"Date manquante ou invalide",IF(C411="","Équipement manquant",IF(ISNA(MATCH(C411,eq_code,0)),"Équipement inconnu",IF(E411="","Type manquant",IF(AND(E411&lt;&gt;"Préventif",E411&lt;&gt;"Correctif",E411&lt;&gt;"Amélioratif"),"Type inconnu",IF(I411="","Statut manquant",IF(AND(I411&lt;&gt;"Terminée",I411&lt;&gt;"En cours",I411&lt;&gt;"À faire",I411&lt;&gt;"Annulée"),"Statut inconnu",IF(AND(E411="Préventif",F411=""),"Plan manquant (préventif)",IF(AND(F411&lt;&gt;"",ISNA(MATCH(F411,pl_num,0))),"Plan inconnu",IF(AND(F411&lt;&gt;"",IFERROR(INDEX(pl_eq,MATCH(F411,pl_num,0))&amp;"",C411)&lt;&gt;C411),"Plan d'un autre équipement",IF(AND(J411&lt;&gt;"",OR(NOT(ISNUMBER(J411)),N(J411)&lt;0)),"Compteur invalide",IF(OR(AND(K411&lt;&gt;"",OR(NOT(ISNUMBER(K411)),N(K411)&lt;0)),AND(L411&lt;&gt;"",OR(NOT(ISNUMBER(L411)),N(L411)&lt;0))),"Durée invalide",IF(OR(AND(N411&lt;&gt;"",OR(NOT(ISNUMBER(N411)),N(N411)&lt;0)),AND(P411&lt;&gt;"",OR(NOT(ISNUMBER(P411)),N(P411)&lt;0))),"Coût invalide",IF(AND(M411&lt;&gt;"",ISNA(MATCH(M411,tech_name,0))),"Technicien inconnu",IF(AND(I411="Terminée",S411&gt;p_today),"Terminée à une date future",IF(AND(I411="Terminée",V411=0),"Durée d'intervention manquante",IF(AND(I411="Terminée",E411="Préventif",T411=0,OR(IFERROR(INDEX(pl_trig,MATCH(F411,pl_num,0))&amp;"","")="Compteur",IFERROR(INDEX(pl_trig,MATCH(F411,pl_num,0))&amp;"","")="Au premier des deux")),"Compteur manquant (plan au compteur)","OK"))))))))))))))))))</f>
        <v/>
      </c>
      <c r="S411" s="67">
        <f>IF(AND(ISNUMBER(B411),N(B411)&gt;0),INT(B411),0)</f>
        <v>0.0</v>
      </c>
      <c r="T411" s="67">
        <f>IF(AND(ISNUMBER(J411),N(J411)&gt;=0),N(J411),0)</f>
        <v>0.0</v>
      </c>
      <c r="U411" s="67">
        <f>IF(AND(ISNUMBER(K411),N(K411)&gt;0),N(K411),0)</f>
        <v>0.0</v>
      </c>
      <c r="V411" s="67">
        <f>IF(AND(ISNUMBER(L411),N(L411)&gt;0),N(L411),0)</f>
        <v>0.0</v>
      </c>
      <c r="W411" s="67">
        <f>IF(AND(I411="Terminée",S411&gt;0,C411&lt;&gt;"",ISNUMBER(MATCH(C411,eq_code,0))),1,0)</f>
        <v>0.0</v>
      </c>
      <c r="X411" s="67">
        <f>IF(AND(W411=1,E411="Préventif"),1,0)</f>
        <v>0.0</v>
      </c>
      <c r="Y411" s="67">
        <f>IF(AND(ISNUMBER(N411),N(N411)&gt;0),N(N411),0)</f>
        <v>0.0</v>
      </c>
      <c r="Z411" s="67">
        <f>IF(AND(ISNUMBER(P411),N(P411)&gt;0),N(P411),0)</f>
        <v>0.0</v>
      </c>
    </row>
    <row r="412">
      <c r="A412" s="79" t="str">
        <f>IF(COUNTA(B412:C412,E412:G412,I412)=0,"","BI-"&amp;RIGHT("0000"&amp;(ROW()-5),4))</f>
        <v/>
      </c>
      <c r="B412" s="72" t="n"/>
      <c r="C412" s="66" t="n"/>
      <c r="D412" s="67" t="str">
        <f>IF(C412="","",IFERROR(INDEX(eq_des,MATCH(C412,eq_code,0))&amp;"","Équipement inconnu"))</f>
        <v/>
      </c>
      <c r="E412" s="68" t="n"/>
      <c r="F412" s="68" t="n"/>
      <c r="G412" s="66" t="n"/>
      <c r="H412" s="66" t="n"/>
      <c r="I412" s="68" t="n"/>
      <c r="J412" s="73" t="n"/>
      <c r="K412" s="71" t="n"/>
      <c r="L412" s="71" t="n"/>
      <c r="M412" s="66" t="n"/>
      <c r="N412" s="80" t="n"/>
      <c r="O412" s="81" t="str">
        <f>IF(A412="","",ROUND(V412*IFERROR(N(INDEX(tech_rate,MATCH(M412,tech_name,0))),0),2))</f>
        <v/>
      </c>
      <c r="P412" s="80" t="n"/>
      <c r="Q412" s="81" t="str">
        <f>IF(A412="","",ROUND(Y412+O412+Z412,2))</f>
        <v/>
      </c>
      <c r="R412" s="79" t="str">
        <f>IF(A412="","",IF(S412=0,"Date manquante ou invalide",IF(C412="","Équipement manquant",IF(ISNA(MATCH(C412,eq_code,0)),"Équipement inconnu",IF(E412="","Type manquant",IF(AND(E412&lt;&gt;"Préventif",E412&lt;&gt;"Correctif",E412&lt;&gt;"Amélioratif"),"Type inconnu",IF(I412="","Statut manquant",IF(AND(I412&lt;&gt;"Terminée",I412&lt;&gt;"En cours",I412&lt;&gt;"À faire",I412&lt;&gt;"Annulée"),"Statut inconnu",IF(AND(E412="Préventif",F412=""),"Plan manquant (préventif)",IF(AND(F412&lt;&gt;"",ISNA(MATCH(F412,pl_num,0))),"Plan inconnu",IF(AND(F412&lt;&gt;"",IFERROR(INDEX(pl_eq,MATCH(F412,pl_num,0))&amp;"",C412)&lt;&gt;C412),"Plan d'un autre équipement",IF(AND(J412&lt;&gt;"",OR(NOT(ISNUMBER(J412)),N(J412)&lt;0)),"Compteur invalide",IF(OR(AND(K412&lt;&gt;"",OR(NOT(ISNUMBER(K412)),N(K412)&lt;0)),AND(L412&lt;&gt;"",OR(NOT(ISNUMBER(L412)),N(L412)&lt;0))),"Durée invalide",IF(OR(AND(N412&lt;&gt;"",OR(NOT(ISNUMBER(N412)),N(N412)&lt;0)),AND(P412&lt;&gt;"",OR(NOT(ISNUMBER(P412)),N(P412)&lt;0))),"Coût invalide",IF(AND(M412&lt;&gt;"",ISNA(MATCH(M412,tech_name,0))),"Technicien inconnu",IF(AND(I412="Terminée",S412&gt;p_today),"Terminée à une date future",IF(AND(I412="Terminée",V412=0),"Durée d'intervention manquante",IF(AND(I412="Terminée",E412="Préventif",T412=0,OR(IFERROR(INDEX(pl_trig,MATCH(F412,pl_num,0))&amp;"","")="Compteur",IFERROR(INDEX(pl_trig,MATCH(F412,pl_num,0))&amp;"","")="Au premier des deux")),"Compteur manquant (plan au compteur)","OK"))))))))))))))))))</f>
        <v/>
      </c>
      <c r="S412" s="67">
        <f>IF(AND(ISNUMBER(B412),N(B412)&gt;0),INT(B412),0)</f>
        <v>0.0</v>
      </c>
      <c r="T412" s="67">
        <f>IF(AND(ISNUMBER(J412),N(J412)&gt;=0),N(J412),0)</f>
        <v>0.0</v>
      </c>
      <c r="U412" s="67">
        <f>IF(AND(ISNUMBER(K412),N(K412)&gt;0),N(K412),0)</f>
        <v>0.0</v>
      </c>
      <c r="V412" s="67">
        <f>IF(AND(ISNUMBER(L412),N(L412)&gt;0),N(L412),0)</f>
        <v>0.0</v>
      </c>
      <c r="W412" s="67">
        <f>IF(AND(I412="Terminée",S412&gt;0,C412&lt;&gt;"",ISNUMBER(MATCH(C412,eq_code,0))),1,0)</f>
        <v>0.0</v>
      </c>
      <c r="X412" s="67">
        <f>IF(AND(W412=1,E412="Préventif"),1,0)</f>
        <v>0.0</v>
      </c>
      <c r="Y412" s="67">
        <f>IF(AND(ISNUMBER(N412),N(N412)&gt;0),N(N412),0)</f>
        <v>0.0</v>
      </c>
      <c r="Z412" s="67">
        <f>IF(AND(ISNUMBER(P412),N(P412)&gt;0),N(P412),0)</f>
        <v>0.0</v>
      </c>
    </row>
    <row r="413">
      <c r="A413" s="79" t="str">
        <f>IF(COUNTA(B413:C413,E413:G413,I413)=0,"","BI-"&amp;RIGHT("0000"&amp;(ROW()-5),4))</f>
        <v/>
      </c>
      <c r="B413" s="72" t="n"/>
      <c r="C413" s="66" t="n"/>
      <c r="D413" s="67" t="str">
        <f>IF(C413="","",IFERROR(INDEX(eq_des,MATCH(C413,eq_code,0))&amp;"","Équipement inconnu"))</f>
        <v/>
      </c>
      <c r="E413" s="68" t="n"/>
      <c r="F413" s="68" t="n"/>
      <c r="G413" s="66" t="n"/>
      <c r="H413" s="66" t="n"/>
      <c r="I413" s="68" t="n"/>
      <c r="J413" s="73" t="n"/>
      <c r="K413" s="71" t="n"/>
      <c r="L413" s="71" t="n"/>
      <c r="M413" s="66" t="n"/>
      <c r="N413" s="80" t="n"/>
      <c r="O413" s="81" t="str">
        <f>IF(A413="","",ROUND(V413*IFERROR(N(INDEX(tech_rate,MATCH(M413,tech_name,0))),0),2))</f>
        <v/>
      </c>
      <c r="P413" s="80" t="n"/>
      <c r="Q413" s="81" t="str">
        <f>IF(A413="","",ROUND(Y413+O413+Z413,2))</f>
        <v/>
      </c>
      <c r="R413" s="79" t="str">
        <f>IF(A413="","",IF(S413=0,"Date manquante ou invalide",IF(C413="","Équipement manquant",IF(ISNA(MATCH(C413,eq_code,0)),"Équipement inconnu",IF(E413="","Type manquant",IF(AND(E413&lt;&gt;"Préventif",E413&lt;&gt;"Correctif",E413&lt;&gt;"Amélioratif"),"Type inconnu",IF(I413="","Statut manquant",IF(AND(I413&lt;&gt;"Terminée",I413&lt;&gt;"En cours",I413&lt;&gt;"À faire",I413&lt;&gt;"Annulée"),"Statut inconnu",IF(AND(E413="Préventif",F413=""),"Plan manquant (préventif)",IF(AND(F413&lt;&gt;"",ISNA(MATCH(F413,pl_num,0))),"Plan inconnu",IF(AND(F413&lt;&gt;"",IFERROR(INDEX(pl_eq,MATCH(F413,pl_num,0))&amp;"",C413)&lt;&gt;C413),"Plan d'un autre équipement",IF(AND(J413&lt;&gt;"",OR(NOT(ISNUMBER(J413)),N(J413)&lt;0)),"Compteur invalide",IF(OR(AND(K413&lt;&gt;"",OR(NOT(ISNUMBER(K413)),N(K413)&lt;0)),AND(L413&lt;&gt;"",OR(NOT(ISNUMBER(L413)),N(L413)&lt;0))),"Durée invalide",IF(OR(AND(N413&lt;&gt;"",OR(NOT(ISNUMBER(N413)),N(N413)&lt;0)),AND(P413&lt;&gt;"",OR(NOT(ISNUMBER(P413)),N(P413)&lt;0))),"Coût invalide",IF(AND(M413&lt;&gt;"",ISNA(MATCH(M413,tech_name,0))),"Technicien inconnu",IF(AND(I413="Terminée",S413&gt;p_today),"Terminée à une date future",IF(AND(I413="Terminée",V413=0),"Durée d'intervention manquante",IF(AND(I413="Terminée",E413="Préventif",T413=0,OR(IFERROR(INDEX(pl_trig,MATCH(F413,pl_num,0))&amp;"","")="Compteur",IFERROR(INDEX(pl_trig,MATCH(F413,pl_num,0))&amp;"","")="Au premier des deux")),"Compteur manquant (plan au compteur)","OK"))))))))))))))))))</f>
        <v/>
      </c>
      <c r="S413" s="67">
        <f>IF(AND(ISNUMBER(B413),N(B413)&gt;0),INT(B413),0)</f>
        <v>0.0</v>
      </c>
      <c r="T413" s="67">
        <f>IF(AND(ISNUMBER(J413),N(J413)&gt;=0),N(J413),0)</f>
        <v>0.0</v>
      </c>
      <c r="U413" s="67">
        <f>IF(AND(ISNUMBER(K413),N(K413)&gt;0),N(K413),0)</f>
        <v>0.0</v>
      </c>
      <c r="V413" s="67">
        <f>IF(AND(ISNUMBER(L413),N(L413)&gt;0),N(L413),0)</f>
        <v>0.0</v>
      </c>
      <c r="W413" s="67">
        <f>IF(AND(I413="Terminée",S413&gt;0,C413&lt;&gt;"",ISNUMBER(MATCH(C413,eq_code,0))),1,0)</f>
        <v>0.0</v>
      </c>
      <c r="X413" s="67">
        <f>IF(AND(W413=1,E413="Préventif"),1,0)</f>
        <v>0.0</v>
      </c>
      <c r="Y413" s="67">
        <f>IF(AND(ISNUMBER(N413),N(N413)&gt;0),N(N413),0)</f>
        <v>0.0</v>
      </c>
      <c r="Z413" s="67">
        <f>IF(AND(ISNUMBER(P413),N(P413)&gt;0),N(P413),0)</f>
        <v>0.0</v>
      </c>
    </row>
    <row r="414">
      <c r="A414" s="79" t="str">
        <f>IF(COUNTA(B414:C414,E414:G414,I414)=0,"","BI-"&amp;RIGHT("0000"&amp;(ROW()-5),4))</f>
        <v/>
      </c>
      <c r="B414" s="72" t="n"/>
      <c r="C414" s="66" t="n"/>
      <c r="D414" s="67" t="str">
        <f>IF(C414="","",IFERROR(INDEX(eq_des,MATCH(C414,eq_code,0))&amp;"","Équipement inconnu"))</f>
        <v/>
      </c>
      <c r="E414" s="68" t="n"/>
      <c r="F414" s="68" t="n"/>
      <c r="G414" s="66" t="n"/>
      <c r="H414" s="66" t="n"/>
      <c r="I414" s="68" t="n"/>
      <c r="J414" s="73" t="n"/>
      <c r="K414" s="71" t="n"/>
      <c r="L414" s="71" t="n"/>
      <c r="M414" s="66" t="n"/>
      <c r="N414" s="80" t="n"/>
      <c r="O414" s="81" t="str">
        <f>IF(A414="","",ROUND(V414*IFERROR(N(INDEX(tech_rate,MATCH(M414,tech_name,0))),0),2))</f>
        <v/>
      </c>
      <c r="P414" s="80" t="n"/>
      <c r="Q414" s="81" t="str">
        <f>IF(A414="","",ROUND(Y414+O414+Z414,2))</f>
        <v/>
      </c>
      <c r="R414" s="79" t="str">
        <f>IF(A414="","",IF(S414=0,"Date manquante ou invalide",IF(C414="","Équipement manquant",IF(ISNA(MATCH(C414,eq_code,0)),"Équipement inconnu",IF(E414="","Type manquant",IF(AND(E414&lt;&gt;"Préventif",E414&lt;&gt;"Correctif",E414&lt;&gt;"Amélioratif"),"Type inconnu",IF(I414="","Statut manquant",IF(AND(I414&lt;&gt;"Terminée",I414&lt;&gt;"En cours",I414&lt;&gt;"À faire",I414&lt;&gt;"Annulée"),"Statut inconnu",IF(AND(E414="Préventif",F414=""),"Plan manquant (préventif)",IF(AND(F414&lt;&gt;"",ISNA(MATCH(F414,pl_num,0))),"Plan inconnu",IF(AND(F414&lt;&gt;"",IFERROR(INDEX(pl_eq,MATCH(F414,pl_num,0))&amp;"",C414)&lt;&gt;C414),"Plan d'un autre équipement",IF(AND(J414&lt;&gt;"",OR(NOT(ISNUMBER(J414)),N(J414)&lt;0)),"Compteur invalide",IF(OR(AND(K414&lt;&gt;"",OR(NOT(ISNUMBER(K414)),N(K414)&lt;0)),AND(L414&lt;&gt;"",OR(NOT(ISNUMBER(L414)),N(L414)&lt;0))),"Durée invalide",IF(OR(AND(N414&lt;&gt;"",OR(NOT(ISNUMBER(N414)),N(N414)&lt;0)),AND(P414&lt;&gt;"",OR(NOT(ISNUMBER(P414)),N(P414)&lt;0))),"Coût invalide",IF(AND(M414&lt;&gt;"",ISNA(MATCH(M414,tech_name,0))),"Technicien inconnu",IF(AND(I414="Terminée",S414&gt;p_today),"Terminée à une date future",IF(AND(I414="Terminée",V414=0),"Durée d'intervention manquante",IF(AND(I414="Terminée",E414="Préventif",T414=0,OR(IFERROR(INDEX(pl_trig,MATCH(F414,pl_num,0))&amp;"","")="Compteur",IFERROR(INDEX(pl_trig,MATCH(F414,pl_num,0))&amp;"","")="Au premier des deux")),"Compteur manquant (plan au compteur)","OK"))))))))))))))))))</f>
        <v/>
      </c>
      <c r="S414" s="67">
        <f>IF(AND(ISNUMBER(B414),N(B414)&gt;0),INT(B414),0)</f>
        <v>0.0</v>
      </c>
      <c r="T414" s="67">
        <f>IF(AND(ISNUMBER(J414),N(J414)&gt;=0),N(J414),0)</f>
        <v>0.0</v>
      </c>
      <c r="U414" s="67">
        <f>IF(AND(ISNUMBER(K414),N(K414)&gt;0),N(K414),0)</f>
        <v>0.0</v>
      </c>
      <c r="V414" s="67">
        <f>IF(AND(ISNUMBER(L414),N(L414)&gt;0),N(L414),0)</f>
        <v>0.0</v>
      </c>
      <c r="W414" s="67">
        <f>IF(AND(I414="Terminée",S414&gt;0,C414&lt;&gt;"",ISNUMBER(MATCH(C414,eq_code,0))),1,0)</f>
        <v>0.0</v>
      </c>
      <c r="X414" s="67">
        <f>IF(AND(W414=1,E414="Préventif"),1,0)</f>
        <v>0.0</v>
      </c>
      <c r="Y414" s="67">
        <f>IF(AND(ISNUMBER(N414),N(N414)&gt;0),N(N414),0)</f>
        <v>0.0</v>
      </c>
      <c r="Z414" s="67">
        <f>IF(AND(ISNUMBER(P414),N(P414)&gt;0),N(P414),0)</f>
        <v>0.0</v>
      </c>
    </row>
    <row r="415">
      <c r="A415" s="79" t="str">
        <f>IF(COUNTA(B415:C415,E415:G415,I415)=0,"","BI-"&amp;RIGHT("0000"&amp;(ROW()-5),4))</f>
        <v/>
      </c>
      <c r="B415" s="72" t="n"/>
      <c r="C415" s="66" t="n"/>
      <c r="D415" s="67" t="str">
        <f>IF(C415="","",IFERROR(INDEX(eq_des,MATCH(C415,eq_code,0))&amp;"","Équipement inconnu"))</f>
        <v/>
      </c>
      <c r="E415" s="68" t="n"/>
      <c r="F415" s="68" t="n"/>
      <c r="G415" s="66" t="n"/>
      <c r="H415" s="66" t="n"/>
      <c r="I415" s="68" t="n"/>
      <c r="J415" s="73" t="n"/>
      <c r="K415" s="71" t="n"/>
      <c r="L415" s="71" t="n"/>
      <c r="M415" s="66" t="n"/>
      <c r="N415" s="80" t="n"/>
      <c r="O415" s="81" t="str">
        <f>IF(A415="","",ROUND(V415*IFERROR(N(INDEX(tech_rate,MATCH(M415,tech_name,0))),0),2))</f>
        <v/>
      </c>
      <c r="P415" s="80" t="n"/>
      <c r="Q415" s="81" t="str">
        <f>IF(A415="","",ROUND(Y415+O415+Z415,2))</f>
        <v/>
      </c>
      <c r="R415" s="79" t="str">
        <f>IF(A415="","",IF(S415=0,"Date manquante ou invalide",IF(C415="","Équipement manquant",IF(ISNA(MATCH(C415,eq_code,0)),"Équipement inconnu",IF(E415="","Type manquant",IF(AND(E415&lt;&gt;"Préventif",E415&lt;&gt;"Correctif",E415&lt;&gt;"Amélioratif"),"Type inconnu",IF(I415="","Statut manquant",IF(AND(I415&lt;&gt;"Terminée",I415&lt;&gt;"En cours",I415&lt;&gt;"À faire",I415&lt;&gt;"Annulée"),"Statut inconnu",IF(AND(E415="Préventif",F415=""),"Plan manquant (préventif)",IF(AND(F415&lt;&gt;"",ISNA(MATCH(F415,pl_num,0))),"Plan inconnu",IF(AND(F415&lt;&gt;"",IFERROR(INDEX(pl_eq,MATCH(F415,pl_num,0))&amp;"",C415)&lt;&gt;C415),"Plan d'un autre équipement",IF(AND(J415&lt;&gt;"",OR(NOT(ISNUMBER(J415)),N(J415)&lt;0)),"Compteur invalide",IF(OR(AND(K415&lt;&gt;"",OR(NOT(ISNUMBER(K415)),N(K415)&lt;0)),AND(L415&lt;&gt;"",OR(NOT(ISNUMBER(L415)),N(L415)&lt;0))),"Durée invalide",IF(OR(AND(N415&lt;&gt;"",OR(NOT(ISNUMBER(N415)),N(N415)&lt;0)),AND(P415&lt;&gt;"",OR(NOT(ISNUMBER(P415)),N(P415)&lt;0))),"Coût invalide",IF(AND(M415&lt;&gt;"",ISNA(MATCH(M415,tech_name,0))),"Technicien inconnu",IF(AND(I415="Terminée",S415&gt;p_today),"Terminée à une date future",IF(AND(I415="Terminée",V415=0),"Durée d'intervention manquante",IF(AND(I415="Terminée",E415="Préventif",T415=0,OR(IFERROR(INDEX(pl_trig,MATCH(F415,pl_num,0))&amp;"","")="Compteur",IFERROR(INDEX(pl_trig,MATCH(F415,pl_num,0))&amp;"","")="Au premier des deux")),"Compteur manquant (plan au compteur)","OK"))))))))))))))))))</f>
        <v/>
      </c>
      <c r="S415" s="67">
        <f>IF(AND(ISNUMBER(B415),N(B415)&gt;0),INT(B415),0)</f>
        <v>0.0</v>
      </c>
      <c r="T415" s="67">
        <f>IF(AND(ISNUMBER(J415),N(J415)&gt;=0),N(J415),0)</f>
        <v>0.0</v>
      </c>
      <c r="U415" s="67">
        <f>IF(AND(ISNUMBER(K415),N(K415)&gt;0),N(K415),0)</f>
        <v>0.0</v>
      </c>
      <c r="V415" s="67">
        <f>IF(AND(ISNUMBER(L415),N(L415)&gt;0),N(L415),0)</f>
        <v>0.0</v>
      </c>
      <c r="W415" s="67">
        <f>IF(AND(I415="Terminée",S415&gt;0,C415&lt;&gt;"",ISNUMBER(MATCH(C415,eq_code,0))),1,0)</f>
        <v>0.0</v>
      </c>
      <c r="X415" s="67">
        <f>IF(AND(W415=1,E415="Préventif"),1,0)</f>
        <v>0.0</v>
      </c>
      <c r="Y415" s="67">
        <f>IF(AND(ISNUMBER(N415),N(N415)&gt;0),N(N415),0)</f>
        <v>0.0</v>
      </c>
      <c r="Z415" s="67">
        <f>IF(AND(ISNUMBER(P415),N(P415)&gt;0),N(P415),0)</f>
        <v>0.0</v>
      </c>
    </row>
    <row r="416">
      <c r="A416" s="79" t="str">
        <f>IF(COUNTA(B416:C416,E416:G416,I416)=0,"","BI-"&amp;RIGHT("0000"&amp;(ROW()-5),4))</f>
        <v/>
      </c>
      <c r="B416" s="72" t="n"/>
      <c r="C416" s="66" t="n"/>
      <c r="D416" s="67" t="str">
        <f>IF(C416="","",IFERROR(INDEX(eq_des,MATCH(C416,eq_code,0))&amp;"","Équipement inconnu"))</f>
        <v/>
      </c>
      <c r="E416" s="68" t="n"/>
      <c r="F416" s="68" t="n"/>
      <c r="G416" s="66" t="n"/>
      <c r="H416" s="66" t="n"/>
      <c r="I416" s="68" t="n"/>
      <c r="J416" s="73" t="n"/>
      <c r="K416" s="71" t="n"/>
      <c r="L416" s="71" t="n"/>
      <c r="M416" s="66" t="n"/>
      <c r="N416" s="80" t="n"/>
      <c r="O416" s="81" t="str">
        <f>IF(A416="","",ROUND(V416*IFERROR(N(INDEX(tech_rate,MATCH(M416,tech_name,0))),0),2))</f>
        <v/>
      </c>
      <c r="P416" s="80" t="n"/>
      <c r="Q416" s="81" t="str">
        <f>IF(A416="","",ROUND(Y416+O416+Z416,2))</f>
        <v/>
      </c>
      <c r="R416" s="79" t="str">
        <f>IF(A416="","",IF(S416=0,"Date manquante ou invalide",IF(C416="","Équipement manquant",IF(ISNA(MATCH(C416,eq_code,0)),"Équipement inconnu",IF(E416="","Type manquant",IF(AND(E416&lt;&gt;"Préventif",E416&lt;&gt;"Correctif",E416&lt;&gt;"Amélioratif"),"Type inconnu",IF(I416="","Statut manquant",IF(AND(I416&lt;&gt;"Terminée",I416&lt;&gt;"En cours",I416&lt;&gt;"À faire",I416&lt;&gt;"Annulée"),"Statut inconnu",IF(AND(E416="Préventif",F416=""),"Plan manquant (préventif)",IF(AND(F416&lt;&gt;"",ISNA(MATCH(F416,pl_num,0))),"Plan inconnu",IF(AND(F416&lt;&gt;"",IFERROR(INDEX(pl_eq,MATCH(F416,pl_num,0))&amp;"",C416)&lt;&gt;C416),"Plan d'un autre équipement",IF(AND(J416&lt;&gt;"",OR(NOT(ISNUMBER(J416)),N(J416)&lt;0)),"Compteur invalide",IF(OR(AND(K416&lt;&gt;"",OR(NOT(ISNUMBER(K416)),N(K416)&lt;0)),AND(L416&lt;&gt;"",OR(NOT(ISNUMBER(L416)),N(L416)&lt;0))),"Durée invalide",IF(OR(AND(N416&lt;&gt;"",OR(NOT(ISNUMBER(N416)),N(N416)&lt;0)),AND(P416&lt;&gt;"",OR(NOT(ISNUMBER(P416)),N(P416)&lt;0))),"Coût invalide",IF(AND(M416&lt;&gt;"",ISNA(MATCH(M416,tech_name,0))),"Technicien inconnu",IF(AND(I416="Terminée",S416&gt;p_today),"Terminée à une date future",IF(AND(I416="Terminée",V416=0),"Durée d'intervention manquante",IF(AND(I416="Terminée",E416="Préventif",T416=0,OR(IFERROR(INDEX(pl_trig,MATCH(F416,pl_num,0))&amp;"","")="Compteur",IFERROR(INDEX(pl_trig,MATCH(F416,pl_num,0))&amp;"","")="Au premier des deux")),"Compteur manquant (plan au compteur)","OK"))))))))))))))))))</f>
        <v/>
      </c>
      <c r="S416" s="67">
        <f>IF(AND(ISNUMBER(B416),N(B416)&gt;0),INT(B416),0)</f>
        <v>0.0</v>
      </c>
      <c r="T416" s="67">
        <f>IF(AND(ISNUMBER(J416),N(J416)&gt;=0),N(J416),0)</f>
        <v>0.0</v>
      </c>
      <c r="U416" s="67">
        <f>IF(AND(ISNUMBER(K416),N(K416)&gt;0),N(K416),0)</f>
        <v>0.0</v>
      </c>
      <c r="V416" s="67">
        <f>IF(AND(ISNUMBER(L416),N(L416)&gt;0),N(L416),0)</f>
        <v>0.0</v>
      </c>
      <c r="W416" s="67">
        <f>IF(AND(I416="Terminée",S416&gt;0,C416&lt;&gt;"",ISNUMBER(MATCH(C416,eq_code,0))),1,0)</f>
        <v>0.0</v>
      </c>
      <c r="X416" s="67">
        <f>IF(AND(W416=1,E416="Préventif"),1,0)</f>
        <v>0.0</v>
      </c>
      <c r="Y416" s="67">
        <f>IF(AND(ISNUMBER(N416),N(N416)&gt;0),N(N416),0)</f>
        <v>0.0</v>
      </c>
      <c r="Z416" s="67">
        <f>IF(AND(ISNUMBER(P416),N(P416)&gt;0),N(P416),0)</f>
        <v>0.0</v>
      </c>
    </row>
    <row r="417">
      <c r="A417" s="79" t="str">
        <f>IF(COUNTA(B417:C417,E417:G417,I417)=0,"","BI-"&amp;RIGHT("0000"&amp;(ROW()-5),4))</f>
        <v/>
      </c>
      <c r="B417" s="72" t="n"/>
      <c r="C417" s="66" t="n"/>
      <c r="D417" s="67" t="str">
        <f>IF(C417="","",IFERROR(INDEX(eq_des,MATCH(C417,eq_code,0))&amp;"","Équipement inconnu"))</f>
        <v/>
      </c>
      <c r="E417" s="68" t="n"/>
      <c r="F417" s="68" t="n"/>
      <c r="G417" s="66" t="n"/>
      <c r="H417" s="66" t="n"/>
      <c r="I417" s="68" t="n"/>
      <c r="J417" s="73" t="n"/>
      <c r="K417" s="71" t="n"/>
      <c r="L417" s="71" t="n"/>
      <c r="M417" s="66" t="n"/>
      <c r="N417" s="80" t="n"/>
      <c r="O417" s="81" t="str">
        <f>IF(A417="","",ROUND(V417*IFERROR(N(INDEX(tech_rate,MATCH(M417,tech_name,0))),0),2))</f>
        <v/>
      </c>
      <c r="P417" s="80" t="n"/>
      <c r="Q417" s="81" t="str">
        <f>IF(A417="","",ROUND(Y417+O417+Z417,2))</f>
        <v/>
      </c>
      <c r="R417" s="79" t="str">
        <f>IF(A417="","",IF(S417=0,"Date manquante ou invalide",IF(C417="","Équipement manquant",IF(ISNA(MATCH(C417,eq_code,0)),"Équipement inconnu",IF(E417="","Type manquant",IF(AND(E417&lt;&gt;"Préventif",E417&lt;&gt;"Correctif",E417&lt;&gt;"Amélioratif"),"Type inconnu",IF(I417="","Statut manquant",IF(AND(I417&lt;&gt;"Terminée",I417&lt;&gt;"En cours",I417&lt;&gt;"À faire",I417&lt;&gt;"Annulée"),"Statut inconnu",IF(AND(E417="Préventif",F417=""),"Plan manquant (préventif)",IF(AND(F417&lt;&gt;"",ISNA(MATCH(F417,pl_num,0))),"Plan inconnu",IF(AND(F417&lt;&gt;"",IFERROR(INDEX(pl_eq,MATCH(F417,pl_num,0))&amp;"",C417)&lt;&gt;C417),"Plan d'un autre équipement",IF(AND(J417&lt;&gt;"",OR(NOT(ISNUMBER(J417)),N(J417)&lt;0)),"Compteur invalide",IF(OR(AND(K417&lt;&gt;"",OR(NOT(ISNUMBER(K417)),N(K417)&lt;0)),AND(L417&lt;&gt;"",OR(NOT(ISNUMBER(L417)),N(L417)&lt;0))),"Durée invalide",IF(OR(AND(N417&lt;&gt;"",OR(NOT(ISNUMBER(N417)),N(N417)&lt;0)),AND(P417&lt;&gt;"",OR(NOT(ISNUMBER(P417)),N(P417)&lt;0))),"Coût invalide",IF(AND(M417&lt;&gt;"",ISNA(MATCH(M417,tech_name,0))),"Technicien inconnu",IF(AND(I417="Terminée",S417&gt;p_today),"Terminée à une date future",IF(AND(I417="Terminée",V417=0),"Durée d'intervention manquante",IF(AND(I417="Terminée",E417="Préventif",T417=0,OR(IFERROR(INDEX(pl_trig,MATCH(F417,pl_num,0))&amp;"","")="Compteur",IFERROR(INDEX(pl_trig,MATCH(F417,pl_num,0))&amp;"","")="Au premier des deux")),"Compteur manquant (plan au compteur)","OK"))))))))))))))))))</f>
        <v/>
      </c>
      <c r="S417" s="67">
        <f>IF(AND(ISNUMBER(B417),N(B417)&gt;0),INT(B417),0)</f>
        <v>0.0</v>
      </c>
      <c r="T417" s="67">
        <f>IF(AND(ISNUMBER(J417),N(J417)&gt;=0),N(J417),0)</f>
        <v>0.0</v>
      </c>
      <c r="U417" s="67">
        <f>IF(AND(ISNUMBER(K417),N(K417)&gt;0),N(K417),0)</f>
        <v>0.0</v>
      </c>
      <c r="V417" s="67">
        <f>IF(AND(ISNUMBER(L417),N(L417)&gt;0),N(L417),0)</f>
        <v>0.0</v>
      </c>
      <c r="W417" s="67">
        <f>IF(AND(I417="Terminée",S417&gt;0,C417&lt;&gt;"",ISNUMBER(MATCH(C417,eq_code,0))),1,0)</f>
        <v>0.0</v>
      </c>
      <c r="X417" s="67">
        <f>IF(AND(W417=1,E417="Préventif"),1,0)</f>
        <v>0.0</v>
      </c>
      <c r="Y417" s="67">
        <f>IF(AND(ISNUMBER(N417),N(N417)&gt;0),N(N417),0)</f>
        <v>0.0</v>
      </c>
      <c r="Z417" s="67">
        <f>IF(AND(ISNUMBER(P417),N(P417)&gt;0),N(P417),0)</f>
        <v>0.0</v>
      </c>
    </row>
    <row r="418">
      <c r="A418" s="79" t="str">
        <f>IF(COUNTA(B418:C418,E418:G418,I418)=0,"","BI-"&amp;RIGHT("0000"&amp;(ROW()-5),4))</f>
        <v/>
      </c>
      <c r="B418" s="72" t="n"/>
      <c r="C418" s="66" t="n"/>
      <c r="D418" s="67" t="str">
        <f>IF(C418="","",IFERROR(INDEX(eq_des,MATCH(C418,eq_code,0))&amp;"","Équipement inconnu"))</f>
        <v/>
      </c>
      <c r="E418" s="68" t="n"/>
      <c r="F418" s="68" t="n"/>
      <c r="G418" s="66" t="n"/>
      <c r="H418" s="66" t="n"/>
      <c r="I418" s="68" t="n"/>
      <c r="J418" s="73" t="n"/>
      <c r="K418" s="71" t="n"/>
      <c r="L418" s="71" t="n"/>
      <c r="M418" s="66" t="n"/>
      <c r="N418" s="80" t="n"/>
      <c r="O418" s="81" t="str">
        <f>IF(A418="","",ROUND(V418*IFERROR(N(INDEX(tech_rate,MATCH(M418,tech_name,0))),0),2))</f>
        <v/>
      </c>
      <c r="P418" s="80" t="n"/>
      <c r="Q418" s="81" t="str">
        <f>IF(A418="","",ROUND(Y418+O418+Z418,2))</f>
        <v/>
      </c>
      <c r="R418" s="79" t="str">
        <f>IF(A418="","",IF(S418=0,"Date manquante ou invalide",IF(C418="","Équipement manquant",IF(ISNA(MATCH(C418,eq_code,0)),"Équipement inconnu",IF(E418="","Type manquant",IF(AND(E418&lt;&gt;"Préventif",E418&lt;&gt;"Correctif",E418&lt;&gt;"Amélioratif"),"Type inconnu",IF(I418="","Statut manquant",IF(AND(I418&lt;&gt;"Terminée",I418&lt;&gt;"En cours",I418&lt;&gt;"À faire",I418&lt;&gt;"Annulée"),"Statut inconnu",IF(AND(E418="Préventif",F418=""),"Plan manquant (préventif)",IF(AND(F418&lt;&gt;"",ISNA(MATCH(F418,pl_num,0))),"Plan inconnu",IF(AND(F418&lt;&gt;"",IFERROR(INDEX(pl_eq,MATCH(F418,pl_num,0))&amp;"",C418)&lt;&gt;C418),"Plan d'un autre équipement",IF(AND(J418&lt;&gt;"",OR(NOT(ISNUMBER(J418)),N(J418)&lt;0)),"Compteur invalide",IF(OR(AND(K418&lt;&gt;"",OR(NOT(ISNUMBER(K418)),N(K418)&lt;0)),AND(L418&lt;&gt;"",OR(NOT(ISNUMBER(L418)),N(L418)&lt;0))),"Durée invalide",IF(OR(AND(N418&lt;&gt;"",OR(NOT(ISNUMBER(N418)),N(N418)&lt;0)),AND(P418&lt;&gt;"",OR(NOT(ISNUMBER(P418)),N(P418)&lt;0))),"Coût invalide",IF(AND(M418&lt;&gt;"",ISNA(MATCH(M418,tech_name,0))),"Technicien inconnu",IF(AND(I418="Terminée",S418&gt;p_today),"Terminée à une date future",IF(AND(I418="Terminée",V418=0),"Durée d'intervention manquante",IF(AND(I418="Terminée",E418="Préventif",T418=0,OR(IFERROR(INDEX(pl_trig,MATCH(F418,pl_num,0))&amp;"","")="Compteur",IFERROR(INDEX(pl_trig,MATCH(F418,pl_num,0))&amp;"","")="Au premier des deux")),"Compteur manquant (plan au compteur)","OK"))))))))))))))))))</f>
        <v/>
      </c>
      <c r="S418" s="67">
        <f>IF(AND(ISNUMBER(B418),N(B418)&gt;0),INT(B418),0)</f>
        <v>0.0</v>
      </c>
      <c r="T418" s="67">
        <f>IF(AND(ISNUMBER(J418),N(J418)&gt;=0),N(J418),0)</f>
        <v>0.0</v>
      </c>
      <c r="U418" s="67">
        <f>IF(AND(ISNUMBER(K418),N(K418)&gt;0),N(K418),0)</f>
        <v>0.0</v>
      </c>
      <c r="V418" s="67">
        <f>IF(AND(ISNUMBER(L418),N(L418)&gt;0),N(L418),0)</f>
        <v>0.0</v>
      </c>
      <c r="W418" s="67">
        <f>IF(AND(I418="Terminée",S418&gt;0,C418&lt;&gt;"",ISNUMBER(MATCH(C418,eq_code,0))),1,0)</f>
        <v>0.0</v>
      </c>
      <c r="X418" s="67">
        <f>IF(AND(W418=1,E418="Préventif"),1,0)</f>
        <v>0.0</v>
      </c>
      <c r="Y418" s="67">
        <f>IF(AND(ISNUMBER(N418),N(N418)&gt;0),N(N418),0)</f>
        <v>0.0</v>
      </c>
      <c r="Z418" s="67">
        <f>IF(AND(ISNUMBER(P418),N(P418)&gt;0),N(P418),0)</f>
        <v>0.0</v>
      </c>
    </row>
    <row r="419">
      <c r="A419" s="79" t="str">
        <f>IF(COUNTA(B419:C419,E419:G419,I419)=0,"","BI-"&amp;RIGHT("0000"&amp;(ROW()-5),4))</f>
        <v/>
      </c>
      <c r="B419" s="72" t="n"/>
      <c r="C419" s="66" t="n"/>
      <c r="D419" s="67" t="str">
        <f>IF(C419="","",IFERROR(INDEX(eq_des,MATCH(C419,eq_code,0))&amp;"","Équipement inconnu"))</f>
        <v/>
      </c>
      <c r="E419" s="68" t="n"/>
      <c r="F419" s="68" t="n"/>
      <c r="G419" s="66" t="n"/>
      <c r="H419" s="66" t="n"/>
      <c r="I419" s="68" t="n"/>
      <c r="J419" s="73" t="n"/>
      <c r="K419" s="71" t="n"/>
      <c r="L419" s="71" t="n"/>
      <c r="M419" s="66" t="n"/>
      <c r="N419" s="80" t="n"/>
      <c r="O419" s="81" t="str">
        <f>IF(A419="","",ROUND(V419*IFERROR(N(INDEX(tech_rate,MATCH(M419,tech_name,0))),0),2))</f>
        <v/>
      </c>
      <c r="P419" s="80" t="n"/>
      <c r="Q419" s="81" t="str">
        <f>IF(A419="","",ROUND(Y419+O419+Z419,2))</f>
        <v/>
      </c>
      <c r="R419" s="79" t="str">
        <f>IF(A419="","",IF(S419=0,"Date manquante ou invalide",IF(C419="","Équipement manquant",IF(ISNA(MATCH(C419,eq_code,0)),"Équipement inconnu",IF(E419="","Type manquant",IF(AND(E419&lt;&gt;"Préventif",E419&lt;&gt;"Correctif",E419&lt;&gt;"Amélioratif"),"Type inconnu",IF(I419="","Statut manquant",IF(AND(I419&lt;&gt;"Terminée",I419&lt;&gt;"En cours",I419&lt;&gt;"À faire",I419&lt;&gt;"Annulée"),"Statut inconnu",IF(AND(E419="Préventif",F419=""),"Plan manquant (préventif)",IF(AND(F419&lt;&gt;"",ISNA(MATCH(F419,pl_num,0))),"Plan inconnu",IF(AND(F419&lt;&gt;"",IFERROR(INDEX(pl_eq,MATCH(F419,pl_num,0))&amp;"",C419)&lt;&gt;C419),"Plan d'un autre équipement",IF(AND(J419&lt;&gt;"",OR(NOT(ISNUMBER(J419)),N(J419)&lt;0)),"Compteur invalide",IF(OR(AND(K419&lt;&gt;"",OR(NOT(ISNUMBER(K419)),N(K419)&lt;0)),AND(L419&lt;&gt;"",OR(NOT(ISNUMBER(L419)),N(L419)&lt;0))),"Durée invalide",IF(OR(AND(N419&lt;&gt;"",OR(NOT(ISNUMBER(N419)),N(N419)&lt;0)),AND(P419&lt;&gt;"",OR(NOT(ISNUMBER(P419)),N(P419)&lt;0))),"Coût invalide",IF(AND(M419&lt;&gt;"",ISNA(MATCH(M419,tech_name,0))),"Technicien inconnu",IF(AND(I419="Terminée",S419&gt;p_today),"Terminée à une date future",IF(AND(I419="Terminée",V419=0),"Durée d'intervention manquante",IF(AND(I419="Terminée",E419="Préventif",T419=0,OR(IFERROR(INDEX(pl_trig,MATCH(F419,pl_num,0))&amp;"","")="Compteur",IFERROR(INDEX(pl_trig,MATCH(F419,pl_num,0))&amp;"","")="Au premier des deux")),"Compteur manquant (plan au compteur)","OK"))))))))))))))))))</f>
        <v/>
      </c>
      <c r="S419" s="67">
        <f>IF(AND(ISNUMBER(B419),N(B419)&gt;0),INT(B419),0)</f>
        <v>0.0</v>
      </c>
      <c r="T419" s="67">
        <f>IF(AND(ISNUMBER(J419),N(J419)&gt;=0),N(J419),0)</f>
        <v>0.0</v>
      </c>
      <c r="U419" s="67">
        <f>IF(AND(ISNUMBER(K419),N(K419)&gt;0),N(K419),0)</f>
        <v>0.0</v>
      </c>
      <c r="V419" s="67">
        <f>IF(AND(ISNUMBER(L419),N(L419)&gt;0),N(L419),0)</f>
        <v>0.0</v>
      </c>
      <c r="W419" s="67">
        <f>IF(AND(I419="Terminée",S419&gt;0,C419&lt;&gt;"",ISNUMBER(MATCH(C419,eq_code,0))),1,0)</f>
        <v>0.0</v>
      </c>
      <c r="X419" s="67">
        <f>IF(AND(W419=1,E419="Préventif"),1,0)</f>
        <v>0.0</v>
      </c>
      <c r="Y419" s="67">
        <f>IF(AND(ISNUMBER(N419),N(N419)&gt;0),N(N419),0)</f>
        <v>0.0</v>
      </c>
      <c r="Z419" s="67">
        <f>IF(AND(ISNUMBER(P419),N(P419)&gt;0),N(P419),0)</f>
        <v>0.0</v>
      </c>
    </row>
    <row r="420">
      <c r="A420" s="79" t="str">
        <f>IF(COUNTA(B420:C420,E420:G420,I420)=0,"","BI-"&amp;RIGHT("0000"&amp;(ROW()-5),4))</f>
        <v/>
      </c>
      <c r="B420" s="72" t="n"/>
      <c r="C420" s="66" t="n"/>
      <c r="D420" s="67" t="str">
        <f>IF(C420="","",IFERROR(INDEX(eq_des,MATCH(C420,eq_code,0))&amp;"","Équipement inconnu"))</f>
        <v/>
      </c>
      <c r="E420" s="68" t="n"/>
      <c r="F420" s="68" t="n"/>
      <c r="G420" s="66" t="n"/>
      <c r="H420" s="66" t="n"/>
      <c r="I420" s="68" t="n"/>
      <c r="J420" s="73" t="n"/>
      <c r="K420" s="71" t="n"/>
      <c r="L420" s="71" t="n"/>
      <c r="M420" s="66" t="n"/>
      <c r="N420" s="80" t="n"/>
      <c r="O420" s="81" t="str">
        <f>IF(A420="","",ROUND(V420*IFERROR(N(INDEX(tech_rate,MATCH(M420,tech_name,0))),0),2))</f>
        <v/>
      </c>
      <c r="P420" s="80" t="n"/>
      <c r="Q420" s="81" t="str">
        <f>IF(A420="","",ROUND(Y420+O420+Z420,2))</f>
        <v/>
      </c>
      <c r="R420" s="79" t="str">
        <f>IF(A420="","",IF(S420=0,"Date manquante ou invalide",IF(C420="","Équipement manquant",IF(ISNA(MATCH(C420,eq_code,0)),"Équipement inconnu",IF(E420="","Type manquant",IF(AND(E420&lt;&gt;"Préventif",E420&lt;&gt;"Correctif",E420&lt;&gt;"Amélioratif"),"Type inconnu",IF(I420="","Statut manquant",IF(AND(I420&lt;&gt;"Terminée",I420&lt;&gt;"En cours",I420&lt;&gt;"À faire",I420&lt;&gt;"Annulée"),"Statut inconnu",IF(AND(E420="Préventif",F420=""),"Plan manquant (préventif)",IF(AND(F420&lt;&gt;"",ISNA(MATCH(F420,pl_num,0))),"Plan inconnu",IF(AND(F420&lt;&gt;"",IFERROR(INDEX(pl_eq,MATCH(F420,pl_num,0))&amp;"",C420)&lt;&gt;C420),"Plan d'un autre équipement",IF(AND(J420&lt;&gt;"",OR(NOT(ISNUMBER(J420)),N(J420)&lt;0)),"Compteur invalide",IF(OR(AND(K420&lt;&gt;"",OR(NOT(ISNUMBER(K420)),N(K420)&lt;0)),AND(L420&lt;&gt;"",OR(NOT(ISNUMBER(L420)),N(L420)&lt;0))),"Durée invalide",IF(OR(AND(N420&lt;&gt;"",OR(NOT(ISNUMBER(N420)),N(N420)&lt;0)),AND(P420&lt;&gt;"",OR(NOT(ISNUMBER(P420)),N(P420)&lt;0))),"Coût invalide",IF(AND(M420&lt;&gt;"",ISNA(MATCH(M420,tech_name,0))),"Technicien inconnu",IF(AND(I420="Terminée",S420&gt;p_today),"Terminée à une date future",IF(AND(I420="Terminée",V420=0),"Durée d'intervention manquante",IF(AND(I420="Terminée",E420="Préventif",T420=0,OR(IFERROR(INDEX(pl_trig,MATCH(F420,pl_num,0))&amp;"","")="Compteur",IFERROR(INDEX(pl_trig,MATCH(F420,pl_num,0))&amp;"","")="Au premier des deux")),"Compteur manquant (plan au compteur)","OK"))))))))))))))))))</f>
        <v/>
      </c>
      <c r="S420" s="67">
        <f>IF(AND(ISNUMBER(B420),N(B420)&gt;0),INT(B420),0)</f>
        <v>0.0</v>
      </c>
      <c r="T420" s="67">
        <f>IF(AND(ISNUMBER(J420),N(J420)&gt;=0),N(J420),0)</f>
        <v>0.0</v>
      </c>
      <c r="U420" s="67">
        <f>IF(AND(ISNUMBER(K420),N(K420)&gt;0),N(K420),0)</f>
        <v>0.0</v>
      </c>
      <c r="V420" s="67">
        <f>IF(AND(ISNUMBER(L420),N(L420)&gt;0),N(L420),0)</f>
        <v>0.0</v>
      </c>
      <c r="W420" s="67">
        <f>IF(AND(I420="Terminée",S420&gt;0,C420&lt;&gt;"",ISNUMBER(MATCH(C420,eq_code,0))),1,0)</f>
        <v>0.0</v>
      </c>
      <c r="X420" s="67">
        <f>IF(AND(W420=1,E420="Préventif"),1,0)</f>
        <v>0.0</v>
      </c>
      <c r="Y420" s="67">
        <f>IF(AND(ISNUMBER(N420),N(N420)&gt;0),N(N420),0)</f>
        <v>0.0</v>
      </c>
      <c r="Z420" s="67">
        <f>IF(AND(ISNUMBER(P420),N(P420)&gt;0),N(P420),0)</f>
        <v>0.0</v>
      </c>
    </row>
    <row r="421">
      <c r="A421" s="79" t="str">
        <f>IF(COUNTA(B421:C421,E421:G421,I421)=0,"","BI-"&amp;RIGHT("0000"&amp;(ROW()-5),4))</f>
        <v/>
      </c>
      <c r="B421" s="72" t="n"/>
      <c r="C421" s="66" t="n"/>
      <c r="D421" s="67" t="str">
        <f>IF(C421="","",IFERROR(INDEX(eq_des,MATCH(C421,eq_code,0))&amp;"","Équipement inconnu"))</f>
        <v/>
      </c>
      <c r="E421" s="68" t="n"/>
      <c r="F421" s="68" t="n"/>
      <c r="G421" s="66" t="n"/>
      <c r="H421" s="66" t="n"/>
      <c r="I421" s="68" t="n"/>
      <c r="J421" s="73" t="n"/>
      <c r="K421" s="71" t="n"/>
      <c r="L421" s="71" t="n"/>
      <c r="M421" s="66" t="n"/>
      <c r="N421" s="80" t="n"/>
      <c r="O421" s="81" t="str">
        <f>IF(A421="","",ROUND(V421*IFERROR(N(INDEX(tech_rate,MATCH(M421,tech_name,0))),0),2))</f>
        <v/>
      </c>
      <c r="P421" s="80" t="n"/>
      <c r="Q421" s="81" t="str">
        <f>IF(A421="","",ROUND(Y421+O421+Z421,2))</f>
        <v/>
      </c>
      <c r="R421" s="79" t="str">
        <f>IF(A421="","",IF(S421=0,"Date manquante ou invalide",IF(C421="","Équipement manquant",IF(ISNA(MATCH(C421,eq_code,0)),"Équipement inconnu",IF(E421="","Type manquant",IF(AND(E421&lt;&gt;"Préventif",E421&lt;&gt;"Correctif",E421&lt;&gt;"Amélioratif"),"Type inconnu",IF(I421="","Statut manquant",IF(AND(I421&lt;&gt;"Terminée",I421&lt;&gt;"En cours",I421&lt;&gt;"À faire",I421&lt;&gt;"Annulée"),"Statut inconnu",IF(AND(E421="Préventif",F421=""),"Plan manquant (préventif)",IF(AND(F421&lt;&gt;"",ISNA(MATCH(F421,pl_num,0))),"Plan inconnu",IF(AND(F421&lt;&gt;"",IFERROR(INDEX(pl_eq,MATCH(F421,pl_num,0))&amp;"",C421)&lt;&gt;C421),"Plan d'un autre équipement",IF(AND(J421&lt;&gt;"",OR(NOT(ISNUMBER(J421)),N(J421)&lt;0)),"Compteur invalide",IF(OR(AND(K421&lt;&gt;"",OR(NOT(ISNUMBER(K421)),N(K421)&lt;0)),AND(L421&lt;&gt;"",OR(NOT(ISNUMBER(L421)),N(L421)&lt;0))),"Durée invalide",IF(OR(AND(N421&lt;&gt;"",OR(NOT(ISNUMBER(N421)),N(N421)&lt;0)),AND(P421&lt;&gt;"",OR(NOT(ISNUMBER(P421)),N(P421)&lt;0))),"Coût invalide",IF(AND(M421&lt;&gt;"",ISNA(MATCH(M421,tech_name,0))),"Technicien inconnu",IF(AND(I421="Terminée",S421&gt;p_today),"Terminée à une date future",IF(AND(I421="Terminée",V421=0),"Durée d'intervention manquante",IF(AND(I421="Terminée",E421="Préventif",T421=0,OR(IFERROR(INDEX(pl_trig,MATCH(F421,pl_num,0))&amp;"","")="Compteur",IFERROR(INDEX(pl_trig,MATCH(F421,pl_num,0))&amp;"","")="Au premier des deux")),"Compteur manquant (plan au compteur)","OK"))))))))))))))))))</f>
        <v/>
      </c>
      <c r="S421" s="67">
        <f>IF(AND(ISNUMBER(B421),N(B421)&gt;0),INT(B421),0)</f>
        <v>0.0</v>
      </c>
      <c r="T421" s="67">
        <f>IF(AND(ISNUMBER(J421),N(J421)&gt;=0),N(J421),0)</f>
        <v>0.0</v>
      </c>
      <c r="U421" s="67">
        <f>IF(AND(ISNUMBER(K421),N(K421)&gt;0),N(K421),0)</f>
        <v>0.0</v>
      </c>
      <c r="V421" s="67">
        <f>IF(AND(ISNUMBER(L421),N(L421)&gt;0),N(L421),0)</f>
        <v>0.0</v>
      </c>
      <c r="W421" s="67">
        <f>IF(AND(I421="Terminée",S421&gt;0,C421&lt;&gt;"",ISNUMBER(MATCH(C421,eq_code,0))),1,0)</f>
        <v>0.0</v>
      </c>
      <c r="X421" s="67">
        <f>IF(AND(W421=1,E421="Préventif"),1,0)</f>
        <v>0.0</v>
      </c>
      <c r="Y421" s="67">
        <f>IF(AND(ISNUMBER(N421),N(N421)&gt;0),N(N421),0)</f>
        <v>0.0</v>
      </c>
      <c r="Z421" s="67">
        <f>IF(AND(ISNUMBER(P421),N(P421)&gt;0),N(P421),0)</f>
        <v>0.0</v>
      </c>
    </row>
    <row r="422">
      <c r="A422" s="79" t="str">
        <f>IF(COUNTA(B422:C422,E422:G422,I422)=0,"","BI-"&amp;RIGHT("0000"&amp;(ROW()-5),4))</f>
        <v/>
      </c>
      <c r="B422" s="72" t="n"/>
      <c r="C422" s="66" t="n"/>
      <c r="D422" s="67" t="str">
        <f>IF(C422="","",IFERROR(INDEX(eq_des,MATCH(C422,eq_code,0))&amp;"","Équipement inconnu"))</f>
        <v/>
      </c>
      <c r="E422" s="68" t="n"/>
      <c r="F422" s="68" t="n"/>
      <c r="G422" s="66" t="n"/>
      <c r="H422" s="66" t="n"/>
      <c r="I422" s="68" t="n"/>
      <c r="J422" s="73" t="n"/>
      <c r="K422" s="71" t="n"/>
      <c r="L422" s="71" t="n"/>
      <c r="M422" s="66" t="n"/>
      <c r="N422" s="80" t="n"/>
      <c r="O422" s="81" t="str">
        <f>IF(A422="","",ROUND(V422*IFERROR(N(INDEX(tech_rate,MATCH(M422,tech_name,0))),0),2))</f>
        <v/>
      </c>
      <c r="P422" s="80" t="n"/>
      <c r="Q422" s="81" t="str">
        <f>IF(A422="","",ROUND(Y422+O422+Z422,2))</f>
        <v/>
      </c>
      <c r="R422" s="79" t="str">
        <f>IF(A422="","",IF(S422=0,"Date manquante ou invalide",IF(C422="","Équipement manquant",IF(ISNA(MATCH(C422,eq_code,0)),"Équipement inconnu",IF(E422="","Type manquant",IF(AND(E422&lt;&gt;"Préventif",E422&lt;&gt;"Correctif",E422&lt;&gt;"Amélioratif"),"Type inconnu",IF(I422="","Statut manquant",IF(AND(I422&lt;&gt;"Terminée",I422&lt;&gt;"En cours",I422&lt;&gt;"À faire",I422&lt;&gt;"Annulée"),"Statut inconnu",IF(AND(E422="Préventif",F422=""),"Plan manquant (préventif)",IF(AND(F422&lt;&gt;"",ISNA(MATCH(F422,pl_num,0))),"Plan inconnu",IF(AND(F422&lt;&gt;"",IFERROR(INDEX(pl_eq,MATCH(F422,pl_num,0))&amp;"",C422)&lt;&gt;C422),"Plan d'un autre équipement",IF(AND(J422&lt;&gt;"",OR(NOT(ISNUMBER(J422)),N(J422)&lt;0)),"Compteur invalide",IF(OR(AND(K422&lt;&gt;"",OR(NOT(ISNUMBER(K422)),N(K422)&lt;0)),AND(L422&lt;&gt;"",OR(NOT(ISNUMBER(L422)),N(L422)&lt;0))),"Durée invalide",IF(OR(AND(N422&lt;&gt;"",OR(NOT(ISNUMBER(N422)),N(N422)&lt;0)),AND(P422&lt;&gt;"",OR(NOT(ISNUMBER(P422)),N(P422)&lt;0))),"Coût invalide",IF(AND(M422&lt;&gt;"",ISNA(MATCH(M422,tech_name,0))),"Technicien inconnu",IF(AND(I422="Terminée",S422&gt;p_today),"Terminée à une date future",IF(AND(I422="Terminée",V422=0),"Durée d'intervention manquante",IF(AND(I422="Terminée",E422="Préventif",T422=0,OR(IFERROR(INDEX(pl_trig,MATCH(F422,pl_num,0))&amp;"","")="Compteur",IFERROR(INDEX(pl_trig,MATCH(F422,pl_num,0))&amp;"","")="Au premier des deux")),"Compteur manquant (plan au compteur)","OK"))))))))))))))))))</f>
        <v/>
      </c>
      <c r="S422" s="67">
        <f>IF(AND(ISNUMBER(B422),N(B422)&gt;0),INT(B422),0)</f>
        <v>0.0</v>
      </c>
      <c r="T422" s="67">
        <f>IF(AND(ISNUMBER(J422),N(J422)&gt;=0),N(J422),0)</f>
        <v>0.0</v>
      </c>
      <c r="U422" s="67">
        <f>IF(AND(ISNUMBER(K422),N(K422)&gt;0),N(K422),0)</f>
        <v>0.0</v>
      </c>
      <c r="V422" s="67">
        <f>IF(AND(ISNUMBER(L422),N(L422)&gt;0),N(L422),0)</f>
        <v>0.0</v>
      </c>
      <c r="W422" s="67">
        <f>IF(AND(I422="Terminée",S422&gt;0,C422&lt;&gt;"",ISNUMBER(MATCH(C422,eq_code,0))),1,0)</f>
        <v>0.0</v>
      </c>
      <c r="X422" s="67">
        <f>IF(AND(W422=1,E422="Préventif"),1,0)</f>
        <v>0.0</v>
      </c>
      <c r="Y422" s="67">
        <f>IF(AND(ISNUMBER(N422),N(N422)&gt;0),N(N422),0)</f>
        <v>0.0</v>
      </c>
      <c r="Z422" s="67">
        <f>IF(AND(ISNUMBER(P422),N(P422)&gt;0),N(P422),0)</f>
        <v>0.0</v>
      </c>
    </row>
    <row r="423">
      <c r="A423" s="79" t="str">
        <f>IF(COUNTA(B423:C423,E423:G423,I423)=0,"","BI-"&amp;RIGHT("0000"&amp;(ROW()-5),4))</f>
        <v/>
      </c>
      <c r="B423" s="72" t="n"/>
      <c r="C423" s="66" t="n"/>
      <c r="D423" s="67" t="str">
        <f>IF(C423="","",IFERROR(INDEX(eq_des,MATCH(C423,eq_code,0))&amp;"","Équipement inconnu"))</f>
        <v/>
      </c>
      <c r="E423" s="68" t="n"/>
      <c r="F423" s="68" t="n"/>
      <c r="G423" s="66" t="n"/>
      <c r="H423" s="66" t="n"/>
      <c r="I423" s="68" t="n"/>
      <c r="J423" s="73" t="n"/>
      <c r="K423" s="71" t="n"/>
      <c r="L423" s="71" t="n"/>
      <c r="M423" s="66" t="n"/>
      <c r="N423" s="80" t="n"/>
      <c r="O423" s="81" t="str">
        <f>IF(A423="","",ROUND(V423*IFERROR(N(INDEX(tech_rate,MATCH(M423,tech_name,0))),0),2))</f>
        <v/>
      </c>
      <c r="P423" s="80" t="n"/>
      <c r="Q423" s="81" t="str">
        <f>IF(A423="","",ROUND(Y423+O423+Z423,2))</f>
        <v/>
      </c>
      <c r="R423" s="79" t="str">
        <f>IF(A423="","",IF(S423=0,"Date manquante ou invalide",IF(C423="","Équipement manquant",IF(ISNA(MATCH(C423,eq_code,0)),"Équipement inconnu",IF(E423="","Type manquant",IF(AND(E423&lt;&gt;"Préventif",E423&lt;&gt;"Correctif",E423&lt;&gt;"Amélioratif"),"Type inconnu",IF(I423="","Statut manquant",IF(AND(I423&lt;&gt;"Terminée",I423&lt;&gt;"En cours",I423&lt;&gt;"À faire",I423&lt;&gt;"Annulée"),"Statut inconnu",IF(AND(E423="Préventif",F423=""),"Plan manquant (préventif)",IF(AND(F423&lt;&gt;"",ISNA(MATCH(F423,pl_num,0))),"Plan inconnu",IF(AND(F423&lt;&gt;"",IFERROR(INDEX(pl_eq,MATCH(F423,pl_num,0))&amp;"",C423)&lt;&gt;C423),"Plan d'un autre équipement",IF(AND(J423&lt;&gt;"",OR(NOT(ISNUMBER(J423)),N(J423)&lt;0)),"Compteur invalide",IF(OR(AND(K423&lt;&gt;"",OR(NOT(ISNUMBER(K423)),N(K423)&lt;0)),AND(L423&lt;&gt;"",OR(NOT(ISNUMBER(L423)),N(L423)&lt;0))),"Durée invalide",IF(OR(AND(N423&lt;&gt;"",OR(NOT(ISNUMBER(N423)),N(N423)&lt;0)),AND(P423&lt;&gt;"",OR(NOT(ISNUMBER(P423)),N(P423)&lt;0))),"Coût invalide",IF(AND(M423&lt;&gt;"",ISNA(MATCH(M423,tech_name,0))),"Technicien inconnu",IF(AND(I423="Terminée",S423&gt;p_today),"Terminée à une date future",IF(AND(I423="Terminée",V423=0),"Durée d'intervention manquante",IF(AND(I423="Terminée",E423="Préventif",T423=0,OR(IFERROR(INDEX(pl_trig,MATCH(F423,pl_num,0))&amp;"","")="Compteur",IFERROR(INDEX(pl_trig,MATCH(F423,pl_num,0))&amp;"","")="Au premier des deux")),"Compteur manquant (plan au compteur)","OK"))))))))))))))))))</f>
        <v/>
      </c>
      <c r="S423" s="67">
        <f>IF(AND(ISNUMBER(B423),N(B423)&gt;0),INT(B423),0)</f>
        <v>0.0</v>
      </c>
      <c r="T423" s="67">
        <f>IF(AND(ISNUMBER(J423),N(J423)&gt;=0),N(J423),0)</f>
        <v>0.0</v>
      </c>
      <c r="U423" s="67">
        <f>IF(AND(ISNUMBER(K423),N(K423)&gt;0),N(K423),0)</f>
        <v>0.0</v>
      </c>
      <c r="V423" s="67">
        <f>IF(AND(ISNUMBER(L423),N(L423)&gt;0),N(L423),0)</f>
        <v>0.0</v>
      </c>
      <c r="W423" s="67">
        <f>IF(AND(I423="Terminée",S423&gt;0,C423&lt;&gt;"",ISNUMBER(MATCH(C423,eq_code,0))),1,0)</f>
        <v>0.0</v>
      </c>
      <c r="X423" s="67">
        <f>IF(AND(W423=1,E423="Préventif"),1,0)</f>
        <v>0.0</v>
      </c>
      <c r="Y423" s="67">
        <f>IF(AND(ISNUMBER(N423),N(N423)&gt;0),N(N423),0)</f>
        <v>0.0</v>
      </c>
      <c r="Z423" s="67">
        <f>IF(AND(ISNUMBER(P423),N(P423)&gt;0),N(P423),0)</f>
        <v>0.0</v>
      </c>
    </row>
    <row r="424">
      <c r="A424" s="79" t="str">
        <f>IF(COUNTA(B424:C424,E424:G424,I424)=0,"","BI-"&amp;RIGHT("0000"&amp;(ROW()-5),4))</f>
        <v/>
      </c>
      <c r="B424" s="72" t="n"/>
      <c r="C424" s="66" t="n"/>
      <c r="D424" s="67" t="str">
        <f>IF(C424="","",IFERROR(INDEX(eq_des,MATCH(C424,eq_code,0))&amp;"","Équipement inconnu"))</f>
        <v/>
      </c>
      <c r="E424" s="68" t="n"/>
      <c r="F424" s="68" t="n"/>
      <c r="G424" s="66" t="n"/>
      <c r="H424" s="66" t="n"/>
      <c r="I424" s="68" t="n"/>
      <c r="J424" s="73" t="n"/>
      <c r="K424" s="71" t="n"/>
      <c r="L424" s="71" t="n"/>
      <c r="M424" s="66" t="n"/>
      <c r="N424" s="80" t="n"/>
      <c r="O424" s="81" t="str">
        <f>IF(A424="","",ROUND(V424*IFERROR(N(INDEX(tech_rate,MATCH(M424,tech_name,0))),0),2))</f>
        <v/>
      </c>
      <c r="P424" s="80" t="n"/>
      <c r="Q424" s="81" t="str">
        <f>IF(A424="","",ROUND(Y424+O424+Z424,2))</f>
        <v/>
      </c>
      <c r="R424" s="79" t="str">
        <f>IF(A424="","",IF(S424=0,"Date manquante ou invalide",IF(C424="","Équipement manquant",IF(ISNA(MATCH(C424,eq_code,0)),"Équipement inconnu",IF(E424="","Type manquant",IF(AND(E424&lt;&gt;"Préventif",E424&lt;&gt;"Correctif",E424&lt;&gt;"Amélioratif"),"Type inconnu",IF(I424="","Statut manquant",IF(AND(I424&lt;&gt;"Terminée",I424&lt;&gt;"En cours",I424&lt;&gt;"À faire",I424&lt;&gt;"Annulée"),"Statut inconnu",IF(AND(E424="Préventif",F424=""),"Plan manquant (préventif)",IF(AND(F424&lt;&gt;"",ISNA(MATCH(F424,pl_num,0))),"Plan inconnu",IF(AND(F424&lt;&gt;"",IFERROR(INDEX(pl_eq,MATCH(F424,pl_num,0))&amp;"",C424)&lt;&gt;C424),"Plan d'un autre équipement",IF(AND(J424&lt;&gt;"",OR(NOT(ISNUMBER(J424)),N(J424)&lt;0)),"Compteur invalide",IF(OR(AND(K424&lt;&gt;"",OR(NOT(ISNUMBER(K424)),N(K424)&lt;0)),AND(L424&lt;&gt;"",OR(NOT(ISNUMBER(L424)),N(L424)&lt;0))),"Durée invalide",IF(OR(AND(N424&lt;&gt;"",OR(NOT(ISNUMBER(N424)),N(N424)&lt;0)),AND(P424&lt;&gt;"",OR(NOT(ISNUMBER(P424)),N(P424)&lt;0))),"Coût invalide",IF(AND(M424&lt;&gt;"",ISNA(MATCH(M424,tech_name,0))),"Technicien inconnu",IF(AND(I424="Terminée",S424&gt;p_today),"Terminée à une date future",IF(AND(I424="Terminée",V424=0),"Durée d'intervention manquante",IF(AND(I424="Terminée",E424="Préventif",T424=0,OR(IFERROR(INDEX(pl_trig,MATCH(F424,pl_num,0))&amp;"","")="Compteur",IFERROR(INDEX(pl_trig,MATCH(F424,pl_num,0))&amp;"","")="Au premier des deux")),"Compteur manquant (plan au compteur)","OK"))))))))))))))))))</f>
        <v/>
      </c>
      <c r="S424" s="67">
        <f>IF(AND(ISNUMBER(B424),N(B424)&gt;0),INT(B424),0)</f>
        <v>0.0</v>
      </c>
      <c r="T424" s="67">
        <f>IF(AND(ISNUMBER(J424),N(J424)&gt;=0),N(J424),0)</f>
        <v>0.0</v>
      </c>
      <c r="U424" s="67">
        <f>IF(AND(ISNUMBER(K424),N(K424)&gt;0),N(K424),0)</f>
        <v>0.0</v>
      </c>
      <c r="V424" s="67">
        <f>IF(AND(ISNUMBER(L424),N(L424)&gt;0),N(L424),0)</f>
        <v>0.0</v>
      </c>
      <c r="W424" s="67">
        <f>IF(AND(I424="Terminée",S424&gt;0,C424&lt;&gt;"",ISNUMBER(MATCH(C424,eq_code,0))),1,0)</f>
        <v>0.0</v>
      </c>
      <c r="X424" s="67">
        <f>IF(AND(W424=1,E424="Préventif"),1,0)</f>
        <v>0.0</v>
      </c>
      <c r="Y424" s="67">
        <f>IF(AND(ISNUMBER(N424),N(N424)&gt;0),N(N424),0)</f>
        <v>0.0</v>
      </c>
      <c r="Z424" s="67">
        <f>IF(AND(ISNUMBER(P424),N(P424)&gt;0),N(P424),0)</f>
        <v>0.0</v>
      </c>
    </row>
    <row r="425">
      <c r="A425" s="79" t="str">
        <f>IF(COUNTA(B425:C425,E425:G425,I425)=0,"","BI-"&amp;RIGHT("0000"&amp;(ROW()-5),4))</f>
        <v/>
      </c>
      <c r="B425" s="72" t="n"/>
      <c r="C425" s="66" t="n"/>
      <c r="D425" s="67" t="str">
        <f>IF(C425="","",IFERROR(INDEX(eq_des,MATCH(C425,eq_code,0))&amp;"","Équipement inconnu"))</f>
        <v/>
      </c>
      <c r="E425" s="68" t="n"/>
      <c r="F425" s="68" t="n"/>
      <c r="G425" s="66" t="n"/>
      <c r="H425" s="66" t="n"/>
      <c r="I425" s="68" t="n"/>
      <c r="J425" s="73" t="n"/>
      <c r="K425" s="71" t="n"/>
      <c r="L425" s="71" t="n"/>
      <c r="M425" s="66" t="n"/>
      <c r="N425" s="80" t="n"/>
      <c r="O425" s="81" t="str">
        <f>IF(A425="","",ROUND(V425*IFERROR(N(INDEX(tech_rate,MATCH(M425,tech_name,0))),0),2))</f>
        <v/>
      </c>
      <c r="P425" s="80" t="n"/>
      <c r="Q425" s="81" t="str">
        <f>IF(A425="","",ROUND(Y425+O425+Z425,2))</f>
        <v/>
      </c>
      <c r="R425" s="79" t="str">
        <f>IF(A425="","",IF(S425=0,"Date manquante ou invalide",IF(C425="","Équipement manquant",IF(ISNA(MATCH(C425,eq_code,0)),"Équipement inconnu",IF(E425="","Type manquant",IF(AND(E425&lt;&gt;"Préventif",E425&lt;&gt;"Correctif",E425&lt;&gt;"Amélioratif"),"Type inconnu",IF(I425="","Statut manquant",IF(AND(I425&lt;&gt;"Terminée",I425&lt;&gt;"En cours",I425&lt;&gt;"À faire",I425&lt;&gt;"Annulée"),"Statut inconnu",IF(AND(E425="Préventif",F425=""),"Plan manquant (préventif)",IF(AND(F425&lt;&gt;"",ISNA(MATCH(F425,pl_num,0))),"Plan inconnu",IF(AND(F425&lt;&gt;"",IFERROR(INDEX(pl_eq,MATCH(F425,pl_num,0))&amp;"",C425)&lt;&gt;C425),"Plan d'un autre équipement",IF(AND(J425&lt;&gt;"",OR(NOT(ISNUMBER(J425)),N(J425)&lt;0)),"Compteur invalide",IF(OR(AND(K425&lt;&gt;"",OR(NOT(ISNUMBER(K425)),N(K425)&lt;0)),AND(L425&lt;&gt;"",OR(NOT(ISNUMBER(L425)),N(L425)&lt;0))),"Durée invalide",IF(OR(AND(N425&lt;&gt;"",OR(NOT(ISNUMBER(N425)),N(N425)&lt;0)),AND(P425&lt;&gt;"",OR(NOT(ISNUMBER(P425)),N(P425)&lt;0))),"Coût invalide",IF(AND(M425&lt;&gt;"",ISNA(MATCH(M425,tech_name,0))),"Technicien inconnu",IF(AND(I425="Terminée",S425&gt;p_today),"Terminée à une date future",IF(AND(I425="Terminée",V425=0),"Durée d'intervention manquante",IF(AND(I425="Terminée",E425="Préventif",T425=0,OR(IFERROR(INDEX(pl_trig,MATCH(F425,pl_num,0))&amp;"","")="Compteur",IFERROR(INDEX(pl_trig,MATCH(F425,pl_num,0))&amp;"","")="Au premier des deux")),"Compteur manquant (plan au compteur)","OK"))))))))))))))))))</f>
        <v/>
      </c>
      <c r="S425" s="67">
        <f>IF(AND(ISNUMBER(B425),N(B425)&gt;0),INT(B425),0)</f>
        <v>0.0</v>
      </c>
      <c r="T425" s="67">
        <f>IF(AND(ISNUMBER(J425),N(J425)&gt;=0),N(J425),0)</f>
        <v>0.0</v>
      </c>
      <c r="U425" s="67">
        <f>IF(AND(ISNUMBER(K425),N(K425)&gt;0),N(K425),0)</f>
        <v>0.0</v>
      </c>
      <c r="V425" s="67">
        <f>IF(AND(ISNUMBER(L425),N(L425)&gt;0),N(L425),0)</f>
        <v>0.0</v>
      </c>
      <c r="W425" s="67">
        <f>IF(AND(I425="Terminée",S425&gt;0,C425&lt;&gt;"",ISNUMBER(MATCH(C425,eq_code,0))),1,0)</f>
        <v>0.0</v>
      </c>
      <c r="X425" s="67">
        <f>IF(AND(W425=1,E425="Préventif"),1,0)</f>
        <v>0.0</v>
      </c>
      <c r="Y425" s="67">
        <f>IF(AND(ISNUMBER(N425),N(N425)&gt;0),N(N425),0)</f>
        <v>0.0</v>
      </c>
      <c r="Z425" s="67">
        <f>IF(AND(ISNUMBER(P425),N(P425)&gt;0),N(P425),0)</f>
        <v>0.0</v>
      </c>
    </row>
    <row r="426">
      <c r="A426" s="79" t="str">
        <f>IF(COUNTA(B426:C426,E426:G426,I426)=0,"","BI-"&amp;RIGHT("0000"&amp;(ROW()-5),4))</f>
        <v/>
      </c>
      <c r="B426" s="72" t="n"/>
      <c r="C426" s="66" t="n"/>
      <c r="D426" s="67" t="str">
        <f>IF(C426="","",IFERROR(INDEX(eq_des,MATCH(C426,eq_code,0))&amp;"","Équipement inconnu"))</f>
        <v/>
      </c>
      <c r="E426" s="68" t="n"/>
      <c r="F426" s="68" t="n"/>
      <c r="G426" s="66" t="n"/>
      <c r="H426" s="66" t="n"/>
      <c r="I426" s="68" t="n"/>
      <c r="J426" s="73" t="n"/>
      <c r="K426" s="71" t="n"/>
      <c r="L426" s="71" t="n"/>
      <c r="M426" s="66" t="n"/>
      <c r="N426" s="80" t="n"/>
      <c r="O426" s="81" t="str">
        <f>IF(A426="","",ROUND(V426*IFERROR(N(INDEX(tech_rate,MATCH(M426,tech_name,0))),0),2))</f>
        <v/>
      </c>
      <c r="P426" s="80" t="n"/>
      <c r="Q426" s="81" t="str">
        <f>IF(A426="","",ROUND(Y426+O426+Z426,2))</f>
        <v/>
      </c>
      <c r="R426" s="79" t="str">
        <f>IF(A426="","",IF(S426=0,"Date manquante ou invalide",IF(C426="","Équipement manquant",IF(ISNA(MATCH(C426,eq_code,0)),"Équipement inconnu",IF(E426="","Type manquant",IF(AND(E426&lt;&gt;"Préventif",E426&lt;&gt;"Correctif",E426&lt;&gt;"Amélioratif"),"Type inconnu",IF(I426="","Statut manquant",IF(AND(I426&lt;&gt;"Terminée",I426&lt;&gt;"En cours",I426&lt;&gt;"À faire",I426&lt;&gt;"Annulée"),"Statut inconnu",IF(AND(E426="Préventif",F426=""),"Plan manquant (préventif)",IF(AND(F426&lt;&gt;"",ISNA(MATCH(F426,pl_num,0))),"Plan inconnu",IF(AND(F426&lt;&gt;"",IFERROR(INDEX(pl_eq,MATCH(F426,pl_num,0))&amp;"",C426)&lt;&gt;C426),"Plan d'un autre équipement",IF(AND(J426&lt;&gt;"",OR(NOT(ISNUMBER(J426)),N(J426)&lt;0)),"Compteur invalide",IF(OR(AND(K426&lt;&gt;"",OR(NOT(ISNUMBER(K426)),N(K426)&lt;0)),AND(L426&lt;&gt;"",OR(NOT(ISNUMBER(L426)),N(L426)&lt;0))),"Durée invalide",IF(OR(AND(N426&lt;&gt;"",OR(NOT(ISNUMBER(N426)),N(N426)&lt;0)),AND(P426&lt;&gt;"",OR(NOT(ISNUMBER(P426)),N(P426)&lt;0))),"Coût invalide",IF(AND(M426&lt;&gt;"",ISNA(MATCH(M426,tech_name,0))),"Technicien inconnu",IF(AND(I426="Terminée",S426&gt;p_today),"Terminée à une date future",IF(AND(I426="Terminée",V426=0),"Durée d'intervention manquante",IF(AND(I426="Terminée",E426="Préventif",T426=0,OR(IFERROR(INDEX(pl_trig,MATCH(F426,pl_num,0))&amp;"","")="Compteur",IFERROR(INDEX(pl_trig,MATCH(F426,pl_num,0))&amp;"","")="Au premier des deux")),"Compteur manquant (plan au compteur)","OK"))))))))))))))))))</f>
        <v/>
      </c>
      <c r="S426" s="67">
        <f>IF(AND(ISNUMBER(B426),N(B426)&gt;0),INT(B426),0)</f>
        <v>0.0</v>
      </c>
      <c r="T426" s="67">
        <f>IF(AND(ISNUMBER(J426),N(J426)&gt;=0),N(J426),0)</f>
        <v>0.0</v>
      </c>
      <c r="U426" s="67">
        <f>IF(AND(ISNUMBER(K426),N(K426)&gt;0),N(K426),0)</f>
        <v>0.0</v>
      </c>
      <c r="V426" s="67">
        <f>IF(AND(ISNUMBER(L426),N(L426)&gt;0),N(L426),0)</f>
        <v>0.0</v>
      </c>
      <c r="W426" s="67">
        <f>IF(AND(I426="Terminée",S426&gt;0,C426&lt;&gt;"",ISNUMBER(MATCH(C426,eq_code,0))),1,0)</f>
        <v>0.0</v>
      </c>
      <c r="X426" s="67">
        <f>IF(AND(W426=1,E426="Préventif"),1,0)</f>
        <v>0.0</v>
      </c>
      <c r="Y426" s="67">
        <f>IF(AND(ISNUMBER(N426),N(N426)&gt;0),N(N426),0)</f>
        <v>0.0</v>
      </c>
      <c r="Z426" s="67">
        <f>IF(AND(ISNUMBER(P426),N(P426)&gt;0),N(P426),0)</f>
        <v>0.0</v>
      </c>
    </row>
    <row r="427">
      <c r="A427" s="79" t="str">
        <f>IF(COUNTA(B427:C427,E427:G427,I427)=0,"","BI-"&amp;RIGHT("0000"&amp;(ROW()-5),4))</f>
        <v/>
      </c>
      <c r="B427" s="72" t="n"/>
      <c r="C427" s="66" t="n"/>
      <c r="D427" s="67" t="str">
        <f>IF(C427="","",IFERROR(INDEX(eq_des,MATCH(C427,eq_code,0))&amp;"","Équipement inconnu"))</f>
        <v/>
      </c>
      <c r="E427" s="68" t="n"/>
      <c r="F427" s="68" t="n"/>
      <c r="G427" s="66" t="n"/>
      <c r="H427" s="66" t="n"/>
      <c r="I427" s="68" t="n"/>
      <c r="J427" s="73" t="n"/>
      <c r="K427" s="71" t="n"/>
      <c r="L427" s="71" t="n"/>
      <c r="M427" s="66" t="n"/>
      <c r="N427" s="80" t="n"/>
      <c r="O427" s="81" t="str">
        <f>IF(A427="","",ROUND(V427*IFERROR(N(INDEX(tech_rate,MATCH(M427,tech_name,0))),0),2))</f>
        <v/>
      </c>
      <c r="P427" s="80" t="n"/>
      <c r="Q427" s="81" t="str">
        <f>IF(A427="","",ROUND(Y427+O427+Z427,2))</f>
        <v/>
      </c>
      <c r="R427" s="79" t="str">
        <f>IF(A427="","",IF(S427=0,"Date manquante ou invalide",IF(C427="","Équipement manquant",IF(ISNA(MATCH(C427,eq_code,0)),"Équipement inconnu",IF(E427="","Type manquant",IF(AND(E427&lt;&gt;"Préventif",E427&lt;&gt;"Correctif",E427&lt;&gt;"Amélioratif"),"Type inconnu",IF(I427="","Statut manquant",IF(AND(I427&lt;&gt;"Terminée",I427&lt;&gt;"En cours",I427&lt;&gt;"À faire",I427&lt;&gt;"Annulée"),"Statut inconnu",IF(AND(E427="Préventif",F427=""),"Plan manquant (préventif)",IF(AND(F427&lt;&gt;"",ISNA(MATCH(F427,pl_num,0))),"Plan inconnu",IF(AND(F427&lt;&gt;"",IFERROR(INDEX(pl_eq,MATCH(F427,pl_num,0))&amp;"",C427)&lt;&gt;C427),"Plan d'un autre équipement",IF(AND(J427&lt;&gt;"",OR(NOT(ISNUMBER(J427)),N(J427)&lt;0)),"Compteur invalide",IF(OR(AND(K427&lt;&gt;"",OR(NOT(ISNUMBER(K427)),N(K427)&lt;0)),AND(L427&lt;&gt;"",OR(NOT(ISNUMBER(L427)),N(L427)&lt;0))),"Durée invalide",IF(OR(AND(N427&lt;&gt;"",OR(NOT(ISNUMBER(N427)),N(N427)&lt;0)),AND(P427&lt;&gt;"",OR(NOT(ISNUMBER(P427)),N(P427)&lt;0))),"Coût invalide",IF(AND(M427&lt;&gt;"",ISNA(MATCH(M427,tech_name,0))),"Technicien inconnu",IF(AND(I427="Terminée",S427&gt;p_today),"Terminée à une date future",IF(AND(I427="Terminée",V427=0),"Durée d'intervention manquante",IF(AND(I427="Terminée",E427="Préventif",T427=0,OR(IFERROR(INDEX(pl_trig,MATCH(F427,pl_num,0))&amp;"","")="Compteur",IFERROR(INDEX(pl_trig,MATCH(F427,pl_num,0))&amp;"","")="Au premier des deux")),"Compteur manquant (plan au compteur)","OK"))))))))))))))))))</f>
        <v/>
      </c>
      <c r="S427" s="67">
        <f>IF(AND(ISNUMBER(B427),N(B427)&gt;0),INT(B427),0)</f>
        <v>0.0</v>
      </c>
      <c r="T427" s="67">
        <f>IF(AND(ISNUMBER(J427),N(J427)&gt;=0),N(J427),0)</f>
        <v>0.0</v>
      </c>
      <c r="U427" s="67">
        <f>IF(AND(ISNUMBER(K427),N(K427)&gt;0),N(K427),0)</f>
        <v>0.0</v>
      </c>
      <c r="V427" s="67">
        <f>IF(AND(ISNUMBER(L427),N(L427)&gt;0),N(L427),0)</f>
        <v>0.0</v>
      </c>
      <c r="W427" s="67">
        <f>IF(AND(I427="Terminée",S427&gt;0,C427&lt;&gt;"",ISNUMBER(MATCH(C427,eq_code,0))),1,0)</f>
        <v>0.0</v>
      </c>
      <c r="X427" s="67">
        <f>IF(AND(W427=1,E427="Préventif"),1,0)</f>
        <v>0.0</v>
      </c>
      <c r="Y427" s="67">
        <f>IF(AND(ISNUMBER(N427),N(N427)&gt;0),N(N427),0)</f>
        <v>0.0</v>
      </c>
      <c r="Z427" s="67">
        <f>IF(AND(ISNUMBER(P427),N(P427)&gt;0),N(P427),0)</f>
        <v>0.0</v>
      </c>
    </row>
    <row r="428">
      <c r="A428" s="79" t="str">
        <f>IF(COUNTA(B428:C428,E428:G428,I428)=0,"","BI-"&amp;RIGHT("0000"&amp;(ROW()-5),4))</f>
        <v/>
      </c>
      <c r="B428" s="72" t="n"/>
      <c r="C428" s="66" t="n"/>
      <c r="D428" s="67" t="str">
        <f>IF(C428="","",IFERROR(INDEX(eq_des,MATCH(C428,eq_code,0))&amp;"","Équipement inconnu"))</f>
        <v/>
      </c>
      <c r="E428" s="68" t="n"/>
      <c r="F428" s="68" t="n"/>
      <c r="G428" s="66" t="n"/>
      <c r="H428" s="66" t="n"/>
      <c r="I428" s="68" t="n"/>
      <c r="J428" s="73" t="n"/>
      <c r="K428" s="71" t="n"/>
      <c r="L428" s="71" t="n"/>
      <c r="M428" s="66" t="n"/>
      <c r="N428" s="80" t="n"/>
      <c r="O428" s="81" t="str">
        <f>IF(A428="","",ROUND(V428*IFERROR(N(INDEX(tech_rate,MATCH(M428,tech_name,0))),0),2))</f>
        <v/>
      </c>
      <c r="P428" s="80" t="n"/>
      <c r="Q428" s="81" t="str">
        <f>IF(A428="","",ROUND(Y428+O428+Z428,2))</f>
        <v/>
      </c>
      <c r="R428" s="79" t="str">
        <f>IF(A428="","",IF(S428=0,"Date manquante ou invalide",IF(C428="","Équipement manquant",IF(ISNA(MATCH(C428,eq_code,0)),"Équipement inconnu",IF(E428="","Type manquant",IF(AND(E428&lt;&gt;"Préventif",E428&lt;&gt;"Correctif",E428&lt;&gt;"Amélioratif"),"Type inconnu",IF(I428="","Statut manquant",IF(AND(I428&lt;&gt;"Terminée",I428&lt;&gt;"En cours",I428&lt;&gt;"À faire",I428&lt;&gt;"Annulée"),"Statut inconnu",IF(AND(E428="Préventif",F428=""),"Plan manquant (préventif)",IF(AND(F428&lt;&gt;"",ISNA(MATCH(F428,pl_num,0))),"Plan inconnu",IF(AND(F428&lt;&gt;"",IFERROR(INDEX(pl_eq,MATCH(F428,pl_num,0))&amp;"",C428)&lt;&gt;C428),"Plan d'un autre équipement",IF(AND(J428&lt;&gt;"",OR(NOT(ISNUMBER(J428)),N(J428)&lt;0)),"Compteur invalide",IF(OR(AND(K428&lt;&gt;"",OR(NOT(ISNUMBER(K428)),N(K428)&lt;0)),AND(L428&lt;&gt;"",OR(NOT(ISNUMBER(L428)),N(L428)&lt;0))),"Durée invalide",IF(OR(AND(N428&lt;&gt;"",OR(NOT(ISNUMBER(N428)),N(N428)&lt;0)),AND(P428&lt;&gt;"",OR(NOT(ISNUMBER(P428)),N(P428)&lt;0))),"Coût invalide",IF(AND(M428&lt;&gt;"",ISNA(MATCH(M428,tech_name,0))),"Technicien inconnu",IF(AND(I428="Terminée",S428&gt;p_today),"Terminée à une date future",IF(AND(I428="Terminée",V428=0),"Durée d'intervention manquante",IF(AND(I428="Terminée",E428="Préventif",T428=0,OR(IFERROR(INDEX(pl_trig,MATCH(F428,pl_num,0))&amp;"","")="Compteur",IFERROR(INDEX(pl_trig,MATCH(F428,pl_num,0))&amp;"","")="Au premier des deux")),"Compteur manquant (plan au compteur)","OK"))))))))))))))))))</f>
        <v/>
      </c>
      <c r="S428" s="67">
        <f>IF(AND(ISNUMBER(B428),N(B428)&gt;0),INT(B428),0)</f>
        <v>0.0</v>
      </c>
      <c r="T428" s="67">
        <f>IF(AND(ISNUMBER(J428),N(J428)&gt;=0),N(J428),0)</f>
        <v>0.0</v>
      </c>
      <c r="U428" s="67">
        <f>IF(AND(ISNUMBER(K428),N(K428)&gt;0),N(K428),0)</f>
        <v>0.0</v>
      </c>
      <c r="V428" s="67">
        <f>IF(AND(ISNUMBER(L428),N(L428)&gt;0),N(L428),0)</f>
        <v>0.0</v>
      </c>
      <c r="W428" s="67">
        <f>IF(AND(I428="Terminée",S428&gt;0,C428&lt;&gt;"",ISNUMBER(MATCH(C428,eq_code,0))),1,0)</f>
        <v>0.0</v>
      </c>
      <c r="X428" s="67">
        <f>IF(AND(W428=1,E428="Préventif"),1,0)</f>
        <v>0.0</v>
      </c>
      <c r="Y428" s="67">
        <f>IF(AND(ISNUMBER(N428),N(N428)&gt;0),N(N428),0)</f>
        <v>0.0</v>
      </c>
      <c r="Z428" s="67">
        <f>IF(AND(ISNUMBER(P428),N(P428)&gt;0),N(P428),0)</f>
        <v>0.0</v>
      </c>
    </row>
    <row r="429">
      <c r="A429" s="79" t="str">
        <f>IF(COUNTA(B429:C429,E429:G429,I429)=0,"","BI-"&amp;RIGHT("0000"&amp;(ROW()-5),4))</f>
        <v/>
      </c>
      <c r="B429" s="72" t="n"/>
      <c r="C429" s="66" t="n"/>
      <c r="D429" s="67" t="str">
        <f>IF(C429="","",IFERROR(INDEX(eq_des,MATCH(C429,eq_code,0))&amp;"","Équipement inconnu"))</f>
        <v/>
      </c>
      <c r="E429" s="68" t="n"/>
      <c r="F429" s="68" t="n"/>
      <c r="G429" s="66" t="n"/>
      <c r="H429" s="66" t="n"/>
      <c r="I429" s="68" t="n"/>
      <c r="J429" s="73" t="n"/>
      <c r="K429" s="71" t="n"/>
      <c r="L429" s="71" t="n"/>
      <c r="M429" s="66" t="n"/>
      <c r="N429" s="80" t="n"/>
      <c r="O429" s="81" t="str">
        <f>IF(A429="","",ROUND(V429*IFERROR(N(INDEX(tech_rate,MATCH(M429,tech_name,0))),0),2))</f>
        <v/>
      </c>
      <c r="P429" s="80" t="n"/>
      <c r="Q429" s="81" t="str">
        <f>IF(A429="","",ROUND(Y429+O429+Z429,2))</f>
        <v/>
      </c>
      <c r="R429" s="79" t="str">
        <f>IF(A429="","",IF(S429=0,"Date manquante ou invalide",IF(C429="","Équipement manquant",IF(ISNA(MATCH(C429,eq_code,0)),"Équipement inconnu",IF(E429="","Type manquant",IF(AND(E429&lt;&gt;"Préventif",E429&lt;&gt;"Correctif",E429&lt;&gt;"Amélioratif"),"Type inconnu",IF(I429="","Statut manquant",IF(AND(I429&lt;&gt;"Terminée",I429&lt;&gt;"En cours",I429&lt;&gt;"À faire",I429&lt;&gt;"Annulée"),"Statut inconnu",IF(AND(E429="Préventif",F429=""),"Plan manquant (préventif)",IF(AND(F429&lt;&gt;"",ISNA(MATCH(F429,pl_num,0))),"Plan inconnu",IF(AND(F429&lt;&gt;"",IFERROR(INDEX(pl_eq,MATCH(F429,pl_num,0))&amp;"",C429)&lt;&gt;C429),"Plan d'un autre équipement",IF(AND(J429&lt;&gt;"",OR(NOT(ISNUMBER(J429)),N(J429)&lt;0)),"Compteur invalide",IF(OR(AND(K429&lt;&gt;"",OR(NOT(ISNUMBER(K429)),N(K429)&lt;0)),AND(L429&lt;&gt;"",OR(NOT(ISNUMBER(L429)),N(L429)&lt;0))),"Durée invalide",IF(OR(AND(N429&lt;&gt;"",OR(NOT(ISNUMBER(N429)),N(N429)&lt;0)),AND(P429&lt;&gt;"",OR(NOT(ISNUMBER(P429)),N(P429)&lt;0))),"Coût invalide",IF(AND(M429&lt;&gt;"",ISNA(MATCH(M429,tech_name,0))),"Technicien inconnu",IF(AND(I429="Terminée",S429&gt;p_today),"Terminée à une date future",IF(AND(I429="Terminée",V429=0),"Durée d'intervention manquante",IF(AND(I429="Terminée",E429="Préventif",T429=0,OR(IFERROR(INDEX(pl_trig,MATCH(F429,pl_num,0))&amp;"","")="Compteur",IFERROR(INDEX(pl_trig,MATCH(F429,pl_num,0))&amp;"","")="Au premier des deux")),"Compteur manquant (plan au compteur)","OK"))))))))))))))))))</f>
        <v/>
      </c>
      <c r="S429" s="67">
        <f>IF(AND(ISNUMBER(B429),N(B429)&gt;0),INT(B429),0)</f>
        <v>0.0</v>
      </c>
      <c r="T429" s="67">
        <f>IF(AND(ISNUMBER(J429),N(J429)&gt;=0),N(J429),0)</f>
        <v>0.0</v>
      </c>
      <c r="U429" s="67">
        <f>IF(AND(ISNUMBER(K429),N(K429)&gt;0),N(K429),0)</f>
        <v>0.0</v>
      </c>
      <c r="V429" s="67">
        <f>IF(AND(ISNUMBER(L429),N(L429)&gt;0),N(L429),0)</f>
        <v>0.0</v>
      </c>
      <c r="W429" s="67">
        <f>IF(AND(I429="Terminée",S429&gt;0,C429&lt;&gt;"",ISNUMBER(MATCH(C429,eq_code,0))),1,0)</f>
        <v>0.0</v>
      </c>
      <c r="X429" s="67">
        <f>IF(AND(W429=1,E429="Préventif"),1,0)</f>
        <v>0.0</v>
      </c>
      <c r="Y429" s="67">
        <f>IF(AND(ISNUMBER(N429),N(N429)&gt;0),N(N429),0)</f>
        <v>0.0</v>
      </c>
      <c r="Z429" s="67">
        <f>IF(AND(ISNUMBER(P429),N(P429)&gt;0),N(P429),0)</f>
        <v>0.0</v>
      </c>
    </row>
    <row r="430">
      <c r="A430" s="79" t="str">
        <f>IF(COUNTA(B430:C430,E430:G430,I430)=0,"","BI-"&amp;RIGHT("0000"&amp;(ROW()-5),4))</f>
        <v/>
      </c>
      <c r="B430" s="72" t="n"/>
      <c r="C430" s="66" t="n"/>
      <c r="D430" s="67" t="str">
        <f>IF(C430="","",IFERROR(INDEX(eq_des,MATCH(C430,eq_code,0))&amp;"","Équipement inconnu"))</f>
        <v/>
      </c>
      <c r="E430" s="68" t="n"/>
      <c r="F430" s="68" t="n"/>
      <c r="G430" s="66" t="n"/>
      <c r="H430" s="66" t="n"/>
      <c r="I430" s="68" t="n"/>
      <c r="J430" s="73" t="n"/>
      <c r="K430" s="71" t="n"/>
      <c r="L430" s="71" t="n"/>
      <c r="M430" s="66" t="n"/>
      <c r="N430" s="80" t="n"/>
      <c r="O430" s="81" t="str">
        <f>IF(A430="","",ROUND(V430*IFERROR(N(INDEX(tech_rate,MATCH(M430,tech_name,0))),0),2))</f>
        <v/>
      </c>
      <c r="P430" s="80" t="n"/>
      <c r="Q430" s="81" t="str">
        <f>IF(A430="","",ROUND(Y430+O430+Z430,2))</f>
        <v/>
      </c>
      <c r="R430" s="79" t="str">
        <f>IF(A430="","",IF(S430=0,"Date manquante ou invalide",IF(C430="","Équipement manquant",IF(ISNA(MATCH(C430,eq_code,0)),"Équipement inconnu",IF(E430="","Type manquant",IF(AND(E430&lt;&gt;"Préventif",E430&lt;&gt;"Correctif",E430&lt;&gt;"Amélioratif"),"Type inconnu",IF(I430="","Statut manquant",IF(AND(I430&lt;&gt;"Terminée",I430&lt;&gt;"En cours",I430&lt;&gt;"À faire",I430&lt;&gt;"Annulée"),"Statut inconnu",IF(AND(E430="Préventif",F430=""),"Plan manquant (préventif)",IF(AND(F430&lt;&gt;"",ISNA(MATCH(F430,pl_num,0))),"Plan inconnu",IF(AND(F430&lt;&gt;"",IFERROR(INDEX(pl_eq,MATCH(F430,pl_num,0))&amp;"",C430)&lt;&gt;C430),"Plan d'un autre équipement",IF(AND(J430&lt;&gt;"",OR(NOT(ISNUMBER(J430)),N(J430)&lt;0)),"Compteur invalide",IF(OR(AND(K430&lt;&gt;"",OR(NOT(ISNUMBER(K430)),N(K430)&lt;0)),AND(L430&lt;&gt;"",OR(NOT(ISNUMBER(L430)),N(L430)&lt;0))),"Durée invalide",IF(OR(AND(N430&lt;&gt;"",OR(NOT(ISNUMBER(N430)),N(N430)&lt;0)),AND(P430&lt;&gt;"",OR(NOT(ISNUMBER(P430)),N(P430)&lt;0))),"Coût invalide",IF(AND(M430&lt;&gt;"",ISNA(MATCH(M430,tech_name,0))),"Technicien inconnu",IF(AND(I430="Terminée",S430&gt;p_today),"Terminée à une date future",IF(AND(I430="Terminée",V430=0),"Durée d'intervention manquante",IF(AND(I430="Terminée",E430="Préventif",T430=0,OR(IFERROR(INDEX(pl_trig,MATCH(F430,pl_num,0))&amp;"","")="Compteur",IFERROR(INDEX(pl_trig,MATCH(F430,pl_num,0))&amp;"","")="Au premier des deux")),"Compteur manquant (plan au compteur)","OK"))))))))))))))))))</f>
        <v/>
      </c>
      <c r="S430" s="67">
        <f>IF(AND(ISNUMBER(B430),N(B430)&gt;0),INT(B430),0)</f>
        <v>0.0</v>
      </c>
      <c r="T430" s="67">
        <f>IF(AND(ISNUMBER(J430),N(J430)&gt;=0),N(J430),0)</f>
        <v>0.0</v>
      </c>
      <c r="U430" s="67">
        <f>IF(AND(ISNUMBER(K430),N(K430)&gt;0),N(K430),0)</f>
        <v>0.0</v>
      </c>
      <c r="V430" s="67">
        <f>IF(AND(ISNUMBER(L430),N(L430)&gt;0),N(L430),0)</f>
        <v>0.0</v>
      </c>
      <c r="W430" s="67">
        <f>IF(AND(I430="Terminée",S430&gt;0,C430&lt;&gt;"",ISNUMBER(MATCH(C430,eq_code,0))),1,0)</f>
        <v>0.0</v>
      </c>
      <c r="X430" s="67">
        <f>IF(AND(W430=1,E430="Préventif"),1,0)</f>
        <v>0.0</v>
      </c>
      <c r="Y430" s="67">
        <f>IF(AND(ISNUMBER(N430),N(N430)&gt;0),N(N430),0)</f>
        <v>0.0</v>
      </c>
      <c r="Z430" s="67">
        <f>IF(AND(ISNUMBER(P430),N(P430)&gt;0),N(P430),0)</f>
        <v>0.0</v>
      </c>
    </row>
    <row r="431">
      <c r="A431" s="79" t="str">
        <f>IF(COUNTA(B431:C431,E431:G431,I431)=0,"","BI-"&amp;RIGHT("0000"&amp;(ROW()-5),4))</f>
        <v/>
      </c>
      <c r="B431" s="72" t="n"/>
      <c r="C431" s="66" t="n"/>
      <c r="D431" s="67" t="str">
        <f>IF(C431="","",IFERROR(INDEX(eq_des,MATCH(C431,eq_code,0))&amp;"","Équipement inconnu"))</f>
        <v/>
      </c>
      <c r="E431" s="68" t="n"/>
      <c r="F431" s="68" t="n"/>
      <c r="G431" s="66" t="n"/>
      <c r="H431" s="66" t="n"/>
      <c r="I431" s="68" t="n"/>
      <c r="J431" s="73" t="n"/>
      <c r="K431" s="71" t="n"/>
      <c r="L431" s="71" t="n"/>
      <c r="M431" s="66" t="n"/>
      <c r="N431" s="80" t="n"/>
      <c r="O431" s="81" t="str">
        <f>IF(A431="","",ROUND(V431*IFERROR(N(INDEX(tech_rate,MATCH(M431,tech_name,0))),0),2))</f>
        <v/>
      </c>
      <c r="P431" s="80" t="n"/>
      <c r="Q431" s="81" t="str">
        <f>IF(A431="","",ROUND(Y431+O431+Z431,2))</f>
        <v/>
      </c>
      <c r="R431" s="79" t="str">
        <f>IF(A431="","",IF(S431=0,"Date manquante ou invalide",IF(C431="","Équipement manquant",IF(ISNA(MATCH(C431,eq_code,0)),"Équipement inconnu",IF(E431="","Type manquant",IF(AND(E431&lt;&gt;"Préventif",E431&lt;&gt;"Correctif",E431&lt;&gt;"Amélioratif"),"Type inconnu",IF(I431="","Statut manquant",IF(AND(I431&lt;&gt;"Terminée",I431&lt;&gt;"En cours",I431&lt;&gt;"À faire",I431&lt;&gt;"Annulée"),"Statut inconnu",IF(AND(E431="Préventif",F431=""),"Plan manquant (préventif)",IF(AND(F431&lt;&gt;"",ISNA(MATCH(F431,pl_num,0))),"Plan inconnu",IF(AND(F431&lt;&gt;"",IFERROR(INDEX(pl_eq,MATCH(F431,pl_num,0))&amp;"",C431)&lt;&gt;C431),"Plan d'un autre équipement",IF(AND(J431&lt;&gt;"",OR(NOT(ISNUMBER(J431)),N(J431)&lt;0)),"Compteur invalide",IF(OR(AND(K431&lt;&gt;"",OR(NOT(ISNUMBER(K431)),N(K431)&lt;0)),AND(L431&lt;&gt;"",OR(NOT(ISNUMBER(L431)),N(L431)&lt;0))),"Durée invalide",IF(OR(AND(N431&lt;&gt;"",OR(NOT(ISNUMBER(N431)),N(N431)&lt;0)),AND(P431&lt;&gt;"",OR(NOT(ISNUMBER(P431)),N(P431)&lt;0))),"Coût invalide",IF(AND(M431&lt;&gt;"",ISNA(MATCH(M431,tech_name,0))),"Technicien inconnu",IF(AND(I431="Terminée",S431&gt;p_today),"Terminée à une date future",IF(AND(I431="Terminée",V431=0),"Durée d'intervention manquante",IF(AND(I431="Terminée",E431="Préventif",T431=0,OR(IFERROR(INDEX(pl_trig,MATCH(F431,pl_num,0))&amp;"","")="Compteur",IFERROR(INDEX(pl_trig,MATCH(F431,pl_num,0))&amp;"","")="Au premier des deux")),"Compteur manquant (plan au compteur)","OK"))))))))))))))))))</f>
        <v/>
      </c>
      <c r="S431" s="67">
        <f>IF(AND(ISNUMBER(B431),N(B431)&gt;0),INT(B431),0)</f>
        <v>0.0</v>
      </c>
      <c r="T431" s="67">
        <f>IF(AND(ISNUMBER(J431),N(J431)&gt;=0),N(J431),0)</f>
        <v>0.0</v>
      </c>
      <c r="U431" s="67">
        <f>IF(AND(ISNUMBER(K431),N(K431)&gt;0),N(K431),0)</f>
        <v>0.0</v>
      </c>
      <c r="V431" s="67">
        <f>IF(AND(ISNUMBER(L431),N(L431)&gt;0),N(L431),0)</f>
        <v>0.0</v>
      </c>
      <c r="W431" s="67">
        <f>IF(AND(I431="Terminée",S431&gt;0,C431&lt;&gt;"",ISNUMBER(MATCH(C431,eq_code,0))),1,0)</f>
        <v>0.0</v>
      </c>
      <c r="X431" s="67">
        <f>IF(AND(W431=1,E431="Préventif"),1,0)</f>
        <v>0.0</v>
      </c>
      <c r="Y431" s="67">
        <f>IF(AND(ISNUMBER(N431),N(N431)&gt;0),N(N431),0)</f>
        <v>0.0</v>
      </c>
      <c r="Z431" s="67">
        <f>IF(AND(ISNUMBER(P431),N(P431)&gt;0),N(P431),0)</f>
        <v>0.0</v>
      </c>
    </row>
    <row r="432">
      <c r="A432" s="79" t="str">
        <f>IF(COUNTA(B432:C432,E432:G432,I432)=0,"","BI-"&amp;RIGHT("0000"&amp;(ROW()-5),4))</f>
        <v/>
      </c>
      <c r="B432" s="72" t="n"/>
      <c r="C432" s="66" t="n"/>
      <c r="D432" s="67" t="str">
        <f>IF(C432="","",IFERROR(INDEX(eq_des,MATCH(C432,eq_code,0))&amp;"","Équipement inconnu"))</f>
        <v/>
      </c>
      <c r="E432" s="68" t="n"/>
      <c r="F432" s="68" t="n"/>
      <c r="G432" s="66" t="n"/>
      <c r="H432" s="66" t="n"/>
      <c r="I432" s="68" t="n"/>
      <c r="J432" s="73" t="n"/>
      <c r="K432" s="71" t="n"/>
      <c r="L432" s="71" t="n"/>
      <c r="M432" s="66" t="n"/>
      <c r="N432" s="80" t="n"/>
      <c r="O432" s="81" t="str">
        <f>IF(A432="","",ROUND(V432*IFERROR(N(INDEX(tech_rate,MATCH(M432,tech_name,0))),0),2))</f>
        <v/>
      </c>
      <c r="P432" s="80" t="n"/>
      <c r="Q432" s="81" t="str">
        <f>IF(A432="","",ROUND(Y432+O432+Z432,2))</f>
        <v/>
      </c>
      <c r="R432" s="79" t="str">
        <f>IF(A432="","",IF(S432=0,"Date manquante ou invalide",IF(C432="","Équipement manquant",IF(ISNA(MATCH(C432,eq_code,0)),"Équipement inconnu",IF(E432="","Type manquant",IF(AND(E432&lt;&gt;"Préventif",E432&lt;&gt;"Correctif",E432&lt;&gt;"Amélioratif"),"Type inconnu",IF(I432="","Statut manquant",IF(AND(I432&lt;&gt;"Terminée",I432&lt;&gt;"En cours",I432&lt;&gt;"À faire",I432&lt;&gt;"Annulée"),"Statut inconnu",IF(AND(E432="Préventif",F432=""),"Plan manquant (préventif)",IF(AND(F432&lt;&gt;"",ISNA(MATCH(F432,pl_num,0))),"Plan inconnu",IF(AND(F432&lt;&gt;"",IFERROR(INDEX(pl_eq,MATCH(F432,pl_num,0))&amp;"",C432)&lt;&gt;C432),"Plan d'un autre équipement",IF(AND(J432&lt;&gt;"",OR(NOT(ISNUMBER(J432)),N(J432)&lt;0)),"Compteur invalide",IF(OR(AND(K432&lt;&gt;"",OR(NOT(ISNUMBER(K432)),N(K432)&lt;0)),AND(L432&lt;&gt;"",OR(NOT(ISNUMBER(L432)),N(L432)&lt;0))),"Durée invalide",IF(OR(AND(N432&lt;&gt;"",OR(NOT(ISNUMBER(N432)),N(N432)&lt;0)),AND(P432&lt;&gt;"",OR(NOT(ISNUMBER(P432)),N(P432)&lt;0))),"Coût invalide",IF(AND(M432&lt;&gt;"",ISNA(MATCH(M432,tech_name,0))),"Technicien inconnu",IF(AND(I432="Terminée",S432&gt;p_today),"Terminée à une date future",IF(AND(I432="Terminée",V432=0),"Durée d'intervention manquante",IF(AND(I432="Terminée",E432="Préventif",T432=0,OR(IFERROR(INDEX(pl_trig,MATCH(F432,pl_num,0))&amp;"","")="Compteur",IFERROR(INDEX(pl_trig,MATCH(F432,pl_num,0))&amp;"","")="Au premier des deux")),"Compteur manquant (plan au compteur)","OK"))))))))))))))))))</f>
        <v/>
      </c>
      <c r="S432" s="67">
        <f>IF(AND(ISNUMBER(B432),N(B432)&gt;0),INT(B432),0)</f>
        <v>0.0</v>
      </c>
      <c r="T432" s="67">
        <f>IF(AND(ISNUMBER(J432),N(J432)&gt;=0),N(J432),0)</f>
        <v>0.0</v>
      </c>
      <c r="U432" s="67">
        <f>IF(AND(ISNUMBER(K432),N(K432)&gt;0),N(K432),0)</f>
        <v>0.0</v>
      </c>
      <c r="V432" s="67">
        <f>IF(AND(ISNUMBER(L432),N(L432)&gt;0),N(L432),0)</f>
        <v>0.0</v>
      </c>
      <c r="W432" s="67">
        <f>IF(AND(I432="Terminée",S432&gt;0,C432&lt;&gt;"",ISNUMBER(MATCH(C432,eq_code,0))),1,0)</f>
        <v>0.0</v>
      </c>
      <c r="X432" s="67">
        <f>IF(AND(W432=1,E432="Préventif"),1,0)</f>
        <v>0.0</v>
      </c>
      <c r="Y432" s="67">
        <f>IF(AND(ISNUMBER(N432),N(N432)&gt;0),N(N432),0)</f>
        <v>0.0</v>
      </c>
      <c r="Z432" s="67">
        <f>IF(AND(ISNUMBER(P432),N(P432)&gt;0),N(P432),0)</f>
        <v>0.0</v>
      </c>
    </row>
    <row r="433">
      <c r="A433" s="79" t="str">
        <f>IF(COUNTA(B433:C433,E433:G433,I433)=0,"","BI-"&amp;RIGHT("0000"&amp;(ROW()-5),4))</f>
        <v/>
      </c>
      <c r="B433" s="72" t="n"/>
      <c r="C433" s="66" t="n"/>
      <c r="D433" s="67" t="str">
        <f>IF(C433="","",IFERROR(INDEX(eq_des,MATCH(C433,eq_code,0))&amp;"","Équipement inconnu"))</f>
        <v/>
      </c>
      <c r="E433" s="68" t="n"/>
      <c r="F433" s="68" t="n"/>
      <c r="G433" s="66" t="n"/>
      <c r="H433" s="66" t="n"/>
      <c r="I433" s="68" t="n"/>
      <c r="J433" s="73" t="n"/>
      <c r="K433" s="71" t="n"/>
      <c r="L433" s="71" t="n"/>
      <c r="M433" s="66" t="n"/>
      <c r="N433" s="80" t="n"/>
      <c r="O433" s="81" t="str">
        <f>IF(A433="","",ROUND(V433*IFERROR(N(INDEX(tech_rate,MATCH(M433,tech_name,0))),0),2))</f>
        <v/>
      </c>
      <c r="P433" s="80" t="n"/>
      <c r="Q433" s="81" t="str">
        <f>IF(A433="","",ROUND(Y433+O433+Z433,2))</f>
        <v/>
      </c>
      <c r="R433" s="79" t="str">
        <f>IF(A433="","",IF(S433=0,"Date manquante ou invalide",IF(C433="","Équipement manquant",IF(ISNA(MATCH(C433,eq_code,0)),"Équipement inconnu",IF(E433="","Type manquant",IF(AND(E433&lt;&gt;"Préventif",E433&lt;&gt;"Correctif",E433&lt;&gt;"Amélioratif"),"Type inconnu",IF(I433="","Statut manquant",IF(AND(I433&lt;&gt;"Terminée",I433&lt;&gt;"En cours",I433&lt;&gt;"À faire",I433&lt;&gt;"Annulée"),"Statut inconnu",IF(AND(E433="Préventif",F433=""),"Plan manquant (préventif)",IF(AND(F433&lt;&gt;"",ISNA(MATCH(F433,pl_num,0))),"Plan inconnu",IF(AND(F433&lt;&gt;"",IFERROR(INDEX(pl_eq,MATCH(F433,pl_num,0))&amp;"",C433)&lt;&gt;C433),"Plan d'un autre équipement",IF(AND(J433&lt;&gt;"",OR(NOT(ISNUMBER(J433)),N(J433)&lt;0)),"Compteur invalide",IF(OR(AND(K433&lt;&gt;"",OR(NOT(ISNUMBER(K433)),N(K433)&lt;0)),AND(L433&lt;&gt;"",OR(NOT(ISNUMBER(L433)),N(L433)&lt;0))),"Durée invalide",IF(OR(AND(N433&lt;&gt;"",OR(NOT(ISNUMBER(N433)),N(N433)&lt;0)),AND(P433&lt;&gt;"",OR(NOT(ISNUMBER(P433)),N(P433)&lt;0))),"Coût invalide",IF(AND(M433&lt;&gt;"",ISNA(MATCH(M433,tech_name,0))),"Technicien inconnu",IF(AND(I433="Terminée",S433&gt;p_today),"Terminée à une date future",IF(AND(I433="Terminée",V433=0),"Durée d'intervention manquante",IF(AND(I433="Terminée",E433="Préventif",T433=0,OR(IFERROR(INDEX(pl_trig,MATCH(F433,pl_num,0))&amp;"","")="Compteur",IFERROR(INDEX(pl_trig,MATCH(F433,pl_num,0))&amp;"","")="Au premier des deux")),"Compteur manquant (plan au compteur)","OK"))))))))))))))))))</f>
        <v/>
      </c>
      <c r="S433" s="67">
        <f>IF(AND(ISNUMBER(B433),N(B433)&gt;0),INT(B433),0)</f>
        <v>0.0</v>
      </c>
      <c r="T433" s="67">
        <f>IF(AND(ISNUMBER(J433),N(J433)&gt;=0),N(J433),0)</f>
        <v>0.0</v>
      </c>
      <c r="U433" s="67">
        <f>IF(AND(ISNUMBER(K433),N(K433)&gt;0),N(K433),0)</f>
        <v>0.0</v>
      </c>
      <c r="V433" s="67">
        <f>IF(AND(ISNUMBER(L433),N(L433)&gt;0),N(L433),0)</f>
        <v>0.0</v>
      </c>
      <c r="W433" s="67">
        <f>IF(AND(I433="Terminée",S433&gt;0,C433&lt;&gt;"",ISNUMBER(MATCH(C433,eq_code,0))),1,0)</f>
        <v>0.0</v>
      </c>
      <c r="X433" s="67">
        <f>IF(AND(W433=1,E433="Préventif"),1,0)</f>
        <v>0.0</v>
      </c>
      <c r="Y433" s="67">
        <f>IF(AND(ISNUMBER(N433),N(N433)&gt;0),N(N433),0)</f>
        <v>0.0</v>
      </c>
      <c r="Z433" s="67">
        <f>IF(AND(ISNUMBER(P433),N(P433)&gt;0),N(P433),0)</f>
        <v>0.0</v>
      </c>
    </row>
    <row r="434">
      <c r="A434" s="79" t="str">
        <f>IF(COUNTA(B434:C434,E434:G434,I434)=0,"","BI-"&amp;RIGHT("0000"&amp;(ROW()-5),4))</f>
        <v/>
      </c>
      <c r="B434" s="72" t="n"/>
      <c r="C434" s="66" t="n"/>
      <c r="D434" s="67" t="str">
        <f>IF(C434="","",IFERROR(INDEX(eq_des,MATCH(C434,eq_code,0))&amp;"","Équipement inconnu"))</f>
        <v/>
      </c>
      <c r="E434" s="68" t="n"/>
      <c r="F434" s="68" t="n"/>
      <c r="G434" s="66" t="n"/>
      <c r="H434" s="66" t="n"/>
      <c r="I434" s="68" t="n"/>
      <c r="J434" s="73" t="n"/>
      <c r="K434" s="71" t="n"/>
      <c r="L434" s="71" t="n"/>
      <c r="M434" s="66" t="n"/>
      <c r="N434" s="80" t="n"/>
      <c r="O434" s="81" t="str">
        <f>IF(A434="","",ROUND(V434*IFERROR(N(INDEX(tech_rate,MATCH(M434,tech_name,0))),0),2))</f>
        <v/>
      </c>
      <c r="P434" s="80" t="n"/>
      <c r="Q434" s="81" t="str">
        <f>IF(A434="","",ROUND(Y434+O434+Z434,2))</f>
        <v/>
      </c>
      <c r="R434" s="79" t="str">
        <f>IF(A434="","",IF(S434=0,"Date manquante ou invalide",IF(C434="","Équipement manquant",IF(ISNA(MATCH(C434,eq_code,0)),"Équipement inconnu",IF(E434="","Type manquant",IF(AND(E434&lt;&gt;"Préventif",E434&lt;&gt;"Correctif",E434&lt;&gt;"Amélioratif"),"Type inconnu",IF(I434="","Statut manquant",IF(AND(I434&lt;&gt;"Terminée",I434&lt;&gt;"En cours",I434&lt;&gt;"À faire",I434&lt;&gt;"Annulée"),"Statut inconnu",IF(AND(E434="Préventif",F434=""),"Plan manquant (préventif)",IF(AND(F434&lt;&gt;"",ISNA(MATCH(F434,pl_num,0))),"Plan inconnu",IF(AND(F434&lt;&gt;"",IFERROR(INDEX(pl_eq,MATCH(F434,pl_num,0))&amp;"",C434)&lt;&gt;C434),"Plan d'un autre équipement",IF(AND(J434&lt;&gt;"",OR(NOT(ISNUMBER(J434)),N(J434)&lt;0)),"Compteur invalide",IF(OR(AND(K434&lt;&gt;"",OR(NOT(ISNUMBER(K434)),N(K434)&lt;0)),AND(L434&lt;&gt;"",OR(NOT(ISNUMBER(L434)),N(L434)&lt;0))),"Durée invalide",IF(OR(AND(N434&lt;&gt;"",OR(NOT(ISNUMBER(N434)),N(N434)&lt;0)),AND(P434&lt;&gt;"",OR(NOT(ISNUMBER(P434)),N(P434)&lt;0))),"Coût invalide",IF(AND(M434&lt;&gt;"",ISNA(MATCH(M434,tech_name,0))),"Technicien inconnu",IF(AND(I434="Terminée",S434&gt;p_today),"Terminée à une date future",IF(AND(I434="Terminée",V434=0),"Durée d'intervention manquante",IF(AND(I434="Terminée",E434="Préventif",T434=0,OR(IFERROR(INDEX(pl_trig,MATCH(F434,pl_num,0))&amp;"","")="Compteur",IFERROR(INDEX(pl_trig,MATCH(F434,pl_num,0))&amp;"","")="Au premier des deux")),"Compteur manquant (plan au compteur)","OK"))))))))))))))))))</f>
        <v/>
      </c>
      <c r="S434" s="67">
        <f>IF(AND(ISNUMBER(B434),N(B434)&gt;0),INT(B434),0)</f>
        <v>0.0</v>
      </c>
      <c r="T434" s="67">
        <f>IF(AND(ISNUMBER(J434),N(J434)&gt;=0),N(J434),0)</f>
        <v>0.0</v>
      </c>
      <c r="U434" s="67">
        <f>IF(AND(ISNUMBER(K434),N(K434)&gt;0),N(K434),0)</f>
        <v>0.0</v>
      </c>
      <c r="V434" s="67">
        <f>IF(AND(ISNUMBER(L434),N(L434)&gt;0),N(L434),0)</f>
        <v>0.0</v>
      </c>
      <c r="W434" s="67">
        <f>IF(AND(I434="Terminée",S434&gt;0,C434&lt;&gt;"",ISNUMBER(MATCH(C434,eq_code,0))),1,0)</f>
        <v>0.0</v>
      </c>
      <c r="X434" s="67">
        <f>IF(AND(W434=1,E434="Préventif"),1,0)</f>
        <v>0.0</v>
      </c>
      <c r="Y434" s="67">
        <f>IF(AND(ISNUMBER(N434),N(N434)&gt;0),N(N434),0)</f>
        <v>0.0</v>
      </c>
      <c r="Z434" s="67">
        <f>IF(AND(ISNUMBER(P434),N(P434)&gt;0),N(P434),0)</f>
        <v>0.0</v>
      </c>
    </row>
    <row r="435">
      <c r="A435" s="79" t="str">
        <f>IF(COUNTA(B435:C435,E435:G435,I435)=0,"","BI-"&amp;RIGHT("0000"&amp;(ROW()-5),4))</f>
        <v/>
      </c>
      <c r="B435" s="72" t="n"/>
      <c r="C435" s="66" t="n"/>
      <c r="D435" s="67" t="str">
        <f>IF(C435="","",IFERROR(INDEX(eq_des,MATCH(C435,eq_code,0))&amp;"","Équipement inconnu"))</f>
        <v/>
      </c>
      <c r="E435" s="68" t="n"/>
      <c r="F435" s="68" t="n"/>
      <c r="G435" s="66" t="n"/>
      <c r="H435" s="66" t="n"/>
      <c r="I435" s="68" t="n"/>
      <c r="J435" s="73" t="n"/>
      <c r="K435" s="71" t="n"/>
      <c r="L435" s="71" t="n"/>
      <c r="M435" s="66" t="n"/>
      <c r="N435" s="80" t="n"/>
      <c r="O435" s="81" t="str">
        <f>IF(A435="","",ROUND(V435*IFERROR(N(INDEX(tech_rate,MATCH(M435,tech_name,0))),0),2))</f>
        <v/>
      </c>
      <c r="P435" s="80" t="n"/>
      <c r="Q435" s="81" t="str">
        <f>IF(A435="","",ROUND(Y435+O435+Z435,2))</f>
        <v/>
      </c>
      <c r="R435" s="79" t="str">
        <f>IF(A435="","",IF(S435=0,"Date manquante ou invalide",IF(C435="","Équipement manquant",IF(ISNA(MATCH(C435,eq_code,0)),"Équipement inconnu",IF(E435="","Type manquant",IF(AND(E435&lt;&gt;"Préventif",E435&lt;&gt;"Correctif",E435&lt;&gt;"Amélioratif"),"Type inconnu",IF(I435="","Statut manquant",IF(AND(I435&lt;&gt;"Terminée",I435&lt;&gt;"En cours",I435&lt;&gt;"À faire",I435&lt;&gt;"Annulée"),"Statut inconnu",IF(AND(E435="Préventif",F435=""),"Plan manquant (préventif)",IF(AND(F435&lt;&gt;"",ISNA(MATCH(F435,pl_num,0))),"Plan inconnu",IF(AND(F435&lt;&gt;"",IFERROR(INDEX(pl_eq,MATCH(F435,pl_num,0))&amp;"",C435)&lt;&gt;C435),"Plan d'un autre équipement",IF(AND(J435&lt;&gt;"",OR(NOT(ISNUMBER(J435)),N(J435)&lt;0)),"Compteur invalide",IF(OR(AND(K435&lt;&gt;"",OR(NOT(ISNUMBER(K435)),N(K435)&lt;0)),AND(L435&lt;&gt;"",OR(NOT(ISNUMBER(L435)),N(L435)&lt;0))),"Durée invalide",IF(OR(AND(N435&lt;&gt;"",OR(NOT(ISNUMBER(N435)),N(N435)&lt;0)),AND(P435&lt;&gt;"",OR(NOT(ISNUMBER(P435)),N(P435)&lt;0))),"Coût invalide",IF(AND(M435&lt;&gt;"",ISNA(MATCH(M435,tech_name,0))),"Technicien inconnu",IF(AND(I435="Terminée",S435&gt;p_today),"Terminée à une date future",IF(AND(I435="Terminée",V435=0),"Durée d'intervention manquante",IF(AND(I435="Terminée",E435="Préventif",T435=0,OR(IFERROR(INDEX(pl_trig,MATCH(F435,pl_num,0))&amp;"","")="Compteur",IFERROR(INDEX(pl_trig,MATCH(F435,pl_num,0))&amp;"","")="Au premier des deux")),"Compteur manquant (plan au compteur)","OK"))))))))))))))))))</f>
        <v/>
      </c>
      <c r="S435" s="67">
        <f>IF(AND(ISNUMBER(B435),N(B435)&gt;0),INT(B435),0)</f>
        <v>0.0</v>
      </c>
      <c r="T435" s="67">
        <f>IF(AND(ISNUMBER(J435),N(J435)&gt;=0),N(J435),0)</f>
        <v>0.0</v>
      </c>
      <c r="U435" s="67">
        <f>IF(AND(ISNUMBER(K435),N(K435)&gt;0),N(K435),0)</f>
        <v>0.0</v>
      </c>
      <c r="V435" s="67">
        <f>IF(AND(ISNUMBER(L435),N(L435)&gt;0),N(L435),0)</f>
        <v>0.0</v>
      </c>
      <c r="W435" s="67">
        <f>IF(AND(I435="Terminée",S435&gt;0,C435&lt;&gt;"",ISNUMBER(MATCH(C435,eq_code,0))),1,0)</f>
        <v>0.0</v>
      </c>
      <c r="X435" s="67">
        <f>IF(AND(W435=1,E435="Préventif"),1,0)</f>
        <v>0.0</v>
      </c>
      <c r="Y435" s="67">
        <f>IF(AND(ISNUMBER(N435),N(N435)&gt;0),N(N435),0)</f>
        <v>0.0</v>
      </c>
      <c r="Z435" s="67">
        <f>IF(AND(ISNUMBER(P435),N(P435)&gt;0),N(P435),0)</f>
        <v>0.0</v>
      </c>
    </row>
    <row r="436">
      <c r="A436" s="79" t="str">
        <f>IF(COUNTA(B436:C436,E436:G436,I436)=0,"","BI-"&amp;RIGHT("0000"&amp;(ROW()-5),4))</f>
        <v/>
      </c>
      <c r="B436" s="72" t="n"/>
      <c r="C436" s="66" t="n"/>
      <c r="D436" s="67" t="str">
        <f>IF(C436="","",IFERROR(INDEX(eq_des,MATCH(C436,eq_code,0))&amp;"","Équipement inconnu"))</f>
        <v/>
      </c>
      <c r="E436" s="68" t="n"/>
      <c r="F436" s="68" t="n"/>
      <c r="G436" s="66" t="n"/>
      <c r="H436" s="66" t="n"/>
      <c r="I436" s="68" t="n"/>
      <c r="J436" s="73" t="n"/>
      <c r="K436" s="71" t="n"/>
      <c r="L436" s="71" t="n"/>
      <c r="M436" s="66" t="n"/>
      <c r="N436" s="80" t="n"/>
      <c r="O436" s="81" t="str">
        <f>IF(A436="","",ROUND(V436*IFERROR(N(INDEX(tech_rate,MATCH(M436,tech_name,0))),0),2))</f>
        <v/>
      </c>
      <c r="P436" s="80" t="n"/>
      <c r="Q436" s="81" t="str">
        <f>IF(A436="","",ROUND(Y436+O436+Z436,2))</f>
        <v/>
      </c>
      <c r="R436" s="79" t="str">
        <f>IF(A436="","",IF(S436=0,"Date manquante ou invalide",IF(C436="","Équipement manquant",IF(ISNA(MATCH(C436,eq_code,0)),"Équipement inconnu",IF(E436="","Type manquant",IF(AND(E436&lt;&gt;"Préventif",E436&lt;&gt;"Correctif",E436&lt;&gt;"Amélioratif"),"Type inconnu",IF(I436="","Statut manquant",IF(AND(I436&lt;&gt;"Terminée",I436&lt;&gt;"En cours",I436&lt;&gt;"À faire",I436&lt;&gt;"Annulée"),"Statut inconnu",IF(AND(E436="Préventif",F436=""),"Plan manquant (préventif)",IF(AND(F436&lt;&gt;"",ISNA(MATCH(F436,pl_num,0))),"Plan inconnu",IF(AND(F436&lt;&gt;"",IFERROR(INDEX(pl_eq,MATCH(F436,pl_num,0))&amp;"",C436)&lt;&gt;C436),"Plan d'un autre équipement",IF(AND(J436&lt;&gt;"",OR(NOT(ISNUMBER(J436)),N(J436)&lt;0)),"Compteur invalide",IF(OR(AND(K436&lt;&gt;"",OR(NOT(ISNUMBER(K436)),N(K436)&lt;0)),AND(L436&lt;&gt;"",OR(NOT(ISNUMBER(L436)),N(L436)&lt;0))),"Durée invalide",IF(OR(AND(N436&lt;&gt;"",OR(NOT(ISNUMBER(N436)),N(N436)&lt;0)),AND(P436&lt;&gt;"",OR(NOT(ISNUMBER(P436)),N(P436)&lt;0))),"Coût invalide",IF(AND(M436&lt;&gt;"",ISNA(MATCH(M436,tech_name,0))),"Technicien inconnu",IF(AND(I436="Terminée",S436&gt;p_today),"Terminée à une date future",IF(AND(I436="Terminée",V436=0),"Durée d'intervention manquante",IF(AND(I436="Terminée",E436="Préventif",T436=0,OR(IFERROR(INDEX(pl_trig,MATCH(F436,pl_num,0))&amp;"","")="Compteur",IFERROR(INDEX(pl_trig,MATCH(F436,pl_num,0))&amp;"","")="Au premier des deux")),"Compteur manquant (plan au compteur)","OK"))))))))))))))))))</f>
        <v/>
      </c>
      <c r="S436" s="67">
        <f>IF(AND(ISNUMBER(B436),N(B436)&gt;0),INT(B436),0)</f>
        <v>0.0</v>
      </c>
      <c r="T436" s="67">
        <f>IF(AND(ISNUMBER(J436),N(J436)&gt;=0),N(J436),0)</f>
        <v>0.0</v>
      </c>
      <c r="U436" s="67">
        <f>IF(AND(ISNUMBER(K436),N(K436)&gt;0),N(K436),0)</f>
        <v>0.0</v>
      </c>
      <c r="V436" s="67">
        <f>IF(AND(ISNUMBER(L436),N(L436)&gt;0),N(L436),0)</f>
        <v>0.0</v>
      </c>
      <c r="W436" s="67">
        <f>IF(AND(I436="Terminée",S436&gt;0,C436&lt;&gt;"",ISNUMBER(MATCH(C436,eq_code,0))),1,0)</f>
        <v>0.0</v>
      </c>
      <c r="X436" s="67">
        <f>IF(AND(W436=1,E436="Préventif"),1,0)</f>
        <v>0.0</v>
      </c>
      <c r="Y436" s="67">
        <f>IF(AND(ISNUMBER(N436),N(N436)&gt;0),N(N436),0)</f>
        <v>0.0</v>
      </c>
      <c r="Z436" s="67">
        <f>IF(AND(ISNUMBER(P436),N(P436)&gt;0),N(P436),0)</f>
        <v>0.0</v>
      </c>
    </row>
    <row r="437">
      <c r="A437" s="79" t="str">
        <f>IF(COUNTA(B437:C437,E437:G437,I437)=0,"","BI-"&amp;RIGHT("0000"&amp;(ROW()-5),4))</f>
        <v/>
      </c>
      <c r="B437" s="72" t="n"/>
      <c r="C437" s="66" t="n"/>
      <c r="D437" s="67" t="str">
        <f>IF(C437="","",IFERROR(INDEX(eq_des,MATCH(C437,eq_code,0))&amp;"","Équipement inconnu"))</f>
        <v/>
      </c>
      <c r="E437" s="68" t="n"/>
      <c r="F437" s="68" t="n"/>
      <c r="G437" s="66" t="n"/>
      <c r="H437" s="66" t="n"/>
      <c r="I437" s="68" t="n"/>
      <c r="J437" s="73" t="n"/>
      <c r="K437" s="71" t="n"/>
      <c r="L437" s="71" t="n"/>
      <c r="M437" s="66" t="n"/>
      <c r="N437" s="80" t="n"/>
      <c r="O437" s="81" t="str">
        <f>IF(A437="","",ROUND(V437*IFERROR(N(INDEX(tech_rate,MATCH(M437,tech_name,0))),0),2))</f>
        <v/>
      </c>
      <c r="P437" s="80" t="n"/>
      <c r="Q437" s="81" t="str">
        <f>IF(A437="","",ROUND(Y437+O437+Z437,2))</f>
        <v/>
      </c>
      <c r="R437" s="79" t="str">
        <f>IF(A437="","",IF(S437=0,"Date manquante ou invalide",IF(C437="","Équipement manquant",IF(ISNA(MATCH(C437,eq_code,0)),"Équipement inconnu",IF(E437="","Type manquant",IF(AND(E437&lt;&gt;"Préventif",E437&lt;&gt;"Correctif",E437&lt;&gt;"Amélioratif"),"Type inconnu",IF(I437="","Statut manquant",IF(AND(I437&lt;&gt;"Terminée",I437&lt;&gt;"En cours",I437&lt;&gt;"À faire",I437&lt;&gt;"Annulée"),"Statut inconnu",IF(AND(E437="Préventif",F437=""),"Plan manquant (préventif)",IF(AND(F437&lt;&gt;"",ISNA(MATCH(F437,pl_num,0))),"Plan inconnu",IF(AND(F437&lt;&gt;"",IFERROR(INDEX(pl_eq,MATCH(F437,pl_num,0))&amp;"",C437)&lt;&gt;C437),"Plan d'un autre équipement",IF(AND(J437&lt;&gt;"",OR(NOT(ISNUMBER(J437)),N(J437)&lt;0)),"Compteur invalide",IF(OR(AND(K437&lt;&gt;"",OR(NOT(ISNUMBER(K437)),N(K437)&lt;0)),AND(L437&lt;&gt;"",OR(NOT(ISNUMBER(L437)),N(L437)&lt;0))),"Durée invalide",IF(OR(AND(N437&lt;&gt;"",OR(NOT(ISNUMBER(N437)),N(N437)&lt;0)),AND(P437&lt;&gt;"",OR(NOT(ISNUMBER(P437)),N(P437)&lt;0))),"Coût invalide",IF(AND(M437&lt;&gt;"",ISNA(MATCH(M437,tech_name,0))),"Technicien inconnu",IF(AND(I437="Terminée",S437&gt;p_today),"Terminée à une date future",IF(AND(I437="Terminée",V437=0),"Durée d'intervention manquante",IF(AND(I437="Terminée",E437="Préventif",T437=0,OR(IFERROR(INDEX(pl_trig,MATCH(F437,pl_num,0))&amp;"","")="Compteur",IFERROR(INDEX(pl_trig,MATCH(F437,pl_num,0))&amp;"","")="Au premier des deux")),"Compteur manquant (plan au compteur)","OK"))))))))))))))))))</f>
        <v/>
      </c>
      <c r="S437" s="67">
        <f>IF(AND(ISNUMBER(B437),N(B437)&gt;0),INT(B437),0)</f>
        <v>0.0</v>
      </c>
      <c r="T437" s="67">
        <f>IF(AND(ISNUMBER(J437),N(J437)&gt;=0),N(J437),0)</f>
        <v>0.0</v>
      </c>
      <c r="U437" s="67">
        <f>IF(AND(ISNUMBER(K437),N(K437)&gt;0),N(K437),0)</f>
        <v>0.0</v>
      </c>
      <c r="V437" s="67">
        <f>IF(AND(ISNUMBER(L437),N(L437)&gt;0),N(L437),0)</f>
        <v>0.0</v>
      </c>
      <c r="W437" s="67">
        <f>IF(AND(I437="Terminée",S437&gt;0,C437&lt;&gt;"",ISNUMBER(MATCH(C437,eq_code,0))),1,0)</f>
        <v>0.0</v>
      </c>
      <c r="X437" s="67">
        <f>IF(AND(W437=1,E437="Préventif"),1,0)</f>
        <v>0.0</v>
      </c>
      <c r="Y437" s="67">
        <f>IF(AND(ISNUMBER(N437),N(N437)&gt;0),N(N437),0)</f>
        <v>0.0</v>
      </c>
      <c r="Z437" s="67">
        <f>IF(AND(ISNUMBER(P437),N(P437)&gt;0),N(P437),0)</f>
        <v>0.0</v>
      </c>
    </row>
    <row r="438">
      <c r="A438" s="79" t="str">
        <f>IF(COUNTA(B438:C438,E438:G438,I438)=0,"","BI-"&amp;RIGHT("0000"&amp;(ROW()-5),4))</f>
        <v/>
      </c>
      <c r="B438" s="72" t="n"/>
      <c r="C438" s="66" t="n"/>
      <c r="D438" s="67" t="str">
        <f>IF(C438="","",IFERROR(INDEX(eq_des,MATCH(C438,eq_code,0))&amp;"","Équipement inconnu"))</f>
        <v/>
      </c>
      <c r="E438" s="68" t="n"/>
      <c r="F438" s="68" t="n"/>
      <c r="G438" s="66" t="n"/>
      <c r="H438" s="66" t="n"/>
      <c r="I438" s="68" t="n"/>
      <c r="J438" s="73" t="n"/>
      <c r="K438" s="71" t="n"/>
      <c r="L438" s="71" t="n"/>
      <c r="M438" s="66" t="n"/>
      <c r="N438" s="80" t="n"/>
      <c r="O438" s="81" t="str">
        <f>IF(A438="","",ROUND(V438*IFERROR(N(INDEX(tech_rate,MATCH(M438,tech_name,0))),0),2))</f>
        <v/>
      </c>
      <c r="P438" s="80" t="n"/>
      <c r="Q438" s="81" t="str">
        <f>IF(A438="","",ROUND(Y438+O438+Z438,2))</f>
        <v/>
      </c>
      <c r="R438" s="79" t="str">
        <f>IF(A438="","",IF(S438=0,"Date manquante ou invalide",IF(C438="","Équipement manquant",IF(ISNA(MATCH(C438,eq_code,0)),"Équipement inconnu",IF(E438="","Type manquant",IF(AND(E438&lt;&gt;"Préventif",E438&lt;&gt;"Correctif",E438&lt;&gt;"Amélioratif"),"Type inconnu",IF(I438="","Statut manquant",IF(AND(I438&lt;&gt;"Terminée",I438&lt;&gt;"En cours",I438&lt;&gt;"À faire",I438&lt;&gt;"Annulée"),"Statut inconnu",IF(AND(E438="Préventif",F438=""),"Plan manquant (préventif)",IF(AND(F438&lt;&gt;"",ISNA(MATCH(F438,pl_num,0))),"Plan inconnu",IF(AND(F438&lt;&gt;"",IFERROR(INDEX(pl_eq,MATCH(F438,pl_num,0))&amp;"",C438)&lt;&gt;C438),"Plan d'un autre équipement",IF(AND(J438&lt;&gt;"",OR(NOT(ISNUMBER(J438)),N(J438)&lt;0)),"Compteur invalide",IF(OR(AND(K438&lt;&gt;"",OR(NOT(ISNUMBER(K438)),N(K438)&lt;0)),AND(L438&lt;&gt;"",OR(NOT(ISNUMBER(L438)),N(L438)&lt;0))),"Durée invalide",IF(OR(AND(N438&lt;&gt;"",OR(NOT(ISNUMBER(N438)),N(N438)&lt;0)),AND(P438&lt;&gt;"",OR(NOT(ISNUMBER(P438)),N(P438)&lt;0))),"Coût invalide",IF(AND(M438&lt;&gt;"",ISNA(MATCH(M438,tech_name,0))),"Technicien inconnu",IF(AND(I438="Terminée",S438&gt;p_today),"Terminée à une date future",IF(AND(I438="Terminée",V438=0),"Durée d'intervention manquante",IF(AND(I438="Terminée",E438="Préventif",T438=0,OR(IFERROR(INDEX(pl_trig,MATCH(F438,pl_num,0))&amp;"","")="Compteur",IFERROR(INDEX(pl_trig,MATCH(F438,pl_num,0))&amp;"","")="Au premier des deux")),"Compteur manquant (plan au compteur)","OK"))))))))))))))))))</f>
        <v/>
      </c>
      <c r="S438" s="67">
        <f>IF(AND(ISNUMBER(B438),N(B438)&gt;0),INT(B438),0)</f>
        <v>0.0</v>
      </c>
      <c r="T438" s="67">
        <f>IF(AND(ISNUMBER(J438),N(J438)&gt;=0),N(J438),0)</f>
        <v>0.0</v>
      </c>
      <c r="U438" s="67">
        <f>IF(AND(ISNUMBER(K438),N(K438)&gt;0),N(K438),0)</f>
        <v>0.0</v>
      </c>
      <c r="V438" s="67">
        <f>IF(AND(ISNUMBER(L438),N(L438)&gt;0),N(L438),0)</f>
        <v>0.0</v>
      </c>
      <c r="W438" s="67">
        <f>IF(AND(I438="Terminée",S438&gt;0,C438&lt;&gt;"",ISNUMBER(MATCH(C438,eq_code,0))),1,0)</f>
        <v>0.0</v>
      </c>
      <c r="X438" s="67">
        <f>IF(AND(W438=1,E438="Préventif"),1,0)</f>
        <v>0.0</v>
      </c>
      <c r="Y438" s="67">
        <f>IF(AND(ISNUMBER(N438),N(N438)&gt;0),N(N438),0)</f>
        <v>0.0</v>
      </c>
      <c r="Z438" s="67">
        <f>IF(AND(ISNUMBER(P438),N(P438)&gt;0),N(P438),0)</f>
        <v>0.0</v>
      </c>
    </row>
    <row r="439">
      <c r="A439" s="79" t="str">
        <f>IF(COUNTA(B439:C439,E439:G439,I439)=0,"","BI-"&amp;RIGHT("0000"&amp;(ROW()-5),4))</f>
        <v/>
      </c>
      <c r="B439" s="72" t="n"/>
      <c r="C439" s="66" t="n"/>
      <c r="D439" s="67" t="str">
        <f>IF(C439="","",IFERROR(INDEX(eq_des,MATCH(C439,eq_code,0))&amp;"","Équipement inconnu"))</f>
        <v/>
      </c>
      <c r="E439" s="68" t="n"/>
      <c r="F439" s="68" t="n"/>
      <c r="G439" s="66" t="n"/>
      <c r="H439" s="66" t="n"/>
      <c r="I439" s="68" t="n"/>
      <c r="J439" s="73" t="n"/>
      <c r="K439" s="71" t="n"/>
      <c r="L439" s="71" t="n"/>
      <c r="M439" s="66" t="n"/>
      <c r="N439" s="80" t="n"/>
      <c r="O439" s="81" t="str">
        <f>IF(A439="","",ROUND(V439*IFERROR(N(INDEX(tech_rate,MATCH(M439,tech_name,0))),0),2))</f>
        <v/>
      </c>
      <c r="P439" s="80" t="n"/>
      <c r="Q439" s="81" t="str">
        <f>IF(A439="","",ROUND(Y439+O439+Z439,2))</f>
        <v/>
      </c>
      <c r="R439" s="79" t="str">
        <f>IF(A439="","",IF(S439=0,"Date manquante ou invalide",IF(C439="","Équipement manquant",IF(ISNA(MATCH(C439,eq_code,0)),"Équipement inconnu",IF(E439="","Type manquant",IF(AND(E439&lt;&gt;"Préventif",E439&lt;&gt;"Correctif",E439&lt;&gt;"Amélioratif"),"Type inconnu",IF(I439="","Statut manquant",IF(AND(I439&lt;&gt;"Terminée",I439&lt;&gt;"En cours",I439&lt;&gt;"À faire",I439&lt;&gt;"Annulée"),"Statut inconnu",IF(AND(E439="Préventif",F439=""),"Plan manquant (préventif)",IF(AND(F439&lt;&gt;"",ISNA(MATCH(F439,pl_num,0))),"Plan inconnu",IF(AND(F439&lt;&gt;"",IFERROR(INDEX(pl_eq,MATCH(F439,pl_num,0))&amp;"",C439)&lt;&gt;C439),"Plan d'un autre équipement",IF(AND(J439&lt;&gt;"",OR(NOT(ISNUMBER(J439)),N(J439)&lt;0)),"Compteur invalide",IF(OR(AND(K439&lt;&gt;"",OR(NOT(ISNUMBER(K439)),N(K439)&lt;0)),AND(L439&lt;&gt;"",OR(NOT(ISNUMBER(L439)),N(L439)&lt;0))),"Durée invalide",IF(OR(AND(N439&lt;&gt;"",OR(NOT(ISNUMBER(N439)),N(N439)&lt;0)),AND(P439&lt;&gt;"",OR(NOT(ISNUMBER(P439)),N(P439)&lt;0))),"Coût invalide",IF(AND(M439&lt;&gt;"",ISNA(MATCH(M439,tech_name,0))),"Technicien inconnu",IF(AND(I439="Terminée",S439&gt;p_today),"Terminée à une date future",IF(AND(I439="Terminée",V439=0),"Durée d'intervention manquante",IF(AND(I439="Terminée",E439="Préventif",T439=0,OR(IFERROR(INDEX(pl_trig,MATCH(F439,pl_num,0))&amp;"","")="Compteur",IFERROR(INDEX(pl_trig,MATCH(F439,pl_num,0))&amp;"","")="Au premier des deux")),"Compteur manquant (plan au compteur)","OK"))))))))))))))))))</f>
        <v/>
      </c>
      <c r="S439" s="67">
        <f>IF(AND(ISNUMBER(B439),N(B439)&gt;0),INT(B439),0)</f>
        <v>0.0</v>
      </c>
      <c r="T439" s="67">
        <f>IF(AND(ISNUMBER(J439),N(J439)&gt;=0),N(J439),0)</f>
        <v>0.0</v>
      </c>
      <c r="U439" s="67">
        <f>IF(AND(ISNUMBER(K439),N(K439)&gt;0),N(K439),0)</f>
        <v>0.0</v>
      </c>
      <c r="V439" s="67">
        <f>IF(AND(ISNUMBER(L439),N(L439)&gt;0),N(L439),0)</f>
        <v>0.0</v>
      </c>
      <c r="W439" s="67">
        <f>IF(AND(I439="Terminée",S439&gt;0,C439&lt;&gt;"",ISNUMBER(MATCH(C439,eq_code,0))),1,0)</f>
        <v>0.0</v>
      </c>
      <c r="X439" s="67">
        <f>IF(AND(W439=1,E439="Préventif"),1,0)</f>
        <v>0.0</v>
      </c>
      <c r="Y439" s="67">
        <f>IF(AND(ISNUMBER(N439),N(N439)&gt;0),N(N439),0)</f>
        <v>0.0</v>
      </c>
      <c r="Z439" s="67">
        <f>IF(AND(ISNUMBER(P439),N(P439)&gt;0),N(P439),0)</f>
        <v>0.0</v>
      </c>
    </row>
    <row r="440">
      <c r="A440" s="79" t="str">
        <f>IF(COUNTA(B440:C440,E440:G440,I440)=0,"","BI-"&amp;RIGHT("0000"&amp;(ROW()-5),4))</f>
        <v/>
      </c>
      <c r="B440" s="72" t="n"/>
      <c r="C440" s="66" t="n"/>
      <c r="D440" s="67" t="str">
        <f>IF(C440="","",IFERROR(INDEX(eq_des,MATCH(C440,eq_code,0))&amp;"","Équipement inconnu"))</f>
        <v/>
      </c>
      <c r="E440" s="68" t="n"/>
      <c r="F440" s="68" t="n"/>
      <c r="G440" s="66" t="n"/>
      <c r="H440" s="66" t="n"/>
      <c r="I440" s="68" t="n"/>
      <c r="J440" s="73" t="n"/>
      <c r="K440" s="71" t="n"/>
      <c r="L440" s="71" t="n"/>
      <c r="M440" s="66" t="n"/>
      <c r="N440" s="80" t="n"/>
      <c r="O440" s="81" t="str">
        <f>IF(A440="","",ROUND(V440*IFERROR(N(INDEX(tech_rate,MATCH(M440,tech_name,0))),0),2))</f>
        <v/>
      </c>
      <c r="P440" s="80" t="n"/>
      <c r="Q440" s="81" t="str">
        <f>IF(A440="","",ROUND(Y440+O440+Z440,2))</f>
        <v/>
      </c>
      <c r="R440" s="79" t="str">
        <f>IF(A440="","",IF(S440=0,"Date manquante ou invalide",IF(C440="","Équipement manquant",IF(ISNA(MATCH(C440,eq_code,0)),"Équipement inconnu",IF(E440="","Type manquant",IF(AND(E440&lt;&gt;"Préventif",E440&lt;&gt;"Correctif",E440&lt;&gt;"Amélioratif"),"Type inconnu",IF(I440="","Statut manquant",IF(AND(I440&lt;&gt;"Terminée",I440&lt;&gt;"En cours",I440&lt;&gt;"À faire",I440&lt;&gt;"Annulée"),"Statut inconnu",IF(AND(E440="Préventif",F440=""),"Plan manquant (préventif)",IF(AND(F440&lt;&gt;"",ISNA(MATCH(F440,pl_num,0))),"Plan inconnu",IF(AND(F440&lt;&gt;"",IFERROR(INDEX(pl_eq,MATCH(F440,pl_num,0))&amp;"",C440)&lt;&gt;C440),"Plan d'un autre équipement",IF(AND(J440&lt;&gt;"",OR(NOT(ISNUMBER(J440)),N(J440)&lt;0)),"Compteur invalide",IF(OR(AND(K440&lt;&gt;"",OR(NOT(ISNUMBER(K440)),N(K440)&lt;0)),AND(L440&lt;&gt;"",OR(NOT(ISNUMBER(L440)),N(L440)&lt;0))),"Durée invalide",IF(OR(AND(N440&lt;&gt;"",OR(NOT(ISNUMBER(N440)),N(N440)&lt;0)),AND(P440&lt;&gt;"",OR(NOT(ISNUMBER(P440)),N(P440)&lt;0))),"Coût invalide",IF(AND(M440&lt;&gt;"",ISNA(MATCH(M440,tech_name,0))),"Technicien inconnu",IF(AND(I440="Terminée",S440&gt;p_today),"Terminée à une date future",IF(AND(I440="Terminée",V440=0),"Durée d'intervention manquante",IF(AND(I440="Terminée",E440="Préventif",T440=0,OR(IFERROR(INDEX(pl_trig,MATCH(F440,pl_num,0))&amp;"","")="Compteur",IFERROR(INDEX(pl_trig,MATCH(F440,pl_num,0))&amp;"","")="Au premier des deux")),"Compteur manquant (plan au compteur)","OK"))))))))))))))))))</f>
        <v/>
      </c>
      <c r="S440" s="67">
        <f>IF(AND(ISNUMBER(B440),N(B440)&gt;0),INT(B440),0)</f>
        <v>0.0</v>
      </c>
      <c r="T440" s="67">
        <f>IF(AND(ISNUMBER(J440),N(J440)&gt;=0),N(J440),0)</f>
        <v>0.0</v>
      </c>
      <c r="U440" s="67">
        <f>IF(AND(ISNUMBER(K440),N(K440)&gt;0),N(K440),0)</f>
        <v>0.0</v>
      </c>
      <c r="V440" s="67">
        <f>IF(AND(ISNUMBER(L440),N(L440)&gt;0),N(L440),0)</f>
        <v>0.0</v>
      </c>
      <c r="W440" s="67">
        <f>IF(AND(I440="Terminée",S440&gt;0,C440&lt;&gt;"",ISNUMBER(MATCH(C440,eq_code,0))),1,0)</f>
        <v>0.0</v>
      </c>
      <c r="X440" s="67">
        <f>IF(AND(W440=1,E440="Préventif"),1,0)</f>
        <v>0.0</v>
      </c>
      <c r="Y440" s="67">
        <f>IF(AND(ISNUMBER(N440),N(N440)&gt;0),N(N440),0)</f>
        <v>0.0</v>
      </c>
      <c r="Z440" s="67">
        <f>IF(AND(ISNUMBER(P440),N(P440)&gt;0),N(P440),0)</f>
        <v>0.0</v>
      </c>
    </row>
    <row r="441">
      <c r="A441" s="79" t="str">
        <f>IF(COUNTA(B441:C441,E441:G441,I441)=0,"","BI-"&amp;RIGHT("0000"&amp;(ROW()-5),4))</f>
        <v/>
      </c>
      <c r="B441" s="72" t="n"/>
      <c r="C441" s="66" t="n"/>
      <c r="D441" s="67" t="str">
        <f>IF(C441="","",IFERROR(INDEX(eq_des,MATCH(C441,eq_code,0))&amp;"","Équipement inconnu"))</f>
        <v/>
      </c>
      <c r="E441" s="68" t="n"/>
      <c r="F441" s="68" t="n"/>
      <c r="G441" s="66" t="n"/>
      <c r="H441" s="66" t="n"/>
      <c r="I441" s="68" t="n"/>
      <c r="J441" s="73" t="n"/>
      <c r="K441" s="71" t="n"/>
      <c r="L441" s="71" t="n"/>
      <c r="M441" s="66" t="n"/>
      <c r="N441" s="80" t="n"/>
      <c r="O441" s="81" t="str">
        <f>IF(A441="","",ROUND(V441*IFERROR(N(INDEX(tech_rate,MATCH(M441,tech_name,0))),0),2))</f>
        <v/>
      </c>
      <c r="P441" s="80" t="n"/>
      <c r="Q441" s="81" t="str">
        <f>IF(A441="","",ROUND(Y441+O441+Z441,2))</f>
        <v/>
      </c>
      <c r="R441" s="79" t="str">
        <f>IF(A441="","",IF(S441=0,"Date manquante ou invalide",IF(C441="","Équipement manquant",IF(ISNA(MATCH(C441,eq_code,0)),"Équipement inconnu",IF(E441="","Type manquant",IF(AND(E441&lt;&gt;"Préventif",E441&lt;&gt;"Correctif",E441&lt;&gt;"Amélioratif"),"Type inconnu",IF(I441="","Statut manquant",IF(AND(I441&lt;&gt;"Terminée",I441&lt;&gt;"En cours",I441&lt;&gt;"À faire",I441&lt;&gt;"Annulée"),"Statut inconnu",IF(AND(E441="Préventif",F441=""),"Plan manquant (préventif)",IF(AND(F441&lt;&gt;"",ISNA(MATCH(F441,pl_num,0))),"Plan inconnu",IF(AND(F441&lt;&gt;"",IFERROR(INDEX(pl_eq,MATCH(F441,pl_num,0))&amp;"",C441)&lt;&gt;C441),"Plan d'un autre équipement",IF(AND(J441&lt;&gt;"",OR(NOT(ISNUMBER(J441)),N(J441)&lt;0)),"Compteur invalide",IF(OR(AND(K441&lt;&gt;"",OR(NOT(ISNUMBER(K441)),N(K441)&lt;0)),AND(L441&lt;&gt;"",OR(NOT(ISNUMBER(L441)),N(L441)&lt;0))),"Durée invalide",IF(OR(AND(N441&lt;&gt;"",OR(NOT(ISNUMBER(N441)),N(N441)&lt;0)),AND(P441&lt;&gt;"",OR(NOT(ISNUMBER(P441)),N(P441)&lt;0))),"Coût invalide",IF(AND(M441&lt;&gt;"",ISNA(MATCH(M441,tech_name,0))),"Technicien inconnu",IF(AND(I441="Terminée",S441&gt;p_today),"Terminée à une date future",IF(AND(I441="Terminée",V441=0),"Durée d'intervention manquante",IF(AND(I441="Terminée",E441="Préventif",T441=0,OR(IFERROR(INDEX(pl_trig,MATCH(F441,pl_num,0))&amp;"","")="Compteur",IFERROR(INDEX(pl_trig,MATCH(F441,pl_num,0))&amp;"","")="Au premier des deux")),"Compteur manquant (plan au compteur)","OK"))))))))))))))))))</f>
        <v/>
      </c>
      <c r="S441" s="67">
        <f>IF(AND(ISNUMBER(B441),N(B441)&gt;0),INT(B441),0)</f>
        <v>0.0</v>
      </c>
      <c r="T441" s="67">
        <f>IF(AND(ISNUMBER(J441),N(J441)&gt;=0),N(J441),0)</f>
        <v>0.0</v>
      </c>
      <c r="U441" s="67">
        <f>IF(AND(ISNUMBER(K441),N(K441)&gt;0),N(K441),0)</f>
        <v>0.0</v>
      </c>
      <c r="V441" s="67">
        <f>IF(AND(ISNUMBER(L441),N(L441)&gt;0),N(L441),0)</f>
        <v>0.0</v>
      </c>
      <c r="W441" s="67">
        <f>IF(AND(I441="Terminée",S441&gt;0,C441&lt;&gt;"",ISNUMBER(MATCH(C441,eq_code,0))),1,0)</f>
        <v>0.0</v>
      </c>
      <c r="X441" s="67">
        <f>IF(AND(W441=1,E441="Préventif"),1,0)</f>
        <v>0.0</v>
      </c>
      <c r="Y441" s="67">
        <f>IF(AND(ISNUMBER(N441),N(N441)&gt;0),N(N441),0)</f>
        <v>0.0</v>
      </c>
      <c r="Z441" s="67">
        <f>IF(AND(ISNUMBER(P441),N(P441)&gt;0),N(P441),0)</f>
        <v>0.0</v>
      </c>
    </row>
    <row r="442">
      <c r="A442" s="79" t="str">
        <f>IF(COUNTA(B442:C442,E442:G442,I442)=0,"","BI-"&amp;RIGHT("0000"&amp;(ROW()-5),4))</f>
        <v/>
      </c>
      <c r="B442" s="72" t="n"/>
      <c r="C442" s="66" t="n"/>
      <c r="D442" s="67" t="str">
        <f>IF(C442="","",IFERROR(INDEX(eq_des,MATCH(C442,eq_code,0))&amp;"","Équipement inconnu"))</f>
        <v/>
      </c>
      <c r="E442" s="68" t="n"/>
      <c r="F442" s="68" t="n"/>
      <c r="G442" s="66" t="n"/>
      <c r="H442" s="66" t="n"/>
      <c r="I442" s="68" t="n"/>
      <c r="J442" s="73" t="n"/>
      <c r="K442" s="71" t="n"/>
      <c r="L442" s="71" t="n"/>
      <c r="M442" s="66" t="n"/>
      <c r="N442" s="80" t="n"/>
      <c r="O442" s="81" t="str">
        <f>IF(A442="","",ROUND(V442*IFERROR(N(INDEX(tech_rate,MATCH(M442,tech_name,0))),0),2))</f>
        <v/>
      </c>
      <c r="P442" s="80" t="n"/>
      <c r="Q442" s="81" t="str">
        <f>IF(A442="","",ROUND(Y442+O442+Z442,2))</f>
        <v/>
      </c>
      <c r="R442" s="79" t="str">
        <f>IF(A442="","",IF(S442=0,"Date manquante ou invalide",IF(C442="","Équipement manquant",IF(ISNA(MATCH(C442,eq_code,0)),"Équipement inconnu",IF(E442="","Type manquant",IF(AND(E442&lt;&gt;"Préventif",E442&lt;&gt;"Correctif",E442&lt;&gt;"Amélioratif"),"Type inconnu",IF(I442="","Statut manquant",IF(AND(I442&lt;&gt;"Terminée",I442&lt;&gt;"En cours",I442&lt;&gt;"À faire",I442&lt;&gt;"Annulée"),"Statut inconnu",IF(AND(E442="Préventif",F442=""),"Plan manquant (préventif)",IF(AND(F442&lt;&gt;"",ISNA(MATCH(F442,pl_num,0))),"Plan inconnu",IF(AND(F442&lt;&gt;"",IFERROR(INDEX(pl_eq,MATCH(F442,pl_num,0))&amp;"",C442)&lt;&gt;C442),"Plan d'un autre équipement",IF(AND(J442&lt;&gt;"",OR(NOT(ISNUMBER(J442)),N(J442)&lt;0)),"Compteur invalide",IF(OR(AND(K442&lt;&gt;"",OR(NOT(ISNUMBER(K442)),N(K442)&lt;0)),AND(L442&lt;&gt;"",OR(NOT(ISNUMBER(L442)),N(L442)&lt;0))),"Durée invalide",IF(OR(AND(N442&lt;&gt;"",OR(NOT(ISNUMBER(N442)),N(N442)&lt;0)),AND(P442&lt;&gt;"",OR(NOT(ISNUMBER(P442)),N(P442)&lt;0))),"Coût invalide",IF(AND(M442&lt;&gt;"",ISNA(MATCH(M442,tech_name,0))),"Technicien inconnu",IF(AND(I442="Terminée",S442&gt;p_today),"Terminée à une date future",IF(AND(I442="Terminée",V442=0),"Durée d'intervention manquante",IF(AND(I442="Terminée",E442="Préventif",T442=0,OR(IFERROR(INDEX(pl_trig,MATCH(F442,pl_num,0))&amp;"","")="Compteur",IFERROR(INDEX(pl_trig,MATCH(F442,pl_num,0))&amp;"","")="Au premier des deux")),"Compteur manquant (plan au compteur)","OK"))))))))))))))))))</f>
        <v/>
      </c>
      <c r="S442" s="67">
        <f>IF(AND(ISNUMBER(B442),N(B442)&gt;0),INT(B442),0)</f>
        <v>0.0</v>
      </c>
      <c r="T442" s="67">
        <f>IF(AND(ISNUMBER(J442),N(J442)&gt;=0),N(J442),0)</f>
        <v>0.0</v>
      </c>
      <c r="U442" s="67">
        <f>IF(AND(ISNUMBER(K442),N(K442)&gt;0),N(K442),0)</f>
        <v>0.0</v>
      </c>
      <c r="V442" s="67">
        <f>IF(AND(ISNUMBER(L442),N(L442)&gt;0),N(L442),0)</f>
        <v>0.0</v>
      </c>
      <c r="W442" s="67">
        <f>IF(AND(I442="Terminée",S442&gt;0,C442&lt;&gt;"",ISNUMBER(MATCH(C442,eq_code,0))),1,0)</f>
        <v>0.0</v>
      </c>
      <c r="X442" s="67">
        <f>IF(AND(W442=1,E442="Préventif"),1,0)</f>
        <v>0.0</v>
      </c>
      <c r="Y442" s="67">
        <f>IF(AND(ISNUMBER(N442),N(N442)&gt;0),N(N442),0)</f>
        <v>0.0</v>
      </c>
      <c r="Z442" s="67">
        <f>IF(AND(ISNUMBER(P442),N(P442)&gt;0),N(P442),0)</f>
        <v>0.0</v>
      </c>
    </row>
    <row r="443">
      <c r="A443" s="79" t="str">
        <f>IF(COUNTA(B443:C443,E443:G443,I443)=0,"","BI-"&amp;RIGHT("0000"&amp;(ROW()-5),4))</f>
        <v/>
      </c>
      <c r="B443" s="72" t="n"/>
      <c r="C443" s="66" t="n"/>
      <c r="D443" s="67" t="str">
        <f>IF(C443="","",IFERROR(INDEX(eq_des,MATCH(C443,eq_code,0))&amp;"","Équipement inconnu"))</f>
        <v/>
      </c>
      <c r="E443" s="68" t="n"/>
      <c r="F443" s="68" t="n"/>
      <c r="G443" s="66" t="n"/>
      <c r="H443" s="66" t="n"/>
      <c r="I443" s="68" t="n"/>
      <c r="J443" s="73" t="n"/>
      <c r="K443" s="71" t="n"/>
      <c r="L443" s="71" t="n"/>
      <c r="M443" s="66" t="n"/>
      <c r="N443" s="80" t="n"/>
      <c r="O443" s="81" t="str">
        <f>IF(A443="","",ROUND(V443*IFERROR(N(INDEX(tech_rate,MATCH(M443,tech_name,0))),0),2))</f>
        <v/>
      </c>
      <c r="P443" s="80" t="n"/>
      <c r="Q443" s="81" t="str">
        <f>IF(A443="","",ROUND(Y443+O443+Z443,2))</f>
        <v/>
      </c>
      <c r="R443" s="79" t="str">
        <f>IF(A443="","",IF(S443=0,"Date manquante ou invalide",IF(C443="","Équipement manquant",IF(ISNA(MATCH(C443,eq_code,0)),"Équipement inconnu",IF(E443="","Type manquant",IF(AND(E443&lt;&gt;"Préventif",E443&lt;&gt;"Correctif",E443&lt;&gt;"Amélioratif"),"Type inconnu",IF(I443="","Statut manquant",IF(AND(I443&lt;&gt;"Terminée",I443&lt;&gt;"En cours",I443&lt;&gt;"À faire",I443&lt;&gt;"Annulée"),"Statut inconnu",IF(AND(E443="Préventif",F443=""),"Plan manquant (préventif)",IF(AND(F443&lt;&gt;"",ISNA(MATCH(F443,pl_num,0))),"Plan inconnu",IF(AND(F443&lt;&gt;"",IFERROR(INDEX(pl_eq,MATCH(F443,pl_num,0))&amp;"",C443)&lt;&gt;C443),"Plan d'un autre équipement",IF(AND(J443&lt;&gt;"",OR(NOT(ISNUMBER(J443)),N(J443)&lt;0)),"Compteur invalide",IF(OR(AND(K443&lt;&gt;"",OR(NOT(ISNUMBER(K443)),N(K443)&lt;0)),AND(L443&lt;&gt;"",OR(NOT(ISNUMBER(L443)),N(L443)&lt;0))),"Durée invalide",IF(OR(AND(N443&lt;&gt;"",OR(NOT(ISNUMBER(N443)),N(N443)&lt;0)),AND(P443&lt;&gt;"",OR(NOT(ISNUMBER(P443)),N(P443)&lt;0))),"Coût invalide",IF(AND(M443&lt;&gt;"",ISNA(MATCH(M443,tech_name,0))),"Technicien inconnu",IF(AND(I443="Terminée",S443&gt;p_today),"Terminée à une date future",IF(AND(I443="Terminée",V443=0),"Durée d'intervention manquante",IF(AND(I443="Terminée",E443="Préventif",T443=0,OR(IFERROR(INDEX(pl_trig,MATCH(F443,pl_num,0))&amp;"","")="Compteur",IFERROR(INDEX(pl_trig,MATCH(F443,pl_num,0))&amp;"","")="Au premier des deux")),"Compteur manquant (plan au compteur)","OK"))))))))))))))))))</f>
        <v/>
      </c>
      <c r="S443" s="67">
        <f>IF(AND(ISNUMBER(B443),N(B443)&gt;0),INT(B443),0)</f>
        <v>0.0</v>
      </c>
      <c r="T443" s="67">
        <f>IF(AND(ISNUMBER(J443),N(J443)&gt;=0),N(J443),0)</f>
        <v>0.0</v>
      </c>
      <c r="U443" s="67">
        <f>IF(AND(ISNUMBER(K443),N(K443)&gt;0),N(K443),0)</f>
        <v>0.0</v>
      </c>
      <c r="V443" s="67">
        <f>IF(AND(ISNUMBER(L443),N(L443)&gt;0),N(L443),0)</f>
        <v>0.0</v>
      </c>
      <c r="W443" s="67">
        <f>IF(AND(I443="Terminée",S443&gt;0,C443&lt;&gt;"",ISNUMBER(MATCH(C443,eq_code,0))),1,0)</f>
        <v>0.0</v>
      </c>
      <c r="X443" s="67">
        <f>IF(AND(W443=1,E443="Préventif"),1,0)</f>
        <v>0.0</v>
      </c>
      <c r="Y443" s="67">
        <f>IF(AND(ISNUMBER(N443),N(N443)&gt;0),N(N443),0)</f>
        <v>0.0</v>
      </c>
      <c r="Z443" s="67">
        <f>IF(AND(ISNUMBER(P443),N(P443)&gt;0),N(P443),0)</f>
        <v>0.0</v>
      </c>
    </row>
    <row r="444">
      <c r="A444" s="79" t="str">
        <f>IF(COUNTA(B444:C444,E444:G444,I444)=0,"","BI-"&amp;RIGHT("0000"&amp;(ROW()-5),4))</f>
        <v/>
      </c>
      <c r="B444" s="72" t="n"/>
      <c r="C444" s="66" t="n"/>
      <c r="D444" s="67" t="str">
        <f>IF(C444="","",IFERROR(INDEX(eq_des,MATCH(C444,eq_code,0))&amp;"","Équipement inconnu"))</f>
        <v/>
      </c>
      <c r="E444" s="68" t="n"/>
      <c r="F444" s="68" t="n"/>
      <c r="G444" s="66" t="n"/>
      <c r="H444" s="66" t="n"/>
      <c r="I444" s="68" t="n"/>
      <c r="J444" s="73" t="n"/>
      <c r="K444" s="71" t="n"/>
      <c r="L444" s="71" t="n"/>
      <c r="M444" s="66" t="n"/>
      <c r="N444" s="80" t="n"/>
      <c r="O444" s="81" t="str">
        <f>IF(A444="","",ROUND(V444*IFERROR(N(INDEX(tech_rate,MATCH(M444,tech_name,0))),0),2))</f>
        <v/>
      </c>
      <c r="P444" s="80" t="n"/>
      <c r="Q444" s="81" t="str">
        <f>IF(A444="","",ROUND(Y444+O444+Z444,2))</f>
        <v/>
      </c>
      <c r="R444" s="79" t="str">
        <f>IF(A444="","",IF(S444=0,"Date manquante ou invalide",IF(C444="","Équipement manquant",IF(ISNA(MATCH(C444,eq_code,0)),"Équipement inconnu",IF(E444="","Type manquant",IF(AND(E444&lt;&gt;"Préventif",E444&lt;&gt;"Correctif",E444&lt;&gt;"Amélioratif"),"Type inconnu",IF(I444="","Statut manquant",IF(AND(I444&lt;&gt;"Terminée",I444&lt;&gt;"En cours",I444&lt;&gt;"À faire",I444&lt;&gt;"Annulée"),"Statut inconnu",IF(AND(E444="Préventif",F444=""),"Plan manquant (préventif)",IF(AND(F444&lt;&gt;"",ISNA(MATCH(F444,pl_num,0))),"Plan inconnu",IF(AND(F444&lt;&gt;"",IFERROR(INDEX(pl_eq,MATCH(F444,pl_num,0))&amp;"",C444)&lt;&gt;C444),"Plan d'un autre équipement",IF(AND(J444&lt;&gt;"",OR(NOT(ISNUMBER(J444)),N(J444)&lt;0)),"Compteur invalide",IF(OR(AND(K444&lt;&gt;"",OR(NOT(ISNUMBER(K444)),N(K444)&lt;0)),AND(L444&lt;&gt;"",OR(NOT(ISNUMBER(L444)),N(L444)&lt;0))),"Durée invalide",IF(OR(AND(N444&lt;&gt;"",OR(NOT(ISNUMBER(N444)),N(N444)&lt;0)),AND(P444&lt;&gt;"",OR(NOT(ISNUMBER(P444)),N(P444)&lt;0))),"Coût invalide",IF(AND(M444&lt;&gt;"",ISNA(MATCH(M444,tech_name,0))),"Technicien inconnu",IF(AND(I444="Terminée",S444&gt;p_today),"Terminée à une date future",IF(AND(I444="Terminée",V444=0),"Durée d'intervention manquante",IF(AND(I444="Terminée",E444="Préventif",T444=0,OR(IFERROR(INDEX(pl_trig,MATCH(F444,pl_num,0))&amp;"","")="Compteur",IFERROR(INDEX(pl_trig,MATCH(F444,pl_num,0))&amp;"","")="Au premier des deux")),"Compteur manquant (plan au compteur)","OK"))))))))))))))))))</f>
        <v/>
      </c>
      <c r="S444" s="67">
        <f>IF(AND(ISNUMBER(B444),N(B444)&gt;0),INT(B444),0)</f>
        <v>0.0</v>
      </c>
      <c r="T444" s="67">
        <f>IF(AND(ISNUMBER(J444),N(J444)&gt;=0),N(J444),0)</f>
        <v>0.0</v>
      </c>
      <c r="U444" s="67">
        <f>IF(AND(ISNUMBER(K444),N(K444)&gt;0),N(K444),0)</f>
        <v>0.0</v>
      </c>
      <c r="V444" s="67">
        <f>IF(AND(ISNUMBER(L444),N(L444)&gt;0),N(L444),0)</f>
        <v>0.0</v>
      </c>
      <c r="W444" s="67">
        <f>IF(AND(I444="Terminée",S444&gt;0,C444&lt;&gt;"",ISNUMBER(MATCH(C444,eq_code,0))),1,0)</f>
        <v>0.0</v>
      </c>
      <c r="X444" s="67">
        <f>IF(AND(W444=1,E444="Préventif"),1,0)</f>
        <v>0.0</v>
      </c>
      <c r="Y444" s="67">
        <f>IF(AND(ISNUMBER(N444),N(N444)&gt;0),N(N444),0)</f>
        <v>0.0</v>
      </c>
      <c r="Z444" s="67">
        <f>IF(AND(ISNUMBER(P444),N(P444)&gt;0),N(P444),0)</f>
        <v>0.0</v>
      </c>
    </row>
    <row r="445">
      <c r="A445" s="79" t="str">
        <f>IF(COUNTA(B445:C445,E445:G445,I445)=0,"","BI-"&amp;RIGHT("0000"&amp;(ROW()-5),4))</f>
        <v/>
      </c>
      <c r="B445" s="72" t="n"/>
      <c r="C445" s="66" t="n"/>
      <c r="D445" s="67" t="str">
        <f>IF(C445="","",IFERROR(INDEX(eq_des,MATCH(C445,eq_code,0))&amp;"","Équipement inconnu"))</f>
        <v/>
      </c>
      <c r="E445" s="68" t="n"/>
      <c r="F445" s="68" t="n"/>
      <c r="G445" s="66" t="n"/>
      <c r="H445" s="66" t="n"/>
      <c r="I445" s="68" t="n"/>
      <c r="J445" s="73" t="n"/>
      <c r="K445" s="71" t="n"/>
      <c r="L445" s="71" t="n"/>
      <c r="M445" s="66" t="n"/>
      <c r="N445" s="80" t="n"/>
      <c r="O445" s="81" t="str">
        <f>IF(A445="","",ROUND(V445*IFERROR(N(INDEX(tech_rate,MATCH(M445,tech_name,0))),0),2))</f>
        <v/>
      </c>
      <c r="P445" s="80" t="n"/>
      <c r="Q445" s="81" t="str">
        <f>IF(A445="","",ROUND(Y445+O445+Z445,2))</f>
        <v/>
      </c>
      <c r="R445" s="79" t="str">
        <f>IF(A445="","",IF(S445=0,"Date manquante ou invalide",IF(C445="","Équipement manquant",IF(ISNA(MATCH(C445,eq_code,0)),"Équipement inconnu",IF(E445="","Type manquant",IF(AND(E445&lt;&gt;"Préventif",E445&lt;&gt;"Correctif",E445&lt;&gt;"Amélioratif"),"Type inconnu",IF(I445="","Statut manquant",IF(AND(I445&lt;&gt;"Terminée",I445&lt;&gt;"En cours",I445&lt;&gt;"À faire",I445&lt;&gt;"Annulée"),"Statut inconnu",IF(AND(E445="Préventif",F445=""),"Plan manquant (préventif)",IF(AND(F445&lt;&gt;"",ISNA(MATCH(F445,pl_num,0))),"Plan inconnu",IF(AND(F445&lt;&gt;"",IFERROR(INDEX(pl_eq,MATCH(F445,pl_num,0))&amp;"",C445)&lt;&gt;C445),"Plan d'un autre équipement",IF(AND(J445&lt;&gt;"",OR(NOT(ISNUMBER(J445)),N(J445)&lt;0)),"Compteur invalide",IF(OR(AND(K445&lt;&gt;"",OR(NOT(ISNUMBER(K445)),N(K445)&lt;0)),AND(L445&lt;&gt;"",OR(NOT(ISNUMBER(L445)),N(L445)&lt;0))),"Durée invalide",IF(OR(AND(N445&lt;&gt;"",OR(NOT(ISNUMBER(N445)),N(N445)&lt;0)),AND(P445&lt;&gt;"",OR(NOT(ISNUMBER(P445)),N(P445)&lt;0))),"Coût invalide",IF(AND(M445&lt;&gt;"",ISNA(MATCH(M445,tech_name,0))),"Technicien inconnu",IF(AND(I445="Terminée",S445&gt;p_today),"Terminée à une date future",IF(AND(I445="Terminée",V445=0),"Durée d'intervention manquante",IF(AND(I445="Terminée",E445="Préventif",T445=0,OR(IFERROR(INDEX(pl_trig,MATCH(F445,pl_num,0))&amp;"","")="Compteur",IFERROR(INDEX(pl_trig,MATCH(F445,pl_num,0))&amp;"","")="Au premier des deux")),"Compteur manquant (plan au compteur)","OK"))))))))))))))))))</f>
        <v/>
      </c>
      <c r="S445" s="67">
        <f>IF(AND(ISNUMBER(B445),N(B445)&gt;0),INT(B445),0)</f>
        <v>0.0</v>
      </c>
      <c r="T445" s="67">
        <f>IF(AND(ISNUMBER(J445),N(J445)&gt;=0),N(J445),0)</f>
        <v>0.0</v>
      </c>
      <c r="U445" s="67">
        <f>IF(AND(ISNUMBER(K445),N(K445)&gt;0),N(K445),0)</f>
        <v>0.0</v>
      </c>
      <c r="V445" s="67">
        <f>IF(AND(ISNUMBER(L445),N(L445)&gt;0),N(L445),0)</f>
        <v>0.0</v>
      </c>
      <c r="W445" s="67">
        <f>IF(AND(I445="Terminée",S445&gt;0,C445&lt;&gt;"",ISNUMBER(MATCH(C445,eq_code,0))),1,0)</f>
        <v>0.0</v>
      </c>
      <c r="X445" s="67">
        <f>IF(AND(W445=1,E445="Préventif"),1,0)</f>
        <v>0.0</v>
      </c>
      <c r="Y445" s="67">
        <f>IF(AND(ISNUMBER(N445),N(N445)&gt;0),N(N445),0)</f>
        <v>0.0</v>
      </c>
      <c r="Z445" s="67">
        <f>IF(AND(ISNUMBER(P445),N(P445)&gt;0),N(P445),0)</f>
        <v>0.0</v>
      </c>
    </row>
    <row r="446">
      <c r="A446" s="79" t="str">
        <f>IF(COUNTA(B446:C446,E446:G446,I446)=0,"","BI-"&amp;RIGHT("0000"&amp;(ROW()-5),4))</f>
        <v/>
      </c>
      <c r="B446" s="72" t="n"/>
      <c r="C446" s="66" t="n"/>
      <c r="D446" s="67" t="str">
        <f>IF(C446="","",IFERROR(INDEX(eq_des,MATCH(C446,eq_code,0))&amp;"","Équipement inconnu"))</f>
        <v/>
      </c>
      <c r="E446" s="68" t="n"/>
      <c r="F446" s="68" t="n"/>
      <c r="G446" s="66" t="n"/>
      <c r="H446" s="66" t="n"/>
      <c r="I446" s="68" t="n"/>
      <c r="J446" s="73" t="n"/>
      <c r="K446" s="71" t="n"/>
      <c r="L446" s="71" t="n"/>
      <c r="M446" s="66" t="n"/>
      <c r="N446" s="80" t="n"/>
      <c r="O446" s="81" t="str">
        <f>IF(A446="","",ROUND(V446*IFERROR(N(INDEX(tech_rate,MATCH(M446,tech_name,0))),0),2))</f>
        <v/>
      </c>
      <c r="P446" s="80" t="n"/>
      <c r="Q446" s="81" t="str">
        <f>IF(A446="","",ROUND(Y446+O446+Z446,2))</f>
        <v/>
      </c>
      <c r="R446" s="79" t="str">
        <f>IF(A446="","",IF(S446=0,"Date manquante ou invalide",IF(C446="","Équipement manquant",IF(ISNA(MATCH(C446,eq_code,0)),"Équipement inconnu",IF(E446="","Type manquant",IF(AND(E446&lt;&gt;"Préventif",E446&lt;&gt;"Correctif",E446&lt;&gt;"Amélioratif"),"Type inconnu",IF(I446="","Statut manquant",IF(AND(I446&lt;&gt;"Terminée",I446&lt;&gt;"En cours",I446&lt;&gt;"À faire",I446&lt;&gt;"Annulée"),"Statut inconnu",IF(AND(E446="Préventif",F446=""),"Plan manquant (préventif)",IF(AND(F446&lt;&gt;"",ISNA(MATCH(F446,pl_num,0))),"Plan inconnu",IF(AND(F446&lt;&gt;"",IFERROR(INDEX(pl_eq,MATCH(F446,pl_num,0))&amp;"",C446)&lt;&gt;C446),"Plan d'un autre équipement",IF(AND(J446&lt;&gt;"",OR(NOT(ISNUMBER(J446)),N(J446)&lt;0)),"Compteur invalide",IF(OR(AND(K446&lt;&gt;"",OR(NOT(ISNUMBER(K446)),N(K446)&lt;0)),AND(L446&lt;&gt;"",OR(NOT(ISNUMBER(L446)),N(L446)&lt;0))),"Durée invalide",IF(OR(AND(N446&lt;&gt;"",OR(NOT(ISNUMBER(N446)),N(N446)&lt;0)),AND(P446&lt;&gt;"",OR(NOT(ISNUMBER(P446)),N(P446)&lt;0))),"Coût invalide",IF(AND(M446&lt;&gt;"",ISNA(MATCH(M446,tech_name,0))),"Technicien inconnu",IF(AND(I446="Terminée",S446&gt;p_today),"Terminée à une date future",IF(AND(I446="Terminée",V446=0),"Durée d'intervention manquante",IF(AND(I446="Terminée",E446="Préventif",T446=0,OR(IFERROR(INDEX(pl_trig,MATCH(F446,pl_num,0))&amp;"","")="Compteur",IFERROR(INDEX(pl_trig,MATCH(F446,pl_num,0))&amp;"","")="Au premier des deux")),"Compteur manquant (plan au compteur)","OK"))))))))))))))))))</f>
        <v/>
      </c>
      <c r="S446" s="67">
        <f>IF(AND(ISNUMBER(B446),N(B446)&gt;0),INT(B446),0)</f>
        <v>0.0</v>
      </c>
      <c r="T446" s="67">
        <f>IF(AND(ISNUMBER(J446),N(J446)&gt;=0),N(J446),0)</f>
        <v>0.0</v>
      </c>
      <c r="U446" s="67">
        <f>IF(AND(ISNUMBER(K446),N(K446)&gt;0),N(K446),0)</f>
        <v>0.0</v>
      </c>
      <c r="V446" s="67">
        <f>IF(AND(ISNUMBER(L446),N(L446)&gt;0),N(L446),0)</f>
        <v>0.0</v>
      </c>
      <c r="W446" s="67">
        <f>IF(AND(I446="Terminée",S446&gt;0,C446&lt;&gt;"",ISNUMBER(MATCH(C446,eq_code,0))),1,0)</f>
        <v>0.0</v>
      </c>
      <c r="X446" s="67">
        <f>IF(AND(W446=1,E446="Préventif"),1,0)</f>
        <v>0.0</v>
      </c>
      <c r="Y446" s="67">
        <f>IF(AND(ISNUMBER(N446),N(N446)&gt;0),N(N446),0)</f>
        <v>0.0</v>
      </c>
      <c r="Z446" s="67">
        <f>IF(AND(ISNUMBER(P446),N(P446)&gt;0),N(P446),0)</f>
        <v>0.0</v>
      </c>
    </row>
    <row r="447">
      <c r="A447" s="79" t="str">
        <f>IF(COUNTA(B447:C447,E447:G447,I447)=0,"","BI-"&amp;RIGHT("0000"&amp;(ROW()-5),4))</f>
        <v/>
      </c>
      <c r="B447" s="72" t="n"/>
      <c r="C447" s="66" t="n"/>
      <c r="D447" s="67" t="str">
        <f>IF(C447="","",IFERROR(INDEX(eq_des,MATCH(C447,eq_code,0))&amp;"","Équipement inconnu"))</f>
        <v/>
      </c>
      <c r="E447" s="68" t="n"/>
      <c r="F447" s="68" t="n"/>
      <c r="G447" s="66" t="n"/>
      <c r="H447" s="66" t="n"/>
      <c r="I447" s="68" t="n"/>
      <c r="J447" s="73" t="n"/>
      <c r="K447" s="71" t="n"/>
      <c r="L447" s="71" t="n"/>
      <c r="M447" s="66" t="n"/>
      <c r="N447" s="80" t="n"/>
      <c r="O447" s="81" t="str">
        <f>IF(A447="","",ROUND(V447*IFERROR(N(INDEX(tech_rate,MATCH(M447,tech_name,0))),0),2))</f>
        <v/>
      </c>
      <c r="P447" s="80" t="n"/>
      <c r="Q447" s="81" t="str">
        <f>IF(A447="","",ROUND(Y447+O447+Z447,2))</f>
        <v/>
      </c>
      <c r="R447" s="79" t="str">
        <f>IF(A447="","",IF(S447=0,"Date manquante ou invalide",IF(C447="","Équipement manquant",IF(ISNA(MATCH(C447,eq_code,0)),"Équipement inconnu",IF(E447="","Type manquant",IF(AND(E447&lt;&gt;"Préventif",E447&lt;&gt;"Correctif",E447&lt;&gt;"Amélioratif"),"Type inconnu",IF(I447="","Statut manquant",IF(AND(I447&lt;&gt;"Terminée",I447&lt;&gt;"En cours",I447&lt;&gt;"À faire",I447&lt;&gt;"Annulée"),"Statut inconnu",IF(AND(E447="Préventif",F447=""),"Plan manquant (préventif)",IF(AND(F447&lt;&gt;"",ISNA(MATCH(F447,pl_num,0))),"Plan inconnu",IF(AND(F447&lt;&gt;"",IFERROR(INDEX(pl_eq,MATCH(F447,pl_num,0))&amp;"",C447)&lt;&gt;C447),"Plan d'un autre équipement",IF(AND(J447&lt;&gt;"",OR(NOT(ISNUMBER(J447)),N(J447)&lt;0)),"Compteur invalide",IF(OR(AND(K447&lt;&gt;"",OR(NOT(ISNUMBER(K447)),N(K447)&lt;0)),AND(L447&lt;&gt;"",OR(NOT(ISNUMBER(L447)),N(L447)&lt;0))),"Durée invalide",IF(OR(AND(N447&lt;&gt;"",OR(NOT(ISNUMBER(N447)),N(N447)&lt;0)),AND(P447&lt;&gt;"",OR(NOT(ISNUMBER(P447)),N(P447)&lt;0))),"Coût invalide",IF(AND(M447&lt;&gt;"",ISNA(MATCH(M447,tech_name,0))),"Technicien inconnu",IF(AND(I447="Terminée",S447&gt;p_today),"Terminée à une date future",IF(AND(I447="Terminée",V447=0),"Durée d'intervention manquante",IF(AND(I447="Terminée",E447="Préventif",T447=0,OR(IFERROR(INDEX(pl_trig,MATCH(F447,pl_num,0))&amp;"","")="Compteur",IFERROR(INDEX(pl_trig,MATCH(F447,pl_num,0))&amp;"","")="Au premier des deux")),"Compteur manquant (plan au compteur)","OK"))))))))))))))))))</f>
        <v/>
      </c>
      <c r="S447" s="67">
        <f>IF(AND(ISNUMBER(B447),N(B447)&gt;0),INT(B447),0)</f>
        <v>0.0</v>
      </c>
      <c r="T447" s="67">
        <f>IF(AND(ISNUMBER(J447),N(J447)&gt;=0),N(J447),0)</f>
        <v>0.0</v>
      </c>
      <c r="U447" s="67">
        <f>IF(AND(ISNUMBER(K447),N(K447)&gt;0),N(K447),0)</f>
        <v>0.0</v>
      </c>
      <c r="V447" s="67">
        <f>IF(AND(ISNUMBER(L447),N(L447)&gt;0),N(L447),0)</f>
        <v>0.0</v>
      </c>
      <c r="W447" s="67">
        <f>IF(AND(I447="Terminée",S447&gt;0,C447&lt;&gt;"",ISNUMBER(MATCH(C447,eq_code,0))),1,0)</f>
        <v>0.0</v>
      </c>
      <c r="X447" s="67">
        <f>IF(AND(W447=1,E447="Préventif"),1,0)</f>
        <v>0.0</v>
      </c>
      <c r="Y447" s="67">
        <f>IF(AND(ISNUMBER(N447),N(N447)&gt;0),N(N447),0)</f>
        <v>0.0</v>
      </c>
      <c r="Z447" s="67">
        <f>IF(AND(ISNUMBER(P447),N(P447)&gt;0),N(P447),0)</f>
        <v>0.0</v>
      </c>
    </row>
    <row r="448">
      <c r="A448" s="79" t="str">
        <f>IF(COUNTA(B448:C448,E448:G448,I448)=0,"","BI-"&amp;RIGHT("0000"&amp;(ROW()-5),4))</f>
        <v/>
      </c>
      <c r="B448" s="72" t="n"/>
      <c r="C448" s="66" t="n"/>
      <c r="D448" s="67" t="str">
        <f>IF(C448="","",IFERROR(INDEX(eq_des,MATCH(C448,eq_code,0))&amp;"","Équipement inconnu"))</f>
        <v/>
      </c>
      <c r="E448" s="68" t="n"/>
      <c r="F448" s="68" t="n"/>
      <c r="G448" s="66" t="n"/>
      <c r="H448" s="66" t="n"/>
      <c r="I448" s="68" t="n"/>
      <c r="J448" s="73" t="n"/>
      <c r="K448" s="71" t="n"/>
      <c r="L448" s="71" t="n"/>
      <c r="M448" s="66" t="n"/>
      <c r="N448" s="80" t="n"/>
      <c r="O448" s="81" t="str">
        <f>IF(A448="","",ROUND(V448*IFERROR(N(INDEX(tech_rate,MATCH(M448,tech_name,0))),0),2))</f>
        <v/>
      </c>
      <c r="P448" s="80" t="n"/>
      <c r="Q448" s="81" t="str">
        <f>IF(A448="","",ROUND(Y448+O448+Z448,2))</f>
        <v/>
      </c>
      <c r="R448" s="79" t="str">
        <f>IF(A448="","",IF(S448=0,"Date manquante ou invalide",IF(C448="","Équipement manquant",IF(ISNA(MATCH(C448,eq_code,0)),"Équipement inconnu",IF(E448="","Type manquant",IF(AND(E448&lt;&gt;"Préventif",E448&lt;&gt;"Correctif",E448&lt;&gt;"Amélioratif"),"Type inconnu",IF(I448="","Statut manquant",IF(AND(I448&lt;&gt;"Terminée",I448&lt;&gt;"En cours",I448&lt;&gt;"À faire",I448&lt;&gt;"Annulée"),"Statut inconnu",IF(AND(E448="Préventif",F448=""),"Plan manquant (préventif)",IF(AND(F448&lt;&gt;"",ISNA(MATCH(F448,pl_num,0))),"Plan inconnu",IF(AND(F448&lt;&gt;"",IFERROR(INDEX(pl_eq,MATCH(F448,pl_num,0))&amp;"",C448)&lt;&gt;C448),"Plan d'un autre équipement",IF(AND(J448&lt;&gt;"",OR(NOT(ISNUMBER(J448)),N(J448)&lt;0)),"Compteur invalide",IF(OR(AND(K448&lt;&gt;"",OR(NOT(ISNUMBER(K448)),N(K448)&lt;0)),AND(L448&lt;&gt;"",OR(NOT(ISNUMBER(L448)),N(L448)&lt;0))),"Durée invalide",IF(OR(AND(N448&lt;&gt;"",OR(NOT(ISNUMBER(N448)),N(N448)&lt;0)),AND(P448&lt;&gt;"",OR(NOT(ISNUMBER(P448)),N(P448)&lt;0))),"Coût invalide",IF(AND(M448&lt;&gt;"",ISNA(MATCH(M448,tech_name,0))),"Technicien inconnu",IF(AND(I448="Terminée",S448&gt;p_today),"Terminée à une date future",IF(AND(I448="Terminée",V448=0),"Durée d'intervention manquante",IF(AND(I448="Terminée",E448="Préventif",T448=0,OR(IFERROR(INDEX(pl_trig,MATCH(F448,pl_num,0))&amp;"","")="Compteur",IFERROR(INDEX(pl_trig,MATCH(F448,pl_num,0))&amp;"","")="Au premier des deux")),"Compteur manquant (plan au compteur)","OK"))))))))))))))))))</f>
        <v/>
      </c>
      <c r="S448" s="67">
        <f>IF(AND(ISNUMBER(B448),N(B448)&gt;0),INT(B448),0)</f>
        <v>0.0</v>
      </c>
      <c r="T448" s="67">
        <f>IF(AND(ISNUMBER(J448),N(J448)&gt;=0),N(J448),0)</f>
        <v>0.0</v>
      </c>
      <c r="U448" s="67">
        <f>IF(AND(ISNUMBER(K448),N(K448)&gt;0),N(K448),0)</f>
        <v>0.0</v>
      </c>
      <c r="V448" s="67">
        <f>IF(AND(ISNUMBER(L448),N(L448)&gt;0),N(L448),0)</f>
        <v>0.0</v>
      </c>
      <c r="W448" s="67">
        <f>IF(AND(I448="Terminée",S448&gt;0,C448&lt;&gt;"",ISNUMBER(MATCH(C448,eq_code,0))),1,0)</f>
        <v>0.0</v>
      </c>
      <c r="X448" s="67">
        <f>IF(AND(W448=1,E448="Préventif"),1,0)</f>
        <v>0.0</v>
      </c>
      <c r="Y448" s="67">
        <f>IF(AND(ISNUMBER(N448),N(N448)&gt;0),N(N448),0)</f>
        <v>0.0</v>
      </c>
      <c r="Z448" s="67">
        <f>IF(AND(ISNUMBER(P448),N(P448)&gt;0),N(P448),0)</f>
        <v>0.0</v>
      </c>
    </row>
    <row r="449">
      <c r="A449" s="79" t="str">
        <f>IF(COUNTA(B449:C449,E449:G449,I449)=0,"","BI-"&amp;RIGHT("0000"&amp;(ROW()-5),4))</f>
        <v/>
      </c>
      <c r="B449" s="72" t="n"/>
      <c r="C449" s="66" t="n"/>
      <c r="D449" s="67" t="str">
        <f>IF(C449="","",IFERROR(INDEX(eq_des,MATCH(C449,eq_code,0))&amp;"","Équipement inconnu"))</f>
        <v/>
      </c>
      <c r="E449" s="68" t="n"/>
      <c r="F449" s="68" t="n"/>
      <c r="G449" s="66" t="n"/>
      <c r="H449" s="66" t="n"/>
      <c r="I449" s="68" t="n"/>
      <c r="J449" s="73" t="n"/>
      <c r="K449" s="71" t="n"/>
      <c r="L449" s="71" t="n"/>
      <c r="M449" s="66" t="n"/>
      <c r="N449" s="80" t="n"/>
      <c r="O449" s="81" t="str">
        <f>IF(A449="","",ROUND(V449*IFERROR(N(INDEX(tech_rate,MATCH(M449,tech_name,0))),0),2))</f>
        <v/>
      </c>
      <c r="P449" s="80" t="n"/>
      <c r="Q449" s="81" t="str">
        <f>IF(A449="","",ROUND(Y449+O449+Z449,2))</f>
        <v/>
      </c>
      <c r="R449" s="79" t="str">
        <f>IF(A449="","",IF(S449=0,"Date manquante ou invalide",IF(C449="","Équipement manquant",IF(ISNA(MATCH(C449,eq_code,0)),"Équipement inconnu",IF(E449="","Type manquant",IF(AND(E449&lt;&gt;"Préventif",E449&lt;&gt;"Correctif",E449&lt;&gt;"Amélioratif"),"Type inconnu",IF(I449="","Statut manquant",IF(AND(I449&lt;&gt;"Terminée",I449&lt;&gt;"En cours",I449&lt;&gt;"À faire",I449&lt;&gt;"Annulée"),"Statut inconnu",IF(AND(E449="Préventif",F449=""),"Plan manquant (préventif)",IF(AND(F449&lt;&gt;"",ISNA(MATCH(F449,pl_num,0))),"Plan inconnu",IF(AND(F449&lt;&gt;"",IFERROR(INDEX(pl_eq,MATCH(F449,pl_num,0))&amp;"",C449)&lt;&gt;C449),"Plan d'un autre équipement",IF(AND(J449&lt;&gt;"",OR(NOT(ISNUMBER(J449)),N(J449)&lt;0)),"Compteur invalide",IF(OR(AND(K449&lt;&gt;"",OR(NOT(ISNUMBER(K449)),N(K449)&lt;0)),AND(L449&lt;&gt;"",OR(NOT(ISNUMBER(L449)),N(L449)&lt;0))),"Durée invalide",IF(OR(AND(N449&lt;&gt;"",OR(NOT(ISNUMBER(N449)),N(N449)&lt;0)),AND(P449&lt;&gt;"",OR(NOT(ISNUMBER(P449)),N(P449)&lt;0))),"Coût invalide",IF(AND(M449&lt;&gt;"",ISNA(MATCH(M449,tech_name,0))),"Technicien inconnu",IF(AND(I449="Terminée",S449&gt;p_today),"Terminée à une date future",IF(AND(I449="Terminée",V449=0),"Durée d'intervention manquante",IF(AND(I449="Terminée",E449="Préventif",T449=0,OR(IFERROR(INDEX(pl_trig,MATCH(F449,pl_num,0))&amp;"","")="Compteur",IFERROR(INDEX(pl_trig,MATCH(F449,pl_num,0))&amp;"","")="Au premier des deux")),"Compteur manquant (plan au compteur)","OK"))))))))))))))))))</f>
        <v/>
      </c>
      <c r="S449" s="67">
        <f>IF(AND(ISNUMBER(B449),N(B449)&gt;0),INT(B449),0)</f>
        <v>0.0</v>
      </c>
      <c r="T449" s="67">
        <f>IF(AND(ISNUMBER(J449),N(J449)&gt;=0),N(J449),0)</f>
        <v>0.0</v>
      </c>
      <c r="U449" s="67">
        <f>IF(AND(ISNUMBER(K449),N(K449)&gt;0),N(K449),0)</f>
        <v>0.0</v>
      </c>
      <c r="V449" s="67">
        <f>IF(AND(ISNUMBER(L449),N(L449)&gt;0),N(L449),0)</f>
        <v>0.0</v>
      </c>
      <c r="W449" s="67">
        <f>IF(AND(I449="Terminée",S449&gt;0,C449&lt;&gt;"",ISNUMBER(MATCH(C449,eq_code,0))),1,0)</f>
        <v>0.0</v>
      </c>
      <c r="X449" s="67">
        <f>IF(AND(W449=1,E449="Préventif"),1,0)</f>
        <v>0.0</v>
      </c>
      <c r="Y449" s="67">
        <f>IF(AND(ISNUMBER(N449),N(N449)&gt;0),N(N449),0)</f>
        <v>0.0</v>
      </c>
      <c r="Z449" s="67">
        <f>IF(AND(ISNUMBER(P449),N(P449)&gt;0),N(P449),0)</f>
        <v>0.0</v>
      </c>
    </row>
    <row r="450">
      <c r="A450" s="79" t="str">
        <f>IF(COUNTA(B450:C450,E450:G450,I450)=0,"","BI-"&amp;RIGHT("0000"&amp;(ROW()-5),4))</f>
        <v/>
      </c>
      <c r="B450" s="72" t="n"/>
      <c r="C450" s="66" t="n"/>
      <c r="D450" s="67" t="str">
        <f>IF(C450="","",IFERROR(INDEX(eq_des,MATCH(C450,eq_code,0))&amp;"","Équipement inconnu"))</f>
        <v/>
      </c>
      <c r="E450" s="68" t="n"/>
      <c r="F450" s="68" t="n"/>
      <c r="G450" s="66" t="n"/>
      <c r="H450" s="66" t="n"/>
      <c r="I450" s="68" t="n"/>
      <c r="J450" s="73" t="n"/>
      <c r="K450" s="71" t="n"/>
      <c r="L450" s="71" t="n"/>
      <c r="M450" s="66" t="n"/>
      <c r="N450" s="80" t="n"/>
      <c r="O450" s="81" t="str">
        <f>IF(A450="","",ROUND(V450*IFERROR(N(INDEX(tech_rate,MATCH(M450,tech_name,0))),0),2))</f>
        <v/>
      </c>
      <c r="P450" s="80" t="n"/>
      <c r="Q450" s="81" t="str">
        <f>IF(A450="","",ROUND(Y450+O450+Z450,2))</f>
        <v/>
      </c>
      <c r="R450" s="79" t="str">
        <f>IF(A450="","",IF(S450=0,"Date manquante ou invalide",IF(C450="","Équipement manquant",IF(ISNA(MATCH(C450,eq_code,0)),"Équipement inconnu",IF(E450="","Type manquant",IF(AND(E450&lt;&gt;"Préventif",E450&lt;&gt;"Correctif",E450&lt;&gt;"Amélioratif"),"Type inconnu",IF(I450="","Statut manquant",IF(AND(I450&lt;&gt;"Terminée",I450&lt;&gt;"En cours",I450&lt;&gt;"À faire",I450&lt;&gt;"Annulée"),"Statut inconnu",IF(AND(E450="Préventif",F450=""),"Plan manquant (préventif)",IF(AND(F450&lt;&gt;"",ISNA(MATCH(F450,pl_num,0))),"Plan inconnu",IF(AND(F450&lt;&gt;"",IFERROR(INDEX(pl_eq,MATCH(F450,pl_num,0))&amp;"",C450)&lt;&gt;C450),"Plan d'un autre équipement",IF(AND(J450&lt;&gt;"",OR(NOT(ISNUMBER(J450)),N(J450)&lt;0)),"Compteur invalide",IF(OR(AND(K450&lt;&gt;"",OR(NOT(ISNUMBER(K450)),N(K450)&lt;0)),AND(L450&lt;&gt;"",OR(NOT(ISNUMBER(L450)),N(L450)&lt;0))),"Durée invalide",IF(OR(AND(N450&lt;&gt;"",OR(NOT(ISNUMBER(N450)),N(N450)&lt;0)),AND(P450&lt;&gt;"",OR(NOT(ISNUMBER(P450)),N(P450)&lt;0))),"Coût invalide",IF(AND(M450&lt;&gt;"",ISNA(MATCH(M450,tech_name,0))),"Technicien inconnu",IF(AND(I450="Terminée",S450&gt;p_today),"Terminée à une date future",IF(AND(I450="Terminée",V450=0),"Durée d'intervention manquante",IF(AND(I450="Terminée",E450="Préventif",T450=0,OR(IFERROR(INDEX(pl_trig,MATCH(F450,pl_num,0))&amp;"","")="Compteur",IFERROR(INDEX(pl_trig,MATCH(F450,pl_num,0))&amp;"","")="Au premier des deux")),"Compteur manquant (plan au compteur)","OK"))))))))))))))))))</f>
        <v/>
      </c>
      <c r="S450" s="67">
        <f>IF(AND(ISNUMBER(B450),N(B450)&gt;0),INT(B450),0)</f>
        <v>0.0</v>
      </c>
      <c r="T450" s="67">
        <f>IF(AND(ISNUMBER(J450),N(J450)&gt;=0),N(J450),0)</f>
        <v>0.0</v>
      </c>
      <c r="U450" s="67">
        <f>IF(AND(ISNUMBER(K450),N(K450)&gt;0),N(K450),0)</f>
        <v>0.0</v>
      </c>
      <c r="V450" s="67">
        <f>IF(AND(ISNUMBER(L450),N(L450)&gt;0),N(L450),0)</f>
        <v>0.0</v>
      </c>
      <c r="W450" s="67">
        <f>IF(AND(I450="Terminée",S450&gt;0,C450&lt;&gt;"",ISNUMBER(MATCH(C450,eq_code,0))),1,0)</f>
        <v>0.0</v>
      </c>
      <c r="X450" s="67">
        <f>IF(AND(W450=1,E450="Préventif"),1,0)</f>
        <v>0.0</v>
      </c>
      <c r="Y450" s="67">
        <f>IF(AND(ISNUMBER(N450),N(N450)&gt;0),N(N450),0)</f>
        <v>0.0</v>
      </c>
      <c r="Z450" s="67">
        <f>IF(AND(ISNUMBER(P450),N(P450)&gt;0),N(P450),0)</f>
        <v>0.0</v>
      </c>
    </row>
    <row r="451">
      <c r="A451" s="79" t="str">
        <f>IF(COUNTA(B451:C451,E451:G451,I451)=0,"","BI-"&amp;RIGHT("0000"&amp;(ROW()-5),4))</f>
        <v/>
      </c>
      <c r="B451" s="72" t="n"/>
      <c r="C451" s="66" t="n"/>
      <c r="D451" s="67" t="str">
        <f>IF(C451="","",IFERROR(INDEX(eq_des,MATCH(C451,eq_code,0))&amp;"","Équipement inconnu"))</f>
        <v/>
      </c>
      <c r="E451" s="68" t="n"/>
      <c r="F451" s="68" t="n"/>
      <c r="G451" s="66" t="n"/>
      <c r="H451" s="66" t="n"/>
      <c r="I451" s="68" t="n"/>
      <c r="J451" s="73" t="n"/>
      <c r="K451" s="71" t="n"/>
      <c r="L451" s="71" t="n"/>
      <c r="M451" s="66" t="n"/>
      <c r="N451" s="80" t="n"/>
      <c r="O451" s="81" t="str">
        <f>IF(A451="","",ROUND(V451*IFERROR(N(INDEX(tech_rate,MATCH(M451,tech_name,0))),0),2))</f>
        <v/>
      </c>
      <c r="P451" s="80" t="n"/>
      <c r="Q451" s="81" t="str">
        <f>IF(A451="","",ROUND(Y451+O451+Z451,2))</f>
        <v/>
      </c>
      <c r="R451" s="79" t="str">
        <f>IF(A451="","",IF(S451=0,"Date manquante ou invalide",IF(C451="","Équipement manquant",IF(ISNA(MATCH(C451,eq_code,0)),"Équipement inconnu",IF(E451="","Type manquant",IF(AND(E451&lt;&gt;"Préventif",E451&lt;&gt;"Correctif",E451&lt;&gt;"Amélioratif"),"Type inconnu",IF(I451="","Statut manquant",IF(AND(I451&lt;&gt;"Terminée",I451&lt;&gt;"En cours",I451&lt;&gt;"À faire",I451&lt;&gt;"Annulée"),"Statut inconnu",IF(AND(E451="Préventif",F451=""),"Plan manquant (préventif)",IF(AND(F451&lt;&gt;"",ISNA(MATCH(F451,pl_num,0))),"Plan inconnu",IF(AND(F451&lt;&gt;"",IFERROR(INDEX(pl_eq,MATCH(F451,pl_num,0))&amp;"",C451)&lt;&gt;C451),"Plan d'un autre équipement",IF(AND(J451&lt;&gt;"",OR(NOT(ISNUMBER(J451)),N(J451)&lt;0)),"Compteur invalide",IF(OR(AND(K451&lt;&gt;"",OR(NOT(ISNUMBER(K451)),N(K451)&lt;0)),AND(L451&lt;&gt;"",OR(NOT(ISNUMBER(L451)),N(L451)&lt;0))),"Durée invalide",IF(OR(AND(N451&lt;&gt;"",OR(NOT(ISNUMBER(N451)),N(N451)&lt;0)),AND(P451&lt;&gt;"",OR(NOT(ISNUMBER(P451)),N(P451)&lt;0))),"Coût invalide",IF(AND(M451&lt;&gt;"",ISNA(MATCH(M451,tech_name,0))),"Technicien inconnu",IF(AND(I451="Terminée",S451&gt;p_today),"Terminée à une date future",IF(AND(I451="Terminée",V451=0),"Durée d'intervention manquante",IF(AND(I451="Terminée",E451="Préventif",T451=0,OR(IFERROR(INDEX(pl_trig,MATCH(F451,pl_num,0))&amp;"","")="Compteur",IFERROR(INDEX(pl_trig,MATCH(F451,pl_num,0))&amp;"","")="Au premier des deux")),"Compteur manquant (plan au compteur)","OK"))))))))))))))))))</f>
        <v/>
      </c>
      <c r="S451" s="67">
        <f>IF(AND(ISNUMBER(B451),N(B451)&gt;0),INT(B451),0)</f>
        <v>0.0</v>
      </c>
      <c r="T451" s="67">
        <f>IF(AND(ISNUMBER(J451),N(J451)&gt;=0),N(J451),0)</f>
        <v>0.0</v>
      </c>
      <c r="U451" s="67">
        <f>IF(AND(ISNUMBER(K451),N(K451)&gt;0),N(K451),0)</f>
        <v>0.0</v>
      </c>
      <c r="V451" s="67">
        <f>IF(AND(ISNUMBER(L451),N(L451)&gt;0),N(L451),0)</f>
        <v>0.0</v>
      </c>
      <c r="W451" s="67">
        <f>IF(AND(I451="Terminée",S451&gt;0,C451&lt;&gt;"",ISNUMBER(MATCH(C451,eq_code,0))),1,0)</f>
        <v>0.0</v>
      </c>
      <c r="X451" s="67">
        <f>IF(AND(W451=1,E451="Préventif"),1,0)</f>
        <v>0.0</v>
      </c>
      <c r="Y451" s="67">
        <f>IF(AND(ISNUMBER(N451),N(N451)&gt;0),N(N451),0)</f>
        <v>0.0</v>
      </c>
      <c r="Z451" s="67">
        <f>IF(AND(ISNUMBER(P451),N(P451)&gt;0),N(P451),0)</f>
        <v>0.0</v>
      </c>
    </row>
    <row r="452">
      <c r="A452" s="79" t="str">
        <f>IF(COUNTA(B452:C452,E452:G452,I452)=0,"","BI-"&amp;RIGHT("0000"&amp;(ROW()-5),4))</f>
        <v/>
      </c>
      <c r="B452" s="72" t="n"/>
      <c r="C452" s="66" t="n"/>
      <c r="D452" s="67" t="str">
        <f>IF(C452="","",IFERROR(INDEX(eq_des,MATCH(C452,eq_code,0))&amp;"","Équipement inconnu"))</f>
        <v/>
      </c>
      <c r="E452" s="68" t="n"/>
      <c r="F452" s="68" t="n"/>
      <c r="G452" s="66" t="n"/>
      <c r="H452" s="66" t="n"/>
      <c r="I452" s="68" t="n"/>
      <c r="J452" s="73" t="n"/>
      <c r="K452" s="71" t="n"/>
      <c r="L452" s="71" t="n"/>
      <c r="M452" s="66" t="n"/>
      <c r="N452" s="80" t="n"/>
      <c r="O452" s="81" t="str">
        <f>IF(A452="","",ROUND(V452*IFERROR(N(INDEX(tech_rate,MATCH(M452,tech_name,0))),0),2))</f>
        <v/>
      </c>
      <c r="P452" s="80" t="n"/>
      <c r="Q452" s="81" t="str">
        <f>IF(A452="","",ROUND(Y452+O452+Z452,2))</f>
        <v/>
      </c>
      <c r="R452" s="79" t="str">
        <f>IF(A452="","",IF(S452=0,"Date manquante ou invalide",IF(C452="","Équipement manquant",IF(ISNA(MATCH(C452,eq_code,0)),"Équipement inconnu",IF(E452="","Type manquant",IF(AND(E452&lt;&gt;"Préventif",E452&lt;&gt;"Correctif",E452&lt;&gt;"Amélioratif"),"Type inconnu",IF(I452="","Statut manquant",IF(AND(I452&lt;&gt;"Terminée",I452&lt;&gt;"En cours",I452&lt;&gt;"À faire",I452&lt;&gt;"Annulée"),"Statut inconnu",IF(AND(E452="Préventif",F452=""),"Plan manquant (préventif)",IF(AND(F452&lt;&gt;"",ISNA(MATCH(F452,pl_num,0))),"Plan inconnu",IF(AND(F452&lt;&gt;"",IFERROR(INDEX(pl_eq,MATCH(F452,pl_num,0))&amp;"",C452)&lt;&gt;C452),"Plan d'un autre équipement",IF(AND(J452&lt;&gt;"",OR(NOT(ISNUMBER(J452)),N(J452)&lt;0)),"Compteur invalide",IF(OR(AND(K452&lt;&gt;"",OR(NOT(ISNUMBER(K452)),N(K452)&lt;0)),AND(L452&lt;&gt;"",OR(NOT(ISNUMBER(L452)),N(L452)&lt;0))),"Durée invalide",IF(OR(AND(N452&lt;&gt;"",OR(NOT(ISNUMBER(N452)),N(N452)&lt;0)),AND(P452&lt;&gt;"",OR(NOT(ISNUMBER(P452)),N(P452)&lt;0))),"Coût invalide",IF(AND(M452&lt;&gt;"",ISNA(MATCH(M452,tech_name,0))),"Technicien inconnu",IF(AND(I452="Terminée",S452&gt;p_today),"Terminée à une date future",IF(AND(I452="Terminée",V452=0),"Durée d'intervention manquante",IF(AND(I452="Terminée",E452="Préventif",T452=0,OR(IFERROR(INDEX(pl_trig,MATCH(F452,pl_num,0))&amp;"","")="Compteur",IFERROR(INDEX(pl_trig,MATCH(F452,pl_num,0))&amp;"","")="Au premier des deux")),"Compteur manquant (plan au compteur)","OK"))))))))))))))))))</f>
        <v/>
      </c>
      <c r="S452" s="67">
        <f>IF(AND(ISNUMBER(B452),N(B452)&gt;0),INT(B452),0)</f>
        <v>0.0</v>
      </c>
      <c r="T452" s="67">
        <f>IF(AND(ISNUMBER(J452),N(J452)&gt;=0),N(J452),0)</f>
        <v>0.0</v>
      </c>
      <c r="U452" s="67">
        <f>IF(AND(ISNUMBER(K452),N(K452)&gt;0),N(K452),0)</f>
        <v>0.0</v>
      </c>
      <c r="V452" s="67">
        <f>IF(AND(ISNUMBER(L452),N(L452)&gt;0),N(L452),0)</f>
        <v>0.0</v>
      </c>
      <c r="W452" s="67">
        <f>IF(AND(I452="Terminée",S452&gt;0,C452&lt;&gt;"",ISNUMBER(MATCH(C452,eq_code,0))),1,0)</f>
        <v>0.0</v>
      </c>
      <c r="X452" s="67">
        <f>IF(AND(W452=1,E452="Préventif"),1,0)</f>
        <v>0.0</v>
      </c>
      <c r="Y452" s="67">
        <f>IF(AND(ISNUMBER(N452),N(N452)&gt;0),N(N452),0)</f>
        <v>0.0</v>
      </c>
      <c r="Z452" s="67">
        <f>IF(AND(ISNUMBER(P452),N(P452)&gt;0),N(P452),0)</f>
        <v>0.0</v>
      </c>
    </row>
    <row r="453">
      <c r="A453" s="79" t="str">
        <f>IF(COUNTA(B453:C453,E453:G453,I453)=0,"","BI-"&amp;RIGHT("0000"&amp;(ROW()-5),4))</f>
        <v/>
      </c>
      <c r="B453" s="72" t="n"/>
      <c r="C453" s="66" t="n"/>
      <c r="D453" s="67" t="str">
        <f>IF(C453="","",IFERROR(INDEX(eq_des,MATCH(C453,eq_code,0))&amp;"","Équipement inconnu"))</f>
        <v/>
      </c>
      <c r="E453" s="68" t="n"/>
      <c r="F453" s="68" t="n"/>
      <c r="G453" s="66" t="n"/>
      <c r="H453" s="66" t="n"/>
      <c r="I453" s="68" t="n"/>
      <c r="J453" s="73" t="n"/>
      <c r="K453" s="71" t="n"/>
      <c r="L453" s="71" t="n"/>
      <c r="M453" s="66" t="n"/>
      <c r="N453" s="80" t="n"/>
      <c r="O453" s="81" t="str">
        <f>IF(A453="","",ROUND(V453*IFERROR(N(INDEX(tech_rate,MATCH(M453,tech_name,0))),0),2))</f>
        <v/>
      </c>
      <c r="P453" s="80" t="n"/>
      <c r="Q453" s="81" t="str">
        <f>IF(A453="","",ROUND(Y453+O453+Z453,2))</f>
        <v/>
      </c>
      <c r="R453" s="79" t="str">
        <f>IF(A453="","",IF(S453=0,"Date manquante ou invalide",IF(C453="","Équipement manquant",IF(ISNA(MATCH(C453,eq_code,0)),"Équipement inconnu",IF(E453="","Type manquant",IF(AND(E453&lt;&gt;"Préventif",E453&lt;&gt;"Correctif",E453&lt;&gt;"Amélioratif"),"Type inconnu",IF(I453="","Statut manquant",IF(AND(I453&lt;&gt;"Terminée",I453&lt;&gt;"En cours",I453&lt;&gt;"À faire",I453&lt;&gt;"Annulée"),"Statut inconnu",IF(AND(E453="Préventif",F453=""),"Plan manquant (préventif)",IF(AND(F453&lt;&gt;"",ISNA(MATCH(F453,pl_num,0))),"Plan inconnu",IF(AND(F453&lt;&gt;"",IFERROR(INDEX(pl_eq,MATCH(F453,pl_num,0))&amp;"",C453)&lt;&gt;C453),"Plan d'un autre équipement",IF(AND(J453&lt;&gt;"",OR(NOT(ISNUMBER(J453)),N(J453)&lt;0)),"Compteur invalide",IF(OR(AND(K453&lt;&gt;"",OR(NOT(ISNUMBER(K453)),N(K453)&lt;0)),AND(L453&lt;&gt;"",OR(NOT(ISNUMBER(L453)),N(L453)&lt;0))),"Durée invalide",IF(OR(AND(N453&lt;&gt;"",OR(NOT(ISNUMBER(N453)),N(N453)&lt;0)),AND(P453&lt;&gt;"",OR(NOT(ISNUMBER(P453)),N(P453)&lt;0))),"Coût invalide",IF(AND(M453&lt;&gt;"",ISNA(MATCH(M453,tech_name,0))),"Technicien inconnu",IF(AND(I453="Terminée",S453&gt;p_today),"Terminée à une date future",IF(AND(I453="Terminée",V453=0),"Durée d'intervention manquante",IF(AND(I453="Terminée",E453="Préventif",T453=0,OR(IFERROR(INDEX(pl_trig,MATCH(F453,pl_num,0))&amp;"","")="Compteur",IFERROR(INDEX(pl_trig,MATCH(F453,pl_num,0))&amp;"","")="Au premier des deux")),"Compteur manquant (plan au compteur)","OK"))))))))))))))))))</f>
        <v/>
      </c>
      <c r="S453" s="67">
        <f>IF(AND(ISNUMBER(B453),N(B453)&gt;0),INT(B453),0)</f>
        <v>0.0</v>
      </c>
      <c r="T453" s="67">
        <f>IF(AND(ISNUMBER(J453),N(J453)&gt;=0),N(J453),0)</f>
        <v>0.0</v>
      </c>
      <c r="U453" s="67">
        <f>IF(AND(ISNUMBER(K453),N(K453)&gt;0),N(K453),0)</f>
        <v>0.0</v>
      </c>
      <c r="V453" s="67">
        <f>IF(AND(ISNUMBER(L453),N(L453)&gt;0),N(L453),0)</f>
        <v>0.0</v>
      </c>
      <c r="W453" s="67">
        <f>IF(AND(I453="Terminée",S453&gt;0,C453&lt;&gt;"",ISNUMBER(MATCH(C453,eq_code,0))),1,0)</f>
        <v>0.0</v>
      </c>
      <c r="X453" s="67">
        <f>IF(AND(W453=1,E453="Préventif"),1,0)</f>
        <v>0.0</v>
      </c>
      <c r="Y453" s="67">
        <f>IF(AND(ISNUMBER(N453),N(N453)&gt;0),N(N453),0)</f>
        <v>0.0</v>
      </c>
      <c r="Z453" s="67">
        <f>IF(AND(ISNUMBER(P453),N(P453)&gt;0),N(P453),0)</f>
        <v>0.0</v>
      </c>
    </row>
    <row r="454">
      <c r="A454" s="79" t="str">
        <f>IF(COUNTA(B454:C454,E454:G454,I454)=0,"","BI-"&amp;RIGHT("0000"&amp;(ROW()-5),4))</f>
        <v/>
      </c>
      <c r="B454" s="72" t="n"/>
      <c r="C454" s="66" t="n"/>
      <c r="D454" s="67" t="str">
        <f>IF(C454="","",IFERROR(INDEX(eq_des,MATCH(C454,eq_code,0))&amp;"","Équipement inconnu"))</f>
        <v/>
      </c>
      <c r="E454" s="68" t="n"/>
      <c r="F454" s="68" t="n"/>
      <c r="G454" s="66" t="n"/>
      <c r="H454" s="66" t="n"/>
      <c r="I454" s="68" t="n"/>
      <c r="J454" s="73" t="n"/>
      <c r="K454" s="71" t="n"/>
      <c r="L454" s="71" t="n"/>
      <c r="M454" s="66" t="n"/>
      <c r="N454" s="80" t="n"/>
      <c r="O454" s="81" t="str">
        <f>IF(A454="","",ROUND(V454*IFERROR(N(INDEX(tech_rate,MATCH(M454,tech_name,0))),0),2))</f>
        <v/>
      </c>
      <c r="P454" s="80" t="n"/>
      <c r="Q454" s="81" t="str">
        <f>IF(A454="","",ROUND(Y454+O454+Z454,2))</f>
        <v/>
      </c>
      <c r="R454" s="79" t="str">
        <f>IF(A454="","",IF(S454=0,"Date manquante ou invalide",IF(C454="","Équipement manquant",IF(ISNA(MATCH(C454,eq_code,0)),"Équipement inconnu",IF(E454="","Type manquant",IF(AND(E454&lt;&gt;"Préventif",E454&lt;&gt;"Correctif",E454&lt;&gt;"Amélioratif"),"Type inconnu",IF(I454="","Statut manquant",IF(AND(I454&lt;&gt;"Terminée",I454&lt;&gt;"En cours",I454&lt;&gt;"À faire",I454&lt;&gt;"Annulée"),"Statut inconnu",IF(AND(E454="Préventif",F454=""),"Plan manquant (préventif)",IF(AND(F454&lt;&gt;"",ISNA(MATCH(F454,pl_num,0))),"Plan inconnu",IF(AND(F454&lt;&gt;"",IFERROR(INDEX(pl_eq,MATCH(F454,pl_num,0))&amp;"",C454)&lt;&gt;C454),"Plan d'un autre équipement",IF(AND(J454&lt;&gt;"",OR(NOT(ISNUMBER(J454)),N(J454)&lt;0)),"Compteur invalide",IF(OR(AND(K454&lt;&gt;"",OR(NOT(ISNUMBER(K454)),N(K454)&lt;0)),AND(L454&lt;&gt;"",OR(NOT(ISNUMBER(L454)),N(L454)&lt;0))),"Durée invalide",IF(OR(AND(N454&lt;&gt;"",OR(NOT(ISNUMBER(N454)),N(N454)&lt;0)),AND(P454&lt;&gt;"",OR(NOT(ISNUMBER(P454)),N(P454)&lt;0))),"Coût invalide",IF(AND(M454&lt;&gt;"",ISNA(MATCH(M454,tech_name,0))),"Technicien inconnu",IF(AND(I454="Terminée",S454&gt;p_today),"Terminée à une date future",IF(AND(I454="Terminée",V454=0),"Durée d'intervention manquante",IF(AND(I454="Terminée",E454="Préventif",T454=0,OR(IFERROR(INDEX(pl_trig,MATCH(F454,pl_num,0))&amp;"","")="Compteur",IFERROR(INDEX(pl_trig,MATCH(F454,pl_num,0))&amp;"","")="Au premier des deux")),"Compteur manquant (plan au compteur)","OK"))))))))))))))))))</f>
        <v/>
      </c>
      <c r="S454" s="67">
        <f>IF(AND(ISNUMBER(B454),N(B454)&gt;0),INT(B454),0)</f>
        <v>0.0</v>
      </c>
      <c r="T454" s="67">
        <f>IF(AND(ISNUMBER(J454),N(J454)&gt;=0),N(J454),0)</f>
        <v>0.0</v>
      </c>
      <c r="U454" s="67">
        <f>IF(AND(ISNUMBER(K454),N(K454)&gt;0),N(K454),0)</f>
        <v>0.0</v>
      </c>
      <c r="V454" s="67">
        <f>IF(AND(ISNUMBER(L454),N(L454)&gt;0),N(L454),0)</f>
        <v>0.0</v>
      </c>
      <c r="W454" s="67">
        <f>IF(AND(I454="Terminée",S454&gt;0,C454&lt;&gt;"",ISNUMBER(MATCH(C454,eq_code,0))),1,0)</f>
        <v>0.0</v>
      </c>
      <c r="X454" s="67">
        <f>IF(AND(W454=1,E454="Préventif"),1,0)</f>
        <v>0.0</v>
      </c>
      <c r="Y454" s="67">
        <f>IF(AND(ISNUMBER(N454),N(N454)&gt;0),N(N454),0)</f>
        <v>0.0</v>
      </c>
      <c r="Z454" s="67">
        <f>IF(AND(ISNUMBER(P454),N(P454)&gt;0),N(P454),0)</f>
        <v>0.0</v>
      </c>
    </row>
    <row r="455">
      <c r="A455" s="79" t="str">
        <f>IF(COUNTA(B455:C455,E455:G455,I455)=0,"","BI-"&amp;RIGHT("0000"&amp;(ROW()-5),4))</f>
        <v/>
      </c>
      <c r="B455" s="72" t="n"/>
      <c r="C455" s="66" t="n"/>
      <c r="D455" s="67" t="str">
        <f>IF(C455="","",IFERROR(INDEX(eq_des,MATCH(C455,eq_code,0))&amp;"","Équipement inconnu"))</f>
        <v/>
      </c>
      <c r="E455" s="68" t="n"/>
      <c r="F455" s="68" t="n"/>
      <c r="G455" s="66" t="n"/>
      <c r="H455" s="66" t="n"/>
      <c r="I455" s="68" t="n"/>
      <c r="J455" s="73" t="n"/>
      <c r="K455" s="71" t="n"/>
      <c r="L455" s="71" t="n"/>
      <c r="M455" s="66" t="n"/>
      <c r="N455" s="80" t="n"/>
      <c r="O455" s="81" t="str">
        <f>IF(A455="","",ROUND(V455*IFERROR(N(INDEX(tech_rate,MATCH(M455,tech_name,0))),0),2))</f>
        <v/>
      </c>
      <c r="P455" s="80" t="n"/>
      <c r="Q455" s="81" t="str">
        <f>IF(A455="","",ROUND(Y455+O455+Z455,2))</f>
        <v/>
      </c>
      <c r="R455" s="79" t="str">
        <f>IF(A455="","",IF(S455=0,"Date manquante ou invalide",IF(C455="","Équipement manquant",IF(ISNA(MATCH(C455,eq_code,0)),"Équipement inconnu",IF(E455="","Type manquant",IF(AND(E455&lt;&gt;"Préventif",E455&lt;&gt;"Correctif",E455&lt;&gt;"Amélioratif"),"Type inconnu",IF(I455="","Statut manquant",IF(AND(I455&lt;&gt;"Terminée",I455&lt;&gt;"En cours",I455&lt;&gt;"À faire",I455&lt;&gt;"Annulée"),"Statut inconnu",IF(AND(E455="Préventif",F455=""),"Plan manquant (préventif)",IF(AND(F455&lt;&gt;"",ISNA(MATCH(F455,pl_num,0))),"Plan inconnu",IF(AND(F455&lt;&gt;"",IFERROR(INDEX(pl_eq,MATCH(F455,pl_num,0))&amp;"",C455)&lt;&gt;C455),"Plan d'un autre équipement",IF(AND(J455&lt;&gt;"",OR(NOT(ISNUMBER(J455)),N(J455)&lt;0)),"Compteur invalide",IF(OR(AND(K455&lt;&gt;"",OR(NOT(ISNUMBER(K455)),N(K455)&lt;0)),AND(L455&lt;&gt;"",OR(NOT(ISNUMBER(L455)),N(L455)&lt;0))),"Durée invalide",IF(OR(AND(N455&lt;&gt;"",OR(NOT(ISNUMBER(N455)),N(N455)&lt;0)),AND(P455&lt;&gt;"",OR(NOT(ISNUMBER(P455)),N(P455)&lt;0))),"Coût invalide",IF(AND(M455&lt;&gt;"",ISNA(MATCH(M455,tech_name,0))),"Technicien inconnu",IF(AND(I455="Terminée",S455&gt;p_today),"Terminée à une date future",IF(AND(I455="Terminée",V455=0),"Durée d'intervention manquante",IF(AND(I455="Terminée",E455="Préventif",T455=0,OR(IFERROR(INDEX(pl_trig,MATCH(F455,pl_num,0))&amp;"","")="Compteur",IFERROR(INDEX(pl_trig,MATCH(F455,pl_num,0))&amp;"","")="Au premier des deux")),"Compteur manquant (plan au compteur)","OK"))))))))))))))))))</f>
        <v/>
      </c>
      <c r="S455" s="67">
        <f>IF(AND(ISNUMBER(B455),N(B455)&gt;0),INT(B455),0)</f>
        <v>0.0</v>
      </c>
      <c r="T455" s="67">
        <f>IF(AND(ISNUMBER(J455),N(J455)&gt;=0),N(J455),0)</f>
        <v>0.0</v>
      </c>
      <c r="U455" s="67">
        <f>IF(AND(ISNUMBER(K455),N(K455)&gt;0),N(K455),0)</f>
        <v>0.0</v>
      </c>
      <c r="V455" s="67">
        <f>IF(AND(ISNUMBER(L455),N(L455)&gt;0),N(L455),0)</f>
        <v>0.0</v>
      </c>
      <c r="W455" s="67">
        <f>IF(AND(I455="Terminée",S455&gt;0,C455&lt;&gt;"",ISNUMBER(MATCH(C455,eq_code,0))),1,0)</f>
        <v>0.0</v>
      </c>
      <c r="X455" s="67">
        <f>IF(AND(W455=1,E455="Préventif"),1,0)</f>
        <v>0.0</v>
      </c>
      <c r="Y455" s="67">
        <f>IF(AND(ISNUMBER(N455),N(N455)&gt;0),N(N455),0)</f>
        <v>0.0</v>
      </c>
      <c r="Z455" s="67">
        <f>IF(AND(ISNUMBER(P455),N(P455)&gt;0),N(P455),0)</f>
        <v>0.0</v>
      </c>
    </row>
    <row r="456">
      <c r="A456" s="79" t="str">
        <f>IF(COUNTA(B456:C456,E456:G456,I456)=0,"","BI-"&amp;RIGHT("0000"&amp;(ROW()-5),4))</f>
        <v/>
      </c>
      <c r="B456" s="72" t="n"/>
      <c r="C456" s="66" t="n"/>
      <c r="D456" s="67" t="str">
        <f>IF(C456="","",IFERROR(INDEX(eq_des,MATCH(C456,eq_code,0))&amp;"","Équipement inconnu"))</f>
        <v/>
      </c>
      <c r="E456" s="68" t="n"/>
      <c r="F456" s="68" t="n"/>
      <c r="G456" s="66" t="n"/>
      <c r="H456" s="66" t="n"/>
      <c r="I456" s="68" t="n"/>
      <c r="J456" s="73" t="n"/>
      <c r="K456" s="71" t="n"/>
      <c r="L456" s="71" t="n"/>
      <c r="M456" s="66" t="n"/>
      <c r="N456" s="80" t="n"/>
      <c r="O456" s="81" t="str">
        <f>IF(A456="","",ROUND(V456*IFERROR(N(INDEX(tech_rate,MATCH(M456,tech_name,0))),0),2))</f>
        <v/>
      </c>
      <c r="P456" s="80" t="n"/>
      <c r="Q456" s="81" t="str">
        <f>IF(A456="","",ROUND(Y456+O456+Z456,2))</f>
        <v/>
      </c>
      <c r="R456" s="79" t="str">
        <f>IF(A456="","",IF(S456=0,"Date manquante ou invalide",IF(C456="","Équipement manquant",IF(ISNA(MATCH(C456,eq_code,0)),"Équipement inconnu",IF(E456="","Type manquant",IF(AND(E456&lt;&gt;"Préventif",E456&lt;&gt;"Correctif",E456&lt;&gt;"Amélioratif"),"Type inconnu",IF(I456="","Statut manquant",IF(AND(I456&lt;&gt;"Terminée",I456&lt;&gt;"En cours",I456&lt;&gt;"À faire",I456&lt;&gt;"Annulée"),"Statut inconnu",IF(AND(E456="Préventif",F456=""),"Plan manquant (préventif)",IF(AND(F456&lt;&gt;"",ISNA(MATCH(F456,pl_num,0))),"Plan inconnu",IF(AND(F456&lt;&gt;"",IFERROR(INDEX(pl_eq,MATCH(F456,pl_num,0))&amp;"",C456)&lt;&gt;C456),"Plan d'un autre équipement",IF(AND(J456&lt;&gt;"",OR(NOT(ISNUMBER(J456)),N(J456)&lt;0)),"Compteur invalide",IF(OR(AND(K456&lt;&gt;"",OR(NOT(ISNUMBER(K456)),N(K456)&lt;0)),AND(L456&lt;&gt;"",OR(NOT(ISNUMBER(L456)),N(L456)&lt;0))),"Durée invalide",IF(OR(AND(N456&lt;&gt;"",OR(NOT(ISNUMBER(N456)),N(N456)&lt;0)),AND(P456&lt;&gt;"",OR(NOT(ISNUMBER(P456)),N(P456)&lt;0))),"Coût invalide",IF(AND(M456&lt;&gt;"",ISNA(MATCH(M456,tech_name,0))),"Technicien inconnu",IF(AND(I456="Terminée",S456&gt;p_today),"Terminée à une date future",IF(AND(I456="Terminée",V456=0),"Durée d'intervention manquante",IF(AND(I456="Terminée",E456="Préventif",T456=0,OR(IFERROR(INDEX(pl_trig,MATCH(F456,pl_num,0))&amp;"","")="Compteur",IFERROR(INDEX(pl_trig,MATCH(F456,pl_num,0))&amp;"","")="Au premier des deux")),"Compteur manquant (plan au compteur)","OK"))))))))))))))))))</f>
        <v/>
      </c>
      <c r="S456" s="67">
        <f>IF(AND(ISNUMBER(B456),N(B456)&gt;0),INT(B456),0)</f>
        <v>0.0</v>
      </c>
      <c r="T456" s="67">
        <f>IF(AND(ISNUMBER(J456),N(J456)&gt;=0),N(J456),0)</f>
        <v>0.0</v>
      </c>
      <c r="U456" s="67">
        <f>IF(AND(ISNUMBER(K456),N(K456)&gt;0),N(K456),0)</f>
        <v>0.0</v>
      </c>
      <c r="V456" s="67">
        <f>IF(AND(ISNUMBER(L456),N(L456)&gt;0),N(L456),0)</f>
        <v>0.0</v>
      </c>
      <c r="W456" s="67">
        <f>IF(AND(I456="Terminée",S456&gt;0,C456&lt;&gt;"",ISNUMBER(MATCH(C456,eq_code,0))),1,0)</f>
        <v>0.0</v>
      </c>
      <c r="X456" s="67">
        <f>IF(AND(W456=1,E456="Préventif"),1,0)</f>
        <v>0.0</v>
      </c>
      <c r="Y456" s="67">
        <f>IF(AND(ISNUMBER(N456),N(N456)&gt;0),N(N456),0)</f>
        <v>0.0</v>
      </c>
      <c r="Z456" s="67">
        <f>IF(AND(ISNUMBER(P456),N(P456)&gt;0),N(P456),0)</f>
        <v>0.0</v>
      </c>
    </row>
    <row r="457">
      <c r="A457" s="79" t="str">
        <f>IF(COUNTA(B457:C457,E457:G457,I457)=0,"","BI-"&amp;RIGHT("0000"&amp;(ROW()-5),4))</f>
        <v/>
      </c>
      <c r="B457" s="72" t="n"/>
      <c r="C457" s="66" t="n"/>
      <c r="D457" s="67" t="str">
        <f>IF(C457="","",IFERROR(INDEX(eq_des,MATCH(C457,eq_code,0))&amp;"","Équipement inconnu"))</f>
        <v/>
      </c>
      <c r="E457" s="68" t="n"/>
      <c r="F457" s="68" t="n"/>
      <c r="G457" s="66" t="n"/>
      <c r="H457" s="66" t="n"/>
      <c r="I457" s="68" t="n"/>
      <c r="J457" s="73" t="n"/>
      <c r="K457" s="71" t="n"/>
      <c r="L457" s="71" t="n"/>
      <c r="M457" s="66" t="n"/>
      <c r="N457" s="80" t="n"/>
      <c r="O457" s="81" t="str">
        <f>IF(A457="","",ROUND(V457*IFERROR(N(INDEX(tech_rate,MATCH(M457,tech_name,0))),0),2))</f>
        <v/>
      </c>
      <c r="P457" s="80" t="n"/>
      <c r="Q457" s="81" t="str">
        <f>IF(A457="","",ROUND(Y457+O457+Z457,2))</f>
        <v/>
      </c>
      <c r="R457" s="79" t="str">
        <f>IF(A457="","",IF(S457=0,"Date manquante ou invalide",IF(C457="","Équipement manquant",IF(ISNA(MATCH(C457,eq_code,0)),"Équipement inconnu",IF(E457="","Type manquant",IF(AND(E457&lt;&gt;"Préventif",E457&lt;&gt;"Correctif",E457&lt;&gt;"Amélioratif"),"Type inconnu",IF(I457="","Statut manquant",IF(AND(I457&lt;&gt;"Terminée",I457&lt;&gt;"En cours",I457&lt;&gt;"À faire",I457&lt;&gt;"Annulée"),"Statut inconnu",IF(AND(E457="Préventif",F457=""),"Plan manquant (préventif)",IF(AND(F457&lt;&gt;"",ISNA(MATCH(F457,pl_num,0))),"Plan inconnu",IF(AND(F457&lt;&gt;"",IFERROR(INDEX(pl_eq,MATCH(F457,pl_num,0))&amp;"",C457)&lt;&gt;C457),"Plan d'un autre équipement",IF(AND(J457&lt;&gt;"",OR(NOT(ISNUMBER(J457)),N(J457)&lt;0)),"Compteur invalide",IF(OR(AND(K457&lt;&gt;"",OR(NOT(ISNUMBER(K457)),N(K457)&lt;0)),AND(L457&lt;&gt;"",OR(NOT(ISNUMBER(L457)),N(L457)&lt;0))),"Durée invalide",IF(OR(AND(N457&lt;&gt;"",OR(NOT(ISNUMBER(N457)),N(N457)&lt;0)),AND(P457&lt;&gt;"",OR(NOT(ISNUMBER(P457)),N(P457)&lt;0))),"Coût invalide",IF(AND(M457&lt;&gt;"",ISNA(MATCH(M457,tech_name,0))),"Technicien inconnu",IF(AND(I457="Terminée",S457&gt;p_today),"Terminée à une date future",IF(AND(I457="Terminée",V457=0),"Durée d'intervention manquante",IF(AND(I457="Terminée",E457="Préventif",T457=0,OR(IFERROR(INDEX(pl_trig,MATCH(F457,pl_num,0))&amp;"","")="Compteur",IFERROR(INDEX(pl_trig,MATCH(F457,pl_num,0))&amp;"","")="Au premier des deux")),"Compteur manquant (plan au compteur)","OK"))))))))))))))))))</f>
        <v/>
      </c>
      <c r="S457" s="67">
        <f>IF(AND(ISNUMBER(B457),N(B457)&gt;0),INT(B457),0)</f>
        <v>0.0</v>
      </c>
      <c r="T457" s="67">
        <f>IF(AND(ISNUMBER(J457),N(J457)&gt;=0),N(J457),0)</f>
        <v>0.0</v>
      </c>
      <c r="U457" s="67">
        <f>IF(AND(ISNUMBER(K457),N(K457)&gt;0),N(K457),0)</f>
        <v>0.0</v>
      </c>
      <c r="V457" s="67">
        <f>IF(AND(ISNUMBER(L457),N(L457)&gt;0),N(L457),0)</f>
        <v>0.0</v>
      </c>
      <c r="W457" s="67">
        <f>IF(AND(I457="Terminée",S457&gt;0,C457&lt;&gt;"",ISNUMBER(MATCH(C457,eq_code,0))),1,0)</f>
        <v>0.0</v>
      </c>
      <c r="X457" s="67">
        <f>IF(AND(W457=1,E457="Préventif"),1,0)</f>
        <v>0.0</v>
      </c>
      <c r="Y457" s="67">
        <f>IF(AND(ISNUMBER(N457),N(N457)&gt;0),N(N457),0)</f>
        <v>0.0</v>
      </c>
      <c r="Z457" s="67">
        <f>IF(AND(ISNUMBER(P457),N(P457)&gt;0),N(P457),0)</f>
        <v>0.0</v>
      </c>
    </row>
    <row r="458">
      <c r="A458" s="79" t="str">
        <f>IF(COUNTA(B458:C458,E458:G458,I458)=0,"","BI-"&amp;RIGHT("0000"&amp;(ROW()-5),4))</f>
        <v/>
      </c>
      <c r="B458" s="72" t="n"/>
      <c r="C458" s="66" t="n"/>
      <c r="D458" s="67" t="str">
        <f>IF(C458="","",IFERROR(INDEX(eq_des,MATCH(C458,eq_code,0))&amp;"","Équipement inconnu"))</f>
        <v/>
      </c>
      <c r="E458" s="68" t="n"/>
      <c r="F458" s="68" t="n"/>
      <c r="G458" s="66" t="n"/>
      <c r="H458" s="66" t="n"/>
      <c r="I458" s="68" t="n"/>
      <c r="J458" s="73" t="n"/>
      <c r="K458" s="71" t="n"/>
      <c r="L458" s="71" t="n"/>
      <c r="M458" s="66" t="n"/>
      <c r="N458" s="80" t="n"/>
      <c r="O458" s="81" t="str">
        <f>IF(A458="","",ROUND(V458*IFERROR(N(INDEX(tech_rate,MATCH(M458,tech_name,0))),0),2))</f>
        <v/>
      </c>
      <c r="P458" s="80" t="n"/>
      <c r="Q458" s="81" t="str">
        <f>IF(A458="","",ROUND(Y458+O458+Z458,2))</f>
        <v/>
      </c>
      <c r="R458" s="79" t="str">
        <f>IF(A458="","",IF(S458=0,"Date manquante ou invalide",IF(C458="","Équipement manquant",IF(ISNA(MATCH(C458,eq_code,0)),"Équipement inconnu",IF(E458="","Type manquant",IF(AND(E458&lt;&gt;"Préventif",E458&lt;&gt;"Correctif",E458&lt;&gt;"Amélioratif"),"Type inconnu",IF(I458="","Statut manquant",IF(AND(I458&lt;&gt;"Terminée",I458&lt;&gt;"En cours",I458&lt;&gt;"À faire",I458&lt;&gt;"Annulée"),"Statut inconnu",IF(AND(E458="Préventif",F458=""),"Plan manquant (préventif)",IF(AND(F458&lt;&gt;"",ISNA(MATCH(F458,pl_num,0))),"Plan inconnu",IF(AND(F458&lt;&gt;"",IFERROR(INDEX(pl_eq,MATCH(F458,pl_num,0))&amp;"",C458)&lt;&gt;C458),"Plan d'un autre équipement",IF(AND(J458&lt;&gt;"",OR(NOT(ISNUMBER(J458)),N(J458)&lt;0)),"Compteur invalide",IF(OR(AND(K458&lt;&gt;"",OR(NOT(ISNUMBER(K458)),N(K458)&lt;0)),AND(L458&lt;&gt;"",OR(NOT(ISNUMBER(L458)),N(L458)&lt;0))),"Durée invalide",IF(OR(AND(N458&lt;&gt;"",OR(NOT(ISNUMBER(N458)),N(N458)&lt;0)),AND(P458&lt;&gt;"",OR(NOT(ISNUMBER(P458)),N(P458)&lt;0))),"Coût invalide",IF(AND(M458&lt;&gt;"",ISNA(MATCH(M458,tech_name,0))),"Technicien inconnu",IF(AND(I458="Terminée",S458&gt;p_today),"Terminée à une date future",IF(AND(I458="Terminée",V458=0),"Durée d'intervention manquante",IF(AND(I458="Terminée",E458="Préventif",T458=0,OR(IFERROR(INDEX(pl_trig,MATCH(F458,pl_num,0))&amp;"","")="Compteur",IFERROR(INDEX(pl_trig,MATCH(F458,pl_num,0))&amp;"","")="Au premier des deux")),"Compteur manquant (plan au compteur)","OK"))))))))))))))))))</f>
        <v/>
      </c>
      <c r="S458" s="67">
        <f>IF(AND(ISNUMBER(B458),N(B458)&gt;0),INT(B458),0)</f>
        <v>0.0</v>
      </c>
      <c r="T458" s="67">
        <f>IF(AND(ISNUMBER(J458),N(J458)&gt;=0),N(J458),0)</f>
        <v>0.0</v>
      </c>
      <c r="U458" s="67">
        <f>IF(AND(ISNUMBER(K458),N(K458)&gt;0),N(K458),0)</f>
        <v>0.0</v>
      </c>
      <c r="V458" s="67">
        <f>IF(AND(ISNUMBER(L458),N(L458)&gt;0),N(L458),0)</f>
        <v>0.0</v>
      </c>
      <c r="W458" s="67">
        <f>IF(AND(I458="Terminée",S458&gt;0,C458&lt;&gt;"",ISNUMBER(MATCH(C458,eq_code,0))),1,0)</f>
        <v>0.0</v>
      </c>
      <c r="X458" s="67">
        <f>IF(AND(W458=1,E458="Préventif"),1,0)</f>
        <v>0.0</v>
      </c>
      <c r="Y458" s="67">
        <f>IF(AND(ISNUMBER(N458),N(N458)&gt;0),N(N458),0)</f>
        <v>0.0</v>
      </c>
      <c r="Z458" s="67">
        <f>IF(AND(ISNUMBER(P458),N(P458)&gt;0),N(P458),0)</f>
        <v>0.0</v>
      </c>
    </row>
    <row r="459">
      <c r="A459" s="79" t="str">
        <f>IF(COUNTA(B459:C459,E459:G459,I459)=0,"","BI-"&amp;RIGHT("0000"&amp;(ROW()-5),4))</f>
        <v/>
      </c>
      <c r="B459" s="72" t="n"/>
      <c r="C459" s="66" t="n"/>
      <c r="D459" s="67" t="str">
        <f>IF(C459="","",IFERROR(INDEX(eq_des,MATCH(C459,eq_code,0))&amp;"","Équipement inconnu"))</f>
        <v/>
      </c>
      <c r="E459" s="68" t="n"/>
      <c r="F459" s="68" t="n"/>
      <c r="G459" s="66" t="n"/>
      <c r="H459" s="66" t="n"/>
      <c r="I459" s="68" t="n"/>
      <c r="J459" s="73" t="n"/>
      <c r="K459" s="71" t="n"/>
      <c r="L459" s="71" t="n"/>
      <c r="M459" s="66" t="n"/>
      <c r="N459" s="80" t="n"/>
      <c r="O459" s="81" t="str">
        <f>IF(A459="","",ROUND(V459*IFERROR(N(INDEX(tech_rate,MATCH(M459,tech_name,0))),0),2))</f>
        <v/>
      </c>
      <c r="P459" s="80" t="n"/>
      <c r="Q459" s="81" t="str">
        <f>IF(A459="","",ROUND(Y459+O459+Z459,2))</f>
        <v/>
      </c>
      <c r="R459" s="79" t="str">
        <f>IF(A459="","",IF(S459=0,"Date manquante ou invalide",IF(C459="","Équipement manquant",IF(ISNA(MATCH(C459,eq_code,0)),"Équipement inconnu",IF(E459="","Type manquant",IF(AND(E459&lt;&gt;"Préventif",E459&lt;&gt;"Correctif",E459&lt;&gt;"Amélioratif"),"Type inconnu",IF(I459="","Statut manquant",IF(AND(I459&lt;&gt;"Terminée",I459&lt;&gt;"En cours",I459&lt;&gt;"À faire",I459&lt;&gt;"Annulée"),"Statut inconnu",IF(AND(E459="Préventif",F459=""),"Plan manquant (préventif)",IF(AND(F459&lt;&gt;"",ISNA(MATCH(F459,pl_num,0))),"Plan inconnu",IF(AND(F459&lt;&gt;"",IFERROR(INDEX(pl_eq,MATCH(F459,pl_num,0))&amp;"",C459)&lt;&gt;C459),"Plan d'un autre équipement",IF(AND(J459&lt;&gt;"",OR(NOT(ISNUMBER(J459)),N(J459)&lt;0)),"Compteur invalide",IF(OR(AND(K459&lt;&gt;"",OR(NOT(ISNUMBER(K459)),N(K459)&lt;0)),AND(L459&lt;&gt;"",OR(NOT(ISNUMBER(L459)),N(L459)&lt;0))),"Durée invalide",IF(OR(AND(N459&lt;&gt;"",OR(NOT(ISNUMBER(N459)),N(N459)&lt;0)),AND(P459&lt;&gt;"",OR(NOT(ISNUMBER(P459)),N(P459)&lt;0))),"Coût invalide",IF(AND(M459&lt;&gt;"",ISNA(MATCH(M459,tech_name,0))),"Technicien inconnu",IF(AND(I459="Terminée",S459&gt;p_today),"Terminée à une date future",IF(AND(I459="Terminée",V459=0),"Durée d'intervention manquante",IF(AND(I459="Terminée",E459="Préventif",T459=0,OR(IFERROR(INDEX(pl_trig,MATCH(F459,pl_num,0))&amp;"","")="Compteur",IFERROR(INDEX(pl_trig,MATCH(F459,pl_num,0))&amp;"","")="Au premier des deux")),"Compteur manquant (plan au compteur)","OK"))))))))))))))))))</f>
        <v/>
      </c>
      <c r="S459" s="67">
        <f>IF(AND(ISNUMBER(B459),N(B459)&gt;0),INT(B459),0)</f>
        <v>0.0</v>
      </c>
      <c r="T459" s="67">
        <f>IF(AND(ISNUMBER(J459),N(J459)&gt;=0),N(J459),0)</f>
        <v>0.0</v>
      </c>
      <c r="U459" s="67">
        <f>IF(AND(ISNUMBER(K459),N(K459)&gt;0),N(K459),0)</f>
        <v>0.0</v>
      </c>
      <c r="V459" s="67">
        <f>IF(AND(ISNUMBER(L459),N(L459)&gt;0),N(L459),0)</f>
        <v>0.0</v>
      </c>
      <c r="W459" s="67">
        <f>IF(AND(I459="Terminée",S459&gt;0,C459&lt;&gt;"",ISNUMBER(MATCH(C459,eq_code,0))),1,0)</f>
        <v>0.0</v>
      </c>
      <c r="X459" s="67">
        <f>IF(AND(W459=1,E459="Préventif"),1,0)</f>
        <v>0.0</v>
      </c>
      <c r="Y459" s="67">
        <f>IF(AND(ISNUMBER(N459),N(N459)&gt;0),N(N459),0)</f>
        <v>0.0</v>
      </c>
      <c r="Z459" s="67">
        <f>IF(AND(ISNUMBER(P459),N(P459)&gt;0),N(P459),0)</f>
        <v>0.0</v>
      </c>
    </row>
    <row r="460">
      <c r="A460" s="79" t="str">
        <f>IF(COUNTA(B460:C460,E460:G460,I460)=0,"","BI-"&amp;RIGHT("0000"&amp;(ROW()-5),4))</f>
        <v/>
      </c>
      <c r="B460" s="72" t="n"/>
      <c r="C460" s="66" t="n"/>
      <c r="D460" s="67" t="str">
        <f>IF(C460="","",IFERROR(INDEX(eq_des,MATCH(C460,eq_code,0))&amp;"","Équipement inconnu"))</f>
        <v/>
      </c>
      <c r="E460" s="68" t="n"/>
      <c r="F460" s="68" t="n"/>
      <c r="G460" s="66" t="n"/>
      <c r="H460" s="66" t="n"/>
      <c r="I460" s="68" t="n"/>
      <c r="J460" s="73" t="n"/>
      <c r="K460" s="71" t="n"/>
      <c r="L460" s="71" t="n"/>
      <c r="M460" s="66" t="n"/>
      <c r="N460" s="80" t="n"/>
      <c r="O460" s="81" t="str">
        <f>IF(A460="","",ROUND(V460*IFERROR(N(INDEX(tech_rate,MATCH(M460,tech_name,0))),0),2))</f>
        <v/>
      </c>
      <c r="P460" s="80" t="n"/>
      <c r="Q460" s="81" t="str">
        <f>IF(A460="","",ROUND(Y460+O460+Z460,2))</f>
        <v/>
      </c>
      <c r="R460" s="79" t="str">
        <f>IF(A460="","",IF(S460=0,"Date manquante ou invalide",IF(C460="","Équipement manquant",IF(ISNA(MATCH(C460,eq_code,0)),"Équipement inconnu",IF(E460="","Type manquant",IF(AND(E460&lt;&gt;"Préventif",E460&lt;&gt;"Correctif",E460&lt;&gt;"Amélioratif"),"Type inconnu",IF(I460="","Statut manquant",IF(AND(I460&lt;&gt;"Terminée",I460&lt;&gt;"En cours",I460&lt;&gt;"À faire",I460&lt;&gt;"Annulée"),"Statut inconnu",IF(AND(E460="Préventif",F460=""),"Plan manquant (préventif)",IF(AND(F460&lt;&gt;"",ISNA(MATCH(F460,pl_num,0))),"Plan inconnu",IF(AND(F460&lt;&gt;"",IFERROR(INDEX(pl_eq,MATCH(F460,pl_num,0))&amp;"",C460)&lt;&gt;C460),"Plan d'un autre équipement",IF(AND(J460&lt;&gt;"",OR(NOT(ISNUMBER(J460)),N(J460)&lt;0)),"Compteur invalide",IF(OR(AND(K460&lt;&gt;"",OR(NOT(ISNUMBER(K460)),N(K460)&lt;0)),AND(L460&lt;&gt;"",OR(NOT(ISNUMBER(L460)),N(L460)&lt;0))),"Durée invalide",IF(OR(AND(N460&lt;&gt;"",OR(NOT(ISNUMBER(N460)),N(N460)&lt;0)),AND(P460&lt;&gt;"",OR(NOT(ISNUMBER(P460)),N(P460)&lt;0))),"Coût invalide",IF(AND(M460&lt;&gt;"",ISNA(MATCH(M460,tech_name,0))),"Technicien inconnu",IF(AND(I460="Terminée",S460&gt;p_today),"Terminée à une date future",IF(AND(I460="Terminée",V460=0),"Durée d'intervention manquante",IF(AND(I460="Terminée",E460="Préventif",T460=0,OR(IFERROR(INDEX(pl_trig,MATCH(F460,pl_num,0))&amp;"","")="Compteur",IFERROR(INDEX(pl_trig,MATCH(F460,pl_num,0))&amp;"","")="Au premier des deux")),"Compteur manquant (plan au compteur)","OK"))))))))))))))))))</f>
        <v/>
      </c>
      <c r="S460" s="67">
        <f>IF(AND(ISNUMBER(B460),N(B460)&gt;0),INT(B460),0)</f>
        <v>0.0</v>
      </c>
      <c r="T460" s="67">
        <f>IF(AND(ISNUMBER(J460),N(J460)&gt;=0),N(J460),0)</f>
        <v>0.0</v>
      </c>
      <c r="U460" s="67">
        <f>IF(AND(ISNUMBER(K460),N(K460)&gt;0),N(K460),0)</f>
        <v>0.0</v>
      </c>
      <c r="V460" s="67">
        <f>IF(AND(ISNUMBER(L460),N(L460)&gt;0),N(L460),0)</f>
        <v>0.0</v>
      </c>
      <c r="W460" s="67">
        <f>IF(AND(I460="Terminée",S460&gt;0,C460&lt;&gt;"",ISNUMBER(MATCH(C460,eq_code,0))),1,0)</f>
        <v>0.0</v>
      </c>
      <c r="X460" s="67">
        <f>IF(AND(W460=1,E460="Préventif"),1,0)</f>
        <v>0.0</v>
      </c>
      <c r="Y460" s="67">
        <f>IF(AND(ISNUMBER(N460),N(N460)&gt;0),N(N460),0)</f>
        <v>0.0</v>
      </c>
      <c r="Z460" s="67">
        <f>IF(AND(ISNUMBER(P460),N(P460)&gt;0),N(P460),0)</f>
        <v>0.0</v>
      </c>
    </row>
    <row r="461">
      <c r="A461" s="79" t="str">
        <f>IF(COUNTA(B461:C461,E461:G461,I461)=0,"","BI-"&amp;RIGHT("0000"&amp;(ROW()-5),4))</f>
        <v/>
      </c>
      <c r="B461" s="72" t="n"/>
      <c r="C461" s="66" t="n"/>
      <c r="D461" s="67" t="str">
        <f>IF(C461="","",IFERROR(INDEX(eq_des,MATCH(C461,eq_code,0))&amp;"","Équipement inconnu"))</f>
        <v/>
      </c>
      <c r="E461" s="68" t="n"/>
      <c r="F461" s="68" t="n"/>
      <c r="G461" s="66" t="n"/>
      <c r="H461" s="66" t="n"/>
      <c r="I461" s="68" t="n"/>
      <c r="J461" s="73" t="n"/>
      <c r="K461" s="71" t="n"/>
      <c r="L461" s="71" t="n"/>
      <c r="M461" s="66" t="n"/>
      <c r="N461" s="80" t="n"/>
      <c r="O461" s="81" t="str">
        <f>IF(A461="","",ROUND(V461*IFERROR(N(INDEX(tech_rate,MATCH(M461,tech_name,0))),0),2))</f>
        <v/>
      </c>
      <c r="P461" s="80" t="n"/>
      <c r="Q461" s="81" t="str">
        <f>IF(A461="","",ROUND(Y461+O461+Z461,2))</f>
        <v/>
      </c>
      <c r="R461" s="79" t="str">
        <f>IF(A461="","",IF(S461=0,"Date manquante ou invalide",IF(C461="","Équipement manquant",IF(ISNA(MATCH(C461,eq_code,0)),"Équipement inconnu",IF(E461="","Type manquant",IF(AND(E461&lt;&gt;"Préventif",E461&lt;&gt;"Correctif",E461&lt;&gt;"Amélioratif"),"Type inconnu",IF(I461="","Statut manquant",IF(AND(I461&lt;&gt;"Terminée",I461&lt;&gt;"En cours",I461&lt;&gt;"À faire",I461&lt;&gt;"Annulée"),"Statut inconnu",IF(AND(E461="Préventif",F461=""),"Plan manquant (préventif)",IF(AND(F461&lt;&gt;"",ISNA(MATCH(F461,pl_num,0))),"Plan inconnu",IF(AND(F461&lt;&gt;"",IFERROR(INDEX(pl_eq,MATCH(F461,pl_num,0))&amp;"",C461)&lt;&gt;C461),"Plan d'un autre équipement",IF(AND(J461&lt;&gt;"",OR(NOT(ISNUMBER(J461)),N(J461)&lt;0)),"Compteur invalide",IF(OR(AND(K461&lt;&gt;"",OR(NOT(ISNUMBER(K461)),N(K461)&lt;0)),AND(L461&lt;&gt;"",OR(NOT(ISNUMBER(L461)),N(L461)&lt;0))),"Durée invalide",IF(OR(AND(N461&lt;&gt;"",OR(NOT(ISNUMBER(N461)),N(N461)&lt;0)),AND(P461&lt;&gt;"",OR(NOT(ISNUMBER(P461)),N(P461)&lt;0))),"Coût invalide",IF(AND(M461&lt;&gt;"",ISNA(MATCH(M461,tech_name,0))),"Technicien inconnu",IF(AND(I461="Terminée",S461&gt;p_today),"Terminée à une date future",IF(AND(I461="Terminée",V461=0),"Durée d'intervention manquante",IF(AND(I461="Terminée",E461="Préventif",T461=0,OR(IFERROR(INDEX(pl_trig,MATCH(F461,pl_num,0))&amp;"","")="Compteur",IFERROR(INDEX(pl_trig,MATCH(F461,pl_num,0))&amp;"","")="Au premier des deux")),"Compteur manquant (plan au compteur)","OK"))))))))))))))))))</f>
        <v/>
      </c>
      <c r="S461" s="67">
        <f>IF(AND(ISNUMBER(B461),N(B461)&gt;0),INT(B461),0)</f>
        <v>0.0</v>
      </c>
      <c r="T461" s="67">
        <f>IF(AND(ISNUMBER(J461),N(J461)&gt;=0),N(J461),0)</f>
        <v>0.0</v>
      </c>
      <c r="U461" s="67">
        <f>IF(AND(ISNUMBER(K461),N(K461)&gt;0),N(K461),0)</f>
        <v>0.0</v>
      </c>
      <c r="V461" s="67">
        <f>IF(AND(ISNUMBER(L461),N(L461)&gt;0),N(L461),0)</f>
        <v>0.0</v>
      </c>
      <c r="W461" s="67">
        <f>IF(AND(I461="Terminée",S461&gt;0,C461&lt;&gt;"",ISNUMBER(MATCH(C461,eq_code,0))),1,0)</f>
        <v>0.0</v>
      </c>
      <c r="X461" s="67">
        <f>IF(AND(W461=1,E461="Préventif"),1,0)</f>
        <v>0.0</v>
      </c>
      <c r="Y461" s="67">
        <f>IF(AND(ISNUMBER(N461),N(N461)&gt;0),N(N461),0)</f>
        <v>0.0</v>
      </c>
      <c r="Z461" s="67">
        <f>IF(AND(ISNUMBER(P461),N(P461)&gt;0),N(P461),0)</f>
        <v>0.0</v>
      </c>
    </row>
    <row r="462">
      <c r="A462" s="79" t="str">
        <f>IF(COUNTA(B462:C462,E462:G462,I462)=0,"","BI-"&amp;RIGHT("0000"&amp;(ROW()-5),4))</f>
        <v/>
      </c>
      <c r="B462" s="72" t="n"/>
      <c r="C462" s="66" t="n"/>
      <c r="D462" s="67" t="str">
        <f>IF(C462="","",IFERROR(INDEX(eq_des,MATCH(C462,eq_code,0))&amp;"","Équipement inconnu"))</f>
        <v/>
      </c>
      <c r="E462" s="68" t="n"/>
      <c r="F462" s="68" t="n"/>
      <c r="G462" s="66" t="n"/>
      <c r="H462" s="66" t="n"/>
      <c r="I462" s="68" t="n"/>
      <c r="J462" s="73" t="n"/>
      <c r="K462" s="71" t="n"/>
      <c r="L462" s="71" t="n"/>
      <c r="M462" s="66" t="n"/>
      <c r="N462" s="80" t="n"/>
      <c r="O462" s="81" t="str">
        <f>IF(A462="","",ROUND(V462*IFERROR(N(INDEX(tech_rate,MATCH(M462,tech_name,0))),0),2))</f>
        <v/>
      </c>
      <c r="P462" s="80" t="n"/>
      <c r="Q462" s="81" t="str">
        <f>IF(A462="","",ROUND(Y462+O462+Z462,2))</f>
        <v/>
      </c>
      <c r="R462" s="79" t="str">
        <f>IF(A462="","",IF(S462=0,"Date manquante ou invalide",IF(C462="","Équipement manquant",IF(ISNA(MATCH(C462,eq_code,0)),"Équipement inconnu",IF(E462="","Type manquant",IF(AND(E462&lt;&gt;"Préventif",E462&lt;&gt;"Correctif",E462&lt;&gt;"Amélioratif"),"Type inconnu",IF(I462="","Statut manquant",IF(AND(I462&lt;&gt;"Terminée",I462&lt;&gt;"En cours",I462&lt;&gt;"À faire",I462&lt;&gt;"Annulée"),"Statut inconnu",IF(AND(E462="Préventif",F462=""),"Plan manquant (préventif)",IF(AND(F462&lt;&gt;"",ISNA(MATCH(F462,pl_num,0))),"Plan inconnu",IF(AND(F462&lt;&gt;"",IFERROR(INDEX(pl_eq,MATCH(F462,pl_num,0))&amp;"",C462)&lt;&gt;C462),"Plan d'un autre équipement",IF(AND(J462&lt;&gt;"",OR(NOT(ISNUMBER(J462)),N(J462)&lt;0)),"Compteur invalide",IF(OR(AND(K462&lt;&gt;"",OR(NOT(ISNUMBER(K462)),N(K462)&lt;0)),AND(L462&lt;&gt;"",OR(NOT(ISNUMBER(L462)),N(L462)&lt;0))),"Durée invalide",IF(OR(AND(N462&lt;&gt;"",OR(NOT(ISNUMBER(N462)),N(N462)&lt;0)),AND(P462&lt;&gt;"",OR(NOT(ISNUMBER(P462)),N(P462)&lt;0))),"Coût invalide",IF(AND(M462&lt;&gt;"",ISNA(MATCH(M462,tech_name,0))),"Technicien inconnu",IF(AND(I462="Terminée",S462&gt;p_today),"Terminée à une date future",IF(AND(I462="Terminée",V462=0),"Durée d'intervention manquante",IF(AND(I462="Terminée",E462="Préventif",T462=0,OR(IFERROR(INDEX(pl_trig,MATCH(F462,pl_num,0))&amp;"","")="Compteur",IFERROR(INDEX(pl_trig,MATCH(F462,pl_num,0))&amp;"","")="Au premier des deux")),"Compteur manquant (plan au compteur)","OK"))))))))))))))))))</f>
        <v/>
      </c>
      <c r="S462" s="67">
        <f>IF(AND(ISNUMBER(B462),N(B462)&gt;0),INT(B462),0)</f>
        <v>0.0</v>
      </c>
      <c r="T462" s="67">
        <f>IF(AND(ISNUMBER(J462),N(J462)&gt;=0),N(J462),0)</f>
        <v>0.0</v>
      </c>
      <c r="U462" s="67">
        <f>IF(AND(ISNUMBER(K462),N(K462)&gt;0),N(K462),0)</f>
        <v>0.0</v>
      </c>
      <c r="V462" s="67">
        <f>IF(AND(ISNUMBER(L462),N(L462)&gt;0),N(L462),0)</f>
        <v>0.0</v>
      </c>
      <c r="W462" s="67">
        <f>IF(AND(I462="Terminée",S462&gt;0,C462&lt;&gt;"",ISNUMBER(MATCH(C462,eq_code,0))),1,0)</f>
        <v>0.0</v>
      </c>
      <c r="X462" s="67">
        <f>IF(AND(W462=1,E462="Préventif"),1,0)</f>
        <v>0.0</v>
      </c>
      <c r="Y462" s="67">
        <f>IF(AND(ISNUMBER(N462),N(N462)&gt;0),N(N462),0)</f>
        <v>0.0</v>
      </c>
      <c r="Z462" s="67">
        <f>IF(AND(ISNUMBER(P462),N(P462)&gt;0),N(P462),0)</f>
        <v>0.0</v>
      </c>
    </row>
    <row r="463">
      <c r="A463" s="79" t="str">
        <f>IF(COUNTA(B463:C463,E463:G463,I463)=0,"","BI-"&amp;RIGHT("0000"&amp;(ROW()-5),4))</f>
        <v/>
      </c>
      <c r="B463" s="72" t="n"/>
      <c r="C463" s="66" t="n"/>
      <c r="D463" s="67" t="str">
        <f>IF(C463="","",IFERROR(INDEX(eq_des,MATCH(C463,eq_code,0))&amp;"","Équipement inconnu"))</f>
        <v/>
      </c>
      <c r="E463" s="68" t="n"/>
      <c r="F463" s="68" t="n"/>
      <c r="G463" s="66" t="n"/>
      <c r="H463" s="66" t="n"/>
      <c r="I463" s="68" t="n"/>
      <c r="J463" s="73" t="n"/>
      <c r="K463" s="71" t="n"/>
      <c r="L463" s="71" t="n"/>
      <c r="M463" s="66" t="n"/>
      <c r="N463" s="80" t="n"/>
      <c r="O463" s="81" t="str">
        <f>IF(A463="","",ROUND(V463*IFERROR(N(INDEX(tech_rate,MATCH(M463,tech_name,0))),0),2))</f>
        <v/>
      </c>
      <c r="P463" s="80" t="n"/>
      <c r="Q463" s="81" t="str">
        <f>IF(A463="","",ROUND(Y463+O463+Z463,2))</f>
        <v/>
      </c>
      <c r="R463" s="79" t="str">
        <f>IF(A463="","",IF(S463=0,"Date manquante ou invalide",IF(C463="","Équipement manquant",IF(ISNA(MATCH(C463,eq_code,0)),"Équipement inconnu",IF(E463="","Type manquant",IF(AND(E463&lt;&gt;"Préventif",E463&lt;&gt;"Correctif",E463&lt;&gt;"Amélioratif"),"Type inconnu",IF(I463="","Statut manquant",IF(AND(I463&lt;&gt;"Terminée",I463&lt;&gt;"En cours",I463&lt;&gt;"À faire",I463&lt;&gt;"Annulée"),"Statut inconnu",IF(AND(E463="Préventif",F463=""),"Plan manquant (préventif)",IF(AND(F463&lt;&gt;"",ISNA(MATCH(F463,pl_num,0))),"Plan inconnu",IF(AND(F463&lt;&gt;"",IFERROR(INDEX(pl_eq,MATCH(F463,pl_num,0))&amp;"",C463)&lt;&gt;C463),"Plan d'un autre équipement",IF(AND(J463&lt;&gt;"",OR(NOT(ISNUMBER(J463)),N(J463)&lt;0)),"Compteur invalide",IF(OR(AND(K463&lt;&gt;"",OR(NOT(ISNUMBER(K463)),N(K463)&lt;0)),AND(L463&lt;&gt;"",OR(NOT(ISNUMBER(L463)),N(L463)&lt;0))),"Durée invalide",IF(OR(AND(N463&lt;&gt;"",OR(NOT(ISNUMBER(N463)),N(N463)&lt;0)),AND(P463&lt;&gt;"",OR(NOT(ISNUMBER(P463)),N(P463)&lt;0))),"Coût invalide",IF(AND(M463&lt;&gt;"",ISNA(MATCH(M463,tech_name,0))),"Technicien inconnu",IF(AND(I463="Terminée",S463&gt;p_today),"Terminée à une date future",IF(AND(I463="Terminée",V463=0),"Durée d'intervention manquante",IF(AND(I463="Terminée",E463="Préventif",T463=0,OR(IFERROR(INDEX(pl_trig,MATCH(F463,pl_num,0))&amp;"","")="Compteur",IFERROR(INDEX(pl_trig,MATCH(F463,pl_num,0))&amp;"","")="Au premier des deux")),"Compteur manquant (plan au compteur)","OK"))))))))))))))))))</f>
        <v/>
      </c>
      <c r="S463" s="67">
        <f>IF(AND(ISNUMBER(B463),N(B463)&gt;0),INT(B463),0)</f>
        <v>0.0</v>
      </c>
      <c r="T463" s="67">
        <f>IF(AND(ISNUMBER(J463),N(J463)&gt;=0),N(J463),0)</f>
        <v>0.0</v>
      </c>
      <c r="U463" s="67">
        <f>IF(AND(ISNUMBER(K463),N(K463)&gt;0),N(K463),0)</f>
        <v>0.0</v>
      </c>
      <c r="V463" s="67">
        <f>IF(AND(ISNUMBER(L463),N(L463)&gt;0),N(L463),0)</f>
        <v>0.0</v>
      </c>
      <c r="W463" s="67">
        <f>IF(AND(I463="Terminée",S463&gt;0,C463&lt;&gt;"",ISNUMBER(MATCH(C463,eq_code,0))),1,0)</f>
        <v>0.0</v>
      </c>
      <c r="X463" s="67">
        <f>IF(AND(W463=1,E463="Préventif"),1,0)</f>
        <v>0.0</v>
      </c>
      <c r="Y463" s="67">
        <f>IF(AND(ISNUMBER(N463),N(N463)&gt;0),N(N463),0)</f>
        <v>0.0</v>
      </c>
      <c r="Z463" s="67">
        <f>IF(AND(ISNUMBER(P463),N(P463)&gt;0),N(P463),0)</f>
        <v>0.0</v>
      </c>
    </row>
    <row r="464">
      <c r="A464" s="79" t="str">
        <f>IF(COUNTA(B464:C464,E464:G464,I464)=0,"","BI-"&amp;RIGHT("0000"&amp;(ROW()-5),4))</f>
        <v/>
      </c>
      <c r="B464" s="72" t="n"/>
      <c r="C464" s="66" t="n"/>
      <c r="D464" s="67" t="str">
        <f>IF(C464="","",IFERROR(INDEX(eq_des,MATCH(C464,eq_code,0))&amp;"","Équipement inconnu"))</f>
        <v/>
      </c>
      <c r="E464" s="68" t="n"/>
      <c r="F464" s="68" t="n"/>
      <c r="G464" s="66" t="n"/>
      <c r="H464" s="66" t="n"/>
      <c r="I464" s="68" t="n"/>
      <c r="J464" s="73" t="n"/>
      <c r="K464" s="71" t="n"/>
      <c r="L464" s="71" t="n"/>
      <c r="M464" s="66" t="n"/>
      <c r="N464" s="80" t="n"/>
      <c r="O464" s="81" t="str">
        <f>IF(A464="","",ROUND(V464*IFERROR(N(INDEX(tech_rate,MATCH(M464,tech_name,0))),0),2))</f>
        <v/>
      </c>
      <c r="P464" s="80" t="n"/>
      <c r="Q464" s="81" t="str">
        <f>IF(A464="","",ROUND(Y464+O464+Z464,2))</f>
        <v/>
      </c>
      <c r="R464" s="79" t="str">
        <f>IF(A464="","",IF(S464=0,"Date manquante ou invalide",IF(C464="","Équipement manquant",IF(ISNA(MATCH(C464,eq_code,0)),"Équipement inconnu",IF(E464="","Type manquant",IF(AND(E464&lt;&gt;"Préventif",E464&lt;&gt;"Correctif",E464&lt;&gt;"Amélioratif"),"Type inconnu",IF(I464="","Statut manquant",IF(AND(I464&lt;&gt;"Terminée",I464&lt;&gt;"En cours",I464&lt;&gt;"À faire",I464&lt;&gt;"Annulée"),"Statut inconnu",IF(AND(E464="Préventif",F464=""),"Plan manquant (préventif)",IF(AND(F464&lt;&gt;"",ISNA(MATCH(F464,pl_num,0))),"Plan inconnu",IF(AND(F464&lt;&gt;"",IFERROR(INDEX(pl_eq,MATCH(F464,pl_num,0))&amp;"",C464)&lt;&gt;C464),"Plan d'un autre équipement",IF(AND(J464&lt;&gt;"",OR(NOT(ISNUMBER(J464)),N(J464)&lt;0)),"Compteur invalide",IF(OR(AND(K464&lt;&gt;"",OR(NOT(ISNUMBER(K464)),N(K464)&lt;0)),AND(L464&lt;&gt;"",OR(NOT(ISNUMBER(L464)),N(L464)&lt;0))),"Durée invalide",IF(OR(AND(N464&lt;&gt;"",OR(NOT(ISNUMBER(N464)),N(N464)&lt;0)),AND(P464&lt;&gt;"",OR(NOT(ISNUMBER(P464)),N(P464)&lt;0))),"Coût invalide",IF(AND(M464&lt;&gt;"",ISNA(MATCH(M464,tech_name,0))),"Technicien inconnu",IF(AND(I464="Terminée",S464&gt;p_today),"Terminée à une date future",IF(AND(I464="Terminée",V464=0),"Durée d'intervention manquante",IF(AND(I464="Terminée",E464="Préventif",T464=0,OR(IFERROR(INDEX(pl_trig,MATCH(F464,pl_num,0))&amp;"","")="Compteur",IFERROR(INDEX(pl_trig,MATCH(F464,pl_num,0))&amp;"","")="Au premier des deux")),"Compteur manquant (plan au compteur)","OK"))))))))))))))))))</f>
        <v/>
      </c>
      <c r="S464" s="67">
        <f>IF(AND(ISNUMBER(B464),N(B464)&gt;0),INT(B464),0)</f>
        <v>0.0</v>
      </c>
      <c r="T464" s="67">
        <f>IF(AND(ISNUMBER(J464),N(J464)&gt;=0),N(J464),0)</f>
        <v>0.0</v>
      </c>
      <c r="U464" s="67">
        <f>IF(AND(ISNUMBER(K464),N(K464)&gt;0),N(K464),0)</f>
        <v>0.0</v>
      </c>
      <c r="V464" s="67">
        <f>IF(AND(ISNUMBER(L464),N(L464)&gt;0),N(L464),0)</f>
        <v>0.0</v>
      </c>
      <c r="W464" s="67">
        <f>IF(AND(I464="Terminée",S464&gt;0,C464&lt;&gt;"",ISNUMBER(MATCH(C464,eq_code,0))),1,0)</f>
        <v>0.0</v>
      </c>
      <c r="X464" s="67">
        <f>IF(AND(W464=1,E464="Préventif"),1,0)</f>
        <v>0.0</v>
      </c>
      <c r="Y464" s="67">
        <f>IF(AND(ISNUMBER(N464),N(N464)&gt;0),N(N464),0)</f>
        <v>0.0</v>
      </c>
      <c r="Z464" s="67">
        <f>IF(AND(ISNUMBER(P464),N(P464)&gt;0),N(P464),0)</f>
        <v>0.0</v>
      </c>
    </row>
    <row r="465">
      <c r="A465" s="79" t="str">
        <f>IF(COUNTA(B465:C465,E465:G465,I465)=0,"","BI-"&amp;RIGHT("0000"&amp;(ROW()-5),4))</f>
        <v/>
      </c>
      <c r="B465" s="72" t="n"/>
      <c r="C465" s="66" t="n"/>
      <c r="D465" s="67" t="str">
        <f>IF(C465="","",IFERROR(INDEX(eq_des,MATCH(C465,eq_code,0))&amp;"","Équipement inconnu"))</f>
        <v/>
      </c>
      <c r="E465" s="68" t="n"/>
      <c r="F465" s="68" t="n"/>
      <c r="G465" s="66" t="n"/>
      <c r="H465" s="66" t="n"/>
      <c r="I465" s="68" t="n"/>
      <c r="J465" s="73" t="n"/>
      <c r="K465" s="71" t="n"/>
      <c r="L465" s="71" t="n"/>
      <c r="M465" s="66" t="n"/>
      <c r="N465" s="80" t="n"/>
      <c r="O465" s="81" t="str">
        <f>IF(A465="","",ROUND(V465*IFERROR(N(INDEX(tech_rate,MATCH(M465,tech_name,0))),0),2))</f>
        <v/>
      </c>
      <c r="P465" s="80" t="n"/>
      <c r="Q465" s="81" t="str">
        <f>IF(A465="","",ROUND(Y465+O465+Z465,2))</f>
        <v/>
      </c>
      <c r="R465" s="79" t="str">
        <f>IF(A465="","",IF(S465=0,"Date manquante ou invalide",IF(C465="","Équipement manquant",IF(ISNA(MATCH(C465,eq_code,0)),"Équipement inconnu",IF(E465="","Type manquant",IF(AND(E465&lt;&gt;"Préventif",E465&lt;&gt;"Correctif",E465&lt;&gt;"Amélioratif"),"Type inconnu",IF(I465="","Statut manquant",IF(AND(I465&lt;&gt;"Terminée",I465&lt;&gt;"En cours",I465&lt;&gt;"À faire",I465&lt;&gt;"Annulée"),"Statut inconnu",IF(AND(E465="Préventif",F465=""),"Plan manquant (préventif)",IF(AND(F465&lt;&gt;"",ISNA(MATCH(F465,pl_num,0))),"Plan inconnu",IF(AND(F465&lt;&gt;"",IFERROR(INDEX(pl_eq,MATCH(F465,pl_num,0))&amp;"",C465)&lt;&gt;C465),"Plan d'un autre équipement",IF(AND(J465&lt;&gt;"",OR(NOT(ISNUMBER(J465)),N(J465)&lt;0)),"Compteur invalide",IF(OR(AND(K465&lt;&gt;"",OR(NOT(ISNUMBER(K465)),N(K465)&lt;0)),AND(L465&lt;&gt;"",OR(NOT(ISNUMBER(L465)),N(L465)&lt;0))),"Durée invalide",IF(OR(AND(N465&lt;&gt;"",OR(NOT(ISNUMBER(N465)),N(N465)&lt;0)),AND(P465&lt;&gt;"",OR(NOT(ISNUMBER(P465)),N(P465)&lt;0))),"Coût invalide",IF(AND(M465&lt;&gt;"",ISNA(MATCH(M465,tech_name,0))),"Technicien inconnu",IF(AND(I465="Terminée",S465&gt;p_today),"Terminée à une date future",IF(AND(I465="Terminée",V465=0),"Durée d'intervention manquante",IF(AND(I465="Terminée",E465="Préventif",T465=0,OR(IFERROR(INDEX(pl_trig,MATCH(F465,pl_num,0))&amp;"","")="Compteur",IFERROR(INDEX(pl_trig,MATCH(F465,pl_num,0))&amp;"","")="Au premier des deux")),"Compteur manquant (plan au compteur)","OK"))))))))))))))))))</f>
        <v/>
      </c>
      <c r="S465" s="67">
        <f>IF(AND(ISNUMBER(B465),N(B465)&gt;0),INT(B465),0)</f>
        <v>0.0</v>
      </c>
      <c r="T465" s="67">
        <f>IF(AND(ISNUMBER(J465),N(J465)&gt;=0),N(J465),0)</f>
        <v>0.0</v>
      </c>
      <c r="U465" s="67">
        <f>IF(AND(ISNUMBER(K465),N(K465)&gt;0),N(K465),0)</f>
        <v>0.0</v>
      </c>
      <c r="V465" s="67">
        <f>IF(AND(ISNUMBER(L465),N(L465)&gt;0),N(L465),0)</f>
        <v>0.0</v>
      </c>
      <c r="W465" s="67">
        <f>IF(AND(I465="Terminée",S465&gt;0,C465&lt;&gt;"",ISNUMBER(MATCH(C465,eq_code,0))),1,0)</f>
        <v>0.0</v>
      </c>
      <c r="X465" s="67">
        <f>IF(AND(W465=1,E465="Préventif"),1,0)</f>
        <v>0.0</v>
      </c>
      <c r="Y465" s="67">
        <f>IF(AND(ISNUMBER(N465),N(N465)&gt;0),N(N465),0)</f>
        <v>0.0</v>
      </c>
      <c r="Z465" s="67">
        <f>IF(AND(ISNUMBER(P465),N(P465)&gt;0),N(P465),0)</f>
        <v>0.0</v>
      </c>
    </row>
    <row r="466">
      <c r="A466" s="79" t="str">
        <f>IF(COUNTA(B466:C466,E466:G466,I466)=0,"","BI-"&amp;RIGHT("0000"&amp;(ROW()-5),4))</f>
        <v/>
      </c>
      <c r="B466" s="72" t="n"/>
      <c r="C466" s="66" t="n"/>
      <c r="D466" s="67" t="str">
        <f>IF(C466="","",IFERROR(INDEX(eq_des,MATCH(C466,eq_code,0))&amp;"","Équipement inconnu"))</f>
        <v/>
      </c>
      <c r="E466" s="68" t="n"/>
      <c r="F466" s="68" t="n"/>
      <c r="G466" s="66" t="n"/>
      <c r="H466" s="66" t="n"/>
      <c r="I466" s="68" t="n"/>
      <c r="J466" s="73" t="n"/>
      <c r="K466" s="71" t="n"/>
      <c r="L466" s="71" t="n"/>
      <c r="M466" s="66" t="n"/>
      <c r="N466" s="80" t="n"/>
      <c r="O466" s="81" t="str">
        <f>IF(A466="","",ROUND(V466*IFERROR(N(INDEX(tech_rate,MATCH(M466,tech_name,0))),0),2))</f>
        <v/>
      </c>
      <c r="P466" s="80" t="n"/>
      <c r="Q466" s="81" t="str">
        <f>IF(A466="","",ROUND(Y466+O466+Z466,2))</f>
        <v/>
      </c>
      <c r="R466" s="79" t="str">
        <f>IF(A466="","",IF(S466=0,"Date manquante ou invalide",IF(C466="","Équipement manquant",IF(ISNA(MATCH(C466,eq_code,0)),"Équipement inconnu",IF(E466="","Type manquant",IF(AND(E466&lt;&gt;"Préventif",E466&lt;&gt;"Correctif",E466&lt;&gt;"Amélioratif"),"Type inconnu",IF(I466="","Statut manquant",IF(AND(I466&lt;&gt;"Terminée",I466&lt;&gt;"En cours",I466&lt;&gt;"À faire",I466&lt;&gt;"Annulée"),"Statut inconnu",IF(AND(E466="Préventif",F466=""),"Plan manquant (préventif)",IF(AND(F466&lt;&gt;"",ISNA(MATCH(F466,pl_num,0))),"Plan inconnu",IF(AND(F466&lt;&gt;"",IFERROR(INDEX(pl_eq,MATCH(F466,pl_num,0))&amp;"",C466)&lt;&gt;C466),"Plan d'un autre équipement",IF(AND(J466&lt;&gt;"",OR(NOT(ISNUMBER(J466)),N(J466)&lt;0)),"Compteur invalide",IF(OR(AND(K466&lt;&gt;"",OR(NOT(ISNUMBER(K466)),N(K466)&lt;0)),AND(L466&lt;&gt;"",OR(NOT(ISNUMBER(L466)),N(L466)&lt;0))),"Durée invalide",IF(OR(AND(N466&lt;&gt;"",OR(NOT(ISNUMBER(N466)),N(N466)&lt;0)),AND(P466&lt;&gt;"",OR(NOT(ISNUMBER(P466)),N(P466)&lt;0))),"Coût invalide",IF(AND(M466&lt;&gt;"",ISNA(MATCH(M466,tech_name,0))),"Technicien inconnu",IF(AND(I466="Terminée",S466&gt;p_today),"Terminée à une date future",IF(AND(I466="Terminée",V466=0),"Durée d'intervention manquante",IF(AND(I466="Terminée",E466="Préventif",T466=0,OR(IFERROR(INDEX(pl_trig,MATCH(F466,pl_num,0))&amp;"","")="Compteur",IFERROR(INDEX(pl_trig,MATCH(F466,pl_num,0))&amp;"","")="Au premier des deux")),"Compteur manquant (plan au compteur)","OK"))))))))))))))))))</f>
        <v/>
      </c>
      <c r="S466" s="67">
        <f>IF(AND(ISNUMBER(B466),N(B466)&gt;0),INT(B466),0)</f>
        <v>0.0</v>
      </c>
      <c r="T466" s="67">
        <f>IF(AND(ISNUMBER(J466),N(J466)&gt;=0),N(J466),0)</f>
        <v>0.0</v>
      </c>
      <c r="U466" s="67">
        <f>IF(AND(ISNUMBER(K466),N(K466)&gt;0),N(K466),0)</f>
        <v>0.0</v>
      </c>
      <c r="V466" s="67">
        <f>IF(AND(ISNUMBER(L466),N(L466)&gt;0),N(L466),0)</f>
        <v>0.0</v>
      </c>
      <c r="W466" s="67">
        <f>IF(AND(I466="Terminée",S466&gt;0,C466&lt;&gt;"",ISNUMBER(MATCH(C466,eq_code,0))),1,0)</f>
        <v>0.0</v>
      </c>
      <c r="X466" s="67">
        <f>IF(AND(W466=1,E466="Préventif"),1,0)</f>
        <v>0.0</v>
      </c>
      <c r="Y466" s="67">
        <f>IF(AND(ISNUMBER(N466),N(N466)&gt;0),N(N466),0)</f>
        <v>0.0</v>
      </c>
      <c r="Z466" s="67">
        <f>IF(AND(ISNUMBER(P466),N(P466)&gt;0),N(P466),0)</f>
        <v>0.0</v>
      </c>
    </row>
    <row r="467">
      <c r="A467" s="79" t="str">
        <f>IF(COUNTA(B467:C467,E467:G467,I467)=0,"","BI-"&amp;RIGHT("0000"&amp;(ROW()-5),4))</f>
        <v/>
      </c>
      <c r="B467" s="72" t="n"/>
      <c r="C467" s="66" t="n"/>
      <c r="D467" s="67" t="str">
        <f>IF(C467="","",IFERROR(INDEX(eq_des,MATCH(C467,eq_code,0))&amp;"","Équipement inconnu"))</f>
        <v/>
      </c>
      <c r="E467" s="68" t="n"/>
      <c r="F467" s="68" t="n"/>
      <c r="G467" s="66" t="n"/>
      <c r="H467" s="66" t="n"/>
      <c r="I467" s="68" t="n"/>
      <c r="J467" s="73" t="n"/>
      <c r="K467" s="71" t="n"/>
      <c r="L467" s="71" t="n"/>
      <c r="M467" s="66" t="n"/>
      <c r="N467" s="80" t="n"/>
      <c r="O467" s="81" t="str">
        <f>IF(A467="","",ROUND(V467*IFERROR(N(INDEX(tech_rate,MATCH(M467,tech_name,0))),0),2))</f>
        <v/>
      </c>
      <c r="P467" s="80" t="n"/>
      <c r="Q467" s="81" t="str">
        <f>IF(A467="","",ROUND(Y467+O467+Z467,2))</f>
        <v/>
      </c>
      <c r="R467" s="79" t="str">
        <f>IF(A467="","",IF(S467=0,"Date manquante ou invalide",IF(C467="","Équipement manquant",IF(ISNA(MATCH(C467,eq_code,0)),"Équipement inconnu",IF(E467="","Type manquant",IF(AND(E467&lt;&gt;"Préventif",E467&lt;&gt;"Correctif",E467&lt;&gt;"Amélioratif"),"Type inconnu",IF(I467="","Statut manquant",IF(AND(I467&lt;&gt;"Terminée",I467&lt;&gt;"En cours",I467&lt;&gt;"À faire",I467&lt;&gt;"Annulée"),"Statut inconnu",IF(AND(E467="Préventif",F467=""),"Plan manquant (préventif)",IF(AND(F467&lt;&gt;"",ISNA(MATCH(F467,pl_num,0))),"Plan inconnu",IF(AND(F467&lt;&gt;"",IFERROR(INDEX(pl_eq,MATCH(F467,pl_num,0))&amp;"",C467)&lt;&gt;C467),"Plan d'un autre équipement",IF(AND(J467&lt;&gt;"",OR(NOT(ISNUMBER(J467)),N(J467)&lt;0)),"Compteur invalide",IF(OR(AND(K467&lt;&gt;"",OR(NOT(ISNUMBER(K467)),N(K467)&lt;0)),AND(L467&lt;&gt;"",OR(NOT(ISNUMBER(L467)),N(L467)&lt;0))),"Durée invalide",IF(OR(AND(N467&lt;&gt;"",OR(NOT(ISNUMBER(N467)),N(N467)&lt;0)),AND(P467&lt;&gt;"",OR(NOT(ISNUMBER(P467)),N(P467)&lt;0))),"Coût invalide",IF(AND(M467&lt;&gt;"",ISNA(MATCH(M467,tech_name,0))),"Technicien inconnu",IF(AND(I467="Terminée",S467&gt;p_today),"Terminée à une date future",IF(AND(I467="Terminée",V467=0),"Durée d'intervention manquante",IF(AND(I467="Terminée",E467="Préventif",T467=0,OR(IFERROR(INDEX(pl_trig,MATCH(F467,pl_num,0))&amp;"","")="Compteur",IFERROR(INDEX(pl_trig,MATCH(F467,pl_num,0))&amp;"","")="Au premier des deux")),"Compteur manquant (plan au compteur)","OK"))))))))))))))))))</f>
        <v/>
      </c>
      <c r="S467" s="67">
        <f>IF(AND(ISNUMBER(B467),N(B467)&gt;0),INT(B467),0)</f>
        <v>0.0</v>
      </c>
      <c r="T467" s="67">
        <f>IF(AND(ISNUMBER(J467),N(J467)&gt;=0),N(J467),0)</f>
        <v>0.0</v>
      </c>
      <c r="U467" s="67">
        <f>IF(AND(ISNUMBER(K467),N(K467)&gt;0),N(K467),0)</f>
        <v>0.0</v>
      </c>
      <c r="V467" s="67">
        <f>IF(AND(ISNUMBER(L467),N(L467)&gt;0),N(L467),0)</f>
        <v>0.0</v>
      </c>
      <c r="W467" s="67">
        <f>IF(AND(I467="Terminée",S467&gt;0,C467&lt;&gt;"",ISNUMBER(MATCH(C467,eq_code,0))),1,0)</f>
        <v>0.0</v>
      </c>
      <c r="X467" s="67">
        <f>IF(AND(W467=1,E467="Préventif"),1,0)</f>
        <v>0.0</v>
      </c>
      <c r="Y467" s="67">
        <f>IF(AND(ISNUMBER(N467),N(N467)&gt;0),N(N467),0)</f>
        <v>0.0</v>
      </c>
      <c r="Z467" s="67">
        <f>IF(AND(ISNUMBER(P467),N(P467)&gt;0),N(P467),0)</f>
        <v>0.0</v>
      </c>
    </row>
    <row r="468">
      <c r="A468" s="79" t="str">
        <f>IF(COUNTA(B468:C468,E468:G468,I468)=0,"","BI-"&amp;RIGHT("0000"&amp;(ROW()-5),4))</f>
        <v/>
      </c>
      <c r="B468" s="72" t="n"/>
      <c r="C468" s="66" t="n"/>
      <c r="D468" s="67" t="str">
        <f>IF(C468="","",IFERROR(INDEX(eq_des,MATCH(C468,eq_code,0))&amp;"","Équipement inconnu"))</f>
        <v/>
      </c>
      <c r="E468" s="68" t="n"/>
      <c r="F468" s="68" t="n"/>
      <c r="G468" s="66" t="n"/>
      <c r="H468" s="66" t="n"/>
      <c r="I468" s="68" t="n"/>
      <c r="J468" s="73" t="n"/>
      <c r="K468" s="71" t="n"/>
      <c r="L468" s="71" t="n"/>
      <c r="M468" s="66" t="n"/>
      <c r="N468" s="80" t="n"/>
      <c r="O468" s="81" t="str">
        <f>IF(A468="","",ROUND(V468*IFERROR(N(INDEX(tech_rate,MATCH(M468,tech_name,0))),0),2))</f>
        <v/>
      </c>
      <c r="P468" s="80" t="n"/>
      <c r="Q468" s="81" t="str">
        <f>IF(A468="","",ROUND(Y468+O468+Z468,2))</f>
        <v/>
      </c>
      <c r="R468" s="79" t="str">
        <f>IF(A468="","",IF(S468=0,"Date manquante ou invalide",IF(C468="","Équipement manquant",IF(ISNA(MATCH(C468,eq_code,0)),"Équipement inconnu",IF(E468="","Type manquant",IF(AND(E468&lt;&gt;"Préventif",E468&lt;&gt;"Correctif",E468&lt;&gt;"Amélioratif"),"Type inconnu",IF(I468="","Statut manquant",IF(AND(I468&lt;&gt;"Terminée",I468&lt;&gt;"En cours",I468&lt;&gt;"À faire",I468&lt;&gt;"Annulée"),"Statut inconnu",IF(AND(E468="Préventif",F468=""),"Plan manquant (préventif)",IF(AND(F468&lt;&gt;"",ISNA(MATCH(F468,pl_num,0))),"Plan inconnu",IF(AND(F468&lt;&gt;"",IFERROR(INDEX(pl_eq,MATCH(F468,pl_num,0))&amp;"",C468)&lt;&gt;C468),"Plan d'un autre équipement",IF(AND(J468&lt;&gt;"",OR(NOT(ISNUMBER(J468)),N(J468)&lt;0)),"Compteur invalide",IF(OR(AND(K468&lt;&gt;"",OR(NOT(ISNUMBER(K468)),N(K468)&lt;0)),AND(L468&lt;&gt;"",OR(NOT(ISNUMBER(L468)),N(L468)&lt;0))),"Durée invalide",IF(OR(AND(N468&lt;&gt;"",OR(NOT(ISNUMBER(N468)),N(N468)&lt;0)),AND(P468&lt;&gt;"",OR(NOT(ISNUMBER(P468)),N(P468)&lt;0))),"Coût invalide",IF(AND(M468&lt;&gt;"",ISNA(MATCH(M468,tech_name,0))),"Technicien inconnu",IF(AND(I468="Terminée",S468&gt;p_today),"Terminée à une date future",IF(AND(I468="Terminée",V468=0),"Durée d'intervention manquante",IF(AND(I468="Terminée",E468="Préventif",T468=0,OR(IFERROR(INDEX(pl_trig,MATCH(F468,pl_num,0))&amp;"","")="Compteur",IFERROR(INDEX(pl_trig,MATCH(F468,pl_num,0))&amp;"","")="Au premier des deux")),"Compteur manquant (plan au compteur)","OK"))))))))))))))))))</f>
        <v/>
      </c>
      <c r="S468" s="67">
        <f>IF(AND(ISNUMBER(B468),N(B468)&gt;0),INT(B468),0)</f>
        <v>0.0</v>
      </c>
      <c r="T468" s="67">
        <f>IF(AND(ISNUMBER(J468),N(J468)&gt;=0),N(J468),0)</f>
        <v>0.0</v>
      </c>
      <c r="U468" s="67">
        <f>IF(AND(ISNUMBER(K468),N(K468)&gt;0),N(K468),0)</f>
        <v>0.0</v>
      </c>
      <c r="V468" s="67">
        <f>IF(AND(ISNUMBER(L468),N(L468)&gt;0),N(L468),0)</f>
        <v>0.0</v>
      </c>
      <c r="W468" s="67">
        <f>IF(AND(I468="Terminée",S468&gt;0,C468&lt;&gt;"",ISNUMBER(MATCH(C468,eq_code,0))),1,0)</f>
        <v>0.0</v>
      </c>
      <c r="X468" s="67">
        <f>IF(AND(W468=1,E468="Préventif"),1,0)</f>
        <v>0.0</v>
      </c>
      <c r="Y468" s="67">
        <f>IF(AND(ISNUMBER(N468),N(N468)&gt;0),N(N468),0)</f>
        <v>0.0</v>
      </c>
      <c r="Z468" s="67">
        <f>IF(AND(ISNUMBER(P468),N(P468)&gt;0),N(P468),0)</f>
        <v>0.0</v>
      </c>
    </row>
    <row r="469">
      <c r="A469" s="79" t="str">
        <f>IF(COUNTA(B469:C469,E469:G469,I469)=0,"","BI-"&amp;RIGHT("0000"&amp;(ROW()-5),4))</f>
        <v/>
      </c>
      <c r="B469" s="72" t="n"/>
      <c r="C469" s="66" t="n"/>
      <c r="D469" s="67" t="str">
        <f>IF(C469="","",IFERROR(INDEX(eq_des,MATCH(C469,eq_code,0))&amp;"","Équipement inconnu"))</f>
        <v/>
      </c>
      <c r="E469" s="68" t="n"/>
      <c r="F469" s="68" t="n"/>
      <c r="G469" s="66" t="n"/>
      <c r="H469" s="66" t="n"/>
      <c r="I469" s="68" t="n"/>
      <c r="J469" s="73" t="n"/>
      <c r="K469" s="71" t="n"/>
      <c r="L469" s="71" t="n"/>
      <c r="M469" s="66" t="n"/>
      <c r="N469" s="80" t="n"/>
      <c r="O469" s="81" t="str">
        <f>IF(A469="","",ROUND(V469*IFERROR(N(INDEX(tech_rate,MATCH(M469,tech_name,0))),0),2))</f>
        <v/>
      </c>
      <c r="P469" s="80" t="n"/>
      <c r="Q469" s="81" t="str">
        <f>IF(A469="","",ROUND(Y469+O469+Z469,2))</f>
        <v/>
      </c>
      <c r="R469" s="79" t="str">
        <f>IF(A469="","",IF(S469=0,"Date manquante ou invalide",IF(C469="","Équipement manquant",IF(ISNA(MATCH(C469,eq_code,0)),"Équipement inconnu",IF(E469="","Type manquant",IF(AND(E469&lt;&gt;"Préventif",E469&lt;&gt;"Correctif",E469&lt;&gt;"Amélioratif"),"Type inconnu",IF(I469="","Statut manquant",IF(AND(I469&lt;&gt;"Terminée",I469&lt;&gt;"En cours",I469&lt;&gt;"À faire",I469&lt;&gt;"Annulée"),"Statut inconnu",IF(AND(E469="Préventif",F469=""),"Plan manquant (préventif)",IF(AND(F469&lt;&gt;"",ISNA(MATCH(F469,pl_num,0))),"Plan inconnu",IF(AND(F469&lt;&gt;"",IFERROR(INDEX(pl_eq,MATCH(F469,pl_num,0))&amp;"",C469)&lt;&gt;C469),"Plan d'un autre équipement",IF(AND(J469&lt;&gt;"",OR(NOT(ISNUMBER(J469)),N(J469)&lt;0)),"Compteur invalide",IF(OR(AND(K469&lt;&gt;"",OR(NOT(ISNUMBER(K469)),N(K469)&lt;0)),AND(L469&lt;&gt;"",OR(NOT(ISNUMBER(L469)),N(L469)&lt;0))),"Durée invalide",IF(OR(AND(N469&lt;&gt;"",OR(NOT(ISNUMBER(N469)),N(N469)&lt;0)),AND(P469&lt;&gt;"",OR(NOT(ISNUMBER(P469)),N(P469)&lt;0))),"Coût invalide",IF(AND(M469&lt;&gt;"",ISNA(MATCH(M469,tech_name,0))),"Technicien inconnu",IF(AND(I469="Terminée",S469&gt;p_today),"Terminée à une date future",IF(AND(I469="Terminée",V469=0),"Durée d'intervention manquante",IF(AND(I469="Terminée",E469="Préventif",T469=0,OR(IFERROR(INDEX(pl_trig,MATCH(F469,pl_num,0))&amp;"","")="Compteur",IFERROR(INDEX(pl_trig,MATCH(F469,pl_num,0))&amp;"","")="Au premier des deux")),"Compteur manquant (plan au compteur)","OK"))))))))))))))))))</f>
        <v/>
      </c>
      <c r="S469" s="67">
        <f>IF(AND(ISNUMBER(B469),N(B469)&gt;0),INT(B469),0)</f>
        <v>0.0</v>
      </c>
      <c r="T469" s="67">
        <f>IF(AND(ISNUMBER(J469),N(J469)&gt;=0),N(J469),0)</f>
        <v>0.0</v>
      </c>
      <c r="U469" s="67">
        <f>IF(AND(ISNUMBER(K469),N(K469)&gt;0),N(K469),0)</f>
        <v>0.0</v>
      </c>
      <c r="V469" s="67">
        <f>IF(AND(ISNUMBER(L469),N(L469)&gt;0),N(L469),0)</f>
        <v>0.0</v>
      </c>
      <c r="W469" s="67">
        <f>IF(AND(I469="Terminée",S469&gt;0,C469&lt;&gt;"",ISNUMBER(MATCH(C469,eq_code,0))),1,0)</f>
        <v>0.0</v>
      </c>
      <c r="X469" s="67">
        <f>IF(AND(W469=1,E469="Préventif"),1,0)</f>
        <v>0.0</v>
      </c>
      <c r="Y469" s="67">
        <f>IF(AND(ISNUMBER(N469),N(N469)&gt;0),N(N469),0)</f>
        <v>0.0</v>
      </c>
      <c r="Z469" s="67">
        <f>IF(AND(ISNUMBER(P469),N(P469)&gt;0),N(P469),0)</f>
        <v>0.0</v>
      </c>
    </row>
    <row r="470">
      <c r="A470" s="79" t="str">
        <f>IF(COUNTA(B470:C470,E470:G470,I470)=0,"","BI-"&amp;RIGHT("0000"&amp;(ROW()-5),4))</f>
        <v/>
      </c>
      <c r="B470" s="72" t="n"/>
      <c r="C470" s="66" t="n"/>
      <c r="D470" s="67" t="str">
        <f>IF(C470="","",IFERROR(INDEX(eq_des,MATCH(C470,eq_code,0))&amp;"","Équipement inconnu"))</f>
        <v/>
      </c>
      <c r="E470" s="68" t="n"/>
      <c r="F470" s="68" t="n"/>
      <c r="G470" s="66" t="n"/>
      <c r="H470" s="66" t="n"/>
      <c r="I470" s="68" t="n"/>
      <c r="J470" s="73" t="n"/>
      <c r="K470" s="71" t="n"/>
      <c r="L470" s="71" t="n"/>
      <c r="M470" s="66" t="n"/>
      <c r="N470" s="80" t="n"/>
      <c r="O470" s="81" t="str">
        <f>IF(A470="","",ROUND(V470*IFERROR(N(INDEX(tech_rate,MATCH(M470,tech_name,0))),0),2))</f>
        <v/>
      </c>
      <c r="P470" s="80" t="n"/>
      <c r="Q470" s="81" t="str">
        <f>IF(A470="","",ROUND(Y470+O470+Z470,2))</f>
        <v/>
      </c>
      <c r="R470" s="79" t="str">
        <f>IF(A470="","",IF(S470=0,"Date manquante ou invalide",IF(C470="","Équipement manquant",IF(ISNA(MATCH(C470,eq_code,0)),"Équipement inconnu",IF(E470="","Type manquant",IF(AND(E470&lt;&gt;"Préventif",E470&lt;&gt;"Correctif",E470&lt;&gt;"Amélioratif"),"Type inconnu",IF(I470="","Statut manquant",IF(AND(I470&lt;&gt;"Terminée",I470&lt;&gt;"En cours",I470&lt;&gt;"À faire",I470&lt;&gt;"Annulée"),"Statut inconnu",IF(AND(E470="Préventif",F470=""),"Plan manquant (préventif)",IF(AND(F470&lt;&gt;"",ISNA(MATCH(F470,pl_num,0))),"Plan inconnu",IF(AND(F470&lt;&gt;"",IFERROR(INDEX(pl_eq,MATCH(F470,pl_num,0))&amp;"",C470)&lt;&gt;C470),"Plan d'un autre équipement",IF(AND(J470&lt;&gt;"",OR(NOT(ISNUMBER(J470)),N(J470)&lt;0)),"Compteur invalide",IF(OR(AND(K470&lt;&gt;"",OR(NOT(ISNUMBER(K470)),N(K470)&lt;0)),AND(L470&lt;&gt;"",OR(NOT(ISNUMBER(L470)),N(L470)&lt;0))),"Durée invalide",IF(OR(AND(N470&lt;&gt;"",OR(NOT(ISNUMBER(N470)),N(N470)&lt;0)),AND(P470&lt;&gt;"",OR(NOT(ISNUMBER(P470)),N(P470)&lt;0))),"Coût invalide",IF(AND(M470&lt;&gt;"",ISNA(MATCH(M470,tech_name,0))),"Technicien inconnu",IF(AND(I470="Terminée",S470&gt;p_today),"Terminée à une date future",IF(AND(I470="Terminée",V470=0),"Durée d'intervention manquante",IF(AND(I470="Terminée",E470="Préventif",T470=0,OR(IFERROR(INDEX(pl_trig,MATCH(F470,pl_num,0))&amp;"","")="Compteur",IFERROR(INDEX(pl_trig,MATCH(F470,pl_num,0))&amp;"","")="Au premier des deux")),"Compteur manquant (plan au compteur)","OK"))))))))))))))))))</f>
        <v/>
      </c>
      <c r="S470" s="67">
        <f>IF(AND(ISNUMBER(B470),N(B470)&gt;0),INT(B470),0)</f>
        <v>0.0</v>
      </c>
      <c r="T470" s="67">
        <f>IF(AND(ISNUMBER(J470),N(J470)&gt;=0),N(J470),0)</f>
        <v>0.0</v>
      </c>
      <c r="U470" s="67">
        <f>IF(AND(ISNUMBER(K470),N(K470)&gt;0),N(K470),0)</f>
        <v>0.0</v>
      </c>
      <c r="V470" s="67">
        <f>IF(AND(ISNUMBER(L470),N(L470)&gt;0),N(L470),0)</f>
        <v>0.0</v>
      </c>
      <c r="W470" s="67">
        <f>IF(AND(I470="Terminée",S470&gt;0,C470&lt;&gt;"",ISNUMBER(MATCH(C470,eq_code,0))),1,0)</f>
        <v>0.0</v>
      </c>
      <c r="X470" s="67">
        <f>IF(AND(W470=1,E470="Préventif"),1,0)</f>
        <v>0.0</v>
      </c>
      <c r="Y470" s="67">
        <f>IF(AND(ISNUMBER(N470),N(N470)&gt;0),N(N470),0)</f>
        <v>0.0</v>
      </c>
      <c r="Z470" s="67">
        <f>IF(AND(ISNUMBER(P470),N(P470)&gt;0),N(P470),0)</f>
        <v>0.0</v>
      </c>
    </row>
    <row r="471">
      <c r="A471" s="79" t="str">
        <f>IF(COUNTA(B471:C471,E471:G471,I471)=0,"","BI-"&amp;RIGHT("0000"&amp;(ROW()-5),4))</f>
        <v/>
      </c>
      <c r="B471" s="72" t="n"/>
      <c r="C471" s="66" t="n"/>
      <c r="D471" s="67" t="str">
        <f>IF(C471="","",IFERROR(INDEX(eq_des,MATCH(C471,eq_code,0))&amp;"","Équipement inconnu"))</f>
        <v/>
      </c>
      <c r="E471" s="68" t="n"/>
      <c r="F471" s="68" t="n"/>
      <c r="G471" s="66" t="n"/>
      <c r="H471" s="66" t="n"/>
      <c r="I471" s="68" t="n"/>
      <c r="J471" s="73" t="n"/>
      <c r="K471" s="71" t="n"/>
      <c r="L471" s="71" t="n"/>
      <c r="M471" s="66" t="n"/>
      <c r="N471" s="80" t="n"/>
      <c r="O471" s="81" t="str">
        <f>IF(A471="","",ROUND(V471*IFERROR(N(INDEX(tech_rate,MATCH(M471,tech_name,0))),0),2))</f>
        <v/>
      </c>
      <c r="P471" s="80" t="n"/>
      <c r="Q471" s="81" t="str">
        <f>IF(A471="","",ROUND(Y471+O471+Z471,2))</f>
        <v/>
      </c>
      <c r="R471" s="79" t="str">
        <f>IF(A471="","",IF(S471=0,"Date manquante ou invalide",IF(C471="","Équipement manquant",IF(ISNA(MATCH(C471,eq_code,0)),"Équipement inconnu",IF(E471="","Type manquant",IF(AND(E471&lt;&gt;"Préventif",E471&lt;&gt;"Correctif",E471&lt;&gt;"Amélioratif"),"Type inconnu",IF(I471="","Statut manquant",IF(AND(I471&lt;&gt;"Terminée",I471&lt;&gt;"En cours",I471&lt;&gt;"À faire",I471&lt;&gt;"Annulée"),"Statut inconnu",IF(AND(E471="Préventif",F471=""),"Plan manquant (préventif)",IF(AND(F471&lt;&gt;"",ISNA(MATCH(F471,pl_num,0))),"Plan inconnu",IF(AND(F471&lt;&gt;"",IFERROR(INDEX(pl_eq,MATCH(F471,pl_num,0))&amp;"",C471)&lt;&gt;C471),"Plan d'un autre équipement",IF(AND(J471&lt;&gt;"",OR(NOT(ISNUMBER(J471)),N(J471)&lt;0)),"Compteur invalide",IF(OR(AND(K471&lt;&gt;"",OR(NOT(ISNUMBER(K471)),N(K471)&lt;0)),AND(L471&lt;&gt;"",OR(NOT(ISNUMBER(L471)),N(L471)&lt;0))),"Durée invalide",IF(OR(AND(N471&lt;&gt;"",OR(NOT(ISNUMBER(N471)),N(N471)&lt;0)),AND(P471&lt;&gt;"",OR(NOT(ISNUMBER(P471)),N(P471)&lt;0))),"Coût invalide",IF(AND(M471&lt;&gt;"",ISNA(MATCH(M471,tech_name,0))),"Technicien inconnu",IF(AND(I471="Terminée",S471&gt;p_today),"Terminée à une date future",IF(AND(I471="Terminée",V471=0),"Durée d'intervention manquante",IF(AND(I471="Terminée",E471="Préventif",T471=0,OR(IFERROR(INDEX(pl_trig,MATCH(F471,pl_num,0))&amp;"","")="Compteur",IFERROR(INDEX(pl_trig,MATCH(F471,pl_num,0))&amp;"","")="Au premier des deux")),"Compteur manquant (plan au compteur)","OK"))))))))))))))))))</f>
        <v/>
      </c>
      <c r="S471" s="67">
        <f>IF(AND(ISNUMBER(B471),N(B471)&gt;0),INT(B471),0)</f>
        <v>0.0</v>
      </c>
      <c r="T471" s="67">
        <f>IF(AND(ISNUMBER(J471),N(J471)&gt;=0),N(J471),0)</f>
        <v>0.0</v>
      </c>
      <c r="U471" s="67">
        <f>IF(AND(ISNUMBER(K471),N(K471)&gt;0),N(K471),0)</f>
        <v>0.0</v>
      </c>
      <c r="V471" s="67">
        <f>IF(AND(ISNUMBER(L471),N(L471)&gt;0),N(L471),0)</f>
        <v>0.0</v>
      </c>
      <c r="W471" s="67">
        <f>IF(AND(I471="Terminée",S471&gt;0,C471&lt;&gt;"",ISNUMBER(MATCH(C471,eq_code,0))),1,0)</f>
        <v>0.0</v>
      </c>
      <c r="X471" s="67">
        <f>IF(AND(W471=1,E471="Préventif"),1,0)</f>
        <v>0.0</v>
      </c>
      <c r="Y471" s="67">
        <f>IF(AND(ISNUMBER(N471),N(N471)&gt;0),N(N471),0)</f>
        <v>0.0</v>
      </c>
      <c r="Z471" s="67">
        <f>IF(AND(ISNUMBER(P471),N(P471)&gt;0),N(P471),0)</f>
        <v>0.0</v>
      </c>
    </row>
    <row r="472">
      <c r="A472" s="79" t="str">
        <f>IF(COUNTA(B472:C472,E472:G472,I472)=0,"","BI-"&amp;RIGHT("0000"&amp;(ROW()-5),4))</f>
        <v/>
      </c>
      <c r="B472" s="72" t="n"/>
      <c r="C472" s="66" t="n"/>
      <c r="D472" s="67" t="str">
        <f>IF(C472="","",IFERROR(INDEX(eq_des,MATCH(C472,eq_code,0))&amp;"","Équipement inconnu"))</f>
        <v/>
      </c>
      <c r="E472" s="68" t="n"/>
      <c r="F472" s="68" t="n"/>
      <c r="G472" s="66" t="n"/>
      <c r="H472" s="66" t="n"/>
      <c r="I472" s="68" t="n"/>
      <c r="J472" s="73" t="n"/>
      <c r="K472" s="71" t="n"/>
      <c r="L472" s="71" t="n"/>
      <c r="M472" s="66" t="n"/>
      <c r="N472" s="80" t="n"/>
      <c r="O472" s="81" t="str">
        <f>IF(A472="","",ROUND(V472*IFERROR(N(INDEX(tech_rate,MATCH(M472,tech_name,0))),0),2))</f>
        <v/>
      </c>
      <c r="P472" s="80" t="n"/>
      <c r="Q472" s="81" t="str">
        <f>IF(A472="","",ROUND(Y472+O472+Z472,2))</f>
        <v/>
      </c>
      <c r="R472" s="79" t="str">
        <f>IF(A472="","",IF(S472=0,"Date manquante ou invalide",IF(C472="","Équipement manquant",IF(ISNA(MATCH(C472,eq_code,0)),"Équipement inconnu",IF(E472="","Type manquant",IF(AND(E472&lt;&gt;"Préventif",E472&lt;&gt;"Correctif",E472&lt;&gt;"Amélioratif"),"Type inconnu",IF(I472="","Statut manquant",IF(AND(I472&lt;&gt;"Terminée",I472&lt;&gt;"En cours",I472&lt;&gt;"À faire",I472&lt;&gt;"Annulée"),"Statut inconnu",IF(AND(E472="Préventif",F472=""),"Plan manquant (préventif)",IF(AND(F472&lt;&gt;"",ISNA(MATCH(F472,pl_num,0))),"Plan inconnu",IF(AND(F472&lt;&gt;"",IFERROR(INDEX(pl_eq,MATCH(F472,pl_num,0))&amp;"",C472)&lt;&gt;C472),"Plan d'un autre équipement",IF(AND(J472&lt;&gt;"",OR(NOT(ISNUMBER(J472)),N(J472)&lt;0)),"Compteur invalide",IF(OR(AND(K472&lt;&gt;"",OR(NOT(ISNUMBER(K472)),N(K472)&lt;0)),AND(L472&lt;&gt;"",OR(NOT(ISNUMBER(L472)),N(L472)&lt;0))),"Durée invalide",IF(OR(AND(N472&lt;&gt;"",OR(NOT(ISNUMBER(N472)),N(N472)&lt;0)),AND(P472&lt;&gt;"",OR(NOT(ISNUMBER(P472)),N(P472)&lt;0))),"Coût invalide",IF(AND(M472&lt;&gt;"",ISNA(MATCH(M472,tech_name,0))),"Technicien inconnu",IF(AND(I472="Terminée",S472&gt;p_today),"Terminée à une date future",IF(AND(I472="Terminée",V472=0),"Durée d'intervention manquante",IF(AND(I472="Terminée",E472="Préventif",T472=0,OR(IFERROR(INDEX(pl_trig,MATCH(F472,pl_num,0))&amp;"","")="Compteur",IFERROR(INDEX(pl_trig,MATCH(F472,pl_num,0))&amp;"","")="Au premier des deux")),"Compteur manquant (plan au compteur)","OK"))))))))))))))))))</f>
        <v/>
      </c>
      <c r="S472" s="67">
        <f>IF(AND(ISNUMBER(B472),N(B472)&gt;0),INT(B472),0)</f>
        <v>0.0</v>
      </c>
      <c r="T472" s="67">
        <f>IF(AND(ISNUMBER(J472),N(J472)&gt;=0),N(J472),0)</f>
        <v>0.0</v>
      </c>
      <c r="U472" s="67">
        <f>IF(AND(ISNUMBER(K472),N(K472)&gt;0),N(K472),0)</f>
        <v>0.0</v>
      </c>
      <c r="V472" s="67">
        <f>IF(AND(ISNUMBER(L472),N(L472)&gt;0),N(L472),0)</f>
        <v>0.0</v>
      </c>
      <c r="W472" s="67">
        <f>IF(AND(I472="Terminée",S472&gt;0,C472&lt;&gt;"",ISNUMBER(MATCH(C472,eq_code,0))),1,0)</f>
        <v>0.0</v>
      </c>
      <c r="X472" s="67">
        <f>IF(AND(W472=1,E472="Préventif"),1,0)</f>
        <v>0.0</v>
      </c>
      <c r="Y472" s="67">
        <f>IF(AND(ISNUMBER(N472),N(N472)&gt;0),N(N472),0)</f>
        <v>0.0</v>
      </c>
      <c r="Z472" s="67">
        <f>IF(AND(ISNUMBER(P472),N(P472)&gt;0),N(P472),0)</f>
        <v>0.0</v>
      </c>
    </row>
    <row r="473">
      <c r="A473" s="79" t="str">
        <f>IF(COUNTA(B473:C473,E473:G473,I473)=0,"","BI-"&amp;RIGHT("0000"&amp;(ROW()-5),4))</f>
        <v/>
      </c>
      <c r="B473" s="72" t="n"/>
      <c r="C473" s="66" t="n"/>
      <c r="D473" s="67" t="str">
        <f>IF(C473="","",IFERROR(INDEX(eq_des,MATCH(C473,eq_code,0))&amp;"","Équipement inconnu"))</f>
        <v/>
      </c>
      <c r="E473" s="68" t="n"/>
      <c r="F473" s="68" t="n"/>
      <c r="G473" s="66" t="n"/>
      <c r="H473" s="66" t="n"/>
      <c r="I473" s="68" t="n"/>
      <c r="J473" s="73" t="n"/>
      <c r="K473" s="71" t="n"/>
      <c r="L473" s="71" t="n"/>
      <c r="M473" s="66" t="n"/>
      <c r="N473" s="80" t="n"/>
      <c r="O473" s="81" t="str">
        <f>IF(A473="","",ROUND(V473*IFERROR(N(INDEX(tech_rate,MATCH(M473,tech_name,0))),0),2))</f>
        <v/>
      </c>
      <c r="P473" s="80" t="n"/>
      <c r="Q473" s="81" t="str">
        <f>IF(A473="","",ROUND(Y473+O473+Z473,2))</f>
        <v/>
      </c>
      <c r="R473" s="79" t="str">
        <f>IF(A473="","",IF(S473=0,"Date manquante ou invalide",IF(C473="","Équipement manquant",IF(ISNA(MATCH(C473,eq_code,0)),"Équipement inconnu",IF(E473="","Type manquant",IF(AND(E473&lt;&gt;"Préventif",E473&lt;&gt;"Correctif",E473&lt;&gt;"Amélioratif"),"Type inconnu",IF(I473="","Statut manquant",IF(AND(I473&lt;&gt;"Terminée",I473&lt;&gt;"En cours",I473&lt;&gt;"À faire",I473&lt;&gt;"Annulée"),"Statut inconnu",IF(AND(E473="Préventif",F473=""),"Plan manquant (préventif)",IF(AND(F473&lt;&gt;"",ISNA(MATCH(F473,pl_num,0))),"Plan inconnu",IF(AND(F473&lt;&gt;"",IFERROR(INDEX(pl_eq,MATCH(F473,pl_num,0))&amp;"",C473)&lt;&gt;C473),"Plan d'un autre équipement",IF(AND(J473&lt;&gt;"",OR(NOT(ISNUMBER(J473)),N(J473)&lt;0)),"Compteur invalide",IF(OR(AND(K473&lt;&gt;"",OR(NOT(ISNUMBER(K473)),N(K473)&lt;0)),AND(L473&lt;&gt;"",OR(NOT(ISNUMBER(L473)),N(L473)&lt;0))),"Durée invalide",IF(OR(AND(N473&lt;&gt;"",OR(NOT(ISNUMBER(N473)),N(N473)&lt;0)),AND(P473&lt;&gt;"",OR(NOT(ISNUMBER(P473)),N(P473)&lt;0))),"Coût invalide",IF(AND(M473&lt;&gt;"",ISNA(MATCH(M473,tech_name,0))),"Technicien inconnu",IF(AND(I473="Terminée",S473&gt;p_today),"Terminée à une date future",IF(AND(I473="Terminée",V473=0),"Durée d'intervention manquante",IF(AND(I473="Terminée",E473="Préventif",T473=0,OR(IFERROR(INDEX(pl_trig,MATCH(F473,pl_num,0))&amp;"","")="Compteur",IFERROR(INDEX(pl_trig,MATCH(F473,pl_num,0))&amp;"","")="Au premier des deux")),"Compteur manquant (plan au compteur)","OK"))))))))))))))))))</f>
        <v/>
      </c>
      <c r="S473" s="67">
        <f>IF(AND(ISNUMBER(B473),N(B473)&gt;0),INT(B473),0)</f>
        <v>0.0</v>
      </c>
      <c r="T473" s="67">
        <f>IF(AND(ISNUMBER(J473),N(J473)&gt;=0),N(J473),0)</f>
        <v>0.0</v>
      </c>
      <c r="U473" s="67">
        <f>IF(AND(ISNUMBER(K473),N(K473)&gt;0),N(K473),0)</f>
        <v>0.0</v>
      </c>
      <c r="V473" s="67">
        <f>IF(AND(ISNUMBER(L473),N(L473)&gt;0),N(L473),0)</f>
        <v>0.0</v>
      </c>
      <c r="W473" s="67">
        <f>IF(AND(I473="Terminée",S473&gt;0,C473&lt;&gt;"",ISNUMBER(MATCH(C473,eq_code,0))),1,0)</f>
        <v>0.0</v>
      </c>
      <c r="X473" s="67">
        <f>IF(AND(W473=1,E473="Préventif"),1,0)</f>
        <v>0.0</v>
      </c>
      <c r="Y473" s="67">
        <f>IF(AND(ISNUMBER(N473),N(N473)&gt;0),N(N473),0)</f>
        <v>0.0</v>
      </c>
      <c r="Z473" s="67">
        <f>IF(AND(ISNUMBER(P473),N(P473)&gt;0),N(P473),0)</f>
        <v>0.0</v>
      </c>
    </row>
    <row r="474">
      <c r="A474" s="79" t="str">
        <f>IF(COUNTA(B474:C474,E474:G474,I474)=0,"","BI-"&amp;RIGHT("0000"&amp;(ROW()-5),4))</f>
        <v/>
      </c>
      <c r="B474" s="72" t="n"/>
      <c r="C474" s="66" t="n"/>
      <c r="D474" s="67" t="str">
        <f>IF(C474="","",IFERROR(INDEX(eq_des,MATCH(C474,eq_code,0))&amp;"","Équipement inconnu"))</f>
        <v/>
      </c>
      <c r="E474" s="68" t="n"/>
      <c r="F474" s="68" t="n"/>
      <c r="G474" s="66" t="n"/>
      <c r="H474" s="66" t="n"/>
      <c r="I474" s="68" t="n"/>
      <c r="J474" s="73" t="n"/>
      <c r="K474" s="71" t="n"/>
      <c r="L474" s="71" t="n"/>
      <c r="M474" s="66" t="n"/>
      <c r="N474" s="80" t="n"/>
      <c r="O474" s="81" t="str">
        <f>IF(A474="","",ROUND(V474*IFERROR(N(INDEX(tech_rate,MATCH(M474,tech_name,0))),0),2))</f>
        <v/>
      </c>
      <c r="P474" s="80" t="n"/>
      <c r="Q474" s="81" t="str">
        <f>IF(A474="","",ROUND(Y474+O474+Z474,2))</f>
        <v/>
      </c>
      <c r="R474" s="79" t="str">
        <f>IF(A474="","",IF(S474=0,"Date manquante ou invalide",IF(C474="","Équipement manquant",IF(ISNA(MATCH(C474,eq_code,0)),"Équipement inconnu",IF(E474="","Type manquant",IF(AND(E474&lt;&gt;"Préventif",E474&lt;&gt;"Correctif",E474&lt;&gt;"Amélioratif"),"Type inconnu",IF(I474="","Statut manquant",IF(AND(I474&lt;&gt;"Terminée",I474&lt;&gt;"En cours",I474&lt;&gt;"À faire",I474&lt;&gt;"Annulée"),"Statut inconnu",IF(AND(E474="Préventif",F474=""),"Plan manquant (préventif)",IF(AND(F474&lt;&gt;"",ISNA(MATCH(F474,pl_num,0))),"Plan inconnu",IF(AND(F474&lt;&gt;"",IFERROR(INDEX(pl_eq,MATCH(F474,pl_num,0))&amp;"",C474)&lt;&gt;C474),"Plan d'un autre équipement",IF(AND(J474&lt;&gt;"",OR(NOT(ISNUMBER(J474)),N(J474)&lt;0)),"Compteur invalide",IF(OR(AND(K474&lt;&gt;"",OR(NOT(ISNUMBER(K474)),N(K474)&lt;0)),AND(L474&lt;&gt;"",OR(NOT(ISNUMBER(L474)),N(L474)&lt;0))),"Durée invalide",IF(OR(AND(N474&lt;&gt;"",OR(NOT(ISNUMBER(N474)),N(N474)&lt;0)),AND(P474&lt;&gt;"",OR(NOT(ISNUMBER(P474)),N(P474)&lt;0))),"Coût invalide",IF(AND(M474&lt;&gt;"",ISNA(MATCH(M474,tech_name,0))),"Technicien inconnu",IF(AND(I474="Terminée",S474&gt;p_today),"Terminée à une date future",IF(AND(I474="Terminée",V474=0),"Durée d'intervention manquante",IF(AND(I474="Terminée",E474="Préventif",T474=0,OR(IFERROR(INDEX(pl_trig,MATCH(F474,pl_num,0))&amp;"","")="Compteur",IFERROR(INDEX(pl_trig,MATCH(F474,pl_num,0))&amp;"","")="Au premier des deux")),"Compteur manquant (plan au compteur)","OK"))))))))))))))))))</f>
        <v/>
      </c>
      <c r="S474" s="67">
        <f>IF(AND(ISNUMBER(B474),N(B474)&gt;0),INT(B474),0)</f>
        <v>0.0</v>
      </c>
      <c r="T474" s="67">
        <f>IF(AND(ISNUMBER(J474),N(J474)&gt;=0),N(J474),0)</f>
        <v>0.0</v>
      </c>
      <c r="U474" s="67">
        <f>IF(AND(ISNUMBER(K474),N(K474)&gt;0),N(K474),0)</f>
        <v>0.0</v>
      </c>
      <c r="V474" s="67">
        <f>IF(AND(ISNUMBER(L474),N(L474)&gt;0),N(L474),0)</f>
        <v>0.0</v>
      </c>
      <c r="W474" s="67">
        <f>IF(AND(I474="Terminée",S474&gt;0,C474&lt;&gt;"",ISNUMBER(MATCH(C474,eq_code,0))),1,0)</f>
        <v>0.0</v>
      </c>
      <c r="X474" s="67">
        <f>IF(AND(W474=1,E474="Préventif"),1,0)</f>
        <v>0.0</v>
      </c>
      <c r="Y474" s="67">
        <f>IF(AND(ISNUMBER(N474),N(N474)&gt;0),N(N474),0)</f>
        <v>0.0</v>
      </c>
      <c r="Z474" s="67">
        <f>IF(AND(ISNUMBER(P474),N(P474)&gt;0),N(P474),0)</f>
        <v>0.0</v>
      </c>
    </row>
    <row r="475">
      <c r="A475" s="79" t="str">
        <f>IF(COUNTA(B475:C475,E475:G475,I475)=0,"","BI-"&amp;RIGHT("0000"&amp;(ROW()-5),4))</f>
        <v/>
      </c>
      <c r="B475" s="72" t="n"/>
      <c r="C475" s="66" t="n"/>
      <c r="D475" s="67" t="str">
        <f>IF(C475="","",IFERROR(INDEX(eq_des,MATCH(C475,eq_code,0))&amp;"","Équipement inconnu"))</f>
        <v/>
      </c>
      <c r="E475" s="68" t="n"/>
      <c r="F475" s="68" t="n"/>
      <c r="G475" s="66" t="n"/>
      <c r="H475" s="66" t="n"/>
      <c r="I475" s="68" t="n"/>
      <c r="J475" s="73" t="n"/>
      <c r="K475" s="71" t="n"/>
      <c r="L475" s="71" t="n"/>
      <c r="M475" s="66" t="n"/>
      <c r="N475" s="80" t="n"/>
      <c r="O475" s="81" t="str">
        <f>IF(A475="","",ROUND(V475*IFERROR(N(INDEX(tech_rate,MATCH(M475,tech_name,0))),0),2))</f>
        <v/>
      </c>
      <c r="P475" s="80" t="n"/>
      <c r="Q475" s="81" t="str">
        <f>IF(A475="","",ROUND(Y475+O475+Z475,2))</f>
        <v/>
      </c>
      <c r="R475" s="79" t="str">
        <f>IF(A475="","",IF(S475=0,"Date manquante ou invalide",IF(C475="","Équipement manquant",IF(ISNA(MATCH(C475,eq_code,0)),"Équipement inconnu",IF(E475="","Type manquant",IF(AND(E475&lt;&gt;"Préventif",E475&lt;&gt;"Correctif",E475&lt;&gt;"Amélioratif"),"Type inconnu",IF(I475="","Statut manquant",IF(AND(I475&lt;&gt;"Terminée",I475&lt;&gt;"En cours",I475&lt;&gt;"À faire",I475&lt;&gt;"Annulée"),"Statut inconnu",IF(AND(E475="Préventif",F475=""),"Plan manquant (préventif)",IF(AND(F475&lt;&gt;"",ISNA(MATCH(F475,pl_num,0))),"Plan inconnu",IF(AND(F475&lt;&gt;"",IFERROR(INDEX(pl_eq,MATCH(F475,pl_num,0))&amp;"",C475)&lt;&gt;C475),"Plan d'un autre équipement",IF(AND(J475&lt;&gt;"",OR(NOT(ISNUMBER(J475)),N(J475)&lt;0)),"Compteur invalide",IF(OR(AND(K475&lt;&gt;"",OR(NOT(ISNUMBER(K475)),N(K475)&lt;0)),AND(L475&lt;&gt;"",OR(NOT(ISNUMBER(L475)),N(L475)&lt;0))),"Durée invalide",IF(OR(AND(N475&lt;&gt;"",OR(NOT(ISNUMBER(N475)),N(N475)&lt;0)),AND(P475&lt;&gt;"",OR(NOT(ISNUMBER(P475)),N(P475)&lt;0))),"Coût invalide",IF(AND(M475&lt;&gt;"",ISNA(MATCH(M475,tech_name,0))),"Technicien inconnu",IF(AND(I475="Terminée",S475&gt;p_today),"Terminée à une date future",IF(AND(I475="Terminée",V475=0),"Durée d'intervention manquante",IF(AND(I475="Terminée",E475="Préventif",T475=0,OR(IFERROR(INDEX(pl_trig,MATCH(F475,pl_num,0))&amp;"","")="Compteur",IFERROR(INDEX(pl_trig,MATCH(F475,pl_num,0))&amp;"","")="Au premier des deux")),"Compteur manquant (plan au compteur)","OK"))))))))))))))))))</f>
        <v/>
      </c>
      <c r="S475" s="67">
        <f>IF(AND(ISNUMBER(B475),N(B475)&gt;0),INT(B475),0)</f>
        <v>0.0</v>
      </c>
      <c r="T475" s="67">
        <f>IF(AND(ISNUMBER(J475),N(J475)&gt;=0),N(J475),0)</f>
        <v>0.0</v>
      </c>
      <c r="U475" s="67">
        <f>IF(AND(ISNUMBER(K475),N(K475)&gt;0),N(K475),0)</f>
        <v>0.0</v>
      </c>
      <c r="V475" s="67">
        <f>IF(AND(ISNUMBER(L475),N(L475)&gt;0),N(L475),0)</f>
        <v>0.0</v>
      </c>
      <c r="W475" s="67">
        <f>IF(AND(I475="Terminée",S475&gt;0,C475&lt;&gt;"",ISNUMBER(MATCH(C475,eq_code,0))),1,0)</f>
        <v>0.0</v>
      </c>
      <c r="X475" s="67">
        <f>IF(AND(W475=1,E475="Préventif"),1,0)</f>
        <v>0.0</v>
      </c>
      <c r="Y475" s="67">
        <f>IF(AND(ISNUMBER(N475),N(N475)&gt;0),N(N475),0)</f>
        <v>0.0</v>
      </c>
      <c r="Z475" s="67">
        <f>IF(AND(ISNUMBER(P475),N(P475)&gt;0),N(P475),0)</f>
        <v>0.0</v>
      </c>
    </row>
    <row r="476">
      <c r="A476" s="79" t="str">
        <f>IF(COUNTA(B476:C476,E476:G476,I476)=0,"","BI-"&amp;RIGHT("0000"&amp;(ROW()-5),4))</f>
        <v/>
      </c>
      <c r="B476" s="72" t="n"/>
      <c r="C476" s="66" t="n"/>
      <c r="D476" s="67" t="str">
        <f>IF(C476="","",IFERROR(INDEX(eq_des,MATCH(C476,eq_code,0))&amp;"","Équipement inconnu"))</f>
        <v/>
      </c>
      <c r="E476" s="68" t="n"/>
      <c r="F476" s="68" t="n"/>
      <c r="G476" s="66" t="n"/>
      <c r="H476" s="66" t="n"/>
      <c r="I476" s="68" t="n"/>
      <c r="J476" s="73" t="n"/>
      <c r="K476" s="71" t="n"/>
      <c r="L476" s="71" t="n"/>
      <c r="M476" s="66" t="n"/>
      <c r="N476" s="80" t="n"/>
      <c r="O476" s="81" t="str">
        <f>IF(A476="","",ROUND(V476*IFERROR(N(INDEX(tech_rate,MATCH(M476,tech_name,0))),0),2))</f>
        <v/>
      </c>
      <c r="P476" s="80" t="n"/>
      <c r="Q476" s="81" t="str">
        <f>IF(A476="","",ROUND(Y476+O476+Z476,2))</f>
        <v/>
      </c>
      <c r="R476" s="79" t="str">
        <f>IF(A476="","",IF(S476=0,"Date manquante ou invalide",IF(C476="","Équipement manquant",IF(ISNA(MATCH(C476,eq_code,0)),"Équipement inconnu",IF(E476="","Type manquant",IF(AND(E476&lt;&gt;"Préventif",E476&lt;&gt;"Correctif",E476&lt;&gt;"Amélioratif"),"Type inconnu",IF(I476="","Statut manquant",IF(AND(I476&lt;&gt;"Terminée",I476&lt;&gt;"En cours",I476&lt;&gt;"À faire",I476&lt;&gt;"Annulée"),"Statut inconnu",IF(AND(E476="Préventif",F476=""),"Plan manquant (préventif)",IF(AND(F476&lt;&gt;"",ISNA(MATCH(F476,pl_num,0))),"Plan inconnu",IF(AND(F476&lt;&gt;"",IFERROR(INDEX(pl_eq,MATCH(F476,pl_num,0))&amp;"",C476)&lt;&gt;C476),"Plan d'un autre équipement",IF(AND(J476&lt;&gt;"",OR(NOT(ISNUMBER(J476)),N(J476)&lt;0)),"Compteur invalide",IF(OR(AND(K476&lt;&gt;"",OR(NOT(ISNUMBER(K476)),N(K476)&lt;0)),AND(L476&lt;&gt;"",OR(NOT(ISNUMBER(L476)),N(L476)&lt;0))),"Durée invalide",IF(OR(AND(N476&lt;&gt;"",OR(NOT(ISNUMBER(N476)),N(N476)&lt;0)),AND(P476&lt;&gt;"",OR(NOT(ISNUMBER(P476)),N(P476)&lt;0))),"Coût invalide",IF(AND(M476&lt;&gt;"",ISNA(MATCH(M476,tech_name,0))),"Technicien inconnu",IF(AND(I476="Terminée",S476&gt;p_today),"Terminée à une date future",IF(AND(I476="Terminée",V476=0),"Durée d'intervention manquante",IF(AND(I476="Terminée",E476="Préventif",T476=0,OR(IFERROR(INDEX(pl_trig,MATCH(F476,pl_num,0))&amp;"","")="Compteur",IFERROR(INDEX(pl_trig,MATCH(F476,pl_num,0))&amp;"","")="Au premier des deux")),"Compteur manquant (plan au compteur)","OK"))))))))))))))))))</f>
        <v/>
      </c>
      <c r="S476" s="67">
        <f>IF(AND(ISNUMBER(B476),N(B476)&gt;0),INT(B476),0)</f>
        <v>0.0</v>
      </c>
      <c r="T476" s="67">
        <f>IF(AND(ISNUMBER(J476),N(J476)&gt;=0),N(J476),0)</f>
        <v>0.0</v>
      </c>
      <c r="U476" s="67">
        <f>IF(AND(ISNUMBER(K476),N(K476)&gt;0),N(K476),0)</f>
        <v>0.0</v>
      </c>
      <c r="V476" s="67">
        <f>IF(AND(ISNUMBER(L476),N(L476)&gt;0),N(L476),0)</f>
        <v>0.0</v>
      </c>
      <c r="W476" s="67">
        <f>IF(AND(I476="Terminée",S476&gt;0,C476&lt;&gt;"",ISNUMBER(MATCH(C476,eq_code,0))),1,0)</f>
        <v>0.0</v>
      </c>
      <c r="X476" s="67">
        <f>IF(AND(W476=1,E476="Préventif"),1,0)</f>
        <v>0.0</v>
      </c>
      <c r="Y476" s="67">
        <f>IF(AND(ISNUMBER(N476),N(N476)&gt;0),N(N476),0)</f>
        <v>0.0</v>
      </c>
      <c r="Z476" s="67">
        <f>IF(AND(ISNUMBER(P476),N(P476)&gt;0),N(P476),0)</f>
        <v>0.0</v>
      </c>
    </row>
    <row r="477">
      <c r="A477" s="79" t="str">
        <f>IF(COUNTA(B477:C477,E477:G477,I477)=0,"","BI-"&amp;RIGHT("0000"&amp;(ROW()-5),4))</f>
        <v/>
      </c>
      <c r="B477" s="72" t="n"/>
      <c r="C477" s="66" t="n"/>
      <c r="D477" s="67" t="str">
        <f>IF(C477="","",IFERROR(INDEX(eq_des,MATCH(C477,eq_code,0))&amp;"","Équipement inconnu"))</f>
        <v/>
      </c>
      <c r="E477" s="68" t="n"/>
      <c r="F477" s="68" t="n"/>
      <c r="G477" s="66" t="n"/>
      <c r="H477" s="66" t="n"/>
      <c r="I477" s="68" t="n"/>
      <c r="J477" s="73" t="n"/>
      <c r="K477" s="71" t="n"/>
      <c r="L477" s="71" t="n"/>
      <c r="M477" s="66" t="n"/>
      <c r="N477" s="80" t="n"/>
      <c r="O477" s="81" t="str">
        <f>IF(A477="","",ROUND(V477*IFERROR(N(INDEX(tech_rate,MATCH(M477,tech_name,0))),0),2))</f>
        <v/>
      </c>
      <c r="P477" s="80" t="n"/>
      <c r="Q477" s="81" t="str">
        <f>IF(A477="","",ROUND(Y477+O477+Z477,2))</f>
        <v/>
      </c>
      <c r="R477" s="79" t="str">
        <f>IF(A477="","",IF(S477=0,"Date manquante ou invalide",IF(C477="","Équipement manquant",IF(ISNA(MATCH(C477,eq_code,0)),"Équipement inconnu",IF(E477="","Type manquant",IF(AND(E477&lt;&gt;"Préventif",E477&lt;&gt;"Correctif",E477&lt;&gt;"Amélioratif"),"Type inconnu",IF(I477="","Statut manquant",IF(AND(I477&lt;&gt;"Terminée",I477&lt;&gt;"En cours",I477&lt;&gt;"À faire",I477&lt;&gt;"Annulée"),"Statut inconnu",IF(AND(E477="Préventif",F477=""),"Plan manquant (préventif)",IF(AND(F477&lt;&gt;"",ISNA(MATCH(F477,pl_num,0))),"Plan inconnu",IF(AND(F477&lt;&gt;"",IFERROR(INDEX(pl_eq,MATCH(F477,pl_num,0))&amp;"",C477)&lt;&gt;C477),"Plan d'un autre équipement",IF(AND(J477&lt;&gt;"",OR(NOT(ISNUMBER(J477)),N(J477)&lt;0)),"Compteur invalide",IF(OR(AND(K477&lt;&gt;"",OR(NOT(ISNUMBER(K477)),N(K477)&lt;0)),AND(L477&lt;&gt;"",OR(NOT(ISNUMBER(L477)),N(L477)&lt;0))),"Durée invalide",IF(OR(AND(N477&lt;&gt;"",OR(NOT(ISNUMBER(N477)),N(N477)&lt;0)),AND(P477&lt;&gt;"",OR(NOT(ISNUMBER(P477)),N(P477)&lt;0))),"Coût invalide",IF(AND(M477&lt;&gt;"",ISNA(MATCH(M477,tech_name,0))),"Technicien inconnu",IF(AND(I477="Terminée",S477&gt;p_today),"Terminée à une date future",IF(AND(I477="Terminée",V477=0),"Durée d'intervention manquante",IF(AND(I477="Terminée",E477="Préventif",T477=0,OR(IFERROR(INDEX(pl_trig,MATCH(F477,pl_num,0))&amp;"","")="Compteur",IFERROR(INDEX(pl_trig,MATCH(F477,pl_num,0))&amp;"","")="Au premier des deux")),"Compteur manquant (plan au compteur)","OK"))))))))))))))))))</f>
        <v/>
      </c>
      <c r="S477" s="67">
        <f>IF(AND(ISNUMBER(B477),N(B477)&gt;0),INT(B477),0)</f>
        <v>0.0</v>
      </c>
      <c r="T477" s="67">
        <f>IF(AND(ISNUMBER(J477),N(J477)&gt;=0),N(J477),0)</f>
        <v>0.0</v>
      </c>
      <c r="U477" s="67">
        <f>IF(AND(ISNUMBER(K477),N(K477)&gt;0),N(K477),0)</f>
        <v>0.0</v>
      </c>
      <c r="V477" s="67">
        <f>IF(AND(ISNUMBER(L477),N(L477)&gt;0),N(L477),0)</f>
        <v>0.0</v>
      </c>
      <c r="W477" s="67">
        <f>IF(AND(I477="Terminée",S477&gt;0,C477&lt;&gt;"",ISNUMBER(MATCH(C477,eq_code,0))),1,0)</f>
        <v>0.0</v>
      </c>
      <c r="X477" s="67">
        <f>IF(AND(W477=1,E477="Préventif"),1,0)</f>
        <v>0.0</v>
      </c>
      <c r="Y477" s="67">
        <f>IF(AND(ISNUMBER(N477),N(N477)&gt;0),N(N477),0)</f>
        <v>0.0</v>
      </c>
      <c r="Z477" s="67">
        <f>IF(AND(ISNUMBER(P477),N(P477)&gt;0),N(P477),0)</f>
        <v>0.0</v>
      </c>
    </row>
    <row r="478">
      <c r="A478" s="79" t="str">
        <f>IF(COUNTA(B478:C478,E478:G478,I478)=0,"","BI-"&amp;RIGHT("0000"&amp;(ROW()-5),4))</f>
        <v/>
      </c>
      <c r="B478" s="72" t="n"/>
      <c r="C478" s="66" t="n"/>
      <c r="D478" s="67" t="str">
        <f>IF(C478="","",IFERROR(INDEX(eq_des,MATCH(C478,eq_code,0))&amp;"","Équipement inconnu"))</f>
        <v/>
      </c>
      <c r="E478" s="68" t="n"/>
      <c r="F478" s="68" t="n"/>
      <c r="G478" s="66" t="n"/>
      <c r="H478" s="66" t="n"/>
      <c r="I478" s="68" t="n"/>
      <c r="J478" s="73" t="n"/>
      <c r="K478" s="71" t="n"/>
      <c r="L478" s="71" t="n"/>
      <c r="M478" s="66" t="n"/>
      <c r="N478" s="80" t="n"/>
      <c r="O478" s="81" t="str">
        <f>IF(A478="","",ROUND(V478*IFERROR(N(INDEX(tech_rate,MATCH(M478,tech_name,0))),0),2))</f>
        <v/>
      </c>
      <c r="P478" s="80" t="n"/>
      <c r="Q478" s="81" t="str">
        <f>IF(A478="","",ROUND(Y478+O478+Z478,2))</f>
        <v/>
      </c>
      <c r="R478" s="79" t="str">
        <f>IF(A478="","",IF(S478=0,"Date manquante ou invalide",IF(C478="","Équipement manquant",IF(ISNA(MATCH(C478,eq_code,0)),"Équipement inconnu",IF(E478="","Type manquant",IF(AND(E478&lt;&gt;"Préventif",E478&lt;&gt;"Correctif",E478&lt;&gt;"Amélioratif"),"Type inconnu",IF(I478="","Statut manquant",IF(AND(I478&lt;&gt;"Terminée",I478&lt;&gt;"En cours",I478&lt;&gt;"À faire",I478&lt;&gt;"Annulée"),"Statut inconnu",IF(AND(E478="Préventif",F478=""),"Plan manquant (préventif)",IF(AND(F478&lt;&gt;"",ISNA(MATCH(F478,pl_num,0))),"Plan inconnu",IF(AND(F478&lt;&gt;"",IFERROR(INDEX(pl_eq,MATCH(F478,pl_num,0))&amp;"",C478)&lt;&gt;C478),"Plan d'un autre équipement",IF(AND(J478&lt;&gt;"",OR(NOT(ISNUMBER(J478)),N(J478)&lt;0)),"Compteur invalide",IF(OR(AND(K478&lt;&gt;"",OR(NOT(ISNUMBER(K478)),N(K478)&lt;0)),AND(L478&lt;&gt;"",OR(NOT(ISNUMBER(L478)),N(L478)&lt;0))),"Durée invalide",IF(OR(AND(N478&lt;&gt;"",OR(NOT(ISNUMBER(N478)),N(N478)&lt;0)),AND(P478&lt;&gt;"",OR(NOT(ISNUMBER(P478)),N(P478)&lt;0))),"Coût invalide",IF(AND(M478&lt;&gt;"",ISNA(MATCH(M478,tech_name,0))),"Technicien inconnu",IF(AND(I478="Terminée",S478&gt;p_today),"Terminée à une date future",IF(AND(I478="Terminée",V478=0),"Durée d'intervention manquante",IF(AND(I478="Terminée",E478="Préventif",T478=0,OR(IFERROR(INDEX(pl_trig,MATCH(F478,pl_num,0))&amp;"","")="Compteur",IFERROR(INDEX(pl_trig,MATCH(F478,pl_num,0))&amp;"","")="Au premier des deux")),"Compteur manquant (plan au compteur)","OK"))))))))))))))))))</f>
        <v/>
      </c>
      <c r="S478" s="67">
        <f>IF(AND(ISNUMBER(B478),N(B478)&gt;0),INT(B478),0)</f>
        <v>0.0</v>
      </c>
      <c r="T478" s="67">
        <f>IF(AND(ISNUMBER(J478),N(J478)&gt;=0),N(J478),0)</f>
        <v>0.0</v>
      </c>
      <c r="U478" s="67">
        <f>IF(AND(ISNUMBER(K478),N(K478)&gt;0),N(K478),0)</f>
        <v>0.0</v>
      </c>
      <c r="V478" s="67">
        <f>IF(AND(ISNUMBER(L478),N(L478)&gt;0),N(L478),0)</f>
        <v>0.0</v>
      </c>
      <c r="W478" s="67">
        <f>IF(AND(I478="Terminée",S478&gt;0,C478&lt;&gt;"",ISNUMBER(MATCH(C478,eq_code,0))),1,0)</f>
        <v>0.0</v>
      </c>
      <c r="X478" s="67">
        <f>IF(AND(W478=1,E478="Préventif"),1,0)</f>
        <v>0.0</v>
      </c>
      <c r="Y478" s="67">
        <f>IF(AND(ISNUMBER(N478),N(N478)&gt;0),N(N478),0)</f>
        <v>0.0</v>
      </c>
      <c r="Z478" s="67">
        <f>IF(AND(ISNUMBER(P478),N(P478)&gt;0),N(P478),0)</f>
        <v>0.0</v>
      </c>
    </row>
    <row r="479">
      <c r="A479" s="79" t="str">
        <f>IF(COUNTA(B479:C479,E479:G479,I479)=0,"","BI-"&amp;RIGHT("0000"&amp;(ROW()-5),4))</f>
        <v/>
      </c>
      <c r="B479" s="72" t="n"/>
      <c r="C479" s="66" t="n"/>
      <c r="D479" s="67" t="str">
        <f>IF(C479="","",IFERROR(INDEX(eq_des,MATCH(C479,eq_code,0))&amp;"","Équipement inconnu"))</f>
        <v/>
      </c>
      <c r="E479" s="68" t="n"/>
      <c r="F479" s="68" t="n"/>
      <c r="G479" s="66" t="n"/>
      <c r="H479" s="66" t="n"/>
      <c r="I479" s="68" t="n"/>
      <c r="J479" s="73" t="n"/>
      <c r="K479" s="71" t="n"/>
      <c r="L479" s="71" t="n"/>
      <c r="M479" s="66" t="n"/>
      <c r="N479" s="80" t="n"/>
      <c r="O479" s="81" t="str">
        <f>IF(A479="","",ROUND(V479*IFERROR(N(INDEX(tech_rate,MATCH(M479,tech_name,0))),0),2))</f>
        <v/>
      </c>
      <c r="P479" s="80" t="n"/>
      <c r="Q479" s="81" t="str">
        <f>IF(A479="","",ROUND(Y479+O479+Z479,2))</f>
        <v/>
      </c>
      <c r="R479" s="79" t="str">
        <f>IF(A479="","",IF(S479=0,"Date manquante ou invalide",IF(C479="","Équipement manquant",IF(ISNA(MATCH(C479,eq_code,0)),"Équipement inconnu",IF(E479="","Type manquant",IF(AND(E479&lt;&gt;"Préventif",E479&lt;&gt;"Correctif",E479&lt;&gt;"Amélioratif"),"Type inconnu",IF(I479="","Statut manquant",IF(AND(I479&lt;&gt;"Terminée",I479&lt;&gt;"En cours",I479&lt;&gt;"À faire",I479&lt;&gt;"Annulée"),"Statut inconnu",IF(AND(E479="Préventif",F479=""),"Plan manquant (préventif)",IF(AND(F479&lt;&gt;"",ISNA(MATCH(F479,pl_num,0))),"Plan inconnu",IF(AND(F479&lt;&gt;"",IFERROR(INDEX(pl_eq,MATCH(F479,pl_num,0))&amp;"",C479)&lt;&gt;C479),"Plan d'un autre équipement",IF(AND(J479&lt;&gt;"",OR(NOT(ISNUMBER(J479)),N(J479)&lt;0)),"Compteur invalide",IF(OR(AND(K479&lt;&gt;"",OR(NOT(ISNUMBER(K479)),N(K479)&lt;0)),AND(L479&lt;&gt;"",OR(NOT(ISNUMBER(L479)),N(L479)&lt;0))),"Durée invalide",IF(OR(AND(N479&lt;&gt;"",OR(NOT(ISNUMBER(N479)),N(N479)&lt;0)),AND(P479&lt;&gt;"",OR(NOT(ISNUMBER(P479)),N(P479)&lt;0))),"Coût invalide",IF(AND(M479&lt;&gt;"",ISNA(MATCH(M479,tech_name,0))),"Technicien inconnu",IF(AND(I479="Terminée",S479&gt;p_today),"Terminée à une date future",IF(AND(I479="Terminée",V479=0),"Durée d'intervention manquante",IF(AND(I479="Terminée",E479="Préventif",T479=0,OR(IFERROR(INDEX(pl_trig,MATCH(F479,pl_num,0))&amp;"","")="Compteur",IFERROR(INDEX(pl_trig,MATCH(F479,pl_num,0))&amp;"","")="Au premier des deux")),"Compteur manquant (plan au compteur)","OK"))))))))))))))))))</f>
        <v/>
      </c>
      <c r="S479" s="67">
        <f>IF(AND(ISNUMBER(B479),N(B479)&gt;0),INT(B479),0)</f>
        <v>0.0</v>
      </c>
      <c r="T479" s="67">
        <f>IF(AND(ISNUMBER(J479),N(J479)&gt;=0),N(J479),0)</f>
        <v>0.0</v>
      </c>
      <c r="U479" s="67">
        <f>IF(AND(ISNUMBER(K479),N(K479)&gt;0),N(K479),0)</f>
        <v>0.0</v>
      </c>
      <c r="V479" s="67">
        <f>IF(AND(ISNUMBER(L479),N(L479)&gt;0),N(L479),0)</f>
        <v>0.0</v>
      </c>
      <c r="W479" s="67">
        <f>IF(AND(I479="Terminée",S479&gt;0,C479&lt;&gt;"",ISNUMBER(MATCH(C479,eq_code,0))),1,0)</f>
        <v>0.0</v>
      </c>
      <c r="X479" s="67">
        <f>IF(AND(W479=1,E479="Préventif"),1,0)</f>
        <v>0.0</v>
      </c>
      <c r="Y479" s="67">
        <f>IF(AND(ISNUMBER(N479),N(N479)&gt;0),N(N479),0)</f>
        <v>0.0</v>
      </c>
      <c r="Z479" s="67">
        <f>IF(AND(ISNUMBER(P479),N(P479)&gt;0),N(P479),0)</f>
        <v>0.0</v>
      </c>
    </row>
    <row r="480">
      <c r="A480" s="79" t="str">
        <f>IF(COUNTA(B480:C480,E480:G480,I480)=0,"","BI-"&amp;RIGHT("0000"&amp;(ROW()-5),4))</f>
        <v/>
      </c>
      <c r="B480" s="72" t="n"/>
      <c r="C480" s="66" t="n"/>
      <c r="D480" s="67" t="str">
        <f>IF(C480="","",IFERROR(INDEX(eq_des,MATCH(C480,eq_code,0))&amp;"","Équipement inconnu"))</f>
        <v/>
      </c>
      <c r="E480" s="68" t="n"/>
      <c r="F480" s="68" t="n"/>
      <c r="G480" s="66" t="n"/>
      <c r="H480" s="66" t="n"/>
      <c r="I480" s="68" t="n"/>
      <c r="J480" s="73" t="n"/>
      <c r="K480" s="71" t="n"/>
      <c r="L480" s="71" t="n"/>
      <c r="M480" s="66" t="n"/>
      <c r="N480" s="80" t="n"/>
      <c r="O480" s="81" t="str">
        <f>IF(A480="","",ROUND(V480*IFERROR(N(INDEX(tech_rate,MATCH(M480,tech_name,0))),0),2))</f>
        <v/>
      </c>
      <c r="P480" s="80" t="n"/>
      <c r="Q480" s="81" t="str">
        <f>IF(A480="","",ROUND(Y480+O480+Z480,2))</f>
        <v/>
      </c>
      <c r="R480" s="79" t="str">
        <f>IF(A480="","",IF(S480=0,"Date manquante ou invalide",IF(C480="","Équipement manquant",IF(ISNA(MATCH(C480,eq_code,0)),"Équipement inconnu",IF(E480="","Type manquant",IF(AND(E480&lt;&gt;"Préventif",E480&lt;&gt;"Correctif",E480&lt;&gt;"Amélioratif"),"Type inconnu",IF(I480="","Statut manquant",IF(AND(I480&lt;&gt;"Terminée",I480&lt;&gt;"En cours",I480&lt;&gt;"À faire",I480&lt;&gt;"Annulée"),"Statut inconnu",IF(AND(E480="Préventif",F480=""),"Plan manquant (préventif)",IF(AND(F480&lt;&gt;"",ISNA(MATCH(F480,pl_num,0))),"Plan inconnu",IF(AND(F480&lt;&gt;"",IFERROR(INDEX(pl_eq,MATCH(F480,pl_num,0))&amp;"",C480)&lt;&gt;C480),"Plan d'un autre équipement",IF(AND(J480&lt;&gt;"",OR(NOT(ISNUMBER(J480)),N(J480)&lt;0)),"Compteur invalide",IF(OR(AND(K480&lt;&gt;"",OR(NOT(ISNUMBER(K480)),N(K480)&lt;0)),AND(L480&lt;&gt;"",OR(NOT(ISNUMBER(L480)),N(L480)&lt;0))),"Durée invalide",IF(OR(AND(N480&lt;&gt;"",OR(NOT(ISNUMBER(N480)),N(N480)&lt;0)),AND(P480&lt;&gt;"",OR(NOT(ISNUMBER(P480)),N(P480)&lt;0))),"Coût invalide",IF(AND(M480&lt;&gt;"",ISNA(MATCH(M480,tech_name,0))),"Technicien inconnu",IF(AND(I480="Terminée",S480&gt;p_today),"Terminée à une date future",IF(AND(I480="Terminée",V480=0),"Durée d'intervention manquante",IF(AND(I480="Terminée",E480="Préventif",T480=0,OR(IFERROR(INDEX(pl_trig,MATCH(F480,pl_num,0))&amp;"","")="Compteur",IFERROR(INDEX(pl_trig,MATCH(F480,pl_num,0))&amp;"","")="Au premier des deux")),"Compteur manquant (plan au compteur)","OK"))))))))))))))))))</f>
        <v/>
      </c>
      <c r="S480" s="67">
        <f>IF(AND(ISNUMBER(B480),N(B480)&gt;0),INT(B480),0)</f>
        <v>0.0</v>
      </c>
      <c r="T480" s="67">
        <f>IF(AND(ISNUMBER(J480),N(J480)&gt;=0),N(J480),0)</f>
        <v>0.0</v>
      </c>
      <c r="U480" s="67">
        <f>IF(AND(ISNUMBER(K480),N(K480)&gt;0),N(K480),0)</f>
        <v>0.0</v>
      </c>
      <c r="V480" s="67">
        <f>IF(AND(ISNUMBER(L480),N(L480)&gt;0),N(L480),0)</f>
        <v>0.0</v>
      </c>
      <c r="W480" s="67">
        <f>IF(AND(I480="Terminée",S480&gt;0,C480&lt;&gt;"",ISNUMBER(MATCH(C480,eq_code,0))),1,0)</f>
        <v>0.0</v>
      </c>
      <c r="X480" s="67">
        <f>IF(AND(W480=1,E480="Préventif"),1,0)</f>
        <v>0.0</v>
      </c>
      <c r="Y480" s="67">
        <f>IF(AND(ISNUMBER(N480),N(N480)&gt;0),N(N480),0)</f>
        <v>0.0</v>
      </c>
      <c r="Z480" s="67">
        <f>IF(AND(ISNUMBER(P480),N(P480)&gt;0),N(P480),0)</f>
        <v>0.0</v>
      </c>
    </row>
    <row r="481">
      <c r="A481" s="79" t="str">
        <f>IF(COUNTA(B481:C481,E481:G481,I481)=0,"","BI-"&amp;RIGHT("0000"&amp;(ROW()-5),4))</f>
        <v/>
      </c>
      <c r="B481" s="72" t="n"/>
      <c r="C481" s="66" t="n"/>
      <c r="D481" s="67" t="str">
        <f>IF(C481="","",IFERROR(INDEX(eq_des,MATCH(C481,eq_code,0))&amp;"","Équipement inconnu"))</f>
        <v/>
      </c>
      <c r="E481" s="68" t="n"/>
      <c r="F481" s="68" t="n"/>
      <c r="G481" s="66" t="n"/>
      <c r="H481" s="66" t="n"/>
      <c r="I481" s="68" t="n"/>
      <c r="J481" s="73" t="n"/>
      <c r="K481" s="71" t="n"/>
      <c r="L481" s="71" t="n"/>
      <c r="M481" s="66" t="n"/>
      <c r="N481" s="80" t="n"/>
      <c r="O481" s="81" t="str">
        <f>IF(A481="","",ROUND(V481*IFERROR(N(INDEX(tech_rate,MATCH(M481,tech_name,0))),0),2))</f>
        <v/>
      </c>
      <c r="P481" s="80" t="n"/>
      <c r="Q481" s="81" t="str">
        <f>IF(A481="","",ROUND(Y481+O481+Z481,2))</f>
        <v/>
      </c>
      <c r="R481" s="79" t="str">
        <f>IF(A481="","",IF(S481=0,"Date manquante ou invalide",IF(C481="","Équipement manquant",IF(ISNA(MATCH(C481,eq_code,0)),"Équipement inconnu",IF(E481="","Type manquant",IF(AND(E481&lt;&gt;"Préventif",E481&lt;&gt;"Correctif",E481&lt;&gt;"Amélioratif"),"Type inconnu",IF(I481="","Statut manquant",IF(AND(I481&lt;&gt;"Terminée",I481&lt;&gt;"En cours",I481&lt;&gt;"À faire",I481&lt;&gt;"Annulée"),"Statut inconnu",IF(AND(E481="Préventif",F481=""),"Plan manquant (préventif)",IF(AND(F481&lt;&gt;"",ISNA(MATCH(F481,pl_num,0))),"Plan inconnu",IF(AND(F481&lt;&gt;"",IFERROR(INDEX(pl_eq,MATCH(F481,pl_num,0))&amp;"",C481)&lt;&gt;C481),"Plan d'un autre équipement",IF(AND(J481&lt;&gt;"",OR(NOT(ISNUMBER(J481)),N(J481)&lt;0)),"Compteur invalide",IF(OR(AND(K481&lt;&gt;"",OR(NOT(ISNUMBER(K481)),N(K481)&lt;0)),AND(L481&lt;&gt;"",OR(NOT(ISNUMBER(L481)),N(L481)&lt;0))),"Durée invalide",IF(OR(AND(N481&lt;&gt;"",OR(NOT(ISNUMBER(N481)),N(N481)&lt;0)),AND(P481&lt;&gt;"",OR(NOT(ISNUMBER(P481)),N(P481)&lt;0))),"Coût invalide",IF(AND(M481&lt;&gt;"",ISNA(MATCH(M481,tech_name,0))),"Technicien inconnu",IF(AND(I481="Terminée",S481&gt;p_today),"Terminée à une date future",IF(AND(I481="Terminée",V481=0),"Durée d'intervention manquante",IF(AND(I481="Terminée",E481="Préventif",T481=0,OR(IFERROR(INDEX(pl_trig,MATCH(F481,pl_num,0))&amp;"","")="Compteur",IFERROR(INDEX(pl_trig,MATCH(F481,pl_num,0))&amp;"","")="Au premier des deux")),"Compteur manquant (plan au compteur)","OK"))))))))))))))))))</f>
        <v/>
      </c>
      <c r="S481" s="67">
        <f>IF(AND(ISNUMBER(B481),N(B481)&gt;0),INT(B481),0)</f>
        <v>0.0</v>
      </c>
      <c r="T481" s="67">
        <f>IF(AND(ISNUMBER(J481),N(J481)&gt;=0),N(J481),0)</f>
        <v>0.0</v>
      </c>
      <c r="U481" s="67">
        <f>IF(AND(ISNUMBER(K481),N(K481)&gt;0),N(K481),0)</f>
        <v>0.0</v>
      </c>
      <c r="V481" s="67">
        <f>IF(AND(ISNUMBER(L481),N(L481)&gt;0),N(L481),0)</f>
        <v>0.0</v>
      </c>
      <c r="W481" s="67">
        <f>IF(AND(I481="Terminée",S481&gt;0,C481&lt;&gt;"",ISNUMBER(MATCH(C481,eq_code,0))),1,0)</f>
        <v>0.0</v>
      </c>
      <c r="X481" s="67">
        <f>IF(AND(W481=1,E481="Préventif"),1,0)</f>
        <v>0.0</v>
      </c>
      <c r="Y481" s="67">
        <f>IF(AND(ISNUMBER(N481),N(N481)&gt;0),N(N481),0)</f>
        <v>0.0</v>
      </c>
      <c r="Z481" s="67">
        <f>IF(AND(ISNUMBER(P481),N(P481)&gt;0),N(P481),0)</f>
        <v>0.0</v>
      </c>
    </row>
    <row r="482">
      <c r="A482" s="79" t="str">
        <f>IF(COUNTA(B482:C482,E482:G482,I482)=0,"","BI-"&amp;RIGHT("0000"&amp;(ROW()-5),4))</f>
        <v/>
      </c>
      <c r="B482" s="72" t="n"/>
      <c r="C482" s="66" t="n"/>
      <c r="D482" s="67" t="str">
        <f>IF(C482="","",IFERROR(INDEX(eq_des,MATCH(C482,eq_code,0))&amp;"","Équipement inconnu"))</f>
        <v/>
      </c>
      <c r="E482" s="68" t="n"/>
      <c r="F482" s="68" t="n"/>
      <c r="G482" s="66" t="n"/>
      <c r="H482" s="66" t="n"/>
      <c r="I482" s="68" t="n"/>
      <c r="J482" s="73" t="n"/>
      <c r="K482" s="71" t="n"/>
      <c r="L482" s="71" t="n"/>
      <c r="M482" s="66" t="n"/>
      <c r="N482" s="80" t="n"/>
      <c r="O482" s="81" t="str">
        <f>IF(A482="","",ROUND(V482*IFERROR(N(INDEX(tech_rate,MATCH(M482,tech_name,0))),0),2))</f>
        <v/>
      </c>
      <c r="P482" s="80" t="n"/>
      <c r="Q482" s="81" t="str">
        <f>IF(A482="","",ROUND(Y482+O482+Z482,2))</f>
        <v/>
      </c>
      <c r="R482" s="79" t="str">
        <f>IF(A482="","",IF(S482=0,"Date manquante ou invalide",IF(C482="","Équipement manquant",IF(ISNA(MATCH(C482,eq_code,0)),"Équipement inconnu",IF(E482="","Type manquant",IF(AND(E482&lt;&gt;"Préventif",E482&lt;&gt;"Correctif",E482&lt;&gt;"Amélioratif"),"Type inconnu",IF(I482="","Statut manquant",IF(AND(I482&lt;&gt;"Terminée",I482&lt;&gt;"En cours",I482&lt;&gt;"À faire",I482&lt;&gt;"Annulée"),"Statut inconnu",IF(AND(E482="Préventif",F482=""),"Plan manquant (préventif)",IF(AND(F482&lt;&gt;"",ISNA(MATCH(F482,pl_num,0))),"Plan inconnu",IF(AND(F482&lt;&gt;"",IFERROR(INDEX(pl_eq,MATCH(F482,pl_num,0))&amp;"",C482)&lt;&gt;C482),"Plan d'un autre équipement",IF(AND(J482&lt;&gt;"",OR(NOT(ISNUMBER(J482)),N(J482)&lt;0)),"Compteur invalide",IF(OR(AND(K482&lt;&gt;"",OR(NOT(ISNUMBER(K482)),N(K482)&lt;0)),AND(L482&lt;&gt;"",OR(NOT(ISNUMBER(L482)),N(L482)&lt;0))),"Durée invalide",IF(OR(AND(N482&lt;&gt;"",OR(NOT(ISNUMBER(N482)),N(N482)&lt;0)),AND(P482&lt;&gt;"",OR(NOT(ISNUMBER(P482)),N(P482)&lt;0))),"Coût invalide",IF(AND(M482&lt;&gt;"",ISNA(MATCH(M482,tech_name,0))),"Technicien inconnu",IF(AND(I482="Terminée",S482&gt;p_today),"Terminée à une date future",IF(AND(I482="Terminée",V482=0),"Durée d'intervention manquante",IF(AND(I482="Terminée",E482="Préventif",T482=0,OR(IFERROR(INDEX(pl_trig,MATCH(F482,pl_num,0))&amp;"","")="Compteur",IFERROR(INDEX(pl_trig,MATCH(F482,pl_num,0))&amp;"","")="Au premier des deux")),"Compteur manquant (plan au compteur)","OK"))))))))))))))))))</f>
        <v/>
      </c>
      <c r="S482" s="67">
        <f>IF(AND(ISNUMBER(B482),N(B482)&gt;0),INT(B482),0)</f>
        <v>0.0</v>
      </c>
      <c r="T482" s="67">
        <f>IF(AND(ISNUMBER(J482),N(J482)&gt;=0),N(J482),0)</f>
        <v>0.0</v>
      </c>
      <c r="U482" s="67">
        <f>IF(AND(ISNUMBER(K482),N(K482)&gt;0),N(K482),0)</f>
        <v>0.0</v>
      </c>
      <c r="V482" s="67">
        <f>IF(AND(ISNUMBER(L482),N(L482)&gt;0),N(L482),0)</f>
        <v>0.0</v>
      </c>
      <c r="W482" s="67">
        <f>IF(AND(I482="Terminée",S482&gt;0,C482&lt;&gt;"",ISNUMBER(MATCH(C482,eq_code,0))),1,0)</f>
        <v>0.0</v>
      </c>
      <c r="X482" s="67">
        <f>IF(AND(W482=1,E482="Préventif"),1,0)</f>
        <v>0.0</v>
      </c>
      <c r="Y482" s="67">
        <f>IF(AND(ISNUMBER(N482),N(N482)&gt;0),N(N482),0)</f>
        <v>0.0</v>
      </c>
      <c r="Z482" s="67">
        <f>IF(AND(ISNUMBER(P482),N(P482)&gt;0),N(P482),0)</f>
        <v>0.0</v>
      </c>
    </row>
    <row r="483">
      <c r="A483" s="79" t="str">
        <f>IF(COUNTA(B483:C483,E483:G483,I483)=0,"","BI-"&amp;RIGHT("0000"&amp;(ROW()-5),4))</f>
        <v/>
      </c>
      <c r="B483" s="72" t="n"/>
      <c r="C483" s="66" t="n"/>
      <c r="D483" s="67" t="str">
        <f>IF(C483="","",IFERROR(INDEX(eq_des,MATCH(C483,eq_code,0))&amp;"","Équipement inconnu"))</f>
        <v/>
      </c>
      <c r="E483" s="68" t="n"/>
      <c r="F483" s="68" t="n"/>
      <c r="G483" s="66" t="n"/>
      <c r="H483" s="66" t="n"/>
      <c r="I483" s="68" t="n"/>
      <c r="J483" s="73" t="n"/>
      <c r="K483" s="71" t="n"/>
      <c r="L483" s="71" t="n"/>
      <c r="M483" s="66" t="n"/>
      <c r="N483" s="80" t="n"/>
      <c r="O483" s="81" t="str">
        <f>IF(A483="","",ROUND(V483*IFERROR(N(INDEX(tech_rate,MATCH(M483,tech_name,0))),0),2))</f>
        <v/>
      </c>
      <c r="P483" s="80" t="n"/>
      <c r="Q483" s="81" t="str">
        <f>IF(A483="","",ROUND(Y483+O483+Z483,2))</f>
        <v/>
      </c>
      <c r="R483" s="79" t="str">
        <f>IF(A483="","",IF(S483=0,"Date manquante ou invalide",IF(C483="","Équipement manquant",IF(ISNA(MATCH(C483,eq_code,0)),"Équipement inconnu",IF(E483="","Type manquant",IF(AND(E483&lt;&gt;"Préventif",E483&lt;&gt;"Correctif",E483&lt;&gt;"Amélioratif"),"Type inconnu",IF(I483="","Statut manquant",IF(AND(I483&lt;&gt;"Terminée",I483&lt;&gt;"En cours",I483&lt;&gt;"À faire",I483&lt;&gt;"Annulée"),"Statut inconnu",IF(AND(E483="Préventif",F483=""),"Plan manquant (préventif)",IF(AND(F483&lt;&gt;"",ISNA(MATCH(F483,pl_num,0))),"Plan inconnu",IF(AND(F483&lt;&gt;"",IFERROR(INDEX(pl_eq,MATCH(F483,pl_num,0))&amp;"",C483)&lt;&gt;C483),"Plan d'un autre équipement",IF(AND(J483&lt;&gt;"",OR(NOT(ISNUMBER(J483)),N(J483)&lt;0)),"Compteur invalide",IF(OR(AND(K483&lt;&gt;"",OR(NOT(ISNUMBER(K483)),N(K483)&lt;0)),AND(L483&lt;&gt;"",OR(NOT(ISNUMBER(L483)),N(L483)&lt;0))),"Durée invalide",IF(OR(AND(N483&lt;&gt;"",OR(NOT(ISNUMBER(N483)),N(N483)&lt;0)),AND(P483&lt;&gt;"",OR(NOT(ISNUMBER(P483)),N(P483)&lt;0))),"Coût invalide",IF(AND(M483&lt;&gt;"",ISNA(MATCH(M483,tech_name,0))),"Technicien inconnu",IF(AND(I483="Terminée",S483&gt;p_today),"Terminée à une date future",IF(AND(I483="Terminée",V483=0),"Durée d'intervention manquante",IF(AND(I483="Terminée",E483="Préventif",T483=0,OR(IFERROR(INDEX(pl_trig,MATCH(F483,pl_num,0))&amp;"","")="Compteur",IFERROR(INDEX(pl_trig,MATCH(F483,pl_num,0))&amp;"","")="Au premier des deux")),"Compteur manquant (plan au compteur)","OK"))))))))))))))))))</f>
        <v/>
      </c>
      <c r="S483" s="67">
        <f>IF(AND(ISNUMBER(B483),N(B483)&gt;0),INT(B483),0)</f>
        <v>0.0</v>
      </c>
      <c r="T483" s="67">
        <f>IF(AND(ISNUMBER(J483),N(J483)&gt;=0),N(J483),0)</f>
        <v>0.0</v>
      </c>
      <c r="U483" s="67">
        <f>IF(AND(ISNUMBER(K483),N(K483)&gt;0),N(K483),0)</f>
        <v>0.0</v>
      </c>
      <c r="V483" s="67">
        <f>IF(AND(ISNUMBER(L483),N(L483)&gt;0),N(L483),0)</f>
        <v>0.0</v>
      </c>
      <c r="W483" s="67">
        <f>IF(AND(I483="Terminée",S483&gt;0,C483&lt;&gt;"",ISNUMBER(MATCH(C483,eq_code,0))),1,0)</f>
        <v>0.0</v>
      </c>
      <c r="X483" s="67">
        <f>IF(AND(W483=1,E483="Préventif"),1,0)</f>
        <v>0.0</v>
      </c>
      <c r="Y483" s="67">
        <f>IF(AND(ISNUMBER(N483),N(N483)&gt;0),N(N483),0)</f>
        <v>0.0</v>
      </c>
      <c r="Z483" s="67">
        <f>IF(AND(ISNUMBER(P483),N(P483)&gt;0),N(P483),0)</f>
        <v>0.0</v>
      </c>
    </row>
    <row r="484">
      <c r="A484" s="79" t="str">
        <f>IF(COUNTA(B484:C484,E484:G484,I484)=0,"","BI-"&amp;RIGHT("0000"&amp;(ROW()-5),4))</f>
        <v/>
      </c>
      <c r="B484" s="72" t="n"/>
      <c r="C484" s="66" t="n"/>
      <c r="D484" s="67" t="str">
        <f>IF(C484="","",IFERROR(INDEX(eq_des,MATCH(C484,eq_code,0))&amp;"","Équipement inconnu"))</f>
        <v/>
      </c>
      <c r="E484" s="68" t="n"/>
      <c r="F484" s="68" t="n"/>
      <c r="G484" s="66" t="n"/>
      <c r="H484" s="66" t="n"/>
      <c r="I484" s="68" t="n"/>
      <c r="J484" s="73" t="n"/>
      <c r="K484" s="71" t="n"/>
      <c r="L484" s="71" t="n"/>
      <c r="M484" s="66" t="n"/>
      <c r="N484" s="80" t="n"/>
      <c r="O484" s="81" t="str">
        <f>IF(A484="","",ROUND(V484*IFERROR(N(INDEX(tech_rate,MATCH(M484,tech_name,0))),0),2))</f>
        <v/>
      </c>
      <c r="P484" s="80" t="n"/>
      <c r="Q484" s="81" t="str">
        <f>IF(A484="","",ROUND(Y484+O484+Z484,2))</f>
        <v/>
      </c>
      <c r="R484" s="79" t="str">
        <f>IF(A484="","",IF(S484=0,"Date manquante ou invalide",IF(C484="","Équipement manquant",IF(ISNA(MATCH(C484,eq_code,0)),"Équipement inconnu",IF(E484="","Type manquant",IF(AND(E484&lt;&gt;"Préventif",E484&lt;&gt;"Correctif",E484&lt;&gt;"Amélioratif"),"Type inconnu",IF(I484="","Statut manquant",IF(AND(I484&lt;&gt;"Terminée",I484&lt;&gt;"En cours",I484&lt;&gt;"À faire",I484&lt;&gt;"Annulée"),"Statut inconnu",IF(AND(E484="Préventif",F484=""),"Plan manquant (préventif)",IF(AND(F484&lt;&gt;"",ISNA(MATCH(F484,pl_num,0))),"Plan inconnu",IF(AND(F484&lt;&gt;"",IFERROR(INDEX(pl_eq,MATCH(F484,pl_num,0))&amp;"",C484)&lt;&gt;C484),"Plan d'un autre équipement",IF(AND(J484&lt;&gt;"",OR(NOT(ISNUMBER(J484)),N(J484)&lt;0)),"Compteur invalide",IF(OR(AND(K484&lt;&gt;"",OR(NOT(ISNUMBER(K484)),N(K484)&lt;0)),AND(L484&lt;&gt;"",OR(NOT(ISNUMBER(L484)),N(L484)&lt;0))),"Durée invalide",IF(OR(AND(N484&lt;&gt;"",OR(NOT(ISNUMBER(N484)),N(N484)&lt;0)),AND(P484&lt;&gt;"",OR(NOT(ISNUMBER(P484)),N(P484)&lt;0))),"Coût invalide",IF(AND(M484&lt;&gt;"",ISNA(MATCH(M484,tech_name,0))),"Technicien inconnu",IF(AND(I484="Terminée",S484&gt;p_today),"Terminée à une date future",IF(AND(I484="Terminée",V484=0),"Durée d'intervention manquante",IF(AND(I484="Terminée",E484="Préventif",T484=0,OR(IFERROR(INDEX(pl_trig,MATCH(F484,pl_num,0))&amp;"","")="Compteur",IFERROR(INDEX(pl_trig,MATCH(F484,pl_num,0))&amp;"","")="Au premier des deux")),"Compteur manquant (plan au compteur)","OK"))))))))))))))))))</f>
        <v/>
      </c>
      <c r="S484" s="67">
        <f>IF(AND(ISNUMBER(B484),N(B484)&gt;0),INT(B484),0)</f>
        <v>0.0</v>
      </c>
      <c r="T484" s="67">
        <f>IF(AND(ISNUMBER(J484),N(J484)&gt;=0),N(J484),0)</f>
        <v>0.0</v>
      </c>
      <c r="U484" s="67">
        <f>IF(AND(ISNUMBER(K484),N(K484)&gt;0),N(K484),0)</f>
        <v>0.0</v>
      </c>
      <c r="V484" s="67">
        <f>IF(AND(ISNUMBER(L484),N(L484)&gt;0),N(L484),0)</f>
        <v>0.0</v>
      </c>
      <c r="W484" s="67">
        <f>IF(AND(I484="Terminée",S484&gt;0,C484&lt;&gt;"",ISNUMBER(MATCH(C484,eq_code,0))),1,0)</f>
        <v>0.0</v>
      </c>
      <c r="X484" s="67">
        <f>IF(AND(W484=1,E484="Préventif"),1,0)</f>
        <v>0.0</v>
      </c>
      <c r="Y484" s="67">
        <f>IF(AND(ISNUMBER(N484),N(N484)&gt;0),N(N484),0)</f>
        <v>0.0</v>
      </c>
      <c r="Z484" s="67">
        <f>IF(AND(ISNUMBER(P484),N(P484)&gt;0),N(P484),0)</f>
        <v>0.0</v>
      </c>
    </row>
    <row r="485">
      <c r="A485" s="79" t="str">
        <f>IF(COUNTA(B485:C485,E485:G485,I485)=0,"","BI-"&amp;RIGHT("0000"&amp;(ROW()-5),4))</f>
        <v/>
      </c>
      <c r="B485" s="72" t="n"/>
      <c r="C485" s="66" t="n"/>
      <c r="D485" s="67" t="str">
        <f>IF(C485="","",IFERROR(INDEX(eq_des,MATCH(C485,eq_code,0))&amp;"","Équipement inconnu"))</f>
        <v/>
      </c>
      <c r="E485" s="68" t="n"/>
      <c r="F485" s="68" t="n"/>
      <c r="G485" s="66" t="n"/>
      <c r="H485" s="66" t="n"/>
      <c r="I485" s="68" t="n"/>
      <c r="J485" s="73" t="n"/>
      <c r="K485" s="71" t="n"/>
      <c r="L485" s="71" t="n"/>
      <c r="M485" s="66" t="n"/>
      <c r="N485" s="80" t="n"/>
      <c r="O485" s="81" t="str">
        <f>IF(A485="","",ROUND(V485*IFERROR(N(INDEX(tech_rate,MATCH(M485,tech_name,0))),0),2))</f>
        <v/>
      </c>
      <c r="P485" s="80" t="n"/>
      <c r="Q485" s="81" t="str">
        <f>IF(A485="","",ROUND(Y485+O485+Z485,2))</f>
        <v/>
      </c>
      <c r="R485" s="79" t="str">
        <f>IF(A485="","",IF(S485=0,"Date manquante ou invalide",IF(C485="","Équipement manquant",IF(ISNA(MATCH(C485,eq_code,0)),"Équipement inconnu",IF(E485="","Type manquant",IF(AND(E485&lt;&gt;"Préventif",E485&lt;&gt;"Correctif",E485&lt;&gt;"Amélioratif"),"Type inconnu",IF(I485="","Statut manquant",IF(AND(I485&lt;&gt;"Terminée",I485&lt;&gt;"En cours",I485&lt;&gt;"À faire",I485&lt;&gt;"Annulée"),"Statut inconnu",IF(AND(E485="Préventif",F485=""),"Plan manquant (préventif)",IF(AND(F485&lt;&gt;"",ISNA(MATCH(F485,pl_num,0))),"Plan inconnu",IF(AND(F485&lt;&gt;"",IFERROR(INDEX(pl_eq,MATCH(F485,pl_num,0))&amp;"",C485)&lt;&gt;C485),"Plan d'un autre équipement",IF(AND(J485&lt;&gt;"",OR(NOT(ISNUMBER(J485)),N(J485)&lt;0)),"Compteur invalide",IF(OR(AND(K485&lt;&gt;"",OR(NOT(ISNUMBER(K485)),N(K485)&lt;0)),AND(L485&lt;&gt;"",OR(NOT(ISNUMBER(L485)),N(L485)&lt;0))),"Durée invalide",IF(OR(AND(N485&lt;&gt;"",OR(NOT(ISNUMBER(N485)),N(N485)&lt;0)),AND(P485&lt;&gt;"",OR(NOT(ISNUMBER(P485)),N(P485)&lt;0))),"Coût invalide",IF(AND(M485&lt;&gt;"",ISNA(MATCH(M485,tech_name,0))),"Technicien inconnu",IF(AND(I485="Terminée",S485&gt;p_today),"Terminée à une date future",IF(AND(I485="Terminée",V485=0),"Durée d'intervention manquante",IF(AND(I485="Terminée",E485="Préventif",T485=0,OR(IFERROR(INDEX(pl_trig,MATCH(F485,pl_num,0))&amp;"","")="Compteur",IFERROR(INDEX(pl_trig,MATCH(F485,pl_num,0))&amp;"","")="Au premier des deux")),"Compteur manquant (plan au compteur)","OK"))))))))))))))))))</f>
        <v/>
      </c>
      <c r="S485" s="67">
        <f>IF(AND(ISNUMBER(B485),N(B485)&gt;0),INT(B485),0)</f>
        <v>0.0</v>
      </c>
      <c r="T485" s="67">
        <f>IF(AND(ISNUMBER(J485),N(J485)&gt;=0),N(J485),0)</f>
        <v>0.0</v>
      </c>
      <c r="U485" s="67">
        <f>IF(AND(ISNUMBER(K485),N(K485)&gt;0),N(K485),0)</f>
        <v>0.0</v>
      </c>
      <c r="V485" s="67">
        <f>IF(AND(ISNUMBER(L485),N(L485)&gt;0),N(L485),0)</f>
        <v>0.0</v>
      </c>
      <c r="W485" s="67">
        <f>IF(AND(I485="Terminée",S485&gt;0,C485&lt;&gt;"",ISNUMBER(MATCH(C485,eq_code,0))),1,0)</f>
        <v>0.0</v>
      </c>
      <c r="X485" s="67">
        <f>IF(AND(W485=1,E485="Préventif"),1,0)</f>
        <v>0.0</v>
      </c>
      <c r="Y485" s="67">
        <f>IF(AND(ISNUMBER(N485),N(N485)&gt;0),N(N485),0)</f>
        <v>0.0</v>
      </c>
      <c r="Z485" s="67">
        <f>IF(AND(ISNUMBER(P485),N(P485)&gt;0),N(P485),0)</f>
        <v>0.0</v>
      </c>
    </row>
    <row r="486">
      <c r="A486" s="79" t="str">
        <f>IF(COUNTA(B486:C486,E486:G486,I486)=0,"","BI-"&amp;RIGHT("0000"&amp;(ROW()-5),4))</f>
        <v/>
      </c>
      <c r="B486" s="72" t="n"/>
      <c r="C486" s="66" t="n"/>
      <c r="D486" s="67" t="str">
        <f>IF(C486="","",IFERROR(INDEX(eq_des,MATCH(C486,eq_code,0))&amp;"","Équipement inconnu"))</f>
        <v/>
      </c>
      <c r="E486" s="68" t="n"/>
      <c r="F486" s="68" t="n"/>
      <c r="G486" s="66" t="n"/>
      <c r="H486" s="66" t="n"/>
      <c r="I486" s="68" t="n"/>
      <c r="J486" s="73" t="n"/>
      <c r="K486" s="71" t="n"/>
      <c r="L486" s="71" t="n"/>
      <c r="M486" s="66" t="n"/>
      <c r="N486" s="80" t="n"/>
      <c r="O486" s="81" t="str">
        <f>IF(A486="","",ROUND(V486*IFERROR(N(INDEX(tech_rate,MATCH(M486,tech_name,0))),0),2))</f>
        <v/>
      </c>
      <c r="P486" s="80" t="n"/>
      <c r="Q486" s="81" t="str">
        <f>IF(A486="","",ROUND(Y486+O486+Z486,2))</f>
        <v/>
      </c>
      <c r="R486" s="79" t="str">
        <f>IF(A486="","",IF(S486=0,"Date manquante ou invalide",IF(C486="","Équipement manquant",IF(ISNA(MATCH(C486,eq_code,0)),"Équipement inconnu",IF(E486="","Type manquant",IF(AND(E486&lt;&gt;"Préventif",E486&lt;&gt;"Correctif",E486&lt;&gt;"Amélioratif"),"Type inconnu",IF(I486="","Statut manquant",IF(AND(I486&lt;&gt;"Terminée",I486&lt;&gt;"En cours",I486&lt;&gt;"À faire",I486&lt;&gt;"Annulée"),"Statut inconnu",IF(AND(E486="Préventif",F486=""),"Plan manquant (préventif)",IF(AND(F486&lt;&gt;"",ISNA(MATCH(F486,pl_num,0))),"Plan inconnu",IF(AND(F486&lt;&gt;"",IFERROR(INDEX(pl_eq,MATCH(F486,pl_num,0))&amp;"",C486)&lt;&gt;C486),"Plan d'un autre équipement",IF(AND(J486&lt;&gt;"",OR(NOT(ISNUMBER(J486)),N(J486)&lt;0)),"Compteur invalide",IF(OR(AND(K486&lt;&gt;"",OR(NOT(ISNUMBER(K486)),N(K486)&lt;0)),AND(L486&lt;&gt;"",OR(NOT(ISNUMBER(L486)),N(L486)&lt;0))),"Durée invalide",IF(OR(AND(N486&lt;&gt;"",OR(NOT(ISNUMBER(N486)),N(N486)&lt;0)),AND(P486&lt;&gt;"",OR(NOT(ISNUMBER(P486)),N(P486)&lt;0))),"Coût invalide",IF(AND(M486&lt;&gt;"",ISNA(MATCH(M486,tech_name,0))),"Technicien inconnu",IF(AND(I486="Terminée",S486&gt;p_today),"Terminée à une date future",IF(AND(I486="Terminée",V486=0),"Durée d'intervention manquante",IF(AND(I486="Terminée",E486="Préventif",T486=0,OR(IFERROR(INDEX(pl_trig,MATCH(F486,pl_num,0))&amp;"","")="Compteur",IFERROR(INDEX(pl_trig,MATCH(F486,pl_num,0))&amp;"","")="Au premier des deux")),"Compteur manquant (plan au compteur)","OK"))))))))))))))))))</f>
        <v/>
      </c>
      <c r="S486" s="67">
        <f>IF(AND(ISNUMBER(B486),N(B486)&gt;0),INT(B486),0)</f>
        <v>0.0</v>
      </c>
      <c r="T486" s="67">
        <f>IF(AND(ISNUMBER(J486),N(J486)&gt;=0),N(J486),0)</f>
        <v>0.0</v>
      </c>
      <c r="U486" s="67">
        <f>IF(AND(ISNUMBER(K486),N(K486)&gt;0),N(K486),0)</f>
        <v>0.0</v>
      </c>
      <c r="V486" s="67">
        <f>IF(AND(ISNUMBER(L486),N(L486)&gt;0),N(L486),0)</f>
        <v>0.0</v>
      </c>
      <c r="W486" s="67">
        <f>IF(AND(I486="Terminée",S486&gt;0,C486&lt;&gt;"",ISNUMBER(MATCH(C486,eq_code,0))),1,0)</f>
        <v>0.0</v>
      </c>
      <c r="X486" s="67">
        <f>IF(AND(W486=1,E486="Préventif"),1,0)</f>
        <v>0.0</v>
      </c>
      <c r="Y486" s="67">
        <f>IF(AND(ISNUMBER(N486),N(N486)&gt;0),N(N486),0)</f>
        <v>0.0</v>
      </c>
      <c r="Z486" s="67">
        <f>IF(AND(ISNUMBER(P486),N(P486)&gt;0),N(P486),0)</f>
        <v>0.0</v>
      </c>
    </row>
    <row r="487">
      <c r="A487" s="79" t="str">
        <f>IF(COUNTA(B487:C487,E487:G487,I487)=0,"","BI-"&amp;RIGHT("0000"&amp;(ROW()-5),4))</f>
        <v/>
      </c>
      <c r="B487" s="72" t="n"/>
      <c r="C487" s="66" t="n"/>
      <c r="D487" s="67" t="str">
        <f>IF(C487="","",IFERROR(INDEX(eq_des,MATCH(C487,eq_code,0))&amp;"","Équipement inconnu"))</f>
        <v/>
      </c>
      <c r="E487" s="68" t="n"/>
      <c r="F487" s="68" t="n"/>
      <c r="G487" s="66" t="n"/>
      <c r="H487" s="66" t="n"/>
      <c r="I487" s="68" t="n"/>
      <c r="J487" s="73" t="n"/>
      <c r="K487" s="71" t="n"/>
      <c r="L487" s="71" t="n"/>
      <c r="M487" s="66" t="n"/>
      <c r="N487" s="80" t="n"/>
      <c r="O487" s="81" t="str">
        <f>IF(A487="","",ROUND(V487*IFERROR(N(INDEX(tech_rate,MATCH(M487,tech_name,0))),0),2))</f>
        <v/>
      </c>
      <c r="P487" s="80" t="n"/>
      <c r="Q487" s="81" t="str">
        <f>IF(A487="","",ROUND(Y487+O487+Z487,2))</f>
        <v/>
      </c>
      <c r="R487" s="79" t="str">
        <f>IF(A487="","",IF(S487=0,"Date manquante ou invalide",IF(C487="","Équipement manquant",IF(ISNA(MATCH(C487,eq_code,0)),"Équipement inconnu",IF(E487="","Type manquant",IF(AND(E487&lt;&gt;"Préventif",E487&lt;&gt;"Correctif",E487&lt;&gt;"Amélioratif"),"Type inconnu",IF(I487="","Statut manquant",IF(AND(I487&lt;&gt;"Terminée",I487&lt;&gt;"En cours",I487&lt;&gt;"À faire",I487&lt;&gt;"Annulée"),"Statut inconnu",IF(AND(E487="Préventif",F487=""),"Plan manquant (préventif)",IF(AND(F487&lt;&gt;"",ISNA(MATCH(F487,pl_num,0))),"Plan inconnu",IF(AND(F487&lt;&gt;"",IFERROR(INDEX(pl_eq,MATCH(F487,pl_num,0))&amp;"",C487)&lt;&gt;C487),"Plan d'un autre équipement",IF(AND(J487&lt;&gt;"",OR(NOT(ISNUMBER(J487)),N(J487)&lt;0)),"Compteur invalide",IF(OR(AND(K487&lt;&gt;"",OR(NOT(ISNUMBER(K487)),N(K487)&lt;0)),AND(L487&lt;&gt;"",OR(NOT(ISNUMBER(L487)),N(L487)&lt;0))),"Durée invalide",IF(OR(AND(N487&lt;&gt;"",OR(NOT(ISNUMBER(N487)),N(N487)&lt;0)),AND(P487&lt;&gt;"",OR(NOT(ISNUMBER(P487)),N(P487)&lt;0))),"Coût invalide",IF(AND(M487&lt;&gt;"",ISNA(MATCH(M487,tech_name,0))),"Technicien inconnu",IF(AND(I487="Terminée",S487&gt;p_today),"Terminée à une date future",IF(AND(I487="Terminée",V487=0),"Durée d'intervention manquante",IF(AND(I487="Terminée",E487="Préventif",T487=0,OR(IFERROR(INDEX(pl_trig,MATCH(F487,pl_num,0))&amp;"","")="Compteur",IFERROR(INDEX(pl_trig,MATCH(F487,pl_num,0))&amp;"","")="Au premier des deux")),"Compteur manquant (plan au compteur)","OK"))))))))))))))))))</f>
        <v/>
      </c>
      <c r="S487" s="67">
        <f>IF(AND(ISNUMBER(B487),N(B487)&gt;0),INT(B487),0)</f>
        <v>0.0</v>
      </c>
      <c r="T487" s="67">
        <f>IF(AND(ISNUMBER(J487),N(J487)&gt;=0),N(J487),0)</f>
        <v>0.0</v>
      </c>
      <c r="U487" s="67">
        <f>IF(AND(ISNUMBER(K487),N(K487)&gt;0),N(K487),0)</f>
        <v>0.0</v>
      </c>
      <c r="V487" s="67">
        <f>IF(AND(ISNUMBER(L487),N(L487)&gt;0),N(L487),0)</f>
        <v>0.0</v>
      </c>
      <c r="W487" s="67">
        <f>IF(AND(I487="Terminée",S487&gt;0,C487&lt;&gt;"",ISNUMBER(MATCH(C487,eq_code,0))),1,0)</f>
        <v>0.0</v>
      </c>
      <c r="X487" s="67">
        <f>IF(AND(W487=1,E487="Préventif"),1,0)</f>
        <v>0.0</v>
      </c>
      <c r="Y487" s="67">
        <f>IF(AND(ISNUMBER(N487),N(N487)&gt;0),N(N487),0)</f>
        <v>0.0</v>
      </c>
      <c r="Z487" s="67">
        <f>IF(AND(ISNUMBER(P487),N(P487)&gt;0),N(P487),0)</f>
        <v>0.0</v>
      </c>
    </row>
    <row r="488">
      <c r="A488" s="79" t="str">
        <f>IF(COUNTA(B488:C488,E488:G488,I488)=0,"","BI-"&amp;RIGHT("0000"&amp;(ROW()-5),4))</f>
        <v/>
      </c>
      <c r="B488" s="72" t="n"/>
      <c r="C488" s="66" t="n"/>
      <c r="D488" s="67" t="str">
        <f>IF(C488="","",IFERROR(INDEX(eq_des,MATCH(C488,eq_code,0))&amp;"","Équipement inconnu"))</f>
        <v/>
      </c>
      <c r="E488" s="68" t="n"/>
      <c r="F488" s="68" t="n"/>
      <c r="G488" s="66" t="n"/>
      <c r="H488" s="66" t="n"/>
      <c r="I488" s="68" t="n"/>
      <c r="J488" s="73" t="n"/>
      <c r="K488" s="71" t="n"/>
      <c r="L488" s="71" t="n"/>
      <c r="M488" s="66" t="n"/>
      <c r="N488" s="80" t="n"/>
      <c r="O488" s="81" t="str">
        <f>IF(A488="","",ROUND(V488*IFERROR(N(INDEX(tech_rate,MATCH(M488,tech_name,0))),0),2))</f>
        <v/>
      </c>
      <c r="P488" s="80" t="n"/>
      <c r="Q488" s="81" t="str">
        <f>IF(A488="","",ROUND(Y488+O488+Z488,2))</f>
        <v/>
      </c>
      <c r="R488" s="79" t="str">
        <f>IF(A488="","",IF(S488=0,"Date manquante ou invalide",IF(C488="","Équipement manquant",IF(ISNA(MATCH(C488,eq_code,0)),"Équipement inconnu",IF(E488="","Type manquant",IF(AND(E488&lt;&gt;"Préventif",E488&lt;&gt;"Correctif",E488&lt;&gt;"Amélioratif"),"Type inconnu",IF(I488="","Statut manquant",IF(AND(I488&lt;&gt;"Terminée",I488&lt;&gt;"En cours",I488&lt;&gt;"À faire",I488&lt;&gt;"Annulée"),"Statut inconnu",IF(AND(E488="Préventif",F488=""),"Plan manquant (préventif)",IF(AND(F488&lt;&gt;"",ISNA(MATCH(F488,pl_num,0))),"Plan inconnu",IF(AND(F488&lt;&gt;"",IFERROR(INDEX(pl_eq,MATCH(F488,pl_num,0))&amp;"",C488)&lt;&gt;C488),"Plan d'un autre équipement",IF(AND(J488&lt;&gt;"",OR(NOT(ISNUMBER(J488)),N(J488)&lt;0)),"Compteur invalide",IF(OR(AND(K488&lt;&gt;"",OR(NOT(ISNUMBER(K488)),N(K488)&lt;0)),AND(L488&lt;&gt;"",OR(NOT(ISNUMBER(L488)),N(L488)&lt;0))),"Durée invalide",IF(OR(AND(N488&lt;&gt;"",OR(NOT(ISNUMBER(N488)),N(N488)&lt;0)),AND(P488&lt;&gt;"",OR(NOT(ISNUMBER(P488)),N(P488)&lt;0))),"Coût invalide",IF(AND(M488&lt;&gt;"",ISNA(MATCH(M488,tech_name,0))),"Technicien inconnu",IF(AND(I488="Terminée",S488&gt;p_today),"Terminée à une date future",IF(AND(I488="Terminée",V488=0),"Durée d'intervention manquante",IF(AND(I488="Terminée",E488="Préventif",T488=0,OR(IFERROR(INDEX(pl_trig,MATCH(F488,pl_num,0))&amp;"","")="Compteur",IFERROR(INDEX(pl_trig,MATCH(F488,pl_num,0))&amp;"","")="Au premier des deux")),"Compteur manquant (plan au compteur)","OK"))))))))))))))))))</f>
        <v/>
      </c>
      <c r="S488" s="67">
        <f>IF(AND(ISNUMBER(B488),N(B488)&gt;0),INT(B488),0)</f>
        <v>0.0</v>
      </c>
      <c r="T488" s="67">
        <f>IF(AND(ISNUMBER(J488),N(J488)&gt;=0),N(J488),0)</f>
        <v>0.0</v>
      </c>
      <c r="U488" s="67">
        <f>IF(AND(ISNUMBER(K488),N(K488)&gt;0),N(K488),0)</f>
        <v>0.0</v>
      </c>
      <c r="V488" s="67">
        <f>IF(AND(ISNUMBER(L488),N(L488)&gt;0),N(L488),0)</f>
        <v>0.0</v>
      </c>
      <c r="W488" s="67">
        <f>IF(AND(I488="Terminée",S488&gt;0,C488&lt;&gt;"",ISNUMBER(MATCH(C488,eq_code,0))),1,0)</f>
        <v>0.0</v>
      </c>
      <c r="X488" s="67">
        <f>IF(AND(W488=1,E488="Préventif"),1,0)</f>
        <v>0.0</v>
      </c>
      <c r="Y488" s="67">
        <f>IF(AND(ISNUMBER(N488),N(N488)&gt;0),N(N488),0)</f>
        <v>0.0</v>
      </c>
      <c r="Z488" s="67">
        <f>IF(AND(ISNUMBER(P488),N(P488)&gt;0),N(P488),0)</f>
        <v>0.0</v>
      </c>
    </row>
    <row r="489">
      <c r="A489" s="79" t="str">
        <f>IF(COUNTA(B489:C489,E489:G489,I489)=0,"","BI-"&amp;RIGHT("0000"&amp;(ROW()-5),4))</f>
        <v/>
      </c>
      <c r="B489" s="72" t="n"/>
      <c r="C489" s="66" t="n"/>
      <c r="D489" s="67" t="str">
        <f>IF(C489="","",IFERROR(INDEX(eq_des,MATCH(C489,eq_code,0))&amp;"","Équipement inconnu"))</f>
        <v/>
      </c>
      <c r="E489" s="68" t="n"/>
      <c r="F489" s="68" t="n"/>
      <c r="G489" s="66" t="n"/>
      <c r="H489" s="66" t="n"/>
      <c r="I489" s="68" t="n"/>
      <c r="J489" s="73" t="n"/>
      <c r="K489" s="71" t="n"/>
      <c r="L489" s="71" t="n"/>
      <c r="M489" s="66" t="n"/>
      <c r="N489" s="80" t="n"/>
      <c r="O489" s="81" t="str">
        <f>IF(A489="","",ROUND(V489*IFERROR(N(INDEX(tech_rate,MATCH(M489,tech_name,0))),0),2))</f>
        <v/>
      </c>
      <c r="P489" s="80" t="n"/>
      <c r="Q489" s="81" t="str">
        <f>IF(A489="","",ROUND(Y489+O489+Z489,2))</f>
        <v/>
      </c>
      <c r="R489" s="79" t="str">
        <f>IF(A489="","",IF(S489=0,"Date manquante ou invalide",IF(C489="","Équipement manquant",IF(ISNA(MATCH(C489,eq_code,0)),"Équipement inconnu",IF(E489="","Type manquant",IF(AND(E489&lt;&gt;"Préventif",E489&lt;&gt;"Correctif",E489&lt;&gt;"Amélioratif"),"Type inconnu",IF(I489="","Statut manquant",IF(AND(I489&lt;&gt;"Terminée",I489&lt;&gt;"En cours",I489&lt;&gt;"À faire",I489&lt;&gt;"Annulée"),"Statut inconnu",IF(AND(E489="Préventif",F489=""),"Plan manquant (préventif)",IF(AND(F489&lt;&gt;"",ISNA(MATCH(F489,pl_num,0))),"Plan inconnu",IF(AND(F489&lt;&gt;"",IFERROR(INDEX(pl_eq,MATCH(F489,pl_num,0))&amp;"",C489)&lt;&gt;C489),"Plan d'un autre équipement",IF(AND(J489&lt;&gt;"",OR(NOT(ISNUMBER(J489)),N(J489)&lt;0)),"Compteur invalide",IF(OR(AND(K489&lt;&gt;"",OR(NOT(ISNUMBER(K489)),N(K489)&lt;0)),AND(L489&lt;&gt;"",OR(NOT(ISNUMBER(L489)),N(L489)&lt;0))),"Durée invalide",IF(OR(AND(N489&lt;&gt;"",OR(NOT(ISNUMBER(N489)),N(N489)&lt;0)),AND(P489&lt;&gt;"",OR(NOT(ISNUMBER(P489)),N(P489)&lt;0))),"Coût invalide",IF(AND(M489&lt;&gt;"",ISNA(MATCH(M489,tech_name,0))),"Technicien inconnu",IF(AND(I489="Terminée",S489&gt;p_today),"Terminée à une date future",IF(AND(I489="Terminée",V489=0),"Durée d'intervention manquante",IF(AND(I489="Terminée",E489="Préventif",T489=0,OR(IFERROR(INDEX(pl_trig,MATCH(F489,pl_num,0))&amp;"","")="Compteur",IFERROR(INDEX(pl_trig,MATCH(F489,pl_num,0))&amp;"","")="Au premier des deux")),"Compteur manquant (plan au compteur)","OK"))))))))))))))))))</f>
        <v/>
      </c>
      <c r="S489" s="67">
        <f>IF(AND(ISNUMBER(B489),N(B489)&gt;0),INT(B489),0)</f>
        <v>0.0</v>
      </c>
      <c r="T489" s="67">
        <f>IF(AND(ISNUMBER(J489),N(J489)&gt;=0),N(J489),0)</f>
        <v>0.0</v>
      </c>
      <c r="U489" s="67">
        <f>IF(AND(ISNUMBER(K489),N(K489)&gt;0),N(K489),0)</f>
        <v>0.0</v>
      </c>
      <c r="V489" s="67">
        <f>IF(AND(ISNUMBER(L489),N(L489)&gt;0),N(L489),0)</f>
        <v>0.0</v>
      </c>
      <c r="W489" s="67">
        <f>IF(AND(I489="Terminée",S489&gt;0,C489&lt;&gt;"",ISNUMBER(MATCH(C489,eq_code,0))),1,0)</f>
        <v>0.0</v>
      </c>
      <c r="X489" s="67">
        <f>IF(AND(W489=1,E489="Préventif"),1,0)</f>
        <v>0.0</v>
      </c>
      <c r="Y489" s="67">
        <f>IF(AND(ISNUMBER(N489),N(N489)&gt;0),N(N489),0)</f>
        <v>0.0</v>
      </c>
      <c r="Z489" s="67">
        <f>IF(AND(ISNUMBER(P489),N(P489)&gt;0),N(P489),0)</f>
        <v>0.0</v>
      </c>
    </row>
    <row r="490">
      <c r="A490" s="79" t="str">
        <f>IF(COUNTA(B490:C490,E490:G490,I490)=0,"","BI-"&amp;RIGHT("0000"&amp;(ROW()-5),4))</f>
        <v/>
      </c>
      <c r="B490" s="72" t="n"/>
      <c r="C490" s="66" t="n"/>
      <c r="D490" s="67" t="str">
        <f>IF(C490="","",IFERROR(INDEX(eq_des,MATCH(C490,eq_code,0))&amp;"","Équipement inconnu"))</f>
        <v/>
      </c>
      <c r="E490" s="68" t="n"/>
      <c r="F490" s="68" t="n"/>
      <c r="G490" s="66" t="n"/>
      <c r="H490" s="66" t="n"/>
      <c r="I490" s="68" t="n"/>
      <c r="J490" s="73" t="n"/>
      <c r="K490" s="71" t="n"/>
      <c r="L490" s="71" t="n"/>
      <c r="M490" s="66" t="n"/>
      <c r="N490" s="80" t="n"/>
      <c r="O490" s="81" t="str">
        <f>IF(A490="","",ROUND(V490*IFERROR(N(INDEX(tech_rate,MATCH(M490,tech_name,0))),0),2))</f>
        <v/>
      </c>
      <c r="P490" s="80" t="n"/>
      <c r="Q490" s="81" t="str">
        <f>IF(A490="","",ROUND(Y490+O490+Z490,2))</f>
        <v/>
      </c>
      <c r="R490" s="79" t="str">
        <f>IF(A490="","",IF(S490=0,"Date manquante ou invalide",IF(C490="","Équipement manquant",IF(ISNA(MATCH(C490,eq_code,0)),"Équipement inconnu",IF(E490="","Type manquant",IF(AND(E490&lt;&gt;"Préventif",E490&lt;&gt;"Correctif",E490&lt;&gt;"Amélioratif"),"Type inconnu",IF(I490="","Statut manquant",IF(AND(I490&lt;&gt;"Terminée",I490&lt;&gt;"En cours",I490&lt;&gt;"À faire",I490&lt;&gt;"Annulée"),"Statut inconnu",IF(AND(E490="Préventif",F490=""),"Plan manquant (préventif)",IF(AND(F490&lt;&gt;"",ISNA(MATCH(F490,pl_num,0))),"Plan inconnu",IF(AND(F490&lt;&gt;"",IFERROR(INDEX(pl_eq,MATCH(F490,pl_num,0))&amp;"",C490)&lt;&gt;C490),"Plan d'un autre équipement",IF(AND(J490&lt;&gt;"",OR(NOT(ISNUMBER(J490)),N(J490)&lt;0)),"Compteur invalide",IF(OR(AND(K490&lt;&gt;"",OR(NOT(ISNUMBER(K490)),N(K490)&lt;0)),AND(L490&lt;&gt;"",OR(NOT(ISNUMBER(L490)),N(L490)&lt;0))),"Durée invalide",IF(OR(AND(N490&lt;&gt;"",OR(NOT(ISNUMBER(N490)),N(N490)&lt;0)),AND(P490&lt;&gt;"",OR(NOT(ISNUMBER(P490)),N(P490)&lt;0))),"Coût invalide",IF(AND(M490&lt;&gt;"",ISNA(MATCH(M490,tech_name,0))),"Technicien inconnu",IF(AND(I490="Terminée",S490&gt;p_today),"Terminée à une date future",IF(AND(I490="Terminée",V490=0),"Durée d'intervention manquante",IF(AND(I490="Terminée",E490="Préventif",T490=0,OR(IFERROR(INDEX(pl_trig,MATCH(F490,pl_num,0))&amp;"","")="Compteur",IFERROR(INDEX(pl_trig,MATCH(F490,pl_num,0))&amp;"","")="Au premier des deux")),"Compteur manquant (plan au compteur)","OK"))))))))))))))))))</f>
        <v/>
      </c>
      <c r="S490" s="67">
        <f>IF(AND(ISNUMBER(B490),N(B490)&gt;0),INT(B490),0)</f>
        <v>0.0</v>
      </c>
      <c r="T490" s="67">
        <f>IF(AND(ISNUMBER(J490),N(J490)&gt;=0),N(J490),0)</f>
        <v>0.0</v>
      </c>
      <c r="U490" s="67">
        <f>IF(AND(ISNUMBER(K490),N(K490)&gt;0),N(K490),0)</f>
        <v>0.0</v>
      </c>
      <c r="V490" s="67">
        <f>IF(AND(ISNUMBER(L490),N(L490)&gt;0),N(L490),0)</f>
        <v>0.0</v>
      </c>
      <c r="W490" s="67">
        <f>IF(AND(I490="Terminée",S490&gt;0,C490&lt;&gt;"",ISNUMBER(MATCH(C490,eq_code,0))),1,0)</f>
        <v>0.0</v>
      </c>
      <c r="X490" s="67">
        <f>IF(AND(W490=1,E490="Préventif"),1,0)</f>
        <v>0.0</v>
      </c>
      <c r="Y490" s="67">
        <f>IF(AND(ISNUMBER(N490),N(N490)&gt;0),N(N490),0)</f>
        <v>0.0</v>
      </c>
      <c r="Z490" s="67">
        <f>IF(AND(ISNUMBER(P490),N(P490)&gt;0),N(P490),0)</f>
        <v>0.0</v>
      </c>
    </row>
    <row r="491">
      <c r="A491" s="79" t="str">
        <f>IF(COUNTA(B491:C491,E491:G491,I491)=0,"","BI-"&amp;RIGHT("0000"&amp;(ROW()-5),4))</f>
        <v/>
      </c>
      <c r="B491" s="72" t="n"/>
      <c r="C491" s="66" t="n"/>
      <c r="D491" s="67" t="str">
        <f>IF(C491="","",IFERROR(INDEX(eq_des,MATCH(C491,eq_code,0))&amp;"","Équipement inconnu"))</f>
        <v/>
      </c>
      <c r="E491" s="68" t="n"/>
      <c r="F491" s="68" t="n"/>
      <c r="G491" s="66" t="n"/>
      <c r="H491" s="66" t="n"/>
      <c r="I491" s="68" t="n"/>
      <c r="J491" s="73" t="n"/>
      <c r="K491" s="71" t="n"/>
      <c r="L491" s="71" t="n"/>
      <c r="M491" s="66" t="n"/>
      <c r="N491" s="80" t="n"/>
      <c r="O491" s="81" t="str">
        <f>IF(A491="","",ROUND(V491*IFERROR(N(INDEX(tech_rate,MATCH(M491,tech_name,0))),0),2))</f>
        <v/>
      </c>
      <c r="P491" s="80" t="n"/>
      <c r="Q491" s="81" t="str">
        <f>IF(A491="","",ROUND(Y491+O491+Z491,2))</f>
        <v/>
      </c>
      <c r="R491" s="79" t="str">
        <f>IF(A491="","",IF(S491=0,"Date manquante ou invalide",IF(C491="","Équipement manquant",IF(ISNA(MATCH(C491,eq_code,0)),"Équipement inconnu",IF(E491="","Type manquant",IF(AND(E491&lt;&gt;"Préventif",E491&lt;&gt;"Correctif",E491&lt;&gt;"Amélioratif"),"Type inconnu",IF(I491="","Statut manquant",IF(AND(I491&lt;&gt;"Terminée",I491&lt;&gt;"En cours",I491&lt;&gt;"À faire",I491&lt;&gt;"Annulée"),"Statut inconnu",IF(AND(E491="Préventif",F491=""),"Plan manquant (préventif)",IF(AND(F491&lt;&gt;"",ISNA(MATCH(F491,pl_num,0))),"Plan inconnu",IF(AND(F491&lt;&gt;"",IFERROR(INDEX(pl_eq,MATCH(F491,pl_num,0))&amp;"",C491)&lt;&gt;C491),"Plan d'un autre équipement",IF(AND(J491&lt;&gt;"",OR(NOT(ISNUMBER(J491)),N(J491)&lt;0)),"Compteur invalide",IF(OR(AND(K491&lt;&gt;"",OR(NOT(ISNUMBER(K491)),N(K491)&lt;0)),AND(L491&lt;&gt;"",OR(NOT(ISNUMBER(L491)),N(L491)&lt;0))),"Durée invalide",IF(OR(AND(N491&lt;&gt;"",OR(NOT(ISNUMBER(N491)),N(N491)&lt;0)),AND(P491&lt;&gt;"",OR(NOT(ISNUMBER(P491)),N(P491)&lt;0))),"Coût invalide",IF(AND(M491&lt;&gt;"",ISNA(MATCH(M491,tech_name,0))),"Technicien inconnu",IF(AND(I491="Terminée",S491&gt;p_today),"Terminée à une date future",IF(AND(I491="Terminée",V491=0),"Durée d'intervention manquante",IF(AND(I491="Terminée",E491="Préventif",T491=0,OR(IFERROR(INDEX(pl_trig,MATCH(F491,pl_num,0))&amp;"","")="Compteur",IFERROR(INDEX(pl_trig,MATCH(F491,pl_num,0))&amp;"","")="Au premier des deux")),"Compteur manquant (plan au compteur)","OK"))))))))))))))))))</f>
        <v/>
      </c>
      <c r="S491" s="67">
        <f>IF(AND(ISNUMBER(B491),N(B491)&gt;0),INT(B491),0)</f>
        <v>0.0</v>
      </c>
      <c r="T491" s="67">
        <f>IF(AND(ISNUMBER(J491),N(J491)&gt;=0),N(J491),0)</f>
        <v>0.0</v>
      </c>
      <c r="U491" s="67">
        <f>IF(AND(ISNUMBER(K491),N(K491)&gt;0),N(K491),0)</f>
        <v>0.0</v>
      </c>
      <c r="V491" s="67">
        <f>IF(AND(ISNUMBER(L491),N(L491)&gt;0),N(L491),0)</f>
        <v>0.0</v>
      </c>
      <c r="W491" s="67">
        <f>IF(AND(I491="Terminée",S491&gt;0,C491&lt;&gt;"",ISNUMBER(MATCH(C491,eq_code,0))),1,0)</f>
        <v>0.0</v>
      </c>
      <c r="X491" s="67">
        <f>IF(AND(W491=1,E491="Préventif"),1,0)</f>
        <v>0.0</v>
      </c>
      <c r="Y491" s="67">
        <f>IF(AND(ISNUMBER(N491),N(N491)&gt;0),N(N491),0)</f>
        <v>0.0</v>
      </c>
      <c r="Z491" s="67">
        <f>IF(AND(ISNUMBER(P491),N(P491)&gt;0),N(P491),0)</f>
        <v>0.0</v>
      </c>
    </row>
    <row r="492">
      <c r="A492" s="79" t="str">
        <f>IF(COUNTA(B492:C492,E492:G492,I492)=0,"","BI-"&amp;RIGHT("0000"&amp;(ROW()-5),4))</f>
        <v/>
      </c>
      <c r="B492" s="72" t="n"/>
      <c r="C492" s="66" t="n"/>
      <c r="D492" s="67" t="str">
        <f>IF(C492="","",IFERROR(INDEX(eq_des,MATCH(C492,eq_code,0))&amp;"","Équipement inconnu"))</f>
        <v/>
      </c>
      <c r="E492" s="68" t="n"/>
      <c r="F492" s="68" t="n"/>
      <c r="G492" s="66" t="n"/>
      <c r="H492" s="66" t="n"/>
      <c r="I492" s="68" t="n"/>
      <c r="J492" s="73" t="n"/>
      <c r="K492" s="71" t="n"/>
      <c r="L492" s="71" t="n"/>
      <c r="M492" s="66" t="n"/>
      <c r="N492" s="80" t="n"/>
      <c r="O492" s="81" t="str">
        <f>IF(A492="","",ROUND(V492*IFERROR(N(INDEX(tech_rate,MATCH(M492,tech_name,0))),0),2))</f>
        <v/>
      </c>
      <c r="P492" s="80" t="n"/>
      <c r="Q492" s="81" t="str">
        <f>IF(A492="","",ROUND(Y492+O492+Z492,2))</f>
        <v/>
      </c>
      <c r="R492" s="79" t="str">
        <f>IF(A492="","",IF(S492=0,"Date manquante ou invalide",IF(C492="","Équipement manquant",IF(ISNA(MATCH(C492,eq_code,0)),"Équipement inconnu",IF(E492="","Type manquant",IF(AND(E492&lt;&gt;"Préventif",E492&lt;&gt;"Correctif",E492&lt;&gt;"Amélioratif"),"Type inconnu",IF(I492="","Statut manquant",IF(AND(I492&lt;&gt;"Terminée",I492&lt;&gt;"En cours",I492&lt;&gt;"À faire",I492&lt;&gt;"Annulée"),"Statut inconnu",IF(AND(E492="Préventif",F492=""),"Plan manquant (préventif)",IF(AND(F492&lt;&gt;"",ISNA(MATCH(F492,pl_num,0))),"Plan inconnu",IF(AND(F492&lt;&gt;"",IFERROR(INDEX(pl_eq,MATCH(F492,pl_num,0))&amp;"",C492)&lt;&gt;C492),"Plan d'un autre équipement",IF(AND(J492&lt;&gt;"",OR(NOT(ISNUMBER(J492)),N(J492)&lt;0)),"Compteur invalide",IF(OR(AND(K492&lt;&gt;"",OR(NOT(ISNUMBER(K492)),N(K492)&lt;0)),AND(L492&lt;&gt;"",OR(NOT(ISNUMBER(L492)),N(L492)&lt;0))),"Durée invalide",IF(OR(AND(N492&lt;&gt;"",OR(NOT(ISNUMBER(N492)),N(N492)&lt;0)),AND(P492&lt;&gt;"",OR(NOT(ISNUMBER(P492)),N(P492)&lt;0))),"Coût invalide",IF(AND(M492&lt;&gt;"",ISNA(MATCH(M492,tech_name,0))),"Technicien inconnu",IF(AND(I492="Terminée",S492&gt;p_today),"Terminée à une date future",IF(AND(I492="Terminée",V492=0),"Durée d'intervention manquante",IF(AND(I492="Terminée",E492="Préventif",T492=0,OR(IFERROR(INDEX(pl_trig,MATCH(F492,pl_num,0))&amp;"","")="Compteur",IFERROR(INDEX(pl_trig,MATCH(F492,pl_num,0))&amp;"","")="Au premier des deux")),"Compteur manquant (plan au compteur)","OK"))))))))))))))))))</f>
        <v/>
      </c>
      <c r="S492" s="67">
        <f>IF(AND(ISNUMBER(B492),N(B492)&gt;0),INT(B492),0)</f>
        <v>0.0</v>
      </c>
      <c r="T492" s="67">
        <f>IF(AND(ISNUMBER(J492),N(J492)&gt;=0),N(J492),0)</f>
        <v>0.0</v>
      </c>
      <c r="U492" s="67">
        <f>IF(AND(ISNUMBER(K492),N(K492)&gt;0),N(K492),0)</f>
        <v>0.0</v>
      </c>
      <c r="V492" s="67">
        <f>IF(AND(ISNUMBER(L492),N(L492)&gt;0),N(L492),0)</f>
        <v>0.0</v>
      </c>
      <c r="W492" s="67">
        <f>IF(AND(I492="Terminée",S492&gt;0,C492&lt;&gt;"",ISNUMBER(MATCH(C492,eq_code,0))),1,0)</f>
        <v>0.0</v>
      </c>
      <c r="X492" s="67">
        <f>IF(AND(W492=1,E492="Préventif"),1,0)</f>
        <v>0.0</v>
      </c>
      <c r="Y492" s="67">
        <f>IF(AND(ISNUMBER(N492),N(N492)&gt;0),N(N492),0)</f>
        <v>0.0</v>
      </c>
      <c r="Z492" s="67">
        <f>IF(AND(ISNUMBER(P492),N(P492)&gt;0),N(P492),0)</f>
        <v>0.0</v>
      </c>
    </row>
    <row r="493">
      <c r="A493" s="79" t="str">
        <f>IF(COUNTA(B493:C493,E493:G493,I493)=0,"","BI-"&amp;RIGHT("0000"&amp;(ROW()-5),4))</f>
        <v/>
      </c>
      <c r="B493" s="72" t="n"/>
      <c r="C493" s="66" t="n"/>
      <c r="D493" s="67" t="str">
        <f>IF(C493="","",IFERROR(INDEX(eq_des,MATCH(C493,eq_code,0))&amp;"","Équipement inconnu"))</f>
        <v/>
      </c>
      <c r="E493" s="68" t="n"/>
      <c r="F493" s="68" t="n"/>
      <c r="G493" s="66" t="n"/>
      <c r="H493" s="66" t="n"/>
      <c r="I493" s="68" t="n"/>
      <c r="J493" s="73" t="n"/>
      <c r="K493" s="71" t="n"/>
      <c r="L493" s="71" t="n"/>
      <c r="M493" s="66" t="n"/>
      <c r="N493" s="80" t="n"/>
      <c r="O493" s="81" t="str">
        <f>IF(A493="","",ROUND(V493*IFERROR(N(INDEX(tech_rate,MATCH(M493,tech_name,0))),0),2))</f>
        <v/>
      </c>
      <c r="P493" s="80" t="n"/>
      <c r="Q493" s="81" t="str">
        <f>IF(A493="","",ROUND(Y493+O493+Z493,2))</f>
        <v/>
      </c>
      <c r="R493" s="79" t="str">
        <f>IF(A493="","",IF(S493=0,"Date manquante ou invalide",IF(C493="","Équipement manquant",IF(ISNA(MATCH(C493,eq_code,0)),"Équipement inconnu",IF(E493="","Type manquant",IF(AND(E493&lt;&gt;"Préventif",E493&lt;&gt;"Correctif",E493&lt;&gt;"Amélioratif"),"Type inconnu",IF(I493="","Statut manquant",IF(AND(I493&lt;&gt;"Terminée",I493&lt;&gt;"En cours",I493&lt;&gt;"À faire",I493&lt;&gt;"Annulée"),"Statut inconnu",IF(AND(E493="Préventif",F493=""),"Plan manquant (préventif)",IF(AND(F493&lt;&gt;"",ISNA(MATCH(F493,pl_num,0))),"Plan inconnu",IF(AND(F493&lt;&gt;"",IFERROR(INDEX(pl_eq,MATCH(F493,pl_num,0))&amp;"",C493)&lt;&gt;C493),"Plan d'un autre équipement",IF(AND(J493&lt;&gt;"",OR(NOT(ISNUMBER(J493)),N(J493)&lt;0)),"Compteur invalide",IF(OR(AND(K493&lt;&gt;"",OR(NOT(ISNUMBER(K493)),N(K493)&lt;0)),AND(L493&lt;&gt;"",OR(NOT(ISNUMBER(L493)),N(L493)&lt;0))),"Durée invalide",IF(OR(AND(N493&lt;&gt;"",OR(NOT(ISNUMBER(N493)),N(N493)&lt;0)),AND(P493&lt;&gt;"",OR(NOT(ISNUMBER(P493)),N(P493)&lt;0))),"Coût invalide",IF(AND(M493&lt;&gt;"",ISNA(MATCH(M493,tech_name,0))),"Technicien inconnu",IF(AND(I493="Terminée",S493&gt;p_today),"Terminée à une date future",IF(AND(I493="Terminée",V493=0),"Durée d'intervention manquante",IF(AND(I493="Terminée",E493="Préventif",T493=0,OR(IFERROR(INDEX(pl_trig,MATCH(F493,pl_num,0))&amp;"","")="Compteur",IFERROR(INDEX(pl_trig,MATCH(F493,pl_num,0))&amp;"","")="Au premier des deux")),"Compteur manquant (plan au compteur)","OK"))))))))))))))))))</f>
        <v/>
      </c>
      <c r="S493" s="67">
        <f>IF(AND(ISNUMBER(B493),N(B493)&gt;0),INT(B493),0)</f>
        <v>0.0</v>
      </c>
      <c r="T493" s="67">
        <f>IF(AND(ISNUMBER(J493),N(J493)&gt;=0),N(J493),0)</f>
        <v>0.0</v>
      </c>
      <c r="U493" s="67">
        <f>IF(AND(ISNUMBER(K493),N(K493)&gt;0),N(K493),0)</f>
        <v>0.0</v>
      </c>
      <c r="V493" s="67">
        <f>IF(AND(ISNUMBER(L493),N(L493)&gt;0),N(L493),0)</f>
        <v>0.0</v>
      </c>
      <c r="W493" s="67">
        <f>IF(AND(I493="Terminée",S493&gt;0,C493&lt;&gt;"",ISNUMBER(MATCH(C493,eq_code,0))),1,0)</f>
        <v>0.0</v>
      </c>
      <c r="X493" s="67">
        <f>IF(AND(W493=1,E493="Préventif"),1,0)</f>
        <v>0.0</v>
      </c>
      <c r="Y493" s="67">
        <f>IF(AND(ISNUMBER(N493),N(N493)&gt;0),N(N493),0)</f>
        <v>0.0</v>
      </c>
      <c r="Z493" s="67">
        <f>IF(AND(ISNUMBER(P493),N(P493)&gt;0),N(P493),0)</f>
        <v>0.0</v>
      </c>
    </row>
    <row r="494">
      <c r="A494" s="79" t="str">
        <f>IF(COUNTA(B494:C494,E494:G494,I494)=0,"","BI-"&amp;RIGHT("0000"&amp;(ROW()-5),4))</f>
        <v/>
      </c>
      <c r="B494" s="72" t="n"/>
      <c r="C494" s="66" t="n"/>
      <c r="D494" s="67" t="str">
        <f>IF(C494="","",IFERROR(INDEX(eq_des,MATCH(C494,eq_code,0))&amp;"","Équipement inconnu"))</f>
        <v/>
      </c>
      <c r="E494" s="68" t="n"/>
      <c r="F494" s="68" t="n"/>
      <c r="G494" s="66" t="n"/>
      <c r="H494" s="66" t="n"/>
      <c r="I494" s="68" t="n"/>
      <c r="J494" s="73" t="n"/>
      <c r="K494" s="71" t="n"/>
      <c r="L494" s="71" t="n"/>
      <c r="M494" s="66" t="n"/>
      <c r="N494" s="80" t="n"/>
      <c r="O494" s="81" t="str">
        <f>IF(A494="","",ROUND(V494*IFERROR(N(INDEX(tech_rate,MATCH(M494,tech_name,0))),0),2))</f>
        <v/>
      </c>
      <c r="P494" s="80" t="n"/>
      <c r="Q494" s="81" t="str">
        <f>IF(A494="","",ROUND(Y494+O494+Z494,2))</f>
        <v/>
      </c>
      <c r="R494" s="79" t="str">
        <f>IF(A494="","",IF(S494=0,"Date manquante ou invalide",IF(C494="","Équipement manquant",IF(ISNA(MATCH(C494,eq_code,0)),"Équipement inconnu",IF(E494="","Type manquant",IF(AND(E494&lt;&gt;"Préventif",E494&lt;&gt;"Correctif",E494&lt;&gt;"Amélioratif"),"Type inconnu",IF(I494="","Statut manquant",IF(AND(I494&lt;&gt;"Terminée",I494&lt;&gt;"En cours",I494&lt;&gt;"À faire",I494&lt;&gt;"Annulée"),"Statut inconnu",IF(AND(E494="Préventif",F494=""),"Plan manquant (préventif)",IF(AND(F494&lt;&gt;"",ISNA(MATCH(F494,pl_num,0))),"Plan inconnu",IF(AND(F494&lt;&gt;"",IFERROR(INDEX(pl_eq,MATCH(F494,pl_num,0))&amp;"",C494)&lt;&gt;C494),"Plan d'un autre équipement",IF(AND(J494&lt;&gt;"",OR(NOT(ISNUMBER(J494)),N(J494)&lt;0)),"Compteur invalide",IF(OR(AND(K494&lt;&gt;"",OR(NOT(ISNUMBER(K494)),N(K494)&lt;0)),AND(L494&lt;&gt;"",OR(NOT(ISNUMBER(L494)),N(L494)&lt;0))),"Durée invalide",IF(OR(AND(N494&lt;&gt;"",OR(NOT(ISNUMBER(N494)),N(N494)&lt;0)),AND(P494&lt;&gt;"",OR(NOT(ISNUMBER(P494)),N(P494)&lt;0))),"Coût invalide",IF(AND(M494&lt;&gt;"",ISNA(MATCH(M494,tech_name,0))),"Technicien inconnu",IF(AND(I494="Terminée",S494&gt;p_today),"Terminée à une date future",IF(AND(I494="Terminée",V494=0),"Durée d'intervention manquante",IF(AND(I494="Terminée",E494="Préventif",T494=0,OR(IFERROR(INDEX(pl_trig,MATCH(F494,pl_num,0))&amp;"","")="Compteur",IFERROR(INDEX(pl_trig,MATCH(F494,pl_num,0))&amp;"","")="Au premier des deux")),"Compteur manquant (plan au compteur)","OK"))))))))))))))))))</f>
        <v/>
      </c>
      <c r="S494" s="67">
        <f>IF(AND(ISNUMBER(B494),N(B494)&gt;0),INT(B494),0)</f>
        <v>0.0</v>
      </c>
      <c r="T494" s="67">
        <f>IF(AND(ISNUMBER(J494),N(J494)&gt;=0),N(J494),0)</f>
        <v>0.0</v>
      </c>
      <c r="U494" s="67">
        <f>IF(AND(ISNUMBER(K494),N(K494)&gt;0),N(K494),0)</f>
        <v>0.0</v>
      </c>
      <c r="V494" s="67">
        <f>IF(AND(ISNUMBER(L494),N(L494)&gt;0),N(L494),0)</f>
        <v>0.0</v>
      </c>
      <c r="W494" s="67">
        <f>IF(AND(I494="Terminée",S494&gt;0,C494&lt;&gt;"",ISNUMBER(MATCH(C494,eq_code,0))),1,0)</f>
        <v>0.0</v>
      </c>
      <c r="X494" s="67">
        <f>IF(AND(W494=1,E494="Préventif"),1,0)</f>
        <v>0.0</v>
      </c>
      <c r="Y494" s="67">
        <f>IF(AND(ISNUMBER(N494),N(N494)&gt;0),N(N494),0)</f>
        <v>0.0</v>
      </c>
      <c r="Z494" s="67">
        <f>IF(AND(ISNUMBER(P494),N(P494)&gt;0),N(P494),0)</f>
        <v>0.0</v>
      </c>
    </row>
    <row r="495">
      <c r="A495" s="79" t="str">
        <f>IF(COUNTA(B495:C495,E495:G495,I495)=0,"","BI-"&amp;RIGHT("0000"&amp;(ROW()-5),4))</f>
        <v/>
      </c>
      <c r="B495" s="72" t="n"/>
      <c r="C495" s="66" t="n"/>
      <c r="D495" s="67" t="str">
        <f>IF(C495="","",IFERROR(INDEX(eq_des,MATCH(C495,eq_code,0))&amp;"","Équipement inconnu"))</f>
        <v/>
      </c>
      <c r="E495" s="68" t="n"/>
      <c r="F495" s="68" t="n"/>
      <c r="G495" s="66" t="n"/>
      <c r="H495" s="66" t="n"/>
      <c r="I495" s="68" t="n"/>
      <c r="J495" s="73" t="n"/>
      <c r="K495" s="71" t="n"/>
      <c r="L495" s="71" t="n"/>
      <c r="M495" s="66" t="n"/>
      <c r="N495" s="80" t="n"/>
      <c r="O495" s="81" t="str">
        <f>IF(A495="","",ROUND(V495*IFERROR(N(INDEX(tech_rate,MATCH(M495,tech_name,0))),0),2))</f>
        <v/>
      </c>
      <c r="P495" s="80" t="n"/>
      <c r="Q495" s="81" t="str">
        <f>IF(A495="","",ROUND(Y495+O495+Z495,2))</f>
        <v/>
      </c>
      <c r="R495" s="79" t="str">
        <f>IF(A495="","",IF(S495=0,"Date manquante ou invalide",IF(C495="","Équipement manquant",IF(ISNA(MATCH(C495,eq_code,0)),"Équipement inconnu",IF(E495="","Type manquant",IF(AND(E495&lt;&gt;"Préventif",E495&lt;&gt;"Correctif",E495&lt;&gt;"Amélioratif"),"Type inconnu",IF(I495="","Statut manquant",IF(AND(I495&lt;&gt;"Terminée",I495&lt;&gt;"En cours",I495&lt;&gt;"À faire",I495&lt;&gt;"Annulée"),"Statut inconnu",IF(AND(E495="Préventif",F495=""),"Plan manquant (préventif)",IF(AND(F495&lt;&gt;"",ISNA(MATCH(F495,pl_num,0))),"Plan inconnu",IF(AND(F495&lt;&gt;"",IFERROR(INDEX(pl_eq,MATCH(F495,pl_num,0))&amp;"",C495)&lt;&gt;C495),"Plan d'un autre équipement",IF(AND(J495&lt;&gt;"",OR(NOT(ISNUMBER(J495)),N(J495)&lt;0)),"Compteur invalide",IF(OR(AND(K495&lt;&gt;"",OR(NOT(ISNUMBER(K495)),N(K495)&lt;0)),AND(L495&lt;&gt;"",OR(NOT(ISNUMBER(L495)),N(L495)&lt;0))),"Durée invalide",IF(OR(AND(N495&lt;&gt;"",OR(NOT(ISNUMBER(N495)),N(N495)&lt;0)),AND(P495&lt;&gt;"",OR(NOT(ISNUMBER(P495)),N(P495)&lt;0))),"Coût invalide",IF(AND(M495&lt;&gt;"",ISNA(MATCH(M495,tech_name,0))),"Technicien inconnu",IF(AND(I495="Terminée",S495&gt;p_today),"Terminée à une date future",IF(AND(I495="Terminée",V495=0),"Durée d'intervention manquante",IF(AND(I495="Terminée",E495="Préventif",T495=0,OR(IFERROR(INDEX(pl_trig,MATCH(F495,pl_num,0))&amp;"","")="Compteur",IFERROR(INDEX(pl_trig,MATCH(F495,pl_num,0))&amp;"","")="Au premier des deux")),"Compteur manquant (plan au compteur)","OK"))))))))))))))))))</f>
        <v/>
      </c>
      <c r="S495" s="67">
        <f>IF(AND(ISNUMBER(B495),N(B495)&gt;0),INT(B495),0)</f>
        <v>0.0</v>
      </c>
      <c r="T495" s="67">
        <f>IF(AND(ISNUMBER(J495),N(J495)&gt;=0),N(J495),0)</f>
        <v>0.0</v>
      </c>
      <c r="U495" s="67">
        <f>IF(AND(ISNUMBER(K495),N(K495)&gt;0),N(K495),0)</f>
        <v>0.0</v>
      </c>
      <c r="V495" s="67">
        <f>IF(AND(ISNUMBER(L495),N(L495)&gt;0),N(L495),0)</f>
        <v>0.0</v>
      </c>
      <c r="W495" s="67">
        <f>IF(AND(I495="Terminée",S495&gt;0,C495&lt;&gt;"",ISNUMBER(MATCH(C495,eq_code,0))),1,0)</f>
        <v>0.0</v>
      </c>
      <c r="X495" s="67">
        <f>IF(AND(W495=1,E495="Préventif"),1,0)</f>
        <v>0.0</v>
      </c>
      <c r="Y495" s="67">
        <f>IF(AND(ISNUMBER(N495),N(N495)&gt;0),N(N495),0)</f>
        <v>0.0</v>
      </c>
      <c r="Z495" s="67">
        <f>IF(AND(ISNUMBER(P495),N(P495)&gt;0),N(P495),0)</f>
        <v>0.0</v>
      </c>
    </row>
    <row r="496">
      <c r="A496" s="79" t="str">
        <f>IF(COUNTA(B496:C496,E496:G496,I496)=0,"","BI-"&amp;RIGHT("0000"&amp;(ROW()-5),4))</f>
        <v/>
      </c>
      <c r="B496" s="72" t="n"/>
      <c r="C496" s="66" t="n"/>
      <c r="D496" s="67" t="str">
        <f>IF(C496="","",IFERROR(INDEX(eq_des,MATCH(C496,eq_code,0))&amp;"","Équipement inconnu"))</f>
        <v/>
      </c>
      <c r="E496" s="68" t="n"/>
      <c r="F496" s="68" t="n"/>
      <c r="G496" s="66" t="n"/>
      <c r="H496" s="66" t="n"/>
      <c r="I496" s="68" t="n"/>
      <c r="J496" s="73" t="n"/>
      <c r="K496" s="71" t="n"/>
      <c r="L496" s="71" t="n"/>
      <c r="M496" s="66" t="n"/>
      <c r="N496" s="80" t="n"/>
      <c r="O496" s="81" t="str">
        <f>IF(A496="","",ROUND(V496*IFERROR(N(INDEX(tech_rate,MATCH(M496,tech_name,0))),0),2))</f>
        <v/>
      </c>
      <c r="P496" s="80" t="n"/>
      <c r="Q496" s="81" t="str">
        <f>IF(A496="","",ROUND(Y496+O496+Z496,2))</f>
        <v/>
      </c>
      <c r="R496" s="79" t="str">
        <f>IF(A496="","",IF(S496=0,"Date manquante ou invalide",IF(C496="","Équipement manquant",IF(ISNA(MATCH(C496,eq_code,0)),"Équipement inconnu",IF(E496="","Type manquant",IF(AND(E496&lt;&gt;"Préventif",E496&lt;&gt;"Correctif",E496&lt;&gt;"Amélioratif"),"Type inconnu",IF(I496="","Statut manquant",IF(AND(I496&lt;&gt;"Terminée",I496&lt;&gt;"En cours",I496&lt;&gt;"À faire",I496&lt;&gt;"Annulée"),"Statut inconnu",IF(AND(E496="Préventif",F496=""),"Plan manquant (préventif)",IF(AND(F496&lt;&gt;"",ISNA(MATCH(F496,pl_num,0))),"Plan inconnu",IF(AND(F496&lt;&gt;"",IFERROR(INDEX(pl_eq,MATCH(F496,pl_num,0))&amp;"",C496)&lt;&gt;C496),"Plan d'un autre équipement",IF(AND(J496&lt;&gt;"",OR(NOT(ISNUMBER(J496)),N(J496)&lt;0)),"Compteur invalide",IF(OR(AND(K496&lt;&gt;"",OR(NOT(ISNUMBER(K496)),N(K496)&lt;0)),AND(L496&lt;&gt;"",OR(NOT(ISNUMBER(L496)),N(L496)&lt;0))),"Durée invalide",IF(OR(AND(N496&lt;&gt;"",OR(NOT(ISNUMBER(N496)),N(N496)&lt;0)),AND(P496&lt;&gt;"",OR(NOT(ISNUMBER(P496)),N(P496)&lt;0))),"Coût invalide",IF(AND(M496&lt;&gt;"",ISNA(MATCH(M496,tech_name,0))),"Technicien inconnu",IF(AND(I496="Terminée",S496&gt;p_today),"Terminée à une date future",IF(AND(I496="Terminée",V496=0),"Durée d'intervention manquante",IF(AND(I496="Terminée",E496="Préventif",T496=0,OR(IFERROR(INDEX(pl_trig,MATCH(F496,pl_num,0))&amp;"","")="Compteur",IFERROR(INDEX(pl_trig,MATCH(F496,pl_num,0))&amp;"","")="Au premier des deux")),"Compteur manquant (plan au compteur)","OK"))))))))))))))))))</f>
        <v/>
      </c>
      <c r="S496" s="67">
        <f>IF(AND(ISNUMBER(B496),N(B496)&gt;0),INT(B496),0)</f>
        <v>0.0</v>
      </c>
      <c r="T496" s="67">
        <f>IF(AND(ISNUMBER(J496),N(J496)&gt;=0),N(J496),0)</f>
        <v>0.0</v>
      </c>
      <c r="U496" s="67">
        <f>IF(AND(ISNUMBER(K496),N(K496)&gt;0),N(K496),0)</f>
        <v>0.0</v>
      </c>
      <c r="V496" s="67">
        <f>IF(AND(ISNUMBER(L496),N(L496)&gt;0),N(L496),0)</f>
        <v>0.0</v>
      </c>
      <c r="W496" s="67">
        <f>IF(AND(I496="Terminée",S496&gt;0,C496&lt;&gt;"",ISNUMBER(MATCH(C496,eq_code,0))),1,0)</f>
        <v>0.0</v>
      </c>
      <c r="X496" s="67">
        <f>IF(AND(W496=1,E496="Préventif"),1,0)</f>
        <v>0.0</v>
      </c>
      <c r="Y496" s="67">
        <f>IF(AND(ISNUMBER(N496),N(N496)&gt;0),N(N496),0)</f>
        <v>0.0</v>
      </c>
      <c r="Z496" s="67">
        <f>IF(AND(ISNUMBER(P496),N(P496)&gt;0),N(P496),0)</f>
        <v>0.0</v>
      </c>
    </row>
    <row r="497">
      <c r="A497" s="79" t="str">
        <f>IF(COUNTA(B497:C497,E497:G497,I497)=0,"","BI-"&amp;RIGHT("0000"&amp;(ROW()-5),4))</f>
        <v/>
      </c>
      <c r="B497" s="72" t="n"/>
      <c r="C497" s="66" t="n"/>
      <c r="D497" s="67" t="str">
        <f>IF(C497="","",IFERROR(INDEX(eq_des,MATCH(C497,eq_code,0))&amp;"","Équipement inconnu"))</f>
        <v/>
      </c>
      <c r="E497" s="68" t="n"/>
      <c r="F497" s="68" t="n"/>
      <c r="G497" s="66" t="n"/>
      <c r="H497" s="66" t="n"/>
      <c r="I497" s="68" t="n"/>
      <c r="J497" s="73" t="n"/>
      <c r="K497" s="71" t="n"/>
      <c r="L497" s="71" t="n"/>
      <c r="M497" s="66" t="n"/>
      <c r="N497" s="80" t="n"/>
      <c r="O497" s="81" t="str">
        <f>IF(A497="","",ROUND(V497*IFERROR(N(INDEX(tech_rate,MATCH(M497,tech_name,0))),0),2))</f>
        <v/>
      </c>
      <c r="P497" s="80" t="n"/>
      <c r="Q497" s="81" t="str">
        <f>IF(A497="","",ROUND(Y497+O497+Z497,2))</f>
        <v/>
      </c>
      <c r="R497" s="79" t="str">
        <f>IF(A497="","",IF(S497=0,"Date manquante ou invalide",IF(C497="","Équipement manquant",IF(ISNA(MATCH(C497,eq_code,0)),"Équipement inconnu",IF(E497="","Type manquant",IF(AND(E497&lt;&gt;"Préventif",E497&lt;&gt;"Correctif",E497&lt;&gt;"Amélioratif"),"Type inconnu",IF(I497="","Statut manquant",IF(AND(I497&lt;&gt;"Terminée",I497&lt;&gt;"En cours",I497&lt;&gt;"À faire",I497&lt;&gt;"Annulée"),"Statut inconnu",IF(AND(E497="Préventif",F497=""),"Plan manquant (préventif)",IF(AND(F497&lt;&gt;"",ISNA(MATCH(F497,pl_num,0))),"Plan inconnu",IF(AND(F497&lt;&gt;"",IFERROR(INDEX(pl_eq,MATCH(F497,pl_num,0))&amp;"",C497)&lt;&gt;C497),"Plan d'un autre équipement",IF(AND(J497&lt;&gt;"",OR(NOT(ISNUMBER(J497)),N(J497)&lt;0)),"Compteur invalide",IF(OR(AND(K497&lt;&gt;"",OR(NOT(ISNUMBER(K497)),N(K497)&lt;0)),AND(L497&lt;&gt;"",OR(NOT(ISNUMBER(L497)),N(L497)&lt;0))),"Durée invalide",IF(OR(AND(N497&lt;&gt;"",OR(NOT(ISNUMBER(N497)),N(N497)&lt;0)),AND(P497&lt;&gt;"",OR(NOT(ISNUMBER(P497)),N(P497)&lt;0))),"Coût invalide",IF(AND(M497&lt;&gt;"",ISNA(MATCH(M497,tech_name,0))),"Technicien inconnu",IF(AND(I497="Terminée",S497&gt;p_today),"Terminée à une date future",IF(AND(I497="Terminée",V497=0),"Durée d'intervention manquante",IF(AND(I497="Terminée",E497="Préventif",T497=0,OR(IFERROR(INDEX(pl_trig,MATCH(F497,pl_num,0))&amp;"","")="Compteur",IFERROR(INDEX(pl_trig,MATCH(F497,pl_num,0))&amp;"","")="Au premier des deux")),"Compteur manquant (plan au compteur)","OK"))))))))))))))))))</f>
        <v/>
      </c>
      <c r="S497" s="67">
        <f>IF(AND(ISNUMBER(B497),N(B497)&gt;0),INT(B497),0)</f>
        <v>0.0</v>
      </c>
      <c r="T497" s="67">
        <f>IF(AND(ISNUMBER(J497),N(J497)&gt;=0),N(J497),0)</f>
        <v>0.0</v>
      </c>
      <c r="U497" s="67">
        <f>IF(AND(ISNUMBER(K497),N(K497)&gt;0),N(K497),0)</f>
        <v>0.0</v>
      </c>
      <c r="V497" s="67">
        <f>IF(AND(ISNUMBER(L497),N(L497)&gt;0),N(L497),0)</f>
        <v>0.0</v>
      </c>
      <c r="W497" s="67">
        <f>IF(AND(I497="Terminée",S497&gt;0,C497&lt;&gt;"",ISNUMBER(MATCH(C497,eq_code,0))),1,0)</f>
        <v>0.0</v>
      </c>
      <c r="X497" s="67">
        <f>IF(AND(W497=1,E497="Préventif"),1,0)</f>
        <v>0.0</v>
      </c>
      <c r="Y497" s="67">
        <f>IF(AND(ISNUMBER(N497),N(N497)&gt;0),N(N497),0)</f>
        <v>0.0</v>
      </c>
      <c r="Z497" s="67">
        <f>IF(AND(ISNUMBER(P497),N(P497)&gt;0),N(P497),0)</f>
        <v>0.0</v>
      </c>
    </row>
    <row r="498">
      <c r="A498" s="79" t="str">
        <f>IF(COUNTA(B498:C498,E498:G498,I498)=0,"","BI-"&amp;RIGHT("0000"&amp;(ROW()-5),4))</f>
        <v/>
      </c>
      <c r="B498" s="72" t="n"/>
      <c r="C498" s="66" t="n"/>
      <c r="D498" s="67" t="str">
        <f>IF(C498="","",IFERROR(INDEX(eq_des,MATCH(C498,eq_code,0))&amp;"","Équipement inconnu"))</f>
        <v/>
      </c>
      <c r="E498" s="68" t="n"/>
      <c r="F498" s="68" t="n"/>
      <c r="G498" s="66" t="n"/>
      <c r="H498" s="66" t="n"/>
      <c r="I498" s="68" t="n"/>
      <c r="J498" s="73" t="n"/>
      <c r="K498" s="71" t="n"/>
      <c r="L498" s="71" t="n"/>
      <c r="M498" s="66" t="n"/>
      <c r="N498" s="80" t="n"/>
      <c r="O498" s="81" t="str">
        <f>IF(A498="","",ROUND(V498*IFERROR(N(INDEX(tech_rate,MATCH(M498,tech_name,0))),0),2))</f>
        <v/>
      </c>
      <c r="P498" s="80" t="n"/>
      <c r="Q498" s="81" t="str">
        <f>IF(A498="","",ROUND(Y498+O498+Z498,2))</f>
        <v/>
      </c>
      <c r="R498" s="79" t="str">
        <f>IF(A498="","",IF(S498=0,"Date manquante ou invalide",IF(C498="","Équipement manquant",IF(ISNA(MATCH(C498,eq_code,0)),"Équipement inconnu",IF(E498="","Type manquant",IF(AND(E498&lt;&gt;"Préventif",E498&lt;&gt;"Correctif",E498&lt;&gt;"Amélioratif"),"Type inconnu",IF(I498="","Statut manquant",IF(AND(I498&lt;&gt;"Terminée",I498&lt;&gt;"En cours",I498&lt;&gt;"À faire",I498&lt;&gt;"Annulée"),"Statut inconnu",IF(AND(E498="Préventif",F498=""),"Plan manquant (préventif)",IF(AND(F498&lt;&gt;"",ISNA(MATCH(F498,pl_num,0))),"Plan inconnu",IF(AND(F498&lt;&gt;"",IFERROR(INDEX(pl_eq,MATCH(F498,pl_num,0))&amp;"",C498)&lt;&gt;C498),"Plan d'un autre équipement",IF(AND(J498&lt;&gt;"",OR(NOT(ISNUMBER(J498)),N(J498)&lt;0)),"Compteur invalide",IF(OR(AND(K498&lt;&gt;"",OR(NOT(ISNUMBER(K498)),N(K498)&lt;0)),AND(L498&lt;&gt;"",OR(NOT(ISNUMBER(L498)),N(L498)&lt;0))),"Durée invalide",IF(OR(AND(N498&lt;&gt;"",OR(NOT(ISNUMBER(N498)),N(N498)&lt;0)),AND(P498&lt;&gt;"",OR(NOT(ISNUMBER(P498)),N(P498)&lt;0))),"Coût invalide",IF(AND(M498&lt;&gt;"",ISNA(MATCH(M498,tech_name,0))),"Technicien inconnu",IF(AND(I498="Terminée",S498&gt;p_today),"Terminée à une date future",IF(AND(I498="Terminée",V498=0),"Durée d'intervention manquante",IF(AND(I498="Terminée",E498="Préventif",T498=0,OR(IFERROR(INDEX(pl_trig,MATCH(F498,pl_num,0))&amp;"","")="Compteur",IFERROR(INDEX(pl_trig,MATCH(F498,pl_num,0))&amp;"","")="Au premier des deux")),"Compteur manquant (plan au compteur)","OK"))))))))))))))))))</f>
        <v/>
      </c>
      <c r="S498" s="67">
        <f>IF(AND(ISNUMBER(B498),N(B498)&gt;0),INT(B498),0)</f>
        <v>0.0</v>
      </c>
      <c r="T498" s="67">
        <f>IF(AND(ISNUMBER(J498),N(J498)&gt;=0),N(J498),0)</f>
        <v>0.0</v>
      </c>
      <c r="U498" s="67">
        <f>IF(AND(ISNUMBER(K498),N(K498)&gt;0),N(K498),0)</f>
        <v>0.0</v>
      </c>
      <c r="V498" s="67">
        <f>IF(AND(ISNUMBER(L498),N(L498)&gt;0),N(L498),0)</f>
        <v>0.0</v>
      </c>
      <c r="W498" s="67">
        <f>IF(AND(I498="Terminée",S498&gt;0,C498&lt;&gt;"",ISNUMBER(MATCH(C498,eq_code,0))),1,0)</f>
        <v>0.0</v>
      </c>
      <c r="X498" s="67">
        <f>IF(AND(W498=1,E498="Préventif"),1,0)</f>
        <v>0.0</v>
      </c>
      <c r="Y498" s="67">
        <f>IF(AND(ISNUMBER(N498),N(N498)&gt;0),N(N498),0)</f>
        <v>0.0</v>
      </c>
      <c r="Z498" s="67">
        <f>IF(AND(ISNUMBER(P498),N(P498)&gt;0),N(P498),0)</f>
        <v>0.0</v>
      </c>
    </row>
    <row r="499">
      <c r="A499" s="79" t="str">
        <f>IF(COUNTA(B499:C499,E499:G499,I499)=0,"","BI-"&amp;RIGHT("0000"&amp;(ROW()-5),4))</f>
        <v/>
      </c>
      <c r="B499" s="72" t="n"/>
      <c r="C499" s="66" t="n"/>
      <c r="D499" s="67" t="str">
        <f>IF(C499="","",IFERROR(INDEX(eq_des,MATCH(C499,eq_code,0))&amp;"","Équipement inconnu"))</f>
        <v/>
      </c>
      <c r="E499" s="68" t="n"/>
      <c r="F499" s="68" t="n"/>
      <c r="G499" s="66" t="n"/>
      <c r="H499" s="66" t="n"/>
      <c r="I499" s="68" t="n"/>
      <c r="J499" s="73" t="n"/>
      <c r="K499" s="71" t="n"/>
      <c r="L499" s="71" t="n"/>
      <c r="M499" s="66" t="n"/>
      <c r="N499" s="80" t="n"/>
      <c r="O499" s="81" t="str">
        <f>IF(A499="","",ROUND(V499*IFERROR(N(INDEX(tech_rate,MATCH(M499,tech_name,0))),0),2))</f>
        <v/>
      </c>
      <c r="P499" s="80" t="n"/>
      <c r="Q499" s="81" t="str">
        <f>IF(A499="","",ROUND(Y499+O499+Z499,2))</f>
        <v/>
      </c>
      <c r="R499" s="79" t="str">
        <f>IF(A499="","",IF(S499=0,"Date manquante ou invalide",IF(C499="","Équipement manquant",IF(ISNA(MATCH(C499,eq_code,0)),"Équipement inconnu",IF(E499="","Type manquant",IF(AND(E499&lt;&gt;"Préventif",E499&lt;&gt;"Correctif",E499&lt;&gt;"Amélioratif"),"Type inconnu",IF(I499="","Statut manquant",IF(AND(I499&lt;&gt;"Terminée",I499&lt;&gt;"En cours",I499&lt;&gt;"À faire",I499&lt;&gt;"Annulée"),"Statut inconnu",IF(AND(E499="Préventif",F499=""),"Plan manquant (préventif)",IF(AND(F499&lt;&gt;"",ISNA(MATCH(F499,pl_num,0))),"Plan inconnu",IF(AND(F499&lt;&gt;"",IFERROR(INDEX(pl_eq,MATCH(F499,pl_num,0))&amp;"",C499)&lt;&gt;C499),"Plan d'un autre équipement",IF(AND(J499&lt;&gt;"",OR(NOT(ISNUMBER(J499)),N(J499)&lt;0)),"Compteur invalide",IF(OR(AND(K499&lt;&gt;"",OR(NOT(ISNUMBER(K499)),N(K499)&lt;0)),AND(L499&lt;&gt;"",OR(NOT(ISNUMBER(L499)),N(L499)&lt;0))),"Durée invalide",IF(OR(AND(N499&lt;&gt;"",OR(NOT(ISNUMBER(N499)),N(N499)&lt;0)),AND(P499&lt;&gt;"",OR(NOT(ISNUMBER(P499)),N(P499)&lt;0))),"Coût invalide",IF(AND(M499&lt;&gt;"",ISNA(MATCH(M499,tech_name,0))),"Technicien inconnu",IF(AND(I499="Terminée",S499&gt;p_today),"Terminée à une date future",IF(AND(I499="Terminée",V499=0),"Durée d'intervention manquante",IF(AND(I499="Terminée",E499="Préventif",T499=0,OR(IFERROR(INDEX(pl_trig,MATCH(F499,pl_num,0))&amp;"","")="Compteur",IFERROR(INDEX(pl_trig,MATCH(F499,pl_num,0))&amp;"","")="Au premier des deux")),"Compteur manquant (plan au compteur)","OK"))))))))))))))))))</f>
        <v/>
      </c>
      <c r="S499" s="67">
        <f>IF(AND(ISNUMBER(B499),N(B499)&gt;0),INT(B499),0)</f>
        <v>0.0</v>
      </c>
      <c r="T499" s="67">
        <f>IF(AND(ISNUMBER(J499),N(J499)&gt;=0),N(J499),0)</f>
        <v>0.0</v>
      </c>
      <c r="U499" s="67">
        <f>IF(AND(ISNUMBER(K499),N(K499)&gt;0),N(K499),0)</f>
        <v>0.0</v>
      </c>
      <c r="V499" s="67">
        <f>IF(AND(ISNUMBER(L499),N(L499)&gt;0),N(L499),0)</f>
        <v>0.0</v>
      </c>
      <c r="W499" s="67">
        <f>IF(AND(I499="Terminée",S499&gt;0,C499&lt;&gt;"",ISNUMBER(MATCH(C499,eq_code,0))),1,0)</f>
        <v>0.0</v>
      </c>
      <c r="X499" s="67">
        <f>IF(AND(W499=1,E499="Préventif"),1,0)</f>
        <v>0.0</v>
      </c>
      <c r="Y499" s="67">
        <f>IF(AND(ISNUMBER(N499),N(N499)&gt;0),N(N499),0)</f>
        <v>0.0</v>
      </c>
      <c r="Z499" s="67">
        <f>IF(AND(ISNUMBER(P499),N(P499)&gt;0),N(P499),0)</f>
        <v>0.0</v>
      </c>
    </row>
    <row r="500">
      <c r="A500" s="79" t="str">
        <f>IF(COUNTA(B500:C500,E500:G500,I500)=0,"","BI-"&amp;RIGHT("0000"&amp;(ROW()-5),4))</f>
        <v/>
      </c>
      <c r="B500" s="72" t="n"/>
      <c r="C500" s="66" t="n"/>
      <c r="D500" s="67" t="str">
        <f>IF(C500="","",IFERROR(INDEX(eq_des,MATCH(C500,eq_code,0))&amp;"","Équipement inconnu"))</f>
        <v/>
      </c>
      <c r="E500" s="68" t="n"/>
      <c r="F500" s="68" t="n"/>
      <c r="G500" s="66" t="n"/>
      <c r="H500" s="66" t="n"/>
      <c r="I500" s="68" t="n"/>
      <c r="J500" s="73" t="n"/>
      <c r="K500" s="71" t="n"/>
      <c r="L500" s="71" t="n"/>
      <c r="M500" s="66" t="n"/>
      <c r="N500" s="80" t="n"/>
      <c r="O500" s="81" t="str">
        <f>IF(A500="","",ROUND(V500*IFERROR(N(INDEX(tech_rate,MATCH(M500,tech_name,0))),0),2))</f>
        <v/>
      </c>
      <c r="P500" s="80" t="n"/>
      <c r="Q500" s="81" t="str">
        <f>IF(A500="","",ROUND(Y500+O500+Z500,2))</f>
        <v/>
      </c>
      <c r="R500" s="79" t="str">
        <f>IF(A500="","",IF(S500=0,"Date manquante ou invalide",IF(C500="","Équipement manquant",IF(ISNA(MATCH(C500,eq_code,0)),"Équipement inconnu",IF(E500="","Type manquant",IF(AND(E500&lt;&gt;"Préventif",E500&lt;&gt;"Correctif",E500&lt;&gt;"Amélioratif"),"Type inconnu",IF(I500="","Statut manquant",IF(AND(I500&lt;&gt;"Terminée",I500&lt;&gt;"En cours",I500&lt;&gt;"À faire",I500&lt;&gt;"Annulée"),"Statut inconnu",IF(AND(E500="Préventif",F500=""),"Plan manquant (préventif)",IF(AND(F500&lt;&gt;"",ISNA(MATCH(F500,pl_num,0))),"Plan inconnu",IF(AND(F500&lt;&gt;"",IFERROR(INDEX(pl_eq,MATCH(F500,pl_num,0))&amp;"",C500)&lt;&gt;C500),"Plan d'un autre équipement",IF(AND(J500&lt;&gt;"",OR(NOT(ISNUMBER(J500)),N(J500)&lt;0)),"Compteur invalide",IF(OR(AND(K500&lt;&gt;"",OR(NOT(ISNUMBER(K500)),N(K500)&lt;0)),AND(L500&lt;&gt;"",OR(NOT(ISNUMBER(L500)),N(L500)&lt;0))),"Durée invalide",IF(OR(AND(N500&lt;&gt;"",OR(NOT(ISNUMBER(N500)),N(N500)&lt;0)),AND(P500&lt;&gt;"",OR(NOT(ISNUMBER(P500)),N(P500)&lt;0))),"Coût invalide",IF(AND(M500&lt;&gt;"",ISNA(MATCH(M500,tech_name,0))),"Technicien inconnu",IF(AND(I500="Terminée",S500&gt;p_today),"Terminée à une date future",IF(AND(I500="Terminée",V500=0),"Durée d'intervention manquante",IF(AND(I500="Terminée",E500="Préventif",T500=0,OR(IFERROR(INDEX(pl_trig,MATCH(F500,pl_num,0))&amp;"","")="Compteur",IFERROR(INDEX(pl_trig,MATCH(F500,pl_num,0))&amp;"","")="Au premier des deux")),"Compteur manquant (plan au compteur)","OK"))))))))))))))))))</f>
        <v/>
      </c>
      <c r="S500" s="67">
        <f>IF(AND(ISNUMBER(B500),N(B500)&gt;0),INT(B500),0)</f>
        <v>0.0</v>
      </c>
      <c r="T500" s="67">
        <f>IF(AND(ISNUMBER(J500),N(J500)&gt;=0),N(J500),0)</f>
        <v>0.0</v>
      </c>
      <c r="U500" s="67">
        <f>IF(AND(ISNUMBER(K500),N(K500)&gt;0),N(K500),0)</f>
        <v>0.0</v>
      </c>
      <c r="V500" s="67">
        <f>IF(AND(ISNUMBER(L500),N(L500)&gt;0),N(L500),0)</f>
        <v>0.0</v>
      </c>
      <c r="W500" s="67">
        <f>IF(AND(I500="Terminée",S500&gt;0,C500&lt;&gt;"",ISNUMBER(MATCH(C500,eq_code,0))),1,0)</f>
        <v>0.0</v>
      </c>
      <c r="X500" s="67">
        <f>IF(AND(W500=1,E500="Préventif"),1,0)</f>
        <v>0.0</v>
      </c>
      <c r="Y500" s="67">
        <f>IF(AND(ISNUMBER(N500),N(N500)&gt;0),N(N500),0)</f>
        <v>0.0</v>
      </c>
      <c r="Z500" s="67">
        <f>IF(AND(ISNUMBER(P500),N(P500)&gt;0),N(P500),0)</f>
        <v>0.0</v>
      </c>
    </row>
    <row r="501">
      <c r="A501" s="79" t="str">
        <f>IF(COUNTA(B501:C501,E501:G501,I501)=0,"","BI-"&amp;RIGHT("0000"&amp;(ROW()-5),4))</f>
        <v/>
      </c>
      <c r="B501" s="72" t="n"/>
      <c r="C501" s="66" t="n"/>
      <c r="D501" s="67" t="str">
        <f>IF(C501="","",IFERROR(INDEX(eq_des,MATCH(C501,eq_code,0))&amp;"","Équipement inconnu"))</f>
        <v/>
      </c>
      <c r="E501" s="68" t="n"/>
      <c r="F501" s="68" t="n"/>
      <c r="G501" s="66" t="n"/>
      <c r="H501" s="66" t="n"/>
      <c r="I501" s="68" t="n"/>
      <c r="J501" s="73" t="n"/>
      <c r="K501" s="71" t="n"/>
      <c r="L501" s="71" t="n"/>
      <c r="M501" s="66" t="n"/>
      <c r="N501" s="80" t="n"/>
      <c r="O501" s="81" t="str">
        <f>IF(A501="","",ROUND(V501*IFERROR(N(INDEX(tech_rate,MATCH(M501,tech_name,0))),0),2))</f>
        <v/>
      </c>
      <c r="P501" s="80" t="n"/>
      <c r="Q501" s="81" t="str">
        <f>IF(A501="","",ROUND(Y501+O501+Z501,2))</f>
        <v/>
      </c>
      <c r="R501" s="79" t="str">
        <f>IF(A501="","",IF(S501=0,"Date manquante ou invalide",IF(C501="","Équipement manquant",IF(ISNA(MATCH(C501,eq_code,0)),"Équipement inconnu",IF(E501="","Type manquant",IF(AND(E501&lt;&gt;"Préventif",E501&lt;&gt;"Correctif",E501&lt;&gt;"Amélioratif"),"Type inconnu",IF(I501="","Statut manquant",IF(AND(I501&lt;&gt;"Terminée",I501&lt;&gt;"En cours",I501&lt;&gt;"À faire",I501&lt;&gt;"Annulée"),"Statut inconnu",IF(AND(E501="Préventif",F501=""),"Plan manquant (préventif)",IF(AND(F501&lt;&gt;"",ISNA(MATCH(F501,pl_num,0))),"Plan inconnu",IF(AND(F501&lt;&gt;"",IFERROR(INDEX(pl_eq,MATCH(F501,pl_num,0))&amp;"",C501)&lt;&gt;C501),"Plan d'un autre équipement",IF(AND(J501&lt;&gt;"",OR(NOT(ISNUMBER(J501)),N(J501)&lt;0)),"Compteur invalide",IF(OR(AND(K501&lt;&gt;"",OR(NOT(ISNUMBER(K501)),N(K501)&lt;0)),AND(L501&lt;&gt;"",OR(NOT(ISNUMBER(L501)),N(L501)&lt;0))),"Durée invalide",IF(OR(AND(N501&lt;&gt;"",OR(NOT(ISNUMBER(N501)),N(N501)&lt;0)),AND(P501&lt;&gt;"",OR(NOT(ISNUMBER(P501)),N(P501)&lt;0))),"Coût invalide",IF(AND(M501&lt;&gt;"",ISNA(MATCH(M501,tech_name,0))),"Technicien inconnu",IF(AND(I501="Terminée",S501&gt;p_today),"Terminée à une date future",IF(AND(I501="Terminée",V501=0),"Durée d'intervention manquante",IF(AND(I501="Terminée",E501="Préventif",T501=0,OR(IFERROR(INDEX(pl_trig,MATCH(F501,pl_num,0))&amp;"","")="Compteur",IFERROR(INDEX(pl_trig,MATCH(F501,pl_num,0))&amp;"","")="Au premier des deux")),"Compteur manquant (plan au compteur)","OK"))))))))))))))))))</f>
        <v/>
      </c>
      <c r="S501" s="67">
        <f>IF(AND(ISNUMBER(B501),N(B501)&gt;0),INT(B501),0)</f>
        <v>0.0</v>
      </c>
      <c r="T501" s="67">
        <f>IF(AND(ISNUMBER(J501),N(J501)&gt;=0),N(J501),0)</f>
        <v>0.0</v>
      </c>
      <c r="U501" s="67">
        <f>IF(AND(ISNUMBER(K501),N(K501)&gt;0),N(K501),0)</f>
        <v>0.0</v>
      </c>
      <c r="V501" s="67">
        <f>IF(AND(ISNUMBER(L501),N(L501)&gt;0),N(L501),0)</f>
        <v>0.0</v>
      </c>
      <c r="W501" s="67">
        <f>IF(AND(I501="Terminée",S501&gt;0,C501&lt;&gt;"",ISNUMBER(MATCH(C501,eq_code,0))),1,0)</f>
        <v>0.0</v>
      </c>
      <c r="X501" s="67">
        <f>IF(AND(W501=1,E501="Préventif"),1,0)</f>
        <v>0.0</v>
      </c>
      <c r="Y501" s="67">
        <f>IF(AND(ISNUMBER(N501),N(N501)&gt;0),N(N501),0)</f>
        <v>0.0</v>
      </c>
      <c r="Z501" s="67">
        <f>IF(AND(ISNUMBER(P501),N(P501)&gt;0),N(P501),0)</f>
        <v>0.0</v>
      </c>
    </row>
    <row r="502">
      <c r="A502" s="79" t="str">
        <f>IF(COUNTA(B502:C502,E502:G502,I502)=0,"","BI-"&amp;RIGHT("0000"&amp;(ROW()-5),4))</f>
        <v/>
      </c>
      <c r="B502" s="72" t="n"/>
      <c r="C502" s="66" t="n"/>
      <c r="D502" s="67" t="str">
        <f>IF(C502="","",IFERROR(INDEX(eq_des,MATCH(C502,eq_code,0))&amp;"","Équipement inconnu"))</f>
        <v/>
      </c>
      <c r="E502" s="68" t="n"/>
      <c r="F502" s="68" t="n"/>
      <c r="G502" s="66" t="n"/>
      <c r="H502" s="66" t="n"/>
      <c r="I502" s="68" t="n"/>
      <c r="J502" s="73" t="n"/>
      <c r="K502" s="71" t="n"/>
      <c r="L502" s="71" t="n"/>
      <c r="M502" s="66" t="n"/>
      <c r="N502" s="80" t="n"/>
      <c r="O502" s="81" t="str">
        <f>IF(A502="","",ROUND(V502*IFERROR(N(INDEX(tech_rate,MATCH(M502,tech_name,0))),0),2))</f>
        <v/>
      </c>
      <c r="P502" s="80" t="n"/>
      <c r="Q502" s="81" t="str">
        <f>IF(A502="","",ROUND(Y502+O502+Z502,2))</f>
        <v/>
      </c>
      <c r="R502" s="79" t="str">
        <f>IF(A502="","",IF(S502=0,"Date manquante ou invalide",IF(C502="","Équipement manquant",IF(ISNA(MATCH(C502,eq_code,0)),"Équipement inconnu",IF(E502="","Type manquant",IF(AND(E502&lt;&gt;"Préventif",E502&lt;&gt;"Correctif",E502&lt;&gt;"Amélioratif"),"Type inconnu",IF(I502="","Statut manquant",IF(AND(I502&lt;&gt;"Terminée",I502&lt;&gt;"En cours",I502&lt;&gt;"À faire",I502&lt;&gt;"Annulée"),"Statut inconnu",IF(AND(E502="Préventif",F502=""),"Plan manquant (préventif)",IF(AND(F502&lt;&gt;"",ISNA(MATCH(F502,pl_num,0))),"Plan inconnu",IF(AND(F502&lt;&gt;"",IFERROR(INDEX(pl_eq,MATCH(F502,pl_num,0))&amp;"",C502)&lt;&gt;C502),"Plan d'un autre équipement",IF(AND(J502&lt;&gt;"",OR(NOT(ISNUMBER(J502)),N(J502)&lt;0)),"Compteur invalide",IF(OR(AND(K502&lt;&gt;"",OR(NOT(ISNUMBER(K502)),N(K502)&lt;0)),AND(L502&lt;&gt;"",OR(NOT(ISNUMBER(L502)),N(L502)&lt;0))),"Durée invalide",IF(OR(AND(N502&lt;&gt;"",OR(NOT(ISNUMBER(N502)),N(N502)&lt;0)),AND(P502&lt;&gt;"",OR(NOT(ISNUMBER(P502)),N(P502)&lt;0))),"Coût invalide",IF(AND(M502&lt;&gt;"",ISNA(MATCH(M502,tech_name,0))),"Technicien inconnu",IF(AND(I502="Terminée",S502&gt;p_today),"Terminée à une date future",IF(AND(I502="Terminée",V502=0),"Durée d'intervention manquante",IF(AND(I502="Terminée",E502="Préventif",T502=0,OR(IFERROR(INDEX(pl_trig,MATCH(F502,pl_num,0))&amp;"","")="Compteur",IFERROR(INDEX(pl_trig,MATCH(F502,pl_num,0))&amp;"","")="Au premier des deux")),"Compteur manquant (plan au compteur)","OK"))))))))))))))))))</f>
        <v/>
      </c>
      <c r="S502" s="67">
        <f>IF(AND(ISNUMBER(B502),N(B502)&gt;0),INT(B502),0)</f>
        <v>0.0</v>
      </c>
      <c r="T502" s="67">
        <f>IF(AND(ISNUMBER(J502),N(J502)&gt;=0),N(J502),0)</f>
        <v>0.0</v>
      </c>
      <c r="U502" s="67">
        <f>IF(AND(ISNUMBER(K502),N(K502)&gt;0),N(K502),0)</f>
        <v>0.0</v>
      </c>
      <c r="V502" s="67">
        <f>IF(AND(ISNUMBER(L502),N(L502)&gt;0),N(L502),0)</f>
        <v>0.0</v>
      </c>
      <c r="W502" s="67">
        <f>IF(AND(I502="Terminée",S502&gt;0,C502&lt;&gt;"",ISNUMBER(MATCH(C502,eq_code,0))),1,0)</f>
        <v>0.0</v>
      </c>
      <c r="X502" s="67">
        <f>IF(AND(W502=1,E502="Préventif"),1,0)</f>
        <v>0.0</v>
      </c>
      <c r="Y502" s="67">
        <f>IF(AND(ISNUMBER(N502),N(N502)&gt;0),N(N502),0)</f>
        <v>0.0</v>
      </c>
      <c r="Z502" s="67">
        <f>IF(AND(ISNUMBER(P502),N(P502)&gt;0),N(P502),0)</f>
        <v>0.0</v>
      </c>
    </row>
    <row r="503">
      <c r="A503" s="79" t="str">
        <f>IF(COUNTA(B503:C503,E503:G503,I503)=0,"","BI-"&amp;RIGHT("0000"&amp;(ROW()-5),4))</f>
        <v/>
      </c>
      <c r="B503" s="72" t="n"/>
      <c r="C503" s="66" t="n"/>
      <c r="D503" s="67" t="str">
        <f>IF(C503="","",IFERROR(INDEX(eq_des,MATCH(C503,eq_code,0))&amp;"","Équipement inconnu"))</f>
        <v/>
      </c>
      <c r="E503" s="68" t="n"/>
      <c r="F503" s="68" t="n"/>
      <c r="G503" s="66" t="n"/>
      <c r="H503" s="66" t="n"/>
      <c r="I503" s="68" t="n"/>
      <c r="J503" s="73" t="n"/>
      <c r="K503" s="71" t="n"/>
      <c r="L503" s="71" t="n"/>
      <c r="M503" s="66" t="n"/>
      <c r="N503" s="80" t="n"/>
      <c r="O503" s="81" t="str">
        <f>IF(A503="","",ROUND(V503*IFERROR(N(INDEX(tech_rate,MATCH(M503,tech_name,0))),0),2))</f>
        <v/>
      </c>
      <c r="P503" s="80" t="n"/>
      <c r="Q503" s="81" t="str">
        <f>IF(A503="","",ROUND(Y503+O503+Z503,2))</f>
        <v/>
      </c>
      <c r="R503" s="79" t="str">
        <f>IF(A503="","",IF(S503=0,"Date manquante ou invalide",IF(C503="","Équipement manquant",IF(ISNA(MATCH(C503,eq_code,0)),"Équipement inconnu",IF(E503="","Type manquant",IF(AND(E503&lt;&gt;"Préventif",E503&lt;&gt;"Correctif",E503&lt;&gt;"Amélioratif"),"Type inconnu",IF(I503="","Statut manquant",IF(AND(I503&lt;&gt;"Terminée",I503&lt;&gt;"En cours",I503&lt;&gt;"À faire",I503&lt;&gt;"Annulée"),"Statut inconnu",IF(AND(E503="Préventif",F503=""),"Plan manquant (préventif)",IF(AND(F503&lt;&gt;"",ISNA(MATCH(F503,pl_num,0))),"Plan inconnu",IF(AND(F503&lt;&gt;"",IFERROR(INDEX(pl_eq,MATCH(F503,pl_num,0))&amp;"",C503)&lt;&gt;C503),"Plan d'un autre équipement",IF(AND(J503&lt;&gt;"",OR(NOT(ISNUMBER(J503)),N(J503)&lt;0)),"Compteur invalide",IF(OR(AND(K503&lt;&gt;"",OR(NOT(ISNUMBER(K503)),N(K503)&lt;0)),AND(L503&lt;&gt;"",OR(NOT(ISNUMBER(L503)),N(L503)&lt;0))),"Durée invalide",IF(OR(AND(N503&lt;&gt;"",OR(NOT(ISNUMBER(N503)),N(N503)&lt;0)),AND(P503&lt;&gt;"",OR(NOT(ISNUMBER(P503)),N(P503)&lt;0))),"Coût invalide",IF(AND(M503&lt;&gt;"",ISNA(MATCH(M503,tech_name,0))),"Technicien inconnu",IF(AND(I503="Terminée",S503&gt;p_today),"Terminée à une date future",IF(AND(I503="Terminée",V503=0),"Durée d'intervention manquante",IF(AND(I503="Terminée",E503="Préventif",T503=0,OR(IFERROR(INDEX(pl_trig,MATCH(F503,pl_num,0))&amp;"","")="Compteur",IFERROR(INDEX(pl_trig,MATCH(F503,pl_num,0))&amp;"","")="Au premier des deux")),"Compteur manquant (plan au compteur)","OK"))))))))))))))))))</f>
        <v/>
      </c>
      <c r="S503" s="67">
        <f>IF(AND(ISNUMBER(B503),N(B503)&gt;0),INT(B503),0)</f>
        <v>0.0</v>
      </c>
      <c r="T503" s="67">
        <f>IF(AND(ISNUMBER(J503),N(J503)&gt;=0),N(J503),0)</f>
        <v>0.0</v>
      </c>
      <c r="U503" s="67">
        <f>IF(AND(ISNUMBER(K503),N(K503)&gt;0),N(K503),0)</f>
        <v>0.0</v>
      </c>
      <c r="V503" s="67">
        <f>IF(AND(ISNUMBER(L503),N(L503)&gt;0),N(L503),0)</f>
        <v>0.0</v>
      </c>
      <c r="W503" s="67">
        <f>IF(AND(I503="Terminée",S503&gt;0,C503&lt;&gt;"",ISNUMBER(MATCH(C503,eq_code,0))),1,0)</f>
        <v>0.0</v>
      </c>
      <c r="X503" s="67">
        <f>IF(AND(W503=1,E503="Préventif"),1,0)</f>
        <v>0.0</v>
      </c>
      <c r="Y503" s="67">
        <f>IF(AND(ISNUMBER(N503),N(N503)&gt;0),N(N503),0)</f>
        <v>0.0</v>
      </c>
      <c r="Z503" s="67">
        <f>IF(AND(ISNUMBER(P503),N(P503)&gt;0),N(P503),0)</f>
        <v>0.0</v>
      </c>
    </row>
    <row r="504">
      <c r="A504" s="79" t="str">
        <f>IF(COUNTA(B504:C504,E504:G504,I504)=0,"","BI-"&amp;RIGHT("0000"&amp;(ROW()-5),4))</f>
        <v/>
      </c>
      <c r="B504" s="72" t="n"/>
      <c r="C504" s="66" t="n"/>
      <c r="D504" s="67" t="str">
        <f>IF(C504="","",IFERROR(INDEX(eq_des,MATCH(C504,eq_code,0))&amp;"","Équipement inconnu"))</f>
        <v/>
      </c>
      <c r="E504" s="68" t="n"/>
      <c r="F504" s="68" t="n"/>
      <c r="G504" s="66" t="n"/>
      <c r="H504" s="66" t="n"/>
      <c r="I504" s="68" t="n"/>
      <c r="J504" s="73" t="n"/>
      <c r="K504" s="71" t="n"/>
      <c r="L504" s="71" t="n"/>
      <c r="M504" s="66" t="n"/>
      <c r="N504" s="80" t="n"/>
      <c r="O504" s="81" t="str">
        <f>IF(A504="","",ROUND(V504*IFERROR(N(INDEX(tech_rate,MATCH(M504,tech_name,0))),0),2))</f>
        <v/>
      </c>
      <c r="P504" s="80" t="n"/>
      <c r="Q504" s="81" t="str">
        <f>IF(A504="","",ROUND(Y504+O504+Z504,2))</f>
        <v/>
      </c>
      <c r="R504" s="79" t="str">
        <f>IF(A504="","",IF(S504=0,"Date manquante ou invalide",IF(C504="","Équipement manquant",IF(ISNA(MATCH(C504,eq_code,0)),"Équipement inconnu",IF(E504="","Type manquant",IF(AND(E504&lt;&gt;"Préventif",E504&lt;&gt;"Correctif",E504&lt;&gt;"Amélioratif"),"Type inconnu",IF(I504="","Statut manquant",IF(AND(I504&lt;&gt;"Terminée",I504&lt;&gt;"En cours",I504&lt;&gt;"À faire",I504&lt;&gt;"Annulée"),"Statut inconnu",IF(AND(E504="Préventif",F504=""),"Plan manquant (préventif)",IF(AND(F504&lt;&gt;"",ISNA(MATCH(F504,pl_num,0))),"Plan inconnu",IF(AND(F504&lt;&gt;"",IFERROR(INDEX(pl_eq,MATCH(F504,pl_num,0))&amp;"",C504)&lt;&gt;C504),"Plan d'un autre équipement",IF(AND(J504&lt;&gt;"",OR(NOT(ISNUMBER(J504)),N(J504)&lt;0)),"Compteur invalide",IF(OR(AND(K504&lt;&gt;"",OR(NOT(ISNUMBER(K504)),N(K504)&lt;0)),AND(L504&lt;&gt;"",OR(NOT(ISNUMBER(L504)),N(L504)&lt;0))),"Durée invalide",IF(OR(AND(N504&lt;&gt;"",OR(NOT(ISNUMBER(N504)),N(N504)&lt;0)),AND(P504&lt;&gt;"",OR(NOT(ISNUMBER(P504)),N(P504)&lt;0))),"Coût invalide",IF(AND(M504&lt;&gt;"",ISNA(MATCH(M504,tech_name,0))),"Technicien inconnu",IF(AND(I504="Terminée",S504&gt;p_today),"Terminée à une date future",IF(AND(I504="Terminée",V504=0),"Durée d'intervention manquante",IF(AND(I504="Terminée",E504="Préventif",T504=0,OR(IFERROR(INDEX(pl_trig,MATCH(F504,pl_num,0))&amp;"","")="Compteur",IFERROR(INDEX(pl_trig,MATCH(F504,pl_num,0))&amp;"","")="Au premier des deux")),"Compteur manquant (plan au compteur)","OK"))))))))))))))))))</f>
        <v/>
      </c>
      <c r="S504" s="67">
        <f>IF(AND(ISNUMBER(B504),N(B504)&gt;0),INT(B504),0)</f>
        <v>0.0</v>
      </c>
      <c r="T504" s="67">
        <f>IF(AND(ISNUMBER(J504),N(J504)&gt;=0),N(J504),0)</f>
        <v>0.0</v>
      </c>
      <c r="U504" s="67">
        <f>IF(AND(ISNUMBER(K504),N(K504)&gt;0),N(K504),0)</f>
        <v>0.0</v>
      </c>
      <c r="V504" s="67">
        <f>IF(AND(ISNUMBER(L504),N(L504)&gt;0),N(L504),0)</f>
        <v>0.0</v>
      </c>
      <c r="W504" s="67">
        <f>IF(AND(I504="Terminée",S504&gt;0,C504&lt;&gt;"",ISNUMBER(MATCH(C504,eq_code,0))),1,0)</f>
        <v>0.0</v>
      </c>
      <c r="X504" s="67">
        <f>IF(AND(W504=1,E504="Préventif"),1,0)</f>
        <v>0.0</v>
      </c>
      <c r="Y504" s="67">
        <f>IF(AND(ISNUMBER(N504),N(N504)&gt;0),N(N504),0)</f>
        <v>0.0</v>
      </c>
      <c r="Z504" s="67">
        <f>IF(AND(ISNUMBER(P504),N(P504)&gt;0),N(P504),0)</f>
        <v>0.0</v>
      </c>
    </row>
    <row r="505">
      <c r="A505" s="79" t="str">
        <f>IF(COUNTA(B505:C505,E505:G505,I505)=0,"","BI-"&amp;RIGHT("0000"&amp;(ROW()-5),4))</f>
        <v/>
      </c>
      <c r="B505" s="72" t="n"/>
      <c r="C505" s="66" t="n"/>
      <c r="D505" s="67" t="str">
        <f>IF(C505="","",IFERROR(INDEX(eq_des,MATCH(C505,eq_code,0))&amp;"","Équipement inconnu"))</f>
        <v/>
      </c>
      <c r="E505" s="68" t="n"/>
      <c r="F505" s="68" t="n"/>
      <c r="G505" s="66" t="n"/>
      <c r="H505" s="66" t="n"/>
      <c r="I505" s="68" t="n"/>
      <c r="J505" s="73" t="n"/>
      <c r="K505" s="71" t="n"/>
      <c r="L505" s="71" t="n"/>
      <c r="M505" s="66" t="n"/>
      <c r="N505" s="80" t="n"/>
      <c r="O505" s="81" t="str">
        <f>IF(A505="","",ROUND(V505*IFERROR(N(INDEX(tech_rate,MATCH(M505,tech_name,0))),0),2))</f>
        <v/>
      </c>
      <c r="P505" s="80" t="n"/>
      <c r="Q505" s="81" t="str">
        <f>IF(A505="","",ROUND(Y505+O505+Z505,2))</f>
        <v/>
      </c>
      <c r="R505" s="79" t="str">
        <f>IF(A505="","",IF(S505=0,"Date manquante ou invalide",IF(C505="","Équipement manquant",IF(ISNA(MATCH(C505,eq_code,0)),"Équipement inconnu",IF(E505="","Type manquant",IF(AND(E505&lt;&gt;"Préventif",E505&lt;&gt;"Correctif",E505&lt;&gt;"Amélioratif"),"Type inconnu",IF(I505="","Statut manquant",IF(AND(I505&lt;&gt;"Terminée",I505&lt;&gt;"En cours",I505&lt;&gt;"À faire",I505&lt;&gt;"Annulée"),"Statut inconnu",IF(AND(E505="Préventif",F505=""),"Plan manquant (préventif)",IF(AND(F505&lt;&gt;"",ISNA(MATCH(F505,pl_num,0))),"Plan inconnu",IF(AND(F505&lt;&gt;"",IFERROR(INDEX(pl_eq,MATCH(F505,pl_num,0))&amp;"",C505)&lt;&gt;C505),"Plan d'un autre équipement",IF(AND(J505&lt;&gt;"",OR(NOT(ISNUMBER(J505)),N(J505)&lt;0)),"Compteur invalide",IF(OR(AND(K505&lt;&gt;"",OR(NOT(ISNUMBER(K505)),N(K505)&lt;0)),AND(L505&lt;&gt;"",OR(NOT(ISNUMBER(L505)),N(L505)&lt;0))),"Durée invalide",IF(OR(AND(N505&lt;&gt;"",OR(NOT(ISNUMBER(N505)),N(N505)&lt;0)),AND(P505&lt;&gt;"",OR(NOT(ISNUMBER(P505)),N(P505)&lt;0))),"Coût invalide",IF(AND(M505&lt;&gt;"",ISNA(MATCH(M505,tech_name,0))),"Technicien inconnu",IF(AND(I505="Terminée",S505&gt;p_today),"Terminée à une date future",IF(AND(I505="Terminée",V505=0),"Durée d'intervention manquante",IF(AND(I505="Terminée",E505="Préventif",T505=0,OR(IFERROR(INDEX(pl_trig,MATCH(F505,pl_num,0))&amp;"","")="Compteur",IFERROR(INDEX(pl_trig,MATCH(F505,pl_num,0))&amp;"","")="Au premier des deux")),"Compteur manquant (plan au compteur)","OK"))))))))))))))))))</f>
        <v/>
      </c>
      <c r="S505" s="67">
        <f>IF(AND(ISNUMBER(B505),N(B505)&gt;0),INT(B505),0)</f>
        <v>0.0</v>
      </c>
      <c r="T505" s="67">
        <f>IF(AND(ISNUMBER(J505),N(J505)&gt;=0),N(J505),0)</f>
        <v>0.0</v>
      </c>
      <c r="U505" s="67">
        <f>IF(AND(ISNUMBER(K505),N(K505)&gt;0),N(K505),0)</f>
        <v>0.0</v>
      </c>
      <c r="V505" s="67">
        <f>IF(AND(ISNUMBER(L505),N(L505)&gt;0),N(L505),0)</f>
        <v>0.0</v>
      </c>
      <c r="W505" s="67">
        <f>IF(AND(I505="Terminée",S505&gt;0,C505&lt;&gt;"",ISNUMBER(MATCH(C505,eq_code,0))),1,0)</f>
        <v>0.0</v>
      </c>
      <c r="X505" s="67">
        <f>IF(AND(W505=1,E505="Préventif"),1,0)</f>
        <v>0.0</v>
      </c>
      <c r="Y505" s="67">
        <f>IF(AND(ISNUMBER(N505),N(N505)&gt;0),N(N505),0)</f>
        <v>0.0</v>
      </c>
      <c r="Z505" s="67">
        <f>IF(AND(ISNUMBER(P505),N(P505)&gt;0),N(P505),0)</f>
        <v>0.0</v>
      </c>
    </row>
    <row r="506">
      <c r="A506" s="79" t="str">
        <f>IF(COUNTA(B506:C506,E506:G506,I506)=0,"","BI-"&amp;RIGHT("0000"&amp;(ROW()-5),4))</f>
        <v/>
      </c>
      <c r="B506" s="72" t="n"/>
      <c r="C506" s="66" t="n"/>
      <c r="D506" s="67" t="str">
        <f>IF(C506="","",IFERROR(INDEX(eq_des,MATCH(C506,eq_code,0))&amp;"","Équipement inconnu"))</f>
        <v/>
      </c>
      <c r="E506" s="68" t="n"/>
      <c r="F506" s="68" t="n"/>
      <c r="G506" s="66" t="n"/>
      <c r="H506" s="66" t="n"/>
      <c r="I506" s="68" t="n"/>
      <c r="J506" s="73" t="n"/>
      <c r="K506" s="71" t="n"/>
      <c r="L506" s="71" t="n"/>
      <c r="M506" s="66" t="n"/>
      <c r="N506" s="80" t="n"/>
      <c r="O506" s="81" t="str">
        <f>IF(A506="","",ROUND(V506*IFERROR(N(INDEX(tech_rate,MATCH(M506,tech_name,0))),0),2))</f>
        <v/>
      </c>
      <c r="P506" s="80" t="n"/>
      <c r="Q506" s="81" t="str">
        <f>IF(A506="","",ROUND(Y506+O506+Z506,2))</f>
        <v/>
      </c>
      <c r="R506" s="79" t="str">
        <f>IF(A506="","",IF(S506=0,"Date manquante ou invalide",IF(C506="","Équipement manquant",IF(ISNA(MATCH(C506,eq_code,0)),"Équipement inconnu",IF(E506="","Type manquant",IF(AND(E506&lt;&gt;"Préventif",E506&lt;&gt;"Correctif",E506&lt;&gt;"Amélioratif"),"Type inconnu",IF(I506="","Statut manquant",IF(AND(I506&lt;&gt;"Terminée",I506&lt;&gt;"En cours",I506&lt;&gt;"À faire",I506&lt;&gt;"Annulée"),"Statut inconnu",IF(AND(E506="Préventif",F506=""),"Plan manquant (préventif)",IF(AND(F506&lt;&gt;"",ISNA(MATCH(F506,pl_num,0))),"Plan inconnu",IF(AND(F506&lt;&gt;"",IFERROR(INDEX(pl_eq,MATCH(F506,pl_num,0))&amp;"",C506)&lt;&gt;C506),"Plan d'un autre équipement",IF(AND(J506&lt;&gt;"",OR(NOT(ISNUMBER(J506)),N(J506)&lt;0)),"Compteur invalide",IF(OR(AND(K506&lt;&gt;"",OR(NOT(ISNUMBER(K506)),N(K506)&lt;0)),AND(L506&lt;&gt;"",OR(NOT(ISNUMBER(L506)),N(L506)&lt;0))),"Durée invalide",IF(OR(AND(N506&lt;&gt;"",OR(NOT(ISNUMBER(N506)),N(N506)&lt;0)),AND(P506&lt;&gt;"",OR(NOT(ISNUMBER(P506)),N(P506)&lt;0))),"Coût invalide",IF(AND(M506&lt;&gt;"",ISNA(MATCH(M506,tech_name,0))),"Technicien inconnu",IF(AND(I506="Terminée",S506&gt;p_today),"Terminée à une date future",IF(AND(I506="Terminée",V506=0),"Durée d'intervention manquante",IF(AND(I506="Terminée",E506="Préventif",T506=0,OR(IFERROR(INDEX(pl_trig,MATCH(F506,pl_num,0))&amp;"","")="Compteur",IFERROR(INDEX(pl_trig,MATCH(F506,pl_num,0))&amp;"","")="Au premier des deux")),"Compteur manquant (plan au compteur)","OK"))))))))))))))))))</f>
        <v/>
      </c>
      <c r="S506" s="67">
        <f>IF(AND(ISNUMBER(B506),N(B506)&gt;0),INT(B506),0)</f>
        <v>0.0</v>
      </c>
      <c r="T506" s="67">
        <f>IF(AND(ISNUMBER(J506),N(J506)&gt;=0),N(J506),0)</f>
        <v>0.0</v>
      </c>
      <c r="U506" s="67">
        <f>IF(AND(ISNUMBER(K506),N(K506)&gt;0),N(K506),0)</f>
        <v>0.0</v>
      </c>
      <c r="V506" s="67">
        <f>IF(AND(ISNUMBER(L506),N(L506)&gt;0),N(L506),0)</f>
        <v>0.0</v>
      </c>
      <c r="W506" s="67">
        <f>IF(AND(I506="Terminée",S506&gt;0,C506&lt;&gt;"",ISNUMBER(MATCH(C506,eq_code,0))),1,0)</f>
        <v>0.0</v>
      </c>
      <c r="X506" s="67">
        <f>IF(AND(W506=1,E506="Préventif"),1,0)</f>
        <v>0.0</v>
      </c>
      <c r="Y506" s="67">
        <f>IF(AND(ISNUMBER(N506),N(N506)&gt;0),N(N506),0)</f>
        <v>0.0</v>
      </c>
      <c r="Z506" s="67">
        <f>IF(AND(ISNUMBER(P506),N(P506)&gt;0),N(P506),0)</f>
        <v>0.0</v>
      </c>
    </row>
    <row r="507">
      <c r="A507" s="79" t="str">
        <f>IF(COUNTA(B507:C507,E507:G507,I507)=0,"","BI-"&amp;RIGHT("0000"&amp;(ROW()-5),4))</f>
        <v/>
      </c>
      <c r="B507" s="72" t="n"/>
      <c r="C507" s="66" t="n"/>
      <c r="D507" s="67" t="str">
        <f>IF(C507="","",IFERROR(INDEX(eq_des,MATCH(C507,eq_code,0))&amp;"","Équipement inconnu"))</f>
        <v/>
      </c>
      <c r="E507" s="68" t="n"/>
      <c r="F507" s="68" t="n"/>
      <c r="G507" s="66" t="n"/>
      <c r="H507" s="66" t="n"/>
      <c r="I507" s="68" t="n"/>
      <c r="J507" s="73" t="n"/>
      <c r="K507" s="71" t="n"/>
      <c r="L507" s="71" t="n"/>
      <c r="M507" s="66" t="n"/>
      <c r="N507" s="80" t="n"/>
      <c r="O507" s="81" t="str">
        <f>IF(A507="","",ROUND(V507*IFERROR(N(INDEX(tech_rate,MATCH(M507,tech_name,0))),0),2))</f>
        <v/>
      </c>
      <c r="P507" s="80" t="n"/>
      <c r="Q507" s="81" t="str">
        <f>IF(A507="","",ROUND(Y507+O507+Z507,2))</f>
        <v/>
      </c>
      <c r="R507" s="79" t="str">
        <f>IF(A507="","",IF(S507=0,"Date manquante ou invalide",IF(C507="","Équipement manquant",IF(ISNA(MATCH(C507,eq_code,0)),"Équipement inconnu",IF(E507="","Type manquant",IF(AND(E507&lt;&gt;"Préventif",E507&lt;&gt;"Correctif",E507&lt;&gt;"Amélioratif"),"Type inconnu",IF(I507="","Statut manquant",IF(AND(I507&lt;&gt;"Terminée",I507&lt;&gt;"En cours",I507&lt;&gt;"À faire",I507&lt;&gt;"Annulée"),"Statut inconnu",IF(AND(E507="Préventif",F507=""),"Plan manquant (préventif)",IF(AND(F507&lt;&gt;"",ISNA(MATCH(F507,pl_num,0))),"Plan inconnu",IF(AND(F507&lt;&gt;"",IFERROR(INDEX(pl_eq,MATCH(F507,pl_num,0))&amp;"",C507)&lt;&gt;C507),"Plan d'un autre équipement",IF(AND(J507&lt;&gt;"",OR(NOT(ISNUMBER(J507)),N(J507)&lt;0)),"Compteur invalide",IF(OR(AND(K507&lt;&gt;"",OR(NOT(ISNUMBER(K507)),N(K507)&lt;0)),AND(L507&lt;&gt;"",OR(NOT(ISNUMBER(L507)),N(L507)&lt;0))),"Durée invalide",IF(OR(AND(N507&lt;&gt;"",OR(NOT(ISNUMBER(N507)),N(N507)&lt;0)),AND(P507&lt;&gt;"",OR(NOT(ISNUMBER(P507)),N(P507)&lt;0))),"Coût invalide",IF(AND(M507&lt;&gt;"",ISNA(MATCH(M507,tech_name,0))),"Technicien inconnu",IF(AND(I507="Terminée",S507&gt;p_today),"Terminée à une date future",IF(AND(I507="Terminée",V507=0),"Durée d'intervention manquante",IF(AND(I507="Terminée",E507="Préventif",T507=0,OR(IFERROR(INDEX(pl_trig,MATCH(F507,pl_num,0))&amp;"","")="Compteur",IFERROR(INDEX(pl_trig,MATCH(F507,pl_num,0))&amp;"","")="Au premier des deux")),"Compteur manquant (plan au compteur)","OK"))))))))))))))))))</f>
        <v/>
      </c>
      <c r="S507" s="67">
        <f>IF(AND(ISNUMBER(B507),N(B507)&gt;0),INT(B507),0)</f>
        <v>0.0</v>
      </c>
      <c r="T507" s="67">
        <f>IF(AND(ISNUMBER(J507),N(J507)&gt;=0),N(J507),0)</f>
        <v>0.0</v>
      </c>
      <c r="U507" s="67">
        <f>IF(AND(ISNUMBER(K507),N(K507)&gt;0),N(K507),0)</f>
        <v>0.0</v>
      </c>
      <c r="V507" s="67">
        <f>IF(AND(ISNUMBER(L507),N(L507)&gt;0),N(L507),0)</f>
        <v>0.0</v>
      </c>
      <c r="W507" s="67">
        <f>IF(AND(I507="Terminée",S507&gt;0,C507&lt;&gt;"",ISNUMBER(MATCH(C507,eq_code,0))),1,0)</f>
        <v>0.0</v>
      </c>
      <c r="X507" s="67">
        <f>IF(AND(W507=1,E507="Préventif"),1,0)</f>
        <v>0.0</v>
      </c>
      <c r="Y507" s="67">
        <f>IF(AND(ISNUMBER(N507),N(N507)&gt;0),N(N507),0)</f>
        <v>0.0</v>
      </c>
      <c r="Z507" s="67">
        <f>IF(AND(ISNUMBER(P507),N(P507)&gt;0),N(P507),0)</f>
        <v>0.0</v>
      </c>
    </row>
    <row r="508">
      <c r="A508" s="79" t="str">
        <f>IF(COUNTA(B508:C508,E508:G508,I508)=0,"","BI-"&amp;RIGHT("0000"&amp;(ROW()-5),4))</f>
        <v/>
      </c>
      <c r="B508" s="72" t="n"/>
      <c r="C508" s="66" t="n"/>
      <c r="D508" s="67" t="str">
        <f>IF(C508="","",IFERROR(INDEX(eq_des,MATCH(C508,eq_code,0))&amp;"","Équipement inconnu"))</f>
        <v/>
      </c>
      <c r="E508" s="68" t="n"/>
      <c r="F508" s="68" t="n"/>
      <c r="G508" s="66" t="n"/>
      <c r="H508" s="66" t="n"/>
      <c r="I508" s="68" t="n"/>
      <c r="J508" s="73" t="n"/>
      <c r="K508" s="71" t="n"/>
      <c r="L508" s="71" t="n"/>
      <c r="M508" s="66" t="n"/>
      <c r="N508" s="80" t="n"/>
      <c r="O508" s="81" t="str">
        <f>IF(A508="","",ROUND(V508*IFERROR(N(INDEX(tech_rate,MATCH(M508,tech_name,0))),0),2))</f>
        <v/>
      </c>
      <c r="P508" s="80" t="n"/>
      <c r="Q508" s="81" t="str">
        <f>IF(A508="","",ROUND(Y508+O508+Z508,2))</f>
        <v/>
      </c>
      <c r="R508" s="79" t="str">
        <f>IF(A508="","",IF(S508=0,"Date manquante ou invalide",IF(C508="","Équipement manquant",IF(ISNA(MATCH(C508,eq_code,0)),"Équipement inconnu",IF(E508="","Type manquant",IF(AND(E508&lt;&gt;"Préventif",E508&lt;&gt;"Correctif",E508&lt;&gt;"Amélioratif"),"Type inconnu",IF(I508="","Statut manquant",IF(AND(I508&lt;&gt;"Terminée",I508&lt;&gt;"En cours",I508&lt;&gt;"À faire",I508&lt;&gt;"Annulée"),"Statut inconnu",IF(AND(E508="Préventif",F508=""),"Plan manquant (préventif)",IF(AND(F508&lt;&gt;"",ISNA(MATCH(F508,pl_num,0))),"Plan inconnu",IF(AND(F508&lt;&gt;"",IFERROR(INDEX(pl_eq,MATCH(F508,pl_num,0))&amp;"",C508)&lt;&gt;C508),"Plan d'un autre équipement",IF(AND(J508&lt;&gt;"",OR(NOT(ISNUMBER(J508)),N(J508)&lt;0)),"Compteur invalide",IF(OR(AND(K508&lt;&gt;"",OR(NOT(ISNUMBER(K508)),N(K508)&lt;0)),AND(L508&lt;&gt;"",OR(NOT(ISNUMBER(L508)),N(L508)&lt;0))),"Durée invalide",IF(OR(AND(N508&lt;&gt;"",OR(NOT(ISNUMBER(N508)),N(N508)&lt;0)),AND(P508&lt;&gt;"",OR(NOT(ISNUMBER(P508)),N(P508)&lt;0))),"Coût invalide",IF(AND(M508&lt;&gt;"",ISNA(MATCH(M508,tech_name,0))),"Technicien inconnu",IF(AND(I508="Terminée",S508&gt;p_today),"Terminée à une date future",IF(AND(I508="Terminée",V508=0),"Durée d'intervention manquante",IF(AND(I508="Terminée",E508="Préventif",T508=0,OR(IFERROR(INDEX(pl_trig,MATCH(F508,pl_num,0))&amp;"","")="Compteur",IFERROR(INDEX(pl_trig,MATCH(F508,pl_num,0))&amp;"","")="Au premier des deux")),"Compteur manquant (plan au compteur)","OK"))))))))))))))))))</f>
        <v/>
      </c>
      <c r="S508" s="67">
        <f>IF(AND(ISNUMBER(B508),N(B508)&gt;0),INT(B508),0)</f>
        <v>0.0</v>
      </c>
      <c r="T508" s="67">
        <f>IF(AND(ISNUMBER(J508),N(J508)&gt;=0),N(J508),0)</f>
        <v>0.0</v>
      </c>
      <c r="U508" s="67">
        <f>IF(AND(ISNUMBER(K508),N(K508)&gt;0),N(K508),0)</f>
        <v>0.0</v>
      </c>
      <c r="V508" s="67">
        <f>IF(AND(ISNUMBER(L508),N(L508)&gt;0),N(L508),0)</f>
        <v>0.0</v>
      </c>
      <c r="W508" s="67">
        <f>IF(AND(I508="Terminée",S508&gt;0,C508&lt;&gt;"",ISNUMBER(MATCH(C508,eq_code,0))),1,0)</f>
        <v>0.0</v>
      </c>
      <c r="X508" s="67">
        <f>IF(AND(W508=1,E508="Préventif"),1,0)</f>
        <v>0.0</v>
      </c>
      <c r="Y508" s="67">
        <f>IF(AND(ISNUMBER(N508),N(N508)&gt;0),N(N508),0)</f>
        <v>0.0</v>
      </c>
      <c r="Z508" s="67">
        <f>IF(AND(ISNUMBER(P508),N(P508)&gt;0),N(P508),0)</f>
        <v>0.0</v>
      </c>
    </row>
    <row r="509">
      <c r="A509" s="79" t="str">
        <f>IF(COUNTA(B509:C509,E509:G509,I509)=0,"","BI-"&amp;RIGHT("0000"&amp;(ROW()-5),4))</f>
        <v/>
      </c>
      <c r="B509" s="72" t="n"/>
      <c r="C509" s="66" t="n"/>
      <c r="D509" s="67" t="str">
        <f>IF(C509="","",IFERROR(INDEX(eq_des,MATCH(C509,eq_code,0))&amp;"","Équipement inconnu"))</f>
        <v/>
      </c>
      <c r="E509" s="68" t="n"/>
      <c r="F509" s="68" t="n"/>
      <c r="G509" s="66" t="n"/>
      <c r="H509" s="66" t="n"/>
      <c r="I509" s="68" t="n"/>
      <c r="J509" s="73" t="n"/>
      <c r="K509" s="71" t="n"/>
      <c r="L509" s="71" t="n"/>
      <c r="M509" s="66" t="n"/>
      <c r="N509" s="80" t="n"/>
      <c r="O509" s="81" t="str">
        <f>IF(A509="","",ROUND(V509*IFERROR(N(INDEX(tech_rate,MATCH(M509,tech_name,0))),0),2))</f>
        <v/>
      </c>
      <c r="P509" s="80" t="n"/>
      <c r="Q509" s="81" t="str">
        <f>IF(A509="","",ROUND(Y509+O509+Z509,2))</f>
        <v/>
      </c>
      <c r="R509" s="79" t="str">
        <f>IF(A509="","",IF(S509=0,"Date manquante ou invalide",IF(C509="","Équipement manquant",IF(ISNA(MATCH(C509,eq_code,0)),"Équipement inconnu",IF(E509="","Type manquant",IF(AND(E509&lt;&gt;"Préventif",E509&lt;&gt;"Correctif",E509&lt;&gt;"Amélioratif"),"Type inconnu",IF(I509="","Statut manquant",IF(AND(I509&lt;&gt;"Terminée",I509&lt;&gt;"En cours",I509&lt;&gt;"À faire",I509&lt;&gt;"Annulée"),"Statut inconnu",IF(AND(E509="Préventif",F509=""),"Plan manquant (préventif)",IF(AND(F509&lt;&gt;"",ISNA(MATCH(F509,pl_num,0))),"Plan inconnu",IF(AND(F509&lt;&gt;"",IFERROR(INDEX(pl_eq,MATCH(F509,pl_num,0))&amp;"",C509)&lt;&gt;C509),"Plan d'un autre équipement",IF(AND(J509&lt;&gt;"",OR(NOT(ISNUMBER(J509)),N(J509)&lt;0)),"Compteur invalide",IF(OR(AND(K509&lt;&gt;"",OR(NOT(ISNUMBER(K509)),N(K509)&lt;0)),AND(L509&lt;&gt;"",OR(NOT(ISNUMBER(L509)),N(L509)&lt;0))),"Durée invalide",IF(OR(AND(N509&lt;&gt;"",OR(NOT(ISNUMBER(N509)),N(N509)&lt;0)),AND(P509&lt;&gt;"",OR(NOT(ISNUMBER(P509)),N(P509)&lt;0))),"Coût invalide",IF(AND(M509&lt;&gt;"",ISNA(MATCH(M509,tech_name,0))),"Technicien inconnu",IF(AND(I509="Terminée",S509&gt;p_today),"Terminée à une date future",IF(AND(I509="Terminée",V509=0),"Durée d'intervention manquante",IF(AND(I509="Terminée",E509="Préventif",T509=0,OR(IFERROR(INDEX(pl_trig,MATCH(F509,pl_num,0))&amp;"","")="Compteur",IFERROR(INDEX(pl_trig,MATCH(F509,pl_num,0))&amp;"","")="Au premier des deux")),"Compteur manquant (plan au compteur)","OK"))))))))))))))))))</f>
        <v/>
      </c>
      <c r="S509" s="67">
        <f>IF(AND(ISNUMBER(B509),N(B509)&gt;0),INT(B509),0)</f>
        <v>0.0</v>
      </c>
      <c r="T509" s="67">
        <f>IF(AND(ISNUMBER(J509),N(J509)&gt;=0),N(J509),0)</f>
        <v>0.0</v>
      </c>
      <c r="U509" s="67">
        <f>IF(AND(ISNUMBER(K509),N(K509)&gt;0),N(K509),0)</f>
        <v>0.0</v>
      </c>
      <c r="V509" s="67">
        <f>IF(AND(ISNUMBER(L509),N(L509)&gt;0),N(L509),0)</f>
        <v>0.0</v>
      </c>
      <c r="W509" s="67">
        <f>IF(AND(I509="Terminée",S509&gt;0,C509&lt;&gt;"",ISNUMBER(MATCH(C509,eq_code,0))),1,0)</f>
        <v>0.0</v>
      </c>
      <c r="X509" s="67">
        <f>IF(AND(W509=1,E509="Préventif"),1,0)</f>
        <v>0.0</v>
      </c>
      <c r="Y509" s="67">
        <f>IF(AND(ISNUMBER(N509),N(N509)&gt;0),N(N509),0)</f>
        <v>0.0</v>
      </c>
      <c r="Z509" s="67">
        <f>IF(AND(ISNUMBER(P509),N(P509)&gt;0),N(P509),0)</f>
        <v>0.0</v>
      </c>
    </row>
    <row r="510">
      <c r="A510" s="79" t="str">
        <f>IF(COUNTA(B510:C510,E510:G510,I510)=0,"","BI-"&amp;RIGHT("0000"&amp;(ROW()-5),4))</f>
        <v/>
      </c>
      <c r="B510" s="72" t="n"/>
      <c r="C510" s="66" t="n"/>
      <c r="D510" s="67" t="str">
        <f>IF(C510="","",IFERROR(INDEX(eq_des,MATCH(C510,eq_code,0))&amp;"","Équipement inconnu"))</f>
        <v/>
      </c>
      <c r="E510" s="68" t="n"/>
      <c r="F510" s="68" t="n"/>
      <c r="G510" s="66" t="n"/>
      <c r="H510" s="66" t="n"/>
      <c r="I510" s="68" t="n"/>
      <c r="J510" s="73" t="n"/>
      <c r="K510" s="71" t="n"/>
      <c r="L510" s="71" t="n"/>
      <c r="M510" s="66" t="n"/>
      <c r="N510" s="80" t="n"/>
      <c r="O510" s="81" t="str">
        <f>IF(A510="","",ROUND(V510*IFERROR(N(INDEX(tech_rate,MATCH(M510,tech_name,0))),0),2))</f>
        <v/>
      </c>
      <c r="P510" s="80" t="n"/>
      <c r="Q510" s="81" t="str">
        <f>IF(A510="","",ROUND(Y510+O510+Z510,2))</f>
        <v/>
      </c>
      <c r="R510" s="79" t="str">
        <f>IF(A510="","",IF(S510=0,"Date manquante ou invalide",IF(C510="","Équipement manquant",IF(ISNA(MATCH(C510,eq_code,0)),"Équipement inconnu",IF(E510="","Type manquant",IF(AND(E510&lt;&gt;"Préventif",E510&lt;&gt;"Correctif",E510&lt;&gt;"Amélioratif"),"Type inconnu",IF(I510="","Statut manquant",IF(AND(I510&lt;&gt;"Terminée",I510&lt;&gt;"En cours",I510&lt;&gt;"À faire",I510&lt;&gt;"Annulée"),"Statut inconnu",IF(AND(E510="Préventif",F510=""),"Plan manquant (préventif)",IF(AND(F510&lt;&gt;"",ISNA(MATCH(F510,pl_num,0))),"Plan inconnu",IF(AND(F510&lt;&gt;"",IFERROR(INDEX(pl_eq,MATCH(F510,pl_num,0))&amp;"",C510)&lt;&gt;C510),"Plan d'un autre équipement",IF(AND(J510&lt;&gt;"",OR(NOT(ISNUMBER(J510)),N(J510)&lt;0)),"Compteur invalide",IF(OR(AND(K510&lt;&gt;"",OR(NOT(ISNUMBER(K510)),N(K510)&lt;0)),AND(L510&lt;&gt;"",OR(NOT(ISNUMBER(L510)),N(L510)&lt;0))),"Durée invalide",IF(OR(AND(N510&lt;&gt;"",OR(NOT(ISNUMBER(N510)),N(N510)&lt;0)),AND(P510&lt;&gt;"",OR(NOT(ISNUMBER(P510)),N(P510)&lt;0))),"Coût invalide",IF(AND(M510&lt;&gt;"",ISNA(MATCH(M510,tech_name,0))),"Technicien inconnu",IF(AND(I510="Terminée",S510&gt;p_today),"Terminée à une date future",IF(AND(I510="Terminée",V510=0),"Durée d'intervention manquante",IF(AND(I510="Terminée",E510="Préventif",T510=0,OR(IFERROR(INDEX(pl_trig,MATCH(F510,pl_num,0))&amp;"","")="Compteur",IFERROR(INDEX(pl_trig,MATCH(F510,pl_num,0))&amp;"","")="Au premier des deux")),"Compteur manquant (plan au compteur)","OK"))))))))))))))))))</f>
        <v/>
      </c>
      <c r="S510" s="67">
        <f>IF(AND(ISNUMBER(B510),N(B510)&gt;0),INT(B510),0)</f>
        <v>0.0</v>
      </c>
      <c r="T510" s="67">
        <f>IF(AND(ISNUMBER(J510),N(J510)&gt;=0),N(J510),0)</f>
        <v>0.0</v>
      </c>
      <c r="U510" s="67">
        <f>IF(AND(ISNUMBER(K510),N(K510)&gt;0),N(K510),0)</f>
        <v>0.0</v>
      </c>
      <c r="V510" s="67">
        <f>IF(AND(ISNUMBER(L510),N(L510)&gt;0),N(L510),0)</f>
        <v>0.0</v>
      </c>
      <c r="W510" s="67">
        <f>IF(AND(I510="Terminée",S510&gt;0,C510&lt;&gt;"",ISNUMBER(MATCH(C510,eq_code,0))),1,0)</f>
        <v>0.0</v>
      </c>
      <c r="X510" s="67">
        <f>IF(AND(W510=1,E510="Préventif"),1,0)</f>
        <v>0.0</v>
      </c>
      <c r="Y510" s="67">
        <f>IF(AND(ISNUMBER(N510),N(N510)&gt;0),N(N510),0)</f>
        <v>0.0</v>
      </c>
      <c r="Z510" s="67">
        <f>IF(AND(ISNUMBER(P510),N(P510)&gt;0),N(P510),0)</f>
        <v>0.0</v>
      </c>
    </row>
    <row r="511">
      <c r="A511" s="79" t="str">
        <f>IF(COUNTA(B511:C511,E511:G511,I511)=0,"","BI-"&amp;RIGHT("0000"&amp;(ROW()-5),4))</f>
        <v/>
      </c>
      <c r="B511" s="72" t="n"/>
      <c r="C511" s="66" t="n"/>
      <c r="D511" s="67" t="str">
        <f>IF(C511="","",IFERROR(INDEX(eq_des,MATCH(C511,eq_code,0))&amp;"","Équipement inconnu"))</f>
        <v/>
      </c>
      <c r="E511" s="68" t="n"/>
      <c r="F511" s="68" t="n"/>
      <c r="G511" s="66" t="n"/>
      <c r="H511" s="66" t="n"/>
      <c r="I511" s="68" t="n"/>
      <c r="J511" s="73" t="n"/>
      <c r="K511" s="71" t="n"/>
      <c r="L511" s="71" t="n"/>
      <c r="M511" s="66" t="n"/>
      <c r="N511" s="80" t="n"/>
      <c r="O511" s="81" t="str">
        <f>IF(A511="","",ROUND(V511*IFERROR(N(INDEX(tech_rate,MATCH(M511,tech_name,0))),0),2))</f>
        <v/>
      </c>
      <c r="P511" s="80" t="n"/>
      <c r="Q511" s="81" t="str">
        <f>IF(A511="","",ROUND(Y511+O511+Z511,2))</f>
        <v/>
      </c>
      <c r="R511" s="79" t="str">
        <f>IF(A511="","",IF(S511=0,"Date manquante ou invalide",IF(C511="","Équipement manquant",IF(ISNA(MATCH(C511,eq_code,0)),"Équipement inconnu",IF(E511="","Type manquant",IF(AND(E511&lt;&gt;"Préventif",E511&lt;&gt;"Correctif",E511&lt;&gt;"Amélioratif"),"Type inconnu",IF(I511="","Statut manquant",IF(AND(I511&lt;&gt;"Terminée",I511&lt;&gt;"En cours",I511&lt;&gt;"À faire",I511&lt;&gt;"Annulée"),"Statut inconnu",IF(AND(E511="Préventif",F511=""),"Plan manquant (préventif)",IF(AND(F511&lt;&gt;"",ISNA(MATCH(F511,pl_num,0))),"Plan inconnu",IF(AND(F511&lt;&gt;"",IFERROR(INDEX(pl_eq,MATCH(F511,pl_num,0))&amp;"",C511)&lt;&gt;C511),"Plan d'un autre équipement",IF(AND(J511&lt;&gt;"",OR(NOT(ISNUMBER(J511)),N(J511)&lt;0)),"Compteur invalide",IF(OR(AND(K511&lt;&gt;"",OR(NOT(ISNUMBER(K511)),N(K511)&lt;0)),AND(L511&lt;&gt;"",OR(NOT(ISNUMBER(L511)),N(L511)&lt;0))),"Durée invalide",IF(OR(AND(N511&lt;&gt;"",OR(NOT(ISNUMBER(N511)),N(N511)&lt;0)),AND(P511&lt;&gt;"",OR(NOT(ISNUMBER(P511)),N(P511)&lt;0))),"Coût invalide",IF(AND(M511&lt;&gt;"",ISNA(MATCH(M511,tech_name,0))),"Technicien inconnu",IF(AND(I511="Terminée",S511&gt;p_today),"Terminée à une date future",IF(AND(I511="Terminée",V511=0),"Durée d'intervention manquante",IF(AND(I511="Terminée",E511="Préventif",T511=0,OR(IFERROR(INDEX(pl_trig,MATCH(F511,pl_num,0))&amp;"","")="Compteur",IFERROR(INDEX(pl_trig,MATCH(F511,pl_num,0))&amp;"","")="Au premier des deux")),"Compteur manquant (plan au compteur)","OK"))))))))))))))))))</f>
        <v/>
      </c>
      <c r="S511" s="67">
        <f>IF(AND(ISNUMBER(B511),N(B511)&gt;0),INT(B511),0)</f>
        <v>0.0</v>
      </c>
      <c r="T511" s="67">
        <f>IF(AND(ISNUMBER(J511),N(J511)&gt;=0),N(J511),0)</f>
        <v>0.0</v>
      </c>
      <c r="U511" s="67">
        <f>IF(AND(ISNUMBER(K511),N(K511)&gt;0),N(K511),0)</f>
        <v>0.0</v>
      </c>
      <c r="V511" s="67">
        <f>IF(AND(ISNUMBER(L511),N(L511)&gt;0),N(L511),0)</f>
        <v>0.0</v>
      </c>
      <c r="W511" s="67">
        <f>IF(AND(I511="Terminée",S511&gt;0,C511&lt;&gt;"",ISNUMBER(MATCH(C511,eq_code,0))),1,0)</f>
        <v>0.0</v>
      </c>
      <c r="X511" s="67">
        <f>IF(AND(W511=1,E511="Préventif"),1,0)</f>
        <v>0.0</v>
      </c>
      <c r="Y511" s="67">
        <f>IF(AND(ISNUMBER(N511),N(N511)&gt;0),N(N511),0)</f>
        <v>0.0</v>
      </c>
      <c r="Z511" s="67">
        <f>IF(AND(ISNUMBER(P511),N(P511)&gt;0),N(P511),0)</f>
        <v>0.0</v>
      </c>
    </row>
    <row r="512">
      <c r="A512" s="79" t="str">
        <f>IF(COUNTA(B512:C512,E512:G512,I512)=0,"","BI-"&amp;RIGHT("0000"&amp;(ROW()-5),4))</f>
        <v/>
      </c>
      <c r="B512" s="72" t="n"/>
      <c r="C512" s="66" t="n"/>
      <c r="D512" s="67" t="str">
        <f>IF(C512="","",IFERROR(INDEX(eq_des,MATCH(C512,eq_code,0))&amp;"","Équipement inconnu"))</f>
        <v/>
      </c>
      <c r="E512" s="68" t="n"/>
      <c r="F512" s="68" t="n"/>
      <c r="G512" s="66" t="n"/>
      <c r="H512" s="66" t="n"/>
      <c r="I512" s="68" t="n"/>
      <c r="J512" s="73" t="n"/>
      <c r="K512" s="71" t="n"/>
      <c r="L512" s="71" t="n"/>
      <c r="M512" s="66" t="n"/>
      <c r="N512" s="80" t="n"/>
      <c r="O512" s="81" t="str">
        <f>IF(A512="","",ROUND(V512*IFERROR(N(INDEX(tech_rate,MATCH(M512,tech_name,0))),0),2))</f>
        <v/>
      </c>
      <c r="P512" s="80" t="n"/>
      <c r="Q512" s="81" t="str">
        <f>IF(A512="","",ROUND(Y512+O512+Z512,2))</f>
        <v/>
      </c>
      <c r="R512" s="79" t="str">
        <f>IF(A512="","",IF(S512=0,"Date manquante ou invalide",IF(C512="","Équipement manquant",IF(ISNA(MATCH(C512,eq_code,0)),"Équipement inconnu",IF(E512="","Type manquant",IF(AND(E512&lt;&gt;"Préventif",E512&lt;&gt;"Correctif",E512&lt;&gt;"Amélioratif"),"Type inconnu",IF(I512="","Statut manquant",IF(AND(I512&lt;&gt;"Terminée",I512&lt;&gt;"En cours",I512&lt;&gt;"À faire",I512&lt;&gt;"Annulée"),"Statut inconnu",IF(AND(E512="Préventif",F512=""),"Plan manquant (préventif)",IF(AND(F512&lt;&gt;"",ISNA(MATCH(F512,pl_num,0))),"Plan inconnu",IF(AND(F512&lt;&gt;"",IFERROR(INDEX(pl_eq,MATCH(F512,pl_num,0))&amp;"",C512)&lt;&gt;C512),"Plan d'un autre équipement",IF(AND(J512&lt;&gt;"",OR(NOT(ISNUMBER(J512)),N(J512)&lt;0)),"Compteur invalide",IF(OR(AND(K512&lt;&gt;"",OR(NOT(ISNUMBER(K512)),N(K512)&lt;0)),AND(L512&lt;&gt;"",OR(NOT(ISNUMBER(L512)),N(L512)&lt;0))),"Durée invalide",IF(OR(AND(N512&lt;&gt;"",OR(NOT(ISNUMBER(N512)),N(N512)&lt;0)),AND(P512&lt;&gt;"",OR(NOT(ISNUMBER(P512)),N(P512)&lt;0))),"Coût invalide",IF(AND(M512&lt;&gt;"",ISNA(MATCH(M512,tech_name,0))),"Technicien inconnu",IF(AND(I512="Terminée",S512&gt;p_today),"Terminée à une date future",IF(AND(I512="Terminée",V512=0),"Durée d'intervention manquante",IF(AND(I512="Terminée",E512="Préventif",T512=0,OR(IFERROR(INDEX(pl_trig,MATCH(F512,pl_num,0))&amp;"","")="Compteur",IFERROR(INDEX(pl_trig,MATCH(F512,pl_num,0))&amp;"","")="Au premier des deux")),"Compteur manquant (plan au compteur)","OK"))))))))))))))))))</f>
        <v/>
      </c>
      <c r="S512" s="67">
        <f>IF(AND(ISNUMBER(B512),N(B512)&gt;0),INT(B512),0)</f>
        <v>0.0</v>
      </c>
      <c r="T512" s="67">
        <f>IF(AND(ISNUMBER(J512),N(J512)&gt;=0),N(J512),0)</f>
        <v>0.0</v>
      </c>
      <c r="U512" s="67">
        <f>IF(AND(ISNUMBER(K512),N(K512)&gt;0),N(K512),0)</f>
        <v>0.0</v>
      </c>
      <c r="V512" s="67">
        <f>IF(AND(ISNUMBER(L512),N(L512)&gt;0),N(L512),0)</f>
        <v>0.0</v>
      </c>
      <c r="W512" s="67">
        <f>IF(AND(I512="Terminée",S512&gt;0,C512&lt;&gt;"",ISNUMBER(MATCH(C512,eq_code,0))),1,0)</f>
        <v>0.0</v>
      </c>
      <c r="X512" s="67">
        <f>IF(AND(W512=1,E512="Préventif"),1,0)</f>
        <v>0.0</v>
      </c>
      <c r="Y512" s="67">
        <f>IF(AND(ISNUMBER(N512),N(N512)&gt;0),N(N512),0)</f>
        <v>0.0</v>
      </c>
      <c r="Z512" s="67">
        <f>IF(AND(ISNUMBER(P512),N(P512)&gt;0),N(P512),0)</f>
        <v>0.0</v>
      </c>
    </row>
    <row r="513">
      <c r="A513" s="79" t="str">
        <f>IF(COUNTA(B513:C513,E513:G513,I513)=0,"","BI-"&amp;RIGHT("0000"&amp;(ROW()-5),4))</f>
        <v/>
      </c>
      <c r="B513" s="72" t="n"/>
      <c r="C513" s="66" t="n"/>
      <c r="D513" s="67" t="str">
        <f>IF(C513="","",IFERROR(INDEX(eq_des,MATCH(C513,eq_code,0))&amp;"","Équipement inconnu"))</f>
        <v/>
      </c>
      <c r="E513" s="68" t="n"/>
      <c r="F513" s="68" t="n"/>
      <c r="G513" s="66" t="n"/>
      <c r="H513" s="66" t="n"/>
      <c r="I513" s="68" t="n"/>
      <c r="J513" s="73" t="n"/>
      <c r="K513" s="71" t="n"/>
      <c r="L513" s="71" t="n"/>
      <c r="M513" s="66" t="n"/>
      <c r="N513" s="80" t="n"/>
      <c r="O513" s="81" t="str">
        <f>IF(A513="","",ROUND(V513*IFERROR(N(INDEX(tech_rate,MATCH(M513,tech_name,0))),0),2))</f>
        <v/>
      </c>
      <c r="P513" s="80" t="n"/>
      <c r="Q513" s="81" t="str">
        <f>IF(A513="","",ROUND(Y513+O513+Z513,2))</f>
        <v/>
      </c>
      <c r="R513" s="79" t="str">
        <f>IF(A513="","",IF(S513=0,"Date manquante ou invalide",IF(C513="","Équipement manquant",IF(ISNA(MATCH(C513,eq_code,0)),"Équipement inconnu",IF(E513="","Type manquant",IF(AND(E513&lt;&gt;"Préventif",E513&lt;&gt;"Correctif",E513&lt;&gt;"Amélioratif"),"Type inconnu",IF(I513="","Statut manquant",IF(AND(I513&lt;&gt;"Terminée",I513&lt;&gt;"En cours",I513&lt;&gt;"À faire",I513&lt;&gt;"Annulée"),"Statut inconnu",IF(AND(E513="Préventif",F513=""),"Plan manquant (préventif)",IF(AND(F513&lt;&gt;"",ISNA(MATCH(F513,pl_num,0))),"Plan inconnu",IF(AND(F513&lt;&gt;"",IFERROR(INDEX(pl_eq,MATCH(F513,pl_num,0))&amp;"",C513)&lt;&gt;C513),"Plan d'un autre équipement",IF(AND(J513&lt;&gt;"",OR(NOT(ISNUMBER(J513)),N(J513)&lt;0)),"Compteur invalide",IF(OR(AND(K513&lt;&gt;"",OR(NOT(ISNUMBER(K513)),N(K513)&lt;0)),AND(L513&lt;&gt;"",OR(NOT(ISNUMBER(L513)),N(L513)&lt;0))),"Durée invalide",IF(OR(AND(N513&lt;&gt;"",OR(NOT(ISNUMBER(N513)),N(N513)&lt;0)),AND(P513&lt;&gt;"",OR(NOT(ISNUMBER(P513)),N(P513)&lt;0))),"Coût invalide",IF(AND(M513&lt;&gt;"",ISNA(MATCH(M513,tech_name,0))),"Technicien inconnu",IF(AND(I513="Terminée",S513&gt;p_today),"Terminée à une date future",IF(AND(I513="Terminée",V513=0),"Durée d'intervention manquante",IF(AND(I513="Terminée",E513="Préventif",T513=0,OR(IFERROR(INDEX(pl_trig,MATCH(F513,pl_num,0))&amp;"","")="Compteur",IFERROR(INDEX(pl_trig,MATCH(F513,pl_num,0))&amp;"","")="Au premier des deux")),"Compteur manquant (plan au compteur)","OK"))))))))))))))))))</f>
        <v/>
      </c>
      <c r="S513" s="67">
        <f>IF(AND(ISNUMBER(B513),N(B513)&gt;0),INT(B513),0)</f>
        <v>0.0</v>
      </c>
      <c r="T513" s="67">
        <f>IF(AND(ISNUMBER(J513),N(J513)&gt;=0),N(J513),0)</f>
        <v>0.0</v>
      </c>
      <c r="U513" s="67">
        <f>IF(AND(ISNUMBER(K513),N(K513)&gt;0),N(K513),0)</f>
        <v>0.0</v>
      </c>
      <c r="V513" s="67">
        <f>IF(AND(ISNUMBER(L513),N(L513)&gt;0),N(L513),0)</f>
        <v>0.0</v>
      </c>
      <c r="W513" s="67">
        <f>IF(AND(I513="Terminée",S513&gt;0,C513&lt;&gt;"",ISNUMBER(MATCH(C513,eq_code,0))),1,0)</f>
        <v>0.0</v>
      </c>
      <c r="X513" s="67">
        <f>IF(AND(W513=1,E513="Préventif"),1,0)</f>
        <v>0.0</v>
      </c>
      <c r="Y513" s="67">
        <f>IF(AND(ISNUMBER(N513),N(N513)&gt;0),N(N513),0)</f>
        <v>0.0</v>
      </c>
      <c r="Z513" s="67">
        <f>IF(AND(ISNUMBER(P513),N(P513)&gt;0),N(P513),0)</f>
        <v>0.0</v>
      </c>
    </row>
    <row r="514">
      <c r="A514" s="79" t="str">
        <f>IF(COUNTA(B514:C514,E514:G514,I514)=0,"","BI-"&amp;RIGHT("0000"&amp;(ROW()-5),4))</f>
        <v/>
      </c>
      <c r="B514" s="72" t="n"/>
      <c r="C514" s="66" t="n"/>
      <c r="D514" s="67" t="str">
        <f>IF(C514="","",IFERROR(INDEX(eq_des,MATCH(C514,eq_code,0))&amp;"","Équipement inconnu"))</f>
        <v/>
      </c>
      <c r="E514" s="68" t="n"/>
      <c r="F514" s="68" t="n"/>
      <c r="G514" s="66" t="n"/>
      <c r="H514" s="66" t="n"/>
      <c r="I514" s="68" t="n"/>
      <c r="J514" s="73" t="n"/>
      <c r="K514" s="71" t="n"/>
      <c r="L514" s="71" t="n"/>
      <c r="M514" s="66" t="n"/>
      <c r="N514" s="80" t="n"/>
      <c r="O514" s="81" t="str">
        <f>IF(A514="","",ROUND(V514*IFERROR(N(INDEX(tech_rate,MATCH(M514,tech_name,0))),0),2))</f>
        <v/>
      </c>
      <c r="P514" s="80" t="n"/>
      <c r="Q514" s="81" t="str">
        <f>IF(A514="","",ROUND(Y514+O514+Z514,2))</f>
        <v/>
      </c>
      <c r="R514" s="79" t="str">
        <f>IF(A514="","",IF(S514=0,"Date manquante ou invalide",IF(C514="","Équipement manquant",IF(ISNA(MATCH(C514,eq_code,0)),"Équipement inconnu",IF(E514="","Type manquant",IF(AND(E514&lt;&gt;"Préventif",E514&lt;&gt;"Correctif",E514&lt;&gt;"Amélioratif"),"Type inconnu",IF(I514="","Statut manquant",IF(AND(I514&lt;&gt;"Terminée",I514&lt;&gt;"En cours",I514&lt;&gt;"À faire",I514&lt;&gt;"Annulée"),"Statut inconnu",IF(AND(E514="Préventif",F514=""),"Plan manquant (préventif)",IF(AND(F514&lt;&gt;"",ISNA(MATCH(F514,pl_num,0))),"Plan inconnu",IF(AND(F514&lt;&gt;"",IFERROR(INDEX(pl_eq,MATCH(F514,pl_num,0))&amp;"",C514)&lt;&gt;C514),"Plan d'un autre équipement",IF(AND(J514&lt;&gt;"",OR(NOT(ISNUMBER(J514)),N(J514)&lt;0)),"Compteur invalide",IF(OR(AND(K514&lt;&gt;"",OR(NOT(ISNUMBER(K514)),N(K514)&lt;0)),AND(L514&lt;&gt;"",OR(NOT(ISNUMBER(L514)),N(L514)&lt;0))),"Durée invalide",IF(OR(AND(N514&lt;&gt;"",OR(NOT(ISNUMBER(N514)),N(N514)&lt;0)),AND(P514&lt;&gt;"",OR(NOT(ISNUMBER(P514)),N(P514)&lt;0))),"Coût invalide",IF(AND(M514&lt;&gt;"",ISNA(MATCH(M514,tech_name,0))),"Technicien inconnu",IF(AND(I514="Terminée",S514&gt;p_today),"Terminée à une date future",IF(AND(I514="Terminée",V514=0),"Durée d'intervention manquante",IF(AND(I514="Terminée",E514="Préventif",T514=0,OR(IFERROR(INDEX(pl_trig,MATCH(F514,pl_num,0))&amp;"","")="Compteur",IFERROR(INDEX(pl_trig,MATCH(F514,pl_num,0))&amp;"","")="Au premier des deux")),"Compteur manquant (plan au compteur)","OK"))))))))))))))))))</f>
        <v/>
      </c>
      <c r="S514" s="67">
        <f>IF(AND(ISNUMBER(B514),N(B514)&gt;0),INT(B514),0)</f>
        <v>0.0</v>
      </c>
      <c r="T514" s="67">
        <f>IF(AND(ISNUMBER(J514),N(J514)&gt;=0),N(J514),0)</f>
        <v>0.0</v>
      </c>
      <c r="U514" s="67">
        <f>IF(AND(ISNUMBER(K514),N(K514)&gt;0),N(K514),0)</f>
        <v>0.0</v>
      </c>
      <c r="V514" s="67">
        <f>IF(AND(ISNUMBER(L514),N(L514)&gt;0),N(L514),0)</f>
        <v>0.0</v>
      </c>
      <c r="W514" s="67">
        <f>IF(AND(I514="Terminée",S514&gt;0,C514&lt;&gt;"",ISNUMBER(MATCH(C514,eq_code,0))),1,0)</f>
        <v>0.0</v>
      </c>
      <c r="X514" s="67">
        <f>IF(AND(W514=1,E514="Préventif"),1,0)</f>
        <v>0.0</v>
      </c>
      <c r="Y514" s="67">
        <f>IF(AND(ISNUMBER(N514),N(N514)&gt;0),N(N514),0)</f>
        <v>0.0</v>
      </c>
      <c r="Z514" s="67">
        <f>IF(AND(ISNUMBER(P514),N(P514)&gt;0),N(P514),0)</f>
        <v>0.0</v>
      </c>
    </row>
    <row r="515">
      <c r="A515" s="79" t="str">
        <f>IF(COUNTA(B515:C515,E515:G515,I515)=0,"","BI-"&amp;RIGHT("0000"&amp;(ROW()-5),4))</f>
        <v/>
      </c>
      <c r="B515" s="72" t="n"/>
      <c r="C515" s="66" t="n"/>
      <c r="D515" s="67" t="str">
        <f>IF(C515="","",IFERROR(INDEX(eq_des,MATCH(C515,eq_code,0))&amp;"","Équipement inconnu"))</f>
        <v/>
      </c>
      <c r="E515" s="68" t="n"/>
      <c r="F515" s="68" t="n"/>
      <c r="G515" s="66" t="n"/>
      <c r="H515" s="66" t="n"/>
      <c r="I515" s="68" t="n"/>
      <c r="J515" s="73" t="n"/>
      <c r="K515" s="71" t="n"/>
      <c r="L515" s="71" t="n"/>
      <c r="M515" s="66" t="n"/>
      <c r="N515" s="80" t="n"/>
      <c r="O515" s="81" t="str">
        <f>IF(A515="","",ROUND(V515*IFERROR(N(INDEX(tech_rate,MATCH(M515,tech_name,0))),0),2))</f>
        <v/>
      </c>
      <c r="P515" s="80" t="n"/>
      <c r="Q515" s="81" t="str">
        <f>IF(A515="","",ROUND(Y515+O515+Z515,2))</f>
        <v/>
      </c>
      <c r="R515" s="79" t="str">
        <f>IF(A515="","",IF(S515=0,"Date manquante ou invalide",IF(C515="","Équipement manquant",IF(ISNA(MATCH(C515,eq_code,0)),"Équipement inconnu",IF(E515="","Type manquant",IF(AND(E515&lt;&gt;"Préventif",E515&lt;&gt;"Correctif",E515&lt;&gt;"Amélioratif"),"Type inconnu",IF(I515="","Statut manquant",IF(AND(I515&lt;&gt;"Terminée",I515&lt;&gt;"En cours",I515&lt;&gt;"À faire",I515&lt;&gt;"Annulée"),"Statut inconnu",IF(AND(E515="Préventif",F515=""),"Plan manquant (préventif)",IF(AND(F515&lt;&gt;"",ISNA(MATCH(F515,pl_num,0))),"Plan inconnu",IF(AND(F515&lt;&gt;"",IFERROR(INDEX(pl_eq,MATCH(F515,pl_num,0))&amp;"",C515)&lt;&gt;C515),"Plan d'un autre équipement",IF(AND(J515&lt;&gt;"",OR(NOT(ISNUMBER(J515)),N(J515)&lt;0)),"Compteur invalide",IF(OR(AND(K515&lt;&gt;"",OR(NOT(ISNUMBER(K515)),N(K515)&lt;0)),AND(L515&lt;&gt;"",OR(NOT(ISNUMBER(L515)),N(L515)&lt;0))),"Durée invalide",IF(OR(AND(N515&lt;&gt;"",OR(NOT(ISNUMBER(N515)),N(N515)&lt;0)),AND(P515&lt;&gt;"",OR(NOT(ISNUMBER(P515)),N(P515)&lt;0))),"Coût invalide",IF(AND(M515&lt;&gt;"",ISNA(MATCH(M515,tech_name,0))),"Technicien inconnu",IF(AND(I515="Terminée",S515&gt;p_today),"Terminée à une date future",IF(AND(I515="Terminée",V515=0),"Durée d'intervention manquante",IF(AND(I515="Terminée",E515="Préventif",T515=0,OR(IFERROR(INDEX(pl_trig,MATCH(F515,pl_num,0))&amp;"","")="Compteur",IFERROR(INDEX(pl_trig,MATCH(F515,pl_num,0))&amp;"","")="Au premier des deux")),"Compteur manquant (plan au compteur)","OK"))))))))))))))))))</f>
        <v/>
      </c>
      <c r="S515" s="67">
        <f>IF(AND(ISNUMBER(B515),N(B515)&gt;0),INT(B515),0)</f>
        <v>0.0</v>
      </c>
      <c r="T515" s="67">
        <f>IF(AND(ISNUMBER(J515),N(J515)&gt;=0),N(J515),0)</f>
        <v>0.0</v>
      </c>
      <c r="U515" s="67">
        <f>IF(AND(ISNUMBER(K515),N(K515)&gt;0),N(K515),0)</f>
        <v>0.0</v>
      </c>
      <c r="V515" s="67">
        <f>IF(AND(ISNUMBER(L515),N(L515)&gt;0),N(L515),0)</f>
        <v>0.0</v>
      </c>
      <c r="W515" s="67">
        <f>IF(AND(I515="Terminée",S515&gt;0,C515&lt;&gt;"",ISNUMBER(MATCH(C515,eq_code,0))),1,0)</f>
        <v>0.0</v>
      </c>
      <c r="X515" s="67">
        <f>IF(AND(W515=1,E515="Préventif"),1,0)</f>
        <v>0.0</v>
      </c>
      <c r="Y515" s="67">
        <f>IF(AND(ISNUMBER(N515),N(N515)&gt;0),N(N515),0)</f>
        <v>0.0</v>
      </c>
      <c r="Z515" s="67">
        <f>IF(AND(ISNUMBER(P515),N(P515)&gt;0),N(P515),0)</f>
        <v>0.0</v>
      </c>
    </row>
    <row r="516">
      <c r="A516" s="79" t="str">
        <f>IF(COUNTA(B516:C516,E516:G516,I516)=0,"","BI-"&amp;RIGHT("0000"&amp;(ROW()-5),4))</f>
        <v/>
      </c>
      <c r="B516" s="72" t="n"/>
      <c r="C516" s="66" t="n"/>
      <c r="D516" s="67" t="str">
        <f>IF(C516="","",IFERROR(INDEX(eq_des,MATCH(C516,eq_code,0))&amp;"","Équipement inconnu"))</f>
        <v/>
      </c>
      <c r="E516" s="68" t="n"/>
      <c r="F516" s="68" t="n"/>
      <c r="G516" s="66" t="n"/>
      <c r="H516" s="66" t="n"/>
      <c r="I516" s="68" t="n"/>
      <c r="J516" s="73" t="n"/>
      <c r="K516" s="71" t="n"/>
      <c r="L516" s="71" t="n"/>
      <c r="M516" s="66" t="n"/>
      <c r="N516" s="80" t="n"/>
      <c r="O516" s="81" t="str">
        <f>IF(A516="","",ROUND(V516*IFERROR(N(INDEX(tech_rate,MATCH(M516,tech_name,0))),0),2))</f>
        <v/>
      </c>
      <c r="P516" s="80" t="n"/>
      <c r="Q516" s="81" t="str">
        <f>IF(A516="","",ROUND(Y516+O516+Z516,2))</f>
        <v/>
      </c>
      <c r="R516" s="79" t="str">
        <f>IF(A516="","",IF(S516=0,"Date manquante ou invalide",IF(C516="","Équipement manquant",IF(ISNA(MATCH(C516,eq_code,0)),"Équipement inconnu",IF(E516="","Type manquant",IF(AND(E516&lt;&gt;"Préventif",E516&lt;&gt;"Correctif",E516&lt;&gt;"Amélioratif"),"Type inconnu",IF(I516="","Statut manquant",IF(AND(I516&lt;&gt;"Terminée",I516&lt;&gt;"En cours",I516&lt;&gt;"À faire",I516&lt;&gt;"Annulée"),"Statut inconnu",IF(AND(E516="Préventif",F516=""),"Plan manquant (préventif)",IF(AND(F516&lt;&gt;"",ISNA(MATCH(F516,pl_num,0))),"Plan inconnu",IF(AND(F516&lt;&gt;"",IFERROR(INDEX(pl_eq,MATCH(F516,pl_num,0))&amp;"",C516)&lt;&gt;C516),"Plan d'un autre équipement",IF(AND(J516&lt;&gt;"",OR(NOT(ISNUMBER(J516)),N(J516)&lt;0)),"Compteur invalide",IF(OR(AND(K516&lt;&gt;"",OR(NOT(ISNUMBER(K516)),N(K516)&lt;0)),AND(L516&lt;&gt;"",OR(NOT(ISNUMBER(L516)),N(L516)&lt;0))),"Durée invalide",IF(OR(AND(N516&lt;&gt;"",OR(NOT(ISNUMBER(N516)),N(N516)&lt;0)),AND(P516&lt;&gt;"",OR(NOT(ISNUMBER(P516)),N(P516)&lt;0))),"Coût invalide",IF(AND(M516&lt;&gt;"",ISNA(MATCH(M516,tech_name,0))),"Technicien inconnu",IF(AND(I516="Terminée",S516&gt;p_today),"Terminée à une date future",IF(AND(I516="Terminée",V516=0),"Durée d'intervention manquante",IF(AND(I516="Terminée",E516="Préventif",T516=0,OR(IFERROR(INDEX(pl_trig,MATCH(F516,pl_num,0))&amp;"","")="Compteur",IFERROR(INDEX(pl_trig,MATCH(F516,pl_num,0))&amp;"","")="Au premier des deux")),"Compteur manquant (plan au compteur)","OK"))))))))))))))))))</f>
        <v/>
      </c>
      <c r="S516" s="67">
        <f>IF(AND(ISNUMBER(B516),N(B516)&gt;0),INT(B516),0)</f>
        <v>0.0</v>
      </c>
      <c r="T516" s="67">
        <f>IF(AND(ISNUMBER(J516),N(J516)&gt;=0),N(J516),0)</f>
        <v>0.0</v>
      </c>
      <c r="U516" s="67">
        <f>IF(AND(ISNUMBER(K516),N(K516)&gt;0),N(K516),0)</f>
        <v>0.0</v>
      </c>
      <c r="V516" s="67">
        <f>IF(AND(ISNUMBER(L516),N(L516)&gt;0),N(L516),0)</f>
        <v>0.0</v>
      </c>
      <c r="W516" s="67">
        <f>IF(AND(I516="Terminée",S516&gt;0,C516&lt;&gt;"",ISNUMBER(MATCH(C516,eq_code,0))),1,0)</f>
        <v>0.0</v>
      </c>
      <c r="X516" s="67">
        <f>IF(AND(W516=1,E516="Préventif"),1,0)</f>
        <v>0.0</v>
      </c>
      <c r="Y516" s="67">
        <f>IF(AND(ISNUMBER(N516),N(N516)&gt;0),N(N516),0)</f>
        <v>0.0</v>
      </c>
      <c r="Z516" s="67">
        <f>IF(AND(ISNUMBER(P516),N(P516)&gt;0),N(P516),0)</f>
        <v>0.0</v>
      </c>
    </row>
    <row r="517">
      <c r="A517" s="79" t="str">
        <f>IF(COUNTA(B517:C517,E517:G517,I517)=0,"","BI-"&amp;RIGHT("0000"&amp;(ROW()-5),4))</f>
        <v/>
      </c>
      <c r="B517" s="72" t="n"/>
      <c r="C517" s="66" t="n"/>
      <c r="D517" s="67" t="str">
        <f>IF(C517="","",IFERROR(INDEX(eq_des,MATCH(C517,eq_code,0))&amp;"","Équipement inconnu"))</f>
        <v/>
      </c>
      <c r="E517" s="68" t="n"/>
      <c r="F517" s="68" t="n"/>
      <c r="G517" s="66" t="n"/>
      <c r="H517" s="66" t="n"/>
      <c r="I517" s="68" t="n"/>
      <c r="J517" s="73" t="n"/>
      <c r="K517" s="71" t="n"/>
      <c r="L517" s="71" t="n"/>
      <c r="M517" s="66" t="n"/>
      <c r="N517" s="80" t="n"/>
      <c r="O517" s="81" t="str">
        <f>IF(A517="","",ROUND(V517*IFERROR(N(INDEX(tech_rate,MATCH(M517,tech_name,0))),0),2))</f>
        <v/>
      </c>
      <c r="P517" s="80" t="n"/>
      <c r="Q517" s="81" t="str">
        <f>IF(A517="","",ROUND(Y517+O517+Z517,2))</f>
        <v/>
      </c>
      <c r="R517" s="79" t="str">
        <f>IF(A517="","",IF(S517=0,"Date manquante ou invalide",IF(C517="","Équipement manquant",IF(ISNA(MATCH(C517,eq_code,0)),"Équipement inconnu",IF(E517="","Type manquant",IF(AND(E517&lt;&gt;"Préventif",E517&lt;&gt;"Correctif",E517&lt;&gt;"Amélioratif"),"Type inconnu",IF(I517="","Statut manquant",IF(AND(I517&lt;&gt;"Terminée",I517&lt;&gt;"En cours",I517&lt;&gt;"À faire",I517&lt;&gt;"Annulée"),"Statut inconnu",IF(AND(E517="Préventif",F517=""),"Plan manquant (préventif)",IF(AND(F517&lt;&gt;"",ISNA(MATCH(F517,pl_num,0))),"Plan inconnu",IF(AND(F517&lt;&gt;"",IFERROR(INDEX(pl_eq,MATCH(F517,pl_num,0))&amp;"",C517)&lt;&gt;C517),"Plan d'un autre équipement",IF(AND(J517&lt;&gt;"",OR(NOT(ISNUMBER(J517)),N(J517)&lt;0)),"Compteur invalide",IF(OR(AND(K517&lt;&gt;"",OR(NOT(ISNUMBER(K517)),N(K517)&lt;0)),AND(L517&lt;&gt;"",OR(NOT(ISNUMBER(L517)),N(L517)&lt;0))),"Durée invalide",IF(OR(AND(N517&lt;&gt;"",OR(NOT(ISNUMBER(N517)),N(N517)&lt;0)),AND(P517&lt;&gt;"",OR(NOT(ISNUMBER(P517)),N(P517)&lt;0))),"Coût invalide",IF(AND(M517&lt;&gt;"",ISNA(MATCH(M517,tech_name,0))),"Technicien inconnu",IF(AND(I517="Terminée",S517&gt;p_today),"Terminée à une date future",IF(AND(I517="Terminée",V517=0),"Durée d'intervention manquante",IF(AND(I517="Terminée",E517="Préventif",T517=0,OR(IFERROR(INDEX(pl_trig,MATCH(F517,pl_num,0))&amp;"","")="Compteur",IFERROR(INDEX(pl_trig,MATCH(F517,pl_num,0))&amp;"","")="Au premier des deux")),"Compteur manquant (plan au compteur)","OK"))))))))))))))))))</f>
        <v/>
      </c>
      <c r="S517" s="67">
        <f>IF(AND(ISNUMBER(B517),N(B517)&gt;0),INT(B517),0)</f>
        <v>0.0</v>
      </c>
      <c r="T517" s="67">
        <f>IF(AND(ISNUMBER(J517),N(J517)&gt;=0),N(J517),0)</f>
        <v>0.0</v>
      </c>
      <c r="U517" s="67">
        <f>IF(AND(ISNUMBER(K517),N(K517)&gt;0),N(K517),0)</f>
        <v>0.0</v>
      </c>
      <c r="V517" s="67">
        <f>IF(AND(ISNUMBER(L517),N(L517)&gt;0),N(L517),0)</f>
        <v>0.0</v>
      </c>
      <c r="W517" s="67">
        <f>IF(AND(I517="Terminée",S517&gt;0,C517&lt;&gt;"",ISNUMBER(MATCH(C517,eq_code,0))),1,0)</f>
        <v>0.0</v>
      </c>
      <c r="X517" s="67">
        <f>IF(AND(W517=1,E517="Préventif"),1,0)</f>
        <v>0.0</v>
      </c>
      <c r="Y517" s="67">
        <f>IF(AND(ISNUMBER(N517),N(N517)&gt;0),N(N517),0)</f>
        <v>0.0</v>
      </c>
      <c r="Z517" s="67">
        <f>IF(AND(ISNUMBER(P517),N(P517)&gt;0),N(P517),0)</f>
        <v>0.0</v>
      </c>
    </row>
    <row r="518">
      <c r="A518" s="79" t="str">
        <f>IF(COUNTA(B518:C518,E518:G518,I518)=0,"","BI-"&amp;RIGHT("0000"&amp;(ROW()-5),4))</f>
        <v/>
      </c>
      <c r="B518" s="72" t="n"/>
      <c r="C518" s="66" t="n"/>
      <c r="D518" s="67" t="str">
        <f>IF(C518="","",IFERROR(INDEX(eq_des,MATCH(C518,eq_code,0))&amp;"","Équipement inconnu"))</f>
        <v/>
      </c>
      <c r="E518" s="68" t="n"/>
      <c r="F518" s="68" t="n"/>
      <c r="G518" s="66" t="n"/>
      <c r="H518" s="66" t="n"/>
      <c r="I518" s="68" t="n"/>
      <c r="J518" s="73" t="n"/>
      <c r="K518" s="71" t="n"/>
      <c r="L518" s="71" t="n"/>
      <c r="M518" s="66" t="n"/>
      <c r="N518" s="80" t="n"/>
      <c r="O518" s="81" t="str">
        <f>IF(A518="","",ROUND(V518*IFERROR(N(INDEX(tech_rate,MATCH(M518,tech_name,0))),0),2))</f>
        <v/>
      </c>
      <c r="P518" s="80" t="n"/>
      <c r="Q518" s="81" t="str">
        <f>IF(A518="","",ROUND(Y518+O518+Z518,2))</f>
        <v/>
      </c>
      <c r="R518" s="79" t="str">
        <f>IF(A518="","",IF(S518=0,"Date manquante ou invalide",IF(C518="","Équipement manquant",IF(ISNA(MATCH(C518,eq_code,0)),"Équipement inconnu",IF(E518="","Type manquant",IF(AND(E518&lt;&gt;"Préventif",E518&lt;&gt;"Correctif",E518&lt;&gt;"Amélioratif"),"Type inconnu",IF(I518="","Statut manquant",IF(AND(I518&lt;&gt;"Terminée",I518&lt;&gt;"En cours",I518&lt;&gt;"À faire",I518&lt;&gt;"Annulée"),"Statut inconnu",IF(AND(E518="Préventif",F518=""),"Plan manquant (préventif)",IF(AND(F518&lt;&gt;"",ISNA(MATCH(F518,pl_num,0))),"Plan inconnu",IF(AND(F518&lt;&gt;"",IFERROR(INDEX(pl_eq,MATCH(F518,pl_num,0))&amp;"",C518)&lt;&gt;C518),"Plan d'un autre équipement",IF(AND(J518&lt;&gt;"",OR(NOT(ISNUMBER(J518)),N(J518)&lt;0)),"Compteur invalide",IF(OR(AND(K518&lt;&gt;"",OR(NOT(ISNUMBER(K518)),N(K518)&lt;0)),AND(L518&lt;&gt;"",OR(NOT(ISNUMBER(L518)),N(L518)&lt;0))),"Durée invalide",IF(OR(AND(N518&lt;&gt;"",OR(NOT(ISNUMBER(N518)),N(N518)&lt;0)),AND(P518&lt;&gt;"",OR(NOT(ISNUMBER(P518)),N(P518)&lt;0))),"Coût invalide",IF(AND(M518&lt;&gt;"",ISNA(MATCH(M518,tech_name,0))),"Technicien inconnu",IF(AND(I518="Terminée",S518&gt;p_today),"Terminée à une date future",IF(AND(I518="Terminée",V518=0),"Durée d'intervention manquante",IF(AND(I518="Terminée",E518="Préventif",T518=0,OR(IFERROR(INDEX(pl_trig,MATCH(F518,pl_num,0))&amp;"","")="Compteur",IFERROR(INDEX(pl_trig,MATCH(F518,pl_num,0))&amp;"","")="Au premier des deux")),"Compteur manquant (plan au compteur)","OK"))))))))))))))))))</f>
        <v/>
      </c>
      <c r="S518" s="67">
        <f>IF(AND(ISNUMBER(B518),N(B518)&gt;0),INT(B518),0)</f>
        <v>0.0</v>
      </c>
      <c r="T518" s="67">
        <f>IF(AND(ISNUMBER(J518),N(J518)&gt;=0),N(J518),0)</f>
        <v>0.0</v>
      </c>
      <c r="U518" s="67">
        <f>IF(AND(ISNUMBER(K518),N(K518)&gt;0),N(K518),0)</f>
        <v>0.0</v>
      </c>
      <c r="V518" s="67">
        <f>IF(AND(ISNUMBER(L518),N(L518)&gt;0),N(L518),0)</f>
        <v>0.0</v>
      </c>
      <c r="W518" s="67">
        <f>IF(AND(I518="Terminée",S518&gt;0,C518&lt;&gt;"",ISNUMBER(MATCH(C518,eq_code,0))),1,0)</f>
        <v>0.0</v>
      </c>
      <c r="X518" s="67">
        <f>IF(AND(W518=1,E518="Préventif"),1,0)</f>
        <v>0.0</v>
      </c>
      <c r="Y518" s="67">
        <f>IF(AND(ISNUMBER(N518),N(N518)&gt;0),N(N518),0)</f>
        <v>0.0</v>
      </c>
      <c r="Z518" s="67">
        <f>IF(AND(ISNUMBER(P518),N(P518)&gt;0),N(P518),0)</f>
        <v>0.0</v>
      </c>
    </row>
    <row r="519">
      <c r="A519" s="79" t="str">
        <f>IF(COUNTA(B519:C519,E519:G519,I519)=0,"","BI-"&amp;RIGHT("0000"&amp;(ROW()-5),4))</f>
        <v/>
      </c>
      <c r="B519" s="72" t="n"/>
      <c r="C519" s="66" t="n"/>
      <c r="D519" s="67" t="str">
        <f>IF(C519="","",IFERROR(INDEX(eq_des,MATCH(C519,eq_code,0))&amp;"","Équipement inconnu"))</f>
        <v/>
      </c>
      <c r="E519" s="68" t="n"/>
      <c r="F519" s="68" t="n"/>
      <c r="G519" s="66" t="n"/>
      <c r="H519" s="66" t="n"/>
      <c r="I519" s="68" t="n"/>
      <c r="J519" s="73" t="n"/>
      <c r="K519" s="71" t="n"/>
      <c r="L519" s="71" t="n"/>
      <c r="M519" s="66" t="n"/>
      <c r="N519" s="80" t="n"/>
      <c r="O519" s="81" t="str">
        <f>IF(A519="","",ROUND(V519*IFERROR(N(INDEX(tech_rate,MATCH(M519,tech_name,0))),0),2))</f>
        <v/>
      </c>
      <c r="P519" s="80" t="n"/>
      <c r="Q519" s="81" t="str">
        <f>IF(A519="","",ROUND(Y519+O519+Z519,2))</f>
        <v/>
      </c>
      <c r="R519" s="79" t="str">
        <f>IF(A519="","",IF(S519=0,"Date manquante ou invalide",IF(C519="","Équipement manquant",IF(ISNA(MATCH(C519,eq_code,0)),"Équipement inconnu",IF(E519="","Type manquant",IF(AND(E519&lt;&gt;"Préventif",E519&lt;&gt;"Correctif",E519&lt;&gt;"Amélioratif"),"Type inconnu",IF(I519="","Statut manquant",IF(AND(I519&lt;&gt;"Terminée",I519&lt;&gt;"En cours",I519&lt;&gt;"À faire",I519&lt;&gt;"Annulée"),"Statut inconnu",IF(AND(E519="Préventif",F519=""),"Plan manquant (préventif)",IF(AND(F519&lt;&gt;"",ISNA(MATCH(F519,pl_num,0))),"Plan inconnu",IF(AND(F519&lt;&gt;"",IFERROR(INDEX(pl_eq,MATCH(F519,pl_num,0))&amp;"",C519)&lt;&gt;C519),"Plan d'un autre équipement",IF(AND(J519&lt;&gt;"",OR(NOT(ISNUMBER(J519)),N(J519)&lt;0)),"Compteur invalide",IF(OR(AND(K519&lt;&gt;"",OR(NOT(ISNUMBER(K519)),N(K519)&lt;0)),AND(L519&lt;&gt;"",OR(NOT(ISNUMBER(L519)),N(L519)&lt;0))),"Durée invalide",IF(OR(AND(N519&lt;&gt;"",OR(NOT(ISNUMBER(N519)),N(N519)&lt;0)),AND(P519&lt;&gt;"",OR(NOT(ISNUMBER(P519)),N(P519)&lt;0))),"Coût invalide",IF(AND(M519&lt;&gt;"",ISNA(MATCH(M519,tech_name,0))),"Technicien inconnu",IF(AND(I519="Terminée",S519&gt;p_today),"Terminée à une date future",IF(AND(I519="Terminée",V519=0),"Durée d'intervention manquante",IF(AND(I519="Terminée",E519="Préventif",T519=0,OR(IFERROR(INDEX(pl_trig,MATCH(F519,pl_num,0))&amp;"","")="Compteur",IFERROR(INDEX(pl_trig,MATCH(F519,pl_num,0))&amp;"","")="Au premier des deux")),"Compteur manquant (plan au compteur)","OK"))))))))))))))))))</f>
        <v/>
      </c>
      <c r="S519" s="67">
        <f>IF(AND(ISNUMBER(B519),N(B519)&gt;0),INT(B519),0)</f>
        <v>0.0</v>
      </c>
      <c r="T519" s="67">
        <f>IF(AND(ISNUMBER(J519),N(J519)&gt;=0),N(J519),0)</f>
        <v>0.0</v>
      </c>
      <c r="U519" s="67">
        <f>IF(AND(ISNUMBER(K519),N(K519)&gt;0),N(K519),0)</f>
        <v>0.0</v>
      </c>
      <c r="V519" s="67">
        <f>IF(AND(ISNUMBER(L519),N(L519)&gt;0),N(L519),0)</f>
        <v>0.0</v>
      </c>
      <c r="W519" s="67">
        <f>IF(AND(I519="Terminée",S519&gt;0,C519&lt;&gt;"",ISNUMBER(MATCH(C519,eq_code,0))),1,0)</f>
        <v>0.0</v>
      </c>
      <c r="X519" s="67">
        <f>IF(AND(W519=1,E519="Préventif"),1,0)</f>
        <v>0.0</v>
      </c>
      <c r="Y519" s="67">
        <f>IF(AND(ISNUMBER(N519),N(N519)&gt;0),N(N519),0)</f>
        <v>0.0</v>
      </c>
      <c r="Z519" s="67">
        <f>IF(AND(ISNUMBER(P519),N(P519)&gt;0),N(P519),0)</f>
        <v>0.0</v>
      </c>
    </row>
    <row r="520">
      <c r="A520" s="79" t="str">
        <f>IF(COUNTA(B520:C520,E520:G520,I520)=0,"","BI-"&amp;RIGHT("0000"&amp;(ROW()-5),4))</f>
        <v/>
      </c>
      <c r="B520" s="72" t="n"/>
      <c r="C520" s="66" t="n"/>
      <c r="D520" s="67" t="str">
        <f>IF(C520="","",IFERROR(INDEX(eq_des,MATCH(C520,eq_code,0))&amp;"","Équipement inconnu"))</f>
        <v/>
      </c>
      <c r="E520" s="68" t="n"/>
      <c r="F520" s="68" t="n"/>
      <c r="G520" s="66" t="n"/>
      <c r="H520" s="66" t="n"/>
      <c r="I520" s="68" t="n"/>
      <c r="J520" s="73" t="n"/>
      <c r="K520" s="71" t="n"/>
      <c r="L520" s="71" t="n"/>
      <c r="M520" s="66" t="n"/>
      <c r="N520" s="80" t="n"/>
      <c r="O520" s="81" t="str">
        <f>IF(A520="","",ROUND(V520*IFERROR(N(INDEX(tech_rate,MATCH(M520,tech_name,0))),0),2))</f>
        <v/>
      </c>
      <c r="P520" s="80" t="n"/>
      <c r="Q520" s="81" t="str">
        <f>IF(A520="","",ROUND(Y520+O520+Z520,2))</f>
        <v/>
      </c>
      <c r="R520" s="79" t="str">
        <f>IF(A520="","",IF(S520=0,"Date manquante ou invalide",IF(C520="","Équipement manquant",IF(ISNA(MATCH(C520,eq_code,0)),"Équipement inconnu",IF(E520="","Type manquant",IF(AND(E520&lt;&gt;"Préventif",E520&lt;&gt;"Correctif",E520&lt;&gt;"Amélioratif"),"Type inconnu",IF(I520="","Statut manquant",IF(AND(I520&lt;&gt;"Terminée",I520&lt;&gt;"En cours",I520&lt;&gt;"À faire",I520&lt;&gt;"Annulée"),"Statut inconnu",IF(AND(E520="Préventif",F520=""),"Plan manquant (préventif)",IF(AND(F520&lt;&gt;"",ISNA(MATCH(F520,pl_num,0))),"Plan inconnu",IF(AND(F520&lt;&gt;"",IFERROR(INDEX(pl_eq,MATCH(F520,pl_num,0))&amp;"",C520)&lt;&gt;C520),"Plan d'un autre équipement",IF(AND(J520&lt;&gt;"",OR(NOT(ISNUMBER(J520)),N(J520)&lt;0)),"Compteur invalide",IF(OR(AND(K520&lt;&gt;"",OR(NOT(ISNUMBER(K520)),N(K520)&lt;0)),AND(L520&lt;&gt;"",OR(NOT(ISNUMBER(L520)),N(L520)&lt;0))),"Durée invalide",IF(OR(AND(N520&lt;&gt;"",OR(NOT(ISNUMBER(N520)),N(N520)&lt;0)),AND(P520&lt;&gt;"",OR(NOT(ISNUMBER(P520)),N(P520)&lt;0))),"Coût invalide",IF(AND(M520&lt;&gt;"",ISNA(MATCH(M520,tech_name,0))),"Technicien inconnu",IF(AND(I520="Terminée",S520&gt;p_today),"Terminée à une date future",IF(AND(I520="Terminée",V520=0),"Durée d'intervention manquante",IF(AND(I520="Terminée",E520="Préventif",T520=0,OR(IFERROR(INDEX(pl_trig,MATCH(F520,pl_num,0))&amp;"","")="Compteur",IFERROR(INDEX(pl_trig,MATCH(F520,pl_num,0))&amp;"","")="Au premier des deux")),"Compteur manquant (plan au compteur)","OK"))))))))))))))))))</f>
        <v/>
      </c>
      <c r="S520" s="67">
        <f>IF(AND(ISNUMBER(B520),N(B520)&gt;0),INT(B520),0)</f>
        <v>0.0</v>
      </c>
      <c r="T520" s="67">
        <f>IF(AND(ISNUMBER(J520),N(J520)&gt;=0),N(J520),0)</f>
        <v>0.0</v>
      </c>
      <c r="U520" s="67">
        <f>IF(AND(ISNUMBER(K520),N(K520)&gt;0),N(K520),0)</f>
        <v>0.0</v>
      </c>
      <c r="V520" s="67">
        <f>IF(AND(ISNUMBER(L520),N(L520)&gt;0),N(L520),0)</f>
        <v>0.0</v>
      </c>
      <c r="W520" s="67">
        <f>IF(AND(I520="Terminée",S520&gt;0,C520&lt;&gt;"",ISNUMBER(MATCH(C520,eq_code,0))),1,0)</f>
        <v>0.0</v>
      </c>
      <c r="X520" s="67">
        <f>IF(AND(W520=1,E520="Préventif"),1,0)</f>
        <v>0.0</v>
      </c>
      <c r="Y520" s="67">
        <f>IF(AND(ISNUMBER(N520),N(N520)&gt;0),N(N520),0)</f>
        <v>0.0</v>
      </c>
      <c r="Z520" s="67">
        <f>IF(AND(ISNUMBER(P520),N(P520)&gt;0),N(P520),0)</f>
        <v>0.0</v>
      </c>
    </row>
    <row r="521">
      <c r="A521" s="79" t="str">
        <f>IF(COUNTA(B521:C521,E521:G521,I521)=0,"","BI-"&amp;RIGHT("0000"&amp;(ROW()-5),4))</f>
        <v/>
      </c>
      <c r="B521" s="72" t="n"/>
      <c r="C521" s="66" t="n"/>
      <c r="D521" s="67" t="str">
        <f>IF(C521="","",IFERROR(INDEX(eq_des,MATCH(C521,eq_code,0))&amp;"","Équipement inconnu"))</f>
        <v/>
      </c>
      <c r="E521" s="68" t="n"/>
      <c r="F521" s="68" t="n"/>
      <c r="G521" s="66" t="n"/>
      <c r="H521" s="66" t="n"/>
      <c r="I521" s="68" t="n"/>
      <c r="J521" s="73" t="n"/>
      <c r="K521" s="71" t="n"/>
      <c r="L521" s="71" t="n"/>
      <c r="M521" s="66" t="n"/>
      <c r="N521" s="80" t="n"/>
      <c r="O521" s="81" t="str">
        <f>IF(A521="","",ROUND(V521*IFERROR(N(INDEX(tech_rate,MATCH(M521,tech_name,0))),0),2))</f>
        <v/>
      </c>
      <c r="P521" s="80" t="n"/>
      <c r="Q521" s="81" t="str">
        <f>IF(A521="","",ROUND(Y521+O521+Z521,2))</f>
        <v/>
      </c>
      <c r="R521" s="79" t="str">
        <f>IF(A521="","",IF(S521=0,"Date manquante ou invalide",IF(C521="","Équipement manquant",IF(ISNA(MATCH(C521,eq_code,0)),"Équipement inconnu",IF(E521="","Type manquant",IF(AND(E521&lt;&gt;"Préventif",E521&lt;&gt;"Correctif",E521&lt;&gt;"Amélioratif"),"Type inconnu",IF(I521="","Statut manquant",IF(AND(I521&lt;&gt;"Terminée",I521&lt;&gt;"En cours",I521&lt;&gt;"À faire",I521&lt;&gt;"Annulée"),"Statut inconnu",IF(AND(E521="Préventif",F521=""),"Plan manquant (préventif)",IF(AND(F521&lt;&gt;"",ISNA(MATCH(F521,pl_num,0))),"Plan inconnu",IF(AND(F521&lt;&gt;"",IFERROR(INDEX(pl_eq,MATCH(F521,pl_num,0))&amp;"",C521)&lt;&gt;C521),"Plan d'un autre équipement",IF(AND(J521&lt;&gt;"",OR(NOT(ISNUMBER(J521)),N(J521)&lt;0)),"Compteur invalide",IF(OR(AND(K521&lt;&gt;"",OR(NOT(ISNUMBER(K521)),N(K521)&lt;0)),AND(L521&lt;&gt;"",OR(NOT(ISNUMBER(L521)),N(L521)&lt;0))),"Durée invalide",IF(OR(AND(N521&lt;&gt;"",OR(NOT(ISNUMBER(N521)),N(N521)&lt;0)),AND(P521&lt;&gt;"",OR(NOT(ISNUMBER(P521)),N(P521)&lt;0))),"Coût invalide",IF(AND(M521&lt;&gt;"",ISNA(MATCH(M521,tech_name,0))),"Technicien inconnu",IF(AND(I521="Terminée",S521&gt;p_today),"Terminée à une date future",IF(AND(I521="Terminée",V521=0),"Durée d'intervention manquante",IF(AND(I521="Terminée",E521="Préventif",T521=0,OR(IFERROR(INDEX(pl_trig,MATCH(F521,pl_num,0))&amp;"","")="Compteur",IFERROR(INDEX(pl_trig,MATCH(F521,pl_num,0))&amp;"","")="Au premier des deux")),"Compteur manquant (plan au compteur)","OK"))))))))))))))))))</f>
        <v/>
      </c>
      <c r="S521" s="67">
        <f>IF(AND(ISNUMBER(B521),N(B521)&gt;0),INT(B521),0)</f>
        <v>0.0</v>
      </c>
      <c r="T521" s="67">
        <f>IF(AND(ISNUMBER(J521),N(J521)&gt;=0),N(J521),0)</f>
        <v>0.0</v>
      </c>
      <c r="U521" s="67">
        <f>IF(AND(ISNUMBER(K521),N(K521)&gt;0),N(K521),0)</f>
        <v>0.0</v>
      </c>
      <c r="V521" s="67">
        <f>IF(AND(ISNUMBER(L521),N(L521)&gt;0),N(L521),0)</f>
        <v>0.0</v>
      </c>
      <c r="W521" s="67">
        <f>IF(AND(I521="Terminée",S521&gt;0,C521&lt;&gt;"",ISNUMBER(MATCH(C521,eq_code,0))),1,0)</f>
        <v>0.0</v>
      </c>
      <c r="X521" s="67">
        <f>IF(AND(W521=1,E521="Préventif"),1,0)</f>
        <v>0.0</v>
      </c>
      <c r="Y521" s="67">
        <f>IF(AND(ISNUMBER(N521),N(N521)&gt;0),N(N521),0)</f>
        <v>0.0</v>
      </c>
      <c r="Z521" s="67">
        <f>IF(AND(ISNUMBER(P521),N(P521)&gt;0),N(P521),0)</f>
        <v>0.0</v>
      </c>
    </row>
    <row r="522">
      <c r="A522" s="79" t="str">
        <f>IF(COUNTA(B522:C522,E522:G522,I522)=0,"","BI-"&amp;RIGHT("0000"&amp;(ROW()-5),4))</f>
        <v/>
      </c>
      <c r="B522" s="72" t="n"/>
      <c r="C522" s="66" t="n"/>
      <c r="D522" s="67" t="str">
        <f>IF(C522="","",IFERROR(INDEX(eq_des,MATCH(C522,eq_code,0))&amp;"","Équipement inconnu"))</f>
        <v/>
      </c>
      <c r="E522" s="68" t="n"/>
      <c r="F522" s="68" t="n"/>
      <c r="G522" s="66" t="n"/>
      <c r="H522" s="66" t="n"/>
      <c r="I522" s="68" t="n"/>
      <c r="J522" s="73" t="n"/>
      <c r="K522" s="71" t="n"/>
      <c r="L522" s="71" t="n"/>
      <c r="M522" s="66" t="n"/>
      <c r="N522" s="80" t="n"/>
      <c r="O522" s="81" t="str">
        <f>IF(A522="","",ROUND(V522*IFERROR(N(INDEX(tech_rate,MATCH(M522,tech_name,0))),0),2))</f>
        <v/>
      </c>
      <c r="P522" s="80" t="n"/>
      <c r="Q522" s="81" t="str">
        <f>IF(A522="","",ROUND(Y522+O522+Z522,2))</f>
        <v/>
      </c>
      <c r="R522" s="79" t="str">
        <f>IF(A522="","",IF(S522=0,"Date manquante ou invalide",IF(C522="","Équipement manquant",IF(ISNA(MATCH(C522,eq_code,0)),"Équipement inconnu",IF(E522="","Type manquant",IF(AND(E522&lt;&gt;"Préventif",E522&lt;&gt;"Correctif",E522&lt;&gt;"Amélioratif"),"Type inconnu",IF(I522="","Statut manquant",IF(AND(I522&lt;&gt;"Terminée",I522&lt;&gt;"En cours",I522&lt;&gt;"À faire",I522&lt;&gt;"Annulée"),"Statut inconnu",IF(AND(E522="Préventif",F522=""),"Plan manquant (préventif)",IF(AND(F522&lt;&gt;"",ISNA(MATCH(F522,pl_num,0))),"Plan inconnu",IF(AND(F522&lt;&gt;"",IFERROR(INDEX(pl_eq,MATCH(F522,pl_num,0))&amp;"",C522)&lt;&gt;C522),"Plan d'un autre équipement",IF(AND(J522&lt;&gt;"",OR(NOT(ISNUMBER(J522)),N(J522)&lt;0)),"Compteur invalide",IF(OR(AND(K522&lt;&gt;"",OR(NOT(ISNUMBER(K522)),N(K522)&lt;0)),AND(L522&lt;&gt;"",OR(NOT(ISNUMBER(L522)),N(L522)&lt;0))),"Durée invalide",IF(OR(AND(N522&lt;&gt;"",OR(NOT(ISNUMBER(N522)),N(N522)&lt;0)),AND(P522&lt;&gt;"",OR(NOT(ISNUMBER(P522)),N(P522)&lt;0))),"Coût invalide",IF(AND(M522&lt;&gt;"",ISNA(MATCH(M522,tech_name,0))),"Technicien inconnu",IF(AND(I522="Terminée",S522&gt;p_today),"Terminée à une date future",IF(AND(I522="Terminée",V522=0),"Durée d'intervention manquante",IF(AND(I522="Terminée",E522="Préventif",T522=0,OR(IFERROR(INDEX(pl_trig,MATCH(F522,pl_num,0))&amp;"","")="Compteur",IFERROR(INDEX(pl_trig,MATCH(F522,pl_num,0))&amp;"","")="Au premier des deux")),"Compteur manquant (plan au compteur)","OK"))))))))))))))))))</f>
        <v/>
      </c>
      <c r="S522" s="67">
        <f>IF(AND(ISNUMBER(B522),N(B522)&gt;0),INT(B522),0)</f>
        <v>0.0</v>
      </c>
      <c r="T522" s="67">
        <f>IF(AND(ISNUMBER(J522),N(J522)&gt;=0),N(J522),0)</f>
        <v>0.0</v>
      </c>
      <c r="U522" s="67">
        <f>IF(AND(ISNUMBER(K522),N(K522)&gt;0),N(K522),0)</f>
        <v>0.0</v>
      </c>
      <c r="V522" s="67">
        <f>IF(AND(ISNUMBER(L522),N(L522)&gt;0),N(L522),0)</f>
        <v>0.0</v>
      </c>
      <c r="W522" s="67">
        <f>IF(AND(I522="Terminée",S522&gt;0,C522&lt;&gt;"",ISNUMBER(MATCH(C522,eq_code,0))),1,0)</f>
        <v>0.0</v>
      </c>
      <c r="X522" s="67">
        <f>IF(AND(W522=1,E522="Préventif"),1,0)</f>
        <v>0.0</v>
      </c>
      <c r="Y522" s="67">
        <f>IF(AND(ISNUMBER(N522),N(N522)&gt;0),N(N522),0)</f>
        <v>0.0</v>
      </c>
      <c r="Z522" s="67">
        <f>IF(AND(ISNUMBER(P522),N(P522)&gt;0),N(P522),0)</f>
        <v>0.0</v>
      </c>
    </row>
    <row r="523">
      <c r="A523" s="79" t="str">
        <f>IF(COUNTA(B523:C523,E523:G523,I523)=0,"","BI-"&amp;RIGHT("0000"&amp;(ROW()-5),4))</f>
        <v/>
      </c>
      <c r="B523" s="72" t="n"/>
      <c r="C523" s="66" t="n"/>
      <c r="D523" s="67" t="str">
        <f>IF(C523="","",IFERROR(INDEX(eq_des,MATCH(C523,eq_code,0))&amp;"","Équipement inconnu"))</f>
        <v/>
      </c>
      <c r="E523" s="68" t="n"/>
      <c r="F523" s="68" t="n"/>
      <c r="G523" s="66" t="n"/>
      <c r="H523" s="66" t="n"/>
      <c r="I523" s="68" t="n"/>
      <c r="J523" s="73" t="n"/>
      <c r="K523" s="71" t="n"/>
      <c r="L523" s="71" t="n"/>
      <c r="M523" s="66" t="n"/>
      <c r="N523" s="80" t="n"/>
      <c r="O523" s="81" t="str">
        <f>IF(A523="","",ROUND(V523*IFERROR(N(INDEX(tech_rate,MATCH(M523,tech_name,0))),0),2))</f>
        <v/>
      </c>
      <c r="P523" s="80" t="n"/>
      <c r="Q523" s="81" t="str">
        <f>IF(A523="","",ROUND(Y523+O523+Z523,2))</f>
        <v/>
      </c>
      <c r="R523" s="79" t="str">
        <f>IF(A523="","",IF(S523=0,"Date manquante ou invalide",IF(C523="","Équipement manquant",IF(ISNA(MATCH(C523,eq_code,0)),"Équipement inconnu",IF(E523="","Type manquant",IF(AND(E523&lt;&gt;"Préventif",E523&lt;&gt;"Correctif",E523&lt;&gt;"Amélioratif"),"Type inconnu",IF(I523="","Statut manquant",IF(AND(I523&lt;&gt;"Terminée",I523&lt;&gt;"En cours",I523&lt;&gt;"À faire",I523&lt;&gt;"Annulée"),"Statut inconnu",IF(AND(E523="Préventif",F523=""),"Plan manquant (préventif)",IF(AND(F523&lt;&gt;"",ISNA(MATCH(F523,pl_num,0))),"Plan inconnu",IF(AND(F523&lt;&gt;"",IFERROR(INDEX(pl_eq,MATCH(F523,pl_num,0))&amp;"",C523)&lt;&gt;C523),"Plan d'un autre équipement",IF(AND(J523&lt;&gt;"",OR(NOT(ISNUMBER(J523)),N(J523)&lt;0)),"Compteur invalide",IF(OR(AND(K523&lt;&gt;"",OR(NOT(ISNUMBER(K523)),N(K523)&lt;0)),AND(L523&lt;&gt;"",OR(NOT(ISNUMBER(L523)),N(L523)&lt;0))),"Durée invalide",IF(OR(AND(N523&lt;&gt;"",OR(NOT(ISNUMBER(N523)),N(N523)&lt;0)),AND(P523&lt;&gt;"",OR(NOT(ISNUMBER(P523)),N(P523)&lt;0))),"Coût invalide",IF(AND(M523&lt;&gt;"",ISNA(MATCH(M523,tech_name,0))),"Technicien inconnu",IF(AND(I523="Terminée",S523&gt;p_today),"Terminée à une date future",IF(AND(I523="Terminée",V523=0),"Durée d'intervention manquante",IF(AND(I523="Terminée",E523="Préventif",T523=0,OR(IFERROR(INDEX(pl_trig,MATCH(F523,pl_num,0))&amp;"","")="Compteur",IFERROR(INDEX(pl_trig,MATCH(F523,pl_num,0))&amp;"","")="Au premier des deux")),"Compteur manquant (plan au compteur)","OK"))))))))))))))))))</f>
        <v/>
      </c>
      <c r="S523" s="67">
        <f>IF(AND(ISNUMBER(B523),N(B523)&gt;0),INT(B523),0)</f>
        <v>0.0</v>
      </c>
      <c r="T523" s="67">
        <f>IF(AND(ISNUMBER(J523),N(J523)&gt;=0),N(J523),0)</f>
        <v>0.0</v>
      </c>
      <c r="U523" s="67">
        <f>IF(AND(ISNUMBER(K523),N(K523)&gt;0),N(K523),0)</f>
        <v>0.0</v>
      </c>
      <c r="V523" s="67">
        <f>IF(AND(ISNUMBER(L523),N(L523)&gt;0),N(L523),0)</f>
        <v>0.0</v>
      </c>
      <c r="W523" s="67">
        <f>IF(AND(I523="Terminée",S523&gt;0,C523&lt;&gt;"",ISNUMBER(MATCH(C523,eq_code,0))),1,0)</f>
        <v>0.0</v>
      </c>
      <c r="X523" s="67">
        <f>IF(AND(W523=1,E523="Préventif"),1,0)</f>
        <v>0.0</v>
      </c>
      <c r="Y523" s="67">
        <f>IF(AND(ISNUMBER(N523),N(N523)&gt;0),N(N523),0)</f>
        <v>0.0</v>
      </c>
      <c r="Z523" s="67">
        <f>IF(AND(ISNUMBER(P523),N(P523)&gt;0),N(P523),0)</f>
        <v>0.0</v>
      </c>
    </row>
    <row r="524">
      <c r="A524" s="79" t="str">
        <f>IF(COUNTA(B524:C524,E524:G524,I524)=0,"","BI-"&amp;RIGHT("0000"&amp;(ROW()-5),4))</f>
        <v/>
      </c>
      <c r="B524" s="72" t="n"/>
      <c r="C524" s="66" t="n"/>
      <c r="D524" s="67" t="str">
        <f>IF(C524="","",IFERROR(INDEX(eq_des,MATCH(C524,eq_code,0))&amp;"","Équipement inconnu"))</f>
        <v/>
      </c>
      <c r="E524" s="68" t="n"/>
      <c r="F524" s="68" t="n"/>
      <c r="G524" s="66" t="n"/>
      <c r="H524" s="66" t="n"/>
      <c r="I524" s="68" t="n"/>
      <c r="J524" s="73" t="n"/>
      <c r="K524" s="71" t="n"/>
      <c r="L524" s="71" t="n"/>
      <c r="M524" s="66" t="n"/>
      <c r="N524" s="80" t="n"/>
      <c r="O524" s="81" t="str">
        <f>IF(A524="","",ROUND(V524*IFERROR(N(INDEX(tech_rate,MATCH(M524,tech_name,0))),0),2))</f>
        <v/>
      </c>
      <c r="P524" s="80" t="n"/>
      <c r="Q524" s="81" t="str">
        <f>IF(A524="","",ROUND(Y524+O524+Z524,2))</f>
        <v/>
      </c>
      <c r="R524" s="79" t="str">
        <f>IF(A524="","",IF(S524=0,"Date manquante ou invalide",IF(C524="","Équipement manquant",IF(ISNA(MATCH(C524,eq_code,0)),"Équipement inconnu",IF(E524="","Type manquant",IF(AND(E524&lt;&gt;"Préventif",E524&lt;&gt;"Correctif",E524&lt;&gt;"Amélioratif"),"Type inconnu",IF(I524="","Statut manquant",IF(AND(I524&lt;&gt;"Terminée",I524&lt;&gt;"En cours",I524&lt;&gt;"À faire",I524&lt;&gt;"Annulée"),"Statut inconnu",IF(AND(E524="Préventif",F524=""),"Plan manquant (préventif)",IF(AND(F524&lt;&gt;"",ISNA(MATCH(F524,pl_num,0))),"Plan inconnu",IF(AND(F524&lt;&gt;"",IFERROR(INDEX(pl_eq,MATCH(F524,pl_num,0))&amp;"",C524)&lt;&gt;C524),"Plan d'un autre équipement",IF(AND(J524&lt;&gt;"",OR(NOT(ISNUMBER(J524)),N(J524)&lt;0)),"Compteur invalide",IF(OR(AND(K524&lt;&gt;"",OR(NOT(ISNUMBER(K524)),N(K524)&lt;0)),AND(L524&lt;&gt;"",OR(NOT(ISNUMBER(L524)),N(L524)&lt;0))),"Durée invalide",IF(OR(AND(N524&lt;&gt;"",OR(NOT(ISNUMBER(N524)),N(N524)&lt;0)),AND(P524&lt;&gt;"",OR(NOT(ISNUMBER(P524)),N(P524)&lt;0))),"Coût invalide",IF(AND(M524&lt;&gt;"",ISNA(MATCH(M524,tech_name,0))),"Technicien inconnu",IF(AND(I524="Terminée",S524&gt;p_today),"Terminée à une date future",IF(AND(I524="Terminée",V524=0),"Durée d'intervention manquante",IF(AND(I524="Terminée",E524="Préventif",T524=0,OR(IFERROR(INDEX(pl_trig,MATCH(F524,pl_num,0))&amp;"","")="Compteur",IFERROR(INDEX(pl_trig,MATCH(F524,pl_num,0))&amp;"","")="Au premier des deux")),"Compteur manquant (plan au compteur)","OK"))))))))))))))))))</f>
        <v/>
      </c>
      <c r="S524" s="67">
        <f>IF(AND(ISNUMBER(B524),N(B524)&gt;0),INT(B524),0)</f>
        <v>0.0</v>
      </c>
      <c r="T524" s="67">
        <f>IF(AND(ISNUMBER(J524),N(J524)&gt;=0),N(J524),0)</f>
        <v>0.0</v>
      </c>
      <c r="U524" s="67">
        <f>IF(AND(ISNUMBER(K524),N(K524)&gt;0),N(K524),0)</f>
        <v>0.0</v>
      </c>
      <c r="V524" s="67">
        <f>IF(AND(ISNUMBER(L524),N(L524)&gt;0),N(L524),0)</f>
        <v>0.0</v>
      </c>
      <c r="W524" s="67">
        <f>IF(AND(I524="Terminée",S524&gt;0,C524&lt;&gt;"",ISNUMBER(MATCH(C524,eq_code,0))),1,0)</f>
        <v>0.0</v>
      </c>
      <c r="X524" s="67">
        <f>IF(AND(W524=1,E524="Préventif"),1,0)</f>
        <v>0.0</v>
      </c>
      <c r="Y524" s="67">
        <f>IF(AND(ISNUMBER(N524),N(N524)&gt;0),N(N524),0)</f>
        <v>0.0</v>
      </c>
      <c r="Z524" s="67">
        <f>IF(AND(ISNUMBER(P524),N(P524)&gt;0),N(P524),0)</f>
        <v>0.0</v>
      </c>
    </row>
    <row r="525">
      <c r="A525" s="79" t="str">
        <f>IF(COUNTA(B525:C525,E525:G525,I525)=0,"","BI-"&amp;RIGHT("0000"&amp;(ROW()-5),4))</f>
        <v/>
      </c>
      <c r="B525" s="72" t="n"/>
      <c r="C525" s="66" t="n"/>
      <c r="D525" s="67" t="str">
        <f>IF(C525="","",IFERROR(INDEX(eq_des,MATCH(C525,eq_code,0))&amp;"","Équipement inconnu"))</f>
        <v/>
      </c>
      <c r="E525" s="68" t="n"/>
      <c r="F525" s="68" t="n"/>
      <c r="G525" s="66" t="n"/>
      <c r="H525" s="66" t="n"/>
      <c r="I525" s="68" t="n"/>
      <c r="J525" s="73" t="n"/>
      <c r="K525" s="71" t="n"/>
      <c r="L525" s="71" t="n"/>
      <c r="M525" s="66" t="n"/>
      <c r="N525" s="80" t="n"/>
      <c r="O525" s="81" t="str">
        <f>IF(A525="","",ROUND(V525*IFERROR(N(INDEX(tech_rate,MATCH(M525,tech_name,0))),0),2))</f>
        <v/>
      </c>
      <c r="P525" s="80" t="n"/>
      <c r="Q525" s="81" t="str">
        <f>IF(A525="","",ROUND(Y525+O525+Z525,2))</f>
        <v/>
      </c>
      <c r="R525" s="79" t="str">
        <f>IF(A525="","",IF(S525=0,"Date manquante ou invalide",IF(C525="","Équipement manquant",IF(ISNA(MATCH(C525,eq_code,0)),"Équipement inconnu",IF(E525="","Type manquant",IF(AND(E525&lt;&gt;"Préventif",E525&lt;&gt;"Correctif",E525&lt;&gt;"Amélioratif"),"Type inconnu",IF(I525="","Statut manquant",IF(AND(I525&lt;&gt;"Terminée",I525&lt;&gt;"En cours",I525&lt;&gt;"À faire",I525&lt;&gt;"Annulée"),"Statut inconnu",IF(AND(E525="Préventif",F525=""),"Plan manquant (préventif)",IF(AND(F525&lt;&gt;"",ISNA(MATCH(F525,pl_num,0))),"Plan inconnu",IF(AND(F525&lt;&gt;"",IFERROR(INDEX(pl_eq,MATCH(F525,pl_num,0))&amp;"",C525)&lt;&gt;C525),"Plan d'un autre équipement",IF(AND(J525&lt;&gt;"",OR(NOT(ISNUMBER(J525)),N(J525)&lt;0)),"Compteur invalide",IF(OR(AND(K525&lt;&gt;"",OR(NOT(ISNUMBER(K525)),N(K525)&lt;0)),AND(L525&lt;&gt;"",OR(NOT(ISNUMBER(L525)),N(L525)&lt;0))),"Durée invalide",IF(OR(AND(N525&lt;&gt;"",OR(NOT(ISNUMBER(N525)),N(N525)&lt;0)),AND(P525&lt;&gt;"",OR(NOT(ISNUMBER(P525)),N(P525)&lt;0))),"Coût invalide",IF(AND(M525&lt;&gt;"",ISNA(MATCH(M525,tech_name,0))),"Technicien inconnu",IF(AND(I525="Terminée",S525&gt;p_today),"Terminée à une date future",IF(AND(I525="Terminée",V525=0),"Durée d'intervention manquante",IF(AND(I525="Terminée",E525="Préventif",T525=0,OR(IFERROR(INDEX(pl_trig,MATCH(F525,pl_num,0))&amp;"","")="Compteur",IFERROR(INDEX(pl_trig,MATCH(F525,pl_num,0))&amp;"","")="Au premier des deux")),"Compteur manquant (plan au compteur)","OK"))))))))))))))))))</f>
        <v/>
      </c>
      <c r="S525" s="67">
        <f>IF(AND(ISNUMBER(B525),N(B525)&gt;0),INT(B525),0)</f>
        <v>0.0</v>
      </c>
      <c r="T525" s="67">
        <f>IF(AND(ISNUMBER(J525),N(J525)&gt;=0),N(J525),0)</f>
        <v>0.0</v>
      </c>
      <c r="U525" s="67">
        <f>IF(AND(ISNUMBER(K525),N(K525)&gt;0),N(K525),0)</f>
        <v>0.0</v>
      </c>
      <c r="V525" s="67">
        <f>IF(AND(ISNUMBER(L525),N(L525)&gt;0),N(L525),0)</f>
        <v>0.0</v>
      </c>
      <c r="W525" s="67">
        <f>IF(AND(I525="Terminée",S525&gt;0,C525&lt;&gt;"",ISNUMBER(MATCH(C525,eq_code,0))),1,0)</f>
        <v>0.0</v>
      </c>
      <c r="X525" s="67">
        <f>IF(AND(W525=1,E525="Préventif"),1,0)</f>
        <v>0.0</v>
      </c>
      <c r="Y525" s="67">
        <f>IF(AND(ISNUMBER(N525),N(N525)&gt;0),N(N525),0)</f>
        <v>0.0</v>
      </c>
      <c r="Z525" s="67">
        <f>IF(AND(ISNUMBER(P525),N(P525)&gt;0),N(P525),0)</f>
        <v>0.0</v>
      </c>
    </row>
    <row r="526">
      <c r="A526" s="79" t="str">
        <f>IF(COUNTA(B526:C526,E526:G526,I526)=0,"","BI-"&amp;RIGHT("0000"&amp;(ROW()-5),4))</f>
        <v/>
      </c>
      <c r="B526" s="72" t="n"/>
      <c r="C526" s="66" t="n"/>
      <c r="D526" s="67" t="str">
        <f>IF(C526="","",IFERROR(INDEX(eq_des,MATCH(C526,eq_code,0))&amp;"","Équipement inconnu"))</f>
        <v/>
      </c>
      <c r="E526" s="68" t="n"/>
      <c r="F526" s="68" t="n"/>
      <c r="G526" s="66" t="n"/>
      <c r="H526" s="66" t="n"/>
      <c r="I526" s="68" t="n"/>
      <c r="J526" s="73" t="n"/>
      <c r="K526" s="71" t="n"/>
      <c r="L526" s="71" t="n"/>
      <c r="M526" s="66" t="n"/>
      <c r="N526" s="80" t="n"/>
      <c r="O526" s="81" t="str">
        <f>IF(A526="","",ROUND(V526*IFERROR(N(INDEX(tech_rate,MATCH(M526,tech_name,0))),0),2))</f>
        <v/>
      </c>
      <c r="P526" s="80" t="n"/>
      <c r="Q526" s="81" t="str">
        <f>IF(A526="","",ROUND(Y526+O526+Z526,2))</f>
        <v/>
      </c>
      <c r="R526" s="79" t="str">
        <f>IF(A526="","",IF(S526=0,"Date manquante ou invalide",IF(C526="","Équipement manquant",IF(ISNA(MATCH(C526,eq_code,0)),"Équipement inconnu",IF(E526="","Type manquant",IF(AND(E526&lt;&gt;"Préventif",E526&lt;&gt;"Correctif",E526&lt;&gt;"Amélioratif"),"Type inconnu",IF(I526="","Statut manquant",IF(AND(I526&lt;&gt;"Terminée",I526&lt;&gt;"En cours",I526&lt;&gt;"À faire",I526&lt;&gt;"Annulée"),"Statut inconnu",IF(AND(E526="Préventif",F526=""),"Plan manquant (préventif)",IF(AND(F526&lt;&gt;"",ISNA(MATCH(F526,pl_num,0))),"Plan inconnu",IF(AND(F526&lt;&gt;"",IFERROR(INDEX(pl_eq,MATCH(F526,pl_num,0))&amp;"",C526)&lt;&gt;C526),"Plan d'un autre équipement",IF(AND(J526&lt;&gt;"",OR(NOT(ISNUMBER(J526)),N(J526)&lt;0)),"Compteur invalide",IF(OR(AND(K526&lt;&gt;"",OR(NOT(ISNUMBER(K526)),N(K526)&lt;0)),AND(L526&lt;&gt;"",OR(NOT(ISNUMBER(L526)),N(L526)&lt;0))),"Durée invalide",IF(OR(AND(N526&lt;&gt;"",OR(NOT(ISNUMBER(N526)),N(N526)&lt;0)),AND(P526&lt;&gt;"",OR(NOT(ISNUMBER(P526)),N(P526)&lt;0))),"Coût invalide",IF(AND(M526&lt;&gt;"",ISNA(MATCH(M526,tech_name,0))),"Technicien inconnu",IF(AND(I526="Terminée",S526&gt;p_today),"Terminée à une date future",IF(AND(I526="Terminée",V526=0),"Durée d'intervention manquante",IF(AND(I526="Terminée",E526="Préventif",T526=0,OR(IFERROR(INDEX(pl_trig,MATCH(F526,pl_num,0))&amp;"","")="Compteur",IFERROR(INDEX(pl_trig,MATCH(F526,pl_num,0))&amp;"","")="Au premier des deux")),"Compteur manquant (plan au compteur)","OK"))))))))))))))))))</f>
        <v/>
      </c>
      <c r="S526" s="67">
        <f>IF(AND(ISNUMBER(B526),N(B526)&gt;0),INT(B526),0)</f>
        <v>0.0</v>
      </c>
      <c r="T526" s="67">
        <f>IF(AND(ISNUMBER(J526),N(J526)&gt;=0),N(J526),0)</f>
        <v>0.0</v>
      </c>
      <c r="U526" s="67">
        <f>IF(AND(ISNUMBER(K526),N(K526)&gt;0),N(K526),0)</f>
        <v>0.0</v>
      </c>
      <c r="V526" s="67">
        <f>IF(AND(ISNUMBER(L526),N(L526)&gt;0),N(L526),0)</f>
        <v>0.0</v>
      </c>
      <c r="W526" s="67">
        <f>IF(AND(I526="Terminée",S526&gt;0,C526&lt;&gt;"",ISNUMBER(MATCH(C526,eq_code,0))),1,0)</f>
        <v>0.0</v>
      </c>
      <c r="X526" s="67">
        <f>IF(AND(W526=1,E526="Préventif"),1,0)</f>
        <v>0.0</v>
      </c>
      <c r="Y526" s="67">
        <f>IF(AND(ISNUMBER(N526),N(N526)&gt;0),N(N526),0)</f>
        <v>0.0</v>
      </c>
      <c r="Z526" s="67">
        <f>IF(AND(ISNUMBER(P526),N(P526)&gt;0),N(P526),0)</f>
        <v>0.0</v>
      </c>
    </row>
    <row r="527">
      <c r="A527" s="79" t="str">
        <f>IF(COUNTA(B527:C527,E527:G527,I527)=0,"","BI-"&amp;RIGHT("0000"&amp;(ROW()-5),4))</f>
        <v/>
      </c>
      <c r="B527" s="72" t="n"/>
      <c r="C527" s="66" t="n"/>
      <c r="D527" s="67" t="str">
        <f>IF(C527="","",IFERROR(INDEX(eq_des,MATCH(C527,eq_code,0))&amp;"","Équipement inconnu"))</f>
        <v/>
      </c>
      <c r="E527" s="68" t="n"/>
      <c r="F527" s="68" t="n"/>
      <c r="G527" s="66" t="n"/>
      <c r="H527" s="66" t="n"/>
      <c r="I527" s="68" t="n"/>
      <c r="J527" s="73" t="n"/>
      <c r="K527" s="71" t="n"/>
      <c r="L527" s="71" t="n"/>
      <c r="M527" s="66" t="n"/>
      <c r="N527" s="80" t="n"/>
      <c r="O527" s="81" t="str">
        <f>IF(A527="","",ROUND(V527*IFERROR(N(INDEX(tech_rate,MATCH(M527,tech_name,0))),0),2))</f>
        <v/>
      </c>
      <c r="P527" s="80" t="n"/>
      <c r="Q527" s="81" t="str">
        <f>IF(A527="","",ROUND(Y527+O527+Z527,2))</f>
        <v/>
      </c>
      <c r="R527" s="79" t="str">
        <f>IF(A527="","",IF(S527=0,"Date manquante ou invalide",IF(C527="","Équipement manquant",IF(ISNA(MATCH(C527,eq_code,0)),"Équipement inconnu",IF(E527="","Type manquant",IF(AND(E527&lt;&gt;"Préventif",E527&lt;&gt;"Correctif",E527&lt;&gt;"Amélioratif"),"Type inconnu",IF(I527="","Statut manquant",IF(AND(I527&lt;&gt;"Terminée",I527&lt;&gt;"En cours",I527&lt;&gt;"À faire",I527&lt;&gt;"Annulée"),"Statut inconnu",IF(AND(E527="Préventif",F527=""),"Plan manquant (préventif)",IF(AND(F527&lt;&gt;"",ISNA(MATCH(F527,pl_num,0))),"Plan inconnu",IF(AND(F527&lt;&gt;"",IFERROR(INDEX(pl_eq,MATCH(F527,pl_num,0))&amp;"",C527)&lt;&gt;C527),"Plan d'un autre équipement",IF(AND(J527&lt;&gt;"",OR(NOT(ISNUMBER(J527)),N(J527)&lt;0)),"Compteur invalide",IF(OR(AND(K527&lt;&gt;"",OR(NOT(ISNUMBER(K527)),N(K527)&lt;0)),AND(L527&lt;&gt;"",OR(NOT(ISNUMBER(L527)),N(L527)&lt;0))),"Durée invalide",IF(OR(AND(N527&lt;&gt;"",OR(NOT(ISNUMBER(N527)),N(N527)&lt;0)),AND(P527&lt;&gt;"",OR(NOT(ISNUMBER(P527)),N(P527)&lt;0))),"Coût invalide",IF(AND(M527&lt;&gt;"",ISNA(MATCH(M527,tech_name,0))),"Technicien inconnu",IF(AND(I527="Terminée",S527&gt;p_today),"Terminée à une date future",IF(AND(I527="Terminée",V527=0),"Durée d'intervention manquante",IF(AND(I527="Terminée",E527="Préventif",T527=0,OR(IFERROR(INDEX(pl_trig,MATCH(F527,pl_num,0))&amp;"","")="Compteur",IFERROR(INDEX(pl_trig,MATCH(F527,pl_num,0))&amp;"","")="Au premier des deux")),"Compteur manquant (plan au compteur)","OK"))))))))))))))))))</f>
        <v/>
      </c>
      <c r="S527" s="67">
        <f>IF(AND(ISNUMBER(B527),N(B527)&gt;0),INT(B527),0)</f>
        <v>0.0</v>
      </c>
      <c r="T527" s="67">
        <f>IF(AND(ISNUMBER(J527),N(J527)&gt;=0),N(J527),0)</f>
        <v>0.0</v>
      </c>
      <c r="U527" s="67">
        <f>IF(AND(ISNUMBER(K527),N(K527)&gt;0),N(K527),0)</f>
        <v>0.0</v>
      </c>
      <c r="V527" s="67">
        <f>IF(AND(ISNUMBER(L527),N(L527)&gt;0),N(L527),0)</f>
        <v>0.0</v>
      </c>
      <c r="W527" s="67">
        <f>IF(AND(I527="Terminée",S527&gt;0,C527&lt;&gt;"",ISNUMBER(MATCH(C527,eq_code,0))),1,0)</f>
        <v>0.0</v>
      </c>
      <c r="X527" s="67">
        <f>IF(AND(W527=1,E527="Préventif"),1,0)</f>
        <v>0.0</v>
      </c>
      <c r="Y527" s="67">
        <f>IF(AND(ISNUMBER(N527),N(N527)&gt;0),N(N527),0)</f>
        <v>0.0</v>
      </c>
      <c r="Z527" s="67">
        <f>IF(AND(ISNUMBER(P527),N(P527)&gt;0),N(P527),0)</f>
        <v>0.0</v>
      </c>
    </row>
    <row r="528">
      <c r="A528" s="79" t="str">
        <f>IF(COUNTA(B528:C528,E528:G528,I528)=0,"","BI-"&amp;RIGHT("0000"&amp;(ROW()-5),4))</f>
        <v/>
      </c>
      <c r="B528" s="72" t="n"/>
      <c r="C528" s="66" t="n"/>
      <c r="D528" s="67" t="str">
        <f>IF(C528="","",IFERROR(INDEX(eq_des,MATCH(C528,eq_code,0))&amp;"","Équipement inconnu"))</f>
        <v/>
      </c>
      <c r="E528" s="68" t="n"/>
      <c r="F528" s="68" t="n"/>
      <c r="G528" s="66" t="n"/>
      <c r="H528" s="66" t="n"/>
      <c r="I528" s="68" t="n"/>
      <c r="J528" s="73" t="n"/>
      <c r="K528" s="71" t="n"/>
      <c r="L528" s="71" t="n"/>
      <c r="M528" s="66" t="n"/>
      <c r="N528" s="80" t="n"/>
      <c r="O528" s="81" t="str">
        <f>IF(A528="","",ROUND(V528*IFERROR(N(INDEX(tech_rate,MATCH(M528,tech_name,0))),0),2))</f>
        <v/>
      </c>
      <c r="P528" s="80" t="n"/>
      <c r="Q528" s="81" t="str">
        <f>IF(A528="","",ROUND(Y528+O528+Z528,2))</f>
        <v/>
      </c>
      <c r="R528" s="79" t="str">
        <f>IF(A528="","",IF(S528=0,"Date manquante ou invalide",IF(C528="","Équipement manquant",IF(ISNA(MATCH(C528,eq_code,0)),"Équipement inconnu",IF(E528="","Type manquant",IF(AND(E528&lt;&gt;"Préventif",E528&lt;&gt;"Correctif",E528&lt;&gt;"Amélioratif"),"Type inconnu",IF(I528="","Statut manquant",IF(AND(I528&lt;&gt;"Terminée",I528&lt;&gt;"En cours",I528&lt;&gt;"À faire",I528&lt;&gt;"Annulée"),"Statut inconnu",IF(AND(E528="Préventif",F528=""),"Plan manquant (préventif)",IF(AND(F528&lt;&gt;"",ISNA(MATCH(F528,pl_num,0))),"Plan inconnu",IF(AND(F528&lt;&gt;"",IFERROR(INDEX(pl_eq,MATCH(F528,pl_num,0))&amp;"",C528)&lt;&gt;C528),"Plan d'un autre équipement",IF(AND(J528&lt;&gt;"",OR(NOT(ISNUMBER(J528)),N(J528)&lt;0)),"Compteur invalide",IF(OR(AND(K528&lt;&gt;"",OR(NOT(ISNUMBER(K528)),N(K528)&lt;0)),AND(L528&lt;&gt;"",OR(NOT(ISNUMBER(L528)),N(L528)&lt;0))),"Durée invalide",IF(OR(AND(N528&lt;&gt;"",OR(NOT(ISNUMBER(N528)),N(N528)&lt;0)),AND(P528&lt;&gt;"",OR(NOT(ISNUMBER(P528)),N(P528)&lt;0))),"Coût invalide",IF(AND(M528&lt;&gt;"",ISNA(MATCH(M528,tech_name,0))),"Technicien inconnu",IF(AND(I528="Terminée",S528&gt;p_today),"Terminée à une date future",IF(AND(I528="Terminée",V528=0),"Durée d'intervention manquante",IF(AND(I528="Terminée",E528="Préventif",T528=0,OR(IFERROR(INDEX(pl_trig,MATCH(F528,pl_num,0))&amp;"","")="Compteur",IFERROR(INDEX(pl_trig,MATCH(F528,pl_num,0))&amp;"","")="Au premier des deux")),"Compteur manquant (plan au compteur)","OK"))))))))))))))))))</f>
        <v/>
      </c>
      <c r="S528" s="67">
        <f>IF(AND(ISNUMBER(B528),N(B528)&gt;0),INT(B528),0)</f>
        <v>0.0</v>
      </c>
      <c r="T528" s="67">
        <f>IF(AND(ISNUMBER(J528),N(J528)&gt;=0),N(J528),0)</f>
        <v>0.0</v>
      </c>
      <c r="U528" s="67">
        <f>IF(AND(ISNUMBER(K528),N(K528)&gt;0),N(K528),0)</f>
        <v>0.0</v>
      </c>
      <c r="V528" s="67">
        <f>IF(AND(ISNUMBER(L528),N(L528)&gt;0),N(L528),0)</f>
        <v>0.0</v>
      </c>
      <c r="W528" s="67">
        <f>IF(AND(I528="Terminée",S528&gt;0,C528&lt;&gt;"",ISNUMBER(MATCH(C528,eq_code,0))),1,0)</f>
        <v>0.0</v>
      </c>
      <c r="X528" s="67">
        <f>IF(AND(W528=1,E528="Préventif"),1,0)</f>
        <v>0.0</v>
      </c>
      <c r="Y528" s="67">
        <f>IF(AND(ISNUMBER(N528),N(N528)&gt;0),N(N528),0)</f>
        <v>0.0</v>
      </c>
      <c r="Z528" s="67">
        <f>IF(AND(ISNUMBER(P528),N(P528)&gt;0),N(P528),0)</f>
        <v>0.0</v>
      </c>
    </row>
    <row r="529">
      <c r="A529" s="79" t="str">
        <f>IF(COUNTA(B529:C529,E529:G529,I529)=0,"","BI-"&amp;RIGHT("0000"&amp;(ROW()-5),4))</f>
        <v/>
      </c>
      <c r="B529" s="72" t="n"/>
      <c r="C529" s="66" t="n"/>
      <c r="D529" s="67" t="str">
        <f>IF(C529="","",IFERROR(INDEX(eq_des,MATCH(C529,eq_code,0))&amp;"","Équipement inconnu"))</f>
        <v/>
      </c>
      <c r="E529" s="68" t="n"/>
      <c r="F529" s="68" t="n"/>
      <c r="G529" s="66" t="n"/>
      <c r="H529" s="66" t="n"/>
      <c r="I529" s="68" t="n"/>
      <c r="J529" s="73" t="n"/>
      <c r="K529" s="71" t="n"/>
      <c r="L529" s="71" t="n"/>
      <c r="M529" s="66" t="n"/>
      <c r="N529" s="80" t="n"/>
      <c r="O529" s="81" t="str">
        <f>IF(A529="","",ROUND(V529*IFERROR(N(INDEX(tech_rate,MATCH(M529,tech_name,0))),0),2))</f>
        <v/>
      </c>
      <c r="P529" s="80" t="n"/>
      <c r="Q529" s="81" t="str">
        <f>IF(A529="","",ROUND(Y529+O529+Z529,2))</f>
        <v/>
      </c>
      <c r="R529" s="79" t="str">
        <f>IF(A529="","",IF(S529=0,"Date manquante ou invalide",IF(C529="","Équipement manquant",IF(ISNA(MATCH(C529,eq_code,0)),"Équipement inconnu",IF(E529="","Type manquant",IF(AND(E529&lt;&gt;"Préventif",E529&lt;&gt;"Correctif",E529&lt;&gt;"Amélioratif"),"Type inconnu",IF(I529="","Statut manquant",IF(AND(I529&lt;&gt;"Terminée",I529&lt;&gt;"En cours",I529&lt;&gt;"À faire",I529&lt;&gt;"Annulée"),"Statut inconnu",IF(AND(E529="Préventif",F529=""),"Plan manquant (préventif)",IF(AND(F529&lt;&gt;"",ISNA(MATCH(F529,pl_num,0))),"Plan inconnu",IF(AND(F529&lt;&gt;"",IFERROR(INDEX(pl_eq,MATCH(F529,pl_num,0))&amp;"",C529)&lt;&gt;C529),"Plan d'un autre équipement",IF(AND(J529&lt;&gt;"",OR(NOT(ISNUMBER(J529)),N(J529)&lt;0)),"Compteur invalide",IF(OR(AND(K529&lt;&gt;"",OR(NOT(ISNUMBER(K529)),N(K529)&lt;0)),AND(L529&lt;&gt;"",OR(NOT(ISNUMBER(L529)),N(L529)&lt;0))),"Durée invalide",IF(OR(AND(N529&lt;&gt;"",OR(NOT(ISNUMBER(N529)),N(N529)&lt;0)),AND(P529&lt;&gt;"",OR(NOT(ISNUMBER(P529)),N(P529)&lt;0))),"Coût invalide",IF(AND(M529&lt;&gt;"",ISNA(MATCH(M529,tech_name,0))),"Technicien inconnu",IF(AND(I529="Terminée",S529&gt;p_today),"Terminée à une date future",IF(AND(I529="Terminée",V529=0),"Durée d'intervention manquante",IF(AND(I529="Terminée",E529="Préventif",T529=0,OR(IFERROR(INDEX(pl_trig,MATCH(F529,pl_num,0))&amp;"","")="Compteur",IFERROR(INDEX(pl_trig,MATCH(F529,pl_num,0))&amp;"","")="Au premier des deux")),"Compteur manquant (plan au compteur)","OK"))))))))))))))))))</f>
        <v/>
      </c>
      <c r="S529" s="67">
        <f>IF(AND(ISNUMBER(B529),N(B529)&gt;0),INT(B529),0)</f>
        <v>0.0</v>
      </c>
      <c r="T529" s="67">
        <f>IF(AND(ISNUMBER(J529),N(J529)&gt;=0),N(J529),0)</f>
        <v>0.0</v>
      </c>
      <c r="U529" s="67">
        <f>IF(AND(ISNUMBER(K529),N(K529)&gt;0),N(K529),0)</f>
        <v>0.0</v>
      </c>
      <c r="V529" s="67">
        <f>IF(AND(ISNUMBER(L529),N(L529)&gt;0),N(L529),0)</f>
        <v>0.0</v>
      </c>
      <c r="W529" s="67">
        <f>IF(AND(I529="Terminée",S529&gt;0,C529&lt;&gt;"",ISNUMBER(MATCH(C529,eq_code,0))),1,0)</f>
        <v>0.0</v>
      </c>
      <c r="X529" s="67">
        <f>IF(AND(W529=1,E529="Préventif"),1,0)</f>
        <v>0.0</v>
      </c>
      <c r="Y529" s="67">
        <f>IF(AND(ISNUMBER(N529),N(N529)&gt;0),N(N529),0)</f>
        <v>0.0</v>
      </c>
      <c r="Z529" s="67">
        <f>IF(AND(ISNUMBER(P529),N(P529)&gt;0),N(P529),0)</f>
        <v>0.0</v>
      </c>
    </row>
    <row r="530">
      <c r="A530" s="79" t="str">
        <f>IF(COUNTA(B530:C530,E530:G530,I530)=0,"","BI-"&amp;RIGHT("0000"&amp;(ROW()-5),4))</f>
        <v/>
      </c>
      <c r="B530" s="72" t="n"/>
      <c r="C530" s="66" t="n"/>
      <c r="D530" s="67" t="str">
        <f>IF(C530="","",IFERROR(INDEX(eq_des,MATCH(C530,eq_code,0))&amp;"","Équipement inconnu"))</f>
        <v/>
      </c>
      <c r="E530" s="68" t="n"/>
      <c r="F530" s="68" t="n"/>
      <c r="G530" s="66" t="n"/>
      <c r="H530" s="66" t="n"/>
      <c r="I530" s="68" t="n"/>
      <c r="J530" s="73" t="n"/>
      <c r="K530" s="71" t="n"/>
      <c r="L530" s="71" t="n"/>
      <c r="M530" s="66" t="n"/>
      <c r="N530" s="80" t="n"/>
      <c r="O530" s="81" t="str">
        <f>IF(A530="","",ROUND(V530*IFERROR(N(INDEX(tech_rate,MATCH(M530,tech_name,0))),0),2))</f>
        <v/>
      </c>
      <c r="P530" s="80" t="n"/>
      <c r="Q530" s="81" t="str">
        <f>IF(A530="","",ROUND(Y530+O530+Z530,2))</f>
        <v/>
      </c>
      <c r="R530" s="79" t="str">
        <f>IF(A530="","",IF(S530=0,"Date manquante ou invalide",IF(C530="","Équipement manquant",IF(ISNA(MATCH(C530,eq_code,0)),"Équipement inconnu",IF(E530="","Type manquant",IF(AND(E530&lt;&gt;"Préventif",E530&lt;&gt;"Correctif",E530&lt;&gt;"Amélioratif"),"Type inconnu",IF(I530="","Statut manquant",IF(AND(I530&lt;&gt;"Terminée",I530&lt;&gt;"En cours",I530&lt;&gt;"À faire",I530&lt;&gt;"Annulée"),"Statut inconnu",IF(AND(E530="Préventif",F530=""),"Plan manquant (préventif)",IF(AND(F530&lt;&gt;"",ISNA(MATCH(F530,pl_num,0))),"Plan inconnu",IF(AND(F530&lt;&gt;"",IFERROR(INDEX(pl_eq,MATCH(F530,pl_num,0))&amp;"",C530)&lt;&gt;C530),"Plan d'un autre équipement",IF(AND(J530&lt;&gt;"",OR(NOT(ISNUMBER(J530)),N(J530)&lt;0)),"Compteur invalide",IF(OR(AND(K530&lt;&gt;"",OR(NOT(ISNUMBER(K530)),N(K530)&lt;0)),AND(L530&lt;&gt;"",OR(NOT(ISNUMBER(L530)),N(L530)&lt;0))),"Durée invalide",IF(OR(AND(N530&lt;&gt;"",OR(NOT(ISNUMBER(N530)),N(N530)&lt;0)),AND(P530&lt;&gt;"",OR(NOT(ISNUMBER(P530)),N(P530)&lt;0))),"Coût invalide",IF(AND(M530&lt;&gt;"",ISNA(MATCH(M530,tech_name,0))),"Technicien inconnu",IF(AND(I530="Terminée",S530&gt;p_today),"Terminée à une date future",IF(AND(I530="Terminée",V530=0),"Durée d'intervention manquante",IF(AND(I530="Terminée",E530="Préventif",T530=0,OR(IFERROR(INDEX(pl_trig,MATCH(F530,pl_num,0))&amp;"","")="Compteur",IFERROR(INDEX(pl_trig,MATCH(F530,pl_num,0))&amp;"","")="Au premier des deux")),"Compteur manquant (plan au compteur)","OK"))))))))))))))))))</f>
        <v/>
      </c>
      <c r="S530" s="67">
        <f>IF(AND(ISNUMBER(B530),N(B530)&gt;0),INT(B530),0)</f>
        <v>0.0</v>
      </c>
      <c r="T530" s="67">
        <f>IF(AND(ISNUMBER(J530),N(J530)&gt;=0),N(J530),0)</f>
        <v>0.0</v>
      </c>
      <c r="U530" s="67">
        <f>IF(AND(ISNUMBER(K530),N(K530)&gt;0),N(K530),0)</f>
        <v>0.0</v>
      </c>
      <c r="V530" s="67">
        <f>IF(AND(ISNUMBER(L530),N(L530)&gt;0),N(L530),0)</f>
        <v>0.0</v>
      </c>
      <c r="W530" s="67">
        <f>IF(AND(I530="Terminée",S530&gt;0,C530&lt;&gt;"",ISNUMBER(MATCH(C530,eq_code,0))),1,0)</f>
        <v>0.0</v>
      </c>
      <c r="X530" s="67">
        <f>IF(AND(W530=1,E530="Préventif"),1,0)</f>
        <v>0.0</v>
      </c>
      <c r="Y530" s="67">
        <f>IF(AND(ISNUMBER(N530),N(N530)&gt;0),N(N530),0)</f>
        <v>0.0</v>
      </c>
      <c r="Z530" s="67">
        <f>IF(AND(ISNUMBER(P530),N(P530)&gt;0),N(P530),0)</f>
        <v>0.0</v>
      </c>
    </row>
    <row r="531">
      <c r="A531" s="79" t="str">
        <f>IF(COUNTA(B531:C531,E531:G531,I531)=0,"","BI-"&amp;RIGHT("0000"&amp;(ROW()-5),4))</f>
        <v/>
      </c>
      <c r="B531" s="72" t="n"/>
      <c r="C531" s="66" t="n"/>
      <c r="D531" s="67" t="str">
        <f>IF(C531="","",IFERROR(INDEX(eq_des,MATCH(C531,eq_code,0))&amp;"","Équipement inconnu"))</f>
        <v/>
      </c>
      <c r="E531" s="68" t="n"/>
      <c r="F531" s="68" t="n"/>
      <c r="G531" s="66" t="n"/>
      <c r="H531" s="66" t="n"/>
      <c r="I531" s="68" t="n"/>
      <c r="J531" s="73" t="n"/>
      <c r="K531" s="71" t="n"/>
      <c r="L531" s="71" t="n"/>
      <c r="M531" s="66" t="n"/>
      <c r="N531" s="80" t="n"/>
      <c r="O531" s="81" t="str">
        <f>IF(A531="","",ROUND(V531*IFERROR(N(INDEX(tech_rate,MATCH(M531,tech_name,0))),0),2))</f>
        <v/>
      </c>
      <c r="P531" s="80" t="n"/>
      <c r="Q531" s="81" t="str">
        <f>IF(A531="","",ROUND(Y531+O531+Z531,2))</f>
        <v/>
      </c>
      <c r="R531" s="79" t="str">
        <f>IF(A531="","",IF(S531=0,"Date manquante ou invalide",IF(C531="","Équipement manquant",IF(ISNA(MATCH(C531,eq_code,0)),"Équipement inconnu",IF(E531="","Type manquant",IF(AND(E531&lt;&gt;"Préventif",E531&lt;&gt;"Correctif",E531&lt;&gt;"Amélioratif"),"Type inconnu",IF(I531="","Statut manquant",IF(AND(I531&lt;&gt;"Terminée",I531&lt;&gt;"En cours",I531&lt;&gt;"À faire",I531&lt;&gt;"Annulée"),"Statut inconnu",IF(AND(E531="Préventif",F531=""),"Plan manquant (préventif)",IF(AND(F531&lt;&gt;"",ISNA(MATCH(F531,pl_num,0))),"Plan inconnu",IF(AND(F531&lt;&gt;"",IFERROR(INDEX(pl_eq,MATCH(F531,pl_num,0))&amp;"",C531)&lt;&gt;C531),"Plan d'un autre équipement",IF(AND(J531&lt;&gt;"",OR(NOT(ISNUMBER(J531)),N(J531)&lt;0)),"Compteur invalide",IF(OR(AND(K531&lt;&gt;"",OR(NOT(ISNUMBER(K531)),N(K531)&lt;0)),AND(L531&lt;&gt;"",OR(NOT(ISNUMBER(L531)),N(L531)&lt;0))),"Durée invalide",IF(OR(AND(N531&lt;&gt;"",OR(NOT(ISNUMBER(N531)),N(N531)&lt;0)),AND(P531&lt;&gt;"",OR(NOT(ISNUMBER(P531)),N(P531)&lt;0))),"Coût invalide",IF(AND(M531&lt;&gt;"",ISNA(MATCH(M531,tech_name,0))),"Technicien inconnu",IF(AND(I531="Terminée",S531&gt;p_today),"Terminée à une date future",IF(AND(I531="Terminée",V531=0),"Durée d'intervention manquante",IF(AND(I531="Terminée",E531="Préventif",T531=0,OR(IFERROR(INDEX(pl_trig,MATCH(F531,pl_num,0))&amp;"","")="Compteur",IFERROR(INDEX(pl_trig,MATCH(F531,pl_num,0))&amp;"","")="Au premier des deux")),"Compteur manquant (plan au compteur)","OK"))))))))))))))))))</f>
        <v/>
      </c>
      <c r="S531" s="67">
        <f>IF(AND(ISNUMBER(B531),N(B531)&gt;0),INT(B531),0)</f>
        <v>0.0</v>
      </c>
      <c r="T531" s="67">
        <f>IF(AND(ISNUMBER(J531),N(J531)&gt;=0),N(J531),0)</f>
        <v>0.0</v>
      </c>
      <c r="U531" s="67">
        <f>IF(AND(ISNUMBER(K531),N(K531)&gt;0),N(K531),0)</f>
        <v>0.0</v>
      </c>
      <c r="V531" s="67">
        <f>IF(AND(ISNUMBER(L531),N(L531)&gt;0),N(L531),0)</f>
        <v>0.0</v>
      </c>
      <c r="W531" s="67">
        <f>IF(AND(I531="Terminée",S531&gt;0,C531&lt;&gt;"",ISNUMBER(MATCH(C531,eq_code,0))),1,0)</f>
        <v>0.0</v>
      </c>
      <c r="X531" s="67">
        <f>IF(AND(W531=1,E531="Préventif"),1,0)</f>
        <v>0.0</v>
      </c>
      <c r="Y531" s="67">
        <f>IF(AND(ISNUMBER(N531),N(N531)&gt;0),N(N531),0)</f>
        <v>0.0</v>
      </c>
      <c r="Z531" s="67">
        <f>IF(AND(ISNUMBER(P531),N(P531)&gt;0),N(P531),0)</f>
        <v>0.0</v>
      </c>
    </row>
    <row r="532">
      <c r="A532" s="79" t="str">
        <f>IF(COUNTA(B532:C532,E532:G532,I532)=0,"","BI-"&amp;RIGHT("0000"&amp;(ROW()-5),4))</f>
        <v/>
      </c>
      <c r="B532" s="72" t="n"/>
      <c r="C532" s="66" t="n"/>
      <c r="D532" s="67" t="str">
        <f>IF(C532="","",IFERROR(INDEX(eq_des,MATCH(C532,eq_code,0))&amp;"","Équipement inconnu"))</f>
        <v/>
      </c>
      <c r="E532" s="68" t="n"/>
      <c r="F532" s="68" t="n"/>
      <c r="G532" s="66" t="n"/>
      <c r="H532" s="66" t="n"/>
      <c r="I532" s="68" t="n"/>
      <c r="J532" s="73" t="n"/>
      <c r="K532" s="71" t="n"/>
      <c r="L532" s="71" t="n"/>
      <c r="M532" s="66" t="n"/>
      <c r="N532" s="80" t="n"/>
      <c r="O532" s="81" t="str">
        <f>IF(A532="","",ROUND(V532*IFERROR(N(INDEX(tech_rate,MATCH(M532,tech_name,0))),0),2))</f>
        <v/>
      </c>
      <c r="P532" s="80" t="n"/>
      <c r="Q532" s="81" t="str">
        <f>IF(A532="","",ROUND(Y532+O532+Z532,2))</f>
        <v/>
      </c>
      <c r="R532" s="79" t="str">
        <f>IF(A532="","",IF(S532=0,"Date manquante ou invalide",IF(C532="","Équipement manquant",IF(ISNA(MATCH(C532,eq_code,0)),"Équipement inconnu",IF(E532="","Type manquant",IF(AND(E532&lt;&gt;"Préventif",E532&lt;&gt;"Correctif",E532&lt;&gt;"Amélioratif"),"Type inconnu",IF(I532="","Statut manquant",IF(AND(I532&lt;&gt;"Terminée",I532&lt;&gt;"En cours",I532&lt;&gt;"À faire",I532&lt;&gt;"Annulée"),"Statut inconnu",IF(AND(E532="Préventif",F532=""),"Plan manquant (préventif)",IF(AND(F532&lt;&gt;"",ISNA(MATCH(F532,pl_num,0))),"Plan inconnu",IF(AND(F532&lt;&gt;"",IFERROR(INDEX(pl_eq,MATCH(F532,pl_num,0))&amp;"",C532)&lt;&gt;C532),"Plan d'un autre équipement",IF(AND(J532&lt;&gt;"",OR(NOT(ISNUMBER(J532)),N(J532)&lt;0)),"Compteur invalide",IF(OR(AND(K532&lt;&gt;"",OR(NOT(ISNUMBER(K532)),N(K532)&lt;0)),AND(L532&lt;&gt;"",OR(NOT(ISNUMBER(L532)),N(L532)&lt;0))),"Durée invalide",IF(OR(AND(N532&lt;&gt;"",OR(NOT(ISNUMBER(N532)),N(N532)&lt;0)),AND(P532&lt;&gt;"",OR(NOT(ISNUMBER(P532)),N(P532)&lt;0))),"Coût invalide",IF(AND(M532&lt;&gt;"",ISNA(MATCH(M532,tech_name,0))),"Technicien inconnu",IF(AND(I532="Terminée",S532&gt;p_today),"Terminée à une date future",IF(AND(I532="Terminée",V532=0),"Durée d'intervention manquante",IF(AND(I532="Terminée",E532="Préventif",T532=0,OR(IFERROR(INDEX(pl_trig,MATCH(F532,pl_num,0))&amp;"","")="Compteur",IFERROR(INDEX(pl_trig,MATCH(F532,pl_num,0))&amp;"","")="Au premier des deux")),"Compteur manquant (plan au compteur)","OK"))))))))))))))))))</f>
        <v/>
      </c>
      <c r="S532" s="67">
        <f>IF(AND(ISNUMBER(B532),N(B532)&gt;0),INT(B532),0)</f>
        <v>0.0</v>
      </c>
      <c r="T532" s="67">
        <f>IF(AND(ISNUMBER(J532),N(J532)&gt;=0),N(J532),0)</f>
        <v>0.0</v>
      </c>
      <c r="U532" s="67">
        <f>IF(AND(ISNUMBER(K532),N(K532)&gt;0),N(K532),0)</f>
        <v>0.0</v>
      </c>
      <c r="V532" s="67">
        <f>IF(AND(ISNUMBER(L532),N(L532)&gt;0),N(L532),0)</f>
        <v>0.0</v>
      </c>
      <c r="W532" s="67">
        <f>IF(AND(I532="Terminée",S532&gt;0,C532&lt;&gt;"",ISNUMBER(MATCH(C532,eq_code,0))),1,0)</f>
        <v>0.0</v>
      </c>
      <c r="X532" s="67">
        <f>IF(AND(W532=1,E532="Préventif"),1,0)</f>
        <v>0.0</v>
      </c>
      <c r="Y532" s="67">
        <f>IF(AND(ISNUMBER(N532),N(N532)&gt;0),N(N532),0)</f>
        <v>0.0</v>
      </c>
      <c r="Z532" s="67">
        <f>IF(AND(ISNUMBER(P532),N(P532)&gt;0),N(P532),0)</f>
        <v>0.0</v>
      </c>
    </row>
    <row r="533">
      <c r="A533" s="79" t="str">
        <f>IF(COUNTA(B533:C533,E533:G533,I533)=0,"","BI-"&amp;RIGHT("0000"&amp;(ROW()-5),4))</f>
        <v/>
      </c>
      <c r="B533" s="72" t="n"/>
      <c r="C533" s="66" t="n"/>
      <c r="D533" s="67" t="str">
        <f>IF(C533="","",IFERROR(INDEX(eq_des,MATCH(C533,eq_code,0))&amp;"","Équipement inconnu"))</f>
        <v/>
      </c>
      <c r="E533" s="68" t="n"/>
      <c r="F533" s="68" t="n"/>
      <c r="G533" s="66" t="n"/>
      <c r="H533" s="66" t="n"/>
      <c r="I533" s="68" t="n"/>
      <c r="J533" s="73" t="n"/>
      <c r="K533" s="71" t="n"/>
      <c r="L533" s="71" t="n"/>
      <c r="M533" s="66" t="n"/>
      <c r="N533" s="80" t="n"/>
      <c r="O533" s="81" t="str">
        <f>IF(A533="","",ROUND(V533*IFERROR(N(INDEX(tech_rate,MATCH(M533,tech_name,0))),0),2))</f>
        <v/>
      </c>
      <c r="P533" s="80" t="n"/>
      <c r="Q533" s="81" t="str">
        <f>IF(A533="","",ROUND(Y533+O533+Z533,2))</f>
        <v/>
      </c>
      <c r="R533" s="79" t="str">
        <f>IF(A533="","",IF(S533=0,"Date manquante ou invalide",IF(C533="","Équipement manquant",IF(ISNA(MATCH(C533,eq_code,0)),"Équipement inconnu",IF(E533="","Type manquant",IF(AND(E533&lt;&gt;"Préventif",E533&lt;&gt;"Correctif",E533&lt;&gt;"Amélioratif"),"Type inconnu",IF(I533="","Statut manquant",IF(AND(I533&lt;&gt;"Terminée",I533&lt;&gt;"En cours",I533&lt;&gt;"À faire",I533&lt;&gt;"Annulée"),"Statut inconnu",IF(AND(E533="Préventif",F533=""),"Plan manquant (préventif)",IF(AND(F533&lt;&gt;"",ISNA(MATCH(F533,pl_num,0))),"Plan inconnu",IF(AND(F533&lt;&gt;"",IFERROR(INDEX(pl_eq,MATCH(F533,pl_num,0))&amp;"",C533)&lt;&gt;C533),"Plan d'un autre équipement",IF(AND(J533&lt;&gt;"",OR(NOT(ISNUMBER(J533)),N(J533)&lt;0)),"Compteur invalide",IF(OR(AND(K533&lt;&gt;"",OR(NOT(ISNUMBER(K533)),N(K533)&lt;0)),AND(L533&lt;&gt;"",OR(NOT(ISNUMBER(L533)),N(L533)&lt;0))),"Durée invalide",IF(OR(AND(N533&lt;&gt;"",OR(NOT(ISNUMBER(N533)),N(N533)&lt;0)),AND(P533&lt;&gt;"",OR(NOT(ISNUMBER(P533)),N(P533)&lt;0))),"Coût invalide",IF(AND(M533&lt;&gt;"",ISNA(MATCH(M533,tech_name,0))),"Technicien inconnu",IF(AND(I533="Terminée",S533&gt;p_today),"Terminée à une date future",IF(AND(I533="Terminée",V533=0),"Durée d'intervention manquante",IF(AND(I533="Terminée",E533="Préventif",T533=0,OR(IFERROR(INDEX(pl_trig,MATCH(F533,pl_num,0))&amp;"","")="Compteur",IFERROR(INDEX(pl_trig,MATCH(F533,pl_num,0))&amp;"","")="Au premier des deux")),"Compteur manquant (plan au compteur)","OK"))))))))))))))))))</f>
        <v/>
      </c>
      <c r="S533" s="67">
        <f>IF(AND(ISNUMBER(B533),N(B533)&gt;0),INT(B533),0)</f>
        <v>0.0</v>
      </c>
      <c r="T533" s="67">
        <f>IF(AND(ISNUMBER(J533),N(J533)&gt;=0),N(J533),0)</f>
        <v>0.0</v>
      </c>
      <c r="U533" s="67">
        <f>IF(AND(ISNUMBER(K533),N(K533)&gt;0),N(K533),0)</f>
        <v>0.0</v>
      </c>
      <c r="V533" s="67">
        <f>IF(AND(ISNUMBER(L533),N(L533)&gt;0),N(L533),0)</f>
        <v>0.0</v>
      </c>
      <c r="W533" s="67">
        <f>IF(AND(I533="Terminée",S533&gt;0,C533&lt;&gt;"",ISNUMBER(MATCH(C533,eq_code,0))),1,0)</f>
        <v>0.0</v>
      </c>
      <c r="X533" s="67">
        <f>IF(AND(W533=1,E533="Préventif"),1,0)</f>
        <v>0.0</v>
      </c>
      <c r="Y533" s="67">
        <f>IF(AND(ISNUMBER(N533),N(N533)&gt;0),N(N533),0)</f>
        <v>0.0</v>
      </c>
      <c r="Z533" s="67">
        <f>IF(AND(ISNUMBER(P533),N(P533)&gt;0),N(P533),0)</f>
        <v>0.0</v>
      </c>
    </row>
    <row r="534">
      <c r="A534" s="79" t="str">
        <f>IF(COUNTA(B534:C534,E534:G534,I534)=0,"","BI-"&amp;RIGHT("0000"&amp;(ROW()-5),4))</f>
        <v/>
      </c>
      <c r="B534" s="72" t="n"/>
      <c r="C534" s="66" t="n"/>
      <c r="D534" s="67" t="str">
        <f>IF(C534="","",IFERROR(INDEX(eq_des,MATCH(C534,eq_code,0))&amp;"","Équipement inconnu"))</f>
        <v/>
      </c>
      <c r="E534" s="68" t="n"/>
      <c r="F534" s="68" t="n"/>
      <c r="G534" s="66" t="n"/>
      <c r="H534" s="66" t="n"/>
      <c r="I534" s="68" t="n"/>
      <c r="J534" s="73" t="n"/>
      <c r="K534" s="71" t="n"/>
      <c r="L534" s="71" t="n"/>
      <c r="M534" s="66" t="n"/>
      <c r="N534" s="80" t="n"/>
      <c r="O534" s="81" t="str">
        <f>IF(A534="","",ROUND(V534*IFERROR(N(INDEX(tech_rate,MATCH(M534,tech_name,0))),0),2))</f>
        <v/>
      </c>
      <c r="P534" s="80" t="n"/>
      <c r="Q534" s="81" t="str">
        <f>IF(A534="","",ROUND(Y534+O534+Z534,2))</f>
        <v/>
      </c>
      <c r="R534" s="79" t="str">
        <f>IF(A534="","",IF(S534=0,"Date manquante ou invalide",IF(C534="","Équipement manquant",IF(ISNA(MATCH(C534,eq_code,0)),"Équipement inconnu",IF(E534="","Type manquant",IF(AND(E534&lt;&gt;"Préventif",E534&lt;&gt;"Correctif",E534&lt;&gt;"Amélioratif"),"Type inconnu",IF(I534="","Statut manquant",IF(AND(I534&lt;&gt;"Terminée",I534&lt;&gt;"En cours",I534&lt;&gt;"À faire",I534&lt;&gt;"Annulée"),"Statut inconnu",IF(AND(E534="Préventif",F534=""),"Plan manquant (préventif)",IF(AND(F534&lt;&gt;"",ISNA(MATCH(F534,pl_num,0))),"Plan inconnu",IF(AND(F534&lt;&gt;"",IFERROR(INDEX(pl_eq,MATCH(F534,pl_num,0))&amp;"",C534)&lt;&gt;C534),"Plan d'un autre équipement",IF(AND(J534&lt;&gt;"",OR(NOT(ISNUMBER(J534)),N(J534)&lt;0)),"Compteur invalide",IF(OR(AND(K534&lt;&gt;"",OR(NOT(ISNUMBER(K534)),N(K534)&lt;0)),AND(L534&lt;&gt;"",OR(NOT(ISNUMBER(L534)),N(L534)&lt;0))),"Durée invalide",IF(OR(AND(N534&lt;&gt;"",OR(NOT(ISNUMBER(N534)),N(N534)&lt;0)),AND(P534&lt;&gt;"",OR(NOT(ISNUMBER(P534)),N(P534)&lt;0))),"Coût invalide",IF(AND(M534&lt;&gt;"",ISNA(MATCH(M534,tech_name,0))),"Technicien inconnu",IF(AND(I534="Terminée",S534&gt;p_today),"Terminée à une date future",IF(AND(I534="Terminée",V534=0),"Durée d'intervention manquante",IF(AND(I534="Terminée",E534="Préventif",T534=0,OR(IFERROR(INDEX(pl_trig,MATCH(F534,pl_num,0))&amp;"","")="Compteur",IFERROR(INDEX(pl_trig,MATCH(F534,pl_num,0))&amp;"","")="Au premier des deux")),"Compteur manquant (plan au compteur)","OK"))))))))))))))))))</f>
        <v/>
      </c>
      <c r="S534" s="67">
        <f>IF(AND(ISNUMBER(B534),N(B534)&gt;0),INT(B534),0)</f>
        <v>0.0</v>
      </c>
      <c r="T534" s="67">
        <f>IF(AND(ISNUMBER(J534),N(J534)&gt;=0),N(J534),0)</f>
        <v>0.0</v>
      </c>
      <c r="U534" s="67">
        <f>IF(AND(ISNUMBER(K534),N(K534)&gt;0),N(K534),0)</f>
        <v>0.0</v>
      </c>
      <c r="V534" s="67">
        <f>IF(AND(ISNUMBER(L534),N(L534)&gt;0),N(L534),0)</f>
        <v>0.0</v>
      </c>
      <c r="W534" s="67">
        <f>IF(AND(I534="Terminée",S534&gt;0,C534&lt;&gt;"",ISNUMBER(MATCH(C534,eq_code,0))),1,0)</f>
        <v>0.0</v>
      </c>
      <c r="X534" s="67">
        <f>IF(AND(W534=1,E534="Préventif"),1,0)</f>
        <v>0.0</v>
      </c>
      <c r="Y534" s="67">
        <f>IF(AND(ISNUMBER(N534),N(N534)&gt;0),N(N534),0)</f>
        <v>0.0</v>
      </c>
      <c r="Z534" s="67">
        <f>IF(AND(ISNUMBER(P534),N(P534)&gt;0),N(P534),0)</f>
        <v>0.0</v>
      </c>
    </row>
    <row r="535">
      <c r="A535" s="79" t="str">
        <f>IF(COUNTA(B535:C535,E535:G535,I535)=0,"","BI-"&amp;RIGHT("0000"&amp;(ROW()-5),4))</f>
        <v/>
      </c>
      <c r="B535" s="72" t="n"/>
      <c r="C535" s="66" t="n"/>
      <c r="D535" s="67" t="str">
        <f>IF(C535="","",IFERROR(INDEX(eq_des,MATCH(C535,eq_code,0))&amp;"","Équipement inconnu"))</f>
        <v/>
      </c>
      <c r="E535" s="68" t="n"/>
      <c r="F535" s="68" t="n"/>
      <c r="G535" s="66" t="n"/>
      <c r="H535" s="66" t="n"/>
      <c r="I535" s="68" t="n"/>
      <c r="J535" s="73" t="n"/>
      <c r="K535" s="71" t="n"/>
      <c r="L535" s="71" t="n"/>
      <c r="M535" s="66" t="n"/>
      <c r="N535" s="80" t="n"/>
      <c r="O535" s="81" t="str">
        <f>IF(A535="","",ROUND(V535*IFERROR(N(INDEX(tech_rate,MATCH(M535,tech_name,0))),0),2))</f>
        <v/>
      </c>
      <c r="P535" s="80" t="n"/>
      <c r="Q535" s="81" t="str">
        <f>IF(A535="","",ROUND(Y535+O535+Z535,2))</f>
        <v/>
      </c>
      <c r="R535" s="79" t="str">
        <f>IF(A535="","",IF(S535=0,"Date manquante ou invalide",IF(C535="","Équipement manquant",IF(ISNA(MATCH(C535,eq_code,0)),"Équipement inconnu",IF(E535="","Type manquant",IF(AND(E535&lt;&gt;"Préventif",E535&lt;&gt;"Correctif",E535&lt;&gt;"Amélioratif"),"Type inconnu",IF(I535="","Statut manquant",IF(AND(I535&lt;&gt;"Terminée",I535&lt;&gt;"En cours",I535&lt;&gt;"À faire",I535&lt;&gt;"Annulée"),"Statut inconnu",IF(AND(E535="Préventif",F535=""),"Plan manquant (préventif)",IF(AND(F535&lt;&gt;"",ISNA(MATCH(F535,pl_num,0))),"Plan inconnu",IF(AND(F535&lt;&gt;"",IFERROR(INDEX(pl_eq,MATCH(F535,pl_num,0))&amp;"",C535)&lt;&gt;C535),"Plan d'un autre équipement",IF(AND(J535&lt;&gt;"",OR(NOT(ISNUMBER(J535)),N(J535)&lt;0)),"Compteur invalide",IF(OR(AND(K535&lt;&gt;"",OR(NOT(ISNUMBER(K535)),N(K535)&lt;0)),AND(L535&lt;&gt;"",OR(NOT(ISNUMBER(L535)),N(L535)&lt;0))),"Durée invalide",IF(OR(AND(N535&lt;&gt;"",OR(NOT(ISNUMBER(N535)),N(N535)&lt;0)),AND(P535&lt;&gt;"",OR(NOT(ISNUMBER(P535)),N(P535)&lt;0))),"Coût invalide",IF(AND(M535&lt;&gt;"",ISNA(MATCH(M535,tech_name,0))),"Technicien inconnu",IF(AND(I535="Terminée",S535&gt;p_today),"Terminée à une date future",IF(AND(I535="Terminée",V535=0),"Durée d'intervention manquante",IF(AND(I535="Terminée",E535="Préventif",T535=0,OR(IFERROR(INDEX(pl_trig,MATCH(F535,pl_num,0))&amp;"","")="Compteur",IFERROR(INDEX(pl_trig,MATCH(F535,pl_num,0))&amp;"","")="Au premier des deux")),"Compteur manquant (plan au compteur)","OK"))))))))))))))))))</f>
        <v/>
      </c>
      <c r="S535" s="67">
        <f>IF(AND(ISNUMBER(B535),N(B535)&gt;0),INT(B535),0)</f>
        <v>0.0</v>
      </c>
      <c r="T535" s="67">
        <f>IF(AND(ISNUMBER(J535),N(J535)&gt;=0),N(J535),0)</f>
        <v>0.0</v>
      </c>
      <c r="U535" s="67">
        <f>IF(AND(ISNUMBER(K535),N(K535)&gt;0),N(K535),0)</f>
        <v>0.0</v>
      </c>
      <c r="V535" s="67">
        <f>IF(AND(ISNUMBER(L535),N(L535)&gt;0),N(L535),0)</f>
        <v>0.0</v>
      </c>
      <c r="W535" s="67">
        <f>IF(AND(I535="Terminée",S535&gt;0,C535&lt;&gt;"",ISNUMBER(MATCH(C535,eq_code,0))),1,0)</f>
        <v>0.0</v>
      </c>
      <c r="X535" s="67">
        <f>IF(AND(W535=1,E535="Préventif"),1,0)</f>
        <v>0.0</v>
      </c>
      <c r="Y535" s="67">
        <f>IF(AND(ISNUMBER(N535),N(N535)&gt;0),N(N535),0)</f>
        <v>0.0</v>
      </c>
      <c r="Z535" s="67">
        <f>IF(AND(ISNUMBER(P535),N(P535)&gt;0),N(P535),0)</f>
        <v>0.0</v>
      </c>
    </row>
    <row r="536">
      <c r="A536" s="79" t="str">
        <f>IF(COUNTA(B536:C536,E536:G536,I536)=0,"","BI-"&amp;RIGHT("0000"&amp;(ROW()-5),4))</f>
        <v/>
      </c>
      <c r="B536" s="72" t="n"/>
      <c r="C536" s="66" t="n"/>
      <c r="D536" s="67" t="str">
        <f>IF(C536="","",IFERROR(INDEX(eq_des,MATCH(C536,eq_code,0))&amp;"","Équipement inconnu"))</f>
        <v/>
      </c>
      <c r="E536" s="68" t="n"/>
      <c r="F536" s="68" t="n"/>
      <c r="G536" s="66" t="n"/>
      <c r="H536" s="66" t="n"/>
      <c r="I536" s="68" t="n"/>
      <c r="J536" s="73" t="n"/>
      <c r="K536" s="71" t="n"/>
      <c r="L536" s="71" t="n"/>
      <c r="M536" s="66" t="n"/>
      <c r="N536" s="80" t="n"/>
      <c r="O536" s="81" t="str">
        <f>IF(A536="","",ROUND(V536*IFERROR(N(INDEX(tech_rate,MATCH(M536,tech_name,0))),0),2))</f>
        <v/>
      </c>
      <c r="P536" s="80" t="n"/>
      <c r="Q536" s="81" t="str">
        <f>IF(A536="","",ROUND(Y536+O536+Z536,2))</f>
        <v/>
      </c>
      <c r="R536" s="79" t="str">
        <f>IF(A536="","",IF(S536=0,"Date manquante ou invalide",IF(C536="","Équipement manquant",IF(ISNA(MATCH(C536,eq_code,0)),"Équipement inconnu",IF(E536="","Type manquant",IF(AND(E536&lt;&gt;"Préventif",E536&lt;&gt;"Correctif",E536&lt;&gt;"Amélioratif"),"Type inconnu",IF(I536="","Statut manquant",IF(AND(I536&lt;&gt;"Terminée",I536&lt;&gt;"En cours",I536&lt;&gt;"À faire",I536&lt;&gt;"Annulée"),"Statut inconnu",IF(AND(E536="Préventif",F536=""),"Plan manquant (préventif)",IF(AND(F536&lt;&gt;"",ISNA(MATCH(F536,pl_num,0))),"Plan inconnu",IF(AND(F536&lt;&gt;"",IFERROR(INDEX(pl_eq,MATCH(F536,pl_num,0))&amp;"",C536)&lt;&gt;C536),"Plan d'un autre équipement",IF(AND(J536&lt;&gt;"",OR(NOT(ISNUMBER(J536)),N(J536)&lt;0)),"Compteur invalide",IF(OR(AND(K536&lt;&gt;"",OR(NOT(ISNUMBER(K536)),N(K536)&lt;0)),AND(L536&lt;&gt;"",OR(NOT(ISNUMBER(L536)),N(L536)&lt;0))),"Durée invalide",IF(OR(AND(N536&lt;&gt;"",OR(NOT(ISNUMBER(N536)),N(N536)&lt;0)),AND(P536&lt;&gt;"",OR(NOT(ISNUMBER(P536)),N(P536)&lt;0))),"Coût invalide",IF(AND(M536&lt;&gt;"",ISNA(MATCH(M536,tech_name,0))),"Technicien inconnu",IF(AND(I536="Terminée",S536&gt;p_today),"Terminée à une date future",IF(AND(I536="Terminée",V536=0),"Durée d'intervention manquante",IF(AND(I536="Terminée",E536="Préventif",T536=0,OR(IFERROR(INDEX(pl_trig,MATCH(F536,pl_num,0))&amp;"","")="Compteur",IFERROR(INDEX(pl_trig,MATCH(F536,pl_num,0))&amp;"","")="Au premier des deux")),"Compteur manquant (plan au compteur)","OK"))))))))))))))))))</f>
        <v/>
      </c>
      <c r="S536" s="67">
        <f>IF(AND(ISNUMBER(B536),N(B536)&gt;0),INT(B536),0)</f>
        <v>0.0</v>
      </c>
      <c r="T536" s="67">
        <f>IF(AND(ISNUMBER(J536),N(J536)&gt;=0),N(J536),0)</f>
        <v>0.0</v>
      </c>
      <c r="U536" s="67">
        <f>IF(AND(ISNUMBER(K536),N(K536)&gt;0),N(K536),0)</f>
        <v>0.0</v>
      </c>
      <c r="V536" s="67">
        <f>IF(AND(ISNUMBER(L536),N(L536)&gt;0),N(L536),0)</f>
        <v>0.0</v>
      </c>
      <c r="W536" s="67">
        <f>IF(AND(I536="Terminée",S536&gt;0,C536&lt;&gt;"",ISNUMBER(MATCH(C536,eq_code,0))),1,0)</f>
        <v>0.0</v>
      </c>
      <c r="X536" s="67">
        <f>IF(AND(W536=1,E536="Préventif"),1,0)</f>
        <v>0.0</v>
      </c>
      <c r="Y536" s="67">
        <f>IF(AND(ISNUMBER(N536),N(N536)&gt;0),N(N536),0)</f>
        <v>0.0</v>
      </c>
      <c r="Z536" s="67">
        <f>IF(AND(ISNUMBER(P536),N(P536)&gt;0),N(P536),0)</f>
        <v>0.0</v>
      </c>
    </row>
    <row r="537">
      <c r="A537" s="79" t="str">
        <f>IF(COUNTA(B537:C537,E537:G537,I537)=0,"","BI-"&amp;RIGHT("0000"&amp;(ROW()-5),4))</f>
        <v/>
      </c>
      <c r="B537" s="72" t="n"/>
      <c r="C537" s="66" t="n"/>
      <c r="D537" s="67" t="str">
        <f>IF(C537="","",IFERROR(INDEX(eq_des,MATCH(C537,eq_code,0))&amp;"","Équipement inconnu"))</f>
        <v/>
      </c>
      <c r="E537" s="68" t="n"/>
      <c r="F537" s="68" t="n"/>
      <c r="G537" s="66" t="n"/>
      <c r="H537" s="66" t="n"/>
      <c r="I537" s="68" t="n"/>
      <c r="J537" s="73" t="n"/>
      <c r="K537" s="71" t="n"/>
      <c r="L537" s="71" t="n"/>
      <c r="M537" s="66" t="n"/>
      <c r="N537" s="80" t="n"/>
      <c r="O537" s="81" t="str">
        <f>IF(A537="","",ROUND(V537*IFERROR(N(INDEX(tech_rate,MATCH(M537,tech_name,0))),0),2))</f>
        <v/>
      </c>
      <c r="P537" s="80" t="n"/>
      <c r="Q537" s="81" t="str">
        <f>IF(A537="","",ROUND(Y537+O537+Z537,2))</f>
        <v/>
      </c>
      <c r="R537" s="79" t="str">
        <f>IF(A537="","",IF(S537=0,"Date manquante ou invalide",IF(C537="","Équipement manquant",IF(ISNA(MATCH(C537,eq_code,0)),"Équipement inconnu",IF(E537="","Type manquant",IF(AND(E537&lt;&gt;"Préventif",E537&lt;&gt;"Correctif",E537&lt;&gt;"Amélioratif"),"Type inconnu",IF(I537="","Statut manquant",IF(AND(I537&lt;&gt;"Terminée",I537&lt;&gt;"En cours",I537&lt;&gt;"À faire",I537&lt;&gt;"Annulée"),"Statut inconnu",IF(AND(E537="Préventif",F537=""),"Plan manquant (préventif)",IF(AND(F537&lt;&gt;"",ISNA(MATCH(F537,pl_num,0))),"Plan inconnu",IF(AND(F537&lt;&gt;"",IFERROR(INDEX(pl_eq,MATCH(F537,pl_num,0))&amp;"",C537)&lt;&gt;C537),"Plan d'un autre équipement",IF(AND(J537&lt;&gt;"",OR(NOT(ISNUMBER(J537)),N(J537)&lt;0)),"Compteur invalide",IF(OR(AND(K537&lt;&gt;"",OR(NOT(ISNUMBER(K537)),N(K537)&lt;0)),AND(L537&lt;&gt;"",OR(NOT(ISNUMBER(L537)),N(L537)&lt;0))),"Durée invalide",IF(OR(AND(N537&lt;&gt;"",OR(NOT(ISNUMBER(N537)),N(N537)&lt;0)),AND(P537&lt;&gt;"",OR(NOT(ISNUMBER(P537)),N(P537)&lt;0))),"Coût invalide",IF(AND(M537&lt;&gt;"",ISNA(MATCH(M537,tech_name,0))),"Technicien inconnu",IF(AND(I537="Terminée",S537&gt;p_today),"Terminée à une date future",IF(AND(I537="Terminée",V537=0),"Durée d'intervention manquante",IF(AND(I537="Terminée",E537="Préventif",T537=0,OR(IFERROR(INDEX(pl_trig,MATCH(F537,pl_num,0))&amp;"","")="Compteur",IFERROR(INDEX(pl_trig,MATCH(F537,pl_num,0))&amp;"","")="Au premier des deux")),"Compteur manquant (plan au compteur)","OK"))))))))))))))))))</f>
        <v/>
      </c>
      <c r="S537" s="67">
        <f>IF(AND(ISNUMBER(B537),N(B537)&gt;0),INT(B537),0)</f>
        <v>0.0</v>
      </c>
      <c r="T537" s="67">
        <f>IF(AND(ISNUMBER(J537),N(J537)&gt;=0),N(J537),0)</f>
        <v>0.0</v>
      </c>
      <c r="U537" s="67">
        <f>IF(AND(ISNUMBER(K537),N(K537)&gt;0),N(K537),0)</f>
        <v>0.0</v>
      </c>
      <c r="V537" s="67">
        <f>IF(AND(ISNUMBER(L537),N(L537)&gt;0),N(L537),0)</f>
        <v>0.0</v>
      </c>
      <c r="W537" s="67">
        <f>IF(AND(I537="Terminée",S537&gt;0,C537&lt;&gt;"",ISNUMBER(MATCH(C537,eq_code,0))),1,0)</f>
        <v>0.0</v>
      </c>
      <c r="X537" s="67">
        <f>IF(AND(W537=1,E537="Préventif"),1,0)</f>
        <v>0.0</v>
      </c>
      <c r="Y537" s="67">
        <f>IF(AND(ISNUMBER(N537),N(N537)&gt;0),N(N537),0)</f>
        <v>0.0</v>
      </c>
      <c r="Z537" s="67">
        <f>IF(AND(ISNUMBER(P537),N(P537)&gt;0),N(P537),0)</f>
        <v>0.0</v>
      </c>
    </row>
    <row r="538">
      <c r="A538" s="79" t="str">
        <f>IF(COUNTA(B538:C538,E538:G538,I538)=0,"","BI-"&amp;RIGHT("0000"&amp;(ROW()-5),4))</f>
        <v/>
      </c>
      <c r="B538" s="72" t="n"/>
      <c r="C538" s="66" t="n"/>
      <c r="D538" s="67" t="str">
        <f>IF(C538="","",IFERROR(INDEX(eq_des,MATCH(C538,eq_code,0))&amp;"","Équipement inconnu"))</f>
        <v/>
      </c>
      <c r="E538" s="68" t="n"/>
      <c r="F538" s="68" t="n"/>
      <c r="G538" s="66" t="n"/>
      <c r="H538" s="66" t="n"/>
      <c r="I538" s="68" t="n"/>
      <c r="J538" s="73" t="n"/>
      <c r="K538" s="71" t="n"/>
      <c r="L538" s="71" t="n"/>
      <c r="M538" s="66" t="n"/>
      <c r="N538" s="80" t="n"/>
      <c r="O538" s="81" t="str">
        <f>IF(A538="","",ROUND(V538*IFERROR(N(INDEX(tech_rate,MATCH(M538,tech_name,0))),0),2))</f>
        <v/>
      </c>
      <c r="P538" s="80" t="n"/>
      <c r="Q538" s="81" t="str">
        <f>IF(A538="","",ROUND(Y538+O538+Z538,2))</f>
        <v/>
      </c>
      <c r="R538" s="79" t="str">
        <f>IF(A538="","",IF(S538=0,"Date manquante ou invalide",IF(C538="","Équipement manquant",IF(ISNA(MATCH(C538,eq_code,0)),"Équipement inconnu",IF(E538="","Type manquant",IF(AND(E538&lt;&gt;"Préventif",E538&lt;&gt;"Correctif",E538&lt;&gt;"Amélioratif"),"Type inconnu",IF(I538="","Statut manquant",IF(AND(I538&lt;&gt;"Terminée",I538&lt;&gt;"En cours",I538&lt;&gt;"À faire",I538&lt;&gt;"Annulée"),"Statut inconnu",IF(AND(E538="Préventif",F538=""),"Plan manquant (préventif)",IF(AND(F538&lt;&gt;"",ISNA(MATCH(F538,pl_num,0))),"Plan inconnu",IF(AND(F538&lt;&gt;"",IFERROR(INDEX(pl_eq,MATCH(F538,pl_num,0))&amp;"",C538)&lt;&gt;C538),"Plan d'un autre équipement",IF(AND(J538&lt;&gt;"",OR(NOT(ISNUMBER(J538)),N(J538)&lt;0)),"Compteur invalide",IF(OR(AND(K538&lt;&gt;"",OR(NOT(ISNUMBER(K538)),N(K538)&lt;0)),AND(L538&lt;&gt;"",OR(NOT(ISNUMBER(L538)),N(L538)&lt;0))),"Durée invalide",IF(OR(AND(N538&lt;&gt;"",OR(NOT(ISNUMBER(N538)),N(N538)&lt;0)),AND(P538&lt;&gt;"",OR(NOT(ISNUMBER(P538)),N(P538)&lt;0))),"Coût invalide",IF(AND(M538&lt;&gt;"",ISNA(MATCH(M538,tech_name,0))),"Technicien inconnu",IF(AND(I538="Terminée",S538&gt;p_today),"Terminée à une date future",IF(AND(I538="Terminée",V538=0),"Durée d'intervention manquante",IF(AND(I538="Terminée",E538="Préventif",T538=0,OR(IFERROR(INDEX(pl_trig,MATCH(F538,pl_num,0))&amp;"","")="Compteur",IFERROR(INDEX(pl_trig,MATCH(F538,pl_num,0))&amp;"","")="Au premier des deux")),"Compteur manquant (plan au compteur)","OK"))))))))))))))))))</f>
        <v/>
      </c>
      <c r="S538" s="67">
        <f>IF(AND(ISNUMBER(B538),N(B538)&gt;0),INT(B538),0)</f>
        <v>0.0</v>
      </c>
      <c r="T538" s="67">
        <f>IF(AND(ISNUMBER(J538),N(J538)&gt;=0),N(J538),0)</f>
        <v>0.0</v>
      </c>
      <c r="U538" s="67">
        <f>IF(AND(ISNUMBER(K538),N(K538)&gt;0),N(K538),0)</f>
        <v>0.0</v>
      </c>
      <c r="V538" s="67">
        <f>IF(AND(ISNUMBER(L538),N(L538)&gt;0),N(L538),0)</f>
        <v>0.0</v>
      </c>
      <c r="W538" s="67">
        <f>IF(AND(I538="Terminée",S538&gt;0,C538&lt;&gt;"",ISNUMBER(MATCH(C538,eq_code,0))),1,0)</f>
        <v>0.0</v>
      </c>
      <c r="X538" s="67">
        <f>IF(AND(W538=1,E538="Préventif"),1,0)</f>
        <v>0.0</v>
      </c>
      <c r="Y538" s="67">
        <f>IF(AND(ISNUMBER(N538),N(N538)&gt;0),N(N538),0)</f>
        <v>0.0</v>
      </c>
      <c r="Z538" s="67">
        <f>IF(AND(ISNUMBER(P538),N(P538)&gt;0),N(P538),0)</f>
        <v>0.0</v>
      </c>
    </row>
    <row r="539">
      <c r="A539" s="79" t="str">
        <f>IF(COUNTA(B539:C539,E539:G539,I539)=0,"","BI-"&amp;RIGHT("0000"&amp;(ROW()-5),4))</f>
        <v/>
      </c>
      <c r="B539" s="72" t="n"/>
      <c r="C539" s="66" t="n"/>
      <c r="D539" s="67" t="str">
        <f>IF(C539="","",IFERROR(INDEX(eq_des,MATCH(C539,eq_code,0))&amp;"","Équipement inconnu"))</f>
        <v/>
      </c>
      <c r="E539" s="68" t="n"/>
      <c r="F539" s="68" t="n"/>
      <c r="G539" s="66" t="n"/>
      <c r="H539" s="66" t="n"/>
      <c r="I539" s="68" t="n"/>
      <c r="J539" s="73" t="n"/>
      <c r="K539" s="71" t="n"/>
      <c r="L539" s="71" t="n"/>
      <c r="M539" s="66" t="n"/>
      <c r="N539" s="80" t="n"/>
      <c r="O539" s="81" t="str">
        <f>IF(A539="","",ROUND(V539*IFERROR(N(INDEX(tech_rate,MATCH(M539,tech_name,0))),0),2))</f>
        <v/>
      </c>
      <c r="P539" s="80" t="n"/>
      <c r="Q539" s="81" t="str">
        <f>IF(A539="","",ROUND(Y539+O539+Z539,2))</f>
        <v/>
      </c>
      <c r="R539" s="79" t="str">
        <f>IF(A539="","",IF(S539=0,"Date manquante ou invalide",IF(C539="","Équipement manquant",IF(ISNA(MATCH(C539,eq_code,0)),"Équipement inconnu",IF(E539="","Type manquant",IF(AND(E539&lt;&gt;"Préventif",E539&lt;&gt;"Correctif",E539&lt;&gt;"Amélioratif"),"Type inconnu",IF(I539="","Statut manquant",IF(AND(I539&lt;&gt;"Terminée",I539&lt;&gt;"En cours",I539&lt;&gt;"À faire",I539&lt;&gt;"Annulée"),"Statut inconnu",IF(AND(E539="Préventif",F539=""),"Plan manquant (préventif)",IF(AND(F539&lt;&gt;"",ISNA(MATCH(F539,pl_num,0))),"Plan inconnu",IF(AND(F539&lt;&gt;"",IFERROR(INDEX(pl_eq,MATCH(F539,pl_num,0))&amp;"",C539)&lt;&gt;C539),"Plan d'un autre équipement",IF(AND(J539&lt;&gt;"",OR(NOT(ISNUMBER(J539)),N(J539)&lt;0)),"Compteur invalide",IF(OR(AND(K539&lt;&gt;"",OR(NOT(ISNUMBER(K539)),N(K539)&lt;0)),AND(L539&lt;&gt;"",OR(NOT(ISNUMBER(L539)),N(L539)&lt;0))),"Durée invalide",IF(OR(AND(N539&lt;&gt;"",OR(NOT(ISNUMBER(N539)),N(N539)&lt;0)),AND(P539&lt;&gt;"",OR(NOT(ISNUMBER(P539)),N(P539)&lt;0))),"Coût invalide",IF(AND(M539&lt;&gt;"",ISNA(MATCH(M539,tech_name,0))),"Technicien inconnu",IF(AND(I539="Terminée",S539&gt;p_today),"Terminée à une date future",IF(AND(I539="Terminée",V539=0),"Durée d'intervention manquante",IF(AND(I539="Terminée",E539="Préventif",T539=0,OR(IFERROR(INDEX(pl_trig,MATCH(F539,pl_num,0))&amp;"","")="Compteur",IFERROR(INDEX(pl_trig,MATCH(F539,pl_num,0))&amp;"","")="Au premier des deux")),"Compteur manquant (plan au compteur)","OK"))))))))))))))))))</f>
        <v/>
      </c>
      <c r="S539" s="67">
        <f>IF(AND(ISNUMBER(B539),N(B539)&gt;0),INT(B539),0)</f>
        <v>0.0</v>
      </c>
      <c r="T539" s="67">
        <f>IF(AND(ISNUMBER(J539),N(J539)&gt;=0),N(J539),0)</f>
        <v>0.0</v>
      </c>
      <c r="U539" s="67">
        <f>IF(AND(ISNUMBER(K539),N(K539)&gt;0),N(K539),0)</f>
        <v>0.0</v>
      </c>
      <c r="V539" s="67">
        <f>IF(AND(ISNUMBER(L539),N(L539)&gt;0),N(L539),0)</f>
        <v>0.0</v>
      </c>
      <c r="W539" s="67">
        <f>IF(AND(I539="Terminée",S539&gt;0,C539&lt;&gt;"",ISNUMBER(MATCH(C539,eq_code,0))),1,0)</f>
        <v>0.0</v>
      </c>
      <c r="X539" s="67">
        <f>IF(AND(W539=1,E539="Préventif"),1,0)</f>
        <v>0.0</v>
      </c>
      <c r="Y539" s="67">
        <f>IF(AND(ISNUMBER(N539),N(N539)&gt;0),N(N539),0)</f>
        <v>0.0</v>
      </c>
      <c r="Z539" s="67">
        <f>IF(AND(ISNUMBER(P539),N(P539)&gt;0),N(P539),0)</f>
        <v>0.0</v>
      </c>
    </row>
    <row r="540">
      <c r="A540" s="79" t="str">
        <f>IF(COUNTA(B540:C540,E540:G540,I540)=0,"","BI-"&amp;RIGHT("0000"&amp;(ROW()-5),4))</f>
        <v/>
      </c>
      <c r="B540" s="72" t="n"/>
      <c r="C540" s="66" t="n"/>
      <c r="D540" s="67" t="str">
        <f>IF(C540="","",IFERROR(INDEX(eq_des,MATCH(C540,eq_code,0))&amp;"","Équipement inconnu"))</f>
        <v/>
      </c>
      <c r="E540" s="68" t="n"/>
      <c r="F540" s="68" t="n"/>
      <c r="G540" s="66" t="n"/>
      <c r="H540" s="66" t="n"/>
      <c r="I540" s="68" t="n"/>
      <c r="J540" s="73" t="n"/>
      <c r="K540" s="71" t="n"/>
      <c r="L540" s="71" t="n"/>
      <c r="M540" s="66" t="n"/>
      <c r="N540" s="80" t="n"/>
      <c r="O540" s="81" t="str">
        <f>IF(A540="","",ROUND(V540*IFERROR(N(INDEX(tech_rate,MATCH(M540,tech_name,0))),0),2))</f>
        <v/>
      </c>
      <c r="P540" s="80" t="n"/>
      <c r="Q540" s="81" t="str">
        <f>IF(A540="","",ROUND(Y540+O540+Z540,2))</f>
        <v/>
      </c>
      <c r="R540" s="79" t="str">
        <f>IF(A540="","",IF(S540=0,"Date manquante ou invalide",IF(C540="","Équipement manquant",IF(ISNA(MATCH(C540,eq_code,0)),"Équipement inconnu",IF(E540="","Type manquant",IF(AND(E540&lt;&gt;"Préventif",E540&lt;&gt;"Correctif",E540&lt;&gt;"Amélioratif"),"Type inconnu",IF(I540="","Statut manquant",IF(AND(I540&lt;&gt;"Terminée",I540&lt;&gt;"En cours",I540&lt;&gt;"À faire",I540&lt;&gt;"Annulée"),"Statut inconnu",IF(AND(E540="Préventif",F540=""),"Plan manquant (préventif)",IF(AND(F540&lt;&gt;"",ISNA(MATCH(F540,pl_num,0))),"Plan inconnu",IF(AND(F540&lt;&gt;"",IFERROR(INDEX(pl_eq,MATCH(F540,pl_num,0))&amp;"",C540)&lt;&gt;C540),"Plan d'un autre équipement",IF(AND(J540&lt;&gt;"",OR(NOT(ISNUMBER(J540)),N(J540)&lt;0)),"Compteur invalide",IF(OR(AND(K540&lt;&gt;"",OR(NOT(ISNUMBER(K540)),N(K540)&lt;0)),AND(L540&lt;&gt;"",OR(NOT(ISNUMBER(L540)),N(L540)&lt;0))),"Durée invalide",IF(OR(AND(N540&lt;&gt;"",OR(NOT(ISNUMBER(N540)),N(N540)&lt;0)),AND(P540&lt;&gt;"",OR(NOT(ISNUMBER(P540)),N(P540)&lt;0))),"Coût invalide",IF(AND(M540&lt;&gt;"",ISNA(MATCH(M540,tech_name,0))),"Technicien inconnu",IF(AND(I540="Terminée",S540&gt;p_today),"Terminée à une date future",IF(AND(I540="Terminée",V540=0),"Durée d'intervention manquante",IF(AND(I540="Terminée",E540="Préventif",T540=0,OR(IFERROR(INDEX(pl_trig,MATCH(F540,pl_num,0))&amp;"","")="Compteur",IFERROR(INDEX(pl_trig,MATCH(F540,pl_num,0))&amp;"","")="Au premier des deux")),"Compteur manquant (plan au compteur)","OK"))))))))))))))))))</f>
        <v/>
      </c>
      <c r="S540" s="67">
        <f>IF(AND(ISNUMBER(B540),N(B540)&gt;0),INT(B540),0)</f>
        <v>0.0</v>
      </c>
      <c r="T540" s="67">
        <f>IF(AND(ISNUMBER(J540),N(J540)&gt;=0),N(J540),0)</f>
        <v>0.0</v>
      </c>
      <c r="U540" s="67">
        <f>IF(AND(ISNUMBER(K540),N(K540)&gt;0),N(K540),0)</f>
        <v>0.0</v>
      </c>
      <c r="V540" s="67">
        <f>IF(AND(ISNUMBER(L540),N(L540)&gt;0),N(L540),0)</f>
        <v>0.0</v>
      </c>
      <c r="W540" s="67">
        <f>IF(AND(I540="Terminée",S540&gt;0,C540&lt;&gt;"",ISNUMBER(MATCH(C540,eq_code,0))),1,0)</f>
        <v>0.0</v>
      </c>
      <c r="X540" s="67">
        <f>IF(AND(W540=1,E540="Préventif"),1,0)</f>
        <v>0.0</v>
      </c>
      <c r="Y540" s="67">
        <f>IF(AND(ISNUMBER(N540),N(N540)&gt;0),N(N540),0)</f>
        <v>0.0</v>
      </c>
      <c r="Z540" s="67">
        <f>IF(AND(ISNUMBER(P540),N(P540)&gt;0),N(P540),0)</f>
        <v>0.0</v>
      </c>
    </row>
    <row r="541">
      <c r="A541" s="79" t="str">
        <f>IF(COUNTA(B541:C541,E541:G541,I541)=0,"","BI-"&amp;RIGHT("0000"&amp;(ROW()-5),4))</f>
        <v/>
      </c>
      <c r="B541" s="72" t="n"/>
      <c r="C541" s="66" t="n"/>
      <c r="D541" s="67" t="str">
        <f>IF(C541="","",IFERROR(INDEX(eq_des,MATCH(C541,eq_code,0))&amp;"","Équipement inconnu"))</f>
        <v/>
      </c>
      <c r="E541" s="68" t="n"/>
      <c r="F541" s="68" t="n"/>
      <c r="G541" s="66" t="n"/>
      <c r="H541" s="66" t="n"/>
      <c r="I541" s="68" t="n"/>
      <c r="J541" s="73" t="n"/>
      <c r="K541" s="71" t="n"/>
      <c r="L541" s="71" t="n"/>
      <c r="M541" s="66" t="n"/>
      <c r="N541" s="80" t="n"/>
      <c r="O541" s="81" t="str">
        <f>IF(A541="","",ROUND(V541*IFERROR(N(INDEX(tech_rate,MATCH(M541,tech_name,0))),0),2))</f>
        <v/>
      </c>
      <c r="P541" s="80" t="n"/>
      <c r="Q541" s="81" t="str">
        <f>IF(A541="","",ROUND(Y541+O541+Z541,2))</f>
        <v/>
      </c>
      <c r="R541" s="79" t="str">
        <f>IF(A541="","",IF(S541=0,"Date manquante ou invalide",IF(C541="","Équipement manquant",IF(ISNA(MATCH(C541,eq_code,0)),"Équipement inconnu",IF(E541="","Type manquant",IF(AND(E541&lt;&gt;"Préventif",E541&lt;&gt;"Correctif",E541&lt;&gt;"Amélioratif"),"Type inconnu",IF(I541="","Statut manquant",IF(AND(I541&lt;&gt;"Terminée",I541&lt;&gt;"En cours",I541&lt;&gt;"À faire",I541&lt;&gt;"Annulée"),"Statut inconnu",IF(AND(E541="Préventif",F541=""),"Plan manquant (préventif)",IF(AND(F541&lt;&gt;"",ISNA(MATCH(F541,pl_num,0))),"Plan inconnu",IF(AND(F541&lt;&gt;"",IFERROR(INDEX(pl_eq,MATCH(F541,pl_num,0))&amp;"",C541)&lt;&gt;C541),"Plan d'un autre équipement",IF(AND(J541&lt;&gt;"",OR(NOT(ISNUMBER(J541)),N(J541)&lt;0)),"Compteur invalide",IF(OR(AND(K541&lt;&gt;"",OR(NOT(ISNUMBER(K541)),N(K541)&lt;0)),AND(L541&lt;&gt;"",OR(NOT(ISNUMBER(L541)),N(L541)&lt;0))),"Durée invalide",IF(OR(AND(N541&lt;&gt;"",OR(NOT(ISNUMBER(N541)),N(N541)&lt;0)),AND(P541&lt;&gt;"",OR(NOT(ISNUMBER(P541)),N(P541)&lt;0))),"Coût invalide",IF(AND(M541&lt;&gt;"",ISNA(MATCH(M541,tech_name,0))),"Technicien inconnu",IF(AND(I541="Terminée",S541&gt;p_today),"Terminée à une date future",IF(AND(I541="Terminée",V541=0),"Durée d'intervention manquante",IF(AND(I541="Terminée",E541="Préventif",T541=0,OR(IFERROR(INDEX(pl_trig,MATCH(F541,pl_num,0))&amp;"","")="Compteur",IFERROR(INDEX(pl_trig,MATCH(F541,pl_num,0))&amp;"","")="Au premier des deux")),"Compteur manquant (plan au compteur)","OK"))))))))))))))))))</f>
        <v/>
      </c>
      <c r="S541" s="67">
        <f>IF(AND(ISNUMBER(B541),N(B541)&gt;0),INT(B541),0)</f>
        <v>0.0</v>
      </c>
      <c r="T541" s="67">
        <f>IF(AND(ISNUMBER(J541),N(J541)&gt;=0),N(J541),0)</f>
        <v>0.0</v>
      </c>
      <c r="U541" s="67">
        <f>IF(AND(ISNUMBER(K541),N(K541)&gt;0),N(K541),0)</f>
        <v>0.0</v>
      </c>
      <c r="V541" s="67">
        <f>IF(AND(ISNUMBER(L541),N(L541)&gt;0),N(L541),0)</f>
        <v>0.0</v>
      </c>
      <c r="W541" s="67">
        <f>IF(AND(I541="Terminée",S541&gt;0,C541&lt;&gt;"",ISNUMBER(MATCH(C541,eq_code,0))),1,0)</f>
        <v>0.0</v>
      </c>
      <c r="X541" s="67">
        <f>IF(AND(W541=1,E541="Préventif"),1,0)</f>
        <v>0.0</v>
      </c>
      <c r="Y541" s="67">
        <f>IF(AND(ISNUMBER(N541),N(N541)&gt;0),N(N541),0)</f>
        <v>0.0</v>
      </c>
      <c r="Z541" s="67">
        <f>IF(AND(ISNUMBER(P541),N(P541)&gt;0),N(P541),0)</f>
        <v>0.0</v>
      </c>
    </row>
    <row r="542">
      <c r="A542" s="79" t="str">
        <f>IF(COUNTA(B542:C542,E542:G542,I542)=0,"","BI-"&amp;RIGHT("0000"&amp;(ROW()-5),4))</f>
        <v/>
      </c>
      <c r="B542" s="72" t="n"/>
      <c r="C542" s="66" t="n"/>
      <c r="D542" s="67" t="str">
        <f>IF(C542="","",IFERROR(INDEX(eq_des,MATCH(C542,eq_code,0))&amp;"","Équipement inconnu"))</f>
        <v/>
      </c>
      <c r="E542" s="68" t="n"/>
      <c r="F542" s="68" t="n"/>
      <c r="G542" s="66" t="n"/>
      <c r="H542" s="66" t="n"/>
      <c r="I542" s="68" t="n"/>
      <c r="J542" s="73" t="n"/>
      <c r="K542" s="71" t="n"/>
      <c r="L542" s="71" t="n"/>
      <c r="M542" s="66" t="n"/>
      <c r="N542" s="80" t="n"/>
      <c r="O542" s="81" t="str">
        <f>IF(A542="","",ROUND(V542*IFERROR(N(INDEX(tech_rate,MATCH(M542,tech_name,0))),0),2))</f>
        <v/>
      </c>
      <c r="P542" s="80" t="n"/>
      <c r="Q542" s="81" t="str">
        <f>IF(A542="","",ROUND(Y542+O542+Z542,2))</f>
        <v/>
      </c>
      <c r="R542" s="79" t="str">
        <f>IF(A542="","",IF(S542=0,"Date manquante ou invalide",IF(C542="","Équipement manquant",IF(ISNA(MATCH(C542,eq_code,0)),"Équipement inconnu",IF(E542="","Type manquant",IF(AND(E542&lt;&gt;"Préventif",E542&lt;&gt;"Correctif",E542&lt;&gt;"Amélioratif"),"Type inconnu",IF(I542="","Statut manquant",IF(AND(I542&lt;&gt;"Terminée",I542&lt;&gt;"En cours",I542&lt;&gt;"À faire",I542&lt;&gt;"Annulée"),"Statut inconnu",IF(AND(E542="Préventif",F542=""),"Plan manquant (préventif)",IF(AND(F542&lt;&gt;"",ISNA(MATCH(F542,pl_num,0))),"Plan inconnu",IF(AND(F542&lt;&gt;"",IFERROR(INDEX(pl_eq,MATCH(F542,pl_num,0))&amp;"",C542)&lt;&gt;C542),"Plan d'un autre équipement",IF(AND(J542&lt;&gt;"",OR(NOT(ISNUMBER(J542)),N(J542)&lt;0)),"Compteur invalide",IF(OR(AND(K542&lt;&gt;"",OR(NOT(ISNUMBER(K542)),N(K542)&lt;0)),AND(L542&lt;&gt;"",OR(NOT(ISNUMBER(L542)),N(L542)&lt;0))),"Durée invalide",IF(OR(AND(N542&lt;&gt;"",OR(NOT(ISNUMBER(N542)),N(N542)&lt;0)),AND(P542&lt;&gt;"",OR(NOT(ISNUMBER(P542)),N(P542)&lt;0))),"Coût invalide",IF(AND(M542&lt;&gt;"",ISNA(MATCH(M542,tech_name,0))),"Technicien inconnu",IF(AND(I542="Terminée",S542&gt;p_today),"Terminée à une date future",IF(AND(I542="Terminée",V542=0),"Durée d'intervention manquante",IF(AND(I542="Terminée",E542="Préventif",T542=0,OR(IFERROR(INDEX(pl_trig,MATCH(F542,pl_num,0))&amp;"","")="Compteur",IFERROR(INDEX(pl_trig,MATCH(F542,pl_num,0))&amp;"","")="Au premier des deux")),"Compteur manquant (plan au compteur)","OK"))))))))))))))))))</f>
        <v/>
      </c>
      <c r="S542" s="67">
        <f>IF(AND(ISNUMBER(B542),N(B542)&gt;0),INT(B542),0)</f>
        <v>0.0</v>
      </c>
      <c r="T542" s="67">
        <f>IF(AND(ISNUMBER(J542),N(J542)&gt;=0),N(J542),0)</f>
        <v>0.0</v>
      </c>
      <c r="U542" s="67">
        <f>IF(AND(ISNUMBER(K542),N(K542)&gt;0),N(K542),0)</f>
        <v>0.0</v>
      </c>
      <c r="V542" s="67">
        <f>IF(AND(ISNUMBER(L542),N(L542)&gt;0),N(L542),0)</f>
        <v>0.0</v>
      </c>
      <c r="W542" s="67">
        <f>IF(AND(I542="Terminée",S542&gt;0,C542&lt;&gt;"",ISNUMBER(MATCH(C542,eq_code,0))),1,0)</f>
        <v>0.0</v>
      </c>
      <c r="X542" s="67">
        <f>IF(AND(W542=1,E542="Préventif"),1,0)</f>
        <v>0.0</v>
      </c>
      <c r="Y542" s="67">
        <f>IF(AND(ISNUMBER(N542),N(N542)&gt;0),N(N542),0)</f>
        <v>0.0</v>
      </c>
      <c r="Z542" s="67">
        <f>IF(AND(ISNUMBER(P542),N(P542)&gt;0),N(P542),0)</f>
        <v>0.0</v>
      </c>
    </row>
    <row r="543">
      <c r="A543" s="79" t="str">
        <f>IF(COUNTA(B543:C543,E543:G543,I543)=0,"","BI-"&amp;RIGHT("0000"&amp;(ROW()-5),4))</f>
        <v/>
      </c>
      <c r="B543" s="72" t="n"/>
      <c r="C543" s="66" t="n"/>
      <c r="D543" s="67" t="str">
        <f>IF(C543="","",IFERROR(INDEX(eq_des,MATCH(C543,eq_code,0))&amp;"","Équipement inconnu"))</f>
        <v/>
      </c>
      <c r="E543" s="68" t="n"/>
      <c r="F543" s="68" t="n"/>
      <c r="G543" s="66" t="n"/>
      <c r="H543" s="66" t="n"/>
      <c r="I543" s="68" t="n"/>
      <c r="J543" s="73" t="n"/>
      <c r="K543" s="71" t="n"/>
      <c r="L543" s="71" t="n"/>
      <c r="M543" s="66" t="n"/>
      <c r="N543" s="80" t="n"/>
      <c r="O543" s="81" t="str">
        <f>IF(A543="","",ROUND(V543*IFERROR(N(INDEX(tech_rate,MATCH(M543,tech_name,0))),0),2))</f>
        <v/>
      </c>
      <c r="P543" s="80" t="n"/>
      <c r="Q543" s="81" t="str">
        <f>IF(A543="","",ROUND(Y543+O543+Z543,2))</f>
        <v/>
      </c>
      <c r="R543" s="79" t="str">
        <f>IF(A543="","",IF(S543=0,"Date manquante ou invalide",IF(C543="","Équipement manquant",IF(ISNA(MATCH(C543,eq_code,0)),"Équipement inconnu",IF(E543="","Type manquant",IF(AND(E543&lt;&gt;"Préventif",E543&lt;&gt;"Correctif",E543&lt;&gt;"Amélioratif"),"Type inconnu",IF(I543="","Statut manquant",IF(AND(I543&lt;&gt;"Terminée",I543&lt;&gt;"En cours",I543&lt;&gt;"À faire",I543&lt;&gt;"Annulée"),"Statut inconnu",IF(AND(E543="Préventif",F543=""),"Plan manquant (préventif)",IF(AND(F543&lt;&gt;"",ISNA(MATCH(F543,pl_num,0))),"Plan inconnu",IF(AND(F543&lt;&gt;"",IFERROR(INDEX(pl_eq,MATCH(F543,pl_num,0))&amp;"",C543)&lt;&gt;C543),"Plan d'un autre équipement",IF(AND(J543&lt;&gt;"",OR(NOT(ISNUMBER(J543)),N(J543)&lt;0)),"Compteur invalide",IF(OR(AND(K543&lt;&gt;"",OR(NOT(ISNUMBER(K543)),N(K543)&lt;0)),AND(L543&lt;&gt;"",OR(NOT(ISNUMBER(L543)),N(L543)&lt;0))),"Durée invalide",IF(OR(AND(N543&lt;&gt;"",OR(NOT(ISNUMBER(N543)),N(N543)&lt;0)),AND(P543&lt;&gt;"",OR(NOT(ISNUMBER(P543)),N(P543)&lt;0))),"Coût invalide",IF(AND(M543&lt;&gt;"",ISNA(MATCH(M543,tech_name,0))),"Technicien inconnu",IF(AND(I543="Terminée",S543&gt;p_today),"Terminée à une date future",IF(AND(I543="Terminée",V543=0),"Durée d'intervention manquante",IF(AND(I543="Terminée",E543="Préventif",T543=0,OR(IFERROR(INDEX(pl_trig,MATCH(F543,pl_num,0))&amp;"","")="Compteur",IFERROR(INDEX(pl_trig,MATCH(F543,pl_num,0))&amp;"","")="Au premier des deux")),"Compteur manquant (plan au compteur)","OK"))))))))))))))))))</f>
        <v/>
      </c>
      <c r="S543" s="67">
        <f>IF(AND(ISNUMBER(B543),N(B543)&gt;0),INT(B543),0)</f>
        <v>0.0</v>
      </c>
      <c r="T543" s="67">
        <f>IF(AND(ISNUMBER(J543),N(J543)&gt;=0),N(J543),0)</f>
        <v>0.0</v>
      </c>
      <c r="U543" s="67">
        <f>IF(AND(ISNUMBER(K543),N(K543)&gt;0),N(K543),0)</f>
        <v>0.0</v>
      </c>
      <c r="V543" s="67">
        <f>IF(AND(ISNUMBER(L543),N(L543)&gt;0),N(L543),0)</f>
        <v>0.0</v>
      </c>
      <c r="W543" s="67">
        <f>IF(AND(I543="Terminée",S543&gt;0,C543&lt;&gt;"",ISNUMBER(MATCH(C543,eq_code,0))),1,0)</f>
        <v>0.0</v>
      </c>
      <c r="X543" s="67">
        <f>IF(AND(W543=1,E543="Préventif"),1,0)</f>
        <v>0.0</v>
      </c>
      <c r="Y543" s="67">
        <f>IF(AND(ISNUMBER(N543),N(N543)&gt;0),N(N543),0)</f>
        <v>0.0</v>
      </c>
      <c r="Z543" s="67">
        <f>IF(AND(ISNUMBER(P543),N(P543)&gt;0),N(P543),0)</f>
        <v>0.0</v>
      </c>
    </row>
    <row r="544">
      <c r="A544" s="79" t="str">
        <f>IF(COUNTA(B544:C544,E544:G544,I544)=0,"","BI-"&amp;RIGHT("0000"&amp;(ROW()-5),4))</f>
        <v/>
      </c>
      <c r="B544" s="72" t="n"/>
      <c r="C544" s="66" t="n"/>
      <c r="D544" s="67" t="str">
        <f>IF(C544="","",IFERROR(INDEX(eq_des,MATCH(C544,eq_code,0))&amp;"","Équipement inconnu"))</f>
        <v/>
      </c>
      <c r="E544" s="68" t="n"/>
      <c r="F544" s="68" t="n"/>
      <c r="G544" s="66" t="n"/>
      <c r="H544" s="66" t="n"/>
      <c r="I544" s="68" t="n"/>
      <c r="J544" s="73" t="n"/>
      <c r="K544" s="71" t="n"/>
      <c r="L544" s="71" t="n"/>
      <c r="M544" s="66" t="n"/>
      <c r="N544" s="80" t="n"/>
      <c r="O544" s="81" t="str">
        <f>IF(A544="","",ROUND(V544*IFERROR(N(INDEX(tech_rate,MATCH(M544,tech_name,0))),0),2))</f>
        <v/>
      </c>
      <c r="P544" s="80" t="n"/>
      <c r="Q544" s="81" t="str">
        <f>IF(A544="","",ROUND(Y544+O544+Z544,2))</f>
        <v/>
      </c>
      <c r="R544" s="79" t="str">
        <f>IF(A544="","",IF(S544=0,"Date manquante ou invalide",IF(C544="","Équipement manquant",IF(ISNA(MATCH(C544,eq_code,0)),"Équipement inconnu",IF(E544="","Type manquant",IF(AND(E544&lt;&gt;"Préventif",E544&lt;&gt;"Correctif",E544&lt;&gt;"Amélioratif"),"Type inconnu",IF(I544="","Statut manquant",IF(AND(I544&lt;&gt;"Terminée",I544&lt;&gt;"En cours",I544&lt;&gt;"À faire",I544&lt;&gt;"Annulée"),"Statut inconnu",IF(AND(E544="Préventif",F544=""),"Plan manquant (préventif)",IF(AND(F544&lt;&gt;"",ISNA(MATCH(F544,pl_num,0))),"Plan inconnu",IF(AND(F544&lt;&gt;"",IFERROR(INDEX(pl_eq,MATCH(F544,pl_num,0))&amp;"",C544)&lt;&gt;C544),"Plan d'un autre équipement",IF(AND(J544&lt;&gt;"",OR(NOT(ISNUMBER(J544)),N(J544)&lt;0)),"Compteur invalide",IF(OR(AND(K544&lt;&gt;"",OR(NOT(ISNUMBER(K544)),N(K544)&lt;0)),AND(L544&lt;&gt;"",OR(NOT(ISNUMBER(L544)),N(L544)&lt;0))),"Durée invalide",IF(OR(AND(N544&lt;&gt;"",OR(NOT(ISNUMBER(N544)),N(N544)&lt;0)),AND(P544&lt;&gt;"",OR(NOT(ISNUMBER(P544)),N(P544)&lt;0))),"Coût invalide",IF(AND(M544&lt;&gt;"",ISNA(MATCH(M544,tech_name,0))),"Technicien inconnu",IF(AND(I544="Terminée",S544&gt;p_today),"Terminée à une date future",IF(AND(I544="Terminée",V544=0),"Durée d'intervention manquante",IF(AND(I544="Terminée",E544="Préventif",T544=0,OR(IFERROR(INDEX(pl_trig,MATCH(F544,pl_num,0))&amp;"","")="Compteur",IFERROR(INDEX(pl_trig,MATCH(F544,pl_num,0))&amp;"","")="Au premier des deux")),"Compteur manquant (plan au compteur)","OK"))))))))))))))))))</f>
        <v/>
      </c>
      <c r="S544" s="67">
        <f>IF(AND(ISNUMBER(B544),N(B544)&gt;0),INT(B544),0)</f>
        <v>0.0</v>
      </c>
      <c r="T544" s="67">
        <f>IF(AND(ISNUMBER(J544),N(J544)&gt;=0),N(J544),0)</f>
        <v>0.0</v>
      </c>
      <c r="U544" s="67">
        <f>IF(AND(ISNUMBER(K544),N(K544)&gt;0),N(K544),0)</f>
        <v>0.0</v>
      </c>
      <c r="V544" s="67">
        <f>IF(AND(ISNUMBER(L544),N(L544)&gt;0),N(L544),0)</f>
        <v>0.0</v>
      </c>
      <c r="W544" s="67">
        <f>IF(AND(I544="Terminée",S544&gt;0,C544&lt;&gt;"",ISNUMBER(MATCH(C544,eq_code,0))),1,0)</f>
        <v>0.0</v>
      </c>
      <c r="X544" s="67">
        <f>IF(AND(W544=1,E544="Préventif"),1,0)</f>
        <v>0.0</v>
      </c>
      <c r="Y544" s="67">
        <f>IF(AND(ISNUMBER(N544),N(N544)&gt;0),N(N544),0)</f>
        <v>0.0</v>
      </c>
      <c r="Z544" s="67">
        <f>IF(AND(ISNUMBER(P544),N(P544)&gt;0),N(P544),0)</f>
        <v>0.0</v>
      </c>
    </row>
    <row r="545">
      <c r="A545" s="79" t="str">
        <f>IF(COUNTA(B545:C545,E545:G545,I545)=0,"","BI-"&amp;RIGHT("0000"&amp;(ROW()-5),4))</f>
        <v/>
      </c>
      <c r="B545" s="72" t="n"/>
      <c r="C545" s="66" t="n"/>
      <c r="D545" s="67" t="str">
        <f>IF(C545="","",IFERROR(INDEX(eq_des,MATCH(C545,eq_code,0))&amp;"","Équipement inconnu"))</f>
        <v/>
      </c>
      <c r="E545" s="68" t="n"/>
      <c r="F545" s="68" t="n"/>
      <c r="G545" s="66" t="n"/>
      <c r="H545" s="66" t="n"/>
      <c r="I545" s="68" t="n"/>
      <c r="J545" s="73" t="n"/>
      <c r="K545" s="71" t="n"/>
      <c r="L545" s="71" t="n"/>
      <c r="M545" s="66" t="n"/>
      <c r="N545" s="80" t="n"/>
      <c r="O545" s="81" t="str">
        <f>IF(A545="","",ROUND(V545*IFERROR(N(INDEX(tech_rate,MATCH(M545,tech_name,0))),0),2))</f>
        <v/>
      </c>
      <c r="P545" s="80" t="n"/>
      <c r="Q545" s="81" t="str">
        <f>IF(A545="","",ROUND(Y545+O545+Z545,2))</f>
        <v/>
      </c>
      <c r="R545" s="79" t="str">
        <f>IF(A545="","",IF(S545=0,"Date manquante ou invalide",IF(C545="","Équipement manquant",IF(ISNA(MATCH(C545,eq_code,0)),"Équipement inconnu",IF(E545="","Type manquant",IF(AND(E545&lt;&gt;"Préventif",E545&lt;&gt;"Correctif",E545&lt;&gt;"Amélioratif"),"Type inconnu",IF(I545="","Statut manquant",IF(AND(I545&lt;&gt;"Terminée",I545&lt;&gt;"En cours",I545&lt;&gt;"À faire",I545&lt;&gt;"Annulée"),"Statut inconnu",IF(AND(E545="Préventif",F545=""),"Plan manquant (préventif)",IF(AND(F545&lt;&gt;"",ISNA(MATCH(F545,pl_num,0))),"Plan inconnu",IF(AND(F545&lt;&gt;"",IFERROR(INDEX(pl_eq,MATCH(F545,pl_num,0))&amp;"",C545)&lt;&gt;C545),"Plan d'un autre équipement",IF(AND(J545&lt;&gt;"",OR(NOT(ISNUMBER(J545)),N(J545)&lt;0)),"Compteur invalide",IF(OR(AND(K545&lt;&gt;"",OR(NOT(ISNUMBER(K545)),N(K545)&lt;0)),AND(L545&lt;&gt;"",OR(NOT(ISNUMBER(L545)),N(L545)&lt;0))),"Durée invalide",IF(OR(AND(N545&lt;&gt;"",OR(NOT(ISNUMBER(N545)),N(N545)&lt;0)),AND(P545&lt;&gt;"",OR(NOT(ISNUMBER(P545)),N(P545)&lt;0))),"Coût invalide",IF(AND(M545&lt;&gt;"",ISNA(MATCH(M545,tech_name,0))),"Technicien inconnu",IF(AND(I545="Terminée",S545&gt;p_today),"Terminée à une date future",IF(AND(I545="Terminée",V545=0),"Durée d'intervention manquante",IF(AND(I545="Terminée",E545="Préventif",T545=0,OR(IFERROR(INDEX(pl_trig,MATCH(F545,pl_num,0))&amp;"","")="Compteur",IFERROR(INDEX(pl_trig,MATCH(F545,pl_num,0))&amp;"","")="Au premier des deux")),"Compteur manquant (plan au compteur)","OK"))))))))))))))))))</f>
        <v/>
      </c>
      <c r="S545" s="67">
        <f>IF(AND(ISNUMBER(B545),N(B545)&gt;0),INT(B545),0)</f>
        <v>0.0</v>
      </c>
      <c r="T545" s="67">
        <f>IF(AND(ISNUMBER(J545),N(J545)&gt;=0),N(J545),0)</f>
        <v>0.0</v>
      </c>
      <c r="U545" s="67">
        <f>IF(AND(ISNUMBER(K545),N(K545)&gt;0),N(K545),0)</f>
        <v>0.0</v>
      </c>
      <c r="V545" s="67">
        <f>IF(AND(ISNUMBER(L545),N(L545)&gt;0),N(L545),0)</f>
        <v>0.0</v>
      </c>
      <c r="W545" s="67">
        <f>IF(AND(I545="Terminée",S545&gt;0,C545&lt;&gt;"",ISNUMBER(MATCH(C545,eq_code,0))),1,0)</f>
        <v>0.0</v>
      </c>
      <c r="X545" s="67">
        <f>IF(AND(W545=1,E545="Préventif"),1,0)</f>
        <v>0.0</v>
      </c>
      <c r="Y545" s="67">
        <f>IF(AND(ISNUMBER(N545),N(N545)&gt;0),N(N545),0)</f>
        <v>0.0</v>
      </c>
      <c r="Z545" s="67">
        <f>IF(AND(ISNUMBER(P545),N(P545)&gt;0),N(P545),0)</f>
        <v>0.0</v>
      </c>
    </row>
    <row r="546">
      <c r="A546" s="79" t="str">
        <f>IF(COUNTA(B546:C546,E546:G546,I546)=0,"","BI-"&amp;RIGHT("0000"&amp;(ROW()-5),4))</f>
        <v/>
      </c>
      <c r="B546" s="72" t="n"/>
      <c r="C546" s="66" t="n"/>
      <c r="D546" s="67" t="str">
        <f>IF(C546="","",IFERROR(INDEX(eq_des,MATCH(C546,eq_code,0))&amp;"","Équipement inconnu"))</f>
        <v/>
      </c>
      <c r="E546" s="68" t="n"/>
      <c r="F546" s="68" t="n"/>
      <c r="G546" s="66" t="n"/>
      <c r="H546" s="66" t="n"/>
      <c r="I546" s="68" t="n"/>
      <c r="J546" s="73" t="n"/>
      <c r="K546" s="71" t="n"/>
      <c r="L546" s="71" t="n"/>
      <c r="M546" s="66" t="n"/>
      <c r="N546" s="80" t="n"/>
      <c r="O546" s="81" t="str">
        <f>IF(A546="","",ROUND(V546*IFERROR(N(INDEX(tech_rate,MATCH(M546,tech_name,0))),0),2))</f>
        <v/>
      </c>
      <c r="P546" s="80" t="n"/>
      <c r="Q546" s="81" t="str">
        <f>IF(A546="","",ROUND(Y546+O546+Z546,2))</f>
        <v/>
      </c>
      <c r="R546" s="79" t="str">
        <f>IF(A546="","",IF(S546=0,"Date manquante ou invalide",IF(C546="","Équipement manquant",IF(ISNA(MATCH(C546,eq_code,0)),"Équipement inconnu",IF(E546="","Type manquant",IF(AND(E546&lt;&gt;"Préventif",E546&lt;&gt;"Correctif",E546&lt;&gt;"Amélioratif"),"Type inconnu",IF(I546="","Statut manquant",IF(AND(I546&lt;&gt;"Terminée",I546&lt;&gt;"En cours",I546&lt;&gt;"À faire",I546&lt;&gt;"Annulée"),"Statut inconnu",IF(AND(E546="Préventif",F546=""),"Plan manquant (préventif)",IF(AND(F546&lt;&gt;"",ISNA(MATCH(F546,pl_num,0))),"Plan inconnu",IF(AND(F546&lt;&gt;"",IFERROR(INDEX(pl_eq,MATCH(F546,pl_num,0))&amp;"",C546)&lt;&gt;C546),"Plan d'un autre équipement",IF(AND(J546&lt;&gt;"",OR(NOT(ISNUMBER(J546)),N(J546)&lt;0)),"Compteur invalide",IF(OR(AND(K546&lt;&gt;"",OR(NOT(ISNUMBER(K546)),N(K546)&lt;0)),AND(L546&lt;&gt;"",OR(NOT(ISNUMBER(L546)),N(L546)&lt;0))),"Durée invalide",IF(OR(AND(N546&lt;&gt;"",OR(NOT(ISNUMBER(N546)),N(N546)&lt;0)),AND(P546&lt;&gt;"",OR(NOT(ISNUMBER(P546)),N(P546)&lt;0))),"Coût invalide",IF(AND(M546&lt;&gt;"",ISNA(MATCH(M546,tech_name,0))),"Technicien inconnu",IF(AND(I546="Terminée",S546&gt;p_today),"Terminée à une date future",IF(AND(I546="Terminée",V546=0),"Durée d'intervention manquante",IF(AND(I546="Terminée",E546="Préventif",T546=0,OR(IFERROR(INDEX(pl_trig,MATCH(F546,pl_num,0))&amp;"","")="Compteur",IFERROR(INDEX(pl_trig,MATCH(F546,pl_num,0))&amp;"","")="Au premier des deux")),"Compteur manquant (plan au compteur)","OK"))))))))))))))))))</f>
        <v/>
      </c>
      <c r="S546" s="67">
        <f>IF(AND(ISNUMBER(B546),N(B546)&gt;0),INT(B546),0)</f>
        <v>0.0</v>
      </c>
      <c r="T546" s="67">
        <f>IF(AND(ISNUMBER(J546),N(J546)&gt;=0),N(J546),0)</f>
        <v>0.0</v>
      </c>
      <c r="U546" s="67">
        <f>IF(AND(ISNUMBER(K546),N(K546)&gt;0),N(K546),0)</f>
        <v>0.0</v>
      </c>
      <c r="V546" s="67">
        <f>IF(AND(ISNUMBER(L546),N(L546)&gt;0),N(L546),0)</f>
        <v>0.0</v>
      </c>
      <c r="W546" s="67">
        <f>IF(AND(I546="Terminée",S546&gt;0,C546&lt;&gt;"",ISNUMBER(MATCH(C546,eq_code,0))),1,0)</f>
        <v>0.0</v>
      </c>
      <c r="X546" s="67">
        <f>IF(AND(W546=1,E546="Préventif"),1,0)</f>
        <v>0.0</v>
      </c>
      <c r="Y546" s="67">
        <f>IF(AND(ISNUMBER(N546),N(N546)&gt;0),N(N546),0)</f>
        <v>0.0</v>
      </c>
      <c r="Z546" s="67">
        <f>IF(AND(ISNUMBER(P546),N(P546)&gt;0),N(P546),0)</f>
        <v>0.0</v>
      </c>
    </row>
    <row r="547">
      <c r="A547" s="79" t="str">
        <f>IF(COUNTA(B547:C547,E547:G547,I547)=0,"","BI-"&amp;RIGHT("0000"&amp;(ROW()-5),4))</f>
        <v/>
      </c>
      <c r="B547" s="72" t="n"/>
      <c r="C547" s="66" t="n"/>
      <c r="D547" s="67" t="str">
        <f>IF(C547="","",IFERROR(INDEX(eq_des,MATCH(C547,eq_code,0))&amp;"","Équipement inconnu"))</f>
        <v/>
      </c>
      <c r="E547" s="68" t="n"/>
      <c r="F547" s="68" t="n"/>
      <c r="G547" s="66" t="n"/>
      <c r="H547" s="66" t="n"/>
      <c r="I547" s="68" t="n"/>
      <c r="J547" s="73" t="n"/>
      <c r="K547" s="71" t="n"/>
      <c r="L547" s="71" t="n"/>
      <c r="M547" s="66" t="n"/>
      <c r="N547" s="80" t="n"/>
      <c r="O547" s="81" t="str">
        <f>IF(A547="","",ROUND(V547*IFERROR(N(INDEX(tech_rate,MATCH(M547,tech_name,0))),0),2))</f>
        <v/>
      </c>
      <c r="P547" s="80" t="n"/>
      <c r="Q547" s="81" t="str">
        <f>IF(A547="","",ROUND(Y547+O547+Z547,2))</f>
        <v/>
      </c>
      <c r="R547" s="79" t="str">
        <f>IF(A547="","",IF(S547=0,"Date manquante ou invalide",IF(C547="","Équipement manquant",IF(ISNA(MATCH(C547,eq_code,0)),"Équipement inconnu",IF(E547="","Type manquant",IF(AND(E547&lt;&gt;"Préventif",E547&lt;&gt;"Correctif",E547&lt;&gt;"Amélioratif"),"Type inconnu",IF(I547="","Statut manquant",IF(AND(I547&lt;&gt;"Terminée",I547&lt;&gt;"En cours",I547&lt;&gt;"À faire",I547&lt;&gt;"Annulée"),"Statut inconnu",IF(AND(E547="Préventif",F547=""),"Plan manquant (préventif)",IF(AND(F547&lt;&gt;"",ISNA(MATCH(F547,pl_num,0))),"Plan inconnu",IF(AND(F547&lt;&gt;"",IFERROR(INDEX(pl_eq,MATCH(F547,pl_num,0))&amp;"",C547)&lt;&gt;C547),"Plan d'un autre équipement",IF(AND(J547&lt;&gt;"",OR(NOT(ISNUMBER(J547)),N(J547)&lt;0)),"Compteur invalide",IF(OR(AND(K547&lt;&gt;"",OR(NOT(ISNUMBER(K547)),N(K547)&lt;0)),AND(L547&lt;&gt;"",OR(NOT(ISNUMBER(L547)),N(L547)&lt;0))),"Durée invalide",IF(OR(AND(N547&lt;&gt;"",OR(NOT(ISNUMBER(N547)),N(N547)&lt;0)),AND(P547&lt;&gt;"",OR(NOT(ISNUMBER(P547)),N(P547)&lt;0))),"Coût invalide",IF(AND(M547&lt;&gt;"",ISNA(MATCH(M547,tech_name,0))),"Technicien inconnu",IF(AND(I547="Terminée",S547&gt;p_today),"Terminée à une date future",IF(AND(I547="Terminée",V547=0),"Durée d'intervention manquante",IF(AND(I547="Terminée",E547="Préventif",T547=0,OR(IFERROR(INDEX(pl_trig,MATCH(F547,pl_num,0))&amp;"","")="Compteur",IFERROR(INDEX(pl_trig,MATCH(F547,pl_num,0))&amp;"","")="Au premier des deux")),"Compteur manquant (plan au compteur)","OK"))))))))))))))))))</f>
        <v/>
      </c>
      <c r="S547" s="67">
        <f>IF(AND(ISNUMBER(B547),N(B547)&gt;0),INT(B547),0)</f>
        <v>0.0</v>
      </c>
      <c r="T547" s="67">
        <f>IF(AND(ISNUMBER(J547),N(J547)&gt;=0),N(J547),0)</f>
        <v>0.0</v>
      </c>
      <c r="U547" s="67">
        <f>IF(AND(ISNUMBER(K547),N(K547)&gt;0),N(K547),0)</f>
        <v>0.0</v>
      </c>
      <c r="V547" s="67">
        <f>IF(AND(ISNUMBER(L547),N(L547)&gt;0),N(L547),0)</f>
        <v>0.0</v>
      </c>
      <c r="W547" s="67">
        <f>IF(AND(I547="Terminée",S547&gt;0,C547&lt;&gt;"",ISNUMBER(MATCH(C547,eq_code,0))),1,0)</f>
        <v>0.0</v>
      </c>
      <c r="X547" s="67">
        <f>IF(AND(W547=1,E547="Préventif"),1,0)</f>
        <v>0.0</v>
      </c>
      <c r="Y547" s="67">
        <f>IF(AND(ISNUMBER(N547),N(N547)&gt;0),N(N547),0)</f>
        <v>0.0</v>
      </c>
      <c r="Z547" s="67">
        <f>IF(AND(ISNUMBER(P547),N(P547)&gt;0),N(P547),0)</f>
        <v>0.0</v>
      </c>
    </row>
    <row r="548">
      <c r="A548" s="79" t="str">
        <f>IF(COUNTA(B548:C548,E548:G548,I548)=0,"","BI-"&amp;RIGHT("0000"&amp;(ROW()-5),4))</f>
        <v/>
      </c>
      <c r="B548" s="72" t="n"/>
      <c r="C548" s="66" t="n"/>
      <c r="D548" s="67" t="str">
        <f>IF(C548="","",IFERROR(INDEX(eq_des,MATCH(C548,eq_code,0))&amp;"","Équipement inconnu"))</f>
        <v/>
      </c>
      <c r="E548" s="68" t="n"/>
      <c r="F548" s="68" t="n"/>
      <c r="G548" s="66" t="n"/>
      <c r="H548" s="66" t="n"/>
      <c r="I548" s="68" t="n"/>
      <c r="J548" s="73" t="n"/>
      <c r="K548" s="71" t="n"/>
      <c r="L548" s="71" t="n"/>
      <c r="M548" s="66" t="n"/>
      <c r="N548" s="80" t="n"/>
      <c r="O548" s="81" t="str">
        <f>IF(A548="","",ROUND(V548*IFERROR(N(INDEX(tech_rate,MATCH(M548,tech_name,0))),0),2))</f>
        <v/>
      </c>
      <c r="P548" s="80" t="n"/>
      <c r="Q548" s="81" t="str">
        <f>IF(A548="","",ROUND(Y548+O548+Z548,2))</f>
        <v/>
      </c>
      <c r="R548" s="79" t="str">
        <f>IF(A548="","",IF(S548=0,"Date manquante ou invalide",IF(C548="","Équipement manquant",IF(ISNA(MATCH(C548,eq_code,0)),"Équipement inconnu",IF(E548="","Type manquant",IF(AND(E548&lt;&gt;"Préventif",E548&lt;&gt;"Correctif",E548&lt;&gt;"Amélioratif"),"Type inconnu",IF(I548="","Statut manquant",IF(AND(I548&lt;&gt;"Terminée",I548&lt;&gt;"En cours",I548&lt;&gt;"À faire",I548&lt;&gt;"Annulée"),"Statut inconnu",IF(AND(E548="Préventif",F548=""),"Plan manquant (préventif)",IF(AND(F548&lt;&gt;"",ISNA(MATCH(F548,pl_num,0))),"Plan inconnu",IF(AND(F548&lt;&gt;"",IFERROR(INDEX(pl_eq,MATCH(F548,pl_num,0))&amp;"",C548)&lt;&gt;C548),"Plan d'un autre équipement",IF(AND(J548&lt;&gt;"",OR(NOT(ISNUMBER(J548)),N(J548)&lt;0)),"Compteur invalide",IF(OR(AND(K548&lt;&gt;"",OR(NOT(ISNUMBER(K548)),N(K548)&lt;0)),AND(L548&lt;&gt;"",OR(NOT(ISNUMBER(L548)),N(L548)&lt;0))),"Durée invalide",IF(OR(AND(N548&lt;&gt;"",OR(NOT(ISNUMBER(N548)),N(N548)&lt;0)),AND(P548&lt;&gt;"",OR(NOT(ISNUMBER(P548)),N(P548)&lt;0))),"Coût invalide",IF(AND(M548&lt;&gt;"",ISNA(MATCH(M548,tech_name,0))),"Technicien inconnu",IF(AND(I548="Terminée",S548&gt;p_today),"Terminée à une date future",IF(AND(I548="Terminée",V548=0),"Durée d'intervention manquante",IF(AND(I548="Terminée",E548="Préventif",T548=0,OR(IFERROR(INDEX(pl_trig,MATCH(F548,pl_num,0))&amp;"","")="Compteur",IFERROR(INDEX(pl_trig,MATCH(F548,pl_num,0))&amp;"","")="Au premier des deux")),"Compteur manquant (plan au compteur)","OK"))))))))))))))))))</f>
        <v/>
      </c>
      <c r="S548" s="67">
        <f>IF(AND(ISNUMBER(B548),N(B548)&gt;0),INT(B548),0)</f>
        <v>0.0</v>
      </c>
      <c r="T548" s="67">
        <f>IF(AND(ISNUMBER(J548),N(J548)&gt;=0),N(J548),0)</f>
        <v>0.0</v>
      </c>
      <c r="U548" s="67">
        <f>IF(AND(ISNUMBER(K548),N(K548)&gt;0),N(K548),0)</f>
        <v>0.0</v>
      </c>
      <c r="V548" s="67">
        <f>IF(AND(ISNUMBER(L548),N(L548)&gt;0),N(L548),0)</f>
        <v>0.0</v>
      </c>
      <c r="W548" s="67">
        <f>IF(AND(I548="Terminée",S548&gt;0,C548&lt;&gt;"",ISNUMBER(MATCH(C548,eq_code,0))),1,0)</f>
        <v>0.0</v>
      </c>
      <c r="X548" s="67">
        <f>IF(AND(W548=1,E548="Préventif"),1,0)</f>
        <v>0.0</v>
      </c>
      <c r="Y548" s="67">
        <f>IF(AND(ISNUMBER(N548),N(N548)&gt;0),N(N548),0)</f>
        <v>0.0</v>
      </c>
      <c r="Z548" s="67">
        <f>IF(AND(ISNUMBER(P548),N(P548)&gt;0),N(P548),0)</f>
        <v>0.0</v>
      </c>
    </row>
    <row r="549">
      <c r="A549" s="79" t="str">
        <f>IF(COUNTA(B549:C549,E549:G549,I549)=0,"","BI-"&amp;RIGHT("0000"&amp;(ROW()-5),4))</f>
        <v/>
      </c>
      <c r="B549" s="72" t="n"/>
      <c r="C549" s="66" t="n"/>
      <c r="D549" s="67" t="str">
        <f>IF(C549="","",IFERROR(INDEX(eq_des,MATCH(C549,eq_code,0))&amp;"","Équipement inconnu"))</f>
        <v/>
      </c>
      <c r="E549" s="68" t="n"/>
      <c r="F549" s="68" t="n"/>
      <c r="G549" s="66" t="n"/>
      <c r="H549" s="66" t="n"/>
      <c r="I549" s="68" t="n"/>
      <c r="J549" s="73" t="n"/>
      <c r="K549" s="71" t="n"/>
      <c r="L549" s="71" t="n"/>
      <c r="M549" s="66" t="n"/>
      <c r="N549" s="80" t="n"/>
      <c r="O549" s="81" t="str">
        <f>IF(A549="","",ROUND(V549*IFERROR(N(INDEX(tech_rate,MATCH(M549,tech_name,0))),0),2))</f>
        <v/>
      </c>
      <c r="P549" s="80" t="n"/>
      <c r="Q549" s="81" t="str">
        <f>IF(A549="","",ROUND(Y549+O549+Z549,2))</f>
        <v/>
      </c>
      <c r="R549" s="79" t="str">
        <f>IF(A549="","",IF(S549=0,"Date manquante ou invalide",IF(C549="","Équipement manquant",IF(ISNA(MATCH(C549,eq_code,0)),"Équipement inconnu",IF(E549="","Type manquant",IF(AND(E549&lt;&gt;"Préventif",E549&lt;&gt;"Correctif",E549&lt;&gt;"Amélioratif"),"Type inconnu",IF(I549="","Statut manquant",IF(AND(I549&lt;&gt;"Terminée",I549&lt;&gt;"En cours",I549&lt;&gt;"À faire",I549&lt;&gt;"Annulée"),"Statut inconnu",IF(AND(E549="Préventif",F549=""),"Plan manquant (préventif)",IF(AND(F549&lt;&gt;"",ISNA(MATCH(F549,pl_num,0))),"Plan inconnu",IF(AND(F549&lt;&gt;"",IFERROR(INDEX(pl_eq,MATCH(F549,pl_num,0))&amp;"",C549)&lt;&gt;C549),"Plan d'un autre équipement",IF(AND(J549&lt;&gt;"",OR(NOT(ISNUMBER(J549)),N(J549)&lt;0)),"Compteur invalide",IF(OR(AND(K549&lt;&gt;"",OR(NOT(ISNUMBER(K549)),N(K549)&lt;0)),AND(L549&lt;&gt;"",OR(NOT(ISNUMBER(L549)),N(L549)&lt;0))),"Durée invalide",IF(OR(AND(N549&lt;&gt;"",OR(NOT(ISNUMBER(N549)),N(N549)&lt;0)),AND(P549&lt;&gt;"",OR(NOT(ISNUMBER(P549)),N(P549)&lt;0))),"Coût invalide",IF(AND(M549&lt;&gt;"",ISNA(MATCH(M549,tech_name,0))),"Technicien inconnu",IF(AND(I549="Terminée",S549&gt;p_today),"Terminée à une date future",IF(AND(I549="Terminée",V549=0),"Durée d'intervention manquante",IF(AND(I549="Terminée",E549="Préventif",T549=0,OR(IFERROR(INDEX(pl_trig,MATCH(F549,pl_num,0))&amp;"","")="Compteur",IFERROR(INDEX(pl_trig,MATCH(F549,pl_num,0))&amp;"","")="Au premier des deux")),"Compteur manquant (plan au compteur)","OK"))))))))))))))))))</f>
        <v/>
      </c>
      <c r="S549" s="67">
        <f>IF(AND(ISNUMBER(B549),N(B549)&gt;0),INT(B549),0)</f>
        <v>0.0</v>
      </c>
      <c r="T549" s="67">
        <f>IF(AND(ISNUMBER(J549),N(J549)&gt;=0),N(J549),0)</f>
        <v>0.0</v>
      </c>
      <c r="U549" s="67">
        <f>IF(AND(ISNUMBER(K549),N(K549)&gt;0),N(K549),0)</f>
        <v>0.0</v>
      </c>
      <c r="V549" s="67">
        <f>IF(AND(ISNUMBER(L549),N(L549)&gt;0),N(L549),0)</f>
        <v>0.0</v>
      </c>
      <c r="W549" s="67">
        <f>IF(AND(I549="Terminée",S549&gt;0,C549&lt;&gt;"",ISNUMBER(MATCH(C549,eq_code,0))),1,0)</f>
        <v>0.0</v>
      </c>
      <c r="X549" s="67">
        <f>IF(AND(W549=1,E549="Préventif"),1,0)</f>
        <v>0.0</v>
      </c>
      <c r="Y549" s="67">
        <f>IF(AND(ISNUMBER(N549),N(N549)&gt;0),N(N549),0)</f>
        <v>0.0</v>
      </c>
      <c r="Z549" s="67">
        <f>IF(AND(ISNUMBER(P549),N(P549)&gt;0),N(P549),0)</f>
        <v>0.0</v>
      </c>
    </row>
    <row r="550">
      <c r="A550" s="79" t="str">
        <f>IF(COUNTA(B550:C550,E550:G550,I550)=0,"","BI-"&amp;RIGHT("0000"&amp;(ROW()-5),4))</f>
        <v/>
      </c>
      <c r="B550" s="72" t="n"/>
      <c r="C550" s="66" t="n"/>
      <c r="D550" s="67" t="str">
        <f>IF(C550="","",IFERROR(INDEX(eq_des,MATCH(C550,eq_code,0))&amp;"","Équipement inconnu"))</f>
        <v/>
      </c>
      <c r="E550" s="68" t="n"/>
      <c r="F550" s="68" t="n"/>
      <c r="G550" s="66" t="n"/>
      <c r="H550" s="66" t="n"/>
      <c r="I550" s="68" t="n"/>
      <c r="J550" s="73" t="n"/>
      <c r="K550" s="71" t="n"/>
      <c r="L550" s="71" t="n"/>
      <c r="M550" s="66" t="n"/>
      <c r="N550" s="80" t="n"/>
      <c r="O550" s="81" t="str">
        <f>IF(A550="","",ROUND(V550*IFERROR(N(INDEX(tech_rate,MATCH(M550,tech_name,0))),0),2))</f>
        <v/>
      </c>
      <c r="P550" s="80" t="n"/>
      <c r="Q550" s="81" t="str">
        <f>IF(A550="","",ROUND(Y550+O550+Z550,2))</f>
        <v/>
      </c>
      <c r="R550" s="79" t="str">
        <f>IF(A550="","",IF(S550=0,"Date manquante ou invalide",IF(C550="","Équipement manquant",IF(ISNA(MATCH(C550,eq_code,0)),"Équipement inconnu",IF(E550="","Type manquant",IF(AND(E550&lt;&gt;"Préventif",E550&lt;&gt;"Correctif",E550&lt;&gt;"Amélioratif"),"Type inconnu",IF(I550="","Statut manquant",IF(AND(I550&lt;&gt;"Terminée",I550&lt;&gt;"En cours",I550&lt;&gt;"À faire",I550&lt;&gt;"Annulée"),"Statut inconnu",IF(AND(E550="Préventif",F550=""),"Plan manquant (préventif)",IF(AND(F550&lt;&gt;"",ISNA(MATCH(F550,pl_num,0))),"Plan inconnu",IF(AND(F550&lt;&gt;"",IFERROR(INDEX(pl_eq,MATCH(F550,pl_num,0))&amp;"",C550)&lt;&gt;C550),"Plan d'un autre équipement",IF(AND(J550&lt;&gt;"",OR(NOT(ISNUMBER(J550)),N(J550)&lt;0)),"Compteur invalide",IF(OR(AND(K550&lt;&gt;"",OR(NOT(ISNUMBER(K550)),N(K550)&lt;0)),AND(L550&lt;&gt;"",OR(NOT(ISNUMBER(L550)),N(L550)&lt;0))),"Durée invalide",IF(OR(AND(N550&lt;&gt;"",OR(NOT(ISNUMBER(N550)),N(N550)&lt;0)),AND(P550&lt;&gt;"",OR(NOT(ISNUMBER(P550)),N(P550)&lt;0))),"Coût invalide",IF(AND(M550&lt;&gt;"",ISNA(MATCH(M550,tech_name,0))),"Technicien inconnu",IF(AND(I550="Terminée",S550&gt;p_today),"Terminée à une date future",IF(AND(I550="Terminée",V550=0),"Durée d'intervention manquante",IF(AND(I550="Terminée",E550="Préventif",T550=0,OR(IFERROR(INDEX(pl_trig,MATCH(F550,pl_num,0))&amp;"","")="Compteur",IFERROR(INDEX(pl_trig,MATCH(F550,pl_num,0))&amp;"","")="Au premier des deux")),"Compteur manquant (plan au compteur)","OK"))))))))))))))))))</f>
        <v/>
      </c>
      <c r="S550" s="67">
        <f>IF(AND(ISNUMBER(B550),N(B550)&gt;0),INT(B550),0)</f>
        <v>0.0</v>
      </c>
      <c r="T550" s="67">
        <f>IF(AND(ISNUMBER(J550),N(J550)&gt;=0),N(J550),0)</f>
        <v>0.0</v>
      </c>
      <c r="U550" s="67">
        <f>IF(AND(ISNUMBER(K550),N(K550)&gt;0),N(K550),0)</f>
        <v>0.0</v>
      </c>
      <c r="V550" s="67">
        <f>IF(AND(ISNUMBER(L550),N(L550)&gt;0),N(L550),0)</f>
        <v>0.0</v>
      </c>
      <c r="W550" s="67">
        <f>IF(AND(I550="Terminée",S550&gt;0,C550&lt;&gt;"",ISNUMBER(MATCH(C550,eq_code,0))),1,0)</f>
        <v>0.0</v>
      </c>
      <c r="X550" s="67">
        <f>IF(AND(W550=1,E550="Préventif"),1,0)</f>
        <v>0.0</v>
      </c>
      <c r="Y550" s="67">
        <f>IF(AND(ISNUMBER(N550),N(N550)&gt;0),N(N550),0)</f>
        <v>0.0</v>
      </c>
      <c r="Z550" s="67">
        <f>IF(AND(ISNUMBER(P550),N(P550)&gt;0),N(P550),0)</f>
        <v>0.0</v>
      </c>
    </row>
    <row r="551">
      <c r="A551" s="79" t="str">
        <f>IF(COUNTA(B551:C551,E551:G551,I551)=0,"","BI-"&amp;RIGHT("0000"&amp;(ROW()-5),4))</f>
        <v/>
      </c>
      <c r="B551" s="72" t="n"/>
      <c r="C551" s="66" t="n"/>
      <c r="D551" s="67" t="str">
        <f>IF(C551="","",IFERROR(INDEX(eq_des,MATCH(C551,eq_code,0))&amp;"","Équipement inconnu"))</f>
        <v/>
      </c>
      <c r="E551" s="68" t="n"/>
      <c r="F551" s="68" t="n"/>
      <c r="G551" s="66" t="n"/>
      <c r="H551" s="66" t="n"/>
      <c r="I551" s="68" t="n"/>
      <c r="J551" s="73" t="n"/>
      <c r="K551" s="71" t="n"/>
      <c r="L551" s="71" t="n"/>
      <c r="M551" s="66" t="n"/>
      <c r="N551" s="80" t="n"/>
      <c r="O551" s="81" t="str">
        <f>IF(A551="","",ROUND(V551*IFERROR(N(INDEX(tech_rate,MATCH(M551,tech_name,0))),0),2))</f>
        <v/>
      </c>
      <c r="P551" s="80" t="n"/>
      <c r="Q551" s="81" t="str">
        <f>IF(A551="","",ROUND(Y551+O551+Z551,2))</f>
        <v/>
      </c>
      <c r="R551" s="79" t="str">
        <f>IF(A551="","",IF(S551=0,"Date manquante ou invalide",IF(C551="","Équipement manquant",IF(ISNA(MATCH(C551,eq_code,0)),"Équipement inconnu",IF(E551="","Type manquant",IF(AND(E551&lt;&gt;"Préventif",E551&lt;&gt;"Correctif",E551&lt;&gt;"Amélioratif"),"Type inconnu",IF(I551="","Statut manquant",IF(AND(I551&lt;&gt;"Terminée",I551&lt;&gt;"En cours",I551&lt;&gt;"À faire",I551&lt;&gt;"Annulée"),"Statut inconnu",IF(AND(E551="Préventif",F551=""),"Plan manquant (préventif)",IF(AND(F551&lt;&gt;"",ISNA(MATCH(F551,pl_num,0))),"Plan inconnu",IF(AND(F551&lt;&gt;"",IFERROR(INDEX(pl_eq,MATCH(F551,pl_num,0))&amp;"",C551)&lt;&gt;C551),"Plan d'un autre équipement",IF(AND(J551&lt;&gt;"",OR(NOT(ISNUMBER(J551)),N(J551)&lt;0)),"Compteur invalide",IF(OR(AND(K551&lt;&gt;"",OR(NOT(ISNUMBER(K551)),N(K551)&lt;0)),AND(L551&lt;&gt;"",OR(NOT(ISNUMBER(L551)),N(L551)&lt;0))),"Durée invalide",IF(OR(AND(N551&lt;&gt;"",OR(NOT(ISNUMBER(N551)),N(N551)&lt;0)),AND(P551&lt;&gt;"",OR(NOT(ISNUMBER(P551)),N(P551)&lt;0))),"Coût invalide",IF(AND(M551&lt;&gt;"",ISNA(MATCH(M551,tech_name,0))),"Technicien inconnu",IF(AND(I551="Terminée",S551&gt;p_today),"Terminée à une date future",IF(AND(I551="Terminée",V551=0),"Durée d'intervention manquante",IF(AND(I551="Terminée",E551="Préventif",T551=0,OR(IFERROR(INDEX(pl_trig,MATCH(F551,pl_num,0))&amp;"","")="Compteur",IFERROR(INDEX(pl_trig,MATCH(F551,pl_num,0))&amp;"","")="Au premier des deux")),"Compteur manquant (plan au compteur)","OK"))))))))))))))))))</f>
        <v/>
      </c>
      <c r="S551" s="67">
        <f>IF(AND(ISNUMBER(B551),N(B551)&gt;0),INT(B551),0)</f>
        <v>0.0</v>
      </c>
      <c r="T551" s="67">
        <f>IF(AND(ISNUMBER(J551),N(J551)&gt;=0),N(J551),0)</f>
        <v>0.0</v>
      </c>
      <c r="U551" s="67">
        <f>IF(AND(ISNUMBER(K551),N(K551)&gt;0),N(K551),0)</f>
        <v>0.0</v>
      </c>
      <c r="V551" s="67">
        <f>IF(AND(ISNUMBER(L551),N(L551)&gt;0),N(L551),0)</f>
        <v>0.0</v>
      </c>
      <c r="W551" s="67">
        <f>IF(AND(I551="Terminée",S551&gt;0,C551&lt;&gt;"",ISNUMBER(MATCH(C551,eq_code,0))),1,0)</f>
        <v>0.0</v>
      </c>
      <c r="X551" s="67">
        <f>IF(AND(W551=1,E551="Préventif"),1,0)</f>
        <v>0.0</v>
      </c>
      <c r="Y551" s="67">
        <f>IF(AND(ISNUMBER(N551),N(N551)&gt;0),N(N551),0)</f>
        <v>0.0</v>
      </c>
      <c r="Z551" s="67">
        <f>IF(AND(ISNUMBER(P551),N(P551)&gt;0),N(P551),0)</f>
        <v>0.0</v>
      </c>
    </row>
    <row r="552">
      <c r="A552" s="79" t="str">
        <f>IF(COUNTA(B552:C552,E552:G552,I552)=0,"","BI-"&amp;RIGHT("0000"&amp;(ROW()-5),4))</f>
        <v/>
      </c>
      <c r="B552" s="72" t="n"/>
      <c r="C552" s="66" t="n"/>
      <c r="D552" s="67" t="str">
        <f>IF(C552="","",IFERROR(INDEX(eq_des,MATCH(C552,eq_code,0))&amp;"","Équipement inconnu"))</f>
        <v/>
      </c>
      <c r="E552" s="68" t="n"/>
      <c r="F552" s="68" t="n"/>
      <c r="G552" s="66" t="n"/>
      <c r="H552" s="66" t="n"/>
      <c r="I552" s="68" t="n"/>
      <c r="J552" s="73" t="n"/>
      <c r="K552" s="71" t="n"/>
      <c r="L552" s="71" t="n"/>
      <c r="M552" s="66" t="n"/>
      <c r="N552" s="80" t="n"/>
      <c r="O552" s="81" t="str">
        <f>IF(A552="","",ROUND(V552*IFERROR(N(INDEX(tech_rate,MATCH(M552,tech_name,0))),0),2))</f>
        <v/>
      </c>
      <c r="P552" s="80" t="n"/>
      <c r="Q552" s="81" t="str">
        <f>IF(A552="","",ROUND(Y552+O552+Z552,2))</f>
        <v/>
      </c>
      <c r="R552" s="79" t="str">
        <f>IF(A552="","",IF(S552=0,"Date manquante ou invalide",IF(C552="","Équipement manquant",IF(ISNA(MATCH(C552,eq_code,0)),"Équipement inconnu",IF(E552="","Type manquant",IF(AND(E552&lt;&gt;"Préventif",E552&lt;&gt;"Correctif",E552&lt;&gt;"Amélioratif"),"Type inconnu",IF(I552="","Statut manquant",IF(AND(I552&lt;&gt;"Terminée",I552&lt;&gt;"En cours",I552&lt;&gt;"À faire",I552&lt;&gt;"Annulée"),"Statut inconnu",IF(AND(E552="Préventif",F552=""),"Plan manquant (préventif)",IF(AND(F552&lt;&gt;"",ISNA(MATCH(F552,pl_num,0))),"Plan inconnu",IF(AND(F552&lt;&gt;"",IFERROR(INDEX(pl_eq,MATCH(F552,pl_num,0))&amp;"",C552)&lt;&gt;C552),"Plan d'un autre équipement",IF(AND(J552&lt;&gt;"",OR(NOT(ISNUMBER(J552)),N(J552)&lt;0)),"Compteur invalide",IF(OR(AND(K552&lt;&gt;"",OR(NOT(ISNUMBER(K552)),N(K552)&lt;0)),AND(L552&lt;&gt;"",OR(NOT(ISNUMBER(L552)),N(L552)&lt;0))),"Durée invalide",IF(OR(AND(N552&lt;&gt;"",OR(NOT(ISNUMBER(N552)),N(N552)&lt;0)),AND(P552&lt;&gt;"",OR(NOT(ISNUMBER(P552)),N(P552)&lt;0))),"Coût invalide",IF(AND(M552&lt;&gt;"",ISNA(MATCH(M552,tech_name,0))),"Technicien inconnu",IF(AND(I552="Terminée",S552&gt;p_today),"Terminée à une date future",IF(AND(I552="Terminée",V552=0),"Durée d'intervention manquante",IF(AND(I552="Terminée",E552="Préventif",T552=0,OR(IFERROR(INDEX(pl_trig,MATCH(F552,pl_num,0))&amp;"","")="Compteur",IFERROR(INDEX(pl_trig,MATCH(F552,pl_num,0))&amp;"","")="Au premier des deux")),"Compteur manquant (plan au compteur)","OK"))))))))))))))))))</f>
        <v/>
      </c>
      <c r="S552" s="67">
        <f>IF(AND(ISNUMBER(B552),N(B552)&gt;0),INT(B552),0)</f>
        <v>0.0</v>
      </c>
      <c r="T552" s="67">
        <f>IF(AND(ISNUMBER(J552),N(J552)&gt;=0),N(J552),0)</f>
        <v>0.0</v>
      </c>
      <c r="U552" s="67">
        <f>IF(AND(ISNUMBER(K552),N(K552)&gt;0),N(K552),0)</f>
        <v>0.0</v>
      </c>
      <c r="V552" s="67">
        <f>IF(AND(ISNUMBER(L552),N(L552)&gt;0),N(L552),0)</f>
        <v>0.0</v>
      </c>
      <c r="W552" s="67">
        <f>IF(AND(I552="Terminée",S552&gt;0,C552&lt;&gt;"",ISNUMBER(MATCH(C552,eq_code,0))),1,0)</f>
        <v>0.0</v>
      </c>
      <c r="X552" s="67">
        <f>IF(AND(W552=1,E552="Préventif"),1,0)</f>
        <v>0.0</v>
      </c>
      <c r="Y552" s="67">
        <f>IF(AND(ISNUMBER(N552),N(N552)&gt;0),N(N552),0)</f>
        <v>0.0</v>
      </c>
      <c r="Z552" s="67">
        <f>IF(AND(ISNUMBER(P552),N(P552)&gt;0),N(P552),0)</f>
        <v>0.0</v>
      </c>
    </row>
    <row r="553">
      <c r="A553" s="79" t="str">
        <f>IF(COUNTA(B553:C553,E553:G553,I553)=0,"","BI-"&amp;RIGHT("0000"&amp;(ROW()-5),4))</f>
        <v/>
      </c>
      <c r="B553" s="72" t="n"/>
      <c r="C553" s="66" t="n"/>
      <c r="D553" s="67" t="str">
        <f>IF(C553="","",IFERROR(INDEX(eq_des,MATCH(C553,eq_code,0))&amp;"","Équipement inconnu"))</f>
        <v/>
      </c>
      <c r="E553" s="68" t="n"/>
      <c r="F553" s="68" t="n"/>
      <c r="G553" s="66" t="n"/>
      <c r="H553" s="66" t="n"/>
      <c r="I553" s="68" t="n"/>
      <c r="J553" s="73" t="n"/>
      <c r="K553" s="71" t="n"/>
      <c r="L553" s="71" t="n"/>
      <c r="M553" s="66" t="n"/>
      <c r="N553" s="80" t="n"/>
      <c r="O553" s="81" t="str">
        <f>IF(A553="","",ROUND(V553*IFERROR(N(INDEX(tech_rate,MATCH(M553,tech_name,0))),0),2))</f>
        <v/>
      </c>
      <c r="P553" s="80" t="n"/>
      <c r="Q553" s="81" t="str">
        <f>IF(A553="","",ROUND(Y553+O553+Z553,2))</f>
        <v/>
      </c>
      <c r="R553" s="79" t="str">
        <f>IF(A553="","",IF(S553=0,"Date manquante ou invalide",IF(C553="","Équipement manquant",IF(ISNA(MATCH(C553,eq_code,0)),"Équipement inconnu",IF(E553="","Type manquant",IF(AND(E553&lt;&gt;"Préventif",E553&lt;&gt;"Correctif",E553&lt;&gt;"Amélioratif"),"Type inconnu",IF(I553="","Statut manquant",IF(AND(I553&lt;&gt;"Terminée",I553&lt;&gt;"En cours",I553&lt;&gt;"À faire",I553&lt;&gt;"Annulée"),"Statut inconnu",IF(AND(E553="Préventif",F553=""),"Plan manquant (préventif)",IF(AND(F553&lt;&gt;"",ISNA(MATCH(F553,pl_num,0))),"Plan inconnu",IF(AND(F553&lt;&gt;"",IFERROR(INDEX(pl_eq,MATCH(F553,pl_num,0))&amp;"",C553)&lt;&gt;C553),"Plan d'un autre équipement",IF(AND(J553&lt;&gt;"",OR(NOT(ISNUMBER(J553)),N(J553)&lt;0)),"Compteur invalide",IF(OR(AND(K553&lt;&gt;"",OR(NOT(ISNUMBER(K553)),N(K553)&lt;0)),AND(L553&lt;&gt;"",OR(NOT(ISNUMBER(L553)),N(L553)&lt;0))),"Durée invalide",IF(OR(AND(N553&lt;&gt;"",OR(NOT(ISNUMBER(N553)),N(N553)&lt;0)),AND(P553&lt;&gt;"",OR(NOT(ISNUMBER(P553)),N(P553)&lt;0))),"Coût invalide",IF(AND(M553&lt;&gt;"",ISNA(MATCH(M553,tech_name,0))),"Technicien inconnu",IF(AND(I553="Terminée",S553&gt;p_today),"Terminée à une date future",IF(AND(I553="Terminée",V553=0),"Durée d'intervention manquante",IF(AND(I553="Terminée",E553="Préventif",T553=0,OR(IFERROR(INDEX(pl_trig,MATCH(F553,pl_num,0))&amp;"","")="Compteur",IFERROR(INDEX(pl_trig,MATCH(F553,pl_num,0))&amp;"","")="Au premier des deux")),"Compteur manquant (plan au compteur)","OK"))))))))))))))))))</f>
        <v/>
      </c>
      <c r="S553" s="67">
        <f>IF(AND(ISNUMBER(B553),N(B553)&gt;0),INT(B553),0)</f>
        <v>0.0</v>
      </c>
      <c r="T553" s="67">
        <f>IF(AND(ISNUMBER(J553),N(J553)&gt;=0),N(J553),0)</f>
        <v>0.0</v>
      </c>
      <c r="U553" s="67">
        <f>IF(AND(ISNUMBER(K553),N(K553)&gt;0),N(K553),0)</f>
        <v>0.0</v>
      </c>
      <c r="V553" s="67">
        <f>IF(AND(ISNUMBER(L553),N(L553)&gt;0),N(L553),0)</f>
        <v>0.0</v>
      </c>
      <c r="W553" s="67">
        <f>IF(AND(I553="Terminée",S553&gt;0,C553&lt;&gt;"",ISNUMBER(MATCH(C553,eq_code,0))),1,0)</f>
        <v>0.0</v>
      </c>
      <c r="X553" s="67">
        <f>IF(AND(W553=1,E553="Préventif"),1,0)</f>
        <v>0.0</v>
      </c>
      <c r="Y553" s="67">
        <f>IF(AND(ISNUMBER(N553),N(N553)&gt;0),N(N553),0)</f>
        <v>0.0</v>
      </c>
      <c r="Z553" s="67">
        <f>IF(AND(ISNUMBER(P553),N(P553)&gt;0),N(P553),0)</f>
        <v>0.0</v>
      </c>
    </row>
    <row r="554">
      <c r="A554" s="79" t="str">
        <f>IF(COUNTA(B554:C554,E554:G554,I554)=0,"","BI-"&amp;RIGHT("0000"&amp;(ROW()-5),4))</f>
        <v/>
      </c>
      <c r="B554" s="72" t="n"/>
      <c r="C554" s="66" t="n"/>
      <c r="D554" s="67" t="str">
        <f>IF(C554="","",IFERROR(INDEX(eq_des,MATCH(C554,eq_code,0))&amp;"","Équipement inconnu"))</f>
        <v/>
      </c>
      <c r="E554" s="68" t="n"/>
      <c r="F554" s="68" t="n"/>
      <c r="G554" s="66" t="n"/>
      <c r="H554" s="66" t="n"/>
      <c r="I554" s="68" t="n"/>
      <c r="J554" s="73" t="n"/>
      <c r="K554" s="71" t="n"/>
      <c r="L554" s="71" t="n"/>
      <c r="M554" s="66" t="n"/>
      <c r="N554" s="80" t="n"/>
      <c r="O554" s="81" t="str">
        <f>IF(A554="","",ROUND(V554*IFERROR(N(INDEX(tech_rate,MATCH(M554,tech_name,0))),0),2))</f>
        <v/>
      </c>
      <c r="P554" s="80" t="n"/>
      <c r="Q554" s="81" t="str">
        <f>IF(A554="","",ROUND(Y554+O554+Z554,2))</f>
        <v/>
      </c>
      <c r="R554" s="79" t="str">
        <f>IF(A554="","",IF(S554=0,"Date manquante ou invalide",IF(C554="","Équipement manquant",IF(ISNA(MATCH(C554,eq_code,0)),"Équipement inconnu",IF(E554="","Type manquant",IF(AND(E554&lt;&gt;"Préventif",E554&lt;&gt;"Correctif",E554&lt;&gt;"Amélioratif"),"Type inconnu",IF(I554="","Statut manquant",IF(AND(I554&lt;&gt;"Terminée",I554&lt;&gt;"En cours",I554&lt;&gt;"À faire",I554&lt;&gt;"Annulée"),"Statut inconnu",IF(AND(E554="Préventif",F554=""),"Plan manquant (préventif)",IF(AND(F554&lt;&gt;"",ISNA(MATCH(F554,pl_num,0))),"Plan inconnu",IF(AND(F554&lt;&gt;"",IFERROR(INDEX(pl_eq,MATCH(F554,pl_num,0))&amp;"",C554)&lt;&gt;C554),"Plan d'un autre équipement",IF(AND(J554&lt;&gt;"",OR(NOT(ISNUMBER(J554)),N(J554)&lt;0)),"Compteur invalide",IF(OR(AND(K554&lt;&gt;"",OR(NOT(ISNUMBER(K554)),N(K554)&lt;0)),AND(L554&lt;&gt;"",OR(NOT(ISNUMBER(L554)),N(L554)&lt;0))),"Durée invalide",IF(OR(AND(N554&lt;&gt;"",OR(NOT(ISNUMBER(N554)),N(N554)&lt;0)),AND(P554&lt;&gt;"",OR(NOT(ISNUMBER(P554)),N(P554)&lt;0))),"Coût invalide",IF(AND(M554&lt;&gt;"",ISNA(MATCH(M554,tech_name,0))),"Technicien inconnu",IF(AND(I554="Terminée",S554&gt;p_today),"Terminée à une date future",IF(AND(I554="Terminée",V554=0),"Durée d'intervention manquante",IF(AND(I554="Terminée",E554="Préventif",T554=0,OR(IFERROR(INDEX(pl_trig,MATCH(F554,pl_num,0))&amp;"","")="Compteur",IFERROR(INDEX(pl_trig,MATCH(F554,pl_num,0))&amp;"","")="Au premier des deux")),"Compteur manquant (plan au compteur)","OK"))))))))))))))))))</f>
        <v/>
      </c>
      <c r="S554" s="67">
        <f>IF(AND(ISNUMBER(B554),N(B554)&gt;0),INT(B554),0)</f>
        <v>0.0</v>
      </c>
      <c r="T554" s="67">
        <f>IF(AND(ISNUMBER(J554),N(J554)&gt;=0),N(J554),0)</f>
        <v>0.0</v>
      </c>
      <c r="U554" s="67">
        <f>IF(AND(ISNUMBER(K554),N(K554)&gt;0),N(K554),0)</f>
        <v>0.0</v>
      </c>
      <c r="V554" s="67">
        <f>IF(AND(ISNUMBER(L554),N(L554)&gt;0),N(L554),0)</f>
        <v>0.0</v>
      </c>
      <c r="W554" s="67">
        <f>IF(AND(I554="Terminée",S554&gt;0,C554&lt;&gt;"",ISNUMBER(MATCH(C554,eq_code,0))),1,0)</f>
        <v>0.0</v>
      </c>
      <c r="X554" s="67">
        <f>IF(AND(W554=1,E554="Préventif"),1,0)</f>
        <v>0.0</v>
      </c>
      <c r="Y554" s="67">
        <f>IF(AND(ISNUMBER(N554),N(N554)&gt;0),N(N554),0)</f>
        <v>0.0</v>
      </c>
      <c r="Z554" s="67">
        <f>IF(AND(ISNUMBER(P554),N(P554)&gt;0),N(P554),0)</f>
        <v>0.0</v>
      </c>
    </row>
    <row r="555">
      <c r="A555" s="79" t="str">
        <f>IF(COUNTA(B555:C555,E555:G555,I555)=0,"","BI-"&amp;RIGHT("0000"&amp;(ROW()-5),4))</f>
        <v/>
      </c>
      <c r="B555" s="72" t="n"/>
      <c r="C555" s="66" t="n"/>
      <c r="D555" s="67" t="str">
        <f>IF(C555="","",IFERROR(INDEX(eq_des,MATCH(C555,eq_code,0))&amp;"","Équipement inconnu"))</f>
        <v/>
      </c>
      <c r="E555" s="68" t="n"/>
      <c r="F555" s="68" t="n"/>
      <c r="G555" s="66" t="n"/>
      <c r="H555" s="66" t="n"/>
      <c r="I555" s="68" t="n"/>
      <c r="J555" s="73" t="n"/>
      <c r="K555" s="71" t="n"/>
      <c r="L555" s="71" t="n"/>
      <c r="M555" s="66" t="n"/>
      <c r="N555" s="80" t="n"/>
      <c r="O555" s="81" t="str">
        <f>IF(A555="","",ROUND(V555*IFERROR(N(INDEX(tech_rate,MATCH(M555,tech_name,0))),0),2))</f>
        <v/>
      </c>
      <c r="P555" s="80" t="n"/>
      <c r="Q555" s="81" t="str">
        <f>IF(A555="","",ROUND(Y555+O555+Z555,2))</f>
        <v/>
      </c>
      <c r="R555" s="79" t="str">
        <f>IF(A555="","",IF(S555=0,"Date manquante ou invalide",IF(C555="","Équipement manquant",IF(ISNA(MATCH(C555,eq_code,0)),"Équipement inconnu",IF(E555="","Type manquant",IF(AND(E555&lt;&gt;"Préventif",E555&lt;&gt;"Correctif",E555&lt;&gt;"Amélioratif"),"Type inconnu",IF(I555="","Statut manquant",IF(AND(I555&lt;&gt;"Terminée",I555&lt;&gt;"En cours",I555&lt;&gt;"À faire",I555&lt;&gt;"Annulée"),"Statut inconnu",IF(AND(E555="Préventif",F555=""),"Plan manquant (préventif)",IF(AND(F555&lt;&gt;"",ISNA(MATCH(F555,pl_num,0))),"Plan inconnu",IF(AND(F555&lt;&gt;"",IFERROR(INDEX(pl_eq,MATCH(F555,pl_num,0))&amp;"",C555)&lt;&gt;C555),"Plan d'un autre équipement",IF(AND(J555&lt;&gt;"",OR(NOT(ISNUMBER(J555)),N(J555)&lt;0)),"Compteur invalide",IF(OR(AND(K555&lt;&gt;"",OR(NOT(ISNUMBER(K555)),N(K555)&lt;0)),AND(L555&lt;&gt;"",OR(NOT(ISNUMBER(L555)),N(L555)&lt;0))),"Durée invalide",IF(OR(AND(N555&lt;&gt;"",OR(NOT(ISNUMBER(N555)),N(N555)&lt;0)),AND(P555&lt;&gt;"",OR(NOT(ISNUMBER(P555)),N(P555)&lt;0))),"Coût invalide",IF(AND(M555&lt;&gt;"",ISNA(MATCH(M555,tech_name,0))),"Technicien inconnu",IF(AND(I555="Terminée",S555&gt;p_today),"Terminée à une date future",IF(AND(I555="Terminée",V555=0),"Durée d'intervention manquante",IF(AND(I555="Terminée",E555="Préventif",T555=0,OR(IFERROR(INDEX(pl_trig,MATCH(F555,pl_num,0))&amp;"","")="Compteur",IFERROR(INDEX(pl_trig,MATCH(F555,pl_num,0))&amp;"","")="Au premier des deux")),"Compteur manquant (plan au compteur)","OK"))))))))))))))))))</f>
        <v/>
      </c>
      <c r="S555" s="67">
        <f>IF(AND(ISNUMBER(B555),N(B555)&gt;0),INT(B555),0)</f>
        <v>0.0</v>
      </c>
      <c r="T555" s="67">
        <f>IF(AND(ISNUMBER(J555),N(J555)&gt;=0),N(J555),0)</f>
        <v>0.0</v>
      </c>
      <c r="U555" s="67">
        <f>IF(AND(ISNUMBER(K555),N(K555)&gt;0),N(K555),0)</f>
        <v>0.0</v>
      </c>
      <c r="V555" s="67">
        <f>IF(AND(ISNUMBER(L555),N(L555)&gt;0),N(L555),0)</f>
        <v>0.0</v>
      </c>
      <c r="W555" s="67">
        <f>IF(AND(I555="Terminée",S555&gt;0,C555&lt;&gt;"",ISNUMBER(MATCH(C555,eq_code,0))),1,0)</f>
        <v>0.0</v>
      </c>
      <c r="X555" s="67">
        <f>IF(AND(W555=1,E555="Préventif"),1,0)</f>
        <v>0.0</v>
      </c>
      <c r="Y555" s="67">
        <f>IF(AND(ISNUMBER(N555),N(N555)&gt;0),N(N555),0)</f>
        <v>0.0</v>
      </c>
      <c r="Z555" s="67">
        <f>IF(AND(ISNUMBER(P555),N(P555)&gt;0),N(P555),0)</f>
        <v>0.0</v>
      </c>
    </row>
    <row r="556">
      <c r="A556" s="79" t="str">
        <f>IF(COUNTA(B556:C556,E556:G556,I556)=0,"","BI-"&amp;RIGHT("0000"&amp;(ROW()-5),4))</f>
        <v/>
      </c>
      <c r="B556" s="72" t="n"/>
      <c r="C556" s="66" t="n"/>
      <c r="D556" s="67" t="str">
        <f>IF(C556="","",IFERROR(INDEX(eq_des,MATCH(C556,eq_code,0))&amp;"","Équipement inconnu"))</f>
        <v/>
      </c>
      <c r="E556" s="68" t="n"/>
      <c r="F556" s="68" t="n"/>
      <c r="G556" s="66" t="n"/>
      <c r="H556" s="66" t="n"/>
      <c r="I556" s="68" t="n"/>
      <c r="J556" s="73" t="n"/>
      <c r="K556" s="71" t="n"/>
      <c r="L556" s="71" t="n"/>
      <c r="M556" s="66" t="n"/>
      <c r="N556" s="80" t="n"/>
      <c r="O556" s="81" t="str">
        <f>IF(A556="","",ROUND(V556*IFERROR(N(INDEX(tech_rate,MATCH(M556,tech_name,0))),0),2))</f>
        <v/>
      </c>
      <c r="P556" s="80" t="n"/>
      <c r="Q556" s="81" t="str">
        <f>IF(A556="","",ROUND(Y556+O556+Z556,2))</f>
        <v/>
      </c>
      <c r="R556" s="79" t="str">
        <f>IF(A556="","",IF(S556=0,"Date manquante ou invalide",IF(C556="","Équipement manquant",IF(ISNA(MATCH(C556,eq_code,0)),"Équipement inconnu",IF(E556="","Type manquant",IF(AND(E556&lt;&gt;"Préventif",E556&lt;&gt;"Correctif",E556&lt;&gt;"Amélioratif"),"Type inconnu",IF(I556="","Statut manquant",IF(AND(I556&lt;&gt;"Terminée",I556&lt;&gt;"En cours",I556&lt;&gt;"À faire",I556&lt;&gt;"Annulée"),"Statut inconnu",IF(AND(E556="Préventif",F556=""),"Plan manquant (préventif)",IF(AND(F556&lt;&gt;"",ISNA(MATCH(F556,pl_num,0))),"Plan inconnu",IF(AND(F556&lt;&gt;"",IFERROR(INDEX(pl_eq,MATCH(F556,pl_num,0))&amp;"",C556)&lt;&gt;C556),"Plan d'un autre équipement",IF(AND(J556&lt;&gt;"",OR(NOT(ISNUMBER(J556)),N(J556)&lt;0)),"Compteur invalide",IF(OR(AND(K556&lt;&gt;"",OR(NOT(ISNUMBER(K556)),N(K556)&lt;0)),AND(L556&lt;&gt;"",OR(NOT(ISNUMBER(L556)),N(L556)&lt;0))),"Durée invalide",IF(OR(AND(N556&lt;&gt;"",OR(NOT(ISNUMBER(N556)),N(N556)&lt;0)),AND(P556&lt;&gt;"",OR(NOT(ISNUMBER(P556)),N(P556)&lt;0))),"Coût invalide",IF(AND(M556&lt;&gt;"",ISNA(MATCH(M556,tech_name,0))),"Technicien inconnu",IF(AND(I556="Terminée",S556&gt;p_today),"Terminée à une date future",IF(AND(I556="Terminée",V556=0),"Durée d'intervention manquante",IF(AND(I556="Terminée",E556="Préventif",T556=0,OR(IFERROR(INDEX(pl_trig,MATCH(F556,pl_num,0))&amp;"","")="Compteur",IFERROR(INDEX(pl_trig,MATCH(F556,pl_num,0))&amp;"","")="Au premier des deux")),"Compteur manquant (plan au compteur)","OK"))))))))))))))))))</f>
        <v/>
      </c>
      <c r="S556" s="67">
        <f>IF(AND(ISNUMBER(B556),N(B556)&gt;0),INT(B556),0)</f>
        <v>0.0</v>
      </c>
      <c r="T556" s="67">
        <f>IF(AND(ISNUMBER(J556),N(J556)&gt;=0),N(J556),0)</f>
        <v>0.0</v>
      </c>
      <c r="U556" s="67">
        <f>IF(AND(ISNUMBER(K556),N(K556)&gt;0),N(K556),0)</f>
        <v>0.0</v>
      </c>
      <c r="V556" s="67">
        <f>IF(AND(ISNUMBER(L556),N(L556)&gt;0),N(L556),0)</f>
        <v>0.0</v>
      </c>
      <c r="W556" s="67">
        <f>IF(AND(I556="Terminée",S556&gt;0,C556&lt;&gt;"",ISNUMBER(MATCH(C556,eq_code,0))),1,0)</f>
        <v>0.0</v>
      </c>
      <c r="X556" s="67">
        <f>IF(AND(W556=1,E556="Préventif"),1,0)</f>
        <v>0.0</v>
      </c>
      <c r="Y556" s="67">
        <f>IF(AND(ISNUMBER(N556),N(N556)&gt;0),N(N556),0)</f>
        <v>0.0</v>
      </c>
      <c r="Z556" s="67">
        <f>IF(AND(ISNUMBER(P556),N(P556)&gt;0),N(P556),0)</f>
        <v>0.0</v>
      </c>
    </row>
    <row r="557">
      <c r="A557" s="79" t="str">
        <f>IF(COUNTA(B557:C557,E557:G557,I557)=0,"","BI-"&amp;RIGHT("0000"&amp;(ROW()-5),4))</f>
        <v/>
      </c>
      <c r="B557" s="72" t="n"/>
      <c r="C557" s="66" t="n"/>
      <c r="D557" s="67" t="str">
        <f>IF(C557="","",IFERROR(INDEX(eq_des,MATCH(C557,eq_code,0))&amp;"","Équipement inconnu"))</f>
        <v/>
      </c>
      <c r="E557" s="68" t="n"/>
      <c r="F557" s="68" t="n"/>
      <c r="G557" s="66" t="n"/>
      <c r="H557" s="66" t="n"/>
      <c r="I557" s="68" t="n"/>
      <c r="J557" s="73" t="n"/>
      <c r="K557" s="71" t="n"/>
      <c r="L557" s="71" t="n"/>
      <c r="M557" s="66" t="n"/>
      <c r="N557" s="80" t="n"/>
      <c r="O557" s="81" t="str">
        <f>IF(A557="","",ROUND(V557*IFERROR(N(INDEX(tech_rate,MATCH(M557,tech_name,0))),0),2))</f>
        <v/>
      </c>
      <c r="P557" s="80" t="n"/>
      <c r="Q557" s="81" t="str">
        <f>IF(A557="","",ROUND(Y557+O557+Z557,2))</f>
        <v/>
      </c>
      <c r="R557" s="79" t="str">
        <f>IF(A557="","",IF(S557=0,"Date manquante ou invalide",IF(C557="","Équipement manquant",IF(ISNA(MATCH(C557,eq_code,0)),"Équipement inconnu",IF(E557="","Type manquant",IF(AND(E557&lt;&gt;"Préventif",E557&lt;&gt;"Correctif",E557&lt;&gt;"Amélioratif"),"Type inconnu",IF(I557="","Statut manquant",IF(AND(I557&lt;&gt;"Terminée",I557&lt;&gt;"En cours",I557&lt;&gt;"À faire",I557&lt;&gt;"Annulée"),"Statut inconnu",IF(AND(E557="Préventif",F557=""),"Plan manquant (préventif)",IF(AND(F557&lt;&gt;"",ISNA(MATCH(F557,pl_num,0))),"Plan inconnu",IF(AND(F557&lt;&gt;"",IFERROR(INDEX(pl_eq,MATCH(F557,pl_num,0))&amp;"",C557)&lt;&gt;C557),"Plan d'un autre équipement",IF(AND(J557&lt;&gt;"",OR(NOT(ISNUMBER(J557)),N(J557)&lt;0)),"Compteur invalide",IF(OR(AND(K557&lt;&gt;"",OR(NOT(ISNUMBER(K557)),N(K557)&lt;0)),AND(L557&lt;&gt;"",OR(NOT(ISNUMBER(L557)),N(L557)&lt;0))),"Durée invalide",IF(OR(AND(N557&lt;&gt;"",OR(NOT(ISNUMBER(N557)),N(N557)&lt;0)),AND(P557&lt;&gt;"",OR(NOT(ISNUMBER(P557)),N(P557)&lt;0))),"Coût invalide",IF(AND(M557&lt;&gt;"",ISNA(MATCH(M557,tech_name,0))),"Technicien inconnu",IF(AND(I557="Terminée",S557&gt;p_today),"Terminée à une date future",IF(AND(I557="Terminée",V557=0),"Durée d'intervention manquante",IF(AND(I557="Terminée",E557="Préventif",T557=0,OR(IFERROR(INDEX(pl_trig,MATCH(F557,pl_num,0))&amp;"","")="Compteur",IFERROR(INDEX(pl_trig,MATCH(F557,pl_num,0))&amp;"","")="Au premier des deux")),"Compteur manquant (plan au compteur)","OK"))))))))))))))))))</f>
        <v/>
      </c>
      <c r="S557" s="67">
        <f>IF(AND(ISNUMBER(B557),N(B557)&gt;0),INT(B557),0)</f>
        <v>0.0</v>
      </c>
      <c r="T557" s="67">
        <f>IF(AND(ISNUMBER(J557),N(J557)&gt;=0),N(J557),0)</f>
        <v>0.0</v>
      </c>
      <c r="U557" s="67">
        <f>IF(AND(ISNUMBER(K557),N(K557)&gt;0),N(K557),0)</f>
        <v>0.0</v>
      </c>
      <c r="V557" s="67">
        <f>IF(AND(ISNUMBER(L557),N(L557)&gt;0),N(L557),0)</f>
        <v>0.0</v>
      </c>
      <c r="W557" s="67">
        <f>IF(AND(I557="Terminée",S557&gt;0,C557&lt;&gt;"",ISNUMBER(MATCH(C557,eq_code,0))),1,0)</f>
        <v>0.0</v>
      </c>
      <c r="X557" s="67">
        <f>IF(AND(W557=1,E557="Préventif"),1,0)</f>
        <v>0.0</v>
      </c>
      <c r="Y557" s="67">
        <f>IF(AND(ISNUMBER(N557),N(N557)&gt;0),N(N557),0)</f>
        <v>0.0</v>
      </c>
      <c r="Z557" s="67">
        <f>IF(AND(ISNUMBER(P557),N(P557)&gt;0),N(P557),0)</f>
        <v>0.0</v>
      </c>
    </row>
    <row r="558">
      <c r="A558" s="79" t="str">
        <f>IF(COUNTA(B558:C558,E558:G558,I558)=0,"","BI-"&amp;RIGHT("0000"&amp;(ROW()-5),4))</f>
        <v/>
      </c>
      <c r="B558" s="72" t="n"/>
      <c r="C558" s="66" t="n"/>
      <c r="D558" s="67" t="str">
        <f>IF(C558="","",IFERROR(INDEX(eq_des,MATCH(C558,eq_code,0))&amp;"","Équipement inconnu"))</f>
        <v/>
      </c>
      <c r="E558" s="68" t="n"/>
      <c r="F558" s="68" t="n"/>
      <c r="G558" s="66" t="n"/>
      <c r="H558" s="66" t="n"/>
      <c r="I558" s="68" t="n"/>
      <c r="J558" s="73" t="n"/>
      <c r="K558" s="71" t="n"/>
      <c r="L558" s="71" t="n"/>
      <c r="M558" s="66" t="n"/>
      <c r="N558" s="80" t="n"/>
      <c r="O558" s="81" t="str">
        <f>IF(A558="","",ROUND(V558*IFERROR(N(INDEX(tech_rate,MATCH(M558,tech_name,0))),0),2))</f>
        <v/>
      </c>
      <c r="P558" s="80" t="n"/>
      <c r="Q558" s="81" t="str">
        <f>IF(A558="","",ROUND(Y558+O558+Z558,2))</f>
        <v/>
      </c>
      <c r="R558" s="79" t="str">
        <f>IF(A558="","",IF(S558=0,"Date manquante ou invalide",IF(C558="","Équipement manquant",IF(ISNA(MATCH(C558,eq_code,0)),"Équipement inconnu",IF(E558="","Type manquant",IF(AND(E558&lt;&gt;"Préventif",E558&lt;&gt;"Correctif",E558&lt;&gt;"Amélioratif"),"Type inconnu",IF(I558="","Statut manquant",IF(AND(I558&lt;&gt;"Terminée",I558&lt;&gt;"En cours",I558&lt;&gt;"À faire",I558&lt;&gt;"Annulée"),"Statut inconnu",IF(AND(E558="Préventif",F558=""),"Plan manquant (préventif)",IF(AND(F558&lt;&gt;"",ISNA(MATCH(F558,pl_num,0))),"Plan inconnu",IF(AND(F558&lt;&gt;"",IFERROR(INDEX(pl_eq,MATCH(F558,pl_num,0))&amp;"",C558)&lt;&gt;C558),"Plan d'un autre équipement",IF(AND(J558&lt;&gt;"",OR(NOT(ISNUMBER(J558)),N(J558)&lt;0)),"Compteur invalide",IF(OR(AND(K558&lt;&gt;"",OR(NOT(ISNUMBER(K558)),N(K558)&lt;0)),AND(L558&lt;&gt;"",OR(NOT(ISNUMBER(L558)),N(L558)&lt;0))),"Durée invalide",IF(OR(AND(N558&lt;&gt;"",OR(NOT(ISNUMBER(N558)),N(N558)&lt;0)),AND(P558&lt;&gt;"",OR(NOT(ISNUMBER(P558)),N(P558)&lt;0))),"Coût invalide",IF(AND(M558&lt;&gt;"",ISNA(MATCH(M558,tech_name,0))),"Technicien inconnu",IF(AND(I558="Terminée",S558&gt;p_today),"Terminée à une date future",IF(AND(I558="Terminée",V558=0),"Durée d'intervention manquante",IF(AND(I558="Terminée",E558="Préventif",T558=0,OR(IFERROR(INDEX(pl_trig,MATCH(F558,pl_num,0))&amp;"","")="Compteur",IFERROR(INDEX(pl_trig,MATCH(F558,pl_num,0))&amp;"","")="Au premier des deux")),"Compteur manquant (plan au compteur)","OK"))))))))))))))))))</f>
        <v/>
      </c>
      <c r="S558" s="67">
        <f>IF(AND(ISNUMBER(B558),N(B558)&gt;0),INT(B558),0)</f>
        <v>0.0</v>
      </c>
      <c r="T558" s="67">
        <f>IF(AND(ISNUMBER(J558),N(J558)&gt;=0),N(J558),0)</f>
        <v>0.0</v>
      </c>
      <c r="U558" s="67">
        <f>IF(AND(ISNUMBER(K558),N(K558)&gt;0),N(K558),0)</f>
        <v>0.0</v>
      </c>
      <c r="V558" s="67">
        <f>IF(AND(ISNUMBER(L558),N(L558)&gt;0),N(L558),0)</f>
        <v>0.0</v>
      </c>
      <c r="W558" s="67">
        <f>IF(AND(I558="Terminée",S558&gt;0,C558&lt;&gt;"",ISNUMBER(MATCH(C558,eq_code,0))),1,0)</f>
        <v>0.0</v>
      </c>
      <c r="X558" s="67">
        <f>IF(AND(W558=1,E558="Préventif"),1,0)</f>
        <v>0.0</v>
      </c>
      <c r="Y558" s="67">
        <f>IF(AND(ISNUMBER(N558),N(N558)&gt;0),N(N558),0)</f>
        <v>0.0</v>
      </c>
      <c r="Z558" s="67">
        <f>IF(AND(ISNUMBER(P558),N(P558)&gt;0),N(P558),0)</f>
        <v>0.0</v>
      </c>
    </row>
    <row r="559">
      <c r="A559" s="79" t="str">
        <f>IF(COUNTA(B559:C559,E559:G559,I559)=0,"","BI-"&amp;RIGHT("0000"&amp;(ROW()-5),4))</f>
        <v/>
      </c>
      <c r="B559" s="72" t="n"/>
      <c r="C559" s="66" t="n"/>
      <c r="D559" s="67" t="str">
        <f>IF(C559="","",IFERROR(INDEX(eq_des,MATCH(C559,eq_code,0))&amp;"","Équipement inconnu"))</f>
        <v/>
      </c>
      <c r="E559" s="68" t="n"/>
      <c r="F559" s="68" t="n"/>
      <c r="G559" s="66" t="n"/>
      <c r="H559" s="66" t="n"/>
      <c r="I559" s="68" t="n"/>
      <c r="J559" s="73" t="n"/>
      <c r="K559" s="71" t="n"/>
      <c r="L559" s="71" t="n"/>
      <c r="M559" s="66" t="n"/>
      <c r="N559" s="80" t="n"/>
      <c r="O559" s="81" t="str">
        <f>IF(A559="","",ROUND(V559*IFERROR(N(INDEX(tech_rate,MATCH(M559,tech_name,0))),0),2))</f>
        <v/>
      </c>
      <c r="P559" s="80" t="n"/>
      <c r="Q559" s="81" t="str">
        <f>IF(A559="","",ROUND(Y559+O559+Z559,2))</f>
        <v/>
      </c>
      <c r="R559" s="79" t="str">
        <f>IF(A559="","",IF(S559=0,"Date manquante ou invalide",IF(C559="","Équipement manquant",IF(ISNA(MATCH(C559,eq_code,0)),"Équipement inconnu",IF(E559="","Type manquant",IF(AND(E559&lt;&gt;"Préventif",E559&lt;&gt;"Correctif",E559&lt;&gt;"Amélioratif"),"Type inconnu",IF(I559="","Statut manquant",IF(AND(I559&lt;&gt;"Terminée",I559&lt;&gt;"En cours",I559&lt;&gt;"À faire",I559&lt;&gt;"Annulée"),"Statut inconnu",IF(AND(E559="Préventif",F559=""),"Plan manquant (préventif)",IF(AND(F559&lt;&gt;"",ISNA(MATCH(F559,pl_num,0))),"Plan inconnu",IF(AND(F559&lt;&gt;"",IFERROR(INDEX(pl_eq,MATCH(F559,pl_num,0))&amp;"",C559)&lt;&gt;C559),"Plan d'un autre équipement",IF(AND(J559&lt;&gt;"",OR(NOT(ISNUMBER(J559)),N(J559)&lt;0)),"Compteur invalide",IF(OR(AND(K559&lt;&gt;"",OR(NOT(ISNUMBER(K559)),N(K559)&lt;0)),AND(L559&lt;&gt;"",OR(NOT(ISNUMBER(L559)),N(L559)&lt;0))),"Durée invalide",IF(OR(AND(N559&lt;&gt;"",OR(NOT(ISNUMBER(N559)),N(N559)&lt;0)),AND(P559&lt;&gt;"",OR(NOT(ISNUMBER(P559)),N(P559)&lt;0))),"Coût invalide",IF(AND(M559&lt;&gt;"",ISNA(MATCH(M559,tech_name,0))),"Technicien inconnu",IF(AND(I559="Terminée",S559&gt;p_today),"Terminée à une date future",IF(AND(I559="Terminée",V559=0),"Durée d'intervention manquante",IF(AND(I559="Terminée",E559="Préventif",T559=0,OR(IFERROR(INDEX(pl_trig,MATCH(F559,pl_num,0))&amp;"","")="Compteur",IFERROR(INDEX(pl_trig,MATCH(F559,pl_num,0))&amp;"","")="Au premier des deux")),"Compteur manquant (plan au compteur)","OK"))))))))))))))))))</f>
        <v/>
      </c>
      <c r="S559" s="67">
        <f>IF(AND(ISNUMBER(B559),N(B559)&gt;0),INT(B559),0)</f>
        <v>0.0</v>
      </c>
      <c r="T559" s="67">
        <f>IF(AND(ISNUMBER(J559),N(J559)&gt;=0),N(J559),0)</f>
        <v>0.0</v>
      </c>
      <c r="U559" s="67">
        <f>IF(AND(ISNUMBER(K559),N(K559)&gt;0),N(K559),0)</f>
        <v>0.0</v>
      </c>
      <c r="V559" s="67">
        <f>IF(AND(ISNUMBER(L559),N(L559)&gt;0),N(L559),0)</f>
        <v>0.0</v>
      </c>
      <c r="W559" s="67">
        <f>IF(AND(I559="Terminée",S559&gt;0,C559&lt;&gt;"",ISNUMBER(MATCH(C559,eq_code,0))),1,0)</f>
        <v>0.0</v>
      </c>
      <c r="X559" s="67">
        <f>IF(AND(W559=1,E559="Préventif"),1,0)</f>
        <v>0.0</v>
      </c>
      <c r="Y559" s="67">
        <f>IF(AND(ISNUMBER(N559),N(N559)&gt;0),N(N559),0)</f>
        <v>0.0</v>
      </c>
      <c r="Z559" s="67">
        <f>IF(AND(ISNUMBER(P559),N(P559)&gt;0),N(P559),0)</f>
        <v>0.0</v>
      </c>
    </row>
    <row r="560">
      <c r="A560" s="79" t="str">
        <f>IF(COUNTA(B560:C560,E560:G560,I560)=0,"","BI-"&amp;RIGHT("0000"&amp;(ROW()-5),4))</f>
        <v/>
      </c>
      <c r="B560" s="72" t="n"/>
      <c r="C560" s="66" t="n"/>
      <c r="D560" s="67" t="str">
        <f>IF(C560="","",IFERROR(INDEX(eq_des,MATCH(C560,eq_code,0))&amp;"","Équipement inconnu"))</f>
        <v/>
      </c>
      <c r="E560" s="68" t="n"/>
      <c r="F560" s="68" t="n"/>
      <c r="G560" s="66" t="n"/>
      <c r="H560" s="66" t="n"/>
      <c r="I560" s="68" t="n"/>
      <c r="J560" s="73" t="n"/>
      <c r="K560" s="71" t="n"/>
      <c r="L560" s="71" t="n"/>
      <c r="M560" s="66" t="n"/>
      <c r="N560" s="80" t="n"/>
      <c r="O560" s="81" t="str">
        <f>IF(A560="","",ROUND(V560*IFERROR(N(INDEX(tech_rate,MATCH(M560,tech_name,0))),0),2))</f>
        <v/>
      </c>
      <c r="P560" s="80" t="n"/>
      <c r="Q560" s="81" t="str">
        <f>IF(A560="","",ROUND(Y560+O560+Z560,2))</f>
        <v/>
      </c>
      <c r="R560" s="79" t="str">
        <f>IF(A560="","",IF(S560=0,"Date manquante ou invalide",IF(C560="","Équipement manquant",IF(ISNA(MATCH(C560,eq_code,0)),"Équipement inconnu",IF(E560="","Type manquant",IF(AND(E560&lt;&gt;"Préventif",E560&lt;&gt;"Correctif",E560&lt;&gt;"Amélioratif"),"Type inconnu",IF(I560="","Statut manquant",IF(AND(I560&lt;&gt;"Terminée",I560&lt;&gt;"En cours",I560&lt;&gt;"À faire",I560&lt;&gt;"Annulée"),"Statut inconnu",IF(AND(E560="Préventif",F560=""),"Plan manquant (préventif)",IF(AND(F560&lt;&gt;"",ISNA(MATCH(F560,pl_num,0))),"Plan inconnu",IF(AND(F560&lt;&gt;"",IFERROR(INDEX(pl_eq,MATCH(F560,pl_num,0))&amp;"",C560)&lt;&gt;C560),"Plan d'un autre équipement",IF(AND(J560&lt;&gt;"",OR(NOT(ISNUMBER(J560)),N(J560)&lt;0)),"Compteur invalide",IF(OR(AND(K560&lt;&gt;"",OR(NOT(ISNUMBER(K560)),N(K560)&lt;0)),AND(L560&lt;&gt;"",OR(NOT(ISNUMBER(L560)),N(L560)&lt;0))),"Durée invalide",IF(OR(AND(N560&lt;&gt;"",OR(NOT(ISNUMBER(N560)),N(N560)&lt;0)),AND(P560&lt;&gt;"",OR(NOT(ISNUMBER(P560)),N(P560)&lt;0))),"Coût invalide",IF(AND(M560&lt;&gt;"",ISNA(MATCH(M560,tech_name,0))),"Technicien inconnu",IF(AND(I560="Terminée",S560&gt;p_today),"Terminée à une date future",IF(AND(I560="Terminée",V560=0),"Durée d'intervention manquante",IF(AND(I560="Terminée",E560="Préventif",T560=0,OR(IFERROR(INDEX(pl_trig,MATCH(F560,pl_num,0))&amp;"","")="Compteur",IFERROR(INDEX(pl_trig,MATCH(F560,pl_num,0))&amp;"","")="Au premier des deux")),"Compteur manquant (plan au compteur)","OK"))))))))))))))))))</f>
        <v/>
      </c>
      <c r="S560" s="67">
        <f>IF(AND(ISNUMBER(B560),N(B560)&gt;0),INT(B560),0)</f>
        <v>0.0</v>
      </c>
      <c r="T560" s="67">
        <f>IF(AND(ISNUMBER(J560),N(J560)&gt;=0),N(J560),0)</f>
        <v>0.0</v>
      </c>
      <c r="U560" s="67">
        <f>IF(AND(ISNUMBER(K560),N(K560)&gt;0),N(K560),0)</f>
        <v>0.0</v>
      </c>
      <c r="V560" s="67">
        <f>IF(AND(ISNUMBER(L560),N(L560)&gt;0),N(L560),0)</f>
        <v>0.0</v>
      </c>
      <c r="W560" s="67">
        <f>IF(AND(I560="Terminée",S560&gt;0,C560&lt;&gt;"",ISNUMBER(MATCH(C560,eq_code,0))),1,0)</f>
        <v>0.0</v>
      </c>
      <c r="X560" s="67">
        <f>IF(AND(W560=1,E560="Préventif"),1,0)</f>
        <v>0.0</v>
      </c>
      <c r="Y560" s="67">
        <f>IF(AND(ISNUMBER(N560),N(N560)&gt;0),N(N560),0)</f>
        <v>0.0</v>
      </c>
      <c r="Z560" s="67">
        <f>IF(AND(ISNUMBER(P560),N(P560)&gt;0),N(P560),0)</f>
        <v>0.0</v>
      </c>
    </row>
    <row r="561">
      <c r="A561" s="79" t="str">
        <f>IF(COUNTA(B561:C561,E561:G561,I561)=0,"","BI-"&amp;RIGHT("0000"&amp;(ROW()-5),4))</f>
        <v/>
      </c>
      <c r="B561" s="72" t="n"/>
      <c r="C561" s="66" t="n"/>
      <c r="D561" s="67" t="str">
        <f>IF(C561="","",IFERROR(INDEX(eq_des,MATCH(C561,eq_code,0))&amp;"","Équipement inconnu"))</f>
        <v/>
      </c>
      <c r="E561" s="68" t="n"/>
      <c r="F561" s="68" t="n"/>
      <c r="G561" s="66" t="n"/>
      <c r="H561" s="66" t="n"/>
      <c r="I561" s="68" t="n"/>
      <c r="J561" s="73" t="n"/>
      <c r="K561" s="71" t="n"/>
      <c r="L561" s="71" t="n"/>
      <c r="M561" s="66" t="n"/>
      <c r="N561" s="80" t="n"/>
      <c r="O561" s="81" t="str">
        <f>IF(A561="","",ROUND(V561*IFERROR(N(INDEX(tech_rate,MATCH(M561,tech_name,0))),0),2))</f>
        <v/>
      </c>
      <c r="P561" s="80" t="n"/>
      <c r="Q561" s="81" t="str">
        <f>IF(A561="","",ROUND(Y561+O561+Z561,2))</f>
        <v/>
      </c>
      <c r="R561" s="79" t="str">
        <f>IF(A561="","",IF(S561=0,"Date manquante ou invalide",IF(C561="","Équipement manquant",IF(ISNA(MATCH(C561,eq_code,0)),"Équipement inconnu",IF(E561="","Type manquant",IF(AND(E561&lt;&gt;"Préventif",E561&lt;&gt;"Correctif",E561&lt;&gt;"Amélioratif"),"Type inconnu",IF(I561="","Statut manquant",IF(AND(I561&lt;&gt;"Terminée",I561&lt;&gt;"En cours",I561&lt;&gt;"À faire",I561&lt;&gt;"Annulée"),"Statut inconnu",IF(AND(E561="Préventif",F561=""),"Plan manquant (préventif)",IF(AND(F561&lt;&gt;"",ISNA(MATCH(F561,pl_num,0))),"Plan inconnu",IF(AND(F561&lt;&gt;"",IFERROR(INDEX(pl_eq,MATCH(F561,pl_num,0))&amp;"",C561)&lt;&gt;C561),"Plan d'un autre équipement",IF(AND(J561&lt;&gt;"",OR(NOT(ISNUMBER(J561)),N(J561)&lt;0)),"Compteur invalide",IF(OR(AND(K561&lt;&gt;"",OR(NOT(ISNUMBER(K561)),N(K561)&lt;0)),AND(L561&lt;&gt;"",OR(NOT(ISNUMBER(L561)),N(L561)&lt;0))),"Durée invalide",IF(OR(AND(N561&lt;&gt;"",OR(NOT(ISNUMBER(N561)),N(N561)&lt;0)),AND(P561&lt;&gt;"",OR(NOT(ISNUMBER(P561)),N(P561)&lt;0))),"Coût invalide",IF(AND(M561&lt;&gt;"",ISNA(MATCH(M561,tech_name,0))),"Technicien inconnu",IF(AND(I561="Terminée",S561&gt;p_today),"Terminée à une date future",IF(AND(I561="Terminée",V561=0),"Durée d'intervention manquante",IF(AND(I561="Terminée",E561="Préventif",T561=0,OR(IFERROR(INDEX(pl_trig,MATCH(F561,pl_num,0))&amp;"","")="Compteur",IFERROR(INDEX(pl_trig,MATCH(F561,pl_num,0))&amp;"","")="Au premier des deux")),"Compteur manquant (plan au compteur)","OK"))))))))))))))))))</f>
        <v/>
      </c>
      <c r="S561" s="67">
        <f>IF(AND(ISNUMBER(B561),N(B561)&gt;0),INT(B561),0)</f>
        <v>0.0</v>
      </c>
      <c r="T561" s="67">
        <f>IF(AND(ISNUMBER(J561),N(J561)&gt;=0),N(J561),0)</f>
        <v>0.0</v>
      </c>
      <c r="U561" s="67">
        <f>IF(AND(ISNUMBER(K561),N(K561)&gt;0),N(K561),0)</f>
        <v>0.0</v>
      </c>
      <c r="V561" s="67">
        <f>IF(AND(ISNUMBER(L561),N(L561)&gt;0),N(L561),0)</f>
        <v>0.0</v>
      </c>
      <c r="W561" s="67">
        <f>IF(AND(I561="Terminée",S561&gt;0,C561&lt;&gt;"",ISNUMBER(MATCH(C561,eq_code,0))),1,0)</f>
        <v>0.0</v>
      </c>
      <c r="X561" s="67">
        <f>IF(AND(W561=1,E561="Préventif"),1,0)</f>
        <v>0.0</v>
      </c>
      <c r="Y561" s="67">
        <f>IF(AND(ISNUMBER(N561),N(N561)&gt;0),N(N561),0)</f>
        <v>0.0</v>
      </c>
      <c r="Z561" s="67">
        <f>IF(AND(ISNUMBER(P561),N(P561)&gt;0),N(P561),0)</f>
        <v>0.0</v>
      </c>
    </row>
    <row r="562">
      <c r="A562" s="79" t="str">
        <f>IF(COUNTA(B562:C562,E562:G562,I562)=0,"","BI-"&amp;RIGHT("0000"&amp;(ROW()-5),4))</f>
        <v/>
      </c>
      <c r="B562" s="72" t="n"/>
      <c r="C562" s="66" t="n"/>
      <c r="D562" s="67" t="str">
        <f>IF(C562="","",IFERROR(INDEX(eq_des,MATCH(C562,eq_code,0))&amp;"","Équipement inconnu"))</f>
        <v/>
      </c>
      <c r="E562" s="68" t="n"/>
      <c r="F562" s="68" t="n"/>
      <c r="G562" s="66" t="n"/>
      <c r="H562" s="66" t="n"/>
      <c r="I562" s="68" t="n"/>
      <c r="J562" s="73" t="n"/>
      <c r="K562" s="71" t="n"/>
      <c r="L562" s="71" t="n"/>
      <c r="M562" s="66" t="n"/>
      <c r="N562" s="80" t="n"/>
      <c r="O562" s="81" t="str">
        <f>IF(A562="","",ROUND(V562*IFERROR(N(INDEX(tech_rate,MATCH(M562,tech_name,0))),0),2))</f>
        <v/>
      </c>
      <c r="P562" s="80" t="n"/>
      <c r="Q562" s="81" t="str">
        <f>IF(A562="","",ROUND(Y562+O562+Z562,2))</f>
        <v/>
      </c>
      <c r="R562" s="79" t="str">
        <f>IF(A562="","",IF(S562=0,"Date manquante ou invalide",IF(C562="","Équipement manquant",IF(ISNA(MATCH(C562,eq_code,0)),"Équipement inconnu",IF(E562="","Type manquant",IF(AND(E562&lt;&gt;"Préventif",E562&lt;&gt;"Correctif",E562&lt;&gt;"Amélioratif"),"Type inconnu",IF(I562="","Statut manquant",IF(AND(I562&lt;&gt;"Terminée",I562&lt;&gt;"En cours",I562&lt;&gt;"À faire",I562&lt;&gt;"Annulée"),"Statut inconnu",IF(AND(E562="Préventif",F562=""),"Plan manquant (préventif)",IF(AND(F562&lt;&gt;"",ISNA(MATCH(F562,pl_num,0))),"Plan inconnu",IF(AND(F562&lt;&gt;"",IFERROR(INDEX(pl_eq,MATCH(F562,pl_num,0))&amp;"",C562)&lt;&gt;C562),"Plan d'un autre équipement",IF(AND(J562&lt;&gt;"",OR(NOT(ISNUMBER(J562)),N(J562)&lt;0)),"Compteur invalide",IF(OR(AND(K562&lt;&gt;"",OR(NOT(ISNUMBER(K562)),N(K562)&lt;0)),AND(L562&lt;&gt;"",OR(NOT(ISNUMBER(L562)),N(L562)&lt;0))),"Durée invalide",IF(OR(AND(N562&lt;&gt;"",OR(NOT(ISNUMBER(N562)),N(N562)&lt;0)),AND(P562&lt;&gt;"",OR(NOT(ISNUMBER(P562)),N(P562)&lt;0))),"Coût invalide",IF(AND(M562&lt;&gt;"",ISNA(MATCH(M562,tech_name,0))),"Technicien inconnu",IF(AND(I562="Terminée",S562&gt;p_today),"Terminée à une date future",IF(AND(I562="Terminée",V562=0),"Durée d'intervention manquante",IF(AND(I562="Terminée",E562="Préventif",T562=0,OR(IFERROR(INDEX(pl_trig,MATCH(F562,pl_num,0))&amp;"","")="Compteur",IFERROR(INDEX(pl_trig,MATCH(F562,pl_num,0))&amp;"","")="Au premier des deux")),"Compteur manquant (plan au compteur)","OK"))))))))))))))))))</f>
        <v/>
      </c>
      <c r="S562" s="67">
        <f>IF(AND(ISNUMBER(B562),N(B562)&gt;0),INT(B562),0)</f>
        <v>0.0</v>
      </c>
      <c r="T562" s="67">
        <f>IF(AND(ISNUMBER(J562),N(J562)&gt;=0),N(J562),0)</f>
        <v>0.0</v>
      </c>
      <c r="U562" s="67">
        <f>IF(AND(ISNUMBER(K562),N(K562)&gt;0),N(K562),0)</f>
        <v>0.0</v>
      </c>
      <c r="V562" s="67">
        <f>IF(AND(ISNUMBER(L562),N(L562)&gt;0),N(L562),0)</f>
        <v>0.0</v>
      </c>
      <c r="W562" s="67">
        <f>IF(AND(I562="Terminée",S562&gt;0,C562&lt;&gt;"",ISNUMBER(MATCH(C562,eq_code,0))),1,0)</f>
        <v>0.0</v>
      </c>
      <c r="X562" s="67">
        <f>IF(AND(W562=1,E562="Préventif"),1,0)</f>
        <v>0.0</v>
      </c>
      <c r="Y562" s="67">
        <f>IF(AND(ISNUMBER(N562),N(N562)&gt;0),N(N562),0)</f>
        <v>0.0</v>
      </c>
      <c r="Z562" s="67">
        <f>IF(AND(ISNUMBER(P562),N(P562)&gt;0),N(P562),0)</f>
        <v>0.0</v>
      </c>
    </row>
    <row r="563">
      <c r="A563" s="79" t="str">
        <f>IF(COUNTA(B563:C563,E563:G563,I563)=0,"","BI-"&amp;RIGHT("0000"&amp;(ROW()-5),4))</f>
        <v/>
      </c>
      <c r="B563" s="72" t="n"/>
      <c r="C563" s="66" t="n"/>
      <c r="D563" s="67" t="str">
        <f>IF(C563="","",IFERROR(INDEX(eq_des,MATCH(C563,eq_code,0))&amp;"","Équipement inconnu"))</f>
        <v/>
      </c>
      <c r="E563" s="68" t="n"/>
      <c r="F563" s="68" t="n"/>
      <c r="G563" s="66" t="n"/>
      <c r="H563" s="66" t="n"/>
      <c r="I563" s="68" t="n"/>
      <c r="J563" s="73" t="n"/>
      <c r="K563" s="71" t="n"/>
      <c r="L563" s="71" t="n"/>
      <c r="M563" s="66" t="n"/>
      <c r="N563" s="80" t="n"/>
      <c r="O563" s="81" t="str">
        <f>IF(A563="","",ROUND(V563*IFERROR(N(INDEX(tech_rate,MATCH(M563,tech_name,0))),0),2))</f>
        <v/>
      </c>
      <c r="P563" s="80" t="n"/>
      <c r="Q563" s="81" t="str">
        <f>IF(A563="","",ROUND(Y563+O563+Z563,2))</f>
        <v/>
      </c>
      <c r="R563" s="79" t="str">
        <f>IF(A563="","",IF(S563=0,"Date manquante ou invalide",IF(C563="","Équipement manquant",IF(ISNA(MATCH(C563,eq_code,0)),"Équipement inconnu",IF(E563="","Type manquant",IF(AND(E563&lt;&gt;"Préventif",E563&lt;&gt;"Correctif",E563&lt;&gt;"Amélioratif"),"Type inconnu",IF(I563="","Statut manquant",IF(AND(I563&lt;&gt;"Terminée",I563&lt;&gt;"En cours",I563&lt;&gt;"À faire",I563&lt;&gt;"Annulée"),"Statut inconnu",IF(AND(E563="Préventif",F563=""),"Plan manquant (préventif)",IF(AND(F563&lt;&gt;"",ISNA(MATCH(F563,pl_num,0))),"Plan inconnu",IF(AND(F563&lt;&gt;"",IFERROR(INDEX(pl_eq,MATCH(F563,pl_num,0))&amp;"",C563)&lt;&gt;C563),"Plan d'un autre équipement",IF(AND(J563&lt;&gt;"",OR(NOT(ISNUMBER(J563)),N(J563)&lt;0)),"Compteur invalide",IF(OR(AND(K563&lt;&gt;"",OR(NOT(ISNUMBER(K563)),N(K563)&lt;0)),AND(L563&lt;&gt;"",OR(NOT(ISNUMBER(L563)),N(L563)&lt;0))),"Durée invalide",IF(OR(AND(N563&lt;&gt;"",OR(NOT(ISNUMBER(N563)),N(N563)&lt;0)),AND(P563&lt;&gt;"",OR(NOT(ISNUMBER(P563)),N(P563)&lt;0))),"Coût invalide",IF(AND(M563&lt;&gt;"",ISNA(MATCH(M563,tech_name,0))),"Technicien inconnu",IF(AND(I563="Terminée",S563&gt;p_today),"Terminée à une date future",IF(AND(I563="Terminée",V563=0),"Durée d'intervention manquante",IF(AND(I563="Terminée",E563="Préventif",T563=0,OR(IFERROR(INDEX(pl_trig,MATCH(F563,pl_num,0))&amp;"","")="Compteur",IFERROR(INDEX(pl_trig,MATCH(F563,pl_num,0))&amp;"","")="Au premier des deux")),"Compteur manquant (plan au compteur)","OK"))))))))))))))))))</f>
        <v/>
      </c>
      <c r="S563" s="67">
        <f>IF(AND(ISNUMBER(B563),N(B563)&gt;0),INT(B563),0)</f>
        <v>0.0</v>
      </c>
      <c r="T563" s="67">
        <f>IF(AND(ISNUMBER(J563),N(J563)&gt;=0),N(J563),0)</f>
        <v>0.0</v>
      </c>
      <c r="U563" s="67">
        <f>IF(AND(ISNUMBER(K563),N(K563)&gt;0),N(K563),0)</f>
        <v>0.0</v>
      </c>
      <c r="V563" s="67">
        <f>IF(AND(ISNUMBER(L563),N(L563)&gt;0),N(L563),0)</f>
        <v>0.0</v>
      </c>
      <c r="W563" s="67">
        <f>IF(AND(I563="Terminée",S563&gt;0,C563&lt;&gt;"",ISNUMBER(MATCH(C563,eq_code,0))),1,0)</f>
        <v>0.0</v>
      </c>
      <c r="X563" s="67">
        <f>IF(AND(W563=1,E563="Préventif"),1,0)</f>
        <v>0.0</v>
      </c>
      <c r="Y563" s="67">
        <f>IF(AND(ISNUMBER(N563),N(N563)&gt;0),N(N563),0)</f>
        <v>0.0</v>
      </c>
      <c r="Z563" s="67">
        <f>IF(AND(ISNUMBER(P563),N(P563)&gt;0),N(P563),0)</f>
        <v>0.0</v>
      </c>
    </row>
    <row r="564">
      <c r="A564" s="79" t="str">
        <f>IF(COUNTA(B564:C564,E564:G564,I564)=0,"","BI-"&amp;RIGHT("0000"&amp;(ROW()-5),4))</f>
        <v/>
      </c>
      <c r="B564" s="72" t="n"/>
      <c r="C564" s="66" t="n"/>
      <c r="D564" s="67" t="str">
        <f>IF(C564="","",IFERROR(INDEX(eq_des,MATCH(C564,eq_code,0))&amp;"","Équipement inconnu"))</f>
        <v/>
      </c>
      <c r="E564" s="68" t="n"/>
      <c r="F564" s="68" t="n"/>
      <c r="G564" s="66" t="n"/>
      <c r="H564" s="66" t="n"/>
      <c r="I564" s="68" t="n"/>
      <c r="J564" s="73" t="n"/>
      <c r="K564" s="71" t="n"/>
      <c r="L564" s="71" t="n"/>
      <c r="M564" s="66" t="n"/>
      <c r="N564" s="80" t="n"/>
      <c r="O564" s="81" t="str">
        <f>IF(A564="","",ROUND(V564*IFERROR(N(INDEX(tech_rate,MATCH(M564,tech_name,0))),0),2))</f>
        <v/>
      </c>
      <c r="P564" s="80" t="n"/>
      <c r="Q564" s="81" t="str">
        <f>IF(A564="","",ROUND(Y564+O564+Z564,2))</f>
        <v/>
      </c>
      <c r="R564" s="79" t="str">
        <f>IF(A564="","",IF(S564=0,"Date manquante ou invalide",IF(C564="","Équipement manquant",IF(ISNA(MATCH(C564,eq_code,0)),"Équipement inconnu",IF(E564="","Type manquant",IF(AND(E564&lt;&gt;"Préventif",E564&lt;&gt;"Correctif",E564&lt;&gt;"Amélioratif"),"Type inconnu",IF(I564="","Statut manquant",IF(AND(I564&lt;&gt;"Terminée",I564&lt;&gt;"En cours",I564&lt;&gt;"À faire",I564&lt;&gt;"Annulée"),"Statut inconnu",IF(AND(E564="Préventif",F564=""),"Plan manquant (préventif)",IF(AND(F564&lt;&gt;"",ISNA(MATCH(F564,pl_num,0))),"Plan inconnu",IF(AND(F564&lt;&gt;"",IFERROR(INDEX(pl_eq,MATCH(F564,pl_num,0))&amp;"",C564)&lt;&gt;C564),"Plan d'un autre équipement",IF(AND(J564&lt;&gt;"",OR(NOT(ISNUMBER(J564)),N(J564)&lt;0)),"Compteur invalide",IF(OR(AND(K564&lt;&gt;"",OR(NOT(ISNUMBER(K564)),N(K564)&lt;0)),AND(L564&lt;&gt;"",OR(NOT(ISNUMBER(L564)),N(L564)&lt;0))),"Durée invalide",IF(OR(AND(N564&lt;&gt;"",OR(NOT(ISNUMBER(N564)),N(N564)&lt;0)),AND(P564&lt;&gt;"",OR(NOT(ISNUMBER(P564)),N(P564)&lt;0))),"Coût invalide",IF(AND(M564&lt;&gt;"",ISNA(MATCH(M564,tech_name,0))),"Technicien inconnu",IF(AND(I564="Terminée",S564&gt;p_today),"Terminée à une date future",IF(AND(I564="Terminée",V564=0),"Durée d'intervention manquante",IF(AND(I564="Terminée",E564="Préventif",T564=0,OR(IFERROR(INDEX(pl_trig,MATCH(F564,pl_num,0))&amp;"","")="Compteur",IFERROR(INDEX(pl_trig,MATCH(F564,pl_num,0))&amp;"","")="Au premier des deux")),"Compteur manquant (plan au compteur)","OK"))))))))))))))))))</f>
        <v/>
      </c>
      <c r="S564" s="67">
        <f>IF(AND(ISNUMBER(B564),N(B564)&gt;0),INT(B564),0)</f>
        <v>0.0</v>
      </c>
      <c r="T564" s="67">
        <f>IF(AND(ISNUMBER(J564),N(J564)&gt;=0),N(J564),0)</f>
        <v>0.0</v>
      </c>
      <c r="U564" s="67">
        <f>IF(AND(ISNUMBER(K564),N(K564)&gt;0),N(K564),0)</f>
        <v>0.0</v>
      </c>
      <c r="V564" s="67">
        <f>IF(AND(ISNUMBER(L564),N(L564)&gt;0),N(L564),0)</f>
        <v>0.0</v>
      </c>
      <c r="W564" s="67">
        <f>IF(AND(I564="Terminée",S564&gt;0,C564&lt;&gt;"",ISNUMBER(MATCH(C564,eq_code,0))),1,0)</f>
        <v>0.0</v>
      </c>
      <c r="X564" s="67">
        <f>IF(AND(W564=1,E564="Préventif"),1,0)</f>
        <v>0.0</v>
      </c>
      <c r="Y564" s="67">
        <f>IF(AND(ISNUMBER(N564),N(N564)&gt;0),N(N564),0)</f>
        <v>0.0</v>
      </c>
      <c r="Z564" s="67">
        <f>IF(AND(ISNUMBER(P564),N(P564)&gt;0),N(P564),0)</f>
        <v>0.0</v>
      </c>
    </row>
    <row r="565">
      <c r="A565" s="79" t="str">
        <f>IF(COUNTA(B565:C565,E565:G565,I565)=0,"","BI-"&amp;RIGHT("0000"&amp;(ROW()-5),4))</f>
        <v/>
      </c>
      <c r="B565" s="72" t="n"/>
      <c r="C565" s="66" t="n"/>
      <c r="D565" s="67" t="str">
        <f>IF(C565="","",IFERROR(INDEX(eq_des,MATCH(C565,eq_code,0))&amp;"","Équipement inconnu"))</f>
        <v/>
      </c>
      <c r="E565" s="68" t="n"/>
      <c r="F565" s="68" t="n"/>
      <c r="G565" s="66" t="n"/>
      <c r="H565" s="66" t="n"/>
      <c r="I565" s="68" t="n"/>
      <c r="J565" s="73" t="n"/>
      <c r="K565" s="71" t="n"/>
      <c r="L565" s="71" t="n"/>
      <c r="M565" s="66" t="n"/>
      <c r="N565" s="80" t="n"/>
      <c r="O565" s="81" t="str">
        <f>IF(A565="","",ROUND(V565*IFERROR(N(INDEX(tech_rate,MATCH(M565,tech_name,0))),0),2))</f>
        <v/>
      </c>
      <c r="P565" s="80" t="n"/>
      <c r="Q565" s="81" t="str">
        <f>IF(A565="","",ROUND(Y565+O565+Z565,2))</f>
        <v/>
      </c>
      <c r="R565" s="79" t="str">
        <f>IF(A565="","",IF(S565=0,"Date manquante ou invalide",IF(C565="","Équipement manquant",IF(ISNA(MATCH(C565,eq_code,0)),"Équipement inconnu",IF(E565="","Type manquant",IF(AND(E565&lt;&gt;"Préventif",E565&lt;&gt;"Correctif",E565&lt;&gt;"Amélioratif"),"Type inconnu",IF(I565="","Statut manquant",IF(AND(I565&lt;&gt;"Terminée",I565&lt;&gt;"En cours",I565&lt;&gt;"À faire",I565&lt;&gt;"Annulée"),"Statut inconnu",IF(AND(E565="Préventif",F565=""),"Plan manquant (préventif)",IF(AND(F565&lt;&gt;"",ISNA(MATCH(F565,pl_num,0))),"Plan inconnu",IF(AND(F565&lt;&gt;"",IFERROR(INDEX(pl_eq,MATCH(F565,pl_num,0))&amp;"",C565)&lt;&gt;C565),"Plan d'un autre équipement",IF(AND(J565&lt;&gt;"",OR(NOT(ISNUMBER(J565)),N(J565)&lt;0)),"Compteur invalide",IF(OR(AND(K565&lt;&gt;"",OR(NOT(ISNUMBER(K565)),N(K565)&lt;0)),AND(L565&lt;&gt;"",OR(NOT(ISNUMBER(L565)),N(L565)&lt;0))),"Durée invalide",IF(OR(AND(N565&lt;&gt;"",OR(NOT(ISNUMBER(N565)),N(N565)&lt;0)),AND(P565&lt;&gt;"",OR(NOT(ISNUMBER(P565)),N(P565)&lt;0))),"Coût invalide",IF(AND(M565&lt;&gt;"",ISNA(MATCH(M565,tech_name,0))),"Technicien inconnu",IF(AND(I565="Terminée",S565&gt;p_today),"Terminée à une date future",IF(AND(I565="Terminée",V565=0),"Durée d'intervention manquante",IF(AND(I565="Terminée",E565="Préventif",T565=0,OR(IFERROR(INDEX(pl_trig,MATCH(F565,pl_num,0))&amp;"","")="Compteur",IFERROR(INDEX(pl_trig,MATCH(F565,pl_num,0))&amp;"","")="Au premier des deux")),"Compteur manquant (plan au compteur)","OK"))))))))))))))))))</f>
        <v/>
      </c>
      <c r="S565" s="67">
        <f>IF(AND(ISNUMBER(B565),N(B565)&gt;0),INT(B565),0)</f>
        <v>0.0</v>
      </c>
      <c r="T565" s="67">
        <f>IF(AND(ISNUMBER(J565),N(J565)&gt;=0),N(J565),0)</f>
        <v>0.0</v>
      </c>
      <c r="U565" s="67">
        <f>IF(AND(ISNUMBER(K565),N(K565)&gt;0),N(K565),0)</f>
        <v>0.0</v>
      </c>
      <c r="V565" s="67">
        <f>IF(AND(ISNUMBER(L565),N(L565)&gt;0),N(L565),0)</f>
        <v>0.0</v>
      </c>
      <c r="W565" s="67">
        <f>IF(AND(I565="Terminée",S565&gt;0,C565&lt;&gt;"",ISNUMBER(MATCH(C565,eq_code,0))),1,0)</f>
        <v>0.0</v>
      </c>
      <c r="X565" s="67">
        <f>IF(AND(W565=1,E565="Préventif"),1,0)</f>
        <v>0.0</v>
      </c>
      <c r="Y565" s="67">
        <f>IF(AND(ISNUMBER(N565),N(N565)&gt;0),N(N565),0)</f>
        <v>0.0</v>
      </c>
      <c r="Z565" s="67">
        <f>IF(AND(ISNUMBER(P565),N(P565)&gt;0),N(P565),0)</f>
        <v>0.0</v>
      </c>
    </row>
    <row r="566">
      <c r="A566" s="79" t="str">
        <f>IF(COUNTA(B566:C566,E566:G566,I566)=0,"","BI-"&amp;RIGHT("0000"&amp;(ROW()-5),4))</f>
        <v/>
      </c>
      <c r="B566" s="72" t="n"/>
      <c r="C566" s="66" t="n"/>
      <c r="D566" s="67" t="str">
        <f>IF(C566="","",IFERROR(INDEX(eq_des,MATCH(C566,eq_code,0))&amp;"","Équipement inconnu"))</f>
        <v/>
      </c>
      <c r="E566" s="68" t="n"/>
      <c r="F566" s="68" t="n"/>
      <c r="G566" s="66" t="n"/>
      <c r="H566" s="66" t="n"/>
      <c r="I566" s="68" t="n"/>
      <c r="J566" s="73" t="n"/>
      <c r="K566" s="71" t="n"/>
      <c r="L566" s="71" t="n"/>
      <c r="M566" s="66" t="n"/>
      <c r="N566" s="80" t="n"/>
      <c r="O566" s="81" t="str">
        <f>IF(A566="","",ROUND(V566*IFERROR(N(INDEX(tech_rate,MATCH(M566,tech_name,0))),0),2))</f>
        <v/>
      </c>
      <c r="P566" s="80" t="n"/>
      <c r="Q566" s="81" t="str">
        <f>IF(A566="","",ROUND(Y566+O566+Z566,2))</f>
        <v/>
      </c>
      <c r="R566" s="79" t="str">
        <f>IF(A566="","",IF(S566=0,"Date manquante ou invalide",IF(C566="","Équipement manquant",IF(ISNA(MATCH(C566,eq_code,0)),"Équipement inconnu",IF(E566="","Type manquant",IF(AND(E566&lt;&gt;"Préventif",E566&lt;&gt;"Correctif",E566&lt;&gt;"Amélioratif"),"Type inconnu",IF(I566="","Statut manquant",IF(AND(I566&lt;&gt;"Terminée",I566&lt;&gt;"En cours",I566&lt;&gt;"À faire",I566&lt;&gt;"Annulée"),"Statut inconnu",IF(AND(E566="Préventif",F566=""),"Plan manquant (préventif)",IF(AND(F566&lt;&gt;"",ISNA(MATCH(F566,pl_num,0))),"Plan inconnu",IF(AND(F566&lt;&gt;"",IFERROR(INDEX(pl_eq,MATCH(F566,pl_num,0))&amp;"",C566)&lt;&gt;C566),"Plan d'un autre équipement",IF(AND(J566&lt;&gt;"",OR(NOT(ISNUMBER(J566)),N(J566)&lt;0)),"Compteur invalide",IF(OR(AND(K566&lt;&gt;"",OR(NOT(ISNUMBER(K566)),N(K566)&lt;0)),AND(L566&lt;&gt;"",OR(NOT(ISNUMBER(L566)),N(L566)&lt;0))),"Durée invalide",IF(OR(AND(N566&lt;&gt;"",OR(NOT(ISNUMBER(N566)),N(N566)&lt;0)),AND(P566&lt;&gt;"",OR(NOT(ISNUMBER(P566)),N(P566)&lt;0))),"Coût invalide",IF(AND(M566&lt;&gt;"",ISNA(MATCH(M566,tech_name,0))),"Technicien inconnu",IF(AND(I566="Terminée",S566&gt;p_today),"Terminée à une date future",IF(AND(I566="Terminée",V566=0),"Durée d'intervention manquante",IF(AND(I566="Terminée",E566="Préventif",T566=0,OR(IFERROR(INDEX(pl_trig,MATCH(F566,pl_num,0))&amp;"","")="Compteur",IFERROR(INDEX(pl_trig,MATCH(F566,pl_num,0))&amp;"","")="Au premier des deux")),"Compteur manquant (plan au compteur)","OK"))))))))))))))))))</f>
        <v/>
      </c>
      <c r="S566" s="67">
        <f>IF(AND(ISNUMBER(B566),N(B566)&gt;0),INT(B566),0)</f>
        <v>0.0</v>
      </c>
      <c r="T566" s="67">
        <f>IF(AND(ISNUMBER(J566),N(J566)&gt;=0),N(J566),0)</f>
        <v>0.0</v>
      </c>
      <c r="U566" s="67">
        <f>IF(AND(ISNUMBER(K566),N(K566)&gt;0),N(K566),0)</f>
        <v>0.0</v>
      </c>
      <c r="V566" s="67">
        <f>IF(AND(ISNUMBER(L566),N(L566)&gt;0),N(L566),0)</f>
        <v>0.0</v>
      </c>
      <c r="W566" s="67">
        <f>IF(AND(I566="Terminée",S566&gt;0,C566&lt;&gt;"",ISNUMBER(MATCH(C566,eq_code,0))),1,0)</f>
        <v>0.0</v>
      </c>
      <c r="X566" s="67">
        <f>IF(AND(W566=1,E566="Préventif"),1,0)</f>
        <v>0.0</v>
      </c>
      <c r="Y566" s="67">
        <f>IF(AND(ISNUMBER(N566),N(N566)&gt;0),N(N566),0)</f>
        <v>0.0</v>
      </c>
      <c r="Z566" s="67">
        <f>IF(AND(ISNUMBER(P566),N(P566)&gt;0),N(P566),0)</f>
        <v>0.0</v>
      </c>
    </row>
    <row r="567">
      <c r="A567" s="79" t="str">
        <f>IF(COUNTA(B567:C567,E567:G567,I567)=0,"","BI-"&amp;RIGHT("0000"&amp;(ROW()-5),4))</f>
        <v/>
      </c>
      <c r="B567" s="72" t="n"/>
      <c r="C567" s="66" t="n"/>
      <c r="D567" s="67" t="str">
        <f>IF(C567="","",IFERROR(INDEX(eq_des,MATCH(C567,eq_code,0))&amp;"","Équipement inconnu"))</f>
        <v/>
      </c>
      <c r="E567" s="68" t="n"/>
      <c r="F567" s="68" t="n"/>
      <c r="G567" s="66" t="n"/>
      <c r="H567" s="66" t="n"/>
      <c r="I567" s="68" t="n"/>
      <c r="J567" s="73" t="n"/>
      <c r="K567" s="71" t="n"/>
      <c r="L567" s="71" t="n"/>
      <c r="M567" s="66" t="n"/>
      <c r="N567" s="80" t="n"/>
      <c r="O567" s="81" t="str">
        <f>IF(A567="","",ROUND(V567*IFERROR(N(INDEX(tech_rate,MATCH(M567,tech_name,0))),0),2))</f>
        <v/>
      </c>
      <c r="P567" s="80" t="n"/>
      <c r="Q567" s="81" t="str">
        <f>IF(A567="","",ROUND(Y567+O567+Z567,2))</f>
        <v/>
      </c>
      <c r="R567" s="79" t="str">
        <f>IF(A567="","",IF(S567=0,"Date manquante ou invalide",IF(C567="","Équipement manquant",IF(ISNA(MATCH(C567,eq_code,0)),"Équipement inconnu",IF(E567="","Type manquant",IF(AND(E567&lt;&gt;"Préventif",E567&lt;&gt;"Correctif",E567&lt;&gt;"Amélioratif"),"Type inconnu",IF(I567="","Statut manquant",IF(AND(I567&lt;&gt;"Terminée",I567&lt;&gt;"En cours",I567&lt;&gt;"À faire",I567&lt;&gt;"Annulée"),"Statut inconnu",IF(AND(E567="Préventif",F567=""),"Plan manquant (préventif)",IF(AND(F567&lt;&gt;"",ISNA(MATCH(F567,pl_num,0))),"Plan inconnu",IF(AND(F567&lt;&gt;"",IFERROR(INDEX(pl_eq,MATCH(F567,pl_num,0))&amp;"",C567)&lt;&gt;C567),"Plan d'un autre équipement",IF(AND(J567&lt;&gt;"",OR(NOT(ISNUMBER(J567)),N(J567)&lt;0)),"Compteur invalide",IF(OR(AND(K567&lt;&gt;"",OR(NOT(ISNUMBER(K567)),N(K567)&lt;0)),AND(L567&lt;&gt;"",OR(NOT(ISNUMBER(L567)),N(L567)&lt;0))),"Durée invalide",IF(OR(AND(N567&lt;&gt;"",OR(NOT(ISNUMBER(N567)),N(N567)&lt;0)),AND(P567&lt;&gt;"",OR(NOT(ISNUMBER(P567)),N(P567)&lt;0))),"Coût invalide",IF(AND(M567&lt;&gt;"",ISNA(MATCH(M567,tech_name,0))),"Technicien inconnu",IF(AND(I567="Terminée",S567&gt;p_today),"Terminée à une date future",IF(AND(I567="Terminée",V567=0),"Durée d'intervention manquante",IF(AND(I567="Terminée",E567="Préventif",T567=0,OR(IFERROR(INDEX(pl_trig,MATCH(F567,pl_num,0))&amp;"","")="Compteur",IFERROR(INDEX(pl_trig,MATCH(F567,pl_num,0))&amp;"","")="Au premier des deux")),"Compteur manquant (plan au compteur)","OK"))))))))))))))))))</f>
        <v/>
      </c>
      <c r="S567" s="67">
        <f>IF(AND(ISNUMBER(B567),N(B567)&gt;0),INT(B567),0)</f>
        <v>0.0</v>
      </c>
      <c r="T567" s="67">
        <f>IF(AND(ISNUMBER(J567),N(J567)&gt;=0),N(J567),0)</f>
        <v>0.0</v>
      </c>
      <c r="U567" s="67">
        <f>IF(AND(ISNUMBER(K567),N(K567)&gt;0),N(K567),0)</f>
        <v>0.0</v>
      </c>
      <c r="V567" s="67">
        <f>IF(AND(ISNUMBER(L567),N(L567)&gt;0),N(L567),0)</f>
        <v>0.0</v>
      </c>
      <c r="W567" s="67">
        <f>IF(AND(I567="Terminée",S567&gt;0,C567&lt;&gt;"",ISNUMBER(MATCH(C567,eq_code,0))),1,0)</f>
        <v>0.0</v>
      </c>
      <c r="X567" s="67">
        <f>IF(AND(W567=1,E567="Préventif"),1,0)</f>
        <v>0.0</v>
      </c>
      <c r="Y567" s="67">
        <f>IF(AND(ISNUMBER(N567),N(N567)&gt;0),N(N567),0)</f>
        <v>0.0</v>
      </c>
      <c r="Z567" s="67">
        <f>IF(AND(ISNUMBER(P567),N(P567)&gt;0),N(P567),0)</f>
        <v>0.0</v>
      </c>
    </row>
    <row r="568">
      <c r="A568" s="79" t="str">
        <f>IF(COUNTA(B568:C568,E568:G568,I568)=0,"","BI-"&amp;RIGHT("0000"&amp;(ROW()-5),4))</f>
        <v/>
      </c>
      <c r="B568" s="72" t="n"/>
      <c r="C568" s="66" t="n"/>
      <c r="D568" s="67" t="str">
        <f>IF(C568="","",IFERROR(INDEX(eq_des,MATCH(C568,eq_code,0))&amp;"","Équipement inconnu"))</f>
        <v/>
      </c>
      <c r="E568" s="68" t="n"/>
      <c r="F568" s="68" t="n"/>
      <c r="G568" s="66" t="n"/>
      <c r="H568" s="66" t="n"/>
      <c r="I568" s="68" t="n"/>
      <c r="J568" s="73" t="n"/>
      <c r="K568" s="71" t="n"/>
      <c r="L568" s="71" t="n"/>
      <c r="M568" s="66" t="n"/>
      <c r="N568" s="80" t="n"/>
      <c r="O568" s="81" t="str">
        <f>IF(A568="","",ROUND(V568*IFERROR(N(INDEX(tech_rate,MATCH(M568,tech_name,0))),0),2))</f>
        <v/>
      </c>
      <c r="P568" s="80" t="n"/>
      <c r="Q568" s="81" t="str">
        <f>IF(A568="","",ROUND(Y568+O568+Z568,2))</f>
        <v/>
      </c>
      <c r="R568" s="79" t="str">
        <f>IF(A568="","",IF(S568=0,"Date manquante ou invalide",IF(C568="","Équipement manquant",IF(ISNA(MATCH(C568,eq_code,0)),"Équipement inconnu",IF(E568="","Type manquant",IF(AND(E568&lt;&gt;"Préventif",E568&lt;&gt;"Correctif",E568&lt;&gt;"Amélioratif"),"Type inconnu",IF(I568="","Statut manquant",IF(AND(I568&lt;&gt;"Terminée",I568&lt;&gt;"En cours",I568&lt;&gt;"À faire",I568&lt;&gt;"Annulée"),"Statut inconnu",IF(AND(E568="Préventif",F568=""),"Plan manquant (préventif)",IF(AND(F568&lt;&gt;"",ISNA(MATCH(F568,pl_num,0))),"Plan inconnu",IF(AND(F568&lt;&gt;"",IFERROR(INDEX(pl_eq,MATCH(F568,pl_num,0))&amp;"",C568)&lt;&gt;C568),"Plan d'un autre équipement",IF(AND(J568&lt;&gt;"",OR(NOT(ISNUMBER(J568)),N(J568)&lt;0)),"Compteur invalide",IF(OR(AND(K568&lt;&gt;"",OR(NOT(ISNUMBER(K568)),N(K568)&lt;0)),AND(L568&lt;&gt;"",OR(NOT(ISNUMBER(L568)),N(L568)&lt;0))),"Durée invalide",IF(OR(AND(N568&lt;&gt;"",OR(NOT(ISNUMBER(N568)),N(N568)&lt;0)),AND(P568&lt;&gt;"",OR(NOT(ISNUMBER(P568)),N(P568)&lt;0))),"Coût invalide",IF(AND(M568&lt;&gt;"",ISNA(MATCH(M568,tech_name,0))),"Technicien inconnu",IF(AND(I568="Terminée",S568&gt;p_today),"Terminée à une date future",IF(AND(I568="Terminée",V568=0),"Durée d'intervention manquante",IF(AND(I568="Terminée",E568="Préventif",T568=0,OR(IFERROR(INDEX(pl_trig,MATCH(F568,pl_num,0))&amp;"","")="Compteur",IFERROR(INDEX(pl_trig,MATCH(F568,pl_num,0))&amp;"","")="Au premier des deux")),"Compteur manquant (plan au compteur)","OK"))))))))))))))))))</f>
        <v/>
      </c>
      <c r="S568" s="67">
        <f>IF(AND(ISNUMBER(B568),N(B568)&gt;0),INT(B568),0)</f>
        <v>0.0</v>
      </c>
      <c r="T568" s="67">
        <f>IF(AND(ISNUMBER(J568),N(J568)&gt;=0),N(J568),0)</f>
        <v>0.0</v>
      </c>
      <c r="U568" s="67">
        <f>IF(AND(ISNUMBER(K568),N(K568)&gt;0),N(K568),0)</f>
        <v>0.0</v>
      </c>
      <c r="V568" s="67">
        <f>IF(AND(ISNUMBER(L568),N(L568)&gt;0),N(L568),0)</f>
        <v>0.0</v>
      </c>
      <c r="W568" s="67">
        <f>IF(AND(I568="Terminée",S568&gt;0,C568&lt;&gt;"",ISNUMBER(MATCH(C568,eq_code,0))),1,0)</f>
        <v>0.0</v>
      </c>
      <c r="X568" s="67">
        <f>IF(AND(W568=1,E568="Préventif"),1,0)</f>
        <v>0.0</v>
      </c>
      <c r="Y568" s="67">
        <f>IF(AND(ISNUMBER(N568),N(N568)&gt;0),N(N568),0)</f>
        <v>0.0</v>
      </c>
      <c r="Z568" s="67">
        <f>IF(AND(ISNUMBER(P568),N(P568)&gt;0),N(P568),0)</f>
        <v>0.0</v>
      </c>
    </row>
    <row r="569">
      <c r="A569" s="79" t="str">
        <f>IF(COUNTA(B569:C569,E569:G569,I569)=0,"","BI-"&amp;RIGHT("0000"&amp;(ROW()-5),4))</f>
        <v/>
      </c>
      <c r="B569" s="72" t="n"/>
      <c r="C569" s="66" t="n"/>
      <c r="D569" s="67" t="str">
        <f>IF(C569="","",IFERROR(INDEX(eq_des,MATCH(C569,eq_code,0))&amp;"","Équipement inconnu"))</f>
        <v/>
      </c>
      <c r="E569" s="68" t="n"/>
      <c r="F569" s="68" t="n"/>
      <c r="G569" s="66" t="n"/>
      <c r="H569" s="66" t="n"/>
      <c r="I569" s="68" t="n"/>
      <c r="J569" s="73" t="n"/>
      <c r="K569" s="71" t="n"/>
      <c r="L569" s="71" t="n"/>
      <c r="M569" s="66" t="n"/>
      <c r="N569" s="80" t="n"/>
      <c r="O569" s="81" t="str">
        <f>IF(A569="","",ROUND(V569*IFERROR(N(INDEX(tech_rate,MATCH(M569,tech_name,0))),0),2))</f>
        <v/>
      </c>
      <c r="P569" s="80" t="n"/>
      <c r="Q569" s="81" t="str">
        <f>IF(A569="","",ROUND(Y569+O569+Z569,2))</f>
        <v/>
      </c>
      <c r="R569" s="79" t="str">
        <f>IF(A569="","",IF(S569=0,"Date manquante ou invalide",IF(C569="","Équipement manquant",IF(ISNA(MATCH(C569,eq_code,0)),"Équipement inconnu",IF(E569="","Type manquant",IF(AND(E569&lt;&gt;"Préventif",E569&lt;&gt;"Correctif",E569&lt;&gt;"Amélioratif"),"Type inconnu",IF(I569="","Statut manquant",IF(AND(I569&lt;&gt;"Terminée",I569&lt;&gt;"En cours",I569&lt;&gt;"À faire",I569&lt;&gt;"Annulée"),"Statut inconnu",IF(AND(E569="Préventif",F569=""),"Plan manquant (préventif)",IF(AND(F569&lt;&gt;"",ISNA(MATCH(F569,pl_num,0))),"Plan inconnu",IF(AND(F569&lt;&gt;"",IFERROR(INDEX(pl_eq,MATCH(F569,pl_num,0))&amp;"",C569)&lt;&gt;C569),"Plan d'un autre équipement",IF(AND(J569&lt;&gt;"",OR(NOT(ISNUMBER(J569)),N(J569)&lt;0)),"Compteur invalide",IF(OR(AND(K569&lt;&gt;"",OR(NOT(ISNUMBER(K569)),N(K569)&lt;0)),AND(L569&lt;&gt;"",OR(NOT(ISNUMBER(L569)),N(L569)&lt;0))),"Durée invalide",IF(OR(AND(N569&lt;&gt;"",OR(NOT(ISNUMBER(N569)),N(N569)&lt;0)),AND(P569&lt;&gt;"",OR(NOT(ISNUMBER(P569)),N(P569)&lt;0))),"Coût invalide",IF(AND(M569&lt;&gt;"",ISNA(MATCH(M569,tech_name,0))),"Technicien inconnu",IF(AND(I569="Terminée",S569&gt;p_today),"Terminée à une date future",IF(AND(I569="Terminée",V569=0),"Durée d'intervention manquante",IF(AND(I569="Terminée",E569="Préventif",T569=0,OR(IFERROR(INDEX(pl_trig,MATCH(F569,pl_num,0))&amp;"","")="Compteur",IFERROR(INDEX(pl_trig,MATCH(F569,pl_num,0))&amp;"","")="Au premier des deux")),"Compteur manquant (plan au compteur)","OK"))))))))))))))))))</f>
        <v/>
      </c>
      <c r="S569" s="67">
        <f>IF(AND(ISNUMBER(B569),N(B569)&gt;0),INT(B569),0)</f>
        <v>0.0</v>
      </c>
      <c r="T569" s="67">
        <f>IF(AND(ISNUMBER(J569),N(J569)&gt;=0),N(J569),0)</f>
        <v>0.0</v>
      </c>
      <c r="U569" s="67">
        <f>IF(AND(ISNUMBER(K569),N(K569)&gt;0),N(K569),0)</f>
        <v>0.0</v>
      </c>
      <c r="V569" s="67">
        <f>IF(AND(ISNUMBER(L569),N(L569)&gt;0),N(L569),0)</f>
        <v>0.0</v>
      </c>
      <c r="W569" s="67">
        <f>IF(AND(I569="Terminée",S569&gt;0,C569&lt;&gt;"",ISNUMBER(MATCH(C569,eq_code,0))),1,0)</f>
        <v>0.0</v>
      </c>
      <c r="X569" s="67">
        <f>IF(AND(W569=1,E569="Préventif"),1,0)</f>
        <v>0.0</v>
      </c>
      <c r="Y569" s="67">
        <f>IF(AND(ISNUMBER(N569),N(N569)&gt;0),N(N569),0)</f>
        <v>0.0</v>
      </c>
      <c r="Z569" s="67">
        <f>IF(AND(ISNUMBER(P569),N(P569)&gt;0),N(P569),0)</f>
        <v>0.0</v>
      </c>
    </row>
    <row r="570">
      <c r="A570" s="79" t="str">
        <f>IF(COUNTA(B570:C570,E570:G570,I570)=0,"","BI-"&amp;RIGHT("0000"&amp;(ROW()-5),4))</f>
        <v/>
      </c>
      <c r="B570" s="72" t="n"/>
      <c r="C570" s="66" t="n"/>
      <c r="D570" s="67" t="str">
        <f>IF(C570="","",IFERROR(INDEX(eq_des,MATCH(C570,eq_code,0))&amp;"","Équipement inconnu"))</f>
        <v/>
      </c>
      <c r="E570" s="68" t="n"/>
      <c r="F570" s="68" t="n"/>
      <c r="G570" s="66" t="n"/>
      <c r="H570" s="66" t="n"/>
      <c r="I570" s="68" t="n"/>
      <c r="J570" s="73" t="n"/>
      <c r="K570" s="71" t="n"/>
      <c r="L570" s="71" t="n"/>
      <c r="M570" s="66" t="n"/>
      <c r="N570" s="80" t="n"/>
      <c r="O570" s="81" t="str">
        <f>IF(A570="","",ROUND(V570*IFERROR(N(INDEX(tech_rate,MATCH(M570,tech_name,0))),0),2))</f>
        <v/>
      </c>
      <c r="P570" s="80" t="n"/>
      <c r="Q570" s="81" t="str">
        <f>IF(A570="","",ROUND(Y570+O570+Z570,2))</f>
        <v/>
      </c>
      <c r="R570" s="79" t="str">
        <f>IF(A570="","",IF(S570=0,"Date manquante ou invalide",IF(C570="","Équipement manquant",IF(ISNA(MATCH(C570,eq_code,0)),"Équipement inconnu",IF(E570="","Type manquant",IF(AND(E570&lt;&gt;"Préventif",E570&lt;&gt;"Correctif",E570&lt;&gt;"Amélioratif"),"Type inconnu",IF(I570="","Statut manquant",IF(AND(I570&lt;&gt;"Terminée",I570&lt;&gt;"En cours",I570&lt;&gt;"À faire",I570&lt;&gt;"Annulée"),"Statut inconnu",IF(AND(E570="Préventif",F570=""),"Plan manquant (préventif)",IF(AND(F570&lt;&gt;"",ISNA(MATCH(F570,pl_num,0))),"Plan inconnu",IF(AND(F570&lt;&gt;"",IFERROR(INDEX(pl_eq,MATCH(F570,pl_num,0))&amp;"",C570)&lt;&gt;C570),"Plan d'un autre équipement",IF(AND(J570&lt;&gt;"",OR(NOT(ISNUMBER(J570)),N(J570)&lt;0)),"Compteur invalide",IF(OR(AND(K570&lt;&gt;"",OR(NOT(ISNUMBER(K570)),N(K570)&lt;0)),AND(L570&lt;&gt;"",OR(NOT(ISNUMBER(L570)),N(L570)&lt;0))),"Durée invalide",IF(OR(AND(N570&lt;&gt;"",OR(NOT(ISNUMBER(N570)),N(N570)&lt;0)),AND(P570&lt;&gt;"",OR(NOT(ISNUMBER(P570)),N(P570)&lt;0))),"Coût invalide",IF(AND(M570&lt;&gt;"",ISNA(MATCH(M570,tech_name,0))),"Technicien inconnu",IF(AND(I570="Terminée",S570&gt;p_today),"Terminée à une date future",IF(AND(I570="Terminée",V570=0),"Durée d'intervention manquante",IF(AND(I570="Terminée",E570="Préventif",T570=0,OR(IFERROR(INDEX(pl_trig,MATCH(F570,pl_num,0))&amp;"","")="Compteur",IFERROR(INDEX(pl_trig,MATCH(F570,pl_num,0))&amp;"","")="Au premier des deux")),"Compteur manquant (plan au compteur)","OK"))))))))))))))))))</f>
        <v/>
      </c>
      <c r="S570" s="67">
        <f>IF(AND(ISNUMBER(B570),N(B570)&gt;0),INT(B570),0)</f>
        <v>0.0</v>
      </c>
      <c r="T570" s="67">
        <f>IF(AND(ISNUMBER(J570),N(J570)&gt;=0),N(J570),0)</f>
        <v>0.0</v>
      </c>
      <c r="U570" s="67">
        <f>IF(AND(ISNUMBER(K570),N(K570)&gt;0),N(K570),0)</f>
        <v>0.0</v>
      </c>
      <c r="V570" s="67">
        <f>IF(AND(ISNUMBER(L570),N(L570)&gt;0),N(L570),0)</f>
        <v>0.0</v>
      </c>
      <c r="W570" s="67">
        <f>IF(AND(I570="Terminée",S570&gt;0,C570&lt;&gt;"",ISNUMBER(MATCH(C570,eq_code,0))),1,0)</f>
        <v>0.0</v>
      </c>
      <c r="X570" s="67">
        <f>IF(AND(W570=1,E570="Préventif"),1,0)</f>
        <v>0.0</v>
      </c>
      <c r="Y570" s="67">
        <f>IF(AND(ISNUMBER(N570),N(N570)&gt;0),N(N570),0)</f>
        <v>0.0</v>
      </c>
      <c r="Z570" s="67">
        <f>IF(AND(ISNUMBER(P570),N(P570)&gt;0),N(P570),0)</f>
        <v>0.0</v>
      </c>
    </row>
    <row r="571">
      <c r="A571" s="79" t="str">
        <f>IF(COUNTA(B571:C571,E571:G571,I571)=0,"","BI-"&amp;RIGHT("0000"&amp;(ROW()-5),4))</f>
        <v/>
      </c>
      <c r="B571" s="72" t="n"/>
      <c r="C571" s="66" t="n"/>
      <c r="D571" s="67" t="str">
        <f>IF(C571="","",IFERROR(INDEX(eq_des,MATCH(C571,eq_code,0))&amp;"","Équipement inconnu"))</f>
        <v/>
      </c>
      <c r="E571" s="68" t="n"/>
      <c r="F571" s="68" t="n"/>
      <c r="G571" s="66" t="n"/>
      <c r="H571" s="66" t="n"/>
      <c r="I571" s="68" t="n"/>
      <c r="J571" s="73" t="n"/>
      <c r="K571" s="71" t="n"/>
      <c r="L571" s="71" t="n"/>
      <c r="M571" s="66" t="n"/>
      <c r="N571" s="80" t="n"/>
      <c r="O571" s="81" t="str">
        <f>IF(A571="","",ROUND(V571*IFERROR(N(INDEX(tech_rate,MATCH(M571,tech_name,0))),0),2))</f>
        <v/>
      </c>
      <c r="P571" s="80" t="n"/>
      <c r="Q571" s="81" t="str">
        <f>IF(A571="","",ROUND(Y571+O571+Z571,2))</f>
        <v/>
      </c>
      <c r="R571" s="79" t="str">
        <f>IF(A571="","",IF(S571=0,"Date manquante ou invalide",IF(C571="","Équipement manquant",IF(ISNA(MATCH(C571,eq_code,0)),"Équipement inconnu",IF(E571="","Type manquant",IF(AND(E571&lt;&gt;"Préventif",E571&lt;&gt;"Correctif",E571&lt;&gt;"Amélioratif"),"Type inconnu",IF(I571="","Statut manquant",IF(AND(I571&lt;&gt;"Terminée",I571&lt;&gt;"En cours",I571&lt;&gt;"À faire",I571&lt;&gt;"Annulée"),"Statut inconnu",IF(AND(E571="Préventif",F571=""),"Plan manquant (préventif)",IF(AND(F571&lt;&gt;"",ISNA(MATCH(F571,pl_num,0))),"Plan inconnu",IF(AND(F571&lt;&gt;"",IFERROR(INDEX(pl_eq,MATCH(F571,pl_num,0))&amp;"",C571)&lt;&gt;C571),"Plan d'un autre équipement",IF(AND(J571&lt;&gt;"",OR(NOT(ISNUMBER(J571)),N(J571)&lt;0)),"Compteur invalide",IF(OR(AND(K571&lt;&gt;"",OR(NOT(ISNUMBER(K571)),N(K571)&lt;0)),AND(L571&lt;&gt;"",OR(NOT(ISNUMBER(L571)),N(L571)&lt;0))),"Durée invalide",IF(OR(AND(N571&lt;&gt;"",OR(NOT(ISNUMBER(N571)),N(N571)&lt;0)),AND(P571&lt;&gt;"",OR(NOT(ISNUMBER(P571)),N(P571)&lt;0))),"Coût invalide",IF(AND(M571&lt;&gt;"",ISNA(MATCH(M571,tech_name,0))),"Technicien inconnu",IF(AND(I571="Terminée",S571&gt;p_today),"Terminée à une date future",IF(AND(I571="Terminée",V571=0),"Durée d'intervention manquante",IF(AND(I571="Terminée",E571="Préventif",T571=0,OR(IFERROR(INDEX(pl_trig,MATCH(F571,pl_num,0))&amp;"","")="Compteur",IFERROR(INDEX(pl_trig,MATCH(F571,pl_num,0))&amp;"","")="Au premier des deux")),"Compteur manquant (plan au compteur)","OK"))))))))))))))))))</f>
        <v/>
      </c>
      <c r="S571" s="67">
        <f>IF(AND(ISNUMBER(B571),N(B571)&gt;0),INT(B571),0)</f>
        <v>0.0</v>
      </c>
      <c r="T571" s="67">
        <f>IF(AND(ISNUMBER(J571),N(J571)&gt;=0),N(J571),0)</f>
        <v>0.0</v>
      </c>
      <c r="U571" s="67">
        <f>IF(AND(ISNUMBER(K571),N(K571)&gt;0),N(K571),0)</f>
        <v>0.0</v>
      </c>
      <c r="V571" s="67">
        <f>IF(AND(ISNUMBER(L571),N(L571)&gt;0),N(L571),0)</f>
        <v>0.0</v>
      </c>
      <c r="W571" s="67">
        <f>IF(AND(I571="Terminée",S571&gt;0,C571&lt;&gt;"",ISNUMBER(MATCH(C571,eq_code,0))),1,0)</f>
        <v>0.0</v>
      </c>
      <c r="X571" s="67">
        <f>IF(AND(W571=1,E571="Préventif"),1,0)</f>
        <v>0.0</v>
      </c>
      <c r="Y571" s="67">
        <f>IF(AND(ISNUMBER(N571),N(N571)&gt;0),N(N571),0)</f>
        <v>0.0</v>
      </c>
      <c r="Z571" s="67">
        <f>IF(AND(ISNUMBER(P571),N(P571)&gt;0),N(P571),0)</f>
        <v>0.0</v>
      </c>
    </row>
    <row r="572">
      <c r="A572" s="79" t="str">
        <f>IF(COUNTA(B572:C572,E572:G572,I572)=0,"","BI-"&amp;RIGHT("0000"&amp;(ROW()-5),4))</f>
        <v/>
      </c>
      <c r="B572" s="72" t="n"/>
      <c r="C572" s="66" t="n"/>
      <c r="D572" s="67" t="str">
        <f>IF(C572="","",IFERROR(INDEX(eq_des,MATCH(C572,eq_code,0))&amp;"","Équipement inconnu"))</f>
        <v/>
      </c>
      <c r="E572" s="68" t="n"/>
      <c r="F572" s="68" t="n"/>
      <c r="G572" s="66" t="n"/>
      <c r="H572" s="66" t="n"/>
      <c r="I572" s="68" t="n"/>
      <c r="J572" s="73" t="n"/>
      <c r="K572" s="71" t="n"/>
      <c r="L572" s="71" t="n"/>
      <c r="M572" s="66" t="n"/>
      <c r="N572" s="80" t="n"/>
      <c r="O572" s="81" t="str">
        <f>IF(A572="","",ROUND(V572*IFERROR(N(INDEX(tech_rate,MATCH(M572,tech_name,0))),0),2))</f>
        <v/>
      </c>
      <c r="P572" s="80" t="n"/>
      <c r="Q572" s="81" t="str">
        <f>IF(A572="","",ROUND(Y572+O572+Z572,2))</f>
        <v/>
      </c>
      <c r="R572" s="79" t="str">
        <f>IF(A572="","",IF(S572=0,"Date manquante ou invalide",IF(C572="","Équipement manquant",IF(ISNA(MATCH(C572,eq_code,0)),"Équipement inconnu",IF(E572="","Type manquant",IF(AND(E572&lt;&gt;"Préventif",E572&lt;&gt;"Correctif",E572&lt;&gt;"Amélioratif"),"Type inconnu",IF(I572="","Statut manquant",IF(AND(I572&lt;&gt;"Terminée",I572&lt;&gt;"En cours",I572&lt;&gt;"À faire",I572&lt;&gt;"Annulée"),"Statut inconnu",IF(AND(E572="Préventif",F572=""),"Plan manquant (préventif)",IF(AND(F572&lt;&gt;"",ISNA(MATCH(F572,pl_num,0))),"Plan inconnu",IF(AND(F572&lt;&gt;"",IFERROR(INDEX(pl_eq,MATCH(F572,pl_num,0))&amp;"",C572)&lt;&gt;C572),"Plan d'un autre équipement",IF(AND(J572&lt;&gt;"",OR(NOT(ISNUMBER(J572)),N(J572)&lt;0)),"Compteur invalide",IF(OR(AND(K572&lt;&gt;"",OR(NOT(ISNUMBER(K572)),N(K572)&lt;0)),AND(L572&lt;&gt;"",OR(NOT(ISNUMBER(L572)),N(L572)&lt;0))),"Durée invalide",IF(OR(AND(N572&lt;&gt;"",OR(NOT(ISNUMBER(N572)),N(N572)&lt;0)),AND(P572&lt;&gt;"",OR(NOT(ISNUMBER(P572)),N(P572)&lt;0))),"Coût invalide",IF(AND(M572&lt;&gt;"",ISNA(MATCH(M572,tech_name,0))),"Technicien inconnu",IF(AND(I572="Terminée",S572&gt;p_today),"Terminée à une date future",IF(AND(I572="Terminée",V572=0),"Durée d'intervention manquante",IF(AND(I572="Terminée",E572="Préventif",T572=0,OR(IFERROR(INDEX(pl_trig,MATCH(F572,pl_num,0))&amp;"","")="Compteur",IFERROR(INDEX(pl_trig,MATCH(F572,pl_num,0))&amp;"","")="Au premier des deux")),"Compteur manquant (plan au compteur)","OK"))))))))))))))))))</f>
        <v/>
      </c>
      <c r="S572" s="67">
        <f>IF(AND(ISNUMBER(B572),N(B572)&gt;0),INT(B572),0)</f>
        <v>0.0</v>
      </c>
      <c r="T572" s="67">
        <f>IF(AND(ISNUMBER(J572),N(J572)&gt;=0),N(J572),0)</f>
        <v>0.0</v>
      </c>
      <c r="U572" s="67">
        <f>IF(AND(ISNUMBER(K572),N(K572)&gt;0),N(K572),0)</f>
        <v>0.0</v>
      </c>
      <c r="V572" s="67">
        <f>IF(AND(ISNUMBER(L572),N(L572)&gt;0),N(L572),0)</f>
        <v>0.0</v>
      </c>
      <c r="W572" s="67">
        <f>IF(AND(I572="Terminée",S572&gt;0,C572&lt;&gt;"",ISNUMBER(MATCH(C572,eq_code,0))),1,0)</f>
        <v>0.0</v>
      </c>
      <c r="X572" s="67">
        <f>IF(AND(W572=1,E572="Préventif"),1,0)</f>
        <v>0.0</v>
      </c>
      <c r="Y572" s="67">
        <f>IF(AND(ISNUMBER(N572),N(N572)&gt;0),N(N572),0)</f>
        <v>0.0</v>
      </c>
      <c r="Z572" s="67">
        <f>IF(AND(ISNUMBER(P572),N(P572)&gt;0),N(P572),0)</f>
        <v>0.0</v>
      </c>
    </row>
    <row r="573">
      <c r="A573" s="79" t="str">
        <f>IF(COUNTA(B573:C573,E573:G573,I573)=0,"","BI-"&amp;RIGHT("0000"&amp;(ROW()-5),4))</f>
        <v/>
      </c>
      <c r="B573" s="72" t="n"/>
      <c r="C573" s="66" t="n"/>
      <c r="D573" s="67" t="str">
        <f>IF(C573="","",IFERROR(INDEX(eq_des,MATCH(C573,eq_code,0))&amp;"","Équipement inconnu"))</f>
        <v/>
      </c>
      <c r="E573" s="68" t="n"/>
      <c r="F573" s="68" t="n"/>
      <c r="G573" s="66" t="n"/>
      <c r="H573" s="66" t="n"/>
      <c r="I573" s="68" t="n"/>
      <c r="J573" s="73" t="n"/>
      <c r="K573" s="71" t="n"/>
      <c r="L573" s="71" t="n"/>
      <c r="M573" s="66" t="n"/>
      <c r="N573" s="80" t="n"/>
      <c r="O573" s="81" t="str">
        <f>IF(A573="","",ROUND(V573*IFERROR(N(INDEX(tech_rate,MATCH(M573,tech_name,0))),0),2))</f>
        <v/>
      </c>
      <c r="P573" s="80" t="n"/>
      <c r="Q573" s="81" t="str">
        <f>IF(A573="","",ROUND(Y573+O573+Z573,2))</f>
        <v/>
      </c>
      <c r="R573" s="79" t="str">
        <f>IF(A573="","",IF(S573=0,"Date manquante ou invalide",IF(C573="","Équipement manquant",IF(ISNA(MATCH(C573,eq_code,0)),"Équipement inconnu",IF(E573="","Type manquant",IF(AND(E573&lt;&gt;"Préventif",E573&lt;&gt;"Correctif",E573&lt;&gt;"Amélioratif"),"Type inconnu",IF(I573="","Statut manquant",IF(AND(I573&lt;&gt;"Terminée",I573&lt;&gt;"En cours",I573&lt;&gt;"À faire",I573&lt;&gt;"Annulée"),"Statut inconnu",IF(AND(E573="Préventif",F573=""),"Plan manquant (préventif)",IF(AND(F573&lt;&gt;"",ISNA(MATCH(F573,pl_num,0))),"Plan inconnu",IF(AND(F573&lt;&gt;"",IFERROR(INDEX(pl_eq,MATCH(F573,pl_num,0))&amp;"",C573)&lt;&gt;C573),"Plan d'un autre équipement",IF(AND(J573&lt;&gt;"",OR(NOT(ISNUMBER(J573)),N(J573)&lt;0)),"Compteur invalide",IF(OR(AND(K573&lt;&gt;"",OR(NOT(ISNUMBER(K573)),N(K573)&lt;0)),AND(L573&lt;&gt;"",OR(NOT(ISNUMBER(L573)),N(L573)&lt;0))),"Durée invalide",IF(OR(AND(N573&lt;&gt;"",OR(NOT(ISNUMBER(N573)),N(N573)&lt;0)),AND(P573&lt;&gt;"",OR(NOT(ISNUMBER(P573)),N(P573)&lt;0))),"Coût invalide",IF(AND(M573&lt;&gt;"",ISNA(MATCH(M573,tech_name,0))),"Technicien inconnu",IF(AND(I573="Terminée",S573&gt;p_today),"Terminée à une date future",IF(AND(I573="Terminée",V573=0),"Durée d'intervention manquante",IF(AND(I573="Terminée",E573="Préventif",T573=0,OR(IFERROR(INDEX(pl_trig,MATCH(F573,pl_num,0))&amp;"","")="Compteur",IFERROR(INDEX(pl_trig,MATCH(F573,pl_num,0))&amp;"","")="Au premier des deux")),"Compteur manquant (plan au compteur)","OK"))))))))))))))))))</f>
        <v/>
      </c>
      <c r="S573" s="67">
        <f>IF(AND(ISNUMBER(B573),N(B573)&gt;0),INT(B573),0)</f>
        <v>0.0</v>
      </c>
      <c r="T573" s="67">
        <f>IF(AND(ISNUMBER(J573),N(J573)&gt;=0),N(J573),0)</f>
        <v>0.0</v>
      </c>
      <c r="U573" s="67">
        <f>IF(AND(ISNUMBER(K573),N(K573)&gt;0),N(K573),0)</f>
        <v>0.0</v>
      </c>
      <c r="V573" s="67">
        <f>IF(AND(ISNUMBER(L573),N(L573)&gt;0),N(L573),0)</f>
        <v>0.0</v>
      </c>
      <c r="W573" s="67">
        <f>IF(AND(I573="Terminée",S573&gt;0,C573&lt;&gt;"",ISNUMBER(MATCH(C573,eq_code,0))),1,0)</f>
        <v>0.0</v>
      </c>
      <c r="X573" s="67">
        <f>IF(AND(W573=1,E573="Préventif"),1,0)</f>
        <v>0.0</v>
      </c>
      <c r="Y573" s="67">
        <f>IF(AND(ISNUMBER(N573),N(N573)&gt;0),N(N573),0)</f>
        <v>0.0</v>
      </c>
      <c r="Z573" s="67">
        <f>IF(AND(ISNUMBER(P573),N(P573)&gt;0),N(P573),0)</f>
        <v>0.0</v>
      </c>
    </row>
    <row r="574">
      <c r="A574" s="79" t="str">
        <f>IF(COUNTA(B574:C574,E574:G574,I574)=0,"","BI-"&amp;RIGHT("0000"&amp;(ROW()-5),4))</f>
        <v/>
      </c>
      <c r="B574" s="72" t="n"/>
      <c r="C574" s="66" t="n"/>
      <c r="D574" s="67" t="str">
        <f>IF(C574="","",IFERROR(INDEX(eq_des,MATCH(C574,eq_code,0))&amp;"","Équipement inconnu"))</f>
        <v/>
      </c>
      <c r="E574" s="68" t="n"/>
      <c r="F574" s="68" t="n"/>
      <c r="G574" s="66" t="n"/>
      <c r="H574" s="66" t="n"/>
      <c r="I574" s="68" t="n"/>
      <c r="J574" s="73" t="n"/>
      <c r="K574" s="71" t="n"/>
      <c r="L574" s="71" t="n"/>
      <c r="M574" s="66" t="n"/>
      <c r="N574" s="80" t="n"/>
      <c r="O574" s="81" t="str">
        <f>IF(A574="","",ROUND(V574*IFERROR(N(INDEX(tech_rate,MATCH(M574,tech_name,0))),0),2))</f>
        <v/>
      </c>
      <c r="P574" s="80" t="n"/>
      <c r="Q574" s="81" t="str">
        <f>IF(A574="","",ROUND(Y574+O574+Z574,2))</f>
        <v/>
      </c>
      <c r="R574" s="79" t="str">
        <f>IF(A574="","",IF(S574=0,"Date manquante ou invalide",IF(C574="","Équipement manquant",IF(ISNA(MATCH(C574,eq_code,0)),"Équipement inconnu",IF(E574="","Type manquant",IF(AND(E574&lt;&gt;"Préventif",E574&lt;&gt;"Correctif",E574&lt;&gt;"Amélioratif"),"Type inconnu",IF(I574="","Statut manquant",IF(AND(I574&lt;&gt;"Terminée",I574&lt;&gt;"En cours",I574&lt;&gt;"À faire",I574&lt;&gt;"Annulée"),"Statut inconnu",IF(AND(E574="Préventif",F574=""),"Plan manquant (préventif)",IF(AND(F574&lt;&gt;"",ISNA(MATCH(F574,pl_num,0))),"Plan inconnu",IF(AND(F574&lt;&gt;"",IFERROR(INDEX(pl_eq,MATCH(F574,pl_num,0))&amp;"",C574)&lt;&gt;C574),"Plan d'un autre équipement",IF(AND(J574&lt;&gt;"",OR(NOT(ISNUMBER(J574)),N(J574)&lt;0)),"Compteur invalide",IF(OR(AND(K574&lt;&gt;"",OR(NOT(ISNUMBER(K574)),N(K574)&lt;0)),AND(L574&lt;&gt;"",OR(NOT(ISNUMBER(L574)),N(L574)&lt;0))),"Durée invalide",IF(OR(AND(N574&lt;&gt;"",OR(NOT(ISNUMBER(N574)),N(N574)&lt;0)),AND(P574&lt;&gt;"",OR(NOT(ISNUMBER(P574)),N(P574)&lt;0))),"Coût invalide",IF(AND(M574&lt;&gt;"",ISNA(MATCH(M574,tech_name,0))),"Technicien inconnu",IF(AND(I574="Terminée",S574&gt;p_today),"Terminée à une date future",IF(AND(I574="Terminée",V574=0),"Durée d'intervention manquante",IF(AND(I574="Terminée",E574="Préventif",T574=0,OR(IFERROR(INDEX(pl_trig,MATCH(F574,pl_num,0))&amp;"","")="Compteur",IFERROR(INDEX(pl_trig,MATCH(F574,pl_num,0))&amp;"","")="Au premier des deux")),"Compteur manquant (plan au compteur)","OK"))))))))))))))))))</f>
        <v/>
      </c>
      <c r="S574" s="67">
        <f>IF(AND(ISNUMBER(B574),N(B574)&gt;0),INT(B574),0)</f>
        <v>0.0</v>
      </c>
      <c r="T574" s="67">
        <f>IF(AND(ISNUMBER(J574),N(J574)&gt;=0),N(J574),0)</f>
        <v>0.0</v>
      </c>
      <c r="U574" s="67">
        <f>IF(AND(ISNUMBER(K574),N(K574)&gt;0),N(K574),0)</f>
        <v>0.0</v>
      </c>
      <c r="V574" s="67">
        <f>IF(AND(ISNUMBER(L574),N(L574)&gt;0),N(L574),0)</f>
        <v>0.0</v>
      </c>
      <c r="W574" s="67">
        <f>IF(AND(I574="Terminée",S574&gt;0,C574&lt;&gt;"",ISNUMBER(MATCH(C574,eq_code,0))),1,0)</f>
        <v>0.0</v>
      </c>
      <c r="X574" s="67">
        <f>IF(AND(W574=1,E574="Préventif"),1,0)</f>
        <v>0.0</v>
      </c>
      <c r="Y574" s="67">
        <f>IF(AND(ISNUMBER(N574),N(N574)&gt;0),N(N574),0)</f>
        <v>0.0</v>
      </c>
      <c r="Z574" s="67">
        <f>IF(AND(ISNUMBER(P574),N(P574)&gt;0),N(P574),0)</f>
        <v>0.0</v>
      </c>
    </row>
    <row r="575">
      <c r="A575" s="79" t="str">
        <f>IF(COUNTA(B575:C575,E575:G575,I575)=0,"","BI-"&amp;RIGHT("0000"&amp;(ROW()-5),4))</f>
        <v/>
      </c>
      <c r="B575" s="72" t="n"/>
      <c r="C575" s="66" t="n"/>
      <c r="D575" s="67" t="str">
        <f>IF(C575="","",IFERROR(INDEX(eq_des,MATCH(C575,eq_code,0))&amp;"","Équipement inconnu"))</f>
        <v/>
      </c>
      <c r="E575" s="68" t="n"/>
      <c r="F575" s="68" t="n"/>
      <c r="G575" s="66" t="n"/>
      <c r="H575" s="66" t="n"/>
      <c r="I575" s="68" t="n"/>
      <c r="J575" s="73" t="n"/>
      <c r="K575" s="71" t="n"/>
      <c r="L575" s="71" t="n"/>
      <c r="M575" s="66" t="n"/>
      <c r="N575" s="80" t="n"/>
      <c r="O575" s="81" t="str">
        <f>IF(A575="","",ROUND(V575*IFERROR(N(INDEX(tech_rate,MATCH(M575,tech_name,0))),0),2))</f>
        <v/>
      </c>
      <c r="P575" s="80" t="n"/>
      <c r="Q575" s="81" t="str">
        <f>IF(A575="","",ROUND(Y575+O575+Z575,2))</f>
        <v/>
      </c>
      <c r="R575" s="79" t="str">
        <f>IF(A575="","",IF(S575=0,"Date manquante ou invalide",IF(C575="","Équipement manquant",IF(ISNA(MATCH(C575,eq_code,0)),"Équipement inconnu",IF(E575="","Type manquant",IF(AND(E575&lt;&gt;"Préventif",E575&lt;&gt;"Correctif",E575&lt;&gt;"Amélioratif"),"Type inconnu",IF(I575="","Statut manquant",IF(AND(I575&lt;&gt;"Terminée",I575&lt;&gt;"En cours",I575&lt;&gt;"À faire",I575&lt;&gt;"Annulée"),"Statut inconnu",IF(AND(E575="Préventif",F575=""),"Plan manquant (préventif)",IF(AND(F575&lt;&gt;"",ISNA(MATCH(F575,pl_num,0))),"Plan inconnu",IF(AND(F575&lt;&gt;"",IFERROR(INDEX(pl_eq,MATCH(F575,pl_num,0))&amp;"",C575)&lt;&gt;C575),"Plan d'un autre équipement",IF(AND(J575&lt;&gt;"",OR(NOT(ISNUMBER(J575)),N(J575)&lt;0)),"Compteur invalide",IF(OR(AND(K575&lt;&gt;"",OR(NOT(ISNUMBER(K575)),N(K575)&lt;0)),AND(L575&lt;&gt;"",OR(NOT(ISNUMBER(L575)),N(L575)&lt;0))),"Durée invalide",IF(OR(AND(N575&lt;&gt;"",OR(NOT(ISNUMBER(N575)),N(N575)&lt;0)),AND(P575&lt;&gt;"",OR(NOT(ISNUMBER(P575)),N(P575)&lt;0))),"Coût invalide",IF(AND(M575&lt;&gt;"",ISNA(MATCH(M575,tech_name,0))),"Technicien inconnu",IF(AND(I575="Terminée",S575&gt;p_today),"Terminée à une date future",IF(AND(I575="Terminée",V575=0),"Durée d'intervention manquante",IF(AND(I575="Terminée",E575="Préventif",T575=0,OR(IFERROR(INDEX(pl_trig,MATCH(F575,pl_num,0))&amp;"","")="Compteur",IFERROR(INDEX(pl_trig,MATCH(F575,pl_num,0))&amp;"","")="Au premier des deux")),"Compteur manquant (plan au compteur)","OK"))))))))))))))))))</f>
        <v/>
      </c>
      <c r="S575" s="67">
        <f>IF(AND(ISNUMBER(B575),N(B575)&gt;0),INT(B575),0)</f>
        <v>0.0</v>
      </c>
      <c r="T575" s="67">
        <f>IF(AND(ISNUMBER(J575),N(J575)&gt;=0),N(J575),0)</f>
        <v>0.0</v>
      </c>
      <c r="U575" s="67">
        <f>IF(AND(ISNUMBER(K575),N(K575)&gt;0),N(K575),0)</f>
        <v>0.0</v>
      </c>
      <c r="V575" s="67">
        <f>IF(AND(ISNUMBER(L575),N(L575)&gt;0),N(L575),0)</f>
        <v>0.0</v>
      </c>
      <c r="W575" s="67">
        <f>IF(AND(I575="Terminée",S575&gt;0,C575&lt;&gt;"",ISNUMBER(MATCH(C575,eq_code,0))),1,0)</f>
        <v>0.0</v>
      </c>
      <c r="X575" s="67">
        <f>IF(AND(W575=1,E575="Préventif"),1,0)</f>
        <v>0.0</v>
      </c>
      <c r="Y575" s="67">
        <f>IF(AND(ISNUMBER(N575),N(N575)&gt;0),N(N575),0)</f>
        <v>0.0</v>
      </c>
      <c r="Z575" s="67">
        <f>IF(AND(ISNUMBER(P575),N(P575)&gt;0),N(P575),0)</f>
        <v>0.0</v>
      </c>
    </row>
    <row r="576">
      <c r="A576" s="79" t="str">
        <f>IF(COUNTA(B576:C576,E576:G576,I576)=0,"","BI-"&amp;RIGHT("0000"&amp;(ROW()-5),4))</f>
        <v/>
      </c>
      <c r="B576" s="72" t="n"/>
      <c r="C576" s="66" t="n"/>
      <c r="D576" s="67" t="str">
        <f>IF(C576="","",IFERROR(INDEX(eq_des,MATCH(C576,eq_code,0))&amp;"","Équipement inconnu"))</f>
        <v/>
      </c>
      <c r="E576" s="68" t="n"/>
      <c r="F576" s="68" t="n"/>
      <c r="G576" s="66" t="n"/>
      <c r="H576" s="66" t="n"/>
      <c r="I576" s="68" t="n"/>
      <c r="J576" s="73" t="n"/>
      <c r="K576" s="71" t="n"/>
      <c r="L576" s="71" t="n"/>
      <c r="M576" s="66" t="n"/>
      <c r="N576" s="80" t="n"/>
      <c r="O576" s="81" t="str">
        <f>IF(A576="","",ROUND(V576*IFERROR(N(INDEX(tech_rate,MATCH(M576,tech_name,0))),0),2))</f>
        <v/>
      </c>
      <c r="P576" s="80" t="n"/>
      <c r="Q576" s="81" t="str">
        <f>IF(A576="","",ROUND(Y576+O576+Z576,2))</f>
        <v/>
      </c>
      <c r="R576" s="79" t="str">
        <f>IF(A576="","",IF(S576=0,"Date manquante ou invalide",IF(C576="","Équipement manquant",IF(ISNA(MATCH(C576,eq_code,0)),"Équipement inconnu",IF(E576="","Type manquant",IF(AND(E576&lt;&gt;"Préventif",E576&lt;&gt;"Correctif",E576&lt;&gt;"Amélioratif"),"Type inconnu",IF(I576="","Statut manquant",IF(AND(I576&lt;&gt;"Terminée",I576&lt;&gt;"En cours",I576&lt;&gt;"À faire",I576&lt;&gt;"Annulée"),"Statut inconnu",IF(AND(E576="Préventif",F576=""),"Plan manquant (préventif)",IF(AND(F576&lt;&gt;"",ISNA(MATCH(F576,pl_num,0))),"Plan inconnu",IF(AND(F576&lt;&gt;"",IFERROR(INDEX(pl_eq,MATCH(F576,pl_num,0))&amp;"",C576)&lt;&gt;C576),"Plan d'un autre équipement",IF(AND(J576&lt;&gt;"",OR(NOT(ISNUMBER(J576)),N(J576)&lt;0)),"Compteur invalide",IF(OR(AND(K576&lt;&gt;"",OR(NOT(ISNUMBER(K576)),N(K576)&lt;0)),AND(L576&lt;&gt;"",OR(NOT(ISNUMBER(L576)),N(L576)&lt;0))),"Durée invalide",IF(OR(AND(N576&lt;&gt;"",OR(NOT(ISNUMBER(N576)),N(N576)&lt;0)),AND(P576&lt;&gt;"",OR(NOT(ISNUMBER(P576)),N(P576)&lt;0))),"Coût invalide",IF(AND(M576&lt;&gt;"",ISNA(MATCH(M576,tech_name,0))),"Technicien inconnu",IF(AND(I576="Terminée",S576&gt;p_today),"Terminée à une date future",IF(AND(I576="Terminée",V576=0),"Durée d'intervention manquante",IF(AND(I576="Terminée",E576="Préventif",T576=0,OR(IFERROR(INDEX(pl_trig,MATCH(F576,pl_num,0))&amp;"","")="Compteur",IFERROR(INDEX(pl_trig,MATCH(F576,pl_num,0))&amp;"","")="Au premier des deux")),"Compteur manquant (plan au compteur)","OK"))))))))))))))))))</f>
        <v/>
      </c>
      <c r="S576" s="67">
        <f>IF(AND(ISNUMBER(B576),N(B576)&gt;0),INT(B576),0)</f>
        <v>0.0</v>
      </c>
      <c r="T576" s="67">
        <f>IF(AND(ISNUMBER(J576),N(J576)&gt;=0),N(J576),0)</f>
        <v>0.0</v>
      </c>
      <c r="U576" s="67">
        <f>IF(AND(ISNUMBER(K576),N(K576)&gt;0),N(K576),0)</f>
        <v>0.0</v>
      </c>
      <c r="V576" s="67">
        <f>IF(AND(ISNUMBER(L576),N(L576)&gt;0),N(L576),0)</f>
        <v>0.0</v>
      </c>
      <c r="W576" s="67">
        <f>IF(AND(I576="Terminée",S576&gt;0,C576&lt;&gt;"",ISNUMBER(MATCH(C576,eq_code,0))),1,0)</f>
        <v>0.0</v>
      </c>
      <c r="X576" s="67">
        <f>IF(AND(W576=1,E576="Préventif"),1,0)</f>
        <v>0.0</v>
      </c>
      <c r="Y576" s="67">
        <f>IF(AND(ISNUMBER(N576),N(N576)&gt;0),N(N576),0)</f>
        <v>0.0</v>
      </c>
      <c r="Z576" s="67">
        <f>IF(AND(ISNUMBER(P576),N(P576)&gt;0),N(P576),0)</f>
        <v>0.0</v>
      </c>
    </row>
    <row r="577">
      <c r="A577" s="79" t="str">
        <f>IF(COUNTA(B577:C577,E577:G577,I577)=0,"","BI-"&amp;RIGHT("0000"&amp;(ROW()-5),4))</f>
        <v/>
      </c>
      <c r="B577" s="72" t="n"/>
      <c r="C577" s="66" t="n"/>
      <c r="D577" s="67" t="str">
        <f>IF(C577="","",IFERROR(INDEX(eq_des,MATCH(C577,eq_code,0))&amp;"","Équipement inconnu"))</f>
        <v/>
      </c>
      <c r="E577" s="68" t="n"/>
      <c r="F577" s="68" t="n"/>
      <c r="G577" s="66" t="n"/>
      <c r="H577" s="66" t="n"/>
      <c r="I577" s="68" t="n"/>
      <c r="J577" s="73" t="n"/>
      <c r="K577" s="71" t="n"/>
      <c r="L577" s="71" t="n"/>
      <c r="M577" s="66" t="n"/>
      <c r="N577" s="80" t="n"/>
      <c r="O577" s="81" t="str">
        <f>IF(A577="","",ROUND(V577*IFERROR(N(INDEX(tech_rate,MATCH(M577,tech_name,0))),0),2))</f>
        <v/>
      </c>
      <c r="P577" s="80" t="n"/>
      <c r="Q577" s="81" t="str">
        <f>IF(A577="","",ROUND(Y577+O577+Z577,2))</f>
        <v/>
      </c>
      <c r="R577" s="79" t="str">
        <f>IF(A577="","",IF(S577=0,"Date manquante ou invalide",IF(C577="","Équipement manquant",IF(ISNA(MATCH(C577,eq_code,0)),"Équipement inconnu",IF(E577="","Type manquant",IF(AND(E577&lt;&gt;"Préventif",E577&lt;&gt;"Correctif",E577&lt;&gt;"Amélioratif"),"Type inconnu",IF(I577="","Statut manquant",IF(AND(I577&lt;&gt;"Terminée",I577&lt;&gt;"En cours",I577&lt;&gt;"À faire",I577&lt;&gt;"Annulée"),"Statut inconnu",IF(AND(E577="Préventif",F577=""),"Plan manquant (préventif)",IF(AND(F577&lt;&gt;"",ISNA(MATCH(F577,pl_num,0))),"Plan inconnu",IF(AND(F577&lt;&gt;"",IFERROR(INDEX(pl_eq,MATCH(F577,pl_num,0))&amp;"",C577)&lt;&gt;C577),"Plan d'un autre équipement",IF(AND(J577&lt;&gt;"",OR(NOT(ISNUMBER(J577)),N(J577)&lt;0)),"Compteur invalide",IF(OR(AND(K577&lt;&gt;"",OR(NOT(ISNUMBER(K577)),N(K577)&lt;0)),AND(L577&lt;&gt;"",OR(NOT(ISNUMBER(L577)),N(L577)&lt;0))),"Durée invalide",IF(OR(AND(N577&lt;&gt;"",OR(NOT(ISNUMBER(N577)),N(N577)&lt;0)),AND(P577&lt;&gt;"",OR(NOT(ISNUMBER(P577)),N(P577)&lt;0))),"Coût invalide",IF(AND(M577&lt;&gt;"",ISNA(MATCH(M577,tech_name,0))),"Technicien inconnu",IF(AND(I577="Terminée",S577&gt;p_today),"Terminée à une date future",IF(AND(I577="Terminée",V577=0),"Durée d'intervention manquante",IF(AND(I577="Terminée",E577="Préventif",T577=0,OR(IFERROR(INDEX(pl_trig,MATCH(F577,pl_num,0))&amp;"","")="Compteur",IFERROR(INDEX(pl_trig,MATCH(F577,pl_num,0))&amp;"","")="Au premier des deux")),"Compteur manquant (plan au compteur)","OK"))))))))))))))))))</f>
        <v/>
      </c>
      <c r="S577" s="67">
        <f>IF(AND(ISNUMBER(B577),N(B577)&gt;0),INT(B577),0)</f>
        <v>0.0</v>
      </c>
      <c r="T577" s="67">
        <f>IF(AND(ISNUMBER(J577),N(J577)&gt;=0),N(J577),0)</f>
        <v>0.0</v>
      </c>
      <c r="U577" s="67">
        <f>IF(AND(ISNUMBER(K577),N(K577)&gt;0),N(K577),0)</f>
        <v>0.0</v>
      </c>
      <c r="V577" s="67">
        <f>IF(AND(ISNUMBER(L577),N(L577)&gt;0),N(L577),0)</f>
        <v>0.0</v>
      </c>
      <c r="W577" s="67">
        <f>IF(AND(I577="Terminée",S577&gt;0,C577&lt;&gt;"",ISNUMBER(MATCH(C577,eq_code,0))),1,0)</f>
        <v>0.0</v>
      </c>
      <c r="X577" s="67">
        <f>IF(AND(W577=1,E577="Préventif"),1,0)</f>
        <v>0.0</v>
      </c>
      <c r="Y577" s="67">
        <f>IF(AND(ISNUMBER(N577),N(N577)&gt;0),N(N577),0)</f>
        <v>0.0</v>
      </c>
      <c r="Z577" s="67">
        <f>IF(AND(ISNUMBER(P577),N(P577)&gt;0),N(P577),0)</f>
        <v>0.0</v>
      </c>
    </row>
    <row r="578">
      <c r="A578" s="79" t="str">
        <f>IF(COUNTA(B578:C578,E578:G578,I578)=0,"","BI-"&amp;RIGHT("0000"&amp;(ROW()-5),4))</f>
        <v/>
      </c>
      <c r="B578" s="72" t="n"/>
      <c r="C578" s="66" t="n"/>
      <c r="D578" s="67" t="str">
        <f>IF(C578="","",IFERROR(INDEX(eq_des,MATCH(C578,eq_code,0))&amp;"","Équipement inconnu"))</f>
        <v/>
      </c>
      <c r="E578" s="68" t="n"/>
      <c r="F578" s="68" t="n"/>
      <c r="G578" s="66" t="n"/>
      <c r="H578" s="66" t="n"/>
      <c r="I578" s="68" t="n"/>
      <c r="J578" s="73" t="n"/>
      <c r="K578" s="71" t="n"/>
      <c r="L578" s="71" t="n"/>
      <c r="M578" s="66" t="n"/>
      <c r="N578" s="80" t="n"/>
      <c r="O578" s="81" t="str">
        <f>IF(A578="","",ROUND(V578*IFERROR(N(INDEX(tech_rate,MATCH(M578,tech_name,0))),0),2))</f>
        <v/>
      </c>
      <c r="P578" s="80" t="n"/>
      <c r="Q578" s="81" t="str">
        <f>IF(A578="","",ROUND(Y578+O578+Z578,2))</f>
        <v/>
      </c>
      <c r="R578" s="79" t="str">
        <f>IF(A578="","",IF(S578=0,"Date manquante ou invalide",IF(C578="","Équipement manquant",IF(ISNA(MATCH(C578,eq_code,0)),"Équipement inconnu",IF(E578="","Type manquant",IF(AND(E578&lt;&gt;"Préventif",E578&lt;&gt;"Correctif",E578&lt;&gt;"Amélioratif"),"Type inconnu",IF(I578="","Statut manquant",IF(AND(I578&lt;&gt;"Terminée",I578&lt;&gt;"En cours",I578&lt;&gt;"À faire",I578&lt;&gt;"Annulée"),"Statut inconnu",IF(AND(E578="Préventif",F578=""),"Plan manquant (préventif)",IF(AND(F578&lt;&gt;"",ISNA(MATCH(F578,pl_num,0))),"Plan inconnu",IF(AND(F578&lt;&gt;"",IFERROR(INDEX(pl_eq,MATCH(F578,pl_num,0))&amp;"",C578)&lt;&gt;C578),"Plan d'un autre équipement",IF(AND(J578&lt;&gt;"",OR(NOT(ISNUMBER(J578)),N(J578)&lt;0)),"Compteur invalide",IF(OR(AND(K578&lt;&gt;"",OR(NOT(ISNUMBER(K578)),N(K578)&lt;0)),AND(L578&lt;&gt;"",OR(NOT(ISNUMBER(L578)),N(L578)&lt;0))),"Durée invalide",IF(OR(AND(N578&lt;&gt;"",OR(NOT(ISNUMBER(N578)),N(N578)&lt;0)),AND(P578&lt;&gt;"",OR(NOT(ISNUMBER(P578)),N(P578)&lt;0))),"Coût invalide",IF(AND(M578&lt;&gt;"",ISNA(MATCH(M578,tech_name,0))),"Technicien inconnu",IF(AND(I578="Terminée",S578&gt;p_today),"Terminée à une date future",IF(AND(I578="Terminée",V578=0),"Durée d'intervention manquante",IF(AND(I578="Terminée",E578="Préventif",T578=0,OR(IFERROR(INDEX(pl_trig,MATCH(F578,pl_num,0))&amp;"","")="Compteur",IFERROR(INDEX(pl_trig,MATCH(F578,pl_num,0))&amp;"","")="Au premier des deux")),"Compteur manquant (plan au compteur)","OK"))))))))))))))))))</f>
        <v/>
      </c>
      <c r="S578" s="67">
        <f>IF(AND(ISNUMBER(B578),N(B578)&gt;0),INT(B578),0)</f>
        <v>0.0</v>
      </c>
      <c r="T578" s="67">
        <f>IF(AND(ISNUMBER(J578),N(J578)&gt;=0),N(J578),0)</f>
        <v>0.0</v>
      </c>
      <c r="U578" s="67">
        <f>IF(AND(ISNUMBER(K578),N(K578)&gt;0),N(K578),0)</f>
        <v>0.0</v>
      </c>
      <c r="V578" s="67">
        <f>IF(AND(ISNUMBER(L578),N(L578)&gt;0),N(L578),0)</f>
        <v>0.0</v>
      </c>
      <c r="W578" s="67">
        <f>IF(AND(I578="Terminée",S578&gt;0,C578&lt;&gt;"",ISNUMBER(MATCH(C578,eq_code,0))),1,0)</f>
        <v>0.0</v>
      </c>
      <c r="X578" s="67">
        <f>IF(AND(W578=1,E578="Préventif"),1,0)</f>
        <v>0.0</v>
      </c>
      <c r="Y578" s="67">
        <f>IF(AND(ISNUMBER(N578),N(N578)&gt;0),N(N578),0)</f>
        <v>0.0</v>
      </c>
      <c r="Z578" s="67">
        <f>IF(AND(ISNUMBER(P578),N(P578)&gt;0),N(P578),0)</f>
        <v>0.0</v>
      </c>
    </row>
    <row r="579">
      <c r="A579" s="79" t="str">
        <f>IF(COUNTA(B579:C579,E579:G579,I579)=0,"","BI-"&amp;RIGHT("0000"&amp;(ROW()-5),4))</f>
        <v/>
      </c>
      <c r="B579" s="72" t="n"/>
      <c r="C579" s="66" t="n"/>
      <c r="D579" s="67" t="str">
        <f>IF(C579="","",IFERROR(INDEX(eq_des,MATCH(C579,eq_code,0))&amp;"","Équipement inconnu"))</f>
        <v/>
      </c>
      <c r="E579" s="68" t="n"/>
      <c r="F579" s="68" t="n"/>
      <c r="G579" s="66" t="n"/>
      <c r="H579" s="66" t="n"/>
      <c r="I579" s="68" t="n"/>
      <c r="J579" s="73" t="n"/>
      <c r="K579" s="71" t="n"/>
      <c r="L579" s="71" t="n"/>
      <c r="M579" s="66" t="n"/>
      <c r="N579" s="80" t="n"/>
      <c r="O579" s="81" t="str">
        <f>IF(A579="","",ROUND(V579*IFERROR(N(INDEX(tech_rate,MATCH(M579,tech_name,0))),0),2))</f>
        <v/>
      </c>
      <c r="P579" s="80" t="n"/>
      <c r="Q579" s="81" t="str">
        <f>IF(A579="","",ROUND(Y579+O579+Z579,2))</f>
        <v/>
      </c>
      <c r="R579" s="79" t="str">
        <f>IF(A579="","",IF(S579=0,"Date manquante ou invalide",IF(C579="","Équipement manquant",IF(ISNA(MATCH(C579,eq_code,0)),"Équipement inconnu",IF(E579="","Type manquant",IF(AND(E579&lt;&gt;"Préventif",E579&lt;&gt;"Correctif",E579&lt;&gt;"Amélioratif"),"Type inconnu",IF(I579="","Statut manquant",IF(AND(I579&lt;&gt;"Terminée",I579&lt;&gt;"En cours",I579&lt;&gt;"À faire",I579&lt;&gt;"Annulée"),"Statut inconnu",IF(AND(E579="Préventif",F579=""),"Plan manquant (préventif)",IF(AND(F579&lt;&gt;"",ISNA(MATCH(F579,pl_num,0))),"Plan inconnu",IF(AND(F579&lt;&gt;"",IFERROR(INDEX(pl_eq,MATCH(F579,pl_num,0))&amp;"",C579)&lt;&gt;C579),"Plan d'un autre équipement",IF(AND(J579&lt;&gt;"",OR(NOT(ISNUMBER(J579)),N(J579)&lt;0)),"Compteur invalide",IF(OR(AND(K579&lt;&gt;"",OR(NOT(ISNUMBER(K579)),N(K579)&lt;0)),AND(L579&lt;&gt;"",OR(NOT(ISNUMBER(L579)),N(L579)&lt;0))),"Durée invalide",IF(OR(AND(N579&lt;&gt;"",OR(NOT(ISNUMBER(N579)),N(N579)&lt;0)),AND(P579&lt;&gt;"",OR(NOT(ISNUMBER(P579)),N(P579)&lt;0))),"Coût invalide",IF(AND(M579&lt;&gt;"",ISNA(MATCH(M579,tech_name,0))),"Technicien inconnu",IF(AND(I579="Terminée",S579&gt;p_today),"Terminée à une date future",IF(AND(I579="Terminée",V579=0),"Durée d'intervention manquante",IF(AND(I579="Terminée",E579="Préventif",T579=0,OR(IFERROR(INDEX(pl_trig,MATCH(F579,pl_num,0))&amp;"","")="Compteur",IFERROR(INDEX(pl_trig,MATCH(F579,pl_num,0))&amp;"","")="Au premier des deux")),"Compteur manquant (plan au compteur)","OK"))))))))))))))))))</f>
        <v/>
      </c>
      <c r="S579" s="67">
        <f>IF(AND(ISNUMBER(B579),N(B579)&gt;0),INT(B579),0)</f>
        <v>0.0</v>
      </c>
      <c r="T579" s="67">
        <f>IF(AND(ISNUMBER(J579),N(J579)&gt;=0),N(J579),0)</f>
        <v>0.0</v>
      </c>
      <c r="U579" s="67">
        <f>IF(AND(ISNUMBER(K579),N(K579)&gt;0),N(K579),0)</f>
        <v>0.0</v>
      </c>
      <c r="V579" s="67">
        <f>IF(AND(ISNUMBER(L579),N(L579)&gt;0),N(L579),0)</f>
        <v>0.0</v>
      </c>
      <c r="W579" s="67">
        <f>IF(AND(I579="Terminée",S579&gt;0,C579&lt;&gt;"",ISNUMBER(MATCH(C579,eq_code,0))),1,0)</f>
        <v>0.0</v>
      </c>
      <c r="X579" s="67">
        <f>IF(AND(W579=1,E579="Préventif"),1,0)</f>
        <v>0.0</v>
      </c>
      <c r="Y579" s="67">
        <f>IF(AND(ISNUMBER(N579),N(N579)&gt;0),N(N579),0)</f>
        <v>0.0</v>
      </c>
      <c r="Z579" s="67">
        <f>IF(AND(ISNUMBER(P579),N(P579)&gt;0),N(P579),0)</f>
        <v>0.0</v>
      </c>
    </row>
    <row r="580">
      <c r="A580" s="79" t="str">
        <f>IF(COUNTA(B580:C580,E580:G580,I580)=0,"","BI-"&amp;RIGHT("0000"&amp;(ROW()-5),4))</f>
        <v/>
      </c>
      <c r="B580" s="72" t="n"/>
      <c r="C580" s="66" t="n"/>
      <c r="D580" s="67" t="str">
        <f>IF(C580="","",IFERROR(INDEX(eq_des,MATCH(C580,eq_code,0))&amp;"","Équipement inconnu"))</f>
        <v/>
      </c>
      <c r="E580" s="68" t="n"/>
      <c r="F580" s="68" t="n"/>
      <c r="G580" s="66" t="n"/>
      <c r="H580" s="66" t="n"/>
      <c r="I580" s="68" t="n"/>
      <c r="J580" s="73" t="n"/>
      <c r="K580" s="71" t="n"/>
      <c r="L580" s="71" t="n"/>
      <c r="M580" s="66" t="n"/>
      <c r="N580" s="80" t="n"/>
      <c r="O580" s="81" t="str">
        <f>IF(A580="","",ROUND(V580*IFERROR(N(INDEX(tech_rate,MATCH(M580,tech_name,0))),0),2))</f>
        <v/>
      </c>
      <c r="P580" s="80" t="n"/>
      <c r="Q580" s="81" t="str">
        <f>IF(A580="","",ROUND(Y580+O580+Z580,2))</f>
        <v/>
      </c>
      <c r="R580" s="79" t="str">
        <f>IF(A580="","",IF(S580=0,"Date manquante ou invalide",IF(C580="","Équipement manquant",IF(ISNA(MATCH(C580,eq_code,0)),"Équipement inconnu",IF(E580="","Type manquant",IF(AND(E580&lt;&gt;"Préventif",E580&lt;&gt;"Correctif",E580&lt;&gt;"Amélioratif"),"Type inconnu",IF(I580="","Statut manquant",IF(AND(I580&lt;&gt;"Terminée",I580&lt;&gt;"En cours",I580&lt;&gt;"À faire",I580&lt;&gt;"Annulée"),"Statut inconnu",IF(AND(E580="Préventif",F580=""),"Plan manquant (préventif)",IF(AND(F580&lt;&gt;"",ISNA(MATCH(F580,pl_num,0))),"Plan inconnu",IF(AND(F580&lt;&gt;"",IFERROR(INDEX(pl_eq,MATCH(F580,pl_num,0))&amp;"",C580)&lt;&gt;C580),"Plan d'un autre équipement",IF(AND(J580&lt;&gt;"",OR(NOT(ISNUMBER(J580)),N(J580)&lt;0)),"Compteur invalide",IF(OR(AND(K580&lt;&gt;"",OR(NOT(ISNUMBER(K580)),N(K580)&lt;0)),AND(L580&lt;&gt;"",OR(NOT(ISNUMBER(L580)),N(L580)&lt;0))),"Durée invalide",IF(OR(AND(N580&lt;&gt;"",OR(NOT(ISNUMBER(N580)),N(N580)&lt;0)),AND(P580&lt;&gt;"",OR(NOT(ISNUMBER(P580)),N(P580)&lt;0))),"Coût invalide",IF(AND(M580&lt;&gt;"",ISNA(MATCH(M580,tech_name,0))),"Technicien inconnu",IF(AND(I580="Terminée",S580&gt;p_today),"Terminée à une date future",IF(AND(I580="Terminée",V580=0),"Durée d'intervention manquante",IF(AND(I580="Terminée",E580="Préventif",T580=0,OR(IFERROR(INDEX(pl_trig,MATCH(F580,pl_num,0))&amp;"","")="Compteur",IFERROR(INDEX(pl_trig,MATCH(F580,pl_num,0))&amp;"","")="Au premier des deux")),"Compteur manquant (plan au compteur)","OK"))))))))))))))))))</f>
        <v/>
      </c>
      <c r="S580" s="67">
        <f>IF(AND(ISNUMBER(B580),N(B580)&gt;0),INT(B580),0)</f>
        <v>0.0</v>
      </c>
      <c r="T580" s="67">
        <f>IF(AND(ISNUMBER(J580),N(J580)&gt;=0),N(J580),0)</f>
        <v>0.0</v>
      </c>
      <c r="U580" s="67">
        <f>IF(AND(ISNUMBER(K580),N(K580)&gt;0),N(K580),0)</f>
        <v>0.0</v>
      </c>
      <c r="V580" s="67">
        <f>IF(AND(ISNUMBER(L580),N(L580)&gt;0),N(L580),0)</f>
        <v>0.0</v>
      </c>
      <c r="W580" s="67">
        <f>IF(AND(I580="Terminée",S580&gt;0,C580&lt;&gt;"",ISNUMBER(MATCH(C580,eq_code,0))),1,0)</f>
        <v>0.0</v>
      </c>
      <c r="X580" s="67">
        <f>IF(AND(W580=1,E580="Préventif"),1,0)</f>
        <v>0.0</v>
      </c>
      <c r="Y580" s="67">
        <f>IF(AND(ISNUMBER(N580),N(N580)&gt;0),N(N580),0)</f>
        <v>0.0</v>
      </c>
      <c r="Z580" s="67">
        <f>IF(AND(ISNUMBER(P580),N(P580)&gt;0),N(P580),0)</f>
        <v>0.0</v>
      </c>
    </row>
    <row r="581">
      <c r="A581" s="79" t="str">
        <f>IF(COUNTA(B581:C581,E581:G581,I581)=0,"","BI-"&amp;RIGHT("0000"&amp;(ROW()-5),4))</f>
        <v/>
      </c>
      <c r="B581" s="72" t="n"/>
      <c r="C581" s="66" t="n"/>
      <c r="D581" s="67" t="str">
        <f>IF(C581="","",IFERROR(INDEX(eq_des,MATCH(C581,eq_code,0))&amp;"","Équipement inconnu"))</f>
        <v/>
      </c>
      <c r="E581" s="68" t="n"/>
      <c r="F581" s="68" t="n"/>
      <c r="G581" s="66" t="n"/>
      <c r="H581" s="66" t="n"/>
      <c r="I581" s="68" t="n"/>
      <c r="J581" s="73" t="n"/>
      <c r="K581" s="71" t="n"/>
      <c r="L581" s="71" t="n"/>
      <c r="M581" s="66" t="n"/>
      <c r="N581" s="80" t="n"/>
      <c r="O581" s="81" t="str">
        <f>IF(A581="","",ROUND(V581*IFERROR(N(INDEX(tech_rate,MATCH(M581,tech_name,0))),0),2))</f>
        <v/>
      </c>
      <c r="P581" s="80" t="n"/>
      <c r="Q581" s="81" t="str">
        <f>IF(A581="","",ROUND(Y581+O581+Z581,2))</f>
        <v/>
      </c>
      <c r="R581" s="79" t="str">
        <f>IF(A581="","",IF(S581=0,"Date manquante ou invalide",IF(C581="","Équipement manquant",IF(ISNA(MATCH(C581,eq_code,0)),"Équipement inconnu",IF(E581="","Type manquant",IF(AND(E581&lt;&gt;"Préventif",E581&lt;&gt;"Correctif",E581&lt;&gt;"Amélioratif"),"Type inconnu",IF(I581="","Statut manquant",IF(AND(I581&lt;&gt;"Terminée",I581&lt;&gt;"En cours",I581&lt;&gt;"À faire",I581&lt;&gt;"Annulée"),"Statut inconnu",IF(AND(E581="Préventif",F581=""),"Plan manquant (préventif)",IF(AND(F581&lt;&gt;"",ISNA(MATCH(F581,pl_num,0))),"Plan inconnu",IF(AND(F581&lt;&gt;"",IFERROR(INDEX(pl_eq,MATCH(F581,pl_num,0))&amp;"",C581)&lt;&gt;C581),"Plan d'un autre équipement",IF(AND(J581&lt;&gt;"",OR(NOT(ISNUMBER(J581)),N(J581)&lt;0)),"Compteur invalide",IF(OR(AND(K581&lt;&gt;"",OR(NOT(ISNUMBER(K581)),N(K581)&lt;0)),AND(L581&lt;&gt;"",OR(NOT(ISNUMBER(L581)),N(L581)&lt;0))),"Durée invalide",IF(OR(AND(N581&lt;&gt;"",OR(NOT(ISNUMBER(N581)),N(N581)&lt;0)),AND(P581&lt;&gt;"",OR(NOT(ISNUMBER(P581)),N(P581)&lt;0))),"Coût invalide",IF(AND(M581&lt;&gt;"",ISNA(MATCH(M581,tech_name,0))),"Technicien inconnu",IF(AND(I581="Terminée",S581&gt;p_today),"Terminée à une date future",IF(AND(I581="Terminée",V581=0),"Durée d'intervention manquante",IF(AND(I581="Terminée",E581="Préventif",T581=0,OR(IFERROR(INDEX(pl_trig,MATCH(F581,pl_num,0))&amp;"","")="Compteur",IFERROR(INDEX(pl_trig,MATCH(F581,pl_num,0))&amp;"","")="Au premier des deux")),"Compteur manquant (plan au compteur)","OK"))))))))))))))))))</f>
        <v/>
      </c>
      <c r="S581" s="67">
        <f>IF(AND(ISNUMBER(B581),N(B581)&gt;0),INT(B581),0)</f>
        <v>0.0</v>
      </c>
      <c r="T581" s="67">
        <f>IF(AND(ISNUMBER(J581),N(J581)&gt;=0),N(J581),0)</f>
        <v>0.0</v>
      </c>
      <c r="U581" s="67">
        <f>IF(AND(ISNUMBER(K581),N(K581)&gt;0),N(K581),0)</f>
        <v>0.0</v>
      </c>
      <c r="V581" s="67">
        <f>IF(AND(ISNUMBER(L581),N(L581)&gt;0),N(L581),0)</f>
        <v>0.0</v>
      </c>
      <c r="W581" s="67">
        <f>IF(AND(I581="Terminée",S581&gt;0,C581&lt;&gt;"",ISNUMBER(MATCH(C581,eq_code,0))),1,0)</f>
        <v>0.0</v>
      </c>
      <c r="X581" s="67">
        <f>IF(AND(W581=1,E581="Préventif"),1,0)</f>
        <v>0.0</v>
      </c>
      <c r="Y581" s="67">
        <f>IF(AND(ISNUMBER(N581),N(N581)&gt;0),N(N581),0)</f>
        <v>0.0</v>
      </c>
      <c r="Z581" s="67">
        <f>IF(AND(ISNUMBER(P581),N(P581)&gt;0),N(P581),0)</f>
        <v>0.0</v>
      </c>
    </row>
    <row r="582">
      <c r="A582" s="79" t="str">
        <f>IF(COUNTA(B582:C582,E582:G582,I582)=0,"","BI-"&amp;RIGHT("0000"&amp;(ROW()-5),4))</f>
        <v/>
      </c>
      <c r="B582" s="72" t="n"/>
      <c r="C582" s="66" t="n"/>
      <c r="D582" s="67" t="str">
        <f>IF(C582="","",IFERROR(INDEX(eq_des,MATCH(C582,eq_code,0))&amp;"","Équipement inconnu"))</f>
        <v/>
      </c>
      <c r="E582" s="68" t="n"/>
      <c r="F582" s="68" t="n"/>
      <c r="G582" s="66" t="n"/>
      <c r="H582" s="66" t="n"/>
      <c r="I582" s="68" t="n"/>
      <c r="J582" s="73" t="n"/>
      <c r="K582" s="71" t="n"/>
      <c r="L582" s="71" t="n"/>
      <c r="M582" s="66" t="n"/>
      <c r="N582" s="80" t="n"/>
      <c r="O582" s="81" t="str">
        <f>IF(A582="","",ROUND(V582*IFERROR(N(INDEX(tech_rate,MATCH(M582,tech_name,0))),0),2))</f>
        <v/>
      </c>
      <c r="P582" s="80" t="n"/>
      <c r="Q582" s="81" t="str">
        <f>IF(A582="","",ROUND(Y582+O582+Z582,2))</f>
        <v/>
      </c>
      <c r="R582" s="79" t="str">
        <f>IF(A582="","",IF(S582=0,"Date manquante ou invalide",IF(C582="","Équipement manquant",IF(ISNA(MATCH(C582,eq_code,0)),"Équipement inconnu",IF(E582="","Type manquant",IF(AND(E582&lt;&gt;"Préventif",E582&lt;&gt;"Correctif",E582&lt;&gt;"Amélioratif"),"Type inconnu",IF(I582="","Statut manquant",IF(AND(I582&lt;&gt;"Terminée",I582&lt;&gt;"En cours",I582&lt;&gt;"À faire",I582&lt;&gt;"Annulée"),"Statut inconnu",IF(AND(E582="Préventif",F582=""),"Plan manquant (préventif)",IF(AND(F582&lt;&gt;"",ISNA(MATCH(F582,pl_num,0))),"Plan inconnu",IF(AND(F582&lt;&gt;"",IFERROR(INDEX(pl_eq,MATCH(F582,pl_num,0))&amp;"",C582)&lt;&gt;C582),"Plan d'un autre équipement",IF(AND(J582&lt;&gt;"",OR(NOT(ISNUMBER(J582)),N(J582)&lt;0)),"Compteur invalide",IF(OR(AND(K582&lt;&gt;"",OR(NOT(ISNUMBER(K582)),N(K582)&lt;0)),AND(L582&lt;&gt;"",OR(NOT(ISNUMBER(L582)),N(L582)&lt;0))),"Durée invalide",IF(OR(AND(N582&lt;&gt;"",OR(NOT(ISNUMBER(N582)),N(N582)&lt;0)),AND(P582&lt;&gt;"",OR(NOT(ISNUMBER(P582)),N(P582)&lt;0))),"Coût invalide",IF(AND(M582&lt;&gt;"",ISNA(MATCH(M582,tech_name,0))),"Technicien inconnu",IF(AND(I582="Terminée",S582&gt;p_today),"Terminée à une date future",IF(AND(I582="Terminée",V582=0),"Durée d'intervention manquante",IF(AND(I582="Terminée",E582="Préventif",T582=0,OR(IFERROR(INDEX(pl_trig,MATCH(F582,pl_num,0))&amp;"","")="Compteur",IFERROR(INDEX(pl_trig,MATCH(F582,pl_num,0))&amp;"","")="Au premier des deux")),"Compteur manquant (plan au compteur)","OK"))))))))))))))))))</f>
        <v/>
      </c>
      <c r="S582" s="67">
        <f>IF(AND(ISNUMBER(B582),N(B582)&gt;0),INT(B582),0)</f>
        <v>0.0</v>
      </c>
      <c r="T582" s="67">
        <f>IF(AND(ISNUMBER(J582),N(J582)&gt;=0),N(J582),0)</f>
        <v>0.0</v>
      </c>
      <c r="U582" s="67">
        <f>IF(AND(ISNUMBER(K582),N(K582)&gt;0),N(K582),0)</f>
        <v>0.0</v>
      </c>
      <c r="V582" s="67">
        <f>IF(AND(ISNUMBER(L582),N(L582)&gt;0),N(L582),0)</f>
        <v>0.0</v>
      </c>
      <c r="W582" s="67">
        <f>IF(AND(I582="Terminée",S582&gt;0,C582&lt;&gt;"",ISNUMBER(MATCH(C582,eq_code,0))),1,0)</f>
        <v>0.0</v>
      </c>
      <c r="X582" s="67">
        <f>IF(AND(W582=1,E582="Préventif"),1,0)</f>
        <v>0.0</v>
      </c>
      <c r="Y582" s="67">
        <f>IF(AND(ISNUMBER(N582),N(N582)&gt;0),N(N582),0)</f>
        <v>0.0</v>
      </c>
      <c r="Z582" s="67">
        <f>IF(AND(ISNUMBER(P582),N(P582)&gt;0),N(P582),0)</f>
        <v>0.0</v>
      </c>
    </row>
    <row r="583">
      <c r="A583" s="79" t="str">
        <f>IF(COUNTA(B583:C583,E583:G583,I583)=0,"","BI-"&amp;RIGHT("0000"&amp;(ROW()-5),4))</f>
        <v/>
      </c>
      <c r="B583" s="72" t="n"/>
      <c r="C583" s="66" t="n"/>
      <c r="D583" s="67" t="str">
        <f>IF(C583="","",IFERROR(INDEX(eq_des,MATCH(C583,eq_code,0))&amp;"","Équipement inconnu"))</f>
        <v/>
      </c>
      <c r="E583" s="68" t="n"/>
      <c r="F583" s="68" t="n"/>
      <c r="G583" s="66" t="n"/>
      <c r="H583" s="66" t="n"/>
      <c r="I583" s="68" t="n"/>
      <c r="J583" s="73" t="n"/>
      <c r="K583" s="71" t="n"/>
      <c r="L583" s="71" t="n"/>
      <c r="M583" s="66" t="n"/>
      <c r="N583" s="80" t="n"/>
      <c r="O583" s="81" t="str">
        <f>IF(A583="","",ROUND(V583*IFERROR(N(INDEX(tech_rate,MATCH(M583,tech_name,0))),0),2))</f>
        <v/>
      </c>
      <c r="P583" s="80" t="n"/>
      <c r="Q583" s="81" t="str">
        <f>IF(A583="","",ROUND(Y583+O583+Z583,2))</f>
        <v/>
      </c>
      <c r="R583" s="79" t="str">
        <f>IF(A583="","",IF(S583=0,"Date manquante ou invalide",IF(C583="","Équipement manquant",IF(ISNA(MATCH(C583,eq_code,0)),"Équipement inconnu",IF(E583="","Type manquant",IF(AND(E583&lt;&gt;"Préventif",E583&lt;&gt;"Correctif",E583&lt;&gt;"Amélioratif"),"Type inconnu",IF(I583="","Statut manquant",IF(AND(I583&lt;&gt;"Terminée",I583&lt;&gt;"En cours",I583&lt;&gt;"À faire",I583&lt;&gt;"Annulée"),"Statut inconnu",IF(AND(E583="Préventif",F583=""),"Plan manquant (préventif)",IF(AND(F583&lt;&gt;"",ISNA(MATCH(F583,pl_num,0))),"Plan inconnu",IF(AND(F583&lt;&gt;"",IFERROR(INDEX(pl_eq,MATCH(F583,pl_num,0))&amp;"",C583)&lt;&gt;C583),"Plan d'un autre équipement",IF(AND(J583&lt;&gt;"",OR(NOT(ISNUMBER(J583)),N(J583)&lt;0)),"Compteur invalide",IF(OR(AND(K583&lt;&gt;"",OR(NOT(ISNUMBER(K583)),N(K583)&lt;0)),AND(L583&lt;&gt;"",OR(NOT(ISNUMBER(L583)),N(L583)&lt;0))),"Durée invalide",IF(OR(AND(N583&lt;&gt;"",OR(NOT(ISNUMBER(N583)),N(N583)&lt;0)),AND(P583&lt;&gt;"",OR(NOT(ISNUMBER(P583)),N(P583)&lt;0))),"Coût invalide",IF(AND(M583&lt;&gt;"",ISNA(MATCH(M583,tech_name,0))),"Technicien inconnu",IF(AND(I583="Terminée",S583&gt;p_today),"Terminée à une date future",IF(AND(I583="Terminée",V583=0),"Durée d'intervention manquante",IF(AND(I583="Terminée",E583="Préventif",T583=0,OR(IFERROR(INDEX(pl_trig,MATCH(F583,pl_num,0))&amp;"","")="Compteur",IFERROR(INDEX(pl_trig,MATCH(F583,pl_num,0))&amp;"","")="Au premier des deux")),"Compteur manquant (plan au compteur)","OK"))))))))))))))))))</f>
        <v/>
      </c>
      <c r="S583" s="67">
        <f>IF(AND(ISNUMBER(B583),N(B583)&gt;0),INT(B583),0)</f>
        <v>0.0</v>
      </c>
      <c r="T583" s="67">
        <f>IF(AND(ISNUMBER(J583),N(J583)&gt;=0),N(J583),0)</f>
        <v>0.0</v>
      </c>
      <c r="U583" s="67">
        <f>IF(AND(ISNUMBER(K583),N(K583)&gt;0),N(K583),0)</f>
        <v>0.0</v>
      </c>
      <c r="V583" s="67">
        <f>IF(AND(ISNUMBER(L583),N(L583)&gt;0),N(L583),0)</f>
        <v>0.0</v>
      </c>
      <c r="W583" s="67">
        <f>IF(AND(I583="Terminée",S583&gt;0,C583&lt;&gt;"",ISNUMBER(MATCH(C583,eq_code,0))),1,0)</f>
        <v>0.0</v>
      </c>
      <c r="X583" s="67">
        <f>IF(AND(W583=1,E583="Préventif"),1,0)</f>
        <v>0.0</v>
      </c>
      <c r="Y583" s="67">
        <f>IF(AND(ISNUMBER(N583),N(N583)&gt;0),N(N583),0)</f>
        <v>0.0</v>
      </c>
      <c r="Z583" s="67">
        <f>IF(AND(ISNUMBER(P583),N(P583)&gt;0),N(P583),0)</f>
        <v>0.0</v>
      </c>
    </row>
    <row r="584">
      <c r="A584" s="79" t="str">
        <f>IF(COUNTA(B584:C584,E584:G584,I584)=0,"","BI-"&amp;RIGHT("0000"&amp;(ROW()-5),4))</f>
        <v/>
      </c>
      <c r="B584" s="72" t="n"/>
      <c r="C584" s="66" t="n"/>
      <c r="D584" s="67" t="str">
        <f>IF(C584="","",IFERROR(INDEX(eq_des,MATCH(C584,eq_code,0))&amp;"","Équipement inconnu"))</f>
        <v/>
      </c>
      <c r="E584" s="68" t="n"/>
      <c r="F584" s="68" t="n"/>
      <c r="G584" s="66" t="n"/>
      <c r="H584" s="66" t="n"/>
      <c r="I584" s="68" t="n"/>
      <c r="J584" s="73" t="n"/>
      <c r="K584" s="71" t="n"/>
      <c r="L584" s="71" t="n"/>
      <c r="M584" s="66" t="n"/>
      <c r="N584" s="80" t="n"/>
      <c r="O584" s="81" t="str">
        <f>IF(A584="","",ROUND(V584*IFERROR(N(INDEX(tech_rate,MATCH(M584,tech_name,0))),0),2))</f>
        <v/>
      </c>
      <c r="P584" s="80" t="n"/>
      <c r="Q584" s="81" t="str">
        <f>IF(A584="","",ROUND(Y584+O584+Z584,2))</f>
        <v/>
      </c>
      <c r="R584" s="79" t="str">
        <f>IF(A584="","",IF(S584=0,"Date manquante ou invalide",IF(C584="","Équipement manquant",IF(ISNA(MATCH(C584,eq_code,0)),"Équipement inconnu",IF(E584="","Type manquant",IF(AND(E584&lt;&gt;"Préventif",E584&lt;&gt;"Correctif",E584&lt;&gt;"Amélioratif"),"Type inconnu",IF(I584="","Statut manquant",IF(AND(I584&lt;&gt;"Terminée",I584&lt;&gt;"En cours",I584&lt;&gt;"À faire",I584&lt;&gt;"Annulée"),"Statut inconnu",IF(AND(E584="Préventif",F584=""),"Plan manquant (préventif)",IF(AND(F584&lt;&gt;"",ISNA(MATCH(F584,pl_num,0))),"Plan inconnu",IF(AND(F584&lt;&gt;"",IFERROR(INDEX(pl_eq,MATCH(F584,pl_num,0))&amp;"",C584)&lt;&gt;C584),"Plan d'un autre équipement",IF(AND(J584&lt;&gt;"",OR(NOT(ISNUMBER(J584)),N(J584)&lt;0)),"Compteur invalide",IF(OR(AND(K584&lt;&gt;"",OR(NOT(ISNUMBER(K584)),N(K584)&lt;0)),AND(L584&lt;&gt;"",OR(NOT(ISNUMBER(L584)),N(L584)&lt;0))),"Durée invalide",IF(OR(AND(N584&lt;&gt;"",OR(NOT(ISNUMBER(N584)),N(N584)&lt;0)),AND(P584&lt;&gt;"",OR(NOT(ISNUMBER(P584)),N(P584)&lt;0))),"Coût invalide",IF(AND(M584&lt;&gt;"",ISNA(MATCH(M584,tech_name,0))),"Technicien inconnu",IF(AND(I584="Terminée",S584&gt;p_today),"Terminée à une date future",IF(AND(I584="Terminée",V584=0),"Durée d'intervention manquante",IF(AND(I584="Terminée",E584="Préventif",T584=0,OR(IFERROR(INDEX(pl_trig,MATCH(F584,pl_num,0))&amp;"","")="Compteur",IFERROR(INDEX(pl_trig,MATCH(F584,pl_num,0))&amp;"","")="Au premier des deux")),"Compteur manquant (plan au compteur)","OK"))))))))))))))))))</f>
        <v/>
      </c>
      <c r="S584" s="67">
        <f>IF(AND(ISNUMBER(B584),N(B584)&gt;0),INT(B584),0)</f>
        <v>0.0</v>
      </c>
      <c r="T584" s="67">
        <f>IF(AND(ISNUMBER(J584),N(J584)&gt;=0),N(J584),0)</f>
        <v>0.0</v>
      </c>
      <c r="U584" s="67">
        <f>IF(AND(ISNUMBER(K584),N(K584)&gt;0),N(K584),0)</f>
        <v>0.0</v>
      </c>
      <c r="V584" s="67">
        <f>IF(AND(ISNUMBER(L584),N(L584)&gt;0),N(L584),0)</f>
        <v>0.0</v>
      </c>
      <c r="W584" s="67">
        <f>IF(AND(I584="Terminée",S584&gt;0,C584&lt;&gt;"",ISNUMBER(MATCH(C584,eq_code,0))),1,0)</f>
        <v>0.0</v>
      </c>
      <c r="X584" s="67">
        <f>IF(AND(W584=1,E584="Préventif"),1,0)</f>
        <v>0.0</v>
      </c>
      <c r="Y584" s="67">
        <f>IF(AND(ISNUMBER(N584),N(N584)&gt;0),N(N584),0)</f>
        <v>0.0</v>
      </c>
      <c r="Z584" s="67">
        <f>IF(AND(ISNUMBER(P584),N(P584)&gt;0),N(P584),0)</f>
        <v>0.0</v>
      </c>
    </row>
    <row r="585">
      <c r="A585" s="79" t="str">
        <f>IF(COUNTA(B585:C585,E585:G585,I585)=0,"","BI-"&amp;RIGHT("0000"&amp;(ROW()-5),4))</f>
        <v/>
      </c>
      <c r="B585" s="72" t="n"/>
      <c r="C585" s="66" t="n"/>
      <c r="D585" s="67" t="str">
        <f>IF(C585="","",IFERROR(INDEX(eq_des,MATCH(C585,eq_code,0))&amp;"","Équipement inconnu"))</f>
        <v/>
      </c>
      <c r="E585" s="68" t="n"/>
      <c r="F585" s="68" t="n"/>
      <c r="G585" s="66" t="n"/>
      <c r="H585" s="66" t="n"/>
      <c r="I585" s="68" t="n"/>
      <c r="J585" s="73" t="n"/>
      <c r="K585" s="71" t="n"/>
      <c r="L585" s="71" t="n"/>
      <c r="M585" s="66" t="n"/>
      <c r="N585" s="80" t="n"/>
      <c r="O585" s="81" t="str">
        <f>IF(A585="","",ROUND(V585*IFERROR(N(INDEX(tech_rate,MATCH(M585,tech_name,0))),0),2))</f>
        <v/>
      </c>
      <c r="P585" s="80" t="n"/>
      <c r="Q585" s="81" t="str">
        <f>IF(A585="","",ROUND(Y585+O585+Z585,2))</f>
        <v/>
      </c>
      <c r="R585" s="79" t="str">
        <f>IF(A585="","",IF(S585=0,"Date manquante ou invalide",IF(C585="","Équipement manquant",IF(ISNA(MATCH(C585,eq_code,0)),"Équipement inconnu",IF(E585="","Type manquant",IF(AND(E585&lt;&gt;"Préventif",E585&lt;&gt;"Correctif",E585&lt;&gt;"Amélioratif"),"Type inconnu",IF(I585="","Statut manquant",IF(AND(I585&lt;&gt;"Terminée",I585&lt;&gt;"En cours",I585&lt;&gt;"À faire",I585&lt;&gt;"Annulée"),"Statut inconnu",IF(AND(E585="Préventif",F585=""),"Plan manquant (préventif)",IF(AND(F585&lt;&gt;"",ISNA(MATCH(F585,pl_num,0))),"Plan inconnu",IF(AND(F585&lt;&gt;"",IFERROR(INDEX(pl_eq,MATCH(F585,pl_num,0))&amp;"",C585)&lt;&gt;C585),"Plan d'un autre équipement",IF(AND(J585&lt;&gt;"",OR(NOT(ISNUMBER(J585)),N(J585)&lt;0)),"Compteur invalide",IF(OR(AND(K585&lt;&gt;"",OR(NOT(ISNUMBER(K585)),N(K585)&lt;0)),AND(L585&lt;&gt;"",OR(NOT(ISNUMBER(L585)),N(L585)&lt;0))),"Durée invalide",IF(OR(AND(N585&lt;&gt;"",OR(NOT(ISNUMBER(N585)),N(N585)&lt;0)),AND(P585&lt;&gt;"",OR(NOT(ISNUMBER(P585)),N(P585)&lt;0))),"Coût invalide",IF(AND(M585&lt;&gt;"",ISNA(MATCH(M585,tech_name,0))),"Technicien inconnu",IF(AND(I585="Terminée",S585&gt;p_today),"Terminée à une date future",IF(AND(I585="Terminée",V585=0),"Durée d'intervention manquante",IF(AND(I585="Terminée",E585="Préventif",T585=0,OR(IFERROR(INDEX(pl_trig,MATCH(F585,pl_num,0))&amp;"","")="Compteur",IFERROR(INDEX(pl_trig,MATCH(F585,pl_num,0))&amp;"","")="Au premier des deux")),"Compteur manquant (plan au compteur)","OK"))))))))))))))))))</f>
        <v/>
      </c>
      <c r="S585" s="67">
        <f>IF(AND(ISNUMBER(B585),N(B585)&gt;0),INT(B585),0)</f>
        <v>0.0</v>
      </c>
      <c r="T585" s="67">
        <f>IF(AND(ISNUMBER(J585),N(J585)&gt;=0),N(J585),0)</f>
        <v>0.0</v>
      </c>
      <c r="U585" s="67">
        <f>IF(AND(ISNUMBER(K585),N(K585)&gt;0),N(K585),0)</f>
        <v>0.0</v>
      </c>
      <c r="V585" s="67">
        <f>IF(AND(ISNUMBER(L585),N(L585)&gt;0),N(L585),0)</f>
        <v>0.0</v>
      </c>
      <c r="W585" s="67">
        <f>IF(AND(I585="Terminée",S585&gt;0,C585&lt;&gt;"",ISNUMBER(MATCH(C585,eq_code,0))),1,0)</f>
        <v>0.0</v>
      </c>
      <c r="X585" s="67">
        <f>IF(AND(W585=1,E585="Préventif"),1,0)</f>
        <v>0.0</v>
      </c>
      <c r="Y585" s="67">
        <f>IF(AND(ISNUMBER(N585),N(N585)&gt;0),N(N585),0)</f>
        <v>0.0</v>
      </c>
      <c r="Z585" s="67">
        <f>IF(AND(ISNUMBER(P585),N(P585)&gt;0),N(P585),0)</f>
        <v>0.0</v>
      </c>
    </row>
    <row r="586">
      <c r="A586" s="79" t="str">
        <f>IF(COUNTA(B586:C586,E586:G586,I586)=0,"","BI-"&amp;RIGHT("0000"&amp;(ROW()-5),4))</f>
        <v/>
      </c>
      <c r="B586" s="72" t="n"/>
      <c r="C586" s="66" t="n"/>
      <c r="D586" s="67" t="str">
        <f>IF(C586="","",IFERROR(INDEX(eq_des,MATCH(C586,eq_code,0))&amp;"","Équipement inconnu"))</f>
        <v/>
      </c>
      <c r="E586" s="68" t="n"/>
      <c r="F586" s="68" t="n"/>
      <c r="G586" s="66" t="n"/>
      <c r="H586" s="66" t="n"/>
      <c r="I586" s="68" t="n"/>
      <c r="J586" s="73" t="n"/>
      <c r="K586" s="71" t="n"/>
      <c r="L586" s="71" t="n"/>
      <c r="M586" s="66" t="n"/>
      <c r="N586" s="80" t="n"/>
      <c r="O586" s="81" t="str">
        <f>IF(A586="","",ROUND(V586*IFERROR(N(INDEX(tech_rate,MATCH(M586,tech_name,0))),0),2))</f>
        <v/>
      </c>
      <c r="P586" s="80" t="n"/>
      <c r="Q586" s="81" t="str">
        <f>IF(A586="","",ROUND(Y586+O586+Z586,2))</f>
        <v/>
      </c>
      <c r="R586" s="79" t="str">
        <f>IF(A586="","",IF(S586=0,"Date manquante ou invalide",IF(C586="","Équipement manquant",IF(ISNA(MATCH(C586,eq_code,0)),"Équipement inconnu",IF(E586="","Type manquant",IF(AND(E586&lt;&gt;"Préventif",E586&lt;&gt;"Correctif",E586&lt;&gt;"Amélioratif"),"Type inconnu",IF(I586="","Statut manquant",IF(AND(I586&lt;&gt;"Terminée",I586&lt;&gt;"En cours",I586&lt;&gt;"À faire",I586&lt;&gt;"Annulée"),"Statut inconnu",IF(AND(E586="Préventif",F586=""),"Plan manquant (préventif)",IF(AND(F586&lt;&gt;"",ISNA(MATCH(F586,pl_num,0))),"Plan inconnu",IF(AND(F586&lt;&gt;"",IFERROR(INDEX(pl_eq,MATCH(F586,pl_num,0))&amp;"",C586)&lt;&gt;C586),"Plan d'un autre équipement",IF(AND(J586&lt;&gt;"",OR(NOT(ISNUMBER(J586)),N(J586)&lt;0)),"Compteur invalide",IF(OR(AND(K586&lt;&gt;"",OR(NOT(ISNUMBER(K586)),N(K586)&lt;0)),AND(L586&lt;&gt;"",OR(NOT(ISNUMBER(L586)),N(L586)&lt;0))),"Durée invalide",IF(OR(AND(N586&lt;&gt;"",OR(NOT(ISNUMBER(N586)),N(N586)&lt;0)),AND(P586&lt;&gt;"",OR(NOT(ISNUMBER(P586)),N(P586)&lt;0))),"Coût invalide",IF(AND(M586&lt;&gt;"",ISNA(MATCH(M586,tech_name,0))),"Technicien inconnu",IF(AND(I586="Terminée",S586&gt;p_today),"Terminée à une date future",IF(AND(I586="Terminée",V586=0),"Durée d'intervention manquante",IF(AND(I586="Terminée",E586="Préventif",T586=0,OR(IFERROR(INDEX(pl_trig,MATCH(F586,pl_num,0))&amp;"","")="Compteur",IFERROR(INDEX(pl_trig,MATCH(F586,pl_num,0))&amp;"","")="Au premier des deux")),"Compteur manquant (plan au compteur)","OK"))))))))))))))))))</f>
        <v/>
      </c>
      <c r="S586" s="67">
        <f>IF(AND(ISNUMBER(B586),N(B586)&gt;0),INT(B586),0)</f>
        <v>0.0</v>
      </c>
      <c r="T586" s="67">
        <f>IF(AND(ISNUMBER(J586),N(J586)&gt;=0),N(J586),0)</f>
        <v>0.0</v>
      </c>
      <c r="U586" s="67">
        <f>IF(AND(ISNUMBER(K586),N(K586)&gt;0),N(K586),0)</f>
        <v>0.0</v>
      </c>
      <c r="V586" s="67">
        <f>IF(AND(ISNUMBER(L586),N(L586)&gt;0),N(L586),0)</f>
        <v>0.0</v>
      </c>
      <c r="W586" s="67">
        <f>IF(AND(I586="Terminée",S586&gt;0,C586&lt;&gt;"",ISNUMBER(MATCH(C586,eq_code,0))),1,0)</f>
        <v>0.0</v>
      </c>
      <c r="X586" s="67">
        <f>IF(AND(W586=1,E586="Préventif"),1,0)</f>
        <v>0.0</v>
      </c>
      <c r="Y586" s="67">
        <f>IF(AND(ISNUMBER(N586),N(N586)&gt;0),N(N586),0)</f>
        <v>0.0</v>
      </c>
      <c r="Z586" s="67">
        <f>IF(AND(ISNUMBER(P586),N(P586)&gt;0),N(P586),0)</f>
        <v>0.0</v>
      </c>
    </row>
    <row r="587">
      <c r="A587" s="79" t="str">
        <f>IF(COUNTA(B587:C587,E587:G587,I587)=0,"","BI-"&amp;RIGHT("0000"&amp;(ROW()-5),4))</f>
        <v/>
      </c>
      <c r="B587" s="72" t="n"/>
      <c r="C587" s="66" t="n"/>
      <c r="D587" s="67" t="str">
        <f>IF(C587="","",IFERROR(INDEX(eq_des,MATCH(C587,eq_code,0))&amp;"","Équipement inconnu"))</f>
        <v/>
      </c>
      <c r="E587" s="68" t="n"/>
      <c r="F587" s="68" t="n"/>
      <c r="G587" s="66" t="n"/>
      <c r="H587" s="66" t="n"/>
      <c r="I587" s="68" t="n"/>
      <c r="J587" s="73" t="n"/>
      <c r="K587" s="71" t="n"/>
      <c r="L587" s="71" t="n"/>
      <c r="M587" s="66" t="n"/>
      <c r="N587" s="80" t="n"/>
      <c r="O587" s="81" t="str">
        <f>IF(A587="","",ROUND(V587*IFERROR(N(INDEX(tech_rate,MATCH(M587,tech_name,0))),0),2))</f>
        <v/>
      </c>
      <c r="P587" s="80" t="n"/>
      <c r="Q587" s="81" t="str">
        <f>IF(A587="","",ROUND(Y587+O587+Z587,2))</f>
        <v/>
      </c>
      <c r="R587" s="79" t="str">
        <f>IF(A587="","",IF(S587=0,"Date manquante ou invalide",IF(C587="","Équipement manquant",IF(ISNA(MATCH(C587,eq_code,0)),"Équipement inconnu",IF(E587="","Type manquant",IF(AND(E587&lt;&gt;"Préventif",E587&lt;&gt;"Correctif",E587&lt;&gt;"Amélioratif"),"Type inconnu",IF(I587="","Statut manquant",IF(AND(I587&lt;&gt;"Terminée",I587&lt;&gt;"En cours",I587&lt;&gt;"À faire",I587&lt;&gt;"Annulée"),"Statut inconnu",IF(AND(E587="Préventif",F587=""),"Plan manquant (préventif)",IF(AND(F587&lt;&gt;"",ISNA(MATCH(F587,pl_num,0))),"Plan inconnu",IF(AND(F587&lt;&gt;"",IFERROR(INDEX(pl_eq,MATCH(F587,pl_num,0))&amp;"",C587)&lt;&gt;C587),"Plan d'un autre équipement",IF(AND(J587&lt;&gt;"",OR(NOT(ISNUMBER(J587)),N(J587)&lt;0)),"Compteur invalide",IF(OR(AND(K587&lt;&gt;"",OR(NOT(ISNUMBER(K587)),N(K587)&lt;0)),AND(L587&lt;&gt;"",OR(NOT(ISNUMBER(L587)),N(L587)&lt;0))),"Durée invalide",IF(OR(AND(N587&lt;&gt;"",OR(NOT(ISNUMBER(N587)),N(N587)&lt;0)),AND(P587&lt;&gt;"",OR(NOT(ISNUMBER(P587)),N(P587)&lt;0))),"Coût invalide",IF(AND(M587&lt;&gt;"",ISNA(MATCH(M587,tech_name,0))),"Technicien inconnu",IF(AND(I587="Terminée",S587&gt;p_today),"Terminée à une date future",IF(AND(I587="Terminée",V587=0),"Durée d'intervention manquante",IF(AND(I587="Terminée",E587="Préventif",T587=0,OR(IFERROR(INDEX(pl_trig,MATCH(F587,pl_num,0))&amp;"","")="Compteur",IFERROR(INDEX(pl_trig,MATCH(F587,pl_num,0))&amp;"","")="Au premier des deux")),"Compteur manquant (plan au compteur)","OK"))))))))))))))))))</f>
        <v/>
      </c>
      <c r="S587" s="67">
        <f>IF(AND(ISNUMBER(B587),N(B587)&gt;0),INT(B587),0)</f>
        <v>0.0</v>
      </c>
      <c r="T587" s="67">
        <f>IF(AND(ISNUMBER(J587),N(J587)&gt;=0),N(J587),0)</f>
        <v>0.0</v>
      </c>
      <c r="U587" s="67">
        <f>IF(AND(ISNUMBER(K587),N(K587)&gt;0),N(K587),0)</f>
        <v>0.0</v>
      </c>
      <c r="V587" s="67">
        <f>IF(AND(ISNUMBER(L587),N(L587)&gt;0),N(L587),0)</f>
        <v>0.0</v>
      </c>
      <c r="W587" s="67">
        <f>IF(AND(I587="Terminée",S587&gt;0,C587&lt;&gt;"",ISNUMBER(MATCH(C587,eq_code,0))),1,0)</f>
        <v>0.0</v>
      </c>
      <c r="X587" s="67">
        <f>IF(AND(W587=1,E587="Préventif"),1,0)</f>
        <v>0.0</v>
      </c>
      <c r="Y587" s="67">
        <f>IF(AND(ISNUMBER(N587),N(N587)&gt;0),N(N587),0)</f>
        <v>0.0</v>
      </c>
      <c r="Z587" s="67">
        <f>IF(AND(ISNUMBER(P587),N(P587)&gt;0),N(P587),0)</f>
        <v>0.0</v>
      </c>
    </row>
    <row r="588">
      <c r="A588" s="79" t="str">
        <f>IF(COUNTA(B588:C588,E588:G588,I588)=0,"","BI-"&amp;RIGHT("0000"&amp;(ROW()-5),4))</f>
        <v/>
      </c>
      <c r="B588" s="72" t="n"/>
      <c r="C588" s="66" t="n"/>
      <c r="D588" s="67" t="str">
        <f>IF(C588="","",IFERROR(INDEX(eq_des,MATCH(C588,eq_code,0))&amp;"","Équipement inconnu"))</f>
        <v/>
      </c>
      <c r="E588" s="68" t="n"/>
      <c r="F588" s="68" t="n"/>
      <c r="G588" s="66" t="n"/>
      <c r="H588" s="66" t="n"/>
      <c r="I588" s="68" t="n"/>
      <c r="J588" s="73" t="n"/>
      <c r="K588" s="71" t="n"/>
      <c r="L588" s="71" t="n"/>
      <c r="M588" s="66" t="n"/>
      <c r="N588" s="80" t="n"/>
      <c r="O588" s="81" t="str">
        <f>IF(A588="","",ROUND(V588*IFERROR(N(INDEX(tech_rate,MATCH(M588,tech_name,0))),0),2))</f>
        <v/>
      </c>
      <c r="P588" s="80" t="n"/>
      <c r="Q588" s="81" t="str">
        <f>IF(A588="","",ROUND(Y588+O588+Z588,2))</f>
        <v/>
      </c>
      <c r="R588" s="79" t="str">
        <f>IF(A588="","",IF(S588=0,"Date manquante ou invalide",IF(C588="","Équipement manquant",IF(ISNA(MATCH(C588,eq_code,0)),"Équipement inconnu",IF(E588="","Type manquant",IF(AND(E588&lt;&gt;"Préventif",E588&lt;&gt;"Correctif",E588&lt;&gt;"Amélioratif"),"Type inconnu",IF(I588="","Statut manquant",IF(AND(I588&lt;&gt;"Terminée",I588&lt;&gt;"En cours",I588&lt;&gt;"À faire",I588&lt;&gt;"Annulée"),"Statut inconnu",IF(AND(E588="Préventif",F588=""),"Plan manquant (préventif)",IF(AND(F588&lt;&gt;"",ISNA(MATCH(F588,pl_num,0))),"Plan inconnu",IF(AND(F588&lt;&gt;"",IFERROR(INDEX(pl_eq,MATCH(F588,pl_num,0))&amp;"",C588)&lt;&gt;C588),"Plan d'un autre équipement",IF(AND(J588&lt;&gt;"",OR(NOT(ISNUMBER(J588)),N(J588)&lt;0)),"Compteur invalide",IF(OR(AND(K588&lt;&gt;"",OR(NOT(ISNUMBER(K588)),N(K588)&lt;0)),AND(L588&lt;&gt;"",OR(NOT(ISNUMBER(L588)),N(L588)&lt;0))),"Durée invalide",IF(OR(AND(N588&lt;&gt;"",OR(NOT(ISNUMBER(N588)),N(N588)&lt;0)),AND(P588&lt;&gt;"",OR(NOT(ISNUMBER(P588)),N(P588)&lt;0))),"Coût invalide",IF(AND(M588&lt;&gt;"",ISNA(MATCH(M588,tech_name,0))),"Technicien inconnu",IF(AND(I588="Terminée",S588&gt;p_today),"Terminée à une date future",IF(AND(I588="Terminée",V588=0),"Durée d'intervention manquante",IF(AND(I588="Terminée",E588="Préventif",T588=0,OR(IFERROR(INDEX(pl_trig,MATCH(F588,pl_num,0))&amp;"","")="Compteur",IFERROR(INDEX(pl_trig,MATCH(F588,pl_num,0))&amp;"","")="Au premier des deux")),"Compteur manquant (plan au compteur)","OK"))))))))))))))))))</f>
        <v/>
      </c>
      <c r="S588" s="67">
        <f>IF(AND(ISNUMBER(B588),N(B588)&gt;0),INT(B588),0)</f>
        <v>0.0</v>
      </c>
      <c r="T588" s="67">
        <f>IF(AND(ISNUMBER(J588),N(J588)&gt;=0),N(J588),0)</f>
        <v>0.0</v>
      </c>
      <c r="U588" s="67">
        <f>IF(AND(ISNUMBER(K588),N(K588)&gt;0),N(K588),0)</f>
        <v>0.0</v>
      </c>
      <c r="V588" s="67">
        <f>IF(AND(ISNUMBER(L588),N(L588)&gt;0),N(L588),0)</f>
        <v>0.0</v>
      </c>
      <c r="W588" s="67">
        <f>IF(AND(I588="Terminée",S588&gt;0,C588&lt;&gt;"",ISNUMBER(MATCH(C588,eq_code,0))),1,0)</f>
        <v>0.0</v>
      </c>
      <c r="X588" s="67">
        <f>IF(AND(W588=1,E588="Préventif"),1,0)</f>
        <v>0.0</v>
      </c>
      <c r="Y588" s="67">
        <f>IF(AND(ISNUMBER(N588),N(N588)&gt;0),N(N588),0)</f>
        <v>0.0</v>
      </c>
      <c r="Z588" s="67">
        <f>IF(AND(ISNUMBER(P588),N(P588)&gt;0),N(P588),0)</f>
        <v>0.0</v>
      </c>
    </row>
    <row r="589">
      <c r="A589" s="79" t="str">
        <f>IF(COUNTA(B589:C589,E589:G589,I589)=0,"","BI-"&amp;RIGHT("0000"&amp;(ROW()-5),4))</f>
        <v/>
      </c>
      <c r="B589" s="72" t="n"/>
      <c r="C589" s="66" t="n"/>
      <c r="D589" s="67" t="str">
        <f>IF(C589="","",IFERROR(INDEX(eq_des,MATCH(C589,eq_code,0))&amp;"","Équipement inconnu"))</f>
        <v/>
      </c>
      <c r="E589" s="68" t="n"/>
      <c r="F589" s="68" t="n"/>
      <c r="G589" s="66" t="n"/>
      <c r="H589" s="66" t="n"/>
      <c r="I589" s="68" t="n"/>
      <c r="J589" s="73" t="n"/>
      <c r="K589" s="71" t="n"/>
      <c r="L589" s="71" t="n"/>
      <c r="M589" s="66" t="n"/>
      <c r="N589" s="80" t="n"/>
      <c r="O589" s="81" t="str">
        <f>IF(A589="","",ROUND(V589*IFERROR(N(INDEX(tech_rate,MATCH(M589,tech_name,0))),0),2))</f>
        <v/>
      </c>
      <c r="P589" s="80" t="n"/>
      <c r="Q589" s="81" t="str">
        <f>IF(A589="","",ROUND(Y589+O589+Z589,2))</f>
        <v/>
      </c>
      <c r="R589" s="79" t="str">
        <f>IF(A589="","",IF(S589=0,"Date manquante ou invalide",IF(C589="","Équipement manquant",IF(ISNA(MATCH(C589,eq_code,0)),"Équipement inconnu",IF(E589="","Type manquant",IF(AND(E589&lt;&gt;"Préventif",E589&lt;&gt;"Correctif",E589&lt;&gt;"Amélioratif"),"Type inconnu",IF(I589="","Statut manquant",IF(AND(I589&lt;&gt;"Terminée",I589&lt;&gt;"En cours",I589&lt;&gt;"À faire",I589&lt;&gt;"Annulée"),"Statut inconnu",IF(AND(E589="Préventif",F589=""),"Plan manquant (préventif)",IF(AND(F589&lt;&gt;"",ISNA(MATCH(F589,pl_num,0))),"Plan inconnu",IF(AND(F589&lt;&gt;"",IFERROR(INDEX(pl_eq,MATCH(F589,pl_num,0))&amp;"",C589)&lt;&gt;C589),"Plan d'un autre équipement",IF(AND(J589&lt;&gt;"",OR(NOT(ISNUMBER(J589)),N(J589)&lt;0)),"Compteur invalide",IF(OR(AND(K589&lt;&gt;"",OR(NOT(ISNUMBER(K589)),N(K589)&lt;0)),AND(L589&lt;&gt;"",OR(NOT(ISNUMBER(L589)),N(L589)&lt;0))),"Durée invalide",IF(OR(AND(N589&lt;&gt;"",OR(NOT(ISNUMBER(N589)),N(N589)&lt;0)),AND(P589&lt;&gt;"",OR(NOT(ISNUMBER(P589)),N(P589)&lt;0))),"Coût invalide",IF(AND(M589&lt;&gt;"",ISNA(MATCH(M589,tech_name,0))),"Technicien inconnu",IF(AND(I589="Terminée",S589&gt;p_today),"Terminée à une date future",IF(AND(I589="Terminée",V589=0),"Durée d'intervention manquante",IF(AND(I589="Terminée",E589="Préventif",T589=0,OR(IFERROR(INDEX(pl_trig,MATCH(F589,pl_num,0))&amp;"","")="Compteur",IFERROR(INDEX(pl_trig,MATCH(F589,pl_num,0))&amp;"","")="Au premier des deux")),"Compteur manquant (plan au compteur)","OK"))))))))))))))))))</f>
        <v/>
      </c>
      <c r="S589" s="67">
        <f>IF(AND(ISNUMBER(B589),N(B589)&gt;0),INT(B589),0)</f>
        <v>0.0</v>
      </c>
      <c r="T589" s="67">
        <f>IF(AND(ISNUMBER(J589),N(J589)&gt;=0),N(J589),0)</f>
        <v>0.0</v>
      </c>
      <c r="U589" s="67">
        <f>IF(AND(ISNUMBER(K589),N(K589)&gt;0),N(K589),0)</f>
        <v>0.0</v>
      </c>
      <c r="V589" s="67">
        <f>IF(AND(ISNUMBER(L589),N(L589)&gt;0),N(L589),0)</f>
        <v>0.0</v>
      </c>
      <c r="W589" s="67">
        <f>IF(AND(I589="Terminée",S589&gt;0,C589&lt;&gt;"",ISNUMBER(MATCH(C589,eq_code,0))),1,0)</f>
        <v>0.0</v>
      </c>
      <c r="X589" s="67">
        <f>IF(AND(W589=1,E589="Préventif"),1,0)</f>
        <v>0.0</v>
      </c>
      <c r="Y589" s="67">
        <f>IF(AND(ISNUMBER(N589),N(N589)&gt;0),N(N589),0)</f>
        <v>0.0</v>
      </c>
      <c r="Z589" s="67">
        <f>IF(AND(ISNUMBER(P589),N(P589)&gt;0),N(P589),0)</f>
        <v>0.0</v>
      </c>
    </row>
    <row r="590">
      <c r="A590" s="79" t="str">
        <f>IF(COUNTA(B590:C590,E590:G590,I590)=0,"","BI-"&amp;RIGHT("0000"&amp;(ROW()-5),4))</f>
        <v/>
      </c>
      <c r="B590" s="72" t="n"/>
      <c r="C590" s="66" t="n"/>
      <c r="D590" s="67" t="str">
        <f>IF(C590="","",IFERROR(INDEX(eq_des,MATCH(C590,eq_code,0))&amp;"","Équipement inconnu"))</f>
        <v/>
      </c>
      <c r="E590" s="68" t="n"/>
      <c r="F590" s="68" t="n"/>
      <c r="G590" s="66" t="n"/>
      <c r="H590" s="66" t="n"/>
      <c r="I590" s="68" t="n"/>
      <c r="J590" s="73" t="n"/>
      <c r="K590" s="71" t="n"/>
      <c r="L590" s="71" t="n"/>
      <c r="M590" s="66" t="n"/>
      <c r="N590" s="80" t="n"/>
      <c r="O590" s="81" t="str">
        <f>IF(A590="","",ROUND(V590*IFERROR(N(INDEX(tech_rate,MATCH(M590,tech_name,0))),0),2))</f>
        <v/>
      </c>
      <c r="P590" s="80" t="n"/>
      <c r="Q590" s="81" t="str">
        <f>IF(A590="","",ROUND(Y590+O590+Z590,2))</f>
        <v/>
      </c>
      <c r="R590" s="79" t="str">
        <f>IF(A590="","",IF(S590=0,"Date manquante ou invalide",IF(C590="","Équipement manquant",IF(ISNA(MATCH(C590,eq_code,0)),"Équipement inconnu",IF(E590="","Type manquant",IF(AND(E590&lt;&gt;"Préventif",E590&lt;&gt;"Correctif",E590&lt;&gt;"Amélioratif"),"Type inconnu",IF(I590="","Statut manquant",IF(AND(I590&lt;&gt;"Terminée",I590&lt;&gt;"En cours",I590&lt;&gt;"À faire",I590&lt;&gt;"Annulée"),"Statut inconnu",IF(AND(E590="Préventif",F590=""),"Plan manquant (préventif)",IF(AND(F590&lt;&gt;"",ISNA(MATCH(F590,pl_num,0))),"Plan inconnu",IF(AND(F590&lt;&gt;"",IFERROR(INDEX(pl_eq,MATCH(F590,pl_num,0))&amp;"",C590)&lt;&gt;C590),"Plan d'un autre équipement",IF(AND(J590&lt;&gt;"",OR(NOT(ISNUMBER(J590)),N(J590)&lt;0)),"Compteur invalide",IF(OR(AND(K590&lt;&gt;"",OR(NOT(ISNUMBER(K590)),N(K590)&lt;0)),AND(L590&lt;&gt;"",OR(NOT(ISNUMBER(L590)),N(L590)&lt;0))),"Durée invalide",IF(OR(AND(N590&lt;&gt;"",OR(NOT(ISNUMBER(N590)),N(N590)&lt;0)),AND(P590&lt;&gt;"",OR(NOT(ISNUMBER(P590)),N(P590)&lt;0))),"Coût invalide",IF(AND(M590&lt;&gt;"",ISNA(MATCH(M590,tech_name,0))),"Technicien inconnu",IF(AND(I590="Terminée",S590&gt;p_today),"Terminée à une date future",IF(AND(I590="Terminée",V590=0),"Durée d'intervention manquante",IF(AND(I590="Terminée",E590="Préventif",T590=0,OR(IFERROR(INDEX(pl_trig,MATCH(F590,pl_num,0))&amp;"","")="Compteur",IFERROR(INDEX(pl_trig,MATCH(F590,pl_num,0))&amp;"","")="Au premier des deux")),"Compteur manquant (plan au compteur)","OK"))))))))))))))))))</f>
        <v/>
      </c>
      <c r="S590" s="67">
        <f>IF(AND(ISNUMBER(B590),N(B590)&gt;0),INT(B590),0)</f>
        <v>0.0</v>
      </c>
      <c r="T590" s="67">
        <f>IF(AND(ISNUMBER(J590),N(J590)&gt;=0),N(J590),0)</f>
        <v>0.0</v>
      </c>
      <c r="U590" s="67">
        <f>IF(AND(ISNUMBER(K590),N(K590)&gt;0),N(K590),0)</f>
        <v>0.0</v>
      </c>
      <c r="V590" s="67">
        <f>IF(AND(ISNUMBER(L590),N(L590)&gt;0),N(L590),0)</f>
        <v>0.0</v>
      </c>
      <c r="W590" s="67">
        <f>IF(AND(I590="Terminée",S590&gt;0,C590&lt;&gt;"",ISNUMBER(MATCH(C590,eq_code,0))),1,0)</f>
        <v>0.0</v>
      </c>
      <c r="X590" s="67">
        <f>IF(AND(W590=1,E590="Préventif"),1,0)</f>
        <v>0.0</v>
      </c>
      <c r="Y590" s="67">
        <f>IF(AND(ISNUMBER(N590),N(N590)&gt;0),N(N590),0)</f>
        <v>0.0</v>
      </c>
      <c r="Z590" s="67">
        <f>IF(AND(ISNUMBER(P590),N(P590)&gt;0),N(P590),0)</f>
        <v>0.0</v>
      </c>
    </row>
    <row r="591">
      <c r="A591" s="79" t="str">
        <f>IF(COUNTA(B591:C591,E591:G591,I591)=0,"","BI-"&amp;RIGHT("0000"&amp;(ROW()-5),4))</f>
        <v/>
      </c>
      <c r="B591" s="72" t="n"/>
      <c r="C591" s="66" t="n"/>
      <c r="D591" s="67" t="str">
        <f>IF(C591="","",IFERROR(INDEX(eq_des,MATCH(C591,eq_code,0))&amp;"","Équipement inconnu"))</f>
        <v/>
      </c>
      <c r="E591" s="68" t="n"/>
      <c r="F591" s="68" t="n"/>
      <c r="G591" s="66" t="n"/>
      <c r="H591" s="66" t="n"/>
      <c r="I591" s="68" t="n"/>
      <c r="J591" s="73" t="n"/>
      <c r="K591" s="71" t="n"/>
      <c r="L591" s="71" t="n"/>
      <c r="M591" s="66" t="n"/>
      <c r="N591" s="80" t="n"/>
      <c r="O591" s="81" t="str">
        <f>IF(A591="","",ROUND(V591*IFERROR(N(INDEX(tech_rate,MATCH(M591,tech_name,0))),0),2))</f>
        <v/>
      </c>
      <c r="P591" s="80" t="n"/>
      <c r="Q591" s="81" t="str">
        <f>IF(A591="","",ROUND(Y591+O591+Z591,2))</f>
        <v/>
      </c>
      <c r="R591" s="79" t="str">
        <f>IF(A591="","",IF(S591=0,"Date manquante ou invalide",IF(C591="","Équipement manquant",IF(ISNA(MATCH(C591,eq_code,0)),"Équipement inconnu",IF(E591="","Type manquant",IF(AND(E591&lt;&gt;"Préventif",E591&lt;&gt;"Correctif",E591&lt;&gt;"Amélioratif"),"Type inconnu",IF(I591="","Statut manquant",IF(AND(I591&lt;&gt;"Terminée",I591&lt;&gt;"En cours",I591&lt;&gt;"À faire",I591&lt;&gt;"Annulée"),"Statut inconnu",IF(AND(E591="Préventif",F591=""),"Plan manquant (préventif)",IF(AND(F591&lt;&gt;"",ISNA(MATCH(F591,pl_num,0))),"Plan inconnu",IF(AND(F591&lt;&gt;"",IFERROR(INDEX(pl_eq,MATCH(F591,pl_num,0))&amp;"",C591)&lt;&gt;C591),"Plan d'un autre équipement",IF(AND(J591&lt;&gt;"",OR(NOT(ISNUMBER(J591)),N(J591)&lt;0)),"Compteur invalide",IF(OR(AND(K591&lt;&gt;"",OR(NOT(ISNUMBER(K591)),N(K591)&lt;0)),AND(L591&lt;&gt;"",OR(NOT(ISNUMBER(L591)),N(L591)&lt;0))),"Durée invalide",IF(OR(AND(N591&lt;&gt;"",OR(NOT(ISNUMBER(N591)),N(N591)&lt;0)),AND(P591&lt;&gt;"",OR(NOT(ISNUMBER(P591)),N(P591)&lt;0))),"Coût invalide",IF(AND(M591&lt;&gt;"",ISNA(MATCH(M591,tech_name,0))),"Technicien inconnu",IF(AND(I591="Terminée",S591&gt;p_today),"Terminée à une date future",IF(AND(I591="Terminée",V591=0),"Durée d'intervention manquante",IF(AND(I591="Terminée",E591="Préventif",T591=0,OR(IFERROR(INDEX(pl_trig,MATCH(F591,pl_num,0))&amp;"","")="Compteur",IFERROR(INDEX(pl_trig,MATCH(F591,pl_num,0))&amp;"","")="Au premier des deux")),"Compteur manquant (plan au compteur)","OK"))))))))))))))))))</f>
        <v/>
      </c>
      <c r="S591" s="67">
        <f>IF(AND(ISNUMBER(B591),N(B591)&gt;0),INT(B591),0)</f>
        <v>0.0</v>
      </c>
      <c r="T591" s="67">
        <f>IF(AND(ISNUMBER(J591),N(J591)&gt;=0),N(J591),0)</f>
        <v>0.0</v>
      </c>
      <c r="U591" s="67">
        <f>IF(AND(ISNUMBER(K591),N(K591)&gt;0),N(K591),0)</f>
        <v>0.0</v>
      </c>
      <c r="V591" s="67">
        <f>IF(AND(ISNUMBER(L591),N(L591)&gt;0),N(L591),0)</f>
        <v>0.0</v>
      </c>
      <c r="W591" s="67">
        <f>IF(AND(I591="Terminée",S591&gt;0,C591&lt;&gt;"",ISNUMBER(MATCH(C591,eq_code,0))),1,0)</f>
        <v>0.0</v>
      </c>
      <c r="X591" s="67">
        <f>IF(AND(W591=1,E591="Préventif"),1,0)</f>
        <v>0.0</v>
      </c>
      <c r="Y591" s="67">
        <f>IF(AND(ISNUMBER(N591),N(N591)&gt;0),N(N591),0)</f>
        <v>0.0</v>
      </c>
      <c r="Z591" s="67">
        <f>IF(AND(ISNUMBER(P591),N(P591)&gt;0),N(P591),0)</f>
        <v>0.0</v>
      </c>
    </row>
    <row r="592">
      <c r="A592" s="79" t="str">
        <f>IF(COUNTA(B592:C592,E592:G592,I592)=0,"","BI-"&amp;RIGHT("0000"&amp;(ROW()-5),4))</f>
        <v/>
      </c>
      <c r="B592" s="72" t="n"/>
      <c r="C592" s="66" t="n"/>
      <c r="D592" s="67" t="str">
        <f>IF(C592="","",IFERROR(INDEX(eq_des,MATCH(C592,eq_code,0))&amp;"","Équipement inconnu"))</f>
        <v/>
      </c>
      <c r="E592" s="68" t="n"/>
      <c r="F592" s="68" t="n"/>
      <c r="G592" s="66" t="n"/>
      <c r="H592" s="66" t="n"/>
      <c r="I592" s="68" t="n"/>
      <c r="J592" s="73" t="n"/>
      <c r="K592" s="71" t="n"/>
      <c r="L592" s="71" t="n"/>
      <c r="M592" s="66" t="n"/>
      <c r="N592" s="80" t="n"/>
      <c r="O592" s="81" t="str">
        <f>IF(A592="","",ROUND(V592*IFERROR(N(INDEX(tech_rate,MATCH(M592,tech_name,0))),0),2))</f>
        <v/>
      </c>
      <c r="P592" s="80" t="n"/>
      <c r="Q592" s="81" t="str">
        <f>IF(A592="","",ROUND(Y592+O592+Z592,2))</f>
        <v/>
      </c>
      <c r="R592" s="79" t="str">
        <f>IF(A592="","",IF(S592=0,"Date manquante ou invalide",IF(C592="","Équipement manquant",IF(ISNA(MATCH(C592,eq_code,0)),"Équipement inconnu",IF(E592="","Type manquant",IF(AND(E592&lt;&gt;"Préventif",E592&lt;&gt;"Correctif",E592&lt;&gt;"Amélioratif"),"Type inconnu",IF(I592="","Statut manquant",IF(AND(I592&lt;&gt;"Terminée",I592&lt;&gt;"En cours",I592&lt;&gt;"À faire",I592&lt;&gt;"Annulée"),"Statut inconnu",IF(AND(E592="Préventif",F592=""),"Plan manquant (préventif)",IF(AND(F592&lt;&gt;"",ISNA(MATCH(F592,pl_num,0))),"Plan inconnu",IF(AND(F592&lt;&gt;"",IFERROR(INDEX(pl_eq,MATCH(F592,pl_num,0))&amp;"",C592)&lt;&gt;C592),"Plan d'un autre équipement",IF(AND(J592&lt;&gt;"",OR(NOT(ISNUMBER(J592)),N(J592)&lt;0)),"Compteur invalide",IF(OR(AND(K592&lt;&gt;"",OR(NOT(ISNUMBER(K592)),N(K592)&lt;0)),AND(L592&lt;&gt;"",OR(NOT(ISNUMBER(L592)),N(L592)&lt;0))),"Durée invalide",IF(OR(AND(N592&lt;&gt;"",OR(NOT(ISNUMBER(N592)),N(N592)&lt;0)),AND(P592&lt;&gt;"",OR(NOT(ISNUMBER(P592)),N(P592)&lt;0))),"Coût invalide",IF(AND(M592&lt;&gt;"",ISNA(MATCH(M592,tech_name,0))),"Technicien inconnu",IF(AND(I592="Terminée",S592&gt;p_today),"Terminée à une date future",IF(AND(I592="Terminée",V592=0),"Durée d'intervention manquante",IF(AND(I592="Terminée",E592="Préventif",T592=0,OR(IFERROR(INDEX(pl_trig,MATCH(F592,pl_num,0))&amp;"","")="Compteur",IFERROR(INDEX(pl_trig,MATCH(F592,pl_num,0))&amp;"","")="Au premier des deux")),"Compteur manquant (plan au compteur)","OK"))))))))))))))))))</f>
        <v/>
      </c>
      <c r="S592" s="67">
        <f>IF(AND(ISNUMBER(B592),N(B592)&gt;0),INT(B592),0)</f>
        <v>0.0</v>
      </c>
      <c r="T592" s="67">
        <f>IF(AND(ISNUMBER(J592),N(J592)&gt;=0),N(J592),0)</f>
        <v>0.0</v>
      </c>
      <c r="U592" s="67">
        <f>IF(AND(ISNUMBER(K592),N(K592)&gt;0),N(K592),0)</f>
        <v>0.0</v>
      </c>
      <c r="V592" s="67">
        <f>IF(AND(ISNUMBER(L592),N(L592)&gt;0),N(L592),0)</f>
        <v>0.0</v>
      </c>
      <c r="W592" s="67">
        <f>IF(AND(I592="Terminée",S592&gt;0,C592&lt;&gt;"",ISNUMBER(MATCH(C592,eq_code,0))),1,0)</f>
        <v>0.0</v>
      </c>
      <c r="X592" s="67">
        <f>IF(AND(W592=1,E592="Préventif"),1,0)</f>
        <v>0.0</v>
      </c>
      <c r="Y592" s="67">
        <f>IF(AND(ISNUMBER(N592),N(N592)&gt;0),N(N592),0)</f>
        <v>0.0</v>
      </c>
      <c r="Z592" s="67">
        <f>IF(AND(ISNUMBER(P592),N(P592)&gt;0),N(P592),0)</f>
        <v>0.0</v>
      </c>
    </row>
    <row r="593">
      <c r="A593" s="79" t="str">
        <f>IF(COUNTA(B593:C593,E593:G593,I593)=0,"","BI-"&amp;RIGHT("0000"&amp;(ROW()-5),4))</f>
        <v/>
      </c>
      <c r="B593" s="72" t="n"/>
      <c r="C593" s="66" t="n"/>
      <c r="D593" s="67" t="str">
        <f>IF(C593="","",IFERROR(INDEX(eq_des,MATCH(C593,eq_code,0))&amp;"","Équipement inconnu"))</f>
        <v/>
      </c>
      <c r="E593" s="68" t="n"/>
      <c r="F593" s="68" t="n"/>
      <c r="G593" s="66" t="n"/>
      <c r="H593" s="66" t="n"/>
      <c r="I593" s="68" t="n"/>
      <c r="J593" s="73" t="n"/>
      <c r="K593" s="71" t="n"/>
      <c r="L593" s="71" t="n"/>
      <c r="M593" s="66" t="n"/>
      <c r="N593" s="80" t="n"/>
      <c r="O593" s="81" t="str">
        <f>IF(A593="","",ROUND(V593*IFERROR(N(INDEX(tech_rate,MATCH(M593,tech_name,0))),0),2))</f>
        <v/>
      </c>
      <c r="P593" s="80" t="n"/>
      <c r="Q593" s="81" t="str">
        <f>IF(A593="","",ROUND(Y593+O593+Z593,2))</f>
        <v/>
      </c>
      <c r="R593" s="79" t="str">
        <f>IF(A593="","",IF(S593=0,"Date manquante ou invalide",IF(C593="","Équipement manquant",IF(ISNA(MATCH(C593,eq_code,0)),"Équipement inconnu",IF(E593="","Type manquant",IF(AND(E593&lt;&gt;"Préventif",E593&lt;&gt;"Correctif",E593&lt;&gt;"Amélioratif"),"Type inconnu",IF(I593="","Statut manquant",IF(AND(I593&lt;&gt;"Terminée",I593&lt;&gt;"En cours",I593&lt;&gt;"À faire",I593&lt;&gt;"Annulée"),"Statut inconnu",IF(AND(E593="Préventif",F593=""),"Plan manquant (préventif)",IF(AND(F593&lt;&gt;"",ISNA(MATCH(F593,pl_num,0))),"Plan inconnu",IF(AND(F593&lt;&gt;"",IFERROR(INDEX(pl_eq,MATCH(F593,pl_num,0))&amp;"",C593)&lt;&gt;C593),"Plan d'un autre équipement",IF(AND(J593&lt;&gt;"",OR(NOT(ISNUMBER(J593)),N(J593)&lt;0)),"Compteur invalide",IF(OR(AND(K593&lt;&gt;"",OR(NOT(ISNUMBER(K593)),N(K593)&lt;0)),AND(L593&lt;&gt;"",OR(NOT(ISNUMBER(L593)),N(L593)&lt;0))),"Durée invalide",IF(OR(AND(N593&lt;&gt;"",OR(NOT(ISNUMBER(N593)),N(N593)&lt;0)),AND(P593&lt;&gt;"",OR(NOT(ISNUMBER(P593)),N(P593)&lt;0))),"Coût invalide",IF(AND(M593&lt;&gt;"",ISNA(MATCH(M593,tech_name,0))),"Technicien inconnu",IF(AND(I593="Terminée",S593&gt;p_today),"Terminée à une date future",IF(AND(I593="Terminée",V593=0),"Durée d'intervention manquante",IF(AND(I593="Terminée",E593="Préventif",T593=0,OR(IFERROR(INDEX(pl_trig,MATCH(F593,pl_num,0))&amp;"","")="Compteur",IFERROR(INDEX(pl_trig,MATCH(F593,pl_num,0))&amp;"","")="Au premier des deux")),"Compteur manquant (plan au compteur)","OK"))))))))))))))))))</f>
        <v/>
      </c>
      <c r="S593" s="67">
        <f>IF(AND(ISNUMBER(B593),N(B593)&gt;0),INT(B593),0)</f>
        <v>0.0</v>
      </c>
      <c r="T593" s="67">
        <f>IF(AND(ISNUMBER(J593),N(J593)&gt;=0),N(J593),0)</f>
        <v>0.0</v>
      </c>
      <c r="U593" s="67">
        <f>IF(AND(ISNUMBER(K593),N(K593)&gt;0),N(K593),0)</f>
        <v>0.0</v>
      </c>
      <c r="V593" s="67">
        <f>IF(AND(ISNUMBER(L593),N(L593)&gt;0),N(L593),0)</f>
        <v>0.0</v>
      </c>
      <c r="W593" s="67">
        <f>IF(AND(I593="Terminée",S593&gt;0,C593&lt;&gt;"",ISNUMBER(MATCH(C593,eq_code,0))),1,0)</f>
        <v>0.0</v>
      </c>
      <c r="X593" s="67">
        <f>IF(AND(W593=1,E593="Préventif"),1,0)</f>
        <v>0.0</v>
      </c>
      <c r="Y593" s="67">
        <f>IF(AND(ISNUMBER(N593),N(N593)&gt;0),N(N593),0)</f>
        <v>0.0</v>
      </c>
      <c r="Z593" s="67">
        <f>IF(AND(ISNUMBER(P593),N(P593)&gt;0),N(P593),0)</f>
        <v>0.0</v>
      </c>
    </row>
    <row r="594">
      <c r="A594" s="79" t="str">
        <f>IF(COUNTA(B594:C594,E594:G594,I594)=0,"","BI-"&amp;RIGHT("0000"&amp;(ROW()-5),4))</f>
        <v/>
      </c>
      <c r="B594" s="72" t="n"/>
      <c r="C594" s="66" t="n"/>
      <c r="D594" s="67" t="str">
        <f>IF(C594="","",IFERROR(INDEX(eq_des,MATCH(C594,eq_code,0))&amp;"","Équipement inconnu"))</f>
        <v/>
      </c>
      <c r="E594" s="68" t="n"/>
      <c r="F594" s="68" t="n"/>
      <c r="G594" s="66" t="n"/>
      <c r="H594" s="66" t="n"/>
      <c r="I594" s="68" t="n"/>
      <c r="J594" s="73" t="n"/>
      <c r="K594" s="71" t="n"/>
      <c r="L594" s="71" t="n"/>
      <c r="M594" s="66" t="n"/>
      <c r="N594" s="80" t="n"/>
      <c r="O594" s="81" t="str">
        <f>IF(A594="","",ROUND(V594*IFERROR(N(INDEX(tech_rate,MATCH(M594,tech_name,0))),0),2))</f>
        <v/>
      </c>
      <c r="P594" s="80" t="n"/>
      <c r="Q594" s="81" t="str">
        <f>IF(A594="","",ROUND(Y594+O594+Z594,2))</f>
        <v/>
      </c>
      <c r="R594" s="79" t="str">
        <f>IF(A594="","",IF(S594=0,"Date manquante ou invalide",IF(C594="","Équipement manquant",IF(ISNA(MATCH(C594,eq_code,0)),"Équipement inconnu",IF(E594="","Type manquant",IF(AND(E594&lt;&gt;"Préventif",E594&lt;&gt;"Correctif",E594&lt;&gt;"Amélioratif"),"Type inconnu",IF(I594="","Statut manquant",IF(AND(I594&lt;&gt;"Terminée",I594&lt;&gt;"En cours",I594&lt;&gt;"À faire",I594&lt;&gt;"Annulée"),"Statut inconnu",IF(AND(E594="Préventif",F594=""),"Plan manquant (préventif)",IF(AND(F594&lt;&gt;"",ISNA(MATCH(F594,pl_num,0))),"Plan inconnu",IF(AND(F594&lt;&gt;"",IFERROR(INDEX(pl_eq,MATCH(F594,pl_num,0))&amp;"",C594)&lt;&gt;C594),"Plan d'un autre équipement",IF(AND(J594&lt;&gt;"",OR(NOT(ISNUMBER(J594)),N(J594)&lt;0)),"Compteur invalide",IF(OR(AND(K594&lt;&gt;"",OR(NOT(ISNUMBER(K594)),N(K594)&lt;0)),AND(L594&lt;&gt;"",OR(NOT(ISNUMBER(L594)),N(L594)&lt;0))),"Durée invalide",IF(OR(AND(N594&lt;&gt;"",OR(NOT(ISNUMBER(N594)),N(N594)&lt;0)),AND(P594&lt;&gt;"",OR(NOT(ISNUMBER(P594)),N(P594)&lt;0))),"Coût invalide",IF(AND(M594&lt;&gt;"",ISNA(MATCH(M594,tech_name,0))),"Technicien inconnu",IF(AND(I594="Terminée",S594&gt;p_today),"Terminée à une date future",IF(AND(I594="Terminée",V594=0),"Durée d'intervention manquante",IF(AND(I594="Terminée",E594="Préventif",T594=0,OR(IFERROR(INDEX(pl_trig,MATCH(F594,pl_num,0))&amp;"","")="Compteur",IFERROR(INDEX(pl_trig,MATCH(F594,pl_num,0))&amp;"","")="Au premier des deux")),"Compteur manquant (plan au compteur)","OK"))))))))))))))))))</f>
        <v/>
      </c>
      <c r="S594" s="67">
        <f>IF(AND(ISNUMBER(B594),N(B594)&gt;0),INT(B594),0)</f>
        <v>0.0</v>
      </c>
      <c r="T594" s="67">
        <f>IF(AND(ISNUMBER(J594),N(J594)&gt;=0),N(J594),0)</f>
        <v>0.0</v>
      </c>
      <c r="U594" s="67">
        <f>IF(AND(ISNUMBER(K594),N(K594)&gt;0),N(K594),0)</f>
        <v>0.0</v>
      </c>
      <c r="V594" s="67">
        <f>IF(AND(ISNUMBER(L594),N(L594)&gt;0),N(L594),0)</f>
        <v>0.0</v>
      </c>
      <c r="W594" s="67">
        <f>IF(AND(I594="Terminée",S594&gt;0,C594&lt;&gt;"",ISNUMBER(MATCH(C594,eq_code,0))),1,0)</f>
        <v>0.0</v>
      </c>
      <c r="X594" s="67">
        <f>IF(AND(W594=1,E594="Préventif"),1,0)</f>
        <v>0.0</v>
      </c>
      <c r="Y594" s="67">
        <f>IF(AND(ISNUMBER(N594),N(N594)&gt;0),N(N594),0)</f>
        <v>0.0</v>
      </c>
      <c r="Z594" s="67">
        <f>IF(AND(ISNUMBER(P594),N(P594)&gt;0),N(P594),0)</f>
        <v>0.0</v>
      </c>
    </row>
    <row r="595">
      <c r="A595" s="79" t="str">
        <f>IF(COUNTA(B595:C595,E595:G595,I595)=0,"","BI-"&amp;RIGHT("0000"&amp;(ROW()-5),4))</f>
        <v/>
      </c>
      <c r="B595" s="72" t="n"/>
      <c r="C595" s="66" t="n"/>
      <c r="D595" s="67" t="str">
        <f>IF(C595="","",IFERROR(INDEX(eq_des,MATCH(C595,eq_code,0))&amp;"","Équipement inconnu"))</f>
        <v/>
      </c>
      <c r="E595" s="68" t="n"/>
      <c r="F595" s="68" t="n"/>
      <c r="G595" s="66" t="n"/>
      <c r="H595" s="66" t="n"/>
      <c r="I595" s="68" t="n"/>
      <c r="J595" s="73" t="n"/>
      <c r="K595" s="71" t="n"/>
      <c r="L595" s="71" t="n"/>
      <c r="M595" s="66" t="n"/>
      <c r="N595" s="80" t="n"/>
      <c r="O595" s="81" t="str">
        <f>IF(A595="","",ROUND(V595*IFERROR(N(INDEX(tech_rate,MATCH(M595,tech_name,0))),0),2))</f>
        <v/>
      </c>
      <c r="P595" s="80" t="n"/>
      <c r="Q595" s="81" t="str">
        <f>IF(A595="","",ROUND(Y595+O595+Z595,2))</f>
        <v/>
      </c>
      <c r="R595" s="79" t="str">
        <f>IF(A595="","",IF(S595=0,"Date manquante ou invalide",IF(C595="","Équipement manquant",IF(ISNA(MATCH(C595,eq_code,0)),"Équipement inconnu",IF(E595="","Type manquant",IF(AND(E595&lt;&gt;"Préventif",E595&lt;&gt;"Correctif",E595&lt;&gt;"Amélioratif"),"Type inconnu",IF(I595="","Statut manquant",IF(AND(I595&lt;&gt;"Terminée",I595&lt;&gt;"En cours",I595&lt;&gt;"À faire",I595&lt;&gt;"Annulée"),"Statut inconnu",IF(AND(E595="Préventif",F595=""),"Plan manquant (préventif)",IF(AND(F595&lt;&gt;"",ISNA(MATCH(F595,pl_num,0))),"Plan inconnu",IF(AND(F595&lt;&gt;"",IFERROR(INDEX(pl_eq,MATCH(F595,pl_num,0))&amp;"",C595)&lt;&gt;C595),"Plan d'un autre équipement",IF(AND(J595&lt;&gt;"",OR(NOT(ISNUMBER(J595)),N(J595)&lt;0)),"Compteur invalide",IF(OR(AND(K595&lt;&gt;"",OR(NOT(ISNUMBER(K595)),N(K595)&lt;0)),AND(L595&lt;&gt;"",OR(NOT(ISNUMBER(L595)),N(L595)&lt;0))),"Durée invalide",IF(OR(AND(N595&lt;&gt;"",OR(NOT(ISNUMBER(N595)),N(N595)&lt;0)),AND(P595&lt;&gt;"",OR(NOT(ISNUMBER(P595)),N(P595)&lt;0))),"Coût invalide",IF(AND(M595&lt;&gt;"",ISNA(MATCH(M595,tech_name,0))),"Technicien inconnu",IF(AND(I595="Terminée",S595&gt;p_today),"Terminée à une date future",IF(AND(I595="Terminée",V595=0),"Durée d'intervention manquante",IF(AND(I595="Terminée",E595="Préventif",T595=0,OR(IFERROR(INDEX(pl_trig,MATCH(F595,pl_num,0))&amp;"","")="Compteur",IFERROR(INDEX(pl_trig,MATCH(F595,pl_num,0))&amp;"","")="Au premier des deux")),"Compteur manquant (plan au compteur)","OK"))))))))))))))))))</f>
        <v/>
      </c>
      <c r="S595" s="67">
        <f>IF(AND(ISNUMBER(B595),N(B595)&gt;0),INT(B595),0)</f>
        <v>0.0</v>
      </c>
      <c r="T595" s="67">
        <f>IF(AND(ISNUMBER(J595),N(J595)&gt;=0),N(J595),0)</f>
        <v>0.0</v>
      </c>
      <c r="U595" s="67">
        <f>IF(AND(ISNUMBER(K595),N(K595)&gt;0),N(K595),0)</f>
        <v>0.0</v>
      </c>
      <c r="V595" s="67">
        <f>IF(AND(ISNUMBER(L595),N(L595)&gt;0),N(L595),0)</f>
        <v>0.0</v>
      </c>
      <c r="W595" s="67">
        <f>IF(AND(I595="Terminée",S595&gt;0,C595&lt;&gt;"",ISNUMBER(MATCH(C595,eq_code,0))),1,0)</f>
        <v>0.0</v>
      </c>
      <c r="X595" s="67">
        <f>IF(AND(W595=1,E595="Préventif"),1,0)</f>
        <v>0.0</v>
      </c>
      <c r="Y595" s="67">
        <f>IF(AND(ISNUMBER(N595),N(N595)&gt;0),N(N595),0)</f>
        <v>0.0</v>
      </c>
      <c r="Z595" s="67">
        <f>IF(AND(ISNUMBER(P595),N(P595)&gt;0),N(P595),0)</f>
        <v>0.0</v>
      </c>
    </row>
    <row r="596">
      <c r="A596" s="79" t="str">
        <f>IF(COUNTA(B596:C596,E596:G596,I596)=0,"","BI-"&amp;RIGHT("0000"&amp;(ROW()-5),4))</f>
        <v/>
      </c>
      <c r="B596" s="72" t="n"/>
      <c r="C596" s="66" t="n"/>
      <c r="D596" s="67" t="str">
        <f>IF(C596="","",IFERROR(INDEX(eq_des,MATCH(C596,eq_code,0))&amp;"","Équipement inconnu"))</f>
        <v/>
      </c>
      <c r="E596" s="68" t="n"/>
      <c r="F596" s="68" t="n"/>
      <c r="G596" s="66" t="n"/>
      <c r="H596" s="66" t="n"/>
      <c r="I596" s="68" t="n"/>
      <c r="J596" s="73" t="n"/>
      <c r="K596" s="71" t="n"/>
      <c r="L596" s="71" t="n"/>
      <c r="M596" s="66" t="n"/>
      <c r="N596" s="80" t="n"/>
      <c r="O596" s="81" t="str">
        <f>IF(A596="","",ROUND(V596*IFERROR(N(INDEX(tech_rate,MATCH(M596,tech_name,0))),0),2))</f>
        <v/>
      </c>
      <c r="P596" s="80" t="n"/>
      <c r="Q596" s="81" t="str">
        <f>IF(A596="","",ROUND(Y596+O596+Z596,2))</f>
        <v/>
      </c>
      <c r="R596" s="79" t="str">
        <f>IF(A596="","",IF(S596=0,"Date manquante ou invalide",IF(C596="","Équipement manquant",IF(ISNA(MATCH(C596,eq_code,0)),"Équipement inconnu",IF(E596="","Type manquant",IF(AND(E596&lt;&gt;"Préventif",E596&lt;&gt;"Correctif",E596&lt;&gt;"Amélioratif"),"Type inconnu",IF(I596="","Statut manquant",IF(AND(I596&lt;&gt;"Terminée",I596&lt;&gt;"En cours",I596&lt;&gt;"À faire",I596&lt;&gt;"Annulée"),"Statut inconnu",IF(AND(E596="Préventif",F596=""),"Plan manquant (préventif)",IF(AND(F596&lt;&gt;"",ISNA(MATCH(F596,pl_num,0))),"Plan inconnu",IF(AND(F596&lt;&gt;"",IFERROR(INDEX(pl_eq,MATCH(F596,pl_num,0))&amp;"",C596)&lt;&gt;C596),"Plan d'un autre équipement",IF(AND(J596&lt;&gt;"",OR(NOT(ISNUMBER(J596)),N(J596)&lt;0)),"Compteur invalide",IF(OR(AND(K596&lt;&gt;"",OR(NOT(ISNUMBER(K596)),N(K596)&lt;0)),AND(L596&lt;&gt;"",OR(NOT(ISNUMBER(L596)),N(L596)&lt;0))),"Durée invalide",IF(OR(AND(N596&lt;&gt;"",OR(NOT(ISNUMBER(N596)),N(N596)&lt;0)),AND(P596&lt;&gt;"",OR(NOT(ISNUMBER(P596)),N(P596)&lt;0))),"Coût invalide",IF(AND(M596&lt;&gt;"",ISNA(MATCH(M596,tech_name,0))),"Technicien inconnu",IF(AND(I596="Terminée",S596&gt;p_today),"Terminée à une date future",IF(AND(I596="Terminée",V596=0),"Durée d'intervention manquante",IF(AND(I596="Terminée",E596="Préventif",T596=0,OR(IFERROR(INDEX(pl_trig,MATCH(F596,pl_num,0))&amp;"","")="Compteur",IFERROR(INDEX(pl_trig,MATCH(F596,pl_num,0))&amp;"","")="Au premier des deux")),"Compteur manquant (plan au compteur)","OK"))))))))))))))))))</f>
        <v/>
      </c>
      <c r="S596" s="67">
        <f>IF(AND(ISNUMBER(B596),N(B596)&gt;0),INT(B596),0)</f>
        <v>0.0</v>
      </c>
      <c r="T596" s="67">
        <f>IF(AND(ISNUMBER(J596),N(J596)&gt;=0),N(J596),0)</f>
        <v>0.0</v>
      </c>
      <c r="U596" s="67">
        <f>IF(AND(ISNUMBER(K596),N(K596)&gt;0),N(K596),0)</f>
        <v>0.0</v>
      </c>
      <c r="V596" s="67">
        <f>IF(AND(ISNUMBER(L596),N(L596)&gt;0),N(L596),0)</f>
        <v>0.0</v>
      </c>
      <c r="W596" s="67">
        <f>IF(AND(I596="Terminée",S596&gt;0,C596&lt;&gt;"",ISNUMBER(MATCH(C596,eq_code,0))),1,0)</f>
        <v>0.0</v>
      </c>
      <c r="X596" s="67">
        <f>IF(AND(W596=1,E596="Préventif"),1,0)</f>
        <v>0.0</v>
      </c>
      <c r="Y596" s="67">
        <f>IF(AND(ISNUMBER(N596),N(N596)&gt;0),N(N596),0)</f>
        <v>0.0</v>
      </c>
      <c r="Z596" s="67">
        <f>IF(AND(ISNUMBER(P596),N(P596)&gt;0),N(P596),0)</f>
        <v>0.0</v>
      </c>
    </row>
    <row r="597">
      <c r="A597" s="79" t="str">
        <f>IF(COUNTA(B597:C597,E597:G597,I597)=0,"","BI-"&amp;RIGHT("0000"&amp;(ROW()-5),4))</f>
        <v/>
      </c>
      <c r="B597" s="72" t="n"/>
      <c r="C597" s="66" t="n"/>
      <c r="D597" s="67" t="str">
        <f>IF(C597="","",IFERROR(INDEX(eq_des,MATCH(C597,eq_code,0))&amp;"","Équipement inconnu"))</f>
        <v/>
      </c>
      <c r="E597" s="68" t="n"/>
      <c r="F597" s="68" t="n"/>
      <c r="G597" s="66" t="n"/>
      <c r="H597" s="66" t="n"/>
      <c r="I597" s="68" t="n"/>
      <c r="J597" s="73" t="n"/>
      <c r="K597" s="71" t="n"/>
      <c r="L597" s="71" t="n"/>
      <c r="M597" s="66" t="n"/>
      <c r="N597" s="80" t="n"/>
      <c r="O597" s="81" t="str">
        <f>IF(A597="","",ROUND(V597*IFERROR(N(INDEX(tech_rate,MATCH(M597,tech_name,0))),0),2))</f>
        <v/>
      </c>
      <c r="P597" s="80" t="n"/>
      <c r="Q597" s="81" t="str">
        <f>IF(A597="","",ROUND(Y597+O597+Z597,2))</f>
        <v/>
      </c>
      <c r="R597" s="79" t="str">
        <f>IF(A597="","",IF(S597=0,"Date manquante ou invalide",IF(C597="","Équipement manquant",IF(ISNA(MATCH(C597,eq_code,0)),"Équipement inconnu",IF(E597="","Type manquant",IF(AND(E597&lt;&gt;"Préventif",E597&lt;&gt;"Correctif",E597&lt;&gt;"Amélioratif"),"Type inconnu",IF(I597="","Statut manquant",IF(AND(I597&lt;&gt;"Terminée",I597&lt;&gt;"En cours",I597&lt;&gt;"À faire",I597&lt;&gt;"Annulée"),"Statut inconnu",IF(AND(E597="Préventif",F597=""),"Plan manquant (préventif)",IF(AND(F597&lt;&gt;"",ISNA(MATCH(F597,pl_num,0))),"Plan inconnu",IF(AND(F597&lt;&gt;"",IFERROR(INDEX(pl_eq,MATCH(F597,pl_num,0))&amp;"",C597)&lt;&gt;C597),"Plan d'un autre équipement",IF(AND(J597&lt;&gt;"",OR(NOT(ISNUMBER(J597)),N(J597)&lt;0)),"Compteur invalide",IF(OR(AND(K597&lt;&gt;"",OR(NOT(ISNUMBER(K597)),N(K597)&lt;0)),AND(L597&lt;&gt;"",OR(NOT(ISNUMBER(L597)),N(L597)&lt;0))),"Durée invalide",IF(OR(AND(N597&lt;&gt;"",OR(NOT(ISNUMBER(N597)),N(N597)&lt;0)),AND(P597&lt;&gt;"",OR(NOT(ISNUMBER(P597)),N(P597)&lt;0))),"Coût invalide",IF(AND(M597&lt;&gt;"",ISNA(MATCH(M597,tech_name,0))),"Technicien inconnu",IF(AND(I597="Terminée",S597&gt;p_today),"Terminée à une date future",IF(AND(I597="Terminée",V597=0),"Durée d'intervention manquante",IF(AND(I597="Terminée",E597="Préventif",T597=0,OR(IFERROR(INDEX(pl_trig,MATCH(F597,pl_num,0))&amp;"","")="Compteur",IFERROR(INDEX(pl_trig,MATCH(F597,pl_num,0))&amp;"","")="Au premier des deux")),"Compteur manquant (plan au compteur)","OK"))))))))))))))))))</f>
        <v/>
      </c>
      <c r="S597" s="67">
        <f>IF(AND(ISNUMBER(B597),N(B597)&gt;0),INT(B597),0)</f>
        <v>0.0</v>
      </c>
      <c r="T597" s="67">
        <f>IF(AND(ISNUMBER(J597),N(J597)&gt;=0),N(J597),0)</f>
        <v>0.0</v>
      </c>
      <c r="U597" s="67">
        <f>IF(AND(ISNUMBER(K597),N(K597)&gt;0),N(K597),0)</f>
        <v>0.0</v>
      </c>
      <c r="V597" s="67">
        <f>IF(AND(ISNUMBER(L597),N(L597)&gt;0),N(L597),0)</f>
        <v>0.0</v>
      </c>
      <c r="W597" s="67">
        <f>IF(AND(I597="Terminée",S597&gt;0,C597&lt;&gt;"",ISNUMBER(MATCH(C597,eq_code,0))),1,0)</f>
        <v>0.0</v>
      </c>
      <c r="X597" s="67">
        <f>IF(AND(W597=1,E597="Préventif"),1,0)</f>
        <v>0.0</v>
      </c>
      <c r="Y597" s="67">
        <f>IF(AND(ISNUMBER(N597),N(N597)&gt;0),N(N597),0)</f>
        <v>0.0</v>
      </c>
      <c r="Z597" s="67">
        <f>IF(AND(ISNUMBER(P597),N(P597)&gt;0),N(P597),0)</f>
        <v>0.0</v>
      </c>
    </row>
    <row r="598">
      <c r="A598" s="79" t="str">
        <f>IF(COUNTA(B598:C598,E598:G598,I598)=0,"","BI-"&amp;RIGHT("0000"&amp;(ROW()-5),4))</f>
        <v/>
      </c>
      <c r="B598" s="72" t="n"/>
      <c r="C598" s="66" t="n"/>
      <c r="D598" s="67" t="str">
        <f>IF(C598="","",IFERROR(INDEX(eq_des,MATCH(C598,eq_code,0))&amp;"","Équipement inconnu"))</f>
        <v/>
      </c>
      <c r="E598" s="68" t="n"/>
      <c r="F598" s="68" t="n"/>
      <c r="G598" s="66" t="n"/>
      <c r="H598" s="66" t="n"/>
      <c r="I598" s="68" t="n"/>
      <c r="J598" s="73" t="n"/>
      <c r="K598" s="71" t="n"/>
      <c r="L598" s="71" t="n"/>
      <c r="M598" s="66" t="n"/>
      <c r="N598" s="80" t="n"/>
      <c r="O598" s="81" t="str">
        <f>IF(A598="","",ROUND(V598*IFERROR(N(INDEX(tech_rate,MATCH(M598,tech_name,0))),0),2))</f>
        <v/>
      </c>
      <c r="P598" s="80" t="n"/>
      <c r="Q598" s="81" t="str">
        <f>IF(A598="","",ROUND(Y598+O598+Z598,2))</f>
        <v/>
      </c>
      <c r="R598" s="79" t="str">
        <f>IF(A598="","",IF(S598=0,"Date manquante ou invalide",IF(C598="","Équipement manquant",IF(ISNA(MATCH(C598,eq_code,0)),"Équipement inconnu",IF(E598="","Type manquant",IF(AND(E598&lt;&gt;"Préventif",E598&lt;&gt;"Correctif",E598&lt;&gt;"Amélioratif"),"Type inconnu",IF(I598="","Statut manquant",IF(AND(I598&lt;&gt;"Terminée",I598&lt;&gt;"En cours",I598&lt;&gt;"À faire",I598&lt;&gt;"Annulée"),"Statut inconnu",IF(AND(E598="Préventif",F598=""),"Plan manquant (préventif)",IF(AND(F598&lt;&gt;"",ISNA(MATCH(F598,pl_num,0))),"Plan inconnu",IF(AND(F598&lt;&gt;"",IFERROR(INDEX(pl_eq,MATCH(F598,pl_num,0))&amp;"",C598)&lt;&gt;C598),"Plan d'un autre équipement",IF(AND(J598&lt;&gt;"",OR(NOT(ISNUMBER(J598)),N(J598)&lt;0)),"Compteur invalide",IF(OR(AND(K598&lt;&gt;"",OR(NOT(ISNUMBER(K598)),N(K598)&lt;0)),AND(L598&lt;&gt;"",OR(NOT(ISNUMBER(L598)),N(L598)&lt;0))),"Durée invalide",IF(OR(AND(N598&lt;&gt;"",OR(NOT(ISNUMBER(N598)),N(N598)&lt;0)),AND(P598&lt;&gt;"",OR(NOT(ISNUMBER(P598)),N(P598)&lt;0))),"Coût invalide",IF(AND(M598&lt;&gt;"",ISNA(MATCH(M598,tech_name,0))),"Technicien inconnu",IF(AND(I598="Terminée",S598&gt;p_today),"Terminée à une date future",IF(AND(I598="Terminée",V598=0),"Durée d'intervention manquante",IF(AND(I598="Terminée",E598="Préventif",T598=0,OR(IFERROR(INDEX(pl_trig,MATCH(F598,pl_num,0))&amp;"","")="Compteur",IFERROR(INDEX(pl_trig,MATCH(F598,pl_num,0))&amp;"","")="Au premier des deux")),"Compteur manquant (plan au compteur)","OK"))))))))))))))))))</f>
        <v/>
      </c>
      <c r="S598" s="67">
        <f>IF(AND(ISNUMBER(B598),N(B598)&gt;0),INT(B598),0)</f>
        <v>0.0</v>
      </c>
      <c r="T598" s="67">
        <f>IF(AND(ISNUMBER(J598),N(J598)&gt;=0),N(J598),0)</f>
        <v>0.0</v>
      </c>
      <c r="U598" s="67">
        <f>IF(AND(ISNUMBER(K598),N(K598)&gt;0),N(K598),0)</f>
        <v>0.0</v>
      </c>
      <c r="V598" s="67">
        <f>IF(AND(ISNUMBER(L598),N(L598)&gt;0),N(L598),0)</f>
        <v>0.0</v>
      </c>
      <c r="W598" s="67">
        <f>IF(AND(I598="Terminée",S598&gt;0,C598&lt;&gt;"",ISNUMBER(MATCH(C598,eq_code,0))),1,0)</f>
        <v>0.0</v>
      </c>
      <c r="X598" s="67">
        <f>IF(AND(W598=1,E598="Préventif"),1,0)</f>
        <v>0.0</v>
      </c>
      <c r="Y598" s="67">
        <f>IF(AND(ISNUMBER(N598),N(N598)&gt;0),N(N598),0)</f>
        <v>0.0</v>
      </c>
      <c r="Z598" s="67">
        <f>IF(AND(ISNUMBER(P598),N(P598)&gt;0),N(P598),0)</f>
        <v>0.0</v>
      </c>
    </row>
    <row r="599">
      <c r="A599" s="79" t="str">
        <f>IF(COUNTA(B599:C599,E599:G599,I599)=0,"","BI-"&amp;RIGHT("0000"&amp;(ROW()-5),4))</f>
        <v/>
      </c>
      <c r="B599" s="72" t="n"/>
      <c r="C599" s="66" t="n"/>
      <c r="D599" s="67" t="str">
        <f>IF(C599="","",IFERROR(INDEX(eq_des,MATCH(C599,eq_code,0))&amp;"","Équipement inconnu"))</f>
        <v/>
      </c>
      <c r="E599" s="68" t="n"/>
      <c r="F599" s="68" t="n"/>
      <c r="G599" s="66" t="n"/>
      <c r="H599" s="66" t="n"/>
      <c r="I599" s="68" t="n"/>
      <c r="J599" s="73" t="n"/>
      <c r="K599" s="71" t="n"/>
      <c r="L599" s="71" t="n"/>
      <c r="M599" s="66" t="n"/>
      <c r="N599" s="80" t="n"/>
      <c r="O599" s="81" t="str">
        <f>IF(A599="","",ROUND(V599*IFERROR(N(INDEX(tech_rate,MATCH(M599,tech_name,0))),0),2))</f>
        <v/>
      </c>
      <c r="P599" s="80" t="n"/>
      <c r="Q599" s="81" t="str">
        <f>IF(A599="","",ROUND(Y599+O599+Z599,2))</f>
        <v/>
      </c>
      <c r="R599" s="79" t="str">
        <f>IF(A599="","",IF(S599=0,"Date manquante ou invalide",IF(C599="","Équipement manquant",IF(ISNA(MATCH(C599,eq_code,0)),"Équipement inconnu",IF(E599="","Type manquant",IF(AND(E599&lt;&gt;"Préventif",E599&lt;&gt;"Correctif",E599&lt;&gt;"Amélioratif"),"Type inconnu",IF(I599="","Statut manquant",IF(AND(I599&lt;&gt;"Terminée",I599&lt;&gt;"En cours",I599&lt;&gt;"À faire",I599&lt;&gt;"Annulée"),"Statut inconnu",IF(AND(E599="Préventif",F599=""),"Plan manquant (préventif)",IF(AND(F599&lt;&gt;"",ISNA(MATCH(F599,pl_num,0))),"Plan inconnu",IF(AND(F599&lt;&gt;"",IFERROR(INDEX(pl_eq,MATCH(F599,pl_num,0))&amp;"",C599)&lt;&gt;C599),"Plan d'un autre équipement",IF(AND(J599&lt;&gt;"",OR(NOT(ISNUMBER(J599)),N(J599)&lt;0)),"Compteur invalide",IF(OR(AND(K599&lt;&gt;"",OR(NOT(ISNUMBER(K599)),N(K599)&lt;0)),AND(L599&lt;&gt;"",OR(NOT(ISNUMBER(L599)),N(L599)&lt;0))),"Durée invalide",IF(OR(AND(N599&lt;&gt;"",OR(NOT(ISNUMBER(N599)),N(N599)&lt;0)),AND(P599&lt;&gt;"",OR(NOT(ISNUMBER(P599)),N(P599)&lt;0))),"Coût invalide",IF(AND(M599&lt;&gt;"",ISNA(MATCH(M599,tech_name,0))),"Technicien inconnu",IF(AND(I599="Terminée",S599&gt;p_today),"Terminée à une date future",IF(AND(I599="Terminée",V599=0),"Durée d'intervention manquante",IF(AND(I599="Terminée",E599="Préventif",T599=0,OR(IFERROR(INDEX(pl_trig,MATCH(F599,pl_num,0))&amp;"","")="Compteur",IFERROR(INDEX(pl_trig,MATCH(F599,pl_num,0))&amp;"","")="Au premier des deux")),"Compteur manquant (plan au compteur)","OK"))))))))))))))))))</f>
        <v/>
      </c>
      <c r="S599" s="67">
        <f>IF(AND(ISNUMBER(B599),N(B599)&gt;0),INT(B599),0)</f>
        <v>0.0</v>
      </c>
      <c r="T599" s="67">
        <f>IF(AND(ISNUMBER(J599),N(J599)&gt;=0),N(J599),0)</f>
        <v>0.0</v>
      </c>
      <c r="U599" s="67">
        <f>IF(AND(ISNUMBER(K599),N(K599)&gt;0),N(K599),0)</f>
        <v>0.0</v>
      </c>
      <c r="V599" s="67">
        <f>IF(AND(ISNUMBER(L599),N(L599)&gt;0),N(L599),0)</f>
        <v>0.0</v>
      </c>
      <c r="W599" s="67">
        <f>IF(AND(I599="Terminée",S599&gt;0,C599&lt;&gt;"",ISNUMBER(MATCH(C599,eq_code,0))),1,0)</f>
        <v>0.0</v>
      </c>
      <c r="X599" s="67">
        <f>IF(AND(W599=1,E599="Préventif"),1,0)</f>
        <v>0.0</v>
      </c>
      <c r="Y599" s="67">
        <f>IF(AND(ISNUMBER(N599),N(N599)&gt;0),N(N599),0)</f>
        <v>0.0</v>
      </c>
      <c r="Z599" s="67">
        <f>IF(AND(ISNUMBER(P599),N(P599)&gt;0),N(P599),0)</f>
        <v>0.0</v>
      </c>
    </row>
    <row r="600">
      <c r="A600" s="79" t="str">
        <f>IF(COUNTA(B600:C600,E600:G600,I600)=0,"","BI-"&amp;RIGHT("0000"&amp;(ROW()-5),4))</f>
        <v/>
      </c>
      <c r="B600" s="72" t="n"/>
      <c r="C600" s="66" t="n"/>
      <c r="D600" s="67" t="str">
        <f>IF(C600="","",IFERROR(INDEX(eq_des,MATCH(C600,eq_code,0))&amp;"","Équipement inconnu"))</f>
        <v/>
      </c>
      <c r="E600" s="68" t="n"/>
      <c r="F600" s="68" t="n"/>
      <c r="G600" s="66" t="n"/>
      <c r="H600" s="66" t="n"/>
      <c r="I600" s="68" t="n"/>
      <c r="J600" s="73" t="n"/>
      <c r="K600" s="71" t="n"/>
      <c r="L600" s="71" t="n"/>
      <c r="M600" s="66" t="n"/>
      <c r="N600" s="80" t="n"/>
      <c r="O600" s="81" t="str">
        <f>IF(A600="","",ROUND(V600*IFERROR(N(INDEX(tech_rate,MATCH(M600,tech_name,0))),0),2))</f>
        <v/>
      </c>
      <c r="P600" s="80" t="n"/>
      <c r="Q600" s="81" t="str">
        <f>IF(A600="","",ROUND(Y600+O600+Z600,2))</f>
        <v/>
      </c>
      <c r="R600" s="79" t="str">
        <f>IF(A600="","",IF(S600=0,"Date manquante ou invalide",IF(C600="","Équipement manquant",IF(ISNA(MATCH(C600,eq_code,0)),"Équipement inconnu",IF(E600="","Type manquant",IF(AND(E600&lt;&gt;"Préventif",E600&lt;&gt;"Correctif",E600&lt;&gt;"Amélioratif"),"Type inconnu",IF(I600="","Statut manquant",IF(AND(I600&lt;&gt;"Terminée",I600&lt;&gt;"En cours",I600&lt;&gt;"À faire",I600&lt;&gt;"Annulée"),"Statut inconnu",IF(AND(E600="Préventif",F600=""),"Plan manquant (préventif)",IF(AND(F600&lt;&gt;"",ISNA(MATCH(F600,pl_num,0))),"Plan inconnu",IF(AND(F600&lt;&gt;"",IFERROR(INDEX(pl_eq,MATCH(F600,pl_num,0))&amp;"",C600)&lt;&gt;C600),"Plan d'un autre équipement",IF(AND(J600&lt;&gt;"",OR(NOT(ISNUMBER(J600)),N(J600)&lt;0)),"Compteur invalide",IF(OR(AND(K600&lt;&gt;"",OR(NOT(ISNUMBER(K600)),N(K600)&lt;0)),AND(L600&lt;&gt;"",OR(NOT(ISNUMBER(L600)),N(L600)&lt;0))),"Durée invalide",IF(OR(AND(N600&lt;&gt;"",OR(NOT(ISNUMBER(N600)),N(N600)&lt;0)),AND(P600&lt;&gt;"",OR(NOT(ISNUMBER(P600)),N(P600)&lt;0))),"Coût invalide",IF(AND(M600&lt;&gt;"",ISNA(MATCH(M600,tech_name,0))),"Technicien inconnu",IF(AND(I600="Terminée",S600&gt;p_today),"Terminée à une date future",IF(AND(I600="Terminée",V600=0),"Durée d'intervention manquante",IF(AND(I600="Terminée",E600="Préventif",T600=0,OR(IFERROR(INDEX(pl_trig,MATCH(F600,pl_num,0))&amp;"","")="Compteur",IFERROR(INDEX(pl_trig,MATCH(F600,pl_num,0))&amp;"","")="Au premier des deux")),"Compteur manquant (plan au compteur)","OK"))))))))))))))))))</f>
        <v/>
      </c>
      <c r="S600" s="67">
        <f>IF(AND(ISNUMBER(B600),N(B600)&gt;0),INT(B600),0)</f>
        <v>0.0</v>
      </c>
      <c r="T600" s="67">
        <f>IF(AND(ISNUMBER(J600),N(J600)&gt;=0),N(J600),0)</f>
        <v>0.0</v>
      </c>
      <c r="U600" s="67">
        <f>IF(AND(ISNUMBER(K600),N(K600)&gt;0),N(K600),0)</f>
        <v>0.0</v>
      </c>
      <c r="V600" s="67">
        <f>IF(AND(ISNUMBER(L600),N(L600)&gt;0),N(L600),0)</f>
        <v>0.0</v>
      </c>
      <c r="W600" s="67">
        <f>IF(AND(I600="Terminée",S600&gt;0,C600&lt;&gt;"",ISNUMBER(MATCH(C600,eq_code,0))),1,0)</f>
        <v>0.0</v>
      </c>
      <c r="X600" s="67">
        <f>IF(AND(W600=1,E600="Préventif"),1,0)</f>
        <v>0.0</v>
      </c>
      <c r="Y600" s="67">
        <f>IF(AND(ISNUMBER(N600),N(N600)&gt;0),N(N600),0)</f>
        <v>0.0</v>
      </c>
      <c r="Z600" s="67">
        <f>IF(AND(ISNUMBER(P600),N(P600)&gt;0),N(P600),0)</f>
        <v>0.0</v>
      </c>
    </row>
    <row r="601">
      <c r="A601" s="79" t="str">
        <f>IF(COUNTA(B601:C601,E601:G601,I601)=0,"","BI-"&amp;RIGHT("0000"&amp;(ROW()-5),4))</f>
        <v/>
      </c>
      <c r="B601" s="72" t="n"/>
      <c r="C601" s="66" t="n"/>
      <c r="D601" s="67" t="str">
        <f>IF(C601="","",IFERROR(INDEX(eq_des,MATCH(C601,eq_code,0))&amp;"","Équipement inconnu"))</f>
        <v/>
      </c>
      <c r="E601" s="68" t="n"/>
      <c r="F601" s="68" t="n"/>
      <c r="G601" s="66" t="n"/>
      <c r="H601" s="66" t="n"/>
      <c r="I601" s="68" t="n"/>
      <c r="J601" s="73" t="n"/>
      <c r="K601" s="71" t="n"/>
      <c r="L601" s="71" t="n"/>
      <c r="M601" s="66" t="n"/>
      <c r="N601" s="80" t="n"/>
      <c r="O601" s="81" t="str">
        <f>IF(A601="","",ROUND(V601*IFERROR(N(INDEX(tech_rate,MATCH(M601,tech_name,0))),0),2))</f>
        <v/>
      </c>
      <c r="P601" s="80" t="n"/>
      <c r="Q601" s="81" t="str">
        <f>IF(A601="","",ROUND(Y601+O601+Z601,2))</f>
        <v/>
      </c>
      <c r="R601" s="79" t="str">
        <f>IF(A601="","",IF(S601=0,"Date manquante ou invalide",IF(C601="","Équipement manquant",IF(ISNA(MATCH(C601,eq_code,0)),"Équipement inconnu",IF(E601="","Type manquant",IF(AND(E601&lt;&gt;"Préventif",E601&lt;&gt;"Correctif",E601&lt;&gt;"Amélioratif"),"Type inconnu",IF(I601="","Statut manquant",IF(AND(I601&lt;&gt;"Terminée",I601&lt;&gt;"En cours",I601&lt;&gt;"À faire",I601&lt;&gt;"Annulée"),"Statut inconnu",IF(AND(E601="Préventif",F601=""),"Plan manquant (préventif)",IF(AND(F601&lt;&gt;"",ISNA(MATCH(F601,pl_num,0))),"Plan inconnu",IF(AND(F601&lt;&gt;"",IFERROR(INDEX(pl_eq,MATCH(F601,pl_num,0))&amp;"",C601)&lt;&gt;C601),"Plan d'un autre équipement",IF(AND(J601&lt;&gt;"",OR(NOT(ISNUMBER(J601)),N(J601)&lt;0)),"Compteur invalide",IF(OR(AND(K601&lt;&gt;"",OR(NOT(ISNUMBER(K601)),N(K601)&lt;0)),AND(L601&lt;&gt;"",OR(NOT(ISNUMBER(L601)),N(L601)&lt;0))),"Durée invalide",IF(OR(AND(N601&lt;&gt;"",OR(NOT(ISNUMBER(N601)),N(N601)&lt;0)),AND(P601&lt;&gt;"",OR(NOT(ISNUMBER(P601)),N(P601)&lt;0))),"Coût invalide",IF(AND(M601&lt;&gt;"",ISNA(MATCH(M601,tech_name,0))),"Technicien inconnu",IF(AND(I601="Terminée",S601&gt;p_today),"Terminée à une date future",IF(AND(I601="Terminée",V601=0),"Durée d'intervention manquante",IF(AND(I601="Terminée",E601="Préventif",T601=0,OR(IFERROR(INDEX(pl_trig,MATCH(F601,pl_num,0))&amp;"","")="Compteur",IFERROR(INDEX(pl_trig,MATCH(F601,pl_num,0))&amp;"","")="Au premier des deux")),"Compteur manquant (plan au compteur)","OK"))))))))))))))))))</f>
        <v/>
      </c>
      <c r="S601" s="67">
        <f>IF(AND(ISNUMBER(B601),N(B601)&gt;0),INT(B601),0)</f>
        <v>0.0</v>
      </c>
      <c r="T601" s="67">
        <f>IF(AND(ISNUMBER(J601),N(J601)&gt;=0),N(J601),0)</f>
        <v>0.0</v>
      </c>
      <c r="U601" s="67">
        <f>IF(AND(ISNUMBER(K601),N(K601)&gt;0),N(K601),0)</f>
        <v>0.0</v>
      </c>
      <c r="V601" s="67">
        <f>IF(AND(ISNUMBER(L601),N(L601)&gt;0),N(L601),0)</f>
        <v>0.0</v>
      </c>
      <c r="W601" s="67">
        <f>IF(AND(I601="Terminée",S601&gt;0,C601&lt;&gt;"",ISNUMBER(MATCH(C601,eq_code,0))),1,0)</f>
        <v>0.0</v>
      </c>
      <c r="X601" s="67">
        <f>IF(AND(W601=1,E601="Préventif"),1,0)</f>
        <v>0.0</v>
      </c>
      <c r="Y601" s="67">
        <f>IF(AND(ISNUMBER(N601),N(N601)&gt;0),N(N601),0)</f>
        <v>0.0</v>
      </c>
      <c r="Z601" s="67">
        <f>IF(AND(ISNUMBER(P601),N(P601)&gt;0),N(P601),0)</f>
        <v>0.0</v>
      </c>
    </row>
    <row r="602">
      <c r="A602" s="79" t="str">
        <f>IF(COUNTA(B602:C602,E602:G602,I602)=0,"","BI-"&amp;RIGHT("0000"&amp;(ROW()-5),4))</f>
        <v/>
      </c>
      <c r="B602" s="72" t="n"/>
      <c r="C602" s="66" t="n"/>
      <c r="D602" s="67" t="str">
        <f>IF(C602="","",IFERROR(INDEX(eq_des,MATCH(C602,eq_code,0))&amp;"","Équipement inconnu"))</f>
        <v/>
      </c>
      <c r="E602" s="68" t="n"/>
      <c r="F602" s="68" t="n"/>
      <c r="G602" s="66" t="n"/>
      <c r="H602" s="66" t="n"/>
      <c r="I602" s="68" t="n"/>
      <c r="J602" s="73" t="n"/>
      <c r="K602" s="71" t="n"/>
      <c r="L602" s="71" t="n"/>
      <c r="M602" s="66" t="n"/>
      <c r="N602" s="80" t="n"/>
      <c r="O602" s="81" t="str">
        <f>IF(A602="","",ROUND(V602*IFERROR(N(INDEX(tech_rate,MATCH(M602,tech_name,0))),0),2))</f>
        <v/>
      </c>
      <c r="P602" s="80" t="n"/>
      <c r="Q602" s="81" t="str">
        <f>IF(A602="","",ROUND(Y602+O602+Z602,2))</f>
        <v/>
      </c>
      <c r="R602" s="79" t="str">
        <f>IF(A602="","",IF(S602=0,"Date manquante ou invalide",IF(C602="","Équipement manquant",IF(ISNA(MATCH(C602,eq_code,0)),"Équipement inconnu",IF(E602="","Type manquant",IF(AND(E602&lt;&gt;"Préventif",E602&lt;&gt;"Correctif",E602&lt;&gt;"Amélioratif"),"Type inconnu",IF(I602="","Statut manquant",IF(AND(I602&lt;&gt;"Terminée",I602&lt;&gt;"En cours",I602&lt;&gt;"À faire",I602&lt;&gt;"Annulée"),"Statut inconnu",IF(AND(E602="Préventif",F602=""),"Plan manquant (préventif)",IF(AND(F602&lt;&gt;"",ISNA(MATCH(F602,pl_num,0))),"Plan inconnu",IF(AND(F602&lt;&gt;"",IFERROR(INDEX(pl_eq,MATCH(F602,pl_num,0))&amp;"",C602)&lt;&gt;C602),"Plan d'un autre équipement",IF(AND(J602&lt;&gt;"",OR(NOT(ISNUMBER(J602)),N(J602)&lt;0)),"Compteur invalide",IF(OR(AND(K602&lt;&gt;"",OR(NOT(ISNUMBER(K602)),N(K602)&lt;0)),AND(L602&lt;&gt;"",OR(NOT(ISNUMBER(L602)),N(L602)&lt;0))),"Durée invalide",IF(OR(AND(N602&lt;&gt;"",OR(NOT(ISNUMBER(N602)),N(N602)&lt;0)),AND(P602&lt;&gt;"",OR(NOT(ISNUMBER(P602)),N(P602)&lt;0))),"Coût invalide",IF(AND(M602&lt;&gt;"",ISNA(MATCH(M602,tech_name,0))),"Technicien inconnu",IF(AND(I602="Terminée",S602&gt;p_today),"Terminée à une date future",IF(AND(I602="Terminée",V602=0),"Durée d'intervention manquante",IF(AND(I602="Terminée",E602="Préventif",T602=0,OR(IFERROR(INDEX(pl_trig,MATCH(F602,pl_num,0))&amp;"","")="Compteur",IFERROR(INDEX(pl_trig,MATCH(F602,pl_num,0))&amp;"","")="Au premier des deux")),"Compteur manquant (plan au compteur)","OK"))))))))))))))))))</f>
        <v/>
      </c>
      <c r="S602" s="67">
        <f>IF(AND(ISNUMBER(B602),N(B602)&gt;0),INT(B602),0)</f>
        <v>0.0</v>
      </c>
      <c r="T602" s="67">
        <f>IF(AND(ISNUMBER(J602),N(J602)&gt;=0),N(J602),0)</f>
        <v>0.0</v>
      </c>
      <c r="U602" s="67">
        <f>IF(AND(ISNUMBER(K602),N(K602)&gt;0),N(K602),0)</f>
        <v>0.0</v>
      </c>
      <c r="V602" s="67">
        <f>IF(AND(ISNUMBER(L602),N(L602)&gt;0),N(L602),0)</f>
        <v>0.0</v>
      </c>
      <c r="W602" s="67">
        <f>IF(AND(I602="Terminée",S602&gt;0,C602&lt;&gt;"",ISNUMBER(MATCH(C602,eq_code,0))),1,0)</f>
        <v>0.0</v>
      </c>
      <c r="X602" s="67">
        <f>IF(AND(W602=1,E602="Préventif"),1,0)</f>
        <v>0.0</v>
      </c>
      <c r="Y602" s="67">
        <f>IF(AND(ISNUMBER(N602),N(N602)&gt;0),N(N602),0)</f>
        <v>0.0</v>
      </c>
      <c r="Z602" s="67">
        <f>IF(AND(ISNUMBER(P602),N(P602)&gt;0),N(P602),0)</f>
        <v>0.0</v>
      </c>
    </row>
    <row r="603">
      <c r="A603" s="79" t="str">
        <f>IF(COUNTA(B603:C603,E603:G603,I603)=0,"","BI-"&amp;RIGHT("0000"&amp;(ROW()-5),4))</f>
        <v/>
      </c>
      <c r="B603" s="72" t="n"/>
      <c r="C603" s="66" t="n"/>
      <c r="D603" s="67" t="str">
        <f>IF(C603="","",IFERROR(INDEX(eq_des,MATCH(C603,eq_code,0))&amp;"","Équipement inconnu"))</f>
        <v/>
      </c>
      <c r="E603" s="68" t="n"/>
      <c r="F603" s="68" t="n"/>
      <c r="G603" s="66" t="n"/>
      <c r="H603" s="66" t="n"/>
      <c r="I603" s="68" t="n"/>
      <c r="J603" s="73" t="n"/>
      <c r="K603" s="71" t="n"/>
      <c r="L603" s="71" t="n"/>
      <c r="M603" s="66" t="n"/>
      <c r="N603" s="80" t="n"/>
      <c r="O603" s="81" t="str">
        <f>IF(A603="","",ROUND(V603*IFERROR(N(INDEX(tech_rate,MATCH(M603,tech_name,0))),0),2))</f>
        <v/>
      </c>
      <c r="P603" s="80" t="n"/>
      <c r="Q603" s="81" t="str">
        <f>IF(A603="","",ROUND(Y603+O603+Z603,2))</f>
        <v/>
      </c>
      <c r="R603" s="79" t="str">
        <f>IF(A603="","",IF(S603=0,"Date manquante ou invalide",IF(C603="","Équipement manquant",IF(ISNA(MATCH(C603,eq_code,0)),"Équipement inconnu",IF(E603="","Type manquant",IF(AND(E603&lt;&gt;"Préventif",E603&lt;&gt;"Correctif",E603&lt;&gt;"Amélioratif"),"Type inconnu",IF(I603="","Statut manquant",IF(AND(I603&lt;&gt;"Terminée",I603&lt;&gt;"En cours",I603&lt;&gt;"À faire",I603&lt;&gt;"Annulée"),"Statut inconnu",IF(AND(E603="Préventif",F603=""),"Plan manquant (préventif)",IF(AND(F603&lt;&gt;"",ISNA(MATCH(F603,pl_num,0))),"Plan inconnu",IF(AND(F603&lt;&gt;"",IFERROR(INDEX(pl_eq,MATCH(F603,pl_num,0))&amp;"",C603)&lt;&gt;C603),"Plan d'un autre équipement",IF(AND(J603&lt;&gt;"",OR(NOT(ISNUMBER(J603)),N(J603)&lt;0)),"Compteur invalide",IF(OR(AND(K603&lt;&gt;"",OR(NOT(ISNUMBER(K603)),N(K603)&lt;0)),AND(L603&lt;&gt;"",OR(NOT(ISNUMBER(L603)),N(L603)&lt;0))),"Durée invalide",IF(OR(AND(N603&lt;&gt;"",OR(NOT(ISNUMBER(N603)),N(N603)&lt;0)),AND(P603&lt;&gt;"",OR(NOT(ISNUMBER(P603)),N(P603)&lt;0))),"Coût invalide",IF(AND(M603&lt;&gt;"",ISNA(MATCH(M603,tech_name,0))),"Technicien inconnu",IF(AND(I603="Terminée",S603&gt;p_today),"Terminée à une date future",IF(AND(I603="Terminée",V603=0),"Durée d'intervention manquante",IF(AND(I603="Terminée",E603="Préventif",T603=0,OR(IFERROR(INDEX(pl_trig,MATCH(F603,pl_num,0))&amp;"","")="Compteur",IFERROR(INDEX(pl_trig,MATCH(F603,pl_num,0))&amp;"","")="Au premier des deux")),"Compteur manquant (plan au compteur)","OK"))))))))))))))))))</f>
        <v/>
      </c>
      <c r="S603" s="67">
        <f>IF(AND(ISNUMBER(B603),N(B603)&gt;0),INT(B603),0)</f>
        <v>0.0</v>
      </c>
      <c r="T603" s="67">
        <f>IF(AND(ISNUMBER(J603),N(J603)&gt;=0),N(J603),0)</f>
        <v>0.0</v>
      </c>
      <c r="U603" s="67">
        <f>IF(AND(ISNUMBER(K603),N(K603)&gt;0),N(K603),0)</f>
        <v>0.0</v>
      </c>
      <c r="V603" s="67">
        <f>IF(AND(ISNUMBER(L603),N(L603)&gt;0),N(L603),0)</f>
        <v>0.0</v>
      </c>
      <c r="W603" s="67">
        <f>IF(AND(I603="Terminée",S603&gt;0,C603&lt;&gt;"",ISNUMBER(MATCH(C603,eq_code,0))),1,0)</f>
        <v>0.0</v>
      </c>
      <c r="X603" s="67">
        <f>IF(AND(W603=1,E603="Préventif"),1,0)</f>
        <v>0.0</v>
      </c>
      <c r="Y603" s="67">
        <f>IF(AND(ISNUMBER(N603),N(N603)&gt;0),N(N603),0)</f>
        <v>0.0</v>
      </c>
      <c r="Z603" s="67">
        <f>IF(AND(ISNUMBER(P603),N(P603)&gt;0),N(P603),0)</f>
        <v>0.0</v>
      </c>
    </row>
    <row r="604">
      <c r="A604" s="79" t="str">
        <f>IF(COUNTA(B604:C604,E604:G604,I604)=0,"","BI-"&amp;RIGHT("0000"&amp;(ROW()-5),4))</f>
        <v/>
      </c>
      <c r="B604" s="72" t="n"/>
      <c r="C604" s="66" t="n"/>
      <c r="D604" s="67" t="str">
        <f>IF(C604="","",IFERROR(INDEX(eq_des,MATCH(C604,eq_code,0))&amp;"","Équipement inconnu"))</f>
        <v/>
      </c>
      <c r="E604" s="68" t="n"/>
      <c r="F604" s="68" t="n"/>
      <c r="G604" s="66" t="n"/>
      <c r="H604" s="66" t="n"/>
      <c r="I604" s="68" t="n"/>
      <c r="J604" s="73" t="n"/>
      <c r="K604" s="71" t="n"/>
      <c r="L604" s="71" t="n"/>
      <c r="M604" s="66" t="n"/>
      <c r="N604" s="80" t="n"/>
      <c r="O604" s="81" t="str">
        <f>IF(A604="","",ROUND(V604*IFERROR(N(INDEX(tech_rate,MATCH(M604,tech_name,0))),0),2))</f>
        <v/>
      </c>
      <c r="P604" s="80" t="n"/>
      <c r="Q604" s="81" t="str">
        <f>IF(A604="","",ROUND(Y604+O604+Z604,2))</f>
        <v/>
      </c>
      <c r="R604" s="79" t="str">
        <f>IF(A604="","",IF(S604=0,"Date manquante ou invalide",IF(C604="","Équipement manquant",IF(ISNA(MATCH(C604,eq_code,0)),"Équipement inconnu",IF(E604="","Type manquant",IF(AND(E604&lt;&gt;"Préventif",E604&lt;&gt;"Correctif",E604&lt;&gt;"Amélioratif"),"Type inconnu",IF(I604="","Statut manquant",IF(AND(I604&lt;&gt;"Terminée",I604&lt;&gt;"En cours",I604&lt;&gt;"À faire",I604&lt;&gt;"Annulée"),"Statut inconnu",IF(AND(E604="Préventif",F604=""),"Plan manquant (préventif)",IF(AND(F604&lt;&gt;"",ISNA(MATCH(F604,pl_num,0))),"Plan inconnu",IF(AND(F604&lt;&gt;"",IFERROR(INDEX(pl_eq,MATCH(F604,pl_num,0))&amp;"",C604)&lt;&gt;C604),"Plan d'un autre équipement",IF(AND(J604&lt;&gt;"",OR(NOT(ISNUMBER(J604)),N(J604)&lt;0)),"Compteur invalide",IF(OR(AND(K604&lt;&gt;"",OR(NOT(ISNUMBER(K604)),N(K604)&lt;0)),AND(L604&lt;&gt;"",OR(NOT(ISNUMBER(L604)),N(L604)&lt;0))),"Durée invalide",IF(OR(AND(N604&lt;&gt;"",OR(NOT(ISNUMBER(N604)),N(N604)&lt;0)),AND(P604&lt;&gt;"",OR(NOT(ISNUMBER(P604)),N(P604)&lt;0))),"Coût invalide",IF(AND(M604&lt;&gt;"",ISNA(MATCH(M604,tech_name,0))),"Technicien inconnu",IF(AND(I604="Terminée",S604&gt;p_today),"Terminée à une date future",IF(AND(I604="Terminée",V604=0),"Durée d'intervention manquante",IF(AND(I604="Terminée",E604="Préventif",T604=0,OR(IFERROR(INDEX(pl_trig,MATCH(F604,pl_num,0))&amp;"","")="Compteur",IFERROR(INDEX(pl_trig,MATCH(F604,pl_num,0))&amp;"","")="Au premier des deux")),"Compteur manquant (plan au compteur)","OK"))))))))))))))))))</f>
        <v/>
      </c>
      <c r="S604" s="67">
        <f>IF(AND(ISNUMBER(B604),N(B604)&gt;0),INT(B604),0)</f>
        <v>0.0</v>
      </c>
      <c r="T604" s="67">
        <f>IF(AND(ISNUMBER(J604),N(J604)&gt;=0),N(J604),0)</f>
        <v>0.0</v>
      </c>
      <c r="U604" s="67">
        <f>IF(AND(ISNUMBER(K604),N(K604)&gt;0),N(K604),0)</f>
        <v>0.0</v>
      </c>
      <c r="V604" s="67">
        <f>IF(AND(ISNUMBER(L604),N(L604)&gt;0),N(L604),0)</f>
        <v>0.0</v>
      </c>
      <c r="W604" s="67">
        <f>IF(AND(I604="Terminée",S604&gt;0,C604&lt;&gt;"",ISNUMBER(MATCH(C604,eq_code,0))),1,0)</f>
        <v>0.0</v>
      </c>
      <c r="X604" s="67">
        <f>IF(AND(W604=1,E604="Préventif"),1,0)</f>
        <v>0.0</v>
      </c>
      <c r="Y604" s="67">
        <f>IF(AND(ISNUMBER(N604),N(N604)&gt;0),N(N604),0)</f>
        <v>0.0</v>
      </c>
      <c r="Z604" s="67">
        <f>IF(AND(ISNUMBER(P604),N(P604)&gt;0),N(P604),0)</f>
        <v>0.0</v>
      </c>
    </row>
    <row r="605">
      <c r="A605" s="79" t="str">
        <f>IF(COUNTA(B605:C605,E605:G605,I605)=0,"","BI-"&amp;RIGHT("0000"&amp;(ROW()-5),4))</f>
        <v/>
      </c>
      <c r="B605" s="72" t="n"/>
      <c r="C605" s="66" t="n"/>
      <c r="D605" s="67" t="str">
        <f>IF(C605="","",IFERROR(INDEX(eq_des,MATCH(C605,eq_code,0))&amp;"","Équipement inconnu"))</f>
        <v/>
      </c>
      <c r="E605" s="68" t="n"/>
      <c r="F605" s="68" t="n"/>
      <c r="G605" s="66" t="n"/>
      <c r="H605" s="66" t="n"/>
      <c r="I605" s="68" t="n"/>
      <c r="J605" s="73" t="n"/>
      <c r="K605" s="71" t="n"/>
      <c r="L605" s="71" t="n"/>
      <c r="M605" s="66" t="n"/>
      <c r="N605" s="80" t="n"/>
      <c r="O605" s="81" t="str">
        <f>IF(A605="","",ROUND(V605*IFERROR(N(INDEX(tech_rate,MATCH(M605,tech_name,0))),0),2))</f>
        <v/>
      </c>
      <c r="P605" s="80" t="n"/>
      <c r="Q605" s="81" t="str">
        <f>IF(A605="","",ROUND(Y605+O605+Z605,2))</f>
        <v/>
      </c>
      <c r="R605" s="79" t="str">
        <f>IF(A605="","",IF(S605=0,"Date manquante ou invalide",IF(C605="","Équipement manquant",IF(ISNA(MATCH(C605,eq_code,0)),"Équipement inconnu",IF(E605="","Type manquant",IF(AND(E605&lt;&gt;"Préventif",E605&lt;&gt;"Correctif",E605&lt;&gt;"Amélioratif"),"Type inconnu",IF(I605="","Statut manquant",IF(AND(I605&lt;&gt;"Terminée",I605&lt;&gt;"En cours",I605&lt;&gt;"À faire",I605&lt;&gt;"Annulée"),"Statut inconnu",IF(AND(E605="Préventif",F605=""),"Plan manquant (préventif)",IF(AND(F605&lt;&gt;"",ISNA(MATCH(F605,pl_num,0))),"Plan inconnu",IF(AND(F605&lt;&gt;"",IFERROR(INDEX(pl_eq,MATCH(F605,pl_num,0))&amp;"",C605)&lt;&gt;C605),"Plan d'un autre équipement",IF(AND(J605&lt;&gt;"",OR(NOT(ISNUMBER(J605)),N(J605)&lt;0)),"Compteur invalide",IF(OR(AND(K605&lt;&gt;"",OR(NOT(ISNUMBER(K605)),N(K605)&lt;0)),AND(L605&lt;&gt;"",OR(NOT(ISNUMBER(L605)),N(L605)&lt;0))),"Durée invalide",IF(OR(AND(N605&lt;&gt;"",OR(NOT(ISNUMBER(N605)),N(N605)&lt;0)),AND(P605&lt;&gt;"",OR(NOT(ISNUMBER(P605)),N(P605)&lt;0))),"Coût invalide",IF(AND(M605&lt;&gt;"",ISNA(MATCH(M605,tech_name,0))),"Technicien inconnu",IF(AND(I605="Terminée",S605&gt;p_today),"Terminée à une date future",IF(AND(I605="Terminée",V605=0),"Durée d'intervention manquante",IF(AND(I605="Terminée",E605="Préventif",T605=0,OR(IFERROR(INDEX(pl_trig,MATCH(F605,pl_num,0))&amp;"","")="Compteur",IFERROR(INDEX(pl_trig,MATCH(F605,pl_num,0))&amp;"","")="Au premier des deux")),"Compteur manquant (plan au compteur)","OK"))))))))))))))))))</f>
        <v/>
      </c>
      <c r="S605" s="67">
        <f>IF(AND(ISNUMBER(B605),N(B605)&gt;0),INT(B605),0)</f>
        <v>0.0</v>
      </c>
      <c r="T605" s="67">
        <f>IF(AND(ISNUMBER(J605),N(J605)&gt;=0),N(J605),0)</f>
        <v>0.0</v>
      </c>
      <c r="U605" s="67">
        <f>IF(AND(ISNUMBER(K605),N(K605)&gt;0),N(K605),0)</f>
        <v>0.0</v>
      </c>
      <c r="V605" s="67">
        <f>IF(AND(ISNUMBER(L605),N(L605)&gt;0),N(L605),0)</f>
        <v>0.0</v>
      </c>
      <c r="W605" s="67">
        <f>IF(AND(I605="Terminée",S605&gt;0,C605&lt;&gt;"",ISNUMBER(MATCH(C605,eq_code,0))),1,0)</f>
        <v>0.0</v>
      </c>
      <c r="X605" s="67">
        <f>IF(AND(W605=1,E605="Préventif"),1,0)</f>
        <v>0.0</v>
      </c>
      <c r="Y605" s="67">
        <f>IF(AND(ISNUMBER(N605),N(N605)&gt;0),N(N605),0)</f>
        <v>0.0</v>
      </c>
      <c r="Z605" s="67">
        <f>IF(AND(ISNUMBER(P605),N(P605)&gt;0),N(P605),0)</f>
        <v>0.0</v>
      </c>
    </row>
    <row r="606">
      <c r="A606" s="79" t="str">
        <f>IF(COUNTA(B606:C606,E606:G606,I606)=0,"","BI-"&amp;RIGHT("0000"&amp;(ROW()-5),4))</f>
        <v/>
      </c>
      <c r="B606" s="72" t="n"/>
      <c r="C606" s="66" t="n"/>
      <c r="D606" s="67" t="str">
        <f>IF(C606="","",IFERROR(INDEX(eq_des,MATCH(C606,eq_code,0))&amp;"","Équipement inconnu"))</f>
        <v/>
      </c>
      <c r="E606" s="68" t="n"/>
      <c r="F606" s="68" t="n"/>
      <c r="G606" s="66" t="n"/>
      <c r="H606" s="66" t="n"/>
      <c r="I606" s="68" t="n"/>
      <c r="J606" s="73" t="n"/>
      <c r="K606" s="71" t="n"/>
      <c r="L606" s="71" t="n"/>
      <c r="M606" s="66" t="n"/>
      <c r="N606" s="80" t="n"/>
      <c r="O606" s="81" t="str">
        <f>IF(A606="","",ROUND(V606*IFERROR(N(INDEX(tech_rate,MATCH(M606,tech_name,0))),0),2))</f>
        <v/>
      </c>
      <c r="P606" s="80" t="n"/>
      <c r="Q606" s="81" t="str">
        <f>IF(A606="","",ROUND(Y606+O606+Z606,2))</f>
        <v/>
      </c>
      <c r="R606" s="79" t="str">
        <f>IF(A606="","",IF(S606=0,"Date manquante ou invalide",IF(C606="","Équipement manquant",IF(ISNA(MATCH(C606,eq_code,0)),"Équipement inconnu",IF(E606="","Type manquant",IF(AND(E606&lt;&gt;"Préventif",E606&lt;&gt;"Correctif",E606&lt;&gt;"Amélioratif"),"Type inconnu",IF(I606="","Statut manquant",IF(AND(I606&lt;&gt;"Terminée",I606&lt;&gt;"En cours",I606&lt;&gt;"À faire",I606&lt;&gt;"Annulée"),"Statut inconnu",IF(AND(E606="Préventif",F606=""),"Plan manquant (préventif)",IF(AND(F606&lt;&gt;"",ISNA(MATCH(F606,pl_num,0))),"Plan inconnu",IF(AND(F606&lt;&gt;"",IFERROR(INDEX(pl_eq,MATCH(F606,pl_num,0))&amp;"",C606)&lt;&gt;C606),"Plan d'un autre équipement",IF(AND(J606&lt;&gt;"",OR(NOT(ISNUMBER(J606)),N(J606)&lt;0)),"Compteur invalide",IF(OR(AND(K606&lt;&gt;"",OR(NOT(ISNUMBER(K606)),N(K606)&lt;0)),AND(L606&lt;&gt;"",OR(NOT(ISNUMBER(L606)),N(L606)&lt;0))),"Durée invalide",IF(OR(AND(N606&lt;&gt;"",OR(NOT(ISNUMBER(N606)),N(N606)&lt;0)),AND(P606&lt;&gt;"",OR(NOT(ISNUMBER(P606)),N(P606)&lt;0))),"Coût invalide",IF(AND(M606&lt;&gt;"",ISNA(MATCH(M606,tech_name,0))),"Technicien inconnu",IF(AND(I606="Terminée",S606&gt;p_today),"Terminée à une date future",IF(AND(I606="Terminée",V606=0),"Durée d'intervention manquante",IF(AND(I606="Terminée",E606="Préventif",T606=0,OR(IFERROR(INDEX(pl_trig,MATCH(F606,pl_num,0))&amp;"","")="Compteur",IFERROR(INDEX(pl_trig,MATCH(F606,pl_num,0))&amp;"","")="Au premier des deux")),"Compteur manquant (plan au compteur)","OK"))))))))))))))))))</f>
        <v/>
      </c>
      <c r="S606" s="67">
        <f>IF(AND(ISNUMBER(B606),N(B606)&gt;0),INT(B606),0)</f>
        <v>0.0</v>
      </c>
      <c r="T606" s="67">
        <f>IF(AND(ISNUMBER(J606),N(J606)&gt;=0),N(J606),0)</f>
        <v>0.0</v>
      </c>
      <c r="U606" s="67">
        <f>IF(AND(ISNUMBER(K606),N(K606)&gt;0),N(K606),0)</f>
        <v>0.0</v>
      </c>
      <c r="V606" s="67">
        <f>IF(AND(ISNUMBER(L606),N(L606)&gt;0),N(L606),0)</f>
        <v>0.0</v>
      </c>
      <c r="W606" s="67">
        <f>IF(AND(I606="Terminée",S606&gt;0,C606&lt;&gt;"",ISNUMBER(MATCH(C606,eq_code,0))),1,0)</f>
        <v>0.0</v>
      </c>
      <c r="X606" s="67">
        <f>IF(AND(W606=1,E606="Préventif"),1,0)</f>
        <v>0.0</v>
      </c>
      <c r="Y606" s="67">
        <f>IF(AND(ISNUMBER(N606),N(N606)&gt;0),N(N606),0)</f>
        <v>0.0</v>
      </c>
      <c r="Z606" s="67">
        <f>IF(AND(ISNUMBER(P606),N(P606)&gt;0),N(P606),0)</f>
        <v>0.0</v>
      </c>
    </row>
    <row r="607">
      <c r="A607" s="79" t="str">
        <f>IF(COUNTA(B607:C607,E607:G607,I607)=0,"","BI-"&amp;RIGHT("0000"&amp;(ROW()-5),4))</f>
        <v/>
      </c>
      <c r="B607" s="72" t="n"/>
      <c r="C607" s="66" t="n"/>
      <c r="D607" s="67" t="str">
        <f>IF(C607="","",IFERROR(INDEX(eq_des,MATCH(C607,eq_code,0))&amp;"","Équipement inconnu"))</f>
        <v/>
      </c>
      <c r="E607" s="68" t="n"/>
      <c r="F607" s="68" t="n"/>
      <c r="G607" s="66" t="n"/>
      <c r="H607" s="66" t="n"/>
      <c r="I607" s="68" t="n"/>
      <c r="J607" s="73" t="n"/>
      <c r="K607" s="71" t="n"/>
      <c r="L607" s="71" t="n"/>
      <c r="M607" s="66" t="n"/>
      <c r="N607" s="80" t="n"/>
      <c r="O607" s="81" t="str">
        <f>IF(A607="","",ROUND(V607*IFERROR(N(INDEX(tech_rate,MATCH(M607,tech_name,0))),0),2))</f>
        <v/>
      </c>
      <c r="P607" s="80" t="n"/>
      <c r="Q607" s="81" t="str">
        <f>IF(A607="","",ROUND(Y607+O607+Z607,2))</f>
        <v/>
      </c>
      <c r="R607" s="79" t="str">
        <f>IF(A607="","",IF(S607=0,"Date manquante ou invalide",IF(C607="","Équipement manquant",IF(ISNA(MATCH(C607,eq_code,0)),"Équipement inconnu",IF(E607="","Type manquant",IF(AND(E607&lt;&gt;"Préventif",E607&lt;&gt;"Correctif",E607&lt;&gt;"Amélioratif"),"Type inconnu",IF(I607="","Statut manquant",IF(AND(I607&lt;&gt;"Terminée",I607&lt;&gt;"En cours",I607&lt;&gt;"À faire",I607&lt;&gt;"Annulée"),"Statut inconnu",IF(AND(E607="Préventif",F607=""),"Plan manquant (préventif)",IF(AND(F607&lt;&gt;"",ISNA(MATCH(F607,pl_num,0))),"Plan inconnu",IF(AND(F607&lt;&gt;"",IFERROR(INDEX(pl_eq,MATCH(F607,pl_num,0))&amp;"",C607)&lt;&gt;C607),"Plan d'un autre équipement",IF(AND(J607&lt;&gt;"",OR(NOT(ISNUMBER(J607)),N(J607)&lt;0)),"Compteur invalide",IF(OR(AND(K607&lt;&gt;"",OR(NOT(ISNUMBER(K607)),N(K607)&lt;0)),AND(L607&lt;&gt;"",OR(NOT(ISNUMBER(L607)),N(L607)&lt;0))),"Durée invalide",IF(OR(AND(N607&lt;&gt;"",OR(NOT(ISNUMBER(N607)),N(N607)&lt;0)),AND(P607&lt;&gt;"",OR(NOT(ISNUMBER(P607)),N(P607)&lt;0))),"Coût invalide",IF(AND(M607&lt;&gt;"",ISNA(MATCH(M607,tech_name,0))),"Technicien inconnu",IF(AND(I607="Terminée",S607&gt;p_today),"Terminée à une date future",IF(AND(I607="Terminée",V607=0),"Durée d'intervention manquante",IF(AND(I607="Terminée",E607="Préventif",T607=0,OR(IFERROR(INDEX(pl_trig,MATCH(F607,pl_num,0))&amp;"","")="Compteur",IFERROR(INDEX(pl_trig,MATCH(F607,pl_num,0))&amp;"","")="Au premier des deux")),"Compteur manquant (plan au compteur)","OK"))))))))))))))))))</f>
        <v/>
      </c>
      <c r="S607" s="67">
        <f>IF(AND(ISNUMBER(B607),N(B607)&gt;0),INT(B607),0)</f>
        <v>0.0</v>
      </c>
      <c r="T607" s="67">
        <f>IF(AND(ISNUMBER(J607),N(J607)&gt;=0),N(J607),0)</f>
        <v>0.0</v>
      </c>
      <c r="U607" s="67">
        <f>IF(AND(ISNUMBER(K607),N(K607)&gt;0),N(K607),0)</f>
        <v>0.0</v>
      </c>
      <c r="V607" s="67">
        <f>IF(AND(ISNUMBER(L607),N(L607)&gt;0),N(L607),0)</f>
        <v>0.0</v>
      </c>
      <c r="W607" s="67">
        <f>IF(AND(I607="Terminée",S607&gt;0,C607&lt;&gt;"",ISNUMBER(MATCH(C607,eq_code,0))),1,0)</f>
        <v>0.0</v>
      </c>
      <c r="X607" s="67">
        <f>IF(AND(W607=1,E607="Préventif"),1,0)</f>
        <v>0.0</v>
      </c>
      <c r="Y607" s="67">
        <f>IF(AND(ISNUMBER(N607),N(N607)&gt;0),N(N607),0)</f>
        <v>0.0</v>
      </c>
      <c r="Z607" s="67">
        <f>IF(AND(ISNUMBER(P607),N(P607)&gt;0),N(P607),0)</f>
        <v>0.0</v>
      </c>
    </row>
    <row r="608">
      <c r="A608" s="79" t="str">
        <f>IF(COUNTA(B608:C608,E608:G608,I608)=0,"","BI-"&amp;RIGHT("0000"&amp;(ROW()-5),4))</f>
        <v/>
      </c>
      <c r="B608" s="72" t="n"/>
      <c r="C608" s="66" t="n"/>
      <c r="D608" s="67" t="str">
        <f>IF(C608="","",IFERROR(INDEX(eq_des,MATCH(C608,eq_code,0))&amp;"","Équipement inconnu"))</f>
        <v/>
      </c>
      <c r="E608" s="68" t="n"/>
      <c r="F608" s="68" t="n"/>
      <c r="G608" s="66" t="n"/>
      <c r="H608" s="66" t="n"/>
      <c r="I608" s="68" t="n"/>
      <c r="J608" s="73" t="n"/>
      <c r="K608" s="71" t="n"/>
      <c r="L608" s="71" t="n"/>
      <c r="M608" s="66" t="n"/>
      <c r="N608" s="80" t="n"/>
      <c r="O608" s="81" t="str">
        <f>IF(A608="","",ROUND(V608*IFERROR(N(INDEX(tech_rate,MATCH(M608,tech_name,0))),0),2))</f>
        <v/>
      </c>
      <c r="P608" s="80" t="n"/>
      <c r="Q608" s="81" t="str">
        <f>IF(A608="","",ROUND(Y608+O608+Z608,2))</f>
        <v/>
      </c>
      <c r="R608" s="79" t="str">
        <f>IF(A608="","",IF(S608=0,"Date manquante ou invalide",IF(C608="","Équipement manquant",IF(ISNA(MATCH(C608,eq_code,0)),"Équipement inconnu",IF(E608="","Type manquant",IF(AND(E608&lt;&gt;"Préventif",E608&lt;&gt;"Correctif",E608&lt;&gt;"Amélioratif"),"Type inconnu",IF(I608="","Statut manquant",IF(AND(I608&lt;&gt;"Terminée",I608&lt;&gt;"En cours",I608&lt;&gt;"À faire",I608&lt;&gt;"Annulée"),"Statut inconnu",IF(AND(E608="Préventif",F608=""),"Plan manquant (préventif)",IF(AND(F608&lt;&gt;"",ISNA(MATCH(F608,pl_num,0))),"Plan inconnu",IF(AND(F608&lt;&gt;"",IFERROR(INDEX(pl_eq,MATCH(F608,pl_num,0))&amp;"",C608)&lt;&gt;C608),"Plan d'un autre équipement",IF(AND(J608&lt;&gt;"",OR(NOT(ISNUMBER(J608)),N(J608)&lt;0)),"Compteur invalide",IF(OR(AND(K608&lt;&gt;"",OR(NOT(ISNUMBER(K608)),N(K608)&lt;0)),AND(L608&lt;&gt;"",OR(NOT(ISNUMBER(L608)),N(L608)&lt;0))),"Durée invalide",IF(OR(AND(N608&lt;&gt;"",OR(NOT(ISNUMBER(N608)),N(N608)&lt;0)),AND(P608&lt;&gt;"",OR(NOT(ISNUMBER(P608)),N(P608)&lt;0))),"Coût invalide",IF(AND(M608&lt;&gt;"",ISNA(MATCH(M608,tech_name,0))),"Technicien inconnu",IF(AND(I608="Terminée",S608&gt;p_today),"Terminée à une date future",IF(AND(I608="Terminée",V608=0),"Durée d'intervention manquante",IF(AND(I608="Terminée",E608="Préventif",T608=0,OR(IFERROR(INDEX(pl_trig,MATCH(F608,pl_num,0))&amp;"","")="Compteur",IFERROR(INDEX(pl_trig,MATCH(F608,pl_num,0))&amp;"","")="Au premier des deux")),"Compteur manquant (plan au compteur)","OK"))))))))))))))))))</f>
        <v/>
      </c>
      <c r="S608" s="67">
        <f>IF(AND(ISNUMBER(B608),N(B608)&gt;0),INT(B608),0)</f>
        <v>0.0</v>
      </c>
      <c r="T608" s="67">
        <f>IF(AND(ISNUMBER(J608),N(J608)&gt;=0),N(J608),0)</f>
        <v>0.0</v>
      </c>
      <c r="U608" s="67">
        <f>IF(AND(ISNUMBER(K608),N(K608)&gt;0),N(K608),0)</f>
        <v>0.0</v>
      </c>
      <c r="V608" s="67">
        <f>IF(AND(ISNUMBER(L608),N(L608)&gt;0),N(L608),0)</f>
        <v>0.0</v>
      </c>
      <c r="W608" s="67">
        <f>IF(AND(I608="Terminée",S608&gt;0,C608&lt;&gt;"",ISNUMBER(MATCH(C608,eq_code,0))),1,0)</f>
        <v>0.0</v>
      </c>
      <c r="X608" s="67">
        <f>IF(AND(W608=1,E608="Préventif"),1,0)</f>
        <v>0.0</v>
      </c>
      <c r="Y608" s="67">
        <f>IF(AND(ISNUMBER(N608),N(N608)&gt;0),N(N608),0)</f>
        <v>0.0</v>
      </c>
      <c r="Z608" s="67">
        <f>IF(AND(ISNUMBER(P608),N(P608)&gt;0),N(P608),0)</f>
        <v>0.0</v>
      </c>
    </row>
    <row r="609">
      <c r="A609" s="79" t="str">
        <f>IF(COUNTA(B609:C609,E609:G609,I609)=0,"","BI-"&amp;RIGHT("0000"&amp;(ROW()-5),4))</f>
        <v/>
      </c>
      <c r="B609" s="72" t="n"/>
      <c r="C609" s="66" t="n"/>
      <c r="D609" s="67" t="str">
        <f>IF(C609="","",IFERROR(INDEX(eq_des,MATCH(C609,eq_code,0))&amp;"","Équipement inconnu"))</f>
        <v/>
      </c>
      <c r="E609" s="68" t="n"/>
      <c r="F609" s="68" t="n"/>
      <c r="G609" s="66" t="n"/>
      <c r="H609" s="66" t="n"/>
      <c r="I609" s="68" t="n"/>
      <c r="J609" s="73" t="n"/>
      <c r="K609" s="71" t="n"/>
      <c r="L609" s="71" t="n"/>
      <c r="M609" s="66" t="n"/>
      <c r="N609" s="80" t="n"/>
      <c r="O609" s="81" t="str">
        <f>IF(A609="","",ROUND(V609*IFERROR(N(INDEX(tech_rate,MATCH(M609,tech_name,0))),0),2))</f>
        <v/>
      </c>
      <c r="P609" s="80" t="n"/>
      <c r="Q609" s="81" t="str">
        <f>IF(A609="","",ROUND(Y609+O609+Z609,2))</f>
        <v/>
      </c>
      <c r="R609" s="79" t="str">
        <f>IF(A609="","",IF(S609=0,"Date manquante ou invalide",IF(C609="","Équipement manquant",IF(ISNA(MATCH(C609,eq_code,0)),"Équipement inconnu",IF(E609="","Type manquant",IF(AND(E609&lt;&gt;"Préventif",E609&lt;&gt;"Correctif",E609&lt;&gt;"Amélioratif"),"Type inconnu",IF(I609="","Statut manquant",IF(AND(I609&lt;&gt;"Terminée",I609&lt;&gt;"En cours",I609&lt;&gt;"À faire",I609&lt;&gt;"Annulée"),"Statut inconnu",IF(AND(E609="Préventif",F609=""),"Plan manquant (préventif)",IF(AND(F609&lt;&gt;"",ISNA(MATCH(F609,pl_num,0))),"Plan inconnu",IF(AND(F609&lt;&gt;"",IFERROR(INDEX(pl_eq,MATCH(F609,pl_num,0))&amp;"",C609)&lt;&gt;C609),"Plan d'un autre équipement",IF(AND(J609&lt;&gt;"",OR(NOT(ISNUMBER(J609)),N(J609)&lt;0)),"Compteur invalide",IF(OR(AND(K609&lt;&gt;"",OR(NOT(ISNUMBER(K609)),N(K609)&lt;0)),AND(L609&lt;&gt;"",OR(NOT(ISNUMBER(L609)),N(L609)&lt;0))),"Durée invalide",IF(OR(AND(N609&lt;&gt;"",OR(NOT(ISNUMBER(N609)),N(N609)&lt;0)),AND(P609&lt;&gt;"",OR(NOT(ISNUMBER(P609)),N(P609)&lt;0))),"Coût invalide",IF(AND(M609&lt;&gt;"",ISNA(MATCH(M609,tech_name,0))),"Technicien inconnu",IF(AND(I609="Terminée",S609&gt;p_today),"Terminée à une date future",IF(AND(I609="Terminée",V609=0),"Durée d'intervention manquante",IF(AND(I609="Terminée",E609="Préventif",T609=0,OR(IFERROR(INDEX(pl_trig,MATCH(F609,pl_num,0))&amp;"","")="Compteur",IFERROR(INDEX(pl_trig,MATCH(F609,pl_num,0))&amp;"","")="Au premier des deux")),"Compteur manquant (plan au compteur)","OK"))))))))))))))))))</f>
        <v/>
      </c>
      <c r="S609" s="67">
        <f>IF(AND(ISNUMBER(B609),N(B609)&gt;0),INT(B609),0)</f>
        <v>0.0</v>
      </c>
      <c r="T609" s="67">
        <f>IF(AND(ISNUMBER(J609),N(J609)&gt;=0),N(J609),0)</f>
        <v>0.0</v>
      </c>
      <c r="U609" s="67">
        <f>IF(AND(ISNUMBER(K609),N(K609)&gt;0),N(K609),0)</f>
        <v>0.0</v>
      </c>
      <c r="V609" s="67">
        <f>IF(AND(ISNUMBER(L609),N(L609)&gt;0),N(L609),0)</f>
        <v>0.0</v>
      </c>
      <c r="W609" s="67">
        <f>IF(AND(I609="Terminée",S609&gt;0,C609&lt;&gt;"",ISNUMBER(MATCH(C609,eq_code,0))),1,0)</f>
        <v>0.0</v>
      </c>
      <c r="X609" s="67">
        <f>IF(AND(W609=1,E609="Préventif"),1,0)</f>
        <v>0.0</v>
      </c>
      <c r="Y609" s="67">
        <f>IF(AND(ISNUMBER(N609),N(N609)&gt;0),N(N609),0)</f>
        <v>0.0</v>
      </c>
      <c r="Z609" s="67">
        <f>IF(AND(ISNUMBER(P609),N(P609)&gt;0),N(P609),0)</f>
        <v>0.0</v>
      </c>
    </row>
    <row r="610">
      <c r="A610" s="79" t="str">
        <f>IF(COUNTA(B610:C610,E610:G610,I610)=0,"","BI-"&amp;RIGHT("0000"&amp;(ROW()-5),4))</f>
        <v/>
      </c>
      <c r="B610" s="72" t="n"/>
      <c r="C610" s="66" t="n"/>
      <c r="D610" s="67" t="str">
        <f>IF(C610="","",IFERROR(INDEX(eq_des,MATCH(C610,eq_code,0))&amp;"","Équipement inconnu"))</f>
        <v/>
      </c>
      <c r="E610" s="68" t="n"/>
      <c r="F610" s="68" t="n"/>
      <c r="G610" s="66" t="n"/>
      <c r="H610" s="66" t="n"/>
      <c r="I610" s="68" t="n"/>
      <c r="J610" s="73" t="n"/>
      <c r="K610" s="71" t="n"/>
      <c r="L610" s="71" t="n"/>
      <c r="M610" s="66" t="n"/>
      <c r="N610" s="80" t="n"/>
      <c r="O610" s="81" t="str">
        <f>IF(A610="","",ROUND(V610*IFERROR(N(INDEX(tech_rate,MATCH(M610,tech_name,0))),0),2))</f>
        <v/>
      </c>
      <c r="P610" s="80" t="n"/>
      <c r="Q610" s="81" t="str">
        <f>IF(A610="","",ROUND(Y610+O610+Z610,2))</f>
        <v/>
      </c>
      <c r="R610" s="79" t="str">
        <f>IF(A610="","",IF(S610=0,"Date manquante ou invalide",IF(C610="","Équipement manquant",IF(ISNA(MATCH(C610,eq_code,0)),"Équipement inconnu",IF(E610="","Type manquant",IF(AND(E610&lt;&gt;"Préventif",E610&lt;&gt;"Correctif",E610&lt;&gt;"Amélioratif"),"Type inconnu",IF(I610="","Statut manquant",IF(AND(I610&lt;&gt;"Terminée",I610&lt;&gt;"En cours",I610&lt;&gt;"À faire",I610&lt;&gt;"Annulée"),"Statut inconnu",IF(AND(E610="Préventif",F610=""),"Plan manquant (préventif)",IF(AND(F610&lt;&gt;"",ISNA(MATCH(F610,pl_num,0))),"Plan inconnu",IF(AND(F610&lt;&gt;"",IFERROR(INDEX(pl_eq,MATCH(F610,pl_num,0))&amp;"",C610)&lt;&gt;C610),"Plan d'un autre équipement",IF(AND(J610&lt;&gt;"",OR(NOT(ISNUMBER(J610)),N(J610)&lt;0)),"Compteur invalide",IF(OR(AND(K610&lt;&gt;"",OR(NOT(ISNUMBER(K610)),N(K610)&lt;0)),AND(L610&lt;&gt;"",OR(NOT(ISNUMBER(L610)),N(L610)&lt;0))),"Durée invalide",IF(OR(AND(N610&lt;&gt;"",OR(NOT(ISNUMBER(N610)),N(N610)&lt;0)),AND(P610&lt;&gt;"",OR(NOT(ISNUMBER(P610)),N(P610)&lt;0))),"Coût invalide",IF(AND(M610&lt;&gt;"",ISNA(MATCH(M610,tech_name,0))),"Technicien inconnu",IF(AND(I610="Terminée",S610&gt;p_today),"Terminée à une date future",IF(AND(I610="Terminée",V610=0),"Durée d'intervention manquante",IF(AND(I610="Terminée",E610="Préventif",T610=0,OR(IFERROR(INDEX(pl_trig,MATCH(F610,pl_num,0))&amp;"","")="Compteur",IFERROR(INDEX(pl_trig,MATCH(F610,pl_num,0))&amp;"","")="Au premier des deux")),"Compteur manquant (plan au compteur)","OK"))))))))))))))))))</f>
        <v/>
      </c>
      <c r="S610" s="67">
        <f>IF(AND(ISNUMBER(B610),N(B610)&gt;0),INT(B610),0)</f>
        <v>0.0</v>
      </c>
      <c r="T610" s="67">
        <f>IF(AND(ISNUMBER(J610),N(J610)&gt;=0),N(J610),0)</f>
        <v>0.0</v>
      </c>
      <c r="U610" s="67">
        <f>IF(AND(ISNUMBER(K610),N(K610)&gt;0),N(K610),0)</f>
        <v>0.0</v>
      </c>
      <c r="V610" s="67">
        <f>IF(AND(ISNUMBER(L610),N(L610)&gt;0),N(L610),0)</f>
        <v>0.0</v>
      </c>
      <c r="W610" s="67">
        <f>IF(AND(I610="Terminée",S610&gt;0,C610&lt;&gt;"",ISNUMBER(MATCH(C610,eq_code,0))),1,0)</f>
        <v>0.0</v>
      </c>
      <c r="X610" s="67">
        <f>IF(AND(W610=1,E610="Préventif"),1,0)</f>
        <v>0.0</v>
      </c>
      <c r="Y610" s="67">
        <f>IF(AND(ISNUMBER(N610),N(N610)&gt;0),N(N610),0)</f>
        <v>0.0</v>
      </c>
      <c r="Z610" s="67">
        <f>IF(AND(ISNUMBER(P610),N(P610)&gt;0),N(P610),0)</f>
        <v>0.0</v>
      </c>
    </row>
    <row r="611">
      <c r="A611" s="79" t="str">
        <f>IF(COUNTA(B611:C611,E611:G611,I611)=0,"","BI-"&amp;RIGHT("0000"&amp;(ROW()-5),4))</f>
        <v/>
      </c>
      <c r="B611" s="72" t="n"/>
      <c r="C611" s="66" t="n"/>
      <c r="D611" s="67" t="str">
        <f>IF(C611="","",IFERROR(INDEX(eq_des,MATCH(C611,eq_code,0))&amp;"","Équipement inconnu"))</f>
        <v/>
      </c>
      <c r="E611" s="68" t="n"/>
      <c r="F611" s="68" t="n"/>
      <c r="G611" s="66" t="n"/>
      <c r="H611" s="66" t="n"/>
      <c r="I611" s="68" t="n"/>
      <c r="J611" s="73" t="n"/>
      <c r="K611" s="71" t="n"/>
      <c r="L611" s="71" t="n"/>
      <c r="M611" s="66" t="n"/>
      <c r="N611" s="80" t="n"/>
      <c r="O611" s="81" t="str">
        <f>IF(A611="","",ROUND(V611*IFERROR(N(INDEX(tech_rate,MATCH(M611,tech_name,0))),0),2))</f>
        <v/>
      </c>
      <c r="P611" s="80" t="n"/>
      <c r="Q611" s="81" t="str">
        <f>IF(A611="","",ROUND(Y611+O611+Z611,2))</f>
        <v/>
      </c>
      <c r="R611" s="79" t="str">
        <f>IF(A611="","",IF(S611=0,"Date manquante ou invalide",IF(C611="","Équipement manquant",IF(ISNA(MATCH(C611,eq_code,0)),"Équipement inconnu",IF(E611="","Type manquant",IF(AND(E611&lt;&gt;"Préventif",E611&lt;&gt;"Correctif",E611&lt;&gt;"Amélioratif"),"Type inconnu",IF(I611="","Statut manquant",IF(AND(I611&lt;&gt;"Terminée",I611&lt;&gt;"En cours",I611&lt;&gt;"À faire",I611&lt;&gt;"Annulée"),"Statut inconnu",IF(AND(E611="Préventif",F611=""),"Plan manquant (préventif)",IF(AND(F611&lt;&gt;"",ISNA(MATCH(F611,pl_num,0))),"Plan inconnu",IF(AND(F611&lt;&gt;"",IFERROR(INDEX(pl_eq,MATCH(F611,pl_num,0))&amp;"",C611)&lt;&gt;C611),"Plan d'un autre équipement",IF(AND(J611&lt;&gt;"",OR(NOT(ISNUMBER(J611)),N(J611)&lt;0)),"Compteur invalide",IF(OR(AND(K611&lt;&gt;"",OR(NOT(ISNUMBER(K611)),N(K611)&lt;0)),AND(L611&lt;&gt;"",OR(NOT(ISNUMBER(L611)),N(L611)&lt;0))),"Durée invalide",IF(OR(AND(N611&lt;&gt;"",OR(NOT(ISNUMBER(N611)),N(N611)&lt;0)),AND(P611&lt;&gt;"",OR(NOT(ISNUMBER(P611)),N(P611)&lt;0))),"Coût invalide",IF(AND(M611&lt;&gt;"",ISNA(MATCH(M611,tech_name,0))),"Technicien inconnu",IF(AND(I611="Terminée",S611&gt;p_today),"Terminée à une date future",IF(AND(I611="Terminée",V611=0),"Durée d'intervention manquante",IF(AND(I611="Terminée",E611="Préventif",T611=0,OR(IFERROR(INDEX(pl_trig,MATCH(F611,pl_num,0))&amp;"","")="Compteur",IFERROR(INDEX(pl_trig,MATCH(F611,pl_num,0))&amp;"","")="Au premier des deux")),"Compteur manquant (plan au compteur)","OK"))))))))))))))))))</f>
        <v/>
      </c>
      <c r="S611" s="67">
        <f>IF(AND(ISNUMBER(B611),N(B611)&gt;0),INT(B611),0)</f>
        <v>0.0</v>
      </c>
      <c r="T611" s="67">
        <f>IF(AND(ISNUMBER(J611),N(J611)&gt;=0),N(J611),0)</f>
        <v>0.0</v>
      </c>
      <c r="U611" s="67">
        <f>IF(AND(ISNUMBER(K611),N(K611)&gt;0),N(K611),0)</f>
        <v>0.0</v>
      </c>
      <c r="V611" s="67">
        <f>IF(AND(ISNUMBER(L611),N(L611)&gt;0),N(L611),0)</f>
        <v>0.0</v>
      </c>
      <c r="W611" s="67">
        <f>IF(AND(I611="Terminée",S611&gt;0,C611&lt;&gt;"",ISNUMBER(MATCH(C611,eq_code,0))),1,0)</f>
        <v>0.0</v>
      </c>
      <c r="X611" s="67">
        <f>IF(AND(W611=1,E611="Préventif"),1,0)</f>
        <v>0.0</v>
      </c>
      <c r="Y611" s="67">
        <f>IF(AND(ISNUMBER(N611),N(N611)&gt;0),N(N611),0)</f>
        <v>0.0</v>
      </c>
      <c r="Z611" s="67">
        <f>IF(AND(ISNUMBER(P611),N(P611)&gt;0),N(P611),0)</f>
        <v>0.0</v>
      </c>
    </row>
    <row r="612">
      <c r="A612" s="79" t="str">
        <f>IF(COUNTA(B612:C612,E612:G612,I612)=0,"","BI-"&amp;RIGHT("0000"&amp;(ROW()-5),4))</f>
        <v/>
      </c>
      <c r="B612" s="72" t="n"/>
      <c r="C612" s="66" t="n"/>
      <c r="D612" s="67" t="str">
        <f>IF(C612="","",IFERROR(INDEX(eq_des,MATCH(C612,eq_code,0))&amp;"","Équipement inconnu"))</f>
        <v/>
      </c>
      <c r="E612" s="68" t="n"/>
      <c r="F612" s="68" t="n"/>
      <c r="G612" s="66" t="n"/>
      <c r="H612" s="66" t="n"/>
      <c r="I612" s="68" t="n"/>
      <c r="J612" s="73" t="n"/>
      <c r="K612" s="71" t="n"/>
      <c r="L612" s="71" t="n"/>
      <c r="M612" s="66" t="n"/>
      <c r="N612" s="80" t="n"/>
      <c r="O612" s="81" t="str">
        <f>IF(A612="","",ROUND(V612*IFERROR(N(INDEX(tech_rate,MATCH(M612,tech_name,0))),0),2))</f>
        <v/>
      </c>
      <c r="P612" s="80" t="n"/>
      <c r="Q612" s="81" t="str">
        <f>IF(A612="","",ROUND(Y612+O612+Z612,2))</f>
        <v/>
      </c>
      <c r="R612" s="79" t="str">
        <f>IF(A612="","",IF(S612=0,"Date manquante ou invalide",IF(C612="","Équipement manquant",IF(ISNA(MATCH(C612,eq_code,0)),"Équipement inconnu",IF(E612="","Type manquant",IF(AND(E612&lt;&gt;"Préventif",E612&lt;&gt;"Correctif",E612&lt;&gt;"Amélioratif"),"Type inconnu",IF(I612="","Statut manquant",IF(AND(I612&lt;&gt;"Terminée",I612&lt;&gt;"En cours",I612&lt;&gt;"À faire",I612&lt;&gt;"Annulée"),"Statut inconnu",IF(AND(E612="Préventif",F612=""),"Plan manquant (préventif)",IF(AND(F612&lt;&gt;"",ISNA(MATCH(F612,pl_num,0))),"Plan inconnu",IF(AND(F612&lt;&gt;"",IFERROR(INDEX(pl_eq,MATCH(F612,pl_num,0))&amp;"",C612)&lt;&gt;C612),"Plan d'un autre équipement",IF(AND(J612&lt;&gt;"",OR(NOT(ISNUMBER(J612)),N(J612)&lt;0)),"Compteur invalide",IF(OR(AND(K612&lt;&gt;"",OR(NOT(ISNUMBER(K612)),N(K612)&lt;0)),AND(L612&lt;&gt;"",OR(NOT(ISNUMBER(L612)),N(L612)&lt;0))),"Durée invalide",IF(OR(AND(N612&lt;&gt;"",OR(NOT(ISNUMBER(N612)),N(N612)&lt;0)),AND(P612&lt;&gt;"",OR(NOT(ISNUMBER(P612)),N(P612)&lt;0))),"Coût invalide",IF(AND(M612&lt;&gt;"",ISNA(MATCH(M612,tech_name,0))),"Technicien inconnu",IF(AND(I612="Terminée",S612&gt;p_today),"Terminée à une date future",IF(AND(I612="Terminée",V612=0),"Durée d'intervention manquante",IF(AND(I612="Terminée",E612="Préventif",T612=0,OR(IFERROR(INDEX(pl_trig,MATCH(F612,pl_num,0))&amp;"","")="Compteur",IFERROR(INDEX(pl_trig,MATCH(F612,pl_num,0))&amp;"","")="Au premier des deux")),"Compteur manquant (plan au compteur)","OK"))))))))))))))))))</f>
        <v/>
      </c>
      <c r="S612" s="67">
        <f>IF(AND(ISNUMBER(B612),N(B612)&gt;0),INT(B612),0)</f>
        <v>0.0</v>
      </c>
      <c r="T612" s="67">
        <f>IF(AND(ISNUMBER(J612),N(J612)&gt;=0),N(J612),0)</f>
        <v>0.0</v>
      </c>
      <c r="U612" s="67">
        <f>IF(AND(ISNUMBER(K612),N(K612)&gt;0),N(K612),0)</f>
        <v>0.0</v>
      </c>
      <c r="V612" s="67">
        <f>IF(AND(ISNUMBER(L612),N(L612)&gt;0),N(L612),0)</f>
        <v>0.0</v>
      </c>
      <c r="W612" s="67">
        <f>IF(AND(I612="Terminée",S612&gt;0,C612&lt;&gt;"",ISNUMBER(MATCH(C612,eq_code,0))),1,0)</f>
        <v>0.0</v>
      </c>
      <c r="X612" s="67">
        <f>IF(AND(W612=1,E612="Préventif"),1,0)</f>
        <v>0.0</v>
      </c>
      <c r="Y612" s="67">
        <f>IF(AND(ISNUMBER(N612),N(N612)&gt;0),N(N612),0)</f>
        <v>0.0</v>
      </c>
      <c r="Z612" s="67">
        <f>IF(AND(ISNUMBER(P612),N(P612)&gt;0),N(P612),0)</f>
        <v>0.0</v>
      </c>
    </row>
    <row r="613">
      <c r="A613" s="79" t="str">
        <f>IF(COUNTA(B613:C613,E613:G613,I613)=0,"","BI-"&amp;RIGHT("0000"&amp;(ROW()-5),4))</f>
        <v/>
      </c>
      <c r="B613" s="72" t="n"/>
      <c r="C613" s="66" t="n"/>
      <c r="D613" s="67" t="str">
        <f>IF(C613="","",IFERROR(INDEX(eq_des,MATCH(C613,eq_code,0))&amp;"","Équipement inconnu"))</f>
        <v/>
      </c>
      <c r="E613" s="68" t="n"/>
      <c r="F613" s="68" t="n"/>
      <c r="G613" s="66" t="n"/>
      <c r="H613" s="66" t="n"/>
      <c r="I613" s="68" t="n"/>
      <c r="J613" s="73" t="n"/>
      <c r="K613" s="71" t="n"/>
      <c r="L613" s="71" t="n"/>
      <c r="M613" s="66" t="n"/>
      <c r="N613" s="80" t="n"/>
      <c r="O613" s="81" t="str">
        <f>IF(A613="","",ROUND(V613*IFERROR(N(INDEX(tech_rate,MATCH(M613,tech_name,0))),0),2))</f>
        <v/>
      </c>
      <c r="P613" s="80" t="n"/>
      <c r="Q613" s="81" t="str">
        <f>IF(A613="","",ROUND(Y613+O613+Z613,2))</f>
        <v/>
      </c>
      <c r="R613" s="79" t="str">
        <f>IF(A613="","",IF(S613=0,"Date manquante ou invalide",IF(C613="","Équipement manquant",IF(ISNA(MATCH(C613,eq_code,0)),"Équipement inconnu",IF(E613="","Type manquant",IF(AND(E613&lt;&gt;"Préventif",E613&lt;&gt;"Correctif",E613&lt;&gt;"Amélioratif"),"Type inconnu",IF(I613="","Statut manquant",IF(AND(I613&lt;&gt;"Terminée",I613&lt;&gt;"En cours",I613&lt;&gt;"À faire",I613&lt;&gt;"Annulée"),"Statut inconnu",IF(AND(E613="Préventif",F613=""),"Plan manquant (préventif)",IF(AND(F613&lt;&gt;"",ISNA(MATCH(F613,pl_num,0))),"Plan inconnu",IF(AND(F613&lt;&gt;"",IFERROR(INDEX(pl_eq,MATCH(F613,pl_num,0))&amp;"",C613)&lt;&gt;C613),"Plan d'un autre équipement",IF(AND(J613&lt;&gt;"",OR(NOT(ISNUMBER(J613)),N(J613)&lt;0)),"Compteur invalide",IF(OR(AND(K613&lt;&gt;"",OR(NOT(ISNUMBER(K613)),N(K613)&lt;0)),AND(L613&lt;&gt;"",OR(NOT(ISNUMBER(L613)),N(L613)&lt;0))),"Durée invalide",IF(OR(AND(N613&lt;&gt;"",OR(NOT(ISNUMBER(N613)),N(N613)&lt;0)),AND(P613&lt;&gt;"",OR(NOT(ISNUMBER(P613)),N(P613)&lt;0))),"Coût invalide",IF(AND(M613&lt;&gt;"",ISNA(MATCH(M613,tech_name,0))),"Technicien inconnu",IF(AND(I613="Terminée",S613&gt;p_today),"Terminée à une date future",IF(AND(I613="Terminée",V613=0),"Durée d'intervention manquante",IF(AND(I613="Terminée",E613="Préventif",T613=0,OR(IFERROR(INDEX(pl_trig,MATCH(F613,pl_num,0))&amp;"","")="Compteur",IFERROR(INDEX(pl_trig,MATCH(F613,pl_num,0))&amp;"","")="Au premier des deux")),"Compteur manquant (plan au compteur)","OK"))))))))))))))))))</f>
        <v/>
      </c>
      <c r="S613" s="67">
        <f>IF(AND(ISNUMBER(B613),N(B613)&gt;0),INT(B613),0)</f>
        <v>0.0</v>
      </c>
      <c r="T613" s="67">
        <f>IF(AND(ISNUMBER(J613),N(J613)&gt;=0),N(J613),0)</f>
        <v>0.0</v>
      </c>
      <c r="U613" s="67">
        <f>IF(AND(ISNUMBER(K613),N(K613)&gt;0),N(K613),0)</f>
        <v>0.0</v>
      </c>
      <c r="V613" s="67">
        <f>IF(AND(ISNUMBER(L613),N(L613)&gt;0),N(L613),0)</f>
        <v>0.0</v>
      </c>
      <c r="W613" s="67">
        <f>IF(AND(I613="Terminée",S613&gt;0,C613&lt;&gt;"",ISNUMBER(MATCH(C613,eq_code,0))),1,0)</f>
        <v>0.0</v>
      </c>
      <c r="X613" s="67">
        <f>IF(AND(W613=1,E613="Préventif"),1,0)</f>
        <v>0.0</v>
      </c>
      <c r="Y613" s="67">
        <f>IF(AND(ISNUMBER(N613),N(N613)&gt;0),N(N613),0)</f>
        <v>0.0</v>
      </c>
      <c r="Z613" s="67">
        <f>IF(AND(ISNUMBER(P613),N(P613)&gt;0),N(P613),0)</f>
        <v>0.0</v>
      </c>
    </row>
    <row r="614">
      <c r="A614" s="79" t="str">
        <f>IF(COUNTA(B614:C614,E614:G614,I614)=0,"","BI-"&amp;RIGHT("0000"&amp;(ROW()-5),4))</f>
        <v/>
      </c>
      <c r="B614" s="72" t="n"/>
      <c r="C614" s="66" t="n"/>
      <c r="D614" s="67" t="str">
        <f>IF(C614="","",IFERROR(INDEX(eq_des,MATCH(C614,eq_code,0))&amp;"","Équipement inconnu"))</f>
        <v/>
      </c>
      <c r="E614" s="68" t="n"/>
      <c r="F614" s="68" t="n"/>
      <c r="G614" s="66" t="n"/>
      <c r="H614" s="66" t="n"/>
      <c r="I614" s="68" t="n"/>
      <c r="J614" s="73" t="n"/>
      <c r="K614" s="71" t="n"/>
      <c r="L614" s="71" t="n"/>
      <c r="M614" s="66" t="n"/>
      <c r="N614" s="80" t="n"/>
      <c r="O614" s="81" t="str">
        <f>IF(A614="","",ROUND(V614*IFERROR(N(INDEX(tech_rate,MATCH(M614,tech_name,0))),0),2))</f>
        <v/>
      </c>
      <c r="P614" s="80" t="n"/>
      <c r="Q614" s="81" t="str">
        <f>IF(A614="","",ROUND(Y614+O614+Z614,2))</f>
        <v/>
      </c>
      <c r="R614" s="79" t="str">
        <f>IF(A614="","",IF(S614=0,"Date manquante ou invalide",IF(C614="","Équipement manquant",IF(ISNA(MATCH(C614,eq_code,0)),"Équipement inconnu",IF(E614="","Type manquant",IF(AND(E614&lt;&gt;"Préventif",E614&lt;&gt;"Correctif",E614&lt;&gt;"Amélioratif"),"Type inconnu",IF(I614="","Statut manquant",IF(AND(I614&lt;&gt;"Terminée",I614&lt;&gt;"En cours",I614&lt;&gt;"À faire",I614&lt;&gt;"Annulée"),"Statut inconnu",IF(AND(E614="Préventif",F614=""),"Plan manquant (préventif)",IF(AND(F614&lt;&gt;"",ISNA(MATCH(F614,pl_num,0))),"Plan inconnu",IF(AND(F614&lt;&gt;"",IFERROR(INDEX(pl_eq,MATCH(F614,pl_num,0))&amp;"",C614)&lt;&gt;C614),"Plan d'un autre équipement",IF(AND(J614&lt;&gt;"",OR(NOT(ISNUMBER(J614)),N(J614)&lt;0)),"Compteur invalide",IF(OR(AND(K614&lt;&gt;"",OR(NOT(ISNUMBER(K614)),N(K614)&lt;0)),AND(L614&lt;&gt;"",OR(NOT(ISNUMBER(L614)),N(L614)&lt;0))),"Durée invalide",IF(OR(AND(N614&lt;&gt;"",OR(NOT(ISNUMBER(N614)),N(N614)&lt;0)),AND(P614&lt;&gt;"",OR(NOT(ISNUMBER(P614)),N(P614)&lt;0))),"Coût invalide",IF(AND(M614&lt;&gt;"",ISNA(MATCH(M614,tech_name,0))),"Technicien inconnu",IF(AND(I614="Terminée",S614&gt;p_today),"Terminée à une date future",IF(AND(I614="Terminée",V614=0),"Durée d'intervention manquante",IF(AND(I614="Terminée",E614="Préventif",T614=0,OR(IFERROR(INDEX(pl_trig,MATCH(F614,pl_num,0))&amp;"","")="Compteur",IFERROR(INDEX(pl_trig,MATCH(F614,pl_num,0))&amp;"","")="Au premier des deux")),"Compteur manquant (plan au compteur)","OK"))))))))))))))))))</f>
        <v/>
      </c>
      <c r="S614" s="67">
        <f>IF(AND(ISNUMBER(B614),N(B614)&gt;0),INT(B614),0)</f>
        <v>0.0</v>
      </c>
      <c r="T614" s="67">
        <f>IF(AND(ISNUMBER(J614),N(J614)&gt;=0),N(J614),0)</f>
        <v>0.0</v>
      </c>
      <c r="U614" s="67">
        <f>IF(AND(ISNUMBER(K614),N(K614)&gt;0),N(K614),0)</f>
        <v>0.0</v>
      </c>
      <c r="V614" s="67">
        <f>IF(AND(ISNUMBER(L614),N(L614)&gt;0),N(L614),0)</f>
        <v>0.0</v>
      </c>
      <c r="W614" s="67">
        <f>IF(AND(I614="Terminée",S614&gt;0,C614&lt;&gt;"",ISNUMBER(MATCH(C614,eq_code,0))),1,0)</f>
        <v>0.0</v>
      </c>
      <c r="X614" s="67">
        <f>IF(AND(W614=1,E614="Préventif"),1,0)</f>
        <v>0.0</v>
      </c>
      <c r="Y614" s="67">
        <f>IF(AND(ISNUMBER(N614),N(N614)&gt;0),N(N614),0)</f>
        <v>0.0</v>
      </c>
      <c r="Z614" s="67">
        <f>IF(AND(ISNUMBER(P614),N(P614)&gt;0),N(P614),0)</f>
        <v>0.0</v>
      </c>
    </row>
    <row r="615">
      <c r="A615" s="79" t="str">
        <f>IF(COUNTA(B615:C615,E615:G615,I615)=0,"","BI-"&amp;RIGHT("0000"&amp;(ROW()-5),4))</f>
        <v/>
      </c>
      <c r="B615" s="72" t="n"/>
      <c r="C615" s="66" t="n"/>
      <c r="D615" s="67" t="str">
        <f>IF(C615="","",IFERROR(INDEX(eq_des,MATCH(C615,eq_code,0))&amp;"","Équipement inconnu"))</f>
        <v/>
      </c>
      <c r="E615" s="68" t="n"/>
      <c r="F615" s="68" t="n"/>
      <c r="G615" s="66" t="n"/>
      <c r="H615" s="66" t="n"/>
      <c r="I615" s="68" t="n"/>
      <c r="J615" s="73" t="n"/>
      <c r="K615" s="71" t="n"/>
      <c r="L615" s="71" t="n"/>
      <c r="M615" s="66" t="n"/>
      <c r="N615" s="80" t="n"/>
      <c r="O615" s="81" t="str">
        <f>IF(A615="","",ROUND(V615*IFERROR(N(INDEX(tech_rate,MATCH(M615,tech_name,0))),0),2))</f>
        <v/>
      </c>
      <c r="P615" s="80" t="n"/>
      <c r="Q615" s="81" t="str">
        <f>IF(A615="","",ROUND(Y615+O615+Z615,2))</f>
        <v/>
      </c>
      <c r="R615" s="79" t="str">
        <f>IF(A615="","",IF(S615=0,"Date manquante ou invalide",IF(C615="","Équipement manquant",IF(ISNA(MATCH(C615,eq_code,0)),"Équipement inconnu",IF(E615="","Type manquant",IF(AND(E615&lt;&gt;"Préventif",E615&lt;&gt;"Correctif",E615&lt;&gt;"Amélioratif"),"Type inconnu",IF(I615="","Statut manquant",IF(AND(I615&lt;&gt;"Terminée",I615&lt;&gt;"En cours",I615&lt;&gt;"À faire",I615&lt;&gt;"Annulée"),"Statut inconnu",IF(AND(E615="Préventif",F615=""),"Plan manquant (préventif)",IF(AND(F615&lt;&gt;"",ISNA(MATCH(F615,pl_num,0))),"Plan inconnu",IF(AND(F615&lt;&gt;"",IFERROR(INDEX(pl_eq,MATCH(F615,pl_num,0))&amp;"",C615)&lt;&gt;C615),"Plan d'un autre équipement",IF(AND(J615&lt;&gt;"",OR(NOT(ISNUMBER(J615)),N(J615)&lt;0)),"Compteur invalide",IF(OR(AND(K615&lt;&gt;"",OR(NOT(ISNUMBER(K615)),N(K615)&lt;0)),AND(L615&lt;&gt;"",OR(NOT(ISNUMBER(L615)),N(L615)&lt;0))),"Durée invalide",IF(OR(AND(N615&lt;&gt;"",OR(NOT(ISNUMBER(N615)),N(N615)&lt;0)),AND(P615&lt;&gt;"",OR(NOT(ISNUMBER(P615)),N(P615)&lt;0))),"Coût invalide",IF(AND(M615&lt;&gt;"",ISNA(MATCH(M615,tech_name,0))),"Technicien inconnu",IF(AND(I615="Terminée",S615&gt;p_today),"Terminée à une date future",IF(AND(I615="Terminée",V615=0),"Durée d'intervention manquante",IF(AND(I615="Terminée",E615="Préventif",T615=0,OR(IFERROR(INDEX(pl_trig,MATCH(F615,pl_num,0))&amp;"","")="Compteur",IFERROR(INDEX(pl_trig,MATCH(F615,pl_num,0))&amp;"","")="Au premier des deux")),"Compteur manquant (plan au compteur)","OK"))))))))))))))))))</f>
        <v/>
      </c>
      <c r="S615" s="67">
        <f>IF(AND(ISNUMBER(B615),N(B615)&gt;0),INT(B615),0)</f>
        <v>0.0</v>
      </c>
      <c r="T615" s="67">
        <f>IF(AND(ISNUMBER(J615),N(J615)&gt;=0),N(J615),0)</f>
        <v>0.0</v>
      </c>
      <c r="U615" s="67">
        <f>IF(AND(ISNUMBER(K615),N(K615)&gt;0),N(K615),0)</f>
        <v>0.0</v>
      </c>
      <c r="V615" s="67">
        <f>IF(AND(ISNUMBER(L615),N(L615)&gt;0),N(L615),0)</f>
        <v>0.0</v>
      </c>
      <c r="W615" s="67">
        <f>IF(AND(I615="Terminée",S615&gt;0,C615&lt;&gt;"",ISNUMBER(MATCH(C615,eq_code,0))),1,0)</f>
        <v>0.0</v>
      </c>
      <c r="X615" s="67">
        <f>IF(AND(W615=1,E615="Préventif"),1,0)</f>
        <v>0.0</v>
      </c>
      <c r="Y615" s="67">
        <f>IF(AND(ISNUMBER(N615),N(N615)&gt;0),N(N615),0)</f>
        <v>0.0</v>
      </c>
      <c r="Z615" s="67">
        <f>IF(AND(ISNUMBER(P615),N(P615)&gt;0),N(P615),0)</f>
        <v>0.0</v>
      </c>
    </row>
    <row r="616">
      <c r="A616" s="79" t="str">
        <f>IF(COUNTA(B616:C616,E616:G616,I616)=0,"","BI-"&amp;RIGHT("0000"&amp;(ROW()-5),4))</f>
        <v/>
      </c>
      <c r="B616" s="72" t="n"/>
      <c r="C616" s="66" t="n"/>
      <c r="D616" s="67" t="str">
        <f>IF(C616="","",IFERROR(INDEX(eq_des,MATCH(C616,eq_code,0))&amp;"","Équipement inconnu"))</f>
        <v/>
      </c>
      <c r="E616" s="68" t="n"/>
      <c r="F616" s="68" t="n"/>
      <c r="G616" s="66" t="n"/>
      <c r="H616" s="66" t="n"/>
      <c r="I616" s="68" t="n"/>
      <c r="J616" s="73" t="n"/>
      <c r="K616" s="71" t="n"/>
      <c r="L616" s="71" t="n"/>
      <c r="M616" s="66" t="n"/>
      <c r="N616" s="80" t="n"/>
      <c r="O616" s="81" t="str">
        <f>IF(A616="","",ROUND(V616*IFERROR(N(INDEX(tech_rate,MATCH(M616,tech_name,0))),0),2))</f>
        <v/>
      </c>
      <c r="P616" s="80" t="n"/>
      <c r="Q616" s="81" t="str">
        <f>IF(A616="","",ROUND(Y616+O616+Z616,2))</f>
        <v/>
      </c>
      <c r="R616" s="79" t="str">
        <f>IF(A616="","",IF(S616=0,"Date manquante ou invalide",IF(C616="","Équipement manquant",IF(ISNA(MATCH(C616,eq_code,0)),"Équipement inconnu",IF(E616="","Type manquant",IF(AND(E616&lt;&gt;"Préventif",E616&lt;&gt;"Correctif",E616&lt;&gt;"Amélioratif"),"Type inconnu",IF(I616="","Statut manquant",IF(AND(I616&lt;&gt;"Terminée",I616&lt;&gt;"En cours",I616&lt;&gt;"À faire",I616&lt;&gt;"Annulée"),"Statut inconnu",IF(AND(E616="Préventif",F616=""),"Plan manquant (préventif)",IF(AND(F616&lt;&gt;"",ISNA(MATCH(F616,pl_num,0))),"Plan inconnu",IF(AND(F616&lt;&gt;"",IFERROR(INDEX(pl_eq,MATCH(F616,pl_num,0))&amp;"",C616)&lt;&gt;C616),"Plan d'un autre équipement",IF(AND(J616&lt;&gt;"",OR(NOT(ISNUMBER(J616)),N(J616)&lt;0)),"Compteur invalide",IF(OR(AND(K616&lt;&gt;"",OR(NOT(ISNUMBER(K616)),N(K616)&lt;0)),AND(L616&lt;&gt;"",OR(NOT(ISNUMBER(L616)),N(L616)&lt;0))),"Durée invalide",IF(OR(AND(N616&lt;&gt;"",OR(NOT(ISNUMBER(N616)),N(N616)&lt;0)),AND(P616&lt;&gt;"",OR(NOT(ISNUMBER(P616)),N(P616)&lt;0))),"Coût invalide",IF(AND(M616&lt;&gt;"",ISNA(MATCH(M616,tech_name,0))),"Technicien inconnu",IF(AND(I616="Terminée",S616&gt;p_today),"Terminée à une date future",IF(AND(I616="Terminée",V616=0),"Durée d'intervention manquante",IF(AND(I616="Terminée",E616="Préventif",T616=0,OR(IFERROR(INDEX(pl_trig,MATCH(F616,pl_num,0))&amp;"","")="Compteur",IFERROR(INDEX(pl_trig,MATCH(F616,pl_num,0))&amp;"","")="Au premier des deux")),"Compteur manquant (plan au compteur)","OK"))))))))))))))))))</f>
        <v/>
      </c>
      <c r="S616" s="67">
        <f>IF(AND(ISNUMBER(B616),N(B616)&gt;0),INT(B616),0)</f>
        <v>0.0</v>
      </c>
      <c r="T616" s="67">
        <f>IF(AND(ISNUMBER(J616),N(J616)&gt;=0),N(J616),0)</f>
        <v>0.0</v>
      </c>
      <c r="U616" s="67">
        <f>IF(AND(ISNUMBER(K616),N(K616)&gt;0),N(K616),0)</f>
        <v>0.0</v>
      </c>
      <c r="V616" s="67">
        <f>IF(AND(ISNUMBER(L616),N(L616)&gt;0),N(L616),0)</f>
        <v>0.0</v>
      </c>
      <c r="W616" s="67">
        <f>IF(AND(I616="Terminée",S616&gt;0,C616&lt;&gt;"",ISNUMBER(MATCH(C616,eq_code,0))),1,0)</f>
        <v>0.0</v>
      </c>
      <c r="X616" s="67">
        <f>IF(AND(W616=1,E616="Préventif"),1,0)</f>
        <v>0.0</v>
      </c>
      <c r="Y616" s="67">
        <f>IF(AND(ISNUMBER(N616),N(N616)&gt;0),N(N616),0)</f>
        <v>0.0</v>
      </c>
      <c r="Z616" s="67">
        <f>IF(AND(ISNUMBER(P616),N(P616)&gt;0),N(P616),0)</f>
        <v>0.0</v>
      </c>
    </row>
    <row r="617">
      <c r="A617" s="79" t="str">
        <f>IF(COUNTA(B617:C617,E617:G617,I617)=0,"","BI-"&amp;RIGHT("0000"&amp;(ROW()-5),4))</f>
        <v/>
      </c>
      <c r="B617" s="72" t="n"/>
      <c r="C617" s="66" t="n"/>
      <c r="D617" s="67" t="str">
        <f>IF(C617="","",IFERROR(INDEX(eq_des,MATCH(C617,eq_code,0))&amp;"","Équipement inconnu"))</f>
        <v/>
      </c>
      <c r="E617" s="68" t="n"/>
      <c r="F617" s="68" t="n"/>
      <c r="G617" s="66" t="n"/>
      <c r="H617" s="66" t="n"/>
      <c r="I617" s="68" t="n"/>
      <c r="J617" s="73" t="n"/>
      <c r="K617" s="71" t="n"/>
      <c r="L617" s="71" t="n"/>
      <c r="M617" s="66" t="n"/>
      <c r="N617" s="80" t="n"/>
      <c r="O617" s="81" t="str">
        <f>IF(A617="","",ROUND(V617*IFERROR(N(INDEX(tech_rate,MATCH(M617,tech_name,0))),0),2))</f>
        <v/>
      </c>
      <c r="P617" s="80" t="n"/>
      <c r="Q617" s="81" t="str">
        <f>IF(A617="","",ROUND(Y617+O617+Z617,2))</f>
        <v/>
      </c>
      <c r="R617" s="79" t="str">
        <f>IF(A617="","",IF(S617=0,"Date manquante ou invalide",IF(C617="","Équipement manquant",IF(ISNA(MATCH(C617,eq_code,0)),"Équipement inconnu",IF(E617="","Type manquant",IF(AND(E617&lt;&gt;"Préventif",E617&lt;&gt;"Correctif",E617&lt;&gt;"Amélioratif"),"Type inconnu",IF(I617="","Statut manquant",IF(AND(I617&lt;&gt;"Terminée",I617&lt;&gt;"En cours",I617&lt;&gt;"À faire",I617&lt;&gt;"Annulée"),"Statut inconnu",IF(AND(E617="Préventif",F617=""),"Plan manquant (préventif)",IF(AND(F617&lt;&gt;"",ISNA(MATCH(F617,pl_num,0))),"Plan inconnu",IF(AND(F617&lt;&gt;"",IFERROR(INDEX(pl_eq,MATCH(F617,pl_num,0))&amp;"",C617)&lt;&gt;C617),"Plan d'un autre équipement",IF(AND(J617&lt;&gt;"",OR(NOT(ISNUMBER(J617)),N(J617)&lt;0)),"Compteur invalide",IF(OR(AND(K617&lt;&gt;"",OR(NOT(ISNUMBER(K617)),N(K617)&lt;0)),AND(L617&lt;&gt;"",OR(NOT(ISNUMBER(L617)),N(L617)&lt;0))),"Durée invalide",IF(OR(AND(N617&lt;&gt;"",OR(NOT(ISNUMBER(N617)),N(N617)&lt;0)),AND(P617&lt;&gt;"",OR(NOT(ISNUMBER(P617)),N(P617)&lt;0))),"Coût invalide",IF(AND(M617&lt;&gt;"",ISNA(MATCH(M617,tech_name,0))),"Technicien inconnu",IF(AND(I617="Terminée",S617&gt;p_today),"Terminée à une date future",IF(AND(I617="Terminée",V617=0),"Durée d'intervention manquante",IF(AND(I617="Terminée",E617="Préventif",T617=0,OR(IFERROR(INDEX(pl_trig,MATCH(F617,pl_num,0))&amp;"","")="Compteur",IFERROR(INDEX(pl_trig,MATCH(F617,pl_num,0))&amp;"","")="Au premier des deux")),"Compteur manquant (plan au compteur)","OK"))))))))))))))))))</f>
        <v/>
      </c>
      <c r="S617" s="67">
        <f>IF(AND(ISNUMBER(B617),N(B617)&gt;0),INT(B617),0)</f>
        <v>0.0</v>
      </c>
      <c r="T617" s="67">
        <f>IF(AND(ISNUMBER(J617),N(J617)&gt;=0),N(J617),0)</f>
        <v>0.0</v>
      </c>
      <c r="U617" s="67">
        <f>IF(AND(ISNUMBER(K617),N(K617)&gt;0),N(K617),0)</f>
        <v>0.0</v>
      </c>
      <c r="V617" s="67">
        <f>IF(AND(ISNUMBER(L617),N(L617)&gt;0),N(L617),0)</f>
        <v>0.0</v>
      </c>
      <c r="W617" s="67">
        <f>IF(AND(I617="Terminée",S617&gt;0,C617&lt;&gt;"",ISNUMBER(MATCH(C617,eq_code,0))),1,0)</f>
        <v>0.0</v>
      </c>
      <c r="X617" s="67">
        <f>IF(AND(W617=1,E617="Préventif"),1,0)</f>
        <v>0.0</v>
      </c>
      <c r="Y617" s="67">
        <f>IF(AND(ISNUMBER(N617),N(N617)&gt;0),N(N617),0)</f>
        <v>0.0</v>
      </c>
      <c r="Z617" s="67">
        <f>IF(AND(ISNUMBER(P617),N(P617)&gt;0),N(P617),0)</f>
        <v>0.0</v>
      </c>
    </row>
    <row r="618">
      <c r="A618" s="79" t="str">
        <f>IF(COUNTA(B618:C618,E618:G618,I618)=0,"","BI-"&amp;RIGHT("0000"&amp;(ROW()-5),4))</f>
        <v/>
      </c>
      <c r="B618" s="72" t="n"/>
      <c r="C618" s="66" t="n"/>
      <c r="D618" s="67" t="str">
        <f>IF(C618="","",IFERROR(INDEX(eq_des,MATCH(C618,eq_code,0))&amp;"","Équipement inconnu"))</f>
        <v/>
      </c>
      <c r="E618" s="68" t="n"/>
      <c r="F618" s="68" t="n"/>
      <c r="G618" s="66" t="n"/>
      <c r="H618" s="66" t="n"/>
      <c r="I618" s="68" t="n"/>
      <c r="J618" s="73" t="n"/>
      <c r="K618" s="71" t="n"/>
      <c r="L618" s="71" t="n"/>
      <c r="M618" s="66" t="n"/>
      <c r="N618" s="80" t="n"/>
      <c r="O618" s="81" t="str">
        <f>IF(A618="","",ROUND(V618*IFERROR(N(INDEX(tech_rate,MATCH(M618,tech_name,0))),0),2))</f>
        <v/>
      </c>
      <c r="P618" s="80" t="n"/>
      <c r="Q618" s="81" t="str">
        <f>IF(A618="","",ROUND(Y618+O618+Z618,2))</f>
        <v/>
      </c>
      <c r="R618" s="79" t="str">
        <f>IF(A618="","",IF(S618=0,"Date manquante ou invalide",IF(C618="","Équipement manquant",IF(ISNA(MATCH(C618,eq_code,0)),"Équipement inconnu",IF(E618="","Type manquant",IF(AND(E618&lt;&gt;"Préventif",E618&lt;&gt;"Correctif",E618&lt;&gt;"Amélioratif"),"Type inconnu",IF(I618="","Statut manquant",IF(AND(I618&lt;&gt;"Terminée",I618&lt;&gt;"En cours",I618&lt;&gt;"À faire",I618&lt;&gt;"Annulée"),"Statut inconnu",IF(AND(E618="Préventif",F618=""),"Plan manquant (préventif)",IF(AND(F618&lt;&gt;"",ISNA(MATCH(F618,pl_num,0))),"Plan inconnu",IF(AND(F618&lt;&gt;"",IFERROR(INDEX(pl_eq,MATCH(F618,pl_num,0))&amp;"",C618)&lt;&gt;C618),"Plan d'un autre équipement",IF(AND(J618&lt;&gt;"",OR(NOT(ISNUMBER(J618)),N(J618)&lt;0)),"Compteur invalide",IF(OR(AND(K618&lt;&gt;"",OR(NOT(ISNUMBER(K618)),N(K618)&lt;0)),AND(L618&lt;&gt;"",OR(NOT(ISNUMBER(L618)),N(L618)&lt;0))),"Durée invalide",IF(OR(AND(N618&lt;&gt;"",OR(NOT(ISNUMBER(N618)),N(N618)&lt;0)),AND(P618&lt;&gt;"",OR(NOT(ISNUMBER(P618)),N(P618)&lt;0))),"Coût invalide",IF(AND(M618&lt;&gt;"",ISNA(MATCH(M618,tech_name,0))),"Technicien inconnu",IF(AND(I618="Terminée",S618&gt;p_today),"Terminée à une date future",IF(AND(I618="Terminée",V618=0),"Durée d'intervention manquante",IF(AND(I618="Terminée",E618="Préventif",T618=0,OR(IFERROR(INDEX(pl_trig,MATCH(F618,pl_num,0))&amp;"","")="Compteur",IFERROR(INDEX(pl_trig,MATCH(F618,pl_num,0))&amp;"","")="Au premier des deux")),"Compteur manquant (plan au compteur)","OK"))))))))))))))))))</f>
        <v/>
      </c>
      <c r="S618" s="67">
        <f>IF(AND(ISNUMBER(B618),N(B618)&gt;0),INT(B618),0)</f>
        <v>0.0</v>
      </c>
      <c r="T618" s="67">
        <f>IF(AND(ISNUMBER(J618),N(J618)&gt;=0),N(J618),0)</f>
        <v>0.0</v>
      </c>
      <c r="U618" s="67">
        <f>IF(AND(ISNUMBER(K618),N(K618)&gt;0),N(K618),0)</f>
        <v>0.0</v>
      </c>
      <c r="V618" s="67">
        <f>IF(AND(ISNUMBER(L618),N(L618)&gt;0),N(L618),0)</f>
        <v>0.0</v>
      </c>
      <c r="W618" s="67">
        <f>IF(AND(I618="Terminée",S618&gt;0,C618&lt;&gt;"",ISNUMBER(MATCH(C618,eq_code,0))),1,0)</f>
        <v>0.0</v>
      </c>
      <c r="X618" s="67">
        <f>IF(AND(W618=1,E618="Préventif"),1,0)</f>
        <v>0.0</v>
      </c>
      <c r="Y618" s="67">
        <f>IF(AND(ISNUMBER(N618),N(N618)&gt;0),N(N618),0)</f>
        <v>0.0</v>
      </c>
      <c r="Z618" s="67">
        <f>IF(AND(ISNUMBER(P618),N(P618)&gt;0),N(P618),0)</f>
        <v>0.0</v>
      </c>
    </row>
    <row r="619">
      <c r="A619" s="79" t="str">
        <f>IF(COUNTA(B619:C619,E619:G619,I619)=0,"","BI-"&amp;RIGHT("0000"&amp;(ROW()-5),4))</f>
        <v/>
      </c>
      <c r="B619" s="72" t="n"/>
      <c r="C619" s="66" t="n"/>
      <c r="D619" s="67" t="str">
        <f>IF(C619="","",IFERROR(INDEX(eq_des,MATCH(C619,eq_code,0))&amp;"","Équipement inconnu"))</f>
        <v/>
      </c>
      <c r="E619" s="68" t="n"/>
      <c r="F619" s="68" t="n"/>
      <c r="G619" s="66" t="n"/>
      <c r="H619" s="66" t="n"/>
      <c r="I619" s="68" t="n"/>
      <c r="J619" s="73" t="n"/>
      <c r="K619" s="71" t="n"/>
      <c r="L619" s="71" t="n"/>
      <c r="M619" s="66" t="n"/>
      <c r="N619" s="80" t="n"/>
      <c r="O619" s="81" t="str">
        <f>IF(A619="","",ROUND(V619*IFERROR(N(INDEX(tech_rate,MATCH(M619,tech_name,0))),0),2))</f>
        <v/>
      </c>
      <c r="P619" s="80" t="n"/>
      <c r="Q619" s="81" t="str">
        <f>IF(A619="","",ROUND(Y619+O619+Z619,2))</f>
        <v/>
      </c>
      <c r="R619" s="79" t="str">
        <f>IF(A619="","",IF(S619=0,"Date manquante ou invalide",IF(C619="","Équipement manquant",IF(ISNA(MATCH(C619,eq_code,0)),"Équipement inconnu",IF(E619="","Type manquant",IF(AND(E619&lt;&gt;"Préventif",E619&lt;&gt;"Correctif",E619&lt;&gt;"Amélioratif"),"Type inconnu",IF(I619="","Statut manquant",IF(AND(I619&lt;&gt;"Terminée",I619&lt;&gt;"En cours",I619&lt;&gt;"À faire",I619&lt;&gt;"Annulée"),"Statut inconnu",IF(AND(E619="Préventif",F619=""),"Plan manquant (préventif)",IF(AND(F619&lt;&gt;"",ISNA(MATCH(F619,pl_num,0))),"Plan inconnu",IF(AND(F619&lt;&gt;"",IFERROR(INDEX(pl_eq,MATCH(F619,pl_num,0))&amp;"",C619)&lt;&gt;C619),"Plan d'un autre équipement",IF(AND(J619&lt;&gt;"",OR(NOT(ISNUMBER(J619)),N(J619)&lt;0)),"Compteur invalide",IF(OR(AND(K619&lt;&gt;"",OR(NOT(ISNUMBER(K619)),N(K619)&lt;0)),AND(L619&lt;&gt;"",OR(NOT(ISNUMBER(L619)),N(L619)&lt;0))),"Durée invalide",IF(OR(AND(N619&lt;&gt;"",OR(NOT(ISNUMBER(N619)),N(N619)&lt;0)),AND(P619&lt;&gt;"",OR(NOT(ISNUMBER(P619)),N(P619)&lt;0))),"Coût invalide",IF(AND(M619&lt;&gt;"",ISNA(MATCH(M619,tech_name,0))),"Technicien inconnu",IF(AND(I619="Terminée",S619&gt;p_today),"Terminée à une date future",IF(AND(I619="Terminée",V619=0),"Durée d'intervention manquante",IF(AND(I619="Terminée",E619="Préventif",T619=0,OR(IFERROR(INDEX(pl_trig,MATCH(F619,pl_num,0))&amp;"","")="Compteur",IFERROR(INDEX(pl_trig,MATCH(F619,pl_num,0))&amp;"","")="Au premier des deux")),"Compteur manquant (plan au compteur)","OK"))))))))))))))))))</f>
        <v/>
      </c>
      <c r="S619" s="67">
        <f>IF(AND(ISNUMBER(B619),N(B619)&gt;0),INT(B619),0)</f>
        <v>0.0</v>
      </c>
      <c r="T619" s="67">
        <f>IF(AND(ISNUMBER(J619),N(J619)&gt;=0),N(J619),0)</f>
        <v>0.0</v>
      </c>
      <c r="U619" s="67">
        <f>IF(AND(ISNUMBER(K619),N(K619)&gt;0),N(K619),0)</f>
        <v>0.0</v>
      </c>
      <c r="V619" s="67">
        <f>IF(AND(ISNUMBER(L619),N(L619)&gt;0),N(L619),0)</f>
        <v>0.0</v>
      </c>
      <c r="W619" s="67">
        <f>IF(AND(I619="Terminée",S619&gt;0,C619&lt;&gt;"",ISNUMBER(MATCH(C619,eq_code,0))),1,0)</f>
        <v>0.0</v>
      </c>
      <c r="X619" s="67">
        <f>IF(AND(W619=1,E619="Préventif"),1,0)</f>
        <v>0.0</v>
      </c>
      <c r="Y619" s="67">
        <f>IF(AND(ISNUMBER(N619),N(N619)&gt;0),N(N619),0)</f>
        <v>0.0</v>
      </c>
      <c r="Z619" s="67">
        <f>IF(AND(ISNUMBER(P619),N(P619)&gt;0),N(P619),0)</f>
        <v>0.0</v>
      </c>
    </row>
    <row r="620">
      <c r="A620" s="79" t="str">
        <f>IF(COUNTA(B620:C620,E620:G620,I620)=0,"","BI-"&amp;RIGHT("0000"&amp;(ROW()-5),4))</f>
        <v/>
      </c>
      <c r="B620" s="72" t="n"/>
      <c r="C620" s="66" t="n"/>
      <c r="D620" s="67" t="str">
        <f>IF(C620="","",IFERROR(INDEX(eq_des,MATCH(C620,eq_code,0))&amp;"","Équipement inconnu"))</f>
        <v/>
      </c>
      <c r="E620" s="68" t="n"/>
      <c r="F620" s="68" t="n"/>
      <c r="G620" s="66" t="n"/>
      <c r="H620" s="66" t="n"/>
      <c r="I620" s="68" t="n"/>
      <c r="J620" s="73" t="n"/>
      <c r="K620" s="71" t="n"/>
      <c r="L620" s="71" t="n"/>
      <c r="M620" s="66" t="n"/>
      <c r="N620" s="80" t="n"/>
      <c r="O620" s="81" t="str">
        <f>IF(A620="","",ROUND(V620*IFERROR(N(INDEX(tech_rate,MATCH(M620,tech_name,0))),0),2))</f>
        <v/>
      </c>
      <c r="P620" s="80" t="n"/>
      <c r="Q620" s="81" t="str">
        <f>IF(A620="","",ROUND(Y620+O620+Z620,2))</f>
        <v/>
      </c>
      <c r="R620" s="79" t="str">
        <f>IF(A620="","",IF(S620=0,"Date manquante ou invalide",IF(C620="","Équipement manquant",IF(ISNA(MATCH(C620,eq_code,0)),"Équipement inconnu",IF(E620="","Type manquant",IF(AND(E620&lt;&gt;"Préventif",E620&lt;&gt;"Correctif",E620&lt;&gt;"Amélioratif"),"Type inconnu",IF(I620="","Statut manquant",IF(AND(I620&lt;&gt;"Terminée",I620&lt;&gt;"En cours",I620&lt;&gt;"À faire",I620&lt;&gt;"Annulée"),"Statut inconnu",IF(AND(E620="Préventif",F620=""),"Plan manquant (préventif)",IF(AND(F620&lt;&gt;"",ISNA(MATCH(F620,pl_num,0))),"Plan inconnu",IF(AND(F620&lt;&gt;"",IFERROR(INDEX(pl_eq,MATCH(F620,pl_num,0))&amp;"",C620)&lt;&gt;C620),"Plan d'un autre équipement",IF(AND(J620&lt;&gt;"",OR(NOT(ISNUMBER(J620)),N(J620)&lt;0)),"Compteur invalide",IF(OR(AND(K620&lt;&gt;"",OR(NOT(ISNUMBER(K620)),N(K620)&lt;0)),AND(L620&lt;&gt;"",OR(NOT(ISNUMBER(L620)),N(L620)&lt;0))),"Durée invalide",IF(OR(AND(N620&lt;&gt;"",OR(NOT(ISNUMBER(N620)),N(N620)&lt;0)),AND(P620&lt;&gt;"",OR(NOT(ISNUMBER(P620)),N(P620)&lt;0))),"Coût invalide",IF(AND(M620&lt;&gt;"",ISNA(MATCH(M620,tech_name,0))),"Technicien inconnu",IF(AND(I620="Terminée",S620&gt;p_today),"Terminée à une date future",IF(AND(I620="Terminée",V620=0),"Durée d'intervention manquante",IF(AND(I620="Terminée",E620="Préventif",T620=0,OR(IFERROR(INDEX(pl_trig,MATCH(F620,pl_num,0))&amp;"","")="Compteur",IFERROR(INDEX(pl_trig,MATCH(F620,pl_num,0))&amp;"","")="Au premier des deux")),"Compteur manquant (plan au compteur)","OK"))))))))))))))))))</f>
        <v/>
      </c>
      <c r="S620" s="67">
        <f>IF(AND(ISNUMBER(B620),N(B620)&gt;0),INT(B620),0)</f>
        <v>0.0</v>
      </c>
      <c r="T620" s="67">
        <f>IF(AND(ISNUMBER(J620),N(J620)&gt;=0),N(J620),0)</f>
        <v>0.0</v>
      </c>
      <c r="U620" s="67">
        <f>IF(AND(ISNUMBER(K620),N(K620)&gt;0),N(K620),0)</f>
        <v>0.0</v>
      </c>
      <c r="V620" s="67">
        <f>IF(AND(ISNUMBER(L620),N(L620)&gt;0),N(L620),0)</f>
        <v>0.0</v>
      </c>
      <c r="W620" s="67">
        <f>IF(AND(I620="Terminée",S620&gt;0,C620&lt;&gt;"",ISNUMBER(MATCH(C620,eq_code,0))),1,0)</f>
        <v>0.0</v>
      </c>
      <c r="X620" s="67">
        <f>IF(AND(W620=1,E620="Préventif"),1,0)</f>
        <v>0.0</v>
      </c>
      <c r="Y620" s="67">
        <f>IF(AND(ISNUMBER(N620),N(N620)&gt;0),N(N620),0)</f>
        <v>0.0</v>
      </c>
      <c r="Z620" s="67">
        <f>IF(AND(ISNUMBER(P620),N(P620)&gt;0),N(P620),0)</f>
        <v>0.0</v>
      </c>
    </row>
    <row r="621">
      <c r="A621" s="79" t="str">
        <f>IF(COUNTA(B621:C621,E621:G621,I621)=0,"","BI-"&amp;RIGHT("0000"&amp;(ROW()-5),4))</f>
        <v/>
      </c>
      <c r="B621" s="72" t="n"/>
      <c r="C621" s="66" t="n"/>
      <c r="D621" s="67" t="str">
        <f>IF(C621="","",IFERROR(INDEX(eq_des,MATCH(C621,eq_code,0))&amp;"","Équipement inconnu"))</f>
        <v/>
      </c>
      <c r="E621" s="68" t="n"/>
      <c r="F621" s="68" t="n"/>
      <c r="G621" s="66" t="n"/>
      <c r="H621" s="66" t="n"/>
      <c r="I621" s="68" t="n"/>
      <c r="J621" s="73" t="n"/>
      <c r="K621" s="71" t="n"/>
      <c r="L621" s="71" t="n"/>
      <c r="M621" s="66" t="n"/>
      <c r="N621" s="80" t="n"/>
      <c r="O621" s="81" t="str">
        <f>IF(A621="","",ROUND(V621*IFERROR(N(INDEX(tech_rate,MATCH(M621,tech_name,0))),0),2))</f>
        <v/>
      </c>
      <c r="P621" s="80" t="n"/>
      <c r="Q621" s="81" t="str">
        <f>IF(A621="","",ROUND(Y621+O621+Z621,2))</f>
        <v/>
      </c>
      <c r="R621" s="79" t="str">
        <f>IF(A621="","",IF(S621=0,"Date manquante ou invalide",IF(C621="","Équipement manquant",IF(ISNA(MATCH(C621,eq_code,0)),"Équipement inconnu",IF(E621="","Type manquant",IF(AND(E621&lt;&gt;"Préventif",E621&lt;&gt;"Correctif",E621&lt;&gt;"Amélioratif"),"Type inconnu",IF(I621="","Statut manquant",IF(AND(I621&lt;&gt;"Terminée",I621&lt;&gt;"En cours",I621&lt;&gt;"À faire",I621&lt;&gt;"Annulée"),"Statut inconnu",IF(AND(E621="Préventif",F621=""),"Plan manquant (préventif)",IF(AND(F621&lt;&gt;"",ISNA(MATCH(F621,pl_num,0))),"Plan inconnu",IF(AND(F621&lt;&gt;"",IFERROR(INDEX(pl_eq,MATCH(F621,pl_num,0))&amp;"",C621)&lt;&gt;C621),"Plan d'un autre équipement",IF(AND(J621&lt;&gt;"",OR(NOT(ISNUMBER(J621)),N(J621)&lt;0)),"Compteur invalide",IF(OR(AND(K621&lt;&gt;"",OR(NOT(ISNUMBER(K621)),N(K621)&lt;0)),AND(L621&lt;&gt;"",OR(NOT(ISNUMBER(L621)),N(L621)&lt;0))),"Durée invalide",IF(OR(AND(N621&lt;&gt;"",OR(NOT(ISNUMBER(N621)),N(N621)&lt;0)),AND(P621&lt;&gt;"",OR(NOT(ISNUMBER(P621)),N(P621)&lt;0))),"Coût invalide",IF(AND(M621&lt;&gt;"",ISNA(MATCH(M621,tech_name,0))),"Technicien inconnu",IF(AND(I621="Terminée",S621&gt;p_today),"Terminée à une date future",IF(AND(I621="Terminée",V621=0),"Durée d'intervention manquante",IF(AND(I621="Terminée",E621="Préventif",T621=0,OR(IFERROR(INDEX(pl_trig,MATCH(F621,pl_num,0))&amp;"","")="Compteur",IFERROR(INDEX(pl_trig,MATCH(F621,pl_num,0))&amp;"","")="Au premier des deux")),"Compteur manquant (plan au compteur)","OK"))))))))))))))))))</f>
        <v/>
      </c>
      <c r="S621" s="67">
        <f>IF(AND(ISNUMBER(B621),N(B621)&gt;0),INT(B621),0)</f>
        <v>0.0</v>
      </c>
      <c r="T621" s="67">
        <f>IF(AND(ISNUMBER(J621),N(J621)&gt;=0),N(J621),0)</f>
        <v>0.0</v>
      </c>
      <c r="U621" s="67">
        <f>IF(AND(ISNUMBER(K621),N(K621)&gt;0),N(K621),0)</f>
        <v>0.0</v>
      </c>
      <c r="V621" s="67">
        <f>IF(AND(ISNUMBER(L621),N(L621)&gt;0),N(L621),0)</f>
        <v>0.0</v>
      </c>
      <c r="W621" s="67">
        <f>IF(AND(I621="Terminée",S621&gt;0,C621&lt;&gt;"",ISNUMBER(MATCH(C621,eq_code,0))),1,0)</f>
        <v>0.0</v>
      </c>
      <c r="X621" s="67">
        <f>IF(AND(W621=1,E621="Préventif"),1,0)</f>
        <v>0.0</v>
      </c>
      <c r="Y621" s="67">
        <f>IF(AND(ISNUMBER(N621),N(N621)&gt;0),N(N621),0)</f>
        <v>0.0</v>
      </c>
      <c r="Z621" s="67">
        <f>IF(AND(ISNUMBER(P621),N(P621)&gt;0),N(P621),0)</f>
        <v>0.0</v>
      </c>
    </row>
    <row r="622">
      <c r="A622" s="79" t="str">
        <f>IF(COUNTA(B622:C622,E622:G622,I622)=0,"","BI-"&amp;RIGHT("0000"&amp;(ROW()-5),4))</f>
        <v/>
      </c>
      <c r="B622" s="72" t="n"/>
      <c r="C622" s="66" t="n"/>
      <c r="D622" s="67" t="str">
        <f>IF(C622="","",IFERROR(INDEX(eq_des,MATCH(C622,eq_code,0))&amp;"","Équipement inconnu"))</f>
        <v/>
      </c>
      <c r="E622" s="68" t="n"/>
      <c r="F622" s="68" t="n"/>
      <c r="G622" s="66" t="n"/>
      <c r="H622" s="66" t="n"/>
      <c r="I622" s="68" t="n"/>
      <c r="J622" s="73" t="n"/>
      <c r="K622" s="71" t="n"/>
      <c r="L622" s="71" t="n"/>
      <c r="M622" s="66" t="n"/>
      <c r="N622" s="80" t="n"/>
      <c r="O622" s="81" t="str">
        <f>IF(A622="","",ROUND(V622*IFERROR(N(INDEX(tech_rate,MATCH(M622,tech_name,0))),0),2))</f>
        <v/>
      </c>
      <c r="P622" s="80" t="n"/>
      <c r="Q622" s="81" t="str">
        <f>IF(A622="","",ROUND(Y622+O622+Z622,2))</f>
        <v/>
      </c>
      <c r="R622" s="79" t="str">
        <f>IF(A622="","",IF(S622=0,"Date manquante ou invalide",IF(C622="","Équipement manquant",IF(ISNA(MATCH(C622,eq_code,0)),"Équipement inconnu",IF(E622="","Type manquant",IF(AND(E622&lt;&gt;"Préventif",E622&lt;&gt;"Correctif",E622&lt;&gt;"Amélioratif"),"Type inconnu",IF(I622="","Statut manquant",IF(AND(I622&lt;&gt;"Terminée",I622&lt;&gt;"En cours",I622&lt;&gt;"À faire",I622&lt;&gt;"Annulée"),"Statut inconnu",IF(AND(E622="Préventif",F622=""),"Plan manquant (préventif)",IF(AND(F622&lt;&gt;"",ISNA(MATCH(F622,pl_num,0))),"Plan inconnu",IF(AND(F622&lt;&gt;"",IFERROR(INDEX(pl_eq,MATCH(F622,pl_num,0))&amp;"",C622)&lt;&gt;C622),"Plan d'un autre équipement",IF(AND(J622&lt;&gt;"",OR(NOT(ISNUMBER(J622)),N(J622)&lt;0)),"Compteur invalide",IF(OR(AND(K622&lt;&gt;"",OR(NOT(ISNUMBER(K622)),N(K622)&lt;0)),AND(L622&lt;&gt;"",OR(NOT(ISNUMBER(L622)),N(L622)&lt;0))),"Durée invalide",IF(OR(AND(N622&lt;&gt;"",OR(NOT(ISNUMBER(N622)),N(N622)&lt;0)),AND(P622&lt;&gt;"",OR(NOT(ISNUMBER(P622)),N(P622)&lt;0))),"Coût invalide",IF(AND(M622&lt;&gt;"",ISNA(MATCH(M622,tech_name,0))),"Technicien inconnu",IF(AND(I622="Terminée",S622&gt;p_today),"Terminée à une date future",IF(AND(I622="Terminée",V622=0),"Durée d'intervention manquante",IF(AND(I622="Terminée",E622="Préventif",T622=0,OR(IFERROR(INDEX(pl_trig,MATCH(F622,pl_num,0))&amp;"","")="Compteur",IFERROR(INDEX(pl_trig,MATCH(F622,pl_num,0))&amp;"","")="Au premier des deux")),"Compteur manquant (plan au compteur)","OK"))))))))))))))))))</f>
        <v/>
      </c>
      <c r="S622" s="67">
        <f>IF(AND(ISNUMBER(B622),N(B622)&gt;0),INT(B622),0)</f>
        <v>0.0</v>
      </c>
      <c r="T622" s="67">
        <f>IF(AND(ISNUMBER(J622),N(J622)&gt;=0),N(J622),0)</f>
        <v>0.0</v>
      </c>
      <c r="U622" s="67">
        <f>IF(AND(ISNUMBER(K622),N(K622)&gt;0),N(K622),0)</f>
        <v>0.0</v>
      </c>
      <c r="V622" s="67">
        <f>IF(AND(ISNUMBER(L622),N(L622)&gt;0),N(L622),0)</f>
        <v>0.0</v>
      </c>
      <c r="W622" s="67">
        <f>IF(AND(I622="Terminée",S622&gt;0,C622&lt;&gt;"",ISNUMBER(MATCH(C622,eq_code,0))),1,0)</f>
        <v>0.0</v>
      </c>
      <c r="X622" s="67">
        <f>IF(AND(W622=1,E622="Préventif"),1,0)</f>
        <v>0.0</v>
      </c>
      <c r="Y622" s="67">
        <f>IF(AND(ISNUMBER(N622),N(N622)&gt;0),N(N622),0)</f>
        <v>0.0</v>
      </c>
      <c r="Z622" s="67">
        <f>IF(AND(ISNUMBER(P622),N(P622)&gt;0),N(P622),0)</f>
        <v>0.0</v>
      </c>
    </row>
    <row r="623">
      <c r="A623" s="79" t="str">
        <f>IF(COUNTA(B623:C623,E623:G623,I623)=0,"","BI-"&amp;RIGHT("0000"&amp;(ROW()-5),4))</f>
        <v/>
      </c>
      <c r="B623" s="72" t="n"/>
      <c r="C623" s="66" t="n"/>
      <c r="D623" s="67" t="str">
        <f>IF(C623="","",IFERROR(INDEX(eq_des,MATCH(C623,eq_code,0))&amp;"","Équipement inconnu"))</f>
        <v/>
      </c>
      <c r="E623" s="68" t="n"/>
      <c r="F623" s="68" t="n"/>
      <c r="G623" s="66" t="n"/>
      <c r="H623" s="66" t="n"/>
      <c r="I623" s="68" t="n"/>
      <c r="J623" s="73" t="n"/>
      <c r="K623" s="71" t="n"/>
      <c r="L623" s="71" t="n"/>
      <c r="M623" s="66" t="n"/>
      <c r="N623" s="80" t="n"/>
      <c r="O623" s="81" t="str">
        <f>IF(A623="","",ROUND(V623*IFERROR(N(INDEX(tech_rate,MATCH(M623,tech_name,0))),0),2))</f>
        <v/>
      </c>
      <c r="P623" s="80" t="n"/>
      <c r="Q623" s="81" t="str">
        <f>IF(A623="","",ROUND(Y623+O623+Z623,2))</f>
        <v/>
      </c>
      <c r="R623" s="79" t="str">
        <f>IF(A623="","",IF(S623=0,"Date manquante ou invalide",IF(C623="","Équipement manquant",IF(ISNA(MATCH(C623,eq_code,0)),"Équipement inconnu",IF(E623="","Type manquant",IF(AND(E623&lt;&gt;"Préventif",E623&lt;&gt;"Correctif",E623&lt;&gt;"Amélioratif"),"Type inconnu",IF(I623="","Statut manquant",IF(AND(I623&lt;&gt;"Terminée",I623&lt;&gt;"En cours",I623&lt;&gt;"À faire",I623&lt;&gt;"Annulée"),"Statut inconnu",IF(AND(E623="Préventif",F623=""),"Plan manquant (préventif)",IF(AND(F623&lt;&gt;"",ISNA(MATCH(F623,pl_num,0))),"Plan inconnu",IF(AND(F623&lt;&gt;"",IFERROR(INDEX(pl_eq,MATCH(F623,pl_num,0))&amp;"",C623)&lt;&gt;C623),"Plan d'un autre équipement",IF(AND(J623&lt;&gt;"",OR(NOT(ISNUMBER(J623)),N(J623)&lt;0)),"Compteur invalide",IF(OR(AND(K623&lt;&gt;"",OR(NOT(ISNUMBER(K623)),N(K623)&lt;0)),AND(L623&lt;&gt;"",OR(NOT(ISNUMBER(L623)),N(L623)&lt;0))),"Durée invalide",IF(OR(AND(N623&lt;&gt;"",OR(NOT(ISNUMBER(N623)),N(N623)&lt;0)),AND(P623&lt;&gt;"",OR(NOT(ISNUMBER(P623)),N(P623)&lt;0))),"Coût invalide",IF(AND(M623&lt;&gt;"",ISNA(MATCH(M623,tech_name,0))),"Technicien inconnu",IF(AND(I623="Terminée",S623&gt;p_today),"Terminée à une date future",IF(AND(I623="Terminée",V623=0),"Durée d'intervention manquante",IF(AND(I623="Terminée",E623="Préventif",T623=0,OR(IFERROR(INDEX(pl_trig,MATCH(F623,pl_num,0))&amp;"","")="Compteur",IFERROR(INDEX(pl_trig,MATCH(F623,pl_num,0))&amp;"","")="Au premier des deux")),"Compteur manquant (plan au compteur)","OK"))))))))))))))))))</f>
        <v/>
      </c>
      <c r="S623" s="67">
        <f>IF(AND(ISNUMBER(B623),N(B623)&gt;0),INT(B623),0)</f>
        <v>0.0</v>
      </c>
      <c r="T623" s="67">
        <f>IF(AND(ISNUMBER(J623),N(J623)&gt;=0),N(J623),0)</f>
        <v>0.0</v>
      </c>
      <c r="U623" s="67">
        <f>IF(AND(ISNUMBER(K623),N(K623)&gt;0),N(K623),0)</f>
        <v>0.0</v>
      </c>
      <c r="V623" s="67">
        <f>IF(AND(ISNUMBER(L623),N(L623)&gt;0),N(L623),0)</f>
        <v>0.0</v>
      </c>
      <c r="W623" s="67">
        <f>IF(AND(I623="Terminée",S623&gt;0,C623&lt;&gt;"",ISNUMBER(MATCH(C623,eq_code,0))),1,0)</f>
        <v>0.0</v>
      </c>
      <c r="X623" s="67">
        <f>IF(AND(W623=1,E623="Préventif"),1,0)</f>
        <v>0.0</v>
      </c>
      <c r="Y623" s="67">
        <f>IF(AND(ISNUMBER(N623),N(N623)&gt;0),N(N623),0)</f>
        <v>0.0</v>
      </c>
      <c r="Z623" s="67">
        <f>IF(AND(ISNUMBER(P623),N(P623)&gt;0),N(P623),0)</f>
        <v>0.0</v>
      </c>
    </row>
    <row r="624">
      <c r="A624" s="79" t="str">
        <f>IF(COUNTA(B624:C624,E624:G624,I624)=0,"","BI-"&amp;RIGHT("0000"&amp;(ROW()-5),4))</f>
        <v/>
      </c>
      <c r="B624" s="72" t="n"/>
      <c r="C624" s="66" t="n"/>
      <c r="D624" s="67" t="str">
        <f>IF(C624="","",IFERROR(INDEX(eq_des,MATCH(C624,eq_code,0))&amp;"","Équipement inconnu"))</f>
        <v/>
      </c>
      <c r="E624" s="68" t="n"/>
      <c r="F624" s="68" t="n"/>
      <c r="G624" s="66" t="n"/>
      <c r="H624" s="66" t="n"/>
      <c r="I624" s="68" t="n"/>
      <c r="J624" s="73" t="n"/>
      <c r="K624" s="71" t="n"/>
      <c r="L624" s="71" t="n"/>
      <c r="M624" s="66" t="n"/>
      <c r="N624" s="80" t="n"/>
      <c r="O624" s="81" t="str">
        <f>IF(A624="","",ROUND(V624*IFERROR(N(INDEX(tech_rate,MATCH(M624,tech_name,0))),0),2))</f>
        <v/>
      </c>
      <c r="P624" s="80" t="n"/>
      <c r="Q624" s="81" t="str">
        <f>IF(A624="","",ROUND(Y624+O624+Z624,2))</f>
        <v/>
      </c>
      <c r="R624" s="79" t="str">
        <f>IF(A624="","",IF(S624=0,"Date manquante ou invalide",IF(C624="","Équipement manquant",IF(ISNA(MATCH(C624,eq_code,0)),"Équipement inconnu",IF(E624="","Type manquant",IF(AND(E624&lt;&gt;"Préventif",E624&lt;&gt;"Correctif",E624&lt;&gt;"Amélioratif"),"Type inconnu",IF(I624="","Statut manquant",IF(AND(I624&lt;&gt;"Terminée",I624&lt;&gt;"En cours",I624&lt;&gt;"À faire",I624&lt;&gt;"Annulée"),"Statut inconnu",IF(AND(E624="Préventif",F624=""),"Plan manquant (préventif)",IF(AND(F624&lt;&gt;"",ISNA(MATCH(F624,pl_num,0))),"Plan inconnu",IF(AND(F624&lt;&gt;"",IFERROR(INDEX(pl_eq,MATCH(F624,pl_num,0))&amp;"",C624)&lt;&gt;C624),"Plan d'un autre équipement",IF(AND(J624&lt;&gt;"",OR(NOT(ISNUMBER(J624)),N(J624)&lt;0)),"Compteur invalide",IF(OR(AND(K624&lt;&gt;"",OR(NOT(ISNUMBER(K624)),N(K624)&lt;0)),AND(L624&lt;&gt;"",OR(NOT(ISNUMBER(L624)),N(L624)&lt;0))),"Durée invalide",IF(OR(AND(N624&lt;&gt;"",OR(NOT(ISNUMBER(N624)),N(N624)&lt;0)),AND(P624&lt;&gt;"",OR(NOT(ISNUMBER(P624)),N(P624)&lt;0))),"Coût invalide",IF(AND(M624&lt;&gt;"",ISNA(MATCH(M624,tech_name,0))),"Technicien inconnu",IF(AND(I624="Terminée",S624&gt;p_today),"Terminée à une date future",IF(AND(I624="Terminée",V624=0),"Durée d'intervention manquante",IF(AND(I624="Terminée",E624="Préventif",T624=0,OR(IFERROR(INDEX(pl_trig,MATCH(F624,pl_num,0))&amp;"","")="Compteur",IFERROR(INDEX(pl_trig,MATCH(F624,pl_num,0))&amp;"","")="Au premier des deux")),"Compteur manquant (plan au compteur)","OK"))))))))))))))))))</f>
        <v/>
      </c>
      <c r="S624" s="67">
        <f>IF(AND(ISNUMBER(B624),N(B624)&gt;0),INT(B624),0)</f>
        <v>0.0</v>
      </c>
      <c r="T624" s="67">
        <f>IF(AND(ISNUMBER(J624),N(J624)&gt;=0),N(J624),0)</f>
        <v>0.0</v>
      </c>
      <c r="U624" s="67">
        <f>IF(AND(ISNUMBER(K624),N(K624)&gt;0),N(K624),0)</f>
        <v>0.0</v>
      </c>
      <c r="V624" s="67">
        <f>IF(AND(ISNUMBER(L624),N(L624)&gt;0),N(L624),0)</f>
        <v>0.0</v>
      </c>
      <c r="W624" s="67">
        <f>IF(AND(I624="Terminée",S624&gt;0,C624&lt;&gt;"",ISNUMBER(MATCH(C624,eq_code,0))),1,0)</f>
        <v>0.0</v>
      </c>
      <c r="X624" s="67">
        <f>IF(AND(W624=1,E624="Préventif"),1,0)</f>
        <v>0.0</v>
      </c>
      <c r="Y624" s="67">
        <f>IF(AND(ISNUMBER(N624),N(N624)&gt;0),N(N624),0)</f>
        <v>0.0</v>
      </c>
      <c r="Z624" s="67">
        <f>IF(AND(ISNUMBER(P624),N(P624)&gt;0),N(P624),0)</f>
        <v>0.0</v>
      </c>
    </row>
    <row r="625">
      <c r="A625" s="79" t="str">
        <f>IF(COUNTA(B625:C625,E625:G625,I625)=0,"","BI-"&amp;RIGHT("0000"&amp;(ROW()-5),4))</f>
        <v/>
      </c>
      <c r="B625" s="72" t="n"/>
      <c r="C625" s="66" t="n"/>
      <c r="D625" s="67" t="str">
        <f>IF(C625="","",IFERROR(INDEX(eq_des,MATCH(C625,eq_code,0))&amp;"","Équipement inconnu"))</f>
        <v/>
      </c>
      <c r="E625" s="68" t="n"/>
      <c r="F625" s="68" t="n"/>
      <c r="G625" s="66" t="n"/>
      <c r="H625" s="66" t="n"/>
      <c r="I625" s="68" t="n"/>
      <c r="J625" s="73" t="n"/>
      <c r="K625" s="71" t="n"/>
      <c r="L625" s="71" t="n"/>
      <c r="M625" s="66" t="n"/>
      <c r="N625" s="80" t="n"/>
      <c r="O625" s="81" t="str">
        <f>IF(A625="","",ROUND(V625*IFERROR(N(INDEX(tech_rate,MATCH(M625,tech_name,0))),0),2))</f>
        <v/>
      </c>
      <c r="P625" s="80" t="n"/>
      <c r="Q625" s="81" t="str">
        <f>IF(A625="","",ROUND(Y625+O625+Z625,2))</f>
        <v/>
      </c>
      <c r="R625" s="79" t="str">
        <f>IF(A625="","",IF(S625=0,"Date manquante ou invalide",IF(C625="","Équipement manquant",IF(ISNA(MATCH(C625,eq_code,0)),"Équipement inconnu",IF(E625="","Type manquant",IF(AND(E625&lt;&gt;"Préventif",E625&lt;&gt;"Correctif",E625&lt;&gt;"Amélioratif"),"Type inconnu",IF(I625="","Statut manquant",IF(AND(I625&lt;&gt;"Terminée",I625&lt;&gt;"En cours",I625&lt;&gt;"À faire",I625&lt;&gt;"Annulée"),"Statut inconnu",IF(AND(E625="Préventif",F625=""),"Plan manquant (préventif)",IF(AND(F625&lt;&gt;"",ISNA(MATCH(F625,pl_num,0))),"Plan inconnu",IF(AND(F625&lt;&gt;"",IFERROR(INDEX(pl_eq,MATCH(F625,pl_num,0))&amp;"",C625)&lt;&gt;C625),"Plan d'un autre équipement",IF(AND(J625&lt;&gt;"",OR(NOT(ISNUMBER(J625)),N(J625)&lt;0)),"Compteur invalide",IF(OR(AND(K625&lt;&gt;"",OR(NOT(ISNUMBER(K625)),N(K625)&lt;0)),AND(L625&lt;&gt;"",OR(NOT(ISNUMBER(L625)),N(L625)&lt;0))),"Durée invalide",IF(OR(AND(N625&lt;&gt;"",OR(NOT(ISNUMBER(N625)),N(N625)&lt;0)),AND(P625&lt;&gt;"",OR(NOT(ISNUMBER(P625)),N(P625)&lt;0))),"Coût invalide",IF(AND(M625&lt;&gt;"",ISNA(MATCH(M625,tech_name,0))),"Technicien inconnu",IF(AND(I625="Terminée",S625&gt;p_today),"Terminée à une date future",IF(AND(I625="Terminée",V625=0),"Durée d'intervention manquante",IF(AND(I625="Terminée",E625="Préventif",T625=0,OR(IFERROR(INDEX(pl_trig,MATCH(F625,pl_num,0))&amp;"","")="Compteur",IFERROR(INDEX(pl_trig,MATCH(F625,pl_num,0))&amp;"","")="Au premier des deux")),"Compteur manquant (plan au compteur)","OK"))))))))))))))))))</f>
        <v/>
      </c>
      <c r="S625" s="67">
        <f>IF(AND(ISNUMBER(B625),N(B625)&gt;0),INT(B625),0)</f>
        <v>0.0</v>
      </c>
      <c r="T625" s="67">
        <f>IF(AND(ISNUMBER(J625),N(J625)&gt;=0),N(J625),0)</f>
        <v>0.0</v>
      </c>
      <c r="U625" s="67">
        <f>IF(AND(ISNUMBER(K625),N(K625)&gt;0),N(K625),0)</f>
        <v>0.0</v>
      </c>
      <c r="V625" s="67">
        <f>IF(AND(ISNUMBER(L625),N(L625)&gt;0),N(L625),0)</f>
        <v>0.0</v>
      </c>
      <c r="W625" s="67">
        <f>IF(AND(I625="Terminée",S625&gt;0,C625&lt;&gt;"",ISNUMBER(MATCH(C625,eq_code,0))),1,0)</f>
        <v>0.0</v>
      </c>
      <c r="X625" s="67">
        <f>IF(AND(W625=1,E625="Préventif"),1,0)</f>
        <v>0.0</v>
      </c>
      <c r="Y625" s="67">
        <f>IF(AND(ISNUMBER(N625),N(N625)&gt;0),N(N625),0)</f>
        <v>0.0</v>
      </c>
      <c r="Z625" s="67">
        <f>IF(AND(ISNUMBER(P625),N(P625)&gt;0),N(P625),0)</f>
        <v>0.0</v>
      </c>
    </row>
    <row r="626">
      <c r="A626" s="79" t="str">
        <f>IF(COUNTA(B626:C626,E626:G626,I626)=0,"","BI-"&amp;RIGHT("0000"&amp;(ROW()-5),4))</f>
        <v/>
      </c>
      <c r="B626" s="72" t="n"/>
      <c r="C626" s="66" t="n"/>
      <c r="D626" s="67" t="str">
        <f>IF(C626="","",IFERROR(INDEX(eq_des,MATCH(C626,eq_code,0))&amp;"","Équipement inconnu"))</f>
        <v/>
      </c>
      <c r="E626" s="68" t="n"/>
      <c r="F626" s="68" t="n"/>
      <c r="G626" s="66" t="n"/>
      <c r="H626" s="66" t="n"/>
      <c r="I626" s="68" t="n"/>
      <c r="J626" s="73" t="n"/>
      <c r="K626" s="71" t="n"/>
      <c r="L626" s="71" t="n"/>
      <c r="M626" s="66" t="n"/>
      <c r="N626" s="80" t="n"/>
      <c r="O626" s="81" t="str">
        <f>IF(A626="","",ROUND(V626*IFERROR(N(INDEX(tech_rate,MATCH(M626,tech_name,0))),0),2))</f>
        <v/>
      </c>
      <c r="P626" s="80" t="n"/>
      <c r="Q626" s="81" t="str">
        <f>IF(A626="","",ROUND(Y626+O626+Z626,2))</f>
        <v/>
      </c>
      <c r="R626" s="79" t="str">
        <f>IF(A626="","",IF(S626=0,"Date manquante ou invalide",IF(C626="","Équipement manquant",IF(ISNA(MATCH(C626,eq_code,0)),"Équipement inconnu",IF(E626="","Type manquant",IF(AND(E626&lt;&gt;"Préventif",E626&lt;&gt;"Correctif",E626&lt;&gt;"Amélioratif"),"Type inconnu",IF(I626="","Statut manquant",IF(AND(I626&lt;&gt;"Terminée",I626&lt;&gt;"En cours",I626&lt;&gt;"À faire",I626&lt;&gt;"Annulée"),"Statut inconnu",IF(AND(E626="Préventif",F626=""),"Plan manquant (préventif)",IF(AND(F626&lt;&gt;"",ISNA(MATCH(F626,pl_num,0))),"Plan inconnu",IF(AND(F626&lt;&gt;"",IFERROR(INDEX(pl_eq,MATCH(F626,pl_num,0))&amp;"",C626)&lt;&gt;C626),"Plan d'un autre équipement",IF(AND(J626&lt;&gt;"",OR(NOT(ISNUMBER(J626)),N(J626)&lt;0)),"Compteur invalide",IF(OR(AND(K626&lt;&gt;"",OR(NOT(ISNUMBER(K626)),N(K626)&lt;0)),AND(L626&lt;&gt;"",OR(NOT(ISNUMBER(L626)),N(L626)&lt;0))),"Durée invalide",IF(OR(AND(N626&lt;&gt;"",OR(NOT(ISNUMBER(N626)),N(N626)&lt;0)),AND(P626&lt;&gt;"",OR(NOT(ISNUMBER(P626)),N(P626)&lt;0))),"Coût invalide",IF(AND(M626&lt;&gt;"",ISNA(MATCH(M626,tech_name,0))),"Technicien inconnu",IF(AND(I626="Terminée",S626&gt;p_today),"Terminée à une date future",IF(AND(I626="Terminée",V626=0),"Durée d'intervention manquante",IF(AND(I626="Terminée",E626="Préventif",T626=0,OR(IFERROR(INDEX(pl_trig,MATCH(F626,pl_num,0))&amp;"","")="Compteur",IFERROR(INDEX(pl_trig,MATCH(F626,pl_num,0))&amp;"","")="Au premier des deux")),"Compteur manquant (plan au compteur)","OK"))))))))))))))))))</f>
        <v/>
      </c>
      <c r="S626" s="67">
        <f>IF(AND(ISNUMBER(B626),N(B626)&gt;0),INT(B626),0)</f>
        <v>0.0</v>
      </c>
      <c r="T626" s="67">
        <f>IF(AND(ISNUMBER(J626),N(J626)&gt;=0),N(J626),0)</f>
        <v>0.0</v>
      </c>
      <c r="U626" s="67">
        <f>IF(AND(ISNUMBER(K626),N(K626)&gt;0),N(K626),0)</f>
        <v>0.0</v>
      </c>
      <c r="V626" s="67">
        <f>IF(AND(ISNUMBER(L626),N(L626)&gt;0),N(L626),0)</f>
        <v>0.0</v>
      </c>
      <c r="W626" s="67">
        <f>IF(AND(I626="Terminée",S626&gt;0,C626&lt;&gt;"",ISNUMBER(MATCH(C626,eq_code,0))),1,0)</f>
        <v>0.0</v>
      </c>
      <c r="X626" s="67">
        <f>IF(AND(W626=1,E626="Préventif"),1,0)</f>
        <v>0.0</v>
      </c>
      <c r="Y626" s="67">
        <f>IF(AND(ISNUMBER(N626),N(N626)&gt;0),N(N626),0)</f>
        <v>0.0</v>
      </c>
      <c r="Z626" s="67">
        <f>IF(AND(ISNUMBER(P626),N(P626)&gt;0),N(P626),0)</f>
        <v>0.0</v>
      </c>
    </row>
    <row r="627">
      <c r="A627" s="79" t="str">
        <f>IF(COUNTA(B627:C627,E627:G627,I627)=0,"","BI-"&amp;RIGHT("0000"&amp;(ROW()-5),4))</f>
        <v/>
      </c>
      <c r="B627" s="72" t="n"/>
      <c r="C627" s="66" t="n"/>
      <c r="D627" s="67" t="str">
        <f>IF(C627="","",IFERROR(INDEX(eq_des,MATCH(C627,eq_code,0))&amp;"","Équipement inconnu"))</f>
        <v/>
      </c>
      <c r="E627" s="68" t="n"/>
      <c r="F627" s="68" t="n"/>
      <c r="G627" s="66" t="n"/>
      <c r="H627" s="66" t="n"/>
      <c r="I627" s="68" t="n"/>
      <c r="J627" s="73" t="n"/>
      <c r="K627" s="71" t="n"/>
      <c r="L627" s="71" t="n"/>
      <c r="M627" s="66" t="n"/>
      <c r="N627" s="80" t="n"/>
      <c r="O627" s="81" t="str">
        <f>IF(A627="","",ROUND(V627*IFERROR(N(INDEX(tech_rate,MATCH(M627,tech_name,0))),0),2))</f>
        <v/>
      </c>
      <c r="P627" s="80" t="n"/>
      <c r="Q627" s="81" t="str">
        <f>IF(A627="","",ROUND(Y627+O627+Z627,2))</f>
        <v/>
      </c>
      <c r="R627" s="79" t="str">
        <f>IF(A627="","",IF(S627=0,"Date manquante ou invalide",IF(C627="","Équipement manquant",IF(ISNA(MATCH(C627,eq_code,0)),"Équipement inconnu",IF(E627="","Type manquant",IF(AND(E627&lt;&gt;"Préventif",E627&lt;&gt;"Correctif",E627&lt;&gt;"Amélioratif"),"Type inconnu",IF(I627="","Statut manquant",IF(AND(I627&lt;&gt;"Terminée",I627&lt;&gt;"En cours",I627&lt;&gt;"À faire",I627&lt;&gt;"Annulée"),"Statut inconnu",IF(AND(E627="Préventif",F627=""),"Plan manquant (préventif)",IF(AND(F627&lt;&gt;"",ISNA(MATCH(F627,pl_num,0))),"Plan inconnu",IF(AND(F627&lt;&gt;"",IFERROR(INDEX(pl_eq,MATCH(F627,pl_num,0))&amp;"",C627)&lt;&gt;C627),"Plan d'un autre équipement",IF(AND(J627&lt;&gt;"",OR(NOT(ISNUMBER(J627)),N(J627)&lt;0)),"Compteur invalide",IF(OR(AND(K627&lt;&gt;"",OR(NOT(ISNUMBER(K627)),N(K627)&lt;0)),AND(L627&lt;&gt;"",OR(NOT(ISNUMBER(L627)),N(L627)&lt;0))),"Durée invalide",IF(OR(AND(N627&lt;&gt;"",OR(NOT(ISNUMBER(N627)),N(N627)&lt;0)),AND(P627&lt;&gt;"",OR(NOT(ISNUMBER(P627)),N(P627)&lt;0))),"Coût invalide",IF(AND(M627&lt;&gt;"",ISNA(MATCH(M627,tech_name,0))),"Technicien inconnu",IF(AND(I627="Terminée",S627&gt;p_today),"Terminée à une date future",IF(AND(I627="Terminée",V627=0),"Durée d'intervention manquante",IF(AND(I627="Terminée",E627="Préventif",T627=0,OR(IFERROR(INDEX(pl_trig,MATCH(F627,pl_num,0))&amp;"","")="Compteur",IFERROR(INDEX(pl_trig,MATCH(F627,pl_num,0))&amp;"","")="Au premier des deux")),"Compteur manquant (plan au compteur)","OK"))))))))))))))))))</f>
        <v/>
      </c>
      <c r="S627" s="67">
        <f>IF(AND(ISNUMBER(B627),N(B627)&gt;0),INT(B627),0)</f>
        <v>0.0</v>
      </c>
      <c r="T627" s="67">
        <f>IF(AND(ISNUMBER(J627),N(J627)&gt;=0),N(J627),0)</f>
        <v>0.0</v>
      </c>
      <c r="U627" s="67">
        <f>IF(AND(ISNUMBER(K627),N(K627)&gt;0),N(K627),0)</f>
        <v>0.0</v>
      </c>
      <c r="V627" s="67">
        <f>IF(AND(ISNUMBER(L627),N(L627)&gt;0),N(L627),0)</f>
        <v>0.0</v>
      </c>
      <c r="W627" s="67">
        <f>IF(AND(I627="Terminée",S627&gt;0,C627&lt;&gt;"",ISNUMBER(MATCH(C627,eq_code,0))),1,0)</f>
        <v>0.0</v>
      </c>
      <c r="X627" s="67">
        <f>IF(AND(W627=1,E627="Préventif"),1,0)</f>
        <v>0.0</v>
      </c>
      <c r="Y627" s="67">
        <f>IF(AND(ISNUMBER(N627),N(N627)&gt;0),N(N627),0)</f>
        <v>0.0</v>
      </c>
      <c r="Z627" s="67">
        <f>IF(AND(ISNUMBER(P627),N(P627)&gt;0),N(P627),0)</f>
        <v>0.0</v>
      </c>
    </row>
    <row r="628">
      <c r="A628" s="79" t="str">
        <f>IF(COUNTA(B628:C628,E628:G628,I628)=0,"","BI-"&amp;RIGHT("0000"&amp;(ROW()-5),4))</f>
        <v/>
      </c>
      <c r="B628" s="72" t="n"/>
      <c r="C628" s="66" t="n"/>
      <c r="D628" s="67" t="str">
        <f>IF(C628="","",IFERROR(INDEX(eq_des,MATCH(C628,eq_code,0))&amp;"","Équipement inconnu"))</f>
        <v/>
      </c>
      <c r="E628" s="68" t="n"/>
      <c r="F628" s="68" t="n"/>
      <c r="G628" s="66" t="n"/>
      <c r="H628" s="66" t="n"/>
      <c r="I628" s="68" t="n"/>
      <c r="J628" s="73" t="n"/>
      <c r="K628" s="71" t="n"/>
      <c r="L628" s="71" t="n"/>
      <c r="M628" s="66" t="n"/>
      <c r="N628" s="80" t="n"/>
      <c r="O628" s="81" t="str">
        <f>IF(A628="","",ROUND(V628*IFERROR(N(INDEX(tech_rate,MATCH(M628,tech_name,0))),0),2))</f>
        <v/>
      </c>
      <c r="P628" s="80" t="n"/>
      <c r="Q628" s="81" t="str">
        <f>IF(A628="","",ROUND(Y628+O628+Z628,2))</f>
        <v/>
      </c>
      <c r="R628" s="79" t="str">
        <f>IF(A628="","",IF(S628=0,"Date manquante ou invalide",IF(C628="","Équipement manquant",IF(ISNA(MATCH(C628,eq_code,0)),"Équipement inconnu",IF(E628="","Type manquant",IF(AND(E628&lt;&gt;"Préventif",E628&lt;&gt;"Correctif",E628&lt;&gt;"Amélioratif"),"Type inconnu",IF(I628="","Statut manquant",IF(AND(I628&lt;&gt;"Terminée",I628&lt;&gt;"En cours",I628&lt;&gt;"À faire",I628&lt;&gt;"Annulée"),"Statut inconnu",IF(AND(E628="Préventif",F628=""),"Plan manquant (préventif)",IF(AND(F628&lt;&gt;"",ISNA(MATCH(F628,pl_num,0))),"Plan inconnu",IF(AND(F628&lt;&gt;"",IFERROR(INDEX(pl_eq,MATCH(F628,pl_num,0))&amp;"",C628)&lt;&gt;C628),"Plan d'un autre équipement",IF(AND(J628&lt;&gt;"",OR(NOT(ISNUMBER(J628)),N(J628)&lt;0)),"Compteur invalide",IF(OR(AND(K628&lt;&gt;"",OR(NOT(ISNUMBER(K628)),N(K628)&lt;0)),AND(L628&lt;&gt;"",OR(NOT(ISNUMBER(L628)),N(L628)&lt;0))),"Durée invalide",IF(OR(AND(N628&lt;&gt;"",OR(NOT(ISNUMBER(N628)),N(N628)&lt;0)),AND(P628&lt;&gt;"",OR(NOT(ISNUMBER(P628)),N(P628)&lt;0))),"Coût invalide",IF(AND(M628&lt;&gt;"",ISNA(MATCH(M628,tech_name,0))),"Technicien inconnu",IF(AND(I628="Terminée",S628&gt;p_today),"Terminée à une date future",IF(AND(I628="Terminée",V628=0),"Durée d'intervention manquante",IF(AND(I628="Terminée",E628="Préventif",T628=0,OR(IFERROR(INDEX(pl_trig,MATCH(F628,pl_num,0))&amp;"","")="Compteur",IFERROR(INDEX(pl_trig,MATCH(F628,pl_num,0))&amp;"","")="Au premier des deux")),"Compteur manquant (plan au compteur)","OK"))))))))))))))))))</f>
        <v/>
      </c>
      <c r="S628" s="67">
        <f>IF(AND(ISNUMBER(B628),N(B628)&gt;0),INT(B628),0)</f>
        <v>0.0</v>
      </c>
      <c r="T628" s="67">
        <f>IF(AND(ISNUMBER(J628),N(J628)&gt;=0),N(J628),0)</f>
        <v>0.0</v>
      </c>
      <c r="U628" s="67">
        <f>IF(AND(ISNUMBER(K628),N(K628)&gt;0),N(K628),0)</f>
        <v>0.0</v>
      </c>
      <c r="V628" s="67">
        <f>IF(AND(ISNUMBER(L628),N(L628)&gt;0),N(L628),0)</f>
        <v>0.0</v>
      </c>
      <c r="W628" s="67">
        <f>IF(AND(I628="Terminée",S628&gt;0,C628&lt;&gt;"",ISNUMBER(MATCH(C628,eq_code,0))),1,0)</f>
        <v>0.0</v>
      </c>
      <c r="X628" s="67">
        <f>IF(AND(W628=1,E628="Préventif"),1,0)</f>
        <v>0.0</v>
      </c>
      <c r="Y628" s="67">
        <f>IF(AND(ISNUMBER(N628),N(N628)&gt;0),N(N628),0)</f>
        <v>0.0</v>
      </c>
      <c r="Z628" s="67">
        <f>IF(AND(ISNUMBER(P628),N(P628)&gt;0),N(P628),0)</f>
        <v>0.0</v>
      </c>
    </row>
    <row r="629">
      <c r="A629" s="79" t="str">
        <f>IF(COUNTA(B629:C629,E629:G629,I629)=0,"","BI-"&amp;RIGHT("0000"&amp;(ROW()-5),4))</f>
        <v/>
      </c>
      <c r="B629" s="72" t="n"/>
      <c r="C629" s="66" t="n"/>
      <c r="D629" s="67" t="str">
        <f>IF(C629="","",IFERROR(INDEX(eq_des,MATCH(C629,eq_code,0))&amp;"","Équipement inconnu"))</f>
        <v/>
      </c>
      <c r="E629" s="68" t="n"/>
      <c r="F629" s="68" t="n"/>
      <c r="G629" s="66" t="n"/>
      <c r="H629" s="66" t="n"/>
      <c r="I629" s="68" t="n"/>
      <c r="J629" s="73" t="n"/>
      <c r="K629" s="71" t="n"/>
      <c r="L629" s="71" t="n"/>
      <c r="M629" s="66" t="n"/>
      <c r="N629" s="80" t="n"/>
      <c r="O629" s="81" t="str">
        <f>IF(A629="","",ROUND(V629*IFERROR(N(INDEX(tech_rate,MATCH(M629,tech_name,0))),0),2))</f>
        <v/>
      </c>
      <c r="P629" s="80" t="n"/>
      <c r="Q629" s="81" t="str">
        <f>IF(A629="","",ROUND(Y629+O629+Z629,2))</f>
        <v/>
      </c>
      <c r="R629" s="79" t="str">
        <f>IF(A629="","",IF(S629=0,"Date manquante ou invalide",IF(C629="","Équipement manquant",IF(ISNA(MATCH(C629,eq_code,0)),"Équipement inconnu",IF(E629="","Type manquant",IF(AND(E629&lt;&gt;"Préventif",E629&lt;&gt;"Correctif",E629&lt;&gt;"Amélioratif"),"Type inconnu",IF(I629="","Statut manquant",IF(AND(I629&lt;&gt;"Terminée",I629&lt;&gt;"En cours",I629&lt;&gt;"À faire",I629&lt;&gt;"Annulée"),"Statut inconnu",IF(AND(E629="Préventif",F629=""),"Plan manquant (préventif)",IF(AND(F629&lt;&gt;"",ISNA(MATCH(F629,pl_num,0))),"Plan inconnu",IF(AND(F629&lt;&gt;"",IFERROR(INDEX(pl_eq,MATCH(F629,pl_num,0))&amp;"",C629)&lt;&gt;C629),"Plan d'un autre équipement",IF(AND(J629&lt;&gt;"",OR(NOT(ISNUMBER(J629)),N(J629)&lt;0)),"Compteur invalide",IF(OR(AND(K629&lt;&gt;"",OR(NOT(ISNUMBER(K629)),N(K629)&lt;0)),AND(L629&lt;&gt;"",OR(NOT(ISNUMBER(L629)),N(L629)&lt;0))),"Durée invalide",IF(OR(AND(N629&lt;&gt;"",OR(NOT(ISNUMBER(N629)),N(N629)&lt;0)),AND(P629&lt;&gt;"",OR(NOT(ISNUMBER(P629)),N(P629)&lt;0))),"Coût invalide",IF(AND(M629&lt;&gt;"",ISNA(MATCH(M629,tech_name,0))),"Technicien inconnu",IF(AND(I629="Terminée",S629&gt;p_today),"Terminée à une date future",IF(AND(I629="Terminée",V629=0),"Durée d'intervention manquante",IF(AND(I629="Terminée",E629="Préventif",T629=0,OR(IFERROR(INDEX(pl_trig,MATCH(F629,pl_num,0))&amp;"","")="Compteur",IFERROR(INDEX(pl_trig,MATCH(F629,pl_num,0))&amp;"","")="Au premier des deux")),"Compteur manquant (plan au compteur)","OK"))))))))))))))))))</f>
        <v/>
      </c>
      <c r="S629" s="67">
        <f>IF(AND(ISNUMBER(B629),N(B629)&gt;0),INT(B629),0)</f>
        <v>0.0</v>
      </c>
      <c r="T629" s="67">
        <f>IF(AND(ISNUMBER(J629),N(J629)&gt;=0),N(J629),0)</f>
        <v>0.0</v>
      </c>
      <c r="U629" s="67">
        <f>IF(AND(ISNUMBER(K629),N(K629)&gt;0),N(K629),0)</f>
        <v>0.0</v>
      </c>
      <c r="V629" s="67">
        <f>IF(AND(ISNUMBER(L629),N(L629)&gt;0),N(L629),0)</f>
        <v>0.0</v>
      </c>
      <c r="W629" s="67">
        <f>IF(AND(I629="Terminée",S629&gt;0,C629&lt;&gt;"",ISNUMBER(MATCH(C629,eq_code,0))),1,0)</f>
        <v>0.0</v>
      </c>
      <c r="X629" s="67">
        <f>IF(AND(W629=1,E629="Préventif"),1,0)</f>
        <v>0.0</v>
      </c>
      <c r="Y629" s="67">
        <f>IF(AND(ISNUMBER(N629),N(N629)&gt;0),N(N629),0)</f>
        <v>0.0</v>
      </c>
      <c r="Z629" s="67">
        <f>IF(AND(ISNUMBER(P629),N(P629)&gt;0),N(P629),0)</f>
        <v>0.0</v>
      </c>
    </row>
    <row r="630">
      <c r="A630" s="79" t="str">
        <f>IF(COUNTA(B630:C630,E630:G630,I630)=0,"","BI-"&amp;RIGHT("0000"&amp;(ROW()-5),4))</f>
        <v/>
      </c>
      <c r="B630" s="72" t="n"/>
      <c r="C630" s="66" t="n"/>
      <c r="D630" s="67" t="str">
        <f>IF(C630="","",IFERROR(INDEX(eq_des,MATCH(C630,eq_code,0))&amp;"","Équipement inconnu"))</f>
        <v/>
      </c>
      <c r="E630" s="68" t="n"/>
      <c r="F630" s="68" t="n"/>
      <c r="G630" s="66" t="n"/>
      <c r="H630" s="66" t="n"/>
      <c r="I630" s="68" t="n"/>
      <c r="J630" s="73" t="n"/>
      <c r="K630" s="71" t="n"/>
      <c r="L630" s="71" t="n"/>
      <c r="M630" s="66" t="n"/>
      <c r="N630" s="80" t="n"/>
      <c r="O630" s="81" t="str">
        <f>IF(A630="","",ROUND(V630*IFERROR(N(INDEX(tech_rate,MATCH(M630,tech_name,0))),0),2))</f>
        <v/>
      </c>
      <c r="P630" s="80" t="n"/>
      <c r="Q630" s="81" t="str">
        <f>IF(A630="","",ROUND(Y630+O630+Z630,2))</f>
        <v/>
      </c>
      <c r="R630" s="79" t="str">
        <f>IF(A630="","",IF(S630=0,"Date manquante ou invalide",IF(C630="","Équipement manquant",IF(ISNA(MATCH(C630,eq_code,0)),"Équipement inconnu",IF(E630="","Type manquant",IF(AND(E630&lt;&gt;"Préventif",E630&lt;&gt;"Correctif",E630&lt;&gt;"Amélioratif"),"Type inconnu",IF(I630="","Statut manquant",IF(AND(I630&lt;&gt;"Terminée",I630&lt;&gt;"En cours",I630&lt;&gt;"À faire",I630&lt;&gt;"Annulée"),"Statut inconnu",IF(AND(E630="Préventif",F630=""),"Plan manquant (préventif)",IF(AND(F630&lt;&gt;"",ISNA(MATCH(F630,pl_num,0))),"Plan inconnu",IF(AND(F630&lt;&gt;"",IFERROR(INDEX(pl_eq,MATCH(F630,pl_num,0))&amp;"",C630)&lt;&gt;C630),"Plan d'un autre équipement",IF(AND(J630&lt;&gt;"",OR(NOT(ISNUMBER(J630)),N(J630)&lt;0)),"Compteur invalide",IF(OR(AND(K630&lt;&gt;"",OR(NOT(ISNUMBER(K630)),N(K630)&lt;0)),AND(L630&lt;&gt;"",OR(NOT(ISNUMBER(L630)),N(L630)&lt;0))),"Durée invalide",IF(OR(AND(N630&lt;&gt;"",OR(NOT(ISNUMBER(N630)),N(N630)&lt;0)),AND(P630&lt;&gt;"",OR(NOT(ISNUMBER(P630)),N(P630)&lt;0))),"Coût invalide",IF(AND(M630&lt;&gt;"",ISNA(MATCH(M630,tech_name,0))),"Technicien inconnu",IF(AND(I630="Terminée",S630&gt;p_today),"Terminée à une date future",IF(AND(I630="Terminée",V630=0),"Durée d'intervention manquante",IF(AND(I630="Terminée",E630="Préventif",T630=0,OR(IFERROR(INDEX(pl_trig,MATCH(F630,pl_num,0))&amp;"","")="Compteur",IFERROR(INDEX(pl_trig,MATCH(F630,pl_num,0))&amp;"","")="Au premier des deux")),"Compteur manquant (plan au compteur)","OK"))))))))))))))))))</f>
        <v/>
      </c>
      <c r="S630" s="67">
        <f>IF(AND(ISNUMBER(B630),N(B630)&gt;0),INT(B630),0)</f>
        <v>0.0</v>
      </c>
      <c r="T630" s="67">
        <f>IF(AND(ISNUMBER(J630),N(J630)&gt;=0),N(J630),0)</f>
        <v>0.0</v>
      </c>
      <c r="U630" s="67">
        <f>IF(AND(ISNUMBER(K630),N(K630)&gt;0),N(K630),0)</f>
        <v>0.0</v>
      </c>
      <c r="V630" s="67">
        <f>IF(AND(ISNUMBER(L630),N(L630)&gt;0),N(L630),0)</f>
        <v>0.0</v>
      </c>
      <c r="W630" s="67">
        <f>IF(AND(I630="Terminée",S630&gt;0,C630&lt;&gt;"",ISNUMBER(MATCH(C630,eq_code,0))),1,0)</f>
        <v>0.0</v>
      </c>
      <c r="X630" s="67">
        <f>IF(AND(W630=1,E630="Préventif"),1,0)</f>
        <v>0.0</v>
      </c>
      <c r="Y630" s="67">
        <f>IF(AND(ISNUMBER(N630),N(N630)&gt;0),N(N630),0)</f>
        <v>0.0</v>
      </c>
      <c r="Z630" s="67">
        <f>IF(AND(ISNUMBER(P630),N(P630)&gt;0),N(P630),0)</f>
        <v>0.0</v>
      </c>
    </row>
    <row r="631">
      <c r="A631" s="79" t="str">
        <f>IF(COUNTA(B631:C631,E631:G631,I631)=0,"","BI-"&amp;RIGHT("0000"&amp;(ROW()-5),4))</f>
        <v/>
      </c>
      <c r="B631" s="72" t="n"/>
      <c r="C631" s="66" t="n"/>
      <c r="D631" s="67" t="str">
        <f>IF(C631="","",IFERROR(INDEX(eq_des,MATCH(C631,eq_code,0))&amp;"","Équipement inconnu"))</f>
        <v/>
      </c>
      <c r="E631" s="68" t="n"/>
      <c r="F631" s="68" t="n"/>
      <c r="G631" s="66" t="n"/>
      <c r="H631" s="66" t="n"/>
      <c r="I631" s="68" t="n"/>
      <c r="J631" s="73" t="n"/>
      <c r="K631" s="71" t="n"/>
      <c r="L631" s="71" t="n"/>
      <c r="M631" s="66" t="n"/>
      <c r="N631" s="80" t="n"/>
      <c r="O631" s="81" t="str">
        <f>IF(A631="","",ROUND(V631*IFERROR(N(INDEX(tech_rate,MATCH(M631,tech_name,0))),0),2))</f>
        <v/>
      </c>
      <c r="P631" s="80" t="n"/>
      <c r="Q631" s="81" t="str">
        <f>IF(A631="","",ROUND(Y631+O631+Z631,2))</f>
        <v/>
      </c>
      <c r="R631" s="79" t="str">
        <f>IF(A631="","",IF(S631=0,"Date manquante ou invalide",IF(C631="","Équipement manquant",IF(ISNA(MATCH(C631,eq_code,0)),"Équipement inconnu",IF(E631="","Type manquant",IF(AND(E631&lt;&gt;"Préventif",E631&lt;&gt;"Correctif",E631&lt;&gt;"Amélioratif"),"Type inconnu",IF(I631="","Statut manquant",IF(AND(I631&lt;&gt;"Terminée",I631&lt;&gt;"En cours",I631&lt;&gt;"À faire",I631&lt;&gt;"Annulée"),"Statut inconnu",IF(AND(E631="Préventif",F631=""),"Plan manquant (préventif)",IF(AND(F631&lt;&gt;"",ISNA(MATCH(F631,pl_num,0))),"Plan inconnu",IF(AND(F631&lt;&gt;"",IFERROR(INDEX(pl_eq,MATCH(F631,pl_num,0))&amp;"",C631)&lt;&gt;C631),"Plan d'un autre équipement",IF(AND(J631&lt;&gt;"",OR(NOT(ISNUMBER(J631)),N(J631)&lt;0)),"Compteur invalide",IF(OR(AND(K631&lt;&gt;"",OR(NOT(ISNUMBER(K631)),N(K631)&lt;0)),AND(L631&lt;&gt;"",OR(NOT(ISNUMBER(L631)),N(L631)&lt;0))),"Durée invalide",IF(OR(AND(N631&lt;&gt;"",OR(NOT(ISNUMBER(N631)),N(N631)&lt;0)),AND(P631&lt;&gt;"",OR(NOT(ISNUMBER(P631)),N(P631)&lt;0))),"Coût invalide",IF(AND(M631&lt;&gt;"",ISNA(MATCH(M631,tech_name,0))),"Technicien inconnu",IF(AND(I631="Terminée",S631&gt;p_today),"Terminée à une date future",IF(AND(I631="Terminée",V631=0),"Durée d'intervention manquante",IF(AND(I631="Terminée",E631="Préventif",T631=0,OR(IFERROR(INDEX(pl_trig,MATCH(F631,pl_num,0))&amp;"","")="Compteur",IFERROR(INDEX(pl_trig,MATCH(F631,pl_num,0))&amp;"","")="Au premier des deux")),"Compteur manquant (plan au compteur)","OK"))))))))))))))))))</f>
        <v/>
      </c>
      <c r="S631" s="67">
        <f>IF(AND(ISNUMBER(B631),N(B631)&gt;0),INT(B631),0)</f>
        <v>0.0</v>
      </c>
      <c r="T631" s="67">
        <f>IF(AND(ISNUMBER(J631),N(J631)&gt;=0),N(J631),0)</f>
        <v>0.0</v>
      </c>
      <c r="U631" s="67">
        <f>IF(AND(ISNUMBER(K631),N(K631)&gt;0),N(K631),0)</f>
        <v>0.0</v>
      </c>
      <c r="V631" s="67">
        <f>IF(AND(ISNUMBER(L631),N(L631)&gt;0),N(L631),0)</f>
        <v>0.0</v>
      </c>
      <c r="W631" s="67">
        <f>IF(AND(I631="Terminée",S631&gt;0,C631&lt;&gt;"",ISNUMBER(MATCH(C631,eq_code,0))),1,0)</f>
        <v>0.0</v>
      </c>
      <c r="X631" s="67">
        <f>IF(AND(W631=1,E631="Préventif"),1,0)</f>
        <v>0.0</v>
      </c>
      <c r="Y631" s="67">
        <f>IF(AND(ISNUMBER(N631),N(N631)&gt;0),N(N631),0)</f>
        <v>0.0</v>
      </c>
      <c r="Z631" s="67">
        <f>IF(AND(ISNUMBER(P631),N(P631)&gt;0),N(P631),0)</f>
        <v>0.0</v>
      </c>
    </row>
    <row r="632">
      <c r="A632" s="79" t="str">
        <f>IF(COUNTA(B632:C632,E632:G632,I632)=0,"","BI-"&amp;RIGHT("0000"&amp;(ROW()-5),4))</f>
        <v/>
      </c>
      <c r="B632" s="72" t="n"/>
      <c r="C632" s="66" t="n"/>
      <c r="D632" s="67" t="str">
        <f>IF(C632="","",IFERROR(INDEX(eq_des,MATCH(C632,eq_code,0))&amp;"","Équipement inconnu"))</f>
        <v/>
      </c>
      <c r="E632" s="68" t="n"/>
      <c r="F632" s="68" t="n"/>
      <c r="G632" s="66" t="n"/>
      <c r="H632" s="66" t="n"/>
      <c r="I632" s="68" t="n"/>
      <c r="J632" s="73" t="n"/>
      <c r="K632" s="71" t="n"/>
      <c r="L632" s="71" t="n"/>
      <c r="M632" s="66" t="n"/>
      <c r="N632" s="80" t="n"/>
      <c r="O632" s="81" t="str">
        <f>IF(A632="","",ROUND(V632*IFERROR(N(INDEX(tech_rate,MATCH(M632,tech_name,0))),0),2))</f>
        <v/>
      </c>
      <c r="P632" s="80" t="n"/>
      <c r="Q632" s="81" t="str">
        <f>IF(A632="","",ROUND(Y632+O632+Z632,2))</f>
        <v/>
      </c>
      <c r="R632" s="79" t="str">
        <f>IF(A632="","",IF(S632=0,"Date manquante ou invalide",IF(C632="","Équipement manquant",IF(ISNA(MATCH(C632,eq_code,0)),"Équipement inconnu",IF(E632="","Type manquant",IF(AND(E632&lt;&gt;"Préventif",E632&lt;&gt;"Correctif",E632&lt;&gt;"Amélioratif"),"Type inconnu",IF(I632="","Statut manquant",IF(AND(I632&lt;&gt;"Terminée",I632&lt;&gt;"En cours",I632&lt;&gt;"À faire",I632&lt;&gt;"Annulée"),"Statut inconnu",IF(AND(E632="Préventif",F632=""),"Plan manquant (préventif)",IF(AND(F632&lt;&gt;"",ISNA(MATCH(F632,pl_num,0))),"Plan inconnu",IF(AND(F632&lt;&gt;"",IFERROR(INDEX(pl_eq,MATCH(F632,pl_num,0))&amp;"",C632)&lt;&gt;C632),"Plan d'un autre équipement",IF(AND(J632&lt;&gt;"",OR(NOT(ISNUMBER(J632)),N(J632)&lt;0)),"Compteur invalide",IF(OR(AND(K632&lt;&gt;"",OR(NOT(ISNUMBER(K632)),N(K632)&lt;0)),AND(L632&lt;&gt;"",OR(NOT(ISNUMBER(L632)),N(L632)&lt;0))),"Durée invalide",IF(OR(AND(N632&lt;&gt;"",OR(NOT(ISNUMBER(N632)),N(N632)&lt;0)),AND(P632&lt;&gt;"",OR(NOT(ISNUMBER(P632)),N(P632)&lt;0))),"Coût invalide",IF(AND(M632&lt;&gt;"",ISNA(MATCH(M632,tech_name,0))),"Technicien inconnu",IF(AND(I632="Terminée",S632&gt;p_today),"Terminée à une date future",IF(AND(I632="Terminée",V632=0),"Durée d'intervention manquante",IF(AND(I632="Terminée",E632="Préventif",T632=0,OR(IFERROR(INDEX(pl_trig,MATCH(F632,pl_num,0))&amp;"","")="Compteur",IFERROR(INDEX(pl_trig,MATCH(F632,pl_num,0))&amp;"","")="Au premier des deux")),"Compteur manquant (plan au compteur)","OK"))))))))))))))))))</f>
        <v/>
      </c>
      <c r="S632" s="67">
        <f>IF(AND(ISNUMBER(B632),N(B632)&gt;0),INT(B632),0)</f>
        <v>0.0</v>
      </c>
      <c r="T632" s="67">
        <f>IF(AND(ISNUMBER(J632),N(J632)&gt;=0),N(J632),0)</f>
        <v>0.0</v>
      </c>
      <c r="U632" s="67">
        <f>IF(AND(ISNUMBER(K632),N(K632)&gt;0),N(K632),0)</f>
        <v>0.0</v>
      </c>
      <c r="V632" s="67">
        <f>IF(AND(ISNUMBER(L632),N(L632)&gt;0),N(L632),0)</f>
        <v>0.0</v>
      </c>
      <c r="W632" s="67">
        <f>IF(AND(I632="Terminée",S632&gt;0,C632&lt;&gt;"",ISNUMBER(MATCH(C632,eq_code,0))),1,0)</f>
        <v>0.0</v>
      </c>
      <c r="X632" s="67">
        <f>IF(AND(W632=1,E632="Préventif"),1,0)</f>
        <v>0.0</v>
      </c>
      <c r="Y632" s="67">
        <f>IF(AND(ISNUMBER(N632),N(N632)&gt;0),N(N632),0)</f>
        <v>0.0</v>
      </c>
      <c r="Z632" s="67">
        <f>IF(AND(ISNUMBER(P632),N(P632)&gt;0),N(P632),0)</f>
        <v>0.0</v>
      </c>
    </row>
    <row r="633">
      <c r="A633" s="79" t="str">
        <f>IF(COUNTA(B633:C633,E633:G633,I633)=0,"","BI-"&amp;RIGHT("0000"&amp;(ROW()-5),4))</f>
        <v/>
      </c>
      <c r="B633" s="72" t="n"/>
      <c r="C633" s="66" t="n"/>
      <c r="D633" s="67" t="str">
        <f>IF(C633="","",IFERROR(INDEX(eq_des,MATCH(C633,eq_code,0))&amp;"","Équipement inconnu"))</f>
        <v/>
      </c>
      <c r="E633" s="68" t="n"/>
      <c r="F633" s="68" t="n"/>
      <c r="G633" s="66" t="n"/>
      <c r="H633" s="66" t="n"/>
      <c r="I633" s="68" t="n"/>
      <c r="J633" s="73" t="n"/>
      <c r="K633" s="71" t="n"/>
      <c r="L633" s="71" t="n"/>
      <c r="M633" s="66" t="n"/>
      <c r="N633" s="80" t="n"/>
      <c r="O633" s="81" t="str">
        <f>IF(A633="","",ROUND(V633*IFERROR(N(INDEX(tech_rate,MATCH(M633,tech_name,0))),0),2))</f>
        <v/>
      </c>
      <c r="P633" s="80" t="n"/>
      <c r="Q633" s="81" t="str">
        <f>IF(A633="","",ROUND(Y633+O633+Z633,2))</f>
        <v/>
      </c>
      <c r="R633" s="79" t="str">
        <f>IF(A633="","",IF(S633=0,"Date manquante ou invalide",IF(C633="","Équipement manquant",IF(ISNA(MATCH(C633,eq_code,0)),"Équipement inconnu",IF(E633="","Type manquant",IF(AND(E633&lt;&gt;"Préventif",E633&lt;&gt;"Correctif",E633&lt;&gt;"Amélioratif"),"Type inconnu",IF(I633="","Statut manquant",IF(AND(I633&lt;&gt;"Terminée",I633&lt;&gt;"En cours",I633&lt;&gt;"À faire",I633&lt;&gt;"Annulée"),"Statut inconnu",IF(AND(E633="Préventif",F633=""),"Plan manquant (préventif)",IF(AND(F633&lt;&gt;"",ISNA(MATCH(F633,pl_num,0))),"Plan inconnu",IF(AND(F633&lt;&gt;"",IFERROR(INDEX(pl_eq,MATCH(F633,pl_num,0))&amp;"",C633)&lt;&gt;C633),"Plan d'un autre équipement",IF(AND(J633&lt;&gt;"",OR(NOT(ISNUMBER(J633)),N(J633)&lt;0)),"Compteur invalide",IF(OR(AND(K633&lt;&gt;"",OR(NOT(ISNUMBER(K633)),N(K633)&lt;0)),AND(L633&lt;&gt;"",OR(NOT(ISNUMBER(L633)),N(L633)&lt;0))),"Durée invalide",IF(OR(AND(N633&lt;&gt;"",OR(NOT(ISNUMBER(N633)),N(N633)&lt;0)),AND(P633&lt;&gt;"",OR(NOT(ISNUMBER(P633)),N(P633)&lt;0))),"Coût invalide",IF(AND(M633&lt;&gt;"",ISNA(MATCH(M633,tech_name,0))),"Technicien inconnu",IF(AND(I633="Terminée",S633&gt;p_today),"Terminée à une date future",IF(AND(I633="Terminée",V633=0),"Durée d'intervention manquante",IF(AND(I633="Terminée",E633="Préventif",T633=0,OR(IFERROR(INDEX(pl_trig,MATCH(F633,pl_num,0))&amp;"","")="Compteur",IFERROR(INDEX(pl_trig,MATCH(F633,pl_num,0))&amp;"","")="Au premier des deux")),"Compteur manquant (plan au compteur)","OK"))))))))))))))))))</f>
        <v/>
      </c>
      <c r="S633" s="67">
        <f>IF(AND(ISNUMBER(B633),N(B633)&gt;0),INT(B633),0)</f>
        <v>0.0</v>
      </c>
      <c r="T633" s="67">
        <f>IF(AND(ISNUMBER(J633),N(J633)&gt;=0),N(J633),0)</f>
        <v>0.0</v>
      </c>
      <c r="U633" s="67">
        <f>IF(AND(ISNUMBER(K633),N(K633)&gt;0),N(K633),0)</f>
        <v>0.0</v>
      </c>
      <c r="V633" s="67">
        <f>IF(AND(ISNUMBER(L633),N(L633)&gt;0),N(L633),0)</f>
        <v>0.0</v>
      </c>
      <c r="W633" s="67">
        <f>IF(AND(I633="Terminée",S633&gt;0,C633&lt;&gt;"",ISNUMBER(MATCH(C633,eq_code,0))),1,0)</f>
        <v>0.0</v>
      </c>
      <c r="X633" s="67">
        <f>IF(AND(W633=1,E633="Préventif"),1,0)</f>
        <v>0.0</v>
      </c>
      <c r="Y633" s="67">
        <f>IF(AND(ISNUMBER(N633),N(N633)&gt;0),N(N633),0)</f>
        <v>0.0</v>
      </c>
      <c r="Z633" s="67">
        <f>IF(AND(ISNUMBER(P633),N(P633)&gt;0),N(P633),0)</f>
        <v>0.0</v>
      </c>
    </row>
    <row r="634">
      <c r="A634" s="79" t="str">
        <f>IF(COUNTA(B634:C634,E634:G634,I634)=0,"","BI-"&amp;RIGHT("0000"&amp;(ROW()-5),4))</f>
        <v/>
      </c>
      <c r="B634" s="72" t="n"/>
      <c r="C634" s="66" t="n"/>
      <c r="D634" s="67" t="str">
        <f>IF(C634="","",IFERROR(INDEX(eq_des,MATCH(C634,eq_code,0))&amp;"","Équipement inconnu"))</f>
        <v/>
      </c>
      <c r="E634" s="68" t="n"/>
      <c r="F634" s="68" t="n"/>
      <c r="G634" s="66" t="n"/>
      <c r="H634" s="66" t="n"/>
      <c r="I634" s="68" t="n"/>
      <c r="J634" s="73" t="n"/>
      <c r="K634" s="71" t="n"/>
      <c r="L634" s="71" t="n"/>
      <c r="M634" s="66" t="n"/>
      <c r="N634" s="80" t="n"/>
      <c r="O634" s="81" t="str">
        <f>IF(A634="","",ROUND(V634*IFERROR(N(INDEX(tech_rate,MATCH(M634,tech_name,0))),0),2))</f>
        <v/>
      </c>
      <c r="P634" s="80" t="n"/>
      <c r="Q634" s="81" t="str">
        <f>IF(A634="","",ROUND(Y634+O634+Z634,2))</f>
        <v/>
      </c>
      <c r="R634" s="79" t="str">
        <f>IF(A634="","",IF(S634=0,"Date manquante ou invalide",IF(C634="","Équipement manquant",IF(ISNA(MATCH(C634,eq_code,0)),"Équipement inconnu",IF(E634="","Type manquant",IF(AND(E634&lt;&gt;"Préventif",E634&lt;&gt;"Correctif",E634&lt;&gt;"Amélioratif"),"Type inconnu",IF(I634="","Statut manquant",IF(AND(I634&lt;&gt;"Terminée",I634&lt;&gt;"En cours",I634&lt;&gt;"À faire",I634&lt;&gt;"Annulée"),"Statut inconnu",IF(AND(E634="Préventif",F634=""),"Plan manquant (préventif)",IF(AND(F634&lt;&gt;"",ISNA(MATCH(F634,pl_num,0))),"Plan inconnu",IF(AND(F634&lt;&gt;"",IFERROR(INDEX(pl_eq,MATCH(F634,pl_num,0))&amp;"",C634)&lt;&gt;C634),"Plan d'un autre équipement",IF(AND(J634&lt;&gt;"",OR(NOT(ISNUMBER(J634)),N(J634)&lt;0)),"Compteur invalide",IF(OR(AND(K634&lt;&gt;"",OR(NOT(ISNUMBER(K634)),N(K634)&lt;0)),AND(L634&lt;&gt;"",OR(NOT(ISNUMBER(L634)),N(L634)&lt;0))),"Durée invalide",IF(OR(AND(N634&lt;&gt;"",OR(NOT(ISNUMBER(N634)),N(N634)&lt;0)),AND(P634&lt;&gt;"",OR(NOT(ISNUMBER(P634)),N(P634)&lt;0))),"Coût invalide",IF(AND(M634&lt;&gt;"",ISNA(MATCH(M634,tech_name,0))),"Technicien inconnu",IF(AND(I634="Terminée",S634&gt;p_today),"Terminée à une date future",IF(AND(I634="Terminée",V634=0),"Durée d'intervention manquante",IF(AND(I634="Terminée",E634="Préventif",T634=0,OR(IFERROR(INDEX(pl_trig,MATCH(F634,pl_num,0))&amp;"","")="Compteur",IFERROR(INDEX(pl_trig,MATCH(F634,pl_num,0))&amp;"","")="Au premier des deux")),"Compteur manquant (plan au compteur)","OK"))))))))))))))))))</f>
        <v/>
      </c>
      <c r="S634" s="67">
        <f>IF(AND(ISNUMBER(B634),N(B634)&gt;0),INT(B634),0)</f>
        <v>0.0</v>
      </c>
      <c r="T634" s="67">
        <f>IF(AND(ISNUMBER(J634),N(J634)&gt;=0),N(J634),0)</f>
        <v>0.0</v>
      </c>
      <c r="U634" s="67">
        <f>IF(AND(ISNUMBER(K634),N(K634)&gt;0),N(K634),0)</f>
        <v>0.0</v>
      </c>
      <c r="V634" s="67">
        <f>IF(AND(ISNUMBER(L634),N(L634)&gt;0),N(L634),0)</f>
        <v>0.0</v>
      </c>
      <c r="W634" s="67">
        <f>IF(AND(I634="Terminée",S634&gt;0,C634&lt;&gt;"",ISNUMBER(MATCH(C634,eq_code,0))),1,0)</f>
        <v>0.0</v>
      </c>
      <c r="X634" s="67">
        <f>IF(AND(W634=1,E634="Préventif"),1,0)</f>
        <v>0.0</v>
      </c>
      <c r="Y634" s="67">
        <f>IF(AND(ISNUMBER(N634),N(N634)&gt;0),N(N634),0)</f>
        <v>0.0</v>
      </c>
      <c r="Z634" s="67">
        <f>IF(AND(ISNUMBER(P634),N(P634)&gt;0),N(P634),0)</f>
        <v>0.0</v>
      </c>
    </row>
    <row r="635">
      <c r="A635" s="79" t="str">
        <f>IF(COUNTA(B635:C635,E635:G635,I635)=0,"","BI-"&amp;RIGHT("0000"&amp;(ROW()-5),4))</f>
        <v/>
      </c>
      <c r="B635" s="72" t="n"/>
      <c r="C635" s="66" t="n"/>
      <c r="D635" s="67" t="str">
        <f>IF(C635="","",IFERROR(INDEX(eq_des,MATCH(C635,eq_code,0))&amp;"","Équipement inconnu"))</f>
        <v/>
      </c>
      <c r="E635" s="68" t="n"/>
      <c r="F635" s="68" t="n"/>
      <c r="G635" s="66" t="n"/>
      <c r="H635" s="66" t="n"/>
      <c r="I635" s="68" t="n"/>
      <c r="J635" s="73" t="n"/>
      <c r="K635" s="71" t="n"/>
      <c r="L635" s="71" t="n"/>
      <c r="M635" s="66" t="n"/>
      <c r="N635" s="80" t="n"/>
      <c r="O635" s="81" t="str">
        <f>IF(A635="","",ROUND(V635*IFERROR(N(INDEX(tech_rate,MATCH(M635,tech_name,0))),0),2))</f>
        <v/>
      </c>
      <c r="P635" s="80" t="n"/>
      <c r="Q635" s="81" t="str">
        <f>IF(A635="","",ROUND(Y635+O635+Z635,2))</f>
        <v/>
      </c>
      <c r="R635" s="79" t="str">
        <f>IF(A635="","",IF(S635=0,"Date manquante ou invalide",IF(C635="","Équipement manquant",IF(ISNA(MATCH(C635,eq_code,0)),"Équipement inconnu",IF(E635="","Type manquant",IF(AND(E635&lt;&gt;"Préventif",E635&lt;&gt;"Correctif",E635&lt;&gt;"Amélioratif"),"Type inconnu",IF(I635="","Statut manquant",IF(AND(I635&lt;&gt;"Terminée",I635&lt;&gt;"En cours",I635&lt;&gt;"À faire",I635&lt;&gt;"Annulée"),"Statut inconnu",IF(AND(E635="Préventif",F635=""),"Plan manquant (préventif)",IF(AND(F635&lt;&gt;"",ISNA(MATCH(F635,pl_num,0))),"Plan inconnu",IF(AND(F635&lt;&gt;"",IFERROR(INDEX(pl_eq,MATCH(F635,pl_num,0))&amp;"",C635)&lt;&gt;C635),"Plan d'un autre équipement",IF(AND(J635&lt;&gt;"",OR(NOT(ISNUMBER(J635)),N(J635)&lt;0)),"Compteur invalide",IF(OR(AND(K635&lt;&gt;"",OR(NOT(ISNUMBER(K635)),N(K635)&lt;0)),AND(L635&lt;&gt;"",OR(NOT(ISNUMBER(L635)),N(L635)&lt;0))),"Durée invalide",IF(OR(AND(N635&lt;&gt;"",OR(NOT(ISNUMBER(N635)),N(N635)&lt;0)),AND(P635&lt;&gt;"",OR(NOT(ISNUMBER(P635)),N(P635)&lt;0))),"Coût invalide",IF(AND(M635&lt;&gt;"",ISNA(MATCH(M635,tech_name,0))),"Technicien inconnu",IF(AND(I635="Terminée",S635&gt;p_today),"Terminée à une date future",IF(AND(I635="Terminée",V635=0),"Durée d'intervention manquante",IF(AND(I635="Terminée",E635="Préventif",T635=0,OR(IFERROR(INDEX(pl_trig,MATCH(F635,pl_num,0))&amp;"","")="Compteur",IFERROR(INDEX(pl_trig,MATCH(F635,pl_num,0))&amp;"","")="Au premier des deux")),"Compteur manquant (plan au compteur)","OK"))))))))))))))))))</f>
        <v/>
      </c>
      <c r="S635" s="67">
        <f>IF(AND(ISNUMBER(B635),N(B635)&gt;0),INT(B635),0)</f>
        <v>0.0</v>
      </c>
      <c r="T635" s="67">
        <f>IF(AND(ISNUMBER(J635),N(J635)&gt;=0),N(J635),0)</f>
        <v>0.0</v>
      </c>
      <c r="U635" s="67">
        <f>IF(AND(ISNUMBER(K635),N(K635)&gt;0),N(K635),0)</f>
        <v>0.0</v>
      </c>
      <c r="V635" s="67">
        <f>IF(AND(ISNUMBER(L635),N(L635)&gt;0),N(L635),0)</f>
        <v>0.0</v>
      </c>
      <c r="W635" s="67">
        <f>IF(AND(I635="Terminée",S635&gt;0,C635&lt;&gt;"",ISNUMBER(MATCH(C635,eq_code,0))),1,0)</f>
        <v>0.0</v>
      </c>
      <c r="X635" s="67">
        <f>IF(AND(W635=1,E635="Préventif"),1,0)</f>
        <v>0.0</v>
      </c>
      <c r="Y635" s="67">
        <f>IF(AND(ISNUMBER(N635),N(N635)&gt;0),N(N635),0)</f>
        <v>0.0</v>
      </c>
      <c r="Z635" s="67">
        <f>IF(AND(ISNUMBER(P635),N(P635)&gt;0),N(P635),0)</f>
        <v>0.0</v>
      </c>
    </row>
    <row r="636">
      <c r="A636" s="79" t="str">
        <f>IF(COUNTA(B636:C636,E636:G636,I636)=0,"","BI-"&amp;RIGHT("0000"&amp;(ROW()-5),4))</f>
        <v/>
      </c>
      <c r="B636" s="72" t="n"/>
      <c r="C636" s="66" t="n"/>
      <c r="D636" s="67" t="str">
        <f>IF(C636="","",IFERROR(INDEX(eq_des,MATCH(C636,eq_code,0))&amp;"","Équipement inconnu"))</f>
        <v/>
      </c>
      <c r="E636" s="68" t="n"/>
      <c r="F636" s="68" t="n"/>
      <c r="G636" s="66" t="n"/>
      <c r="H636" s="66" t="n"/>
      <c r="I636" s="68" t="n"/>
      <c r="J636" s="73" t="n"/>
      <c r="K636" s="71" t="n"/>
      <c r="L636" s="71" t="n"/>
      <c r="M636" s="66" t="n"/>
      <c r="N636" s="80" t="n"/>
      <c r="O636" s="81" t="str">
        <f>IF(A636="","",ROUND(V636*IFERROR(N(INDEX(tech_rate,MATCH(M636,tech_name,0))),0),2))</f>
        <v/>
      </c>
      <c r="P636" s="80" t="n"/>
      <c r="Q636" s="81" t="str">
        <f>IF(A636="","",ROUND(Y636+O636+Z636,2))</f>
        <v/>
      </c>
      <c r="R636" s="79" t="str">
        <f>IF(A636="","",IF(S636=0,"Date manquante ou invalide",IF(C636="","Équipement manquant",IF(ISNA(MATCH(C636,eq_code,0)),"Équipement inconnu",IF(E636="","Type manquant",IF(AND(E636&lt;&gt;"Préventif",E636&lt;&gt;"Correctif",E636&lt;&gt;"Amélioratif"),"Type inconnu",IF(I636="","Statut manquant",IF(AND(I636&lt;&gt;"Terminée",I636&lt;&gt;"En cours",I636&lt;&gt;"À faire",I636&lt;&gt;"Annulée"),"Statut inconnu",IF(AND(E636="Préventif",F636=""),"Plan manquant (préventif)",IF(AND(F636&lt;&gt;"",ISNA(MATCH(F636,pl_num,0))),"Plan inconnu",IF(AND(F636&lt;&gt;"",IFERROR(INDEX(pl_eq,MATCH(F636,pl_num,0))&amp;"",C636)&lt;&gt;C636),"Plan d'un autre équipement",IF(AND(J636&lt;&gt;"",OR(NOT(ISNUMBER(J636)),N(J636)&lt;0)),"Compteur invalide",IF(OR(AND(K636&lt;&gt;"",OR(NOT(ISNUMBER(K636)),N(K636)&lt;0)),AND(L636&lt;&gt;"",OR(NOT(ISNUMBER(L636)),N(L636)&lt;0))),"Durée invalide",IF(OR(AND(N636&lt;&gt;"",OR(NOT(ISNUMBER(N636)),N(N636)&lt;0)),AND(P636&lt;&gt;"",OR(NOT(ISNUMBER(P636)),N(P636)&lt;0))),"Coût invalide",IF(AND(M636&lt;&gt;"",ISNA(MATCH(M636,tech_name,0))),"Technicien inconnu",IF(AND(I636="Terminée",S636&gt;p_today),"Terminée à une date future",IF(AND(I636="Terminée",V636=0),"Durée d'intervention manquante",IF(AND(I636="Terminée",E636="Préventif",T636=0,OR(IFERROR(INDEX(pl_trig,MATCH(F636,pl_num,0))&amp;"","")="Compteur",IFERROR(INDEX(pl_trig,MATCH(F636,pl_num,0))&amp;"","")="Au premier des deux")),"Compteur manquant (plan au compteur)","OK"))))))))))))))))))</f>
        <v/>
      </c>
      <c r="S636" s="67">
        <f>IF(AND(ISNUMBER(B636),N(B636)&gt;0),INT(B636),0)</f>
        <v>0.0</v>
      </c>
      <c r="T636" s="67">
        <f>IF(AND(ISNUMBER(J636),N(J636)&gt;=0),N(J636),0)</f>
        <v>0.0</v>
      </c>
      <c r="U636" s="67">
        <f>IF(AND(ISNUMBER(K636),N(K636)&gt;0),N(K636),0)</f>
        <v>0.0</v>
      </c>
      <c r="V636" s="67">
        <f>IF(AND(ISNUMBER(L636),N(L636)&gt;0),N(L636),0)</f>
        <v>0.0</v>
      </c>
      <c r="W636" s="67">
        <f>IF(AND(I636="Terminée",S636&gt;0,C636&lt;&gt;"",ISNUMBER(MATCH(C636,eq_code,0))),1,0)</f>
        <v>0.0</v>
      </c>
      <c r="X636" s="67">
        <f>IF(AND(W636=1,E636="Préventif"),1,0)</f>
        <v>0.0</v>
      </c>
      <c r="Y636" s="67">
        <f>IF(AND(ISNUMBER(N636),N(N636)&gt;0),N(N636),0)</f>
        <v>0.0</v>
      </c>
      <c r="Z636" s="67">
        <f>IF(AND(ISNUMBER(P636),N(P636)&gt;0),N(P636),0)</f>
        <v>0.0</v>
      </c>
    </row>
    <row r="637">
      <c r="A637" s="79" t="str">
        <f>IF(COUNTA(B637:C637,E637:G637,I637)=0,"","BI-"&amp;RIGHT("0000"&amp;(ROW()-5),4))</f>
        <v/>
      </c>
      <c r="B637" s="72" t="n"/>
      <c r="C637" s="66" t="n"/>
      <c r="D637" s="67" t="str">
        <f>IF(C637="","",IFERROR(INDEX(eq_des,MATCH(C637,eq_code,0))&amp;"","Équipement inconnu"))</f>
        <v/>
      </c>
      <c r="E637" s="68" t="n"/>
      <c r="F637" s="68" t="n"/>
      <c r="G637" s="66" t="n"/>
      <c r="H637" s="66" t="n"/>
      <c r="I637" s="68" t="n"/>
      <c r="J637" s="73" t="n"/>
      <c r="K637" s="71" t="n"/>
      <c r="L637" s="71" t="n"/>
      <c r="M637" s="66" t="n"/>
      <c r="N637" s="80" t="n"/>
      <c r="O637" s="81" t="str">
        <f>IF(A637="","",ROUND(V637*IFERROR(N(INDEX(tech_rate,MATCH(M637,tech_name,0))),0),2))</f>
        <v/>
      </c>
      <c r="P637" s="80" t="n"/>
      <c r="Q637" s="81" t="str">
        <f>IF(A637="","",ROUND(Y637+O637+Z637,2))</f>
        <v/>
      </c>
      <c r="R637" s="79" t="str">
        <f>IF(A637="","",IF(S637=0,"Date manquante ou invalide",IF(C637="","Équipement manquant",IF(ISNA(MATCH(C637,eq_code,0)),"Équipement inconnu",IF(E637="","Type manquant",IF(AND(E637&lt;&gt;"Préventif",E637&lt;&gt;"Correctif",E637&lt;&gt;"Amélioratif"),"Type inconnu",IF(I637="","Statut manquant",IF(AND(I637&lt;&gt;"Terminée",I637&lt;&gt;"En cours",I637&lt;&gt;"À faire",I637&lt;&gt;"Annulée"),"Statut inconnu",IF(AND(E637="Préventif",F637=""),"Plan manquant (préventif)",IF(AND(F637&lt;&gt;"",ISNA(MATCH(F637,pl_num,0))),"Plan inconnu",IF(AND(F637&lt;&gt;"",IFERROR(INDEX(pl_eq,MATCH(F637,pl_num,0))&amp;"",C637)&lt;&gt;C637),"Plan d'un autre équipement",IF(AND(J637&lt;&gt;"",OR(NOT(ISNUMBER(J637)),N(J637)&lt;0)),"Compteur invalide",IF(OR(AND(K637&lt;&gt;"",OR(NOT(ISNUMBER(K637)),N(K637)&lt;0)),AND(L637&lt;&gt;"",OR(NOT(ISNUMBER(L637)),N(L637)&lt;0))),"Durée invalide",IF(OR(AND(N637&lt;&gt;"",OR(NOT(ISNUMBER(N637)),N(N637)&lt;0)),AND(P637&lt;&gt;"",OR(NOT(ISNUMBER(P637)),N(P637)&lt;0))),"Coût invalide",IF(AND(M637&lt;&gt;"",ISNA(MATCH(M637,tech_name,0))),"Technicien inconnu",IF(AND(I637="Terminée",S637&gt;p_today),"Terminée à une date future",IF(AND(I637="Terminée",V637=0),"Durée d'intervention manquante",IF(AND(I637="Terminée",E637="Préventif",T637=0,OR(IFERROR(INDEX(pl_trig,MATCH(F637,pl_num,0))&amp;"","")="Compteur",IFERROR(INDEX(pl_trig,MATCH(F637,pl_num,0))&amp;"","")="Au premier des deux")),"Compteur manquant (plan au compteur)","OK"))))))))))))))))))</f>
        <v/>
      </c>
      <c r="S637" s="67">
        <f>IF(AND(ISNUMBER(B637),N(B637)&gt;0),INT(B637),0)</f>
        <v>0.0</v>
      </c>
      <c r="T637" s="67">
        <f>IF(AND(ISNUMBER(J637),N(J637)&gt;=0),N(J637),0)</f>
        <v>0.0</v>
      </c>
      <c r="U637" s="67">
        <f>IF(AND(ISNUMBER(K637),N(K637)&gt;0),N(K637),0)</f>
        <v>0.0</v>
      </c>
      <c r="V637" s="67">
        <f>IF(AND(ISNUMBER(L637),N(L637)&gt;0),N(L637),0)</f>
        <v>0.0</v>
      </c>
      <c r="W637" s="67">
        <f>IF(AND(I637="Terminée",S637&gt;0,C637&lt;&gt;"",ISNUMBER(MATCH(C637,eq_code,0))),1,0)</f>
        <v>0.0</v>
      </c>
      <c r="X637" s="67">
        <f>IF(AND(W637=1,E637="Préventif"),1,0)</f>
        <v>0.0</v>
      </c>
      <c r="Y637" s="67">
        <f>IF(AND(ISNUMBER(N637),N(N637)&gt;0),N(N637),0)</f>
        <v>0.0</v>
      </c>
      <c r="Z637" s="67">
        <f>IF(AND(ISNUMBER(P637),N(P637)&gt;0),N(P637),0)</f>
        <v>0.0</v>
      </c>
    </row>
    <row r="638">
      <c r="A638" s="79" t="str">
        <f>IF(COUNTA(B638:C638,E638:G638,I638)=0,"","BI-"&amp;RIGHT("0000"&amp;(ROW()-5),4))</f>
        <v/>
      </c>
      <c r="B638" s="72" t="n"/>
      <c r="C638" s="66" t="n"/>
      <c r="D638" s="67" t="str">
        <f>IF(C638="","",IFERROR(INDEX(eq_des,MATCH(C638,eq_code,0))&amp;"","Équipement inconnu"))</f>
        <v/>
      </c>
      <c r="E638" s="68" t="n"/>
      <c r="F638" s="68" t="n"/>
      <c r="G638" s="66" t="n"/>
      <c r="H638" s="66" t="n"/>
      <c r="I638" s="68" t="n"/>
      <c r="J638" s="73" t="n"/>
      <c r="K638" s="71" t="n"/>
      <c r="L638" s="71" t="n"/>
      <c r="M638" s="66" t="n"/>
      <c r="N638" s="80" t="n"/>
      <c r="O638" s="81" t="str">
        <f>IF(A638="","",ROUND(V638*IFERROR(N(INDEX(tech_rate,MATCH(M638,tech_name,0))),0),2))</f>
        <v/>
      </c>
      <c r="P638" s="80" t="n"/>
      <c r="Q638" s="81" t="str">
        <f>IF(A638="","",ROUND(Y638+O638+Z638,2))</f>
        <v/>
      </c>
      <c r="R638" s="79" t="str">
        <f>IF(A638="","",IF(S638=0,"Date manquante ou invalide",IF(C638="","Équipement manquant",IF(ISNA(MATCH(C638,eq_code,0)),"Équipement inconnu",IF(E638="","Type manquant",IF(AND(E638&lt;&gt;"Préventif",E638&lt;&gt;"Correctif",E638&lt;&gt;"Amélioratif"),"Type inconnu",IF(I638="","Statut manquant",IF(AND(I638&lt;&gt;"Terminée",I638&lt;&gt;"En cours",I638&lt;&gt;"À faire",I638&lt;&gt;"Annulée"),"Statut inconnu",IF(AND(E638="Préventif",F638=""),"Plan manquant (préventif)",IF(AND(F638&lt;&gt;"",ISNA(MATCH(F638,pl_num,0))),"Plan inconnu",IF(AND(F638&lt;&gt;"",IFERROR(INDEX(pl_eq,MATCH(F638,pl_num,0))&amp;"",C638)&lt;&gt;C638),"Plan d'un autre équipement",IF(AND(J638&lt;&gt;"",OR(NOT(ISNUMBER(J638)),N(J638)&lt;0)),"Compteur invalide",IF(OR(AND(K638&lt;&gt;"",OR(NOT(ISNUMBER(K638)),N(K638)&lt;0)),AND(L638&lt;&gt;"",OR(NOT(ISNUMBER(L638)),N(L638)&lt;0))),"Durée invalide",IF(OR(AND(N638&lt;&gt;"",OR(NOT(ISNUMBER(N638)),N(N638)&lt;0)),AND(P638&lt;&gt;"",OR(NOT(ISNUMBER(P638)),N(P638)&lt;0))),"Coût invalide",IF(AND(M638&lt;&gt;"",ISNA(MATCH(M638,tech_name,0))),"Technicien inconnu",IF(AND(I638="Terminée",S638&gt;p_today),"Terminée à une date future",IF(AND(I638="Terminée",V638=0),"Durée d'intervention manquante",IF(AND(I638="Terminée",E638="Préventif",T638=0,OR(IFERROR(INDEX(pl_trig,MATCH(F638,pl_num,0))&amp;"","")="Compteur",IFERROR(INDEX(pl_trig,MATCH(F638,pl_num,0))&amp;"","")="Au premier des deux")),"Compteur manquant (plan au compteur)","OK"))))))))))))))))))</f>
        <v/>
      </c>
      <c r="S638" s="67">
        <f>IF(AND(ISNUMBER(B638),N(B638)&gt;0),INT(B638),0)</f>
        <v>0.0</v>
      </c>
      <c r="T638" s="67">
        <f>IF(AND(ISNUMBER(J638),N(J638)&gt;=0),N(J638),0)</f>
        <v>0.0</v>
      </c>
      <c r="U638" s="67">
        <f>IF(AND(ISNUMBER(K638),N(K638)&gt;0),N(K638),0)</f>
        <v>0.0</v>
      </c>
      <c r="V638" s="67">
        <f>IF(AND(ISNUMBER(L638),N(L638)&gt;0),N(L638),0)</f>
        <v>0.0</v>
      </c>
      <c r="W638" s="67">
        <f>IF(AND(I638="Terminée",S638&gt;0,C638&lt;&gt;"",ISNUMBER(MATCH(C638,eq_code,0))),1,0)</f>
        <v>0.0</v>
      </c>
      <c r="X638" s="67">
        <f>IF(AND(W638=1,E638="Préventif"),1,0)</f>
        <v>0.0</v>
      </c>
      <c r="Y638" s="67">
        <f>IF(AND(ISNUMBER(N638),N(N638)&gt;0),N(N638),0)</f>
        <v>0.0</v>
      </c>
      <c r="Z638" s="67">
        <f>IF(AND(ISNUMBER(P638),N(P638)&gt;0),N(P638),0)</f>
        <v>0.0</v>
      </c>
    </row>
    <row r="639">
      <c r="A639" s="79" t="str">
        <f>IF(COUNTA(B639:C639,E639:G639,I639)=0,"","BI-"&amp;RIGHT("0000"&amp;(ROW()-5),4))</f>
        <v/>
      </c>
      <c r="B639" s="72" t="n"/>
      <c r="C639" s="66" t="n"/>
      <c r="D639" s="67" t="str">
        <f>IF(C639="","",IFERROR(INDEX(eq_des,MATCH(C639,eq_code,0))&amp;"","Équipement inconnu"))</f>
        <v/>
      </c>
      <c r="E639" s="68" t="n"/>
      <c r="F639" s="68" t="n"/>
      <c r="G639" s="66" t="n"/>
      <c r="H639" s="66" t="n"/>
      <c r="I639" s="68" t="n"/>
      <c r="J639" s="73" t="n"/>
      <c r="K639" s="71" t="n"/>
      <c r="L639" s="71" t="n"/>
      <c r="M639" s="66" t="n"/>
      <c r="N639" s="80" t="n"/>
      <c r="O639" s="81" t="str">
        <f>IF(A639="","",ROUND(V639*IFERROR(N(INDEX(tech_rate,MATCH(M639,tech_name,0))),0),2))</f>
        <v/>
      </c>
      <c r="P639" s="80" t="n"/>
      <c r="Q639" s="81" t="str">
        <f>IF(A639="","",ROUND(Y639+O639+Z639,2))</f>
        <v/>
      </c>
      <c r="R639" s="79" t="str">
        <f>IF(A639="","",IF(S639=0,"Date manquante ou invalide",IF(C639="","Équipement manquant",IF(ISNA(MATCH(C639,eq_code,0)),"Équipement inconnu",IF(E639="","Type manquant",IF(AND(E639&lt;&gt;"Préventif",E639&lt;&gt;"Correctif",E639&lt;&gt;"Amélioratif"),"Type inconnu",IF(I639="","Statut manquant",IF(AND(I639&lt;&gt;"Terminée",I639&lt;&gt;"En cours",I639&lt;&gt;"À faire",I639&lt;&gt;"Annulée"),"Statut inconnu",IF(AND(E639="Préventif",F639=""),"Plan manquant (préventif)",IF(AND(F639&lt;&gt;"",ISNA(MATCH(F639,pl_num,0))),"Plan inconnu",IF(AND(F639&lt;&gt;"",IFERROR(INDEX(pl_eq,MATCH(F639,pl_num,0))&amp;"",C639)&lt;&gt;C639),"Plan d'un autre équipement",IF(AND(J639&lt;&gt;"",OR(NOT(ISNUMBER(J639)),N(J639)&lt;0)),"Compteur invalide",IF(OR(AND(K639&lt;&gt;"",OR(NOT(ISNUMBER(K639)),N(K639)&lt;0)),AND(L639&lt;&gt;"",OR(NOT(ISNUMBER(L639)),N(L639)&lt;0))),"Durée invalide",IF(OR(AND(N639&lt;&gt;"",OR(NOT(ISNUMBER(N639)),N(N639)&lt;0)),AND(P639&lt;&gt;"",OR(NOT(ISNUMBER(P639)),N(P639)&lt;0))),"Coût invalide",IF(AND(M639&lt;&gt;"",ISNA(MATCH(M639,tech_name,0))),"Technicien inconnu",IF(AND(I639="Terminée",S639&gt;p_today),"Terminée à une date future",IF(AND(I639="Terminée",V639=0),"Durée d'intervention manquante",IF(AND(I639="Terminée",E639="Préventif",T639=0,OR(IFERROR(INDEX(pl_trig,MATCH(F639,pl_num,0))&amp;"","")="Compteur",IFERROR(INDEX(pl_trig,MATCH(F639,pl_num,0))&amp;"","")="Au premier des deux")),"Compteur manquant (plan au compteur)","OK"))))))))))))))))))</f>
        <v/>
      </c>
      <c r="S639" s="67">
        <f>IF(AND(ISNUMBER(B639),N(B639)&gt;0),INT(B639),0)</f>
        <v>0.0</v>
      </c>
      <c r="T639" s="67">
        <f>IF(AND(ISNUMBER(J639),N(J639)&gt;=0),N(J639),0)</f>
        <v>0.0</v>
      </c>
      <c r="U639" s="67">
        <f>IF(AND(ISNUMBER(K639),N(K639)&gt;0),N(K639),0)</f>
        <v>0.0</v>
      </c>
      <c r="V639" s="67">
        <f>IF(AND(ISNUMBER(L639),N(L639)&gt;0),N(L639),0)</f>
        <v>0.0</v>
      </c>
      <c r="W639" s="67">
        <f>IF(AND(I639="Terminée",S639&gt;0,C639&lt;&gt;"",ISNUMBER(MATCH(C639,eq_code,0))),1,0)</f>
        <v>0.0</v>
      </c>
      <c r="X639" s="67">
        <f>IF(AND(W639=1,E639="Préventif"),1,0)</f>
        <v>0.0</v>
      </c>
      <c r="Y639" s="67">
        <f>IF(AND(ISNUMBER(N639),N(N639)&gt;0),N(N639),0)</f>
        <v>0.0</v>
      </c>
      <c r="Z639" s="67">
        <f>IF(AND(ISNUMBER(P639),N(P639)&gt;0),N(P639),0)</f>
        <v>0.0</v>
      </c>
    </row>
    <row r="640">
      <c r="A640" s="79" t="str">
        <f>IF(COUNTA(B640:C640,E640:G640,I640)=0,"","BI-"&amp;RIGHT("0000"&amp;(ROW()-5),4))</f>
        <v/>
      </c>
      <c r="B640" s="72" t="n"/>
      <c r="C640" s="66" t="n"/>
      <c r="D640" s="67" t="str">
        <f>IF(C640="","",IFERROR(INDEX(eq_des,MATCH(C640,eq_code,0))&amp;"","Équipement inconnu"))</f>
        <v/>
      </c>
      <c r="E640" s="68" t="n"/>
      <c r="F640" s="68" t="n"/>
      <c r="G640" s="66" t="n"/>
      <c r="H640" s="66" t="n"/>
      <c r="I640" s="68" t="n"/>
      <c r="J640" s="73" t="n"/>
      <c r="K640" s="71" t="n"/>
      <c r="L640" s="71" t="n"/>
      <c r="M640" s="66" t="n"/>
      <c r="N640" s="80" t="n"/>
      <c r="O640" s="81" t="str">
        <f>IF(A640="","",ROUND(V640*IFERROR(N(INDEX(tech_rate,MATCH(M640,tech_name,0))),0),2))</f>
        <v/>
      </c>
      <c r="P640" s="80" t="n"/>
      <c r="Q640" s="81" t="str">
        <f>IF(A640="","",ROUND(Y640+O640+Z640,2))</f>
        <v/>
      </c>
      <c r="R640" s="79" t="str">
        <f>IF(A640="","",IF(S640=0,"Date manquante ou invalide",IF(C640="","Équipement manquant",IF(ISNA(MATCH(C640,eq_code,0)),"Équipement inconnu",IF(E640="","Type manquant",IF(AND(E640&lt;&gt;"Préventif",E640&lt;&gt;"Correctif",E640&lt;&gt;"Amélioratif"),"Type inconnu",IF(I640="","Statut manquant",IF(AND(I640&lt;&gt;"Terminée",I640&lt;&gt;"En cours",I640&lt;&gt;"À faire",I640&lt;&gt;"Annulée"),"Statut inconnu",IF(AND(E640="Préventif",F640=""),"Plan manquant (préventif)",IF(AND(F640&lt;&gt;"",ISNA(MATCH(F640,pl_num,0))),"Plan inconnu",IF(AND(F640&lt;&gt;"",IFERROR(INDEX(pl_eq,MATCH(F640,pl_num,0))&amp;"",C640)&lt;&gt;C640),"Plan d'un autre équipement",IF(AND(J640&lt;&gt;"",OR(NOT(ISNUMBER(J640)),N(J640)&lt;0)),"Compteur invalide",IF(OR(AND(K640&lt;&gt;"",OR(NOT(ISNUMBER(K640)),N(K640)&lt;0)),AND(L640&lt;&gt;"",OR(NOT(ISNUMBER(L640)),N(L640)&lt;0))),"Durée invalide",IF(OR(AND(N640&lt;&gt;"",OR(NOT(ISNUMBER(N640)),N(N640)&lt;0)),AND(P640&lt;&gt;"",OR(NOT(ISNUMBER(P640)),N(P640)&lt;0))),"Coût invalide",IF(AND(M640&lt;&gt;"",ISNA(MATCH(M640,tech_name,0))),"Technicien inconnu",IF(AND(I640="Terminée",S640&gt;p_today),"Terminée à une date future",IF(AND(I640="Terminée",V640=0),"Durée d'intervention manquante",IF(AND(I640="Terminée",E640="Préventif",T640=0,OR(IFERROR(INDEX(pl_trig,MATCH(F640,pl_num,0))&amp;"","")="Compteur",IFERROR(INDEX(pl_trig,MATCH(F640,pl_num,0))&amp;"","")="Au premier des deux")),"Compteur manquant (plan au compteur)","OK"))))))))))))))))))</f>
        <v/>
      </c>
      <c r="S640" s="67">
        <f>IF(AND(ISNUMBER(B640),N(B640)&gt;0),INT(B640),0)</f>
        <v>0.0</v>
      </c>
      <c r="T640" s="67">
        <f>IF(AND(ISNUMBER(J640),N(J640)&gt;=0),N(J640),0)</f>
        <v>0.0</v>
      </c>
      <c r="U640" s="67">
        <f>IF(AND(ISNUMBER(K640),N(K640)&gt;0),N(K640),0)</f>
        <v>0.0</v>
      </c>
      <c r="V640" s="67">
        <f>IF(AND(ISNUMBER(L640),N(L640)&gt;0),N(L640),0)</f>
        <v>0.0</v>
      </c>
      <c r="W640" s="67">
        <f>IF(AND(I640="Terminée",S640&gt;0,C640&lt;&gt;"",ISNUMBER(MATCH(C640,eq_code,0))),1,0)</f>
        <v>0.0</v>
      </c>
      <c r="X640" s="67">
        <f>IF(AND(W640=1,E640="Préventif"),1,0)</f>
        <v>0.0</v>
      </c>
      <c r="Y640" s="67">
        <f>IF(AND(ISNUMBER(N640),N(N640)&gt;0),N(N640),0)</f>
        <v>0.0</v>
      </c>
      <c r="Z640" s="67">
        <f>IF(AND(ISNUMBER(P640),N(P640)&gt;0),N(P640),0)</f>
        <v>0.0</v>
      </c>
    </row>
    <row r="641">
      <c r="A641" s="79" t="str">
        <f>IF(COUNTA(B641:C641,E641:G641,I641)=0,"","BI-"&amp;RIGHT("0000"&amp;(ROW()-5),4))</f>
        <v/>
      </c>
      <c r="B641" s="72" t="n"/>
      <c r="C641" s="66" t="n"/>
      <c r="D641" s="67" t="str">
        <f>IF(C641="","",IFERROR(INDEX(eq_des,MATCH(C641,eq_code,0))&amp;"","Équipement inconnu"))</f>
        <v/>
      </c>
      <c r="E641" s="68" t="n"/>
      <c r="F641" s="68" t="n"/>
      <c r="G641" s="66" t="n"/>
      <c r="H641" s="66" t="n"/>
      <c r="I641" s="68" t="n"/>
      <c r="J641" s="73" t="n"/>
      <c r="K641" s="71" t="n"/>
      <c r="L641" s="71" t="n"/>
      <c r="M641" s="66" t="n"/>
      <c r="N641" s="80" t="n"/>
      <c r="O641" s="81" t="str">
        <f>IF(A641="","",ROUND(V641*IFERROR(N(INDEX(tech_rate,MATCH(M641,tech_name,0))),0),2))</f>
        <v/>
      </c>
      <c r="P641" s="80" t="n"/>
      <c r="Q641" s="81" t="str">
        <f>IF(A641="","",ROUND(Y641+O641+Z641,2))</f>
        <v/>
      </c>
      <c r="R641" s="79" t="str">
        <f>IF(A641="","",IF(S641=0,"Date manquante ou invalide",IF(C641="","Équipement manquant",IF(ISNA(MATCH(C641,eq_code,0)),"Équipement inconnu",IF(E641="","Type manquant",IF(AND(E641&lt;&gt;"Préventif",E641&lt;&gt;"Correctif",E641&lt;&gt;"Amélioratif"),"Type inconnu",IF(I641="","Statut manquant",IF(AND(I641&lt;&gt;"Terminée",I641&lt;&gt;"En cours",I641&lt;&gt;"À faire",I641&lt;&gt;"Annulée"),"Statut inconnu",IF(AND(E641="Préventif",F641=""),"Plan manquant (préventif)",IF(AND(F641&lt;&gt;"",ISNA(MATCH(F641,pl_num,0))),"Plan inconnu",IF(AND(F641&lt;&gt;"",IFERROR(INDEX(pl_eq,MATCH(F641,pl_num,0))&amp;"",C641)&lt;&gt;C641),"Plan d'un autre équipement",IF(AND(J641&lt;&gt;"",OR(NOT(ISNUMBER(J641)),N(J641)&lt;0)),"Compteur invalide",IF(OR(AND(K641&lt;&gt;"",OR(NOT(ISNUMBER(K641)),N(K641)&lt;0)),AND(L641&lt;&gt;"",OR(NOT(ISNUMBER(L641)),N(L641)&lt;0))),"Durée invalide",IF(OR(AND(N641&lt;&gt;"",OR(NOT(ISNUMBER(N641)),N(N641)&lt;0)),AND(P641&lt;&gt;"",OR(NOT(ISNUMBER(P641)),N(P641)&lt;0))),"Coût invalide",IF(AND(M641&lt;&gt;"",ISNA(MATCH(M641,tech_name,0))),"Technicien inconnu",IF(AND(I641="Terminée",S641&gt;p_today),"Terminée à une date future",IF(AND(I641="Terminée",V641=0),"Durée d'intervention manquante",IF(AND(I641="Terminée",E641="Préventif",T641=0,OR(IFERROR(INDEX(pl_trig,MATCH(F641,pl_num,0))&amp;"","")="Compteur",IFERROR(INDEX(pl_trig,MATCH(F641,pl_num,0))&amp;"","")="Au premier des deux")),"Compteur manquant (plan au compteur)","OK"))))))))))))))))))</f>
        <v/>
      </c>
      <c r="S641" s="67">
        <f>IF(AND(ISNUMBER(B641),N(B641)&gt;0),INT(B641),0)</f>
        <v>0.0</v>
      </c>
      <c r="T641" s="67">
        <f>IF(AND(ISNUMBER(J641),N(J641)&gt;=0),N(J641),0)</f>
        <v>0.0</v>
      </c>
      <c r="U641" s="67">
        <f>IF(AND(ISNUMBER(K641),N(K641)&gt;0),N(K641),0)</f>
        <v>0.0</v>
      </c>
      <c r="V641" s="67">
        <f>IF(AND(ISNUMBER(L641),N(L641)&gt;0),N(L641),0)</f>
        <v>0.0</v>
      </c>
      <c r="W641" s="67">
        <f>IF(AND(I641="Terminée",S641&gt;0,C641&lt;&gt;"",ISNUMBER(MATCH(C641,eq_code,0))),1,0)</f>
        <v>0.0</v>
      </c>
      <c r="X641" s="67">
        <f>IF(AND(W641=1,E641="Préventif"),1,0)</f>
        <v>0.0</v>
      </c>
      <c r="Y641" s="67">
        <f>IF(AND(ISNUMBER(N641),N(N641)&gt;0),N(N641),0)</f>
        <v>0.0</v>
      </c>
      <c r="Z641" s="67">
        <f>IF(AND(ISNUMBER(P641),N(P641)&gt;0),N(P641),0)</f>
        <v>0.0</v>
      </c>
    </row>
    <row r="642">
      <c r="A642" s="79" t="str">
        <f>IF(COUNTA(B642:C642,E642:G642,I642)=0,"","BI-"&amp;RIGHT("0000"&amp;(ROW()-5),4))</f>
        <v/>
      </c>
      <c r="B642" s="72" t="n"/>
      <c r="C642" s="66" t="n"/>
      <c r="D642" s="67" t="str">
        <f>IF(C642="","",IFERROR(INDEX(eq_des,MATCH(C642,eq_code,0))&amp;"","Équipement inconnu"))</f>
        <v/>
      </c>
      <c r="E642" s="68" t="n"/>
      <c r="F642" s="68" t="n"/>
      <c r="G642" s="66" t="n"/>
      <c r="H642" s="66" t="n"/>
      <c r="I642" s="68" t="n"/>
      <c r="J642" s="73" t="n"/>
      <c r="K642" s="71" t="n"/>
      <c r="L642" s="71" t="n"/>
      <c r="M642" s="66" t="n"/>
      <c r="N642" s="80" t="n"/>
      <c r="O642" s="81" t="str">
        <f>IF(A642="","",ROUND(V642*IFERROR(N(INDEX(tech_rate,MATCH(M642,tech_name,0))),0),2))</f>
        <v/>
      </c>
      <c r="P642" s="80" t="n"/>
      <c r="Q642" s="81" t="str">
        <f>IF(A642="","",ROUND(Y642+O642+Z642,2))</f>
        <v/>
      </c>
      <c r="R642" s="79" t="str">
        <f>IF(A642="","",IF(S642=0,"Date manquante ou invalide",IF(C642="","Équipement manquant",IF(ISNA(MATCH(C642,eq_code,0)),"Équipement inconnu",IF(E642="","Type manquant",IF(AND(E642&lt;&gt;"Préventif",E642&lt;&gt;"Correctif",E642&lt;&gt;"Amélioratif"),"Type inconnu",IF(I642="","Statut manquant",IF(AND(I642&lt;&gt;"Terminée",I642&lt;&gt;"En cours",I642&lt;&gt;"À faire",I642&lt;&gt;"Annulée"),"Statut inconnu",IF(AND(E642="Préventif",F642=""),"Plan manquant (préventif)",IF(AND(F642&lt;&gt;"",ISNA(MATCH(F642,pl_num,0))),"Plan inconnu",IF(AND(F642&lt;&gt;"",IFERROR(INDEX(pl_eq,MATCH(F642,pl_num,0))&amp;"",C642)&lt;&gt;C642),"Plan d'un autre équipement",IF(AND(J642&lt;&gt;"",OR(NOT(ISNUMBER(J642)),N(J642)&lt;0)),"Compteur invalide",IF(OR(AND(K642&lt;&gt;"",OR(NOT(ISNUMBER(K642)),N(K642)&lt;0)),AND(L642&lt;&gt;"",OR(NOT(ISNUMBER(L642)),N(L642)&lt;0))),"Durée invalide",IF(OR(AND(N642&lt;&gt;"",OR(NOT(ISNUMBER(N642)),N(N642)&lt;0)),AND(P642&lt;&gt;"",OR(NOT(ISNUMBER(P642)),N(P642)&lt;0))),"Coût invalide",IF(AND(M642&lt;&gt;"",ISNA(MATCH(M642,tech_name,0))),"Technicien inconnu",IF(AND(I642="Terminée",S642&gt;p_today),"Terminée à une date future",IF(AND(I642="Terminée",V642=0),"Durée d'intervention manquante",IF(AND(I642="Terminée",E642="Préventif",T642=0,OR(IFERROR(INDEX(pl_trig,MATCH(F642,pl_num,0))&amp;"","")="Compteur",IFERROR(INDEX(pl_trig,MATCH(F642,pl_num,0))&amp;"","")="Au premier des deux")),"Compteur manquant (plan au compteur)","OK"))))))))))))))))))</f>
        <v/>
      </c>
      <c r="S642" s="67">
        <f>IF(AND(ISNUMBER(B642),N(B642)&gt;0),INT(B642),0)</f>
        <v>0.0</v>
      </c>
      <c r="T642" s="67">
        <f>IF(AND(ISNUMBER(J642),N(J642)&gt;=0),N(J642),0)</f>
        <v>0.0</v>
      </c>
      <c r="U642" s="67">
        <f>IF(AND(ISNUMBER(K642),N(K642)&gt;0),N(K642),0)</f>
        <v>0.0</v>
      </c>
      <c r="V642" s="67">
        <f>IF(AND(ISNUMBER(L642),N(L642)&gt;0),N(L642),0)</f>
        <v>0.0</v>
      </c>
      <c r="W642" s="67">
        <f>IF(AND(I642="Terminée",S642&gt;0,C642&lt;&gt;"",ISNUMBER(MATCH(C642,eq_code,0))),1,0)</f>
        <v>0.0</v>
      </c>
      <c r="X642" s="67">
        <f>IF(AND(W642=1,E642="Préventif"),1,0)</f>
        <v>0.0</v>
      </c>
      <c r="Y642" s="67">
        <f>IF(AND(ISNUMBER(N642),N(N642)&gt;0),N(N642),0)</f>
        <v>0.0</v>
      </c>
      <c r="Z642" s="67">
        <f>IF(AND(ISNUMBER(P642),N(P642)&gt;0),N(P642),0)</f>
        <v>0.0</v>
      </c>
    </row>
    <row r="643">
      <c r="A643" s="79" t="str">
        <f>IF(COUNTA(B643:C643,E643:G643,I643)=0,"","BI-"&amp;RIGHT("0000"&amp;(ROW()-5),4))</f>
        <v/>
      </c>
      <c r="B643" s="72" t="n"/>
      <c r="C643" s="66" t="n"/>
      <c r="D643" s="67" t="str">
        <f>IF(C643="","",IFERROR(INDEX(eq_des,MATCH(C643,eq_code,0))&amp;"","Équipement inconnu"))</f>
        <v/>
      </c>
      <c r="E643" s="68" t="n"/>
      <c r="F643" s="68" t="n"/>
      <c r="G643" s="66" t="n"/>
      <c r="H643" s="66" t="n"/>
      <c r="I643" s="68" t="n"/>
      <c r="J643" s="73" t="n"/>
      <c r="K643" s="71" t="n"/>
      <c r="L643" s="71" t="n"/>
      <c r="M643" s="66" t="n"/>
      <c r="N643" s="80" t="n"/>
      <c r="O643" s="81" t="str">
        <f>IF(A643="","",ROUND(V643*IFERROR(N(INDEX(tech_rate,MATCH(M643,tech_name,0))),0),2))</f>
        <v/>
      </c>
      <c r="P643" s="80" t="n"/>
      <c r="Q643" s="81" t="str">
        <f>IF(A643="","",ROUND(Y643+O643+Z643,2))</f>
        <v/>
      </c>
      <c r="R643" s="79" t="str">
        <f>IF(A643="","",IF(S643=0,"Date manquante ou invalide",IF(C643="","Équipement manquant",IF(ISNA(MATCH(C643,eq_code,0)),"Équipement inconnu",IF(E643="","Type manquant",IF(AND(E643&lt;&gt;"Préventif",E643&lt;&gt;"Correctif",E643&lt;&gt;"Amélioratif"),"Type inconnu",IF(I643="","Statut manquant",IF(AND(I643&lt;&gt;"Terminée",I643&lt;&gt;"En cours",I643&lt;&gt;"À faire",I643&lt;&gt;"Annulée"),"Statut inconnu",IF(AND(E643="Préventif",F643=""),"Plan manquant (préventif)",IF(AND(F643&lt;&gt;"",ISNA(MATCH(F643,pl_num,0))),"Plan inconnu",IF(AND(F643&lt;&gt;"",IFERROR(INDEX(pl_eq,MATCH(F643,pl_num,0))&amp;"",C643)&lt;&gt;C643),"Plan d'un autre équipement",IF(AND(J643&lt;&gt;"",OR(NOT(ISNUMBER(J643)),N(J643)&lt;0)),"Compteur invalide",IF(OR(AND(K643&lt;&gt;"",OR(NOT(ISNUMBER(K643)),N(K643)&lt;0)),AND(L643&lt;&gt;"",OR(NOT(ISNUMBER(L643)),N(L643)&lt;0))),"Durée invalide",IF(OR(AND(N643&lt;&gt;"",OR(NOT(ISNUMBER(N643)),N(N643)&lt;0)),AND(P643&lt;&gt;"",OR(NOT(ISNUMBER(P643)),N(P643)&lt;0))),"Coût invalide",IF(AND(M643&lt;&gt;"",ISNA(MATCH(M643,tech_name,0))),"Technicien inconnu",IF(AND(I643="Terminée",S643&gt;p_today),"Terminée à une date future",IF(AND(I643="Terminée",V643=0),"Durée d'intervention manquante",IF(AND(I643="Terminée",E643="Préventif",T643=0,OR(IFERROR(INDEX(pl_trig,MATCH(F643,pl_num,0))&amp;"","")="Compteur",IFERROR(INDEX(pl_trig,MATCH(F643,pl_num,0))&amp;"","")="Au premier des deux")),"Compteur manquant (plan au compteur)","OK"))))))))))))))))))</f>
        <v/>
      </c>
      <c r="S643" s="67">
        <f>IF(AND(ISNUMBER(B643),N(B643)&gt;0),INT(B643),0)</f>
        <v>0.0</v>
      </c>
      <c r="T643" s="67">
        <f>IF(AND(ISNUMBER(J643),N(J643)&gt;=0),N(J643),0)</f>
        <v>0.0</v>
      </c>
      <c r="U643" s="67">
        <f>IF(AND(ISNUMBER(K643),N(K643)&gt;0),N(K643),0)</f>
        <v>0.0</v>
      </c>
      <c r="V643" s="67">
        <f>IF(AND(ISNUMBER(L643),N(L643)&gt;0),N(L643),0)</f>
        <v>0.0</v>
      </c>
      <c r="W643" s="67">
        <f>IF(AND(I643="Terminée",S643&gt;0,C643&lt;&gt;"",ISNUMBER(MATCH(C643,eq_code,0))),1,0)</f>
        <v>0.0</v>
      </c>
      <c r="X643" s="67">
        <f>IF(AND(W643=1,E643="Préventif"),1,0)</f>
        <v>0.0</v>
      </c>
      <c r="Y643" s="67">
        <f>IF(AND(ISNUMBER(N643),N(N643)&gt;0),N(N643),0)</f>
        <v>0.0</v>
      </c>
      <c r="Z643" s="67">
        <f>IF(AND(ISNUMBER(P643),N(P643)&gt;0),N(P643),0)</f>
        <v>0.0</v>
      </c>
    </row>
    <row r="644">
      <c r="A644" s="79" t="str">
        <f>IF(COUNTA(B644:C644,E644:G644,I644)=0,"","BI-"&amp;RIGHT("0000"&amp;(ROW()-5),4))</f>
        <v/>
      </c>
      <c r="B644" s="72" t="n"/>
      <c r="C644" s="66" t="n"/>
      <c r="D644" s="67" t="str">
        <f>IF(C644="","",IFERROR(INDEX(eq_des,MATCH(C644,eq_code,0))&amp;"","Équipement inconnu"))</f>
        <v/>
      </c>
      <c r="E644" s="68" t="n"/>
      <c r="F644" s="68" t="n"/>
      <c r="G644" s="66" t="n"/>
      <c r="H644" s="66" t="n"/>
      <c r="I644" s="68" t="n"/>
      <c r="J644" s="73" t="n"/>
      <c r="K644" s="71" t="n"/>
      <c r="L644" s="71" t="n"/>
      <c r="M644" s="66" t="n"/>
      <c r="N644" s="80" t="n"/>
      <c r="O644" s="81" t="str">
        <f>IF(A644="","",ROUND(V644*IFERROR(N(INDEX(tech_rate,MATCH(M644,tech_name,0))),0),2))</f>
        <v/>
      </c>
      <c r="P644" s="80" t="n"/>
      <c r="Q644" s="81" t="str">
        <f>IF(A644="","",ROUND(Y644+O644+Z644,2))</f>
        <v/>
      </c>
      <c r="R644" s="79" t="str">
        <f>IF(A644="","",IF(S644=0,"Date manquante ou invalide",IF(C644="","Équipement manquant",IF(ISNA(MATCH(C644,eq_code,0)),"Équipement inconnu",IF(E644="","Type manquant",IF(AND(E644&lt;&gt;"Préventif",E644&lt;&gt;"Correctif",E644&lt;&gt;"Amélioratif"),"Type inconnu",IF(I644="","Statut manquant",IF(AND(I644&lt;&gt;"Terminée",I644&lt;&gt;"En cours",I644&lt;&gt;"À faire",I644&lt;&gt;"Annulée"),"Statut inconnu",IF(AND(E644="Préventif",F644=""),"Plan manquant (préventif)",IF(AND(F644&lt;&gt;"",ISNA(MATCH(F644,pl_num,0))),"Plan inconnu",IF(AND(F644&lt;&gt;"",IFERROR(INDEX(pl_eq,MATCH(F644,pl_num,0))&amp;"",C644)&lt;&gt;C644),"Plan d'un autre équipement",IF(AND(J644&lt;&gt;"",OR(NOT(ISNUMBER(J644)),N(J644)&lt;0)),"Compteur invalide",IF(OR(AND(K644&lt;&gt;"",OR(NOT(ISNUMBER(K644)),N(K644)&lt;0)),AND(L644&lt;&gt;"",OR(NOT(ISNUMBER(L644)),N(L644)&lt;0))),"Durée invalide",IF(OR(AND(N644&lt;&gt;"",OR(NOT(ISNUMBER(N644)),N(N644)&lt;0)),AND(P644&lt;&gt;"",OR(NOT(ISNUMBER(P644)),N(P644)&lt;0))),"Coût invalide",IF(AND(M644&lt;&gt;"",ISNA(MATCH(M644,tech_name,0))),"Technicien inconnu",IF(AND(I644="Terminée",S644&gt;p_today),"Terminée à une date future",IF(AND(I644="Terminée",V644=0),"Durée d'intervention manquante",IF(AND(I644="Terminée",E644="Préventif",T644=0,OR(IFERROR(INDEX(pl_trig,MATCH(F644,pl_num,0))&amp;"","")="Compteur",IFERROR(INDEX(pl_trig,MATCH(F644,pl_num,0))&amp;"","")="Au premier des deux")),"Compteur manquant (plan au compteur)","OK"))))))))))))))))))</f>
        <v/>
      </c>
      <c r="S644" s="67">
        <f>IF(AND(ISNUMBER(B644),N(B644)&gt;0),INT(B644),0)</f>
        <v>0.0</v>
      </c>
      <c r="T644" s="67">
        <f>IF(AND(ISNUMBER(J644),N(J644)&gt;=0),N(J644),0)</f>
        <v>0.0</v>
      </c>
      <c r="U644" s="67">
        <f>IF(AND(ISNUMBER(K644),N(K644)&gt;0),N(K644),0)</f>
        <v>0.0</v>
      </c>
      <c r="V644" s="67">
        <f>IF(AND(ISNUMBER(L644),N(L644)&gt;0),N(L644),0)</f>
        <v>0.0</v>
      </c>
      <c r="W644" s="67">
        <f>IF(AND(I644="Terminée",S644&gt;0,C644&lt;&gt;"",ISNUMBER(MATCH(C644,eq_code,0))),1,0)</f>
        <v>0.0</v>
      </c>
      <c r="X644" s="67">
        <f>IF(AND(W644=1,E644="Préventif"),1,0)</f>
        <v>0.0</v>
      </c>
      <c r="Y644" s="67">
        <f>IF(AND(ISNUMBER(N644),N(N644)&gt;0),N(N644),0)</f>
        <v>0.0</v>
      </c>
      <c r="Z644" s="67">
        <f>IF(AND(ISNUMBER(P644),N(P644)&gt;0),N(P644),0)</f>
        <v>0.0</v>
      </c>
    </row>
    <row r="645">
      <c r="A645" s="79" t="str">
        <f>IF(COUNTA(B645:C645,E645:G645,I645)=0,"","BI-"&amp;RIGHT("0000"&amp;(ROW()-5),4))</f>
        <v/>
      </c>
      <c r="B645" s="72" t="n"/>
      <c r="C645" s="66" t="n"/>
      <c r="D645" s="67" t="str">
        <f>IF(C645="","",IFERROR(INDEX(eq_des,MATCH(C645,eq_code,0))&amp;"","Équipement inconnu"))</f>
        <v/>
      </c>
      <c r="E645" s="68" t="n"/>
      <c r="F645" s="68" t="n"/>
      <c r="G645" s="66" t="n"/>
      <c r="H645" s="66" t="n"/>
      <c r="I645" s="68" t="n"/>
      <c r="J645" s="73" t="n"/>
      <c r="K645" s="71" t="n"/>
      <c r="L645" s="71" t="n"/>
      <c r="M645" s="66" t="n"/>
      <c r="N645" s="80" t="n"/>
      <c r="O645" s="81" t="str">
        <f>IF(A645="","",ROUND(V645*IFERROR(N(INDEX(tech_rate,MATCH(M645,tech_name,0))),0),2))</f>
        <v/>
      </c>
      <c r="P645" s="80" t="n"/>
      <c r="Q645" s="81" t="str">
        <f>IF(A645="","",ROUND(Y645+O645+Z645,2))</f>
        <v/>
      </c>
      <c r="R645" s="79" t="str">
        <f>IF(A645="","",IF(S645=0,"Date manquante ou invalide",IF(C645="","Équipement manquant",IF(ISNA(MATCH(C645,eq_code,0)),"Équipement inconnu",IF(E645="","Type manquant",IF(AND(E645&lt;&gt;"Préventif",E645&lt;&gt;"Correctif",E645&lt;&gt;"Amélioratif"),"Type inconnu",IF(I645="","Statut manquant",IF(AND(I645&lt;&gt;"Terminée",I645&lt;&gt;"En cours",I645&lt;&gt;"À faire",I645&lt;&gt;"Annulée"),"Statut inconnu",IF(AND(E645="Préventif",F645=""),"Plan manquant (préventif)",IF(AND(F645&lt;&gt;"",ISNA(MATCH(F645,pl_num,0))),"Plan inconnu",IF(AND(F645&lt;&gt;"",IFERROR(INDEX(pl_eq,MATCH(F645,pl_num,0))&amp;"",C645)&lt;&gt;C645),"Plan d'un autre équipement",IF(AND(J645&lt;&gt;"",OR(NOT(ISNUMBER(J645)),N(J645)&lt;0)),"Compteur invalide",IF(OR(AND(K645&lt;&gt;"",OR(NOT(ISNUMBER(K645)),N(K645)&lt;0)),AND(L645&lt;&gt;"",OR(NOT(ISNUMBER(L645)),N(L645)&lt;0))),"Durée invalide",IF(OR(AND(N645&lt;&gt;"",OR(NOT(ISNUMBER(N645)),N(N645)&lt;0)),AND(P645&lt;&gt;"",OR(NOT(ISNUMBER(P645)),N(P645)&lt;0))),"Coût invalide",IF(AND(M645&lt;&gt;"",ISNA(MATCH(M645,tech_name,0))),"Technicien inconnu",IF(AND(I645="Terminée",S645&gt;p_today),"Terminée à une date future",IF(AND(I645="Terminée",V645=0),"Durée d'intervention manquante",IF(AND(I645="Terminée",E645="Préventif",T645=0,OR(IFERROR(INDEX(pl_trig,MATCH(F645,pl_num,0))&amp;"","")="Compteur",IFERROR(INDEX(pl_trig,MATCH(F645,pl_num,0))&amp;"","")="Au premier des deux")),"Compteur manquant (plan au compteur)","OK"))))))))))))))))))</f>
        <v/>
      </c>
      <c r="S645" s="67">
        <f>IF(AND(ISNUMBER(B645),N(B645)&gt;0),INT(B645),0)</f>
        <v>0.0</v>
      </c>
      <c r="T645" s="67">
        <f>IF(AND(ISNUMBER(J645),N(J645)&gt;=0),N(J645),0)</f>
        <v>0.0</v>
      </c>
      <c r="U645" s="67">
        <f>IF(AND(ISNUMBER(K645),N(K645)&gt;0),N(K645),0)</f>
        <v>0.0</v>
      </c>
      <c r="V645" s="67">
        <f>IF(AND(ISNUMBER(L645),N(L645)&gt;0),N(L645),0)</f>
        <v>0.0</v>
      </c>
      <c r="W645" s="67">
        <f>IF(AND(I645="Terminée",S645&gt;0,C645&lt;&gt;"",ISNUMBER(MATCH(C645,eq_code,0))),1,0)</f>
        <v>0.0</v>
      </c>
      <c r="X645" s="67">
        <f>IF(AND(W645=1,E645="Préventif"),1,0)</f>
        <v>0.0</v>
      </c>
      <c r="Y645" s="67">
        <f>IF(AND(ISNUMBER(N645),N(N645)&gt;0),N(N645),0)</f>
        <v>0.0</v>
      </c>
      <c r="Z645" s="67">
        <f>IF(AND(ISNUMBER(P645),N(P645)&gt;0),N(P645),0)</f>
        <v>0.0</v>
      </c>
    </row>
    <row r="646">
      <c r="A646" s="79" t="str">
        <f>IF(COUNTA(B646:C646,E646:G646,I646)=0,"","BI-"&amp;RIGHT("0000"&amp;(ROW()-5),4))</f>
        <v/>
      </c>
      <c r="B646" s="72" t="n"/>
      <c r="C646" s="66" t="n"/>
      <c r="D646" s="67" t="str">
        <f>IF(C646="","",IFERROR(INDEX(eq_des,MATCH(C646,eq_code,0))&amp;"","Équipement inconnu"))</f>
        <v/>
      </c>
      <c r="E646" s="68" t="n"/>
      <c r="F646" s="68" t="n"/>
      <c r="G646" s="66" t="n"/>
      <c r="H646" s="66" t="n"/>
      <c r="I646" s="68" t="n"/>
      <c r="J646" s="73" t="n"/>
      <c r="K646" s="71" t="n"/>
      <c r="L646" s="71" t="n"/>
      <c r="M646" s="66" t="n"/>
      <c r="N646" s="80" t="n"/>
      <c r="O646" s="81" t="str">
        <f>IF(A646="","",ROUND(V646*IFERROR(N(INDEX(tech_rate,MATCH(M646,tech_name,0))),0),2))</f>
        <v/>
      </c>
      <c r="P646" s="80" t="n"/>
      <c r="Q646" s="81" t="str">
        <f>IF(A646="","",ROUND(Y646+O646+Z646,2))</f>
        <v/>
      </c>
      <c r="R646" s="79" t="str">
        <f>IF(A646="","",IF(S646=0,"Date manquante ou invalide",IF(C646="","Équipement manquant",IF(ISNA(MATCH(C646,eq_code,0)),"Équipement inconnu",IF(E646="","Type manquant",IF(AND(E646&lt;&gt;"Préventif",E646&lt;&gt;"Correctif",E646&lt;&gt;"Amélioratif"),"Type inconnu",IF(I646="","Statut manquant",IF(AND(I646&lt;&gt;"Terminée",I646&lt;&gt;"En cours",I646&lt;&gt;"À faire",I646&lt;&gt;"Annulée"),"Statut inconnu",IF(AND(E646="Préventif",F646=""),"Plan manquant (préventif)",IF(AND(F646&lt;&gt;"",ISNA(MATCH(F646,pl_num,0))),"Plan inconnu",IF(AND(F646&lt;&gt;"",IFERROR(INDEX(pl_eq,MATCH(F646,pl_num,0))&amp;"",C646)&lt;&gt;C646),"Plan d'un autre équipement",IF(AND(J646&lt;&gt;"",OR(NOT(ISNUMBER(J646)),N(J646)&lt;0)),"Compteur invalide",IF(OR(AND(K646&lt;&gt;"",OR(NOT(ISNUMBER(K646)),N(K646)&lt;0)),AND(L646&lt;&gt;"",OR(NOT(ISNUMBER(L646)),N(L646)&lt;0))),"Durée invalide",IF(OR(AND(N646&lt;&gt;"",OR(NOT(ISNUMBER(N646)),N(N646)&lt;0)),AND(P646&lt;&gt;"",OR(NOT(ISNUMBER(P646)),N(P646)&lt;0))),"Coût invalide",IF(AND(M646&lt;&gt;"",ISNA(MATCH(M646,tech_name,0))),"Technicien inconnu",IF(AND(I646="Terminée",S646&gt;p_today),"Terminée à une date future",IF(AND(I646="Terminée",V646=0),"Durée d'intervention manquante",IF(AND(I646="Terminée",E646="Préventif",T646=0,OR(IFERROR(INDEX(pl_trig,MATCH(F646,pl_num,0))&amp;"","")="Compteur",IFERROR(INDEX(pl_trig,MATCH(F646,pl_num,0))&amp;"","")="Au premier des deux")),"Compteur manquant (plan au compteur)","OK"))))))))))))))))))</f>
        <v/>
      </c>
      <c r="S646" s="67">
        <f>IF(AND(ISNUMBER(B646),N(B646)&gt;0),INT(B646),0)</f>
        <v>0.0</v>
      </c>
      <c r="T646" s="67">
        <f>IF(AND(ISNUMBER(J646),N(J646)&gt;=0),N(J646),0)</f>
        <v>0.0</v>
      </c>
      <c r="U646" s="67">
        <f>IF(AND(ISNUMBER(K646),N(K646)&gt;0),N(K646),0)</f>
        <v>0.0</v>
      </c>
      <c r="V646" s="67">
        <f>IF(AND(ISNUMBER(L646),N(L646)&gt;0),N(L646),0)</f>
        <v>0.0</v>
      </c>
      <c r="W646" s="67">
        <f>IF(AND(I646="Terminée",S646&gt;0,C646&lt;&gt;"",ISNUMBER(MATCH(C646,eq_code,0))),1,0)</f>
        <v>0.0</v>
      </c>
      <c r="X646" s="67">
        <f>IF(AND(W646=1,E646="Préventif"),1,0)</f>
        <v>0.0</v>
      </c>
      <c r="Y646" s="67">
        <f>IF(AND(ISNUMBER(N646),N(N646)&gt;0),N(N646),0)</f>
        <v>0.0</v>
      </c>
      <c r="Z646" s="67">
        <f>IF(AND(ISNUMBER(P646),N(P646)&gt;0),N(P646),0)</f>
        <v>0.0</v>
      </c>
    </row>
    <row r="647">
      <c r="A647" s="79" t="str">
        <f>IF(COUNTA(B647:C647,E647:G647,I647)=0,"","BI-"&amp;RIGHT("0000"&amp;(ROW()-5),4))</f>
        <v/>
      </c>
      <c r="B647" s="72" t="n"/>
      <c r="C647" s="66" t="n"/>
      <c r="D647" s="67" t="str">
        <f>IF(C647="","",IFERROR(INDEX(eq_des,MATCH(C647,eq_code,0))&amp;"","Équipement inconnu"))</f>
        <v/>
      </c>
      <c r="E647" s="68" t="n"/>
      <c r="F647" s="68" t="n"/>
      <c r="G647" s="66" t="n"/>
      <c r="H647" s="66" t="n"/>
      <c r="I647" s="68" t="n"/>
      <c r="J647" s="73" t="n"/>
      <c r="K647" s="71" t="n"/>
      <c r="L647" s="71" t="n"/>
      <c r="M647" s="66" t="n"/>
      <c r="N647" s="80" t="n"/>
      <c r="O647" s="81" t="str">
        <f>IF(A647="","",ROUND(V647*IFERROR(N(INDEX(tech_rate,MATCH(M647,tech_name,0))),0),2))</f>
        <v/>
      </c>
      <c r="P647" s="80" t="n"/>
      <c r="Q647" s="81" t="str">
        <f>IF(A647="","",ROUND(Y647+O647+Z647,2))</f>
        <v/>
      </c>
      <c r="R647" s="79" t="str">
        <f>IF(A647="","",IF(S647=0,"Date manquante ou invalide",IF(C647="","Équipement manquant",IF(ISNA(MATCH(C647,eq_code,0)),"Équipement inconnu",IF(E647="","Type manquant",IF(AND(E647&lt;&gt;"Préventif",E647&lt;&gt;"Correctif",E647&lt;&gt;"Amélioratif"),"Type inconnu",IF(I647="","Statut manquant",IF(AND(I647&lt;&gt;"Terminée",I647&lt;&gt;"En cours",I647&lt;&gt;"À faire",I647&lt;&gt;"Annulée"),"Statut inconnu",IF(AND(E647="Préventif",F647=""),"Plan manquant (préventif)",IF(AND(F647&lt;&gt;"",ISNA(MATCH(F647,pl_num,0))),"Plan inconnu",IF(AND(F647&lt;&gt;"",IFERROR(INDEX(pl_eq,MATCH(F647,pl_num,0))&amp;"",C647)&lt;&gt;C647),"Plan d'un autre équipement",IF(AND(J647&lt;&gt;"",OR(NOT(ISNUMBER(J647)),N(J647)&lt;0)),"Compteur invalide",IF(OR(AND(K647&lt;&gt;"",OR(NOT(ISNUMBER(K647)),N(K647)&lt;0)),AND(L647&lt;&gt;"",OR(NOT(ISNUMBER(L647)),N(L647)&lt;0))),"Durée invalide",IF(OR(AND(N647&lt;&gt;"",OR(NOT(ISNUMBER(N647)),N(N647)&lt;0)),AND(P647&lt;&gt;"",OR(NOT(ISNUMBER(P647)),N(P647)&lt;0))),"Coût invalide",IF(AND(M647&lt;&gt;"",ISNA(MATCH(M647,tech_name,0))),"Technicien inconnu",IF(AND(I647="Terminée",S647&gt;p_today),"Terminée à une date future",IF(AND(I647="Terminée",V647=0),"Durée d'intervention manquante",IF(AND(I647="Terminée",E647="Préventif",T647=0,OR(IFERROR(INDEX(pl_trig,MATCH(F647,pl_num,0))&amp;"","")="Compteur",IFERROR(INDEX(pl_trig,MATCH(F647,pl_num,0))&amp;"","")="Au premier des deux")),"Compteur manquant (plan au compteur)","OK"))))))))))))))))))</f>
        <v/>
      </c>
      <c r="S647" s="67">
        <f>IF(AND(ISNUMBER(B647),N(B647)&gt;0),INT(B647),0)</f>
        <v>0.0</v>
      </c>
      <c r="T647" s="67">
        <f>IF(AND(ISNUMBER(J647),N(J647)&gt;=0),N(J647),0)</f>
        <v>0.0</v>
      </c>
      <c r="U647" s="67">
        <f>IF(AND(ISNUMBER(K647),N(K647)&gt;0),N(K647),0)</f>
        <v>0.0</v>
      </c>
      <c r="V647" s="67">
        <f>IF(AND(ISNUMBER(L647),N(L647)&gt;0),N(L647),0)</f>
        <v>0.0</v>
      </c>
      <c r="W647" s="67">
        <f>IF(AND(I647="Terminée",S647&gt;0,C647&lt;&gt;"",ISNUMBER(MATCH(C647,eq_code,0))),1,0)</f>
        <v>0.0</v>
      </c>
      <c r="X647" s="67">
        <f>IF(AND(W647=1,E647="Préventif"),1,0)</f>
        <v>0.0</v>
      </c>
      <c r="Y647" s="67">
        <f>IF(AND(ISNUMBER(N647),N(N647)&gt;0),N(N647),0)</f>
        <v>0.0</v>
      </c>
      <c r="Z647" s="67">
        <f>IF(AND(ISNUMBER(P647),N(P647)&gt;0),N(P647),0)</f>
        <v>0.0</v>
      </c>
    </row>
    <row r="648">
      <c r="A648" s="79" t="str">
        <f>IF(COUNTA(B648:C648,E648:G648,I648)=0,"","BI-"&amp;RIGHT("0000"&amp;(ROW()-5),4))</f>
        <v/>
      </c>
      <c r="B648" s="72" t="n"/>
      <c r="C648" s="66" t="n"/>
      <c r="D648" s="67" t="str">
        <f>IF(C648="","",IFERROR(INDEX(eq_des,MATCH(C648,eq_code,0))&amp;"","Équipement inconnu"))</f>
        <v/>
      </c>
      <c r="E648" s="68" t="n"/>
      <c r="F648" s="68" t="n"/>
      <c r="G648" s="66" t="n"/>
      <c r="H648" s="66" t="n"/>
      <c r="I648" s="68" t="n"/>
      <c r="J648" s="73" t="n"/>
      <c r="K648" s="71" t="n"/>
      <c r="L648" s="71" t="n"/>
      <c r="M648" s="66" t="n"/>
      <c r="N648" s="80" t="n"/>
      <c r="O648" s="81" t="str">
        <f>IF(A648="","",ROUND(V648*IFERROR(N(INDEX(tech_rate,MATCH(M648,tech_name,0))),0),2))</f>
        <v/>
      </c>
      <c r="P648" s="80" t="n"/>
      <c r="Q648" s="81" t="str">
        <f>IF(A648="","",ROUND(Y648+O648+Z648,2))</f>
        <v/>
      </c>
      <c r="R648" s="79" t="str">
        <f>IF(A648="","",IF(S648=0,"Date manquante ou invalide",IF(C648="","Équipement manquant",IF(ISNA(MATCH(C648,eq_code,0)),"Équipement inconnu",IF(E648="","Type manquant",IF(AND(E648&lt;&gt;"Préventif",E648&lt;&gt;"Correctif",E648&lt;&gt;"Amélioratif"),"Type inconnu",IF(I648="","Statut manquant",IF(AND(I648&lt;&gt;"Terminée",I648&lt;&gt;"En cours",I648&lt;&gt;"À faire",I648&lt;&gt;"Annulée"),"Statut inconnu",IF(AND(E648="Préventif",F648=""),"Plan manquant (préventif)",IF(AND(F648&lt;&gt;"",ISNA(MATCH(F648,pl_num,0))),"Plan inconnu",IF(AND(F648&lt;&gt;"",IFERROR(INDEX(pl_eq,MATCH(F648,pl_num,0))&amp;"",C648)&lt;&gt;C648),"Plan d'un autre équipement",IF(AND(J648&lt;&gt;"",OR(NOT(ISNUMBER(J648)),N(J648)&lt;0)),"Compteur invalide",IF(OR(AND(K648&lt;&gt;"",OR(NOT(ISNUMBER(K648)),N(K648)&lt;0)),AND(L648&lt;&gt;"",OR(NOT(ISNUMBER(L648)),N(L648)&lt;0))),"Durée invalide",IF(OR(AND(N648&lt;&gt;"",OR(NOT(ISNUMBER(N648)),N(N648)&lt;0)),AND(P648&lt;&gt;"",OR(NOT(ISNUMBER(P648)),N(P648)&lt;0))),"Coût invalide",IF(AND(M648&lt;&gt;"",ISNA(MATCH(M648,tech_name,0))),"Technicien inconnu",IF(AND(I648="Terminée",S648&gt;p_today),"Terminée à une date future",IF(AND(I648="Terminée",V648=0),"Durée d'intervention manquante",IF(AND(I648="Terminée",E648="Préventif",T648=0,OR(IFERROR(INDEX(pl_trig,MATCH(F648,pl_num,0))&amp;"","")="Compteur",IFERROR(INDEX(pl_trig,MATCH(F648,pl_num,0))&amp;"","")="Au premier des deux")),"Compteur manquant (plan au compteur)","OK"))))))))))))))))))</f>
        <v/>
      </c>
      <c r="S648" s="67">
        <f>IF(AND(ISNUMBER(B648),N(B648)&gt;0),INT(B648),0)</f>
        <v>0.0</v>
      </c>
      <c r="T648" s="67">
        <f>IF(AND(ISNUMBER(J648),N(J648)&gt;=0),N(J648),0)</f>
        <v>0.0</v>
      </c>
      <c r="U648" s="67">
        <f>IF(AND(ISNUMBER(K648),N(K648)&gt;0),N(K648),0)</f>
        <v>0.0</v>
      </c>
      <c r="V648" s="67">
        <f>IF(AND(ISNUMBER(L648),N(L648)&gt;0),N(L648),0)</f>
        <v>0.0</v>
      </c>
      <c r="W648" s="67">
        <f>IF(AND(I648="Terminée",S648&gt;0,C648&lt;&gt;"",ISNUMBER(MATCH(C648,eq_code,0))),1,0)</f>
        <v>0.0</v>
      </c>
      <c r="X648" s="67">
        <f>IF(AND(W648=1,E648="Préventif"),1,0)</f>
        <v>0.0</v>
      </c>
      <c r="Y648" s="67">
        <f>IF(AND(ISNUMBER(N648),N(N648)&gt;0),N(N648),0)</f>
        <v>0.0</v>
      </c>
      <c r="Z648" s="67">
        <f>IF(AND(ISNUMBER(P648),N(P648)&gt;0),N(P648),0)</f>
        <v>0.0</v>
      </c>
    </row>
    <row r="649">
      <c r="A649" s="79" t="str">
        <f>IF(COUNTA(B649:C649,E649:G649,I649)=0,"","BI-"&amp;RIGHT("0000"&amp;(ROW()-5),4))</f>
        <v/>
      </c>
      <c r="B649" s="72" t="n"/>
      <c r="C649" s="66" t="n"/>
      <c r="D649" s="67" t="str">
        <f>IF(C649="","",IFERROR(INDEX(eq_des,MATCH(C649,eq_code,0))&amp;"","Équipement inconnu"))</f>
        <v/>
      </c>
      <c r="E649" s="68" t="n"/>
      <c r="F649" s="68" t="n"/>
      <c r="G649" s="66" t="n"/>
      <c r="H649" s="66" t="n"/>
      <c r="I649" s="68" t="n"/>
      <c r="J649" s="73" t="n"/>
      <c r="K649" s="71" t="n"/>
      <c r="L649" s="71" t="n"/>
      <c r="M649" s="66" t="n"/>
      <c r="N649" s="80" t="n"/>
      <c r="O649" s="81" t="str">
        <f>IF(A649="","",ROUND(V649*IFERROR(N(INDEX(tech_rate,MATCH(M649,tech_name,0))),0),2))</f>
        <v/>
      </c>
      <c r="P649" s="80" t="n"/>
      <c r="Q649" s="81" t="str">
        <f>IF(A649="","",ROUND(Y649+O649+Z649,2))</f>
        <v/>
      </c>
      <c r="R649" s="79" t="str">
        <f>IF(A649="","",IF(S649=0,"Date manquante ou invalide",IF(C649="","Équipement manquant",IF(ISNA(MATCH(C649,eq_code,0)),"Équipement inconnu",IF(E649="","Type manquant",IF(AND(E649&lt;&gt;"Préventif",E649&lt;&gt;"Correctif",E649&lt;&gt;"Amélioratif"),"Type inconnu",IF(I649="","Statut manquant",IF(AND(I649&lt;&gt;"Terminée",I649&lt;&gt;"En cours",I649&lt;&gt;"À faire",I649&lt;&gt;"Annulée"),"Statut inconnu",IF(AND(E649="Préventif",F649=""),"Plan manquant (préventif)",IF(AND(F649&lt;&gt;"",ISNA(MATCH(F649,pl_num,0))),"Plan inconnu",IF(AND(F649&lt;&gt;"",IFERROR(INDEX(pl_eq,MATCH(F649,pl_num,0))&amp;"",C649)&lt;&gt;C649),"Plan d'un autre équipement",IF(AND(J649&lt;&gt;"",OR(NOT(ISNUMBER(J649)),N(J649)&lt;0)),"Compteur invalide",IF(OR(AND(K649&lt;&gt;"",OR(NOT(ISNUMBER(K649)),N(K649)&lt;0)),AND(L649&lt;&gt;"",OR(NOT(ISNUMBER(L649)),N(L649)&lt;0))),"Durée invalide",IF(OR(AND(N649&lt;&gt;"",OR(NOT(ISNUMBER(N649)),N(N649)&lt;0)),AND(P649&lt;&gt;"",OR(NOT(ISNUMBER(P649)),N(P649)&lt;0))),"Coût invalide",IF(AND(M649&lt;&gt;"",ISNA(MATCH(M649,tech_name,0))),"Technicien inconnu",IF(AND(I649="Terminée",S649&gt;p_today),"Terminée à une date future",IF(AND(I649="Terminée",V649=0),"Durée d'intervention manquante",IF(AND(I649="Terminée",E649="Préventif",T649=0,OR(IFERROR(INDEX(pl_trig,MATCH(F649,pl_num,0))&amp;"","")="Compteur",IFERROR(INDEX(pl_trig,MATCH(F649,pl_num,0))&amp;"","")="Au premier des deux")),"Compteur manquant (plan au compteur)","OK"))))))))))))))))))</f>
        <v/>
      </c>
      <c r="S649" s="67">
        <f>IF(AND(ISNUMBER(B649),N(B649)&gt;0),INT(B649),0)</f>
        <v>0.0</v>
      </c>
      <c r="T649" s="67">
        <f>IF(AND(ISNUMBER(J649),N(J649)&gt;=0),N(J649),0)</f>
        <v>0.0</v>
      </c>
      <c r="U649" s="67">
        <f>IF(AND(ISNUMBER(K649),N(K649)&gt;0),N(K649),0)</f>
        <v>0.0</v>
      </c>
      <c r="V649" s="67">
        <f>IF(AND(ISNUMBER(L649),N(L649)&gt;0),N(L649),0)</f>
        <v>0.0</v>
      </c>
      <c r="W649" s="67">
        <f>IF(AND(I649="Terminée",S649&gt;0,C649&lt;&gt;"",ISNUMBER(MATCH(C649,eq_code,0))),1,0)</f>
        <v>0.0</v>
      </c>
      <c r="X649" s="67">
        <f>IF(AND(W649=1,E649="Préventif"),1,0)</f>
        <v>0.0</v>
      </c>
      <c r="Y649" s="67">
        <f>IF(AND(ISNUMBER(N649),N(N649)&gt;0),N(N649),0)</f>
        <v>0.0</v>
      </c>
      <c r="Z649" s="67">
        <f>IF(AND(ISNUMBER(P649),N(P649)&gt;0),N(P649),0)</f>
        <v>0.0</v>
      </c>
    </row>
    <row r="650">
      <c r="A650" s="79" t="str">
        <f>IF(COUNTA(B650:C650,E650:G650,I650)=0,"","BI-"&amp;RIGHT("0000"&amp;(ROW()-5),4))</f>
        <v/>
      </c>
      <c r="B650" s="72" t="n"/>
      <c r="C650" s="66" t="n"/>
      <c r="D650" s="67" t="str">
        <f>IF(C650="","",IFERROR(INDEX(eq_des,MATCH(C650,eq_code,0))&amp;"","Équipement inconnu"))</f>
        <v/>
      </c>
      <c r="E650" s="68" t="n"/>
      <c r="F650" s="68" t="n"/>
      <c r="G650" s="66" t="n"/>
      <c r="H650" s="66" t="n"/>
      <c r="I650" s="68" t="n"/>
      <c r="J650" s="73" t="n"/>
      <c r="K650" s="71" t="n"/>
      <c r="L650" s="71" t="n"/>
      <c r="M650" s="66" t="n"/>
      <c r="N650" s="80" t="n"/>
      <c r="O650" s="81" t="str">
        <f>IF(A650="","",ROUND(V650*IFERROR(N(INDEX(tech_rate,MATCH(M650,tech_name,0))),0),2))</f>
        <v/>
      </c>
      <c r="P650" s="80" t="n"/>
      <c r="Q650" s="81" t="str">
        <f>IF(A650="","",ROUND(Y650+O650+Z650,2))</f>
        <v/>
      </c>
      <c r="R650" s="79" t="str">
        <f>IF(A650="","",IF(S650=0,"Date manquante ou invalide",IF(C650="","Équipement manquant",IF(ISNA(MATCH(C650,eq_code,0)),"Équipement inconnu",IF(E650="","Type manquant",IF(AND(E650&lt;&gt;"Préventif",E650&lt;&gt;"Correctif",E650&lt;&gt;"Amélioratif"),"Type inconnu",IF(I650="","Statut manquant",IF(AND(I650&lt;&gt;"Terminée",I650&lt;&gt;"En cours",I650&lt;&gt;"À faire",I650&lt;&gt;"Annulée"),"Statut inconnu",IF(AND(E650="Préventif",F650=""),"Plan manquant (préventif)",IF(AND(F650&lt;&gt;"",ISNA(MATCH(F650,pl_num,0))),"Plan inconnu",IF(AND(F650&lt;&gt;"",IFERROR(INDEX(pl_eq,MATCH(F650,pl_num,0))&amp;"",C650)&lt;&gt;C650),"Plan d'un autre équipement",IF(AND(J650&lt;&gt;"",OR(NOT(ISNUMBER(J650)),N(J650)&lt;0)),"Compteur invalide",IF(OR(AND(K650&lt;&gt;"",OR(NOT(ISNUMBER(K650)),N(K650)&lt;0)),AND(L650&lt;&gt;"",OR(NOT(ISNUMBER(L650)),N(L650)&lt;0))),"Durée invalide",IF(OR(AND(N650&lt;&gt;"",OR(NOT(ISNUMBER(N650)),N(N650)&lt;0)),AND(P650&lt;&gt;"",OR(NOT(ISNUMBER(P650)),N(P650)&lt;0))),"Coût invalide",IF(AND(M650&lt;&gt;"",ISNA(MATCH(M650,tech_name,0))),"Technicien inconnu",IF(AND(I650="Terminée",S650&gt;p_today),"Terminée à une date future",IF(AND(I650="Terminée",V650=0),"Durée d'intervention manquante",IF(AND(I650="Terminée",E650="Préventif",T650=0,OR(IFERROR(INDEX(pl_trig,MATCH(F650,pl_num,0))&amp;"","")="Compteur",IFERROR(INDEX(pl_trig,MATCH(F650,pl_num,0))&amp;"","")="Au premier des deux")),"Compteur manquant (plan au compteur)","OK"))))))))))))))))))</f>
        <v/>
      </c>
      <c r="S650" s="67">
        <f>IF(AND(ISNUMBER(B650),N(B650)&gt;0),INT(B650),0)</f>
        <v>0.0</v>
      </c>
      <c r="T650" s="67">
        <f>IF(AND(ISNUMBER(J650),N(J650)&gt;=0),N(J650),0)</f>
        <v>0.0</v>
      </c>
      <c r="U650" s="67">
        <f>IF(AND(ISNUMBER(K650),N(K650)&gt;0),N(K650),0)</f>
        <v>0.0</v>
      </c>
      <c r="V650" s="67">
        <f>IF(AND(ISNUMBER(L650),N(L650)&gt;0),N(L650),0)</f>
        <v>0.0</v>
      </c>
      <c r="W650" s="67">
        <f>IF(AND(I650="Terminée",S650&gt;0,C650&lt;&gt;"",ISNUMBER(MATCH(C650,eq_code,0))),1,0)</f>
        <v>0.0</v>
      </c>
      <c r="X650" s="67">
        <f>IF(AND(W650=1,E650="Préventif"),1,0)</f>
        <v>0.0</v>
      </c>
      <c r="Y650" s="67">
        <f>IF(AND(ISNUMBER(N650),N(N650)&gt;0),N(N650),0)</f>
        <v>0.0</v>
      </c>
      <c r="Z650" s="67">
        <f>IF(AND(ISNUMBER(P650),N(P650)&gt;0),N(P650),0)</f>
        <v>0.0</v>
      </c>
    </row>
    <row r="651">
      <c r="A651" s="79" t="str">
        <f>IF(COUNTA(B651:C651,E651:G651,I651)=0,"","BI-"&amp;RIGHT("0000"&amp;(ROW()-5),4))</f>
        <v/>
      </c>
      <c r="B651" s="72" t="n"/>
      <c r="C651" s="66" t="n"/>
      <c r="D651" s="67" t="str">
        <f>IF(C651="","",IFERROR(INDEX(eq_des,MATCH(C651,eq_code,0))&amp;"","Équipement inconnu"))</f>
        <v/>
      </c>
      <c r="E651" s="68" t="n"/>
      <c r="F651" s="68" t="n"/>
      <c r="G651" s="66" t="n"/>
      <c r="H651" s="66" t="n"/>
      <c r="I651" s="68" t="n"/>
      <c r="J651" s="73" t="n"/>
      <c r="K651" s="71" t="n"/>
      <c r="L651" s="71" t="n"/>
      <c r="M651" s="66" t="n"/>
      <c r="N651" s="80" t="n"/>
      <c r="O651" s="81" t="str">
        <f>IF(A651="","",ROUND(V651*IFERROR(N(INDEX(tech_rate,MATCH(M651,tech_name,0))),0),2))</f>
        <v/>
      </c>
      <c r="P651" s="80" t="n"/>
      <c r="Q651" s="81" t="str">
        <f>IF(A651="","",ROUND(Y651+O651+Z651,2))</f>
        <v/>
      </c>
      <c r="R651" s="79" t="str">
        <f>IF(A651="","",IF(S651=0,"Date manquante ou invalide",IF(C651="","Équipement manquant",IF(ISNA(MATCH(C651,eq_code,0)),"Équipement inconnu",IF(E651="","Type manquant",IF(AND(E651&lt;&gt;"Préventif",E651&lt;&gt;"Correctif",E651&lt;&gt;"Amélioratif"),"Type inconnu",IF(I651="","Statut manquant",IF(AND(I651&lt;&gt;"Terminée",I651&lt;&gt;"En cours",I651&lt;&gt;"À faire",I651&lt;&gt;"Annulée"),"Statut inconnu",IF(AND(E651="Préventif",F651=""),"Plan manquant (préventif)",IF(AND(F651&lt;&gt;"",ISNA(MATCH(F651,pl_num,0))),"Plan inconnu",IF(AND(F651&lt;&gt;"",IFERROR(INDEX(pl_eq,MATCH(F651,pl_num,0))&amp;"",C651)&lt;&gt;C651),"Plan d'un autre équipement",IF(AND(J651&lt;&gt;"",OR(NOT(ISNUMBER(J651)),N(J651)&lt;0)),"Compteur invalide",IF(OR(AND(K651&lt;&gt;"",OR(NOT(ISNUMBER(K651)),N(K651)&lt;0)),AND(L651&lt;&gt;"",OR(NOT(ISNUMBER(L651)),N(L651)&lt;0))),"Durée invalide",IF(OR(AND(N651&lt;&gt;"",OR(NOT(ISNUMBER(N651)),N(N651)&lt;0)),AND(P651&lt;&gt;"",OR(NOT(ISNUMBER(P651)),N(P651)&lt;0))),"Coût invalide",IF(AND(M651&lt;&gt;"",ISNA(MATCH(M651,tech_name,0))),"Technicien inconnu",IF(AND(I651="Terminée",S651&gt;p_today),"Terminée à une date future",IF(AND(I651="Terminée",V651=0),"Durée d'intervention manquante",IF(AND(I651="Terminée",E651="Préventif",T651=0,OR(IFERROR(INDEX(pl_trig,MATCH(F651,pl_num,0))&amp;"","")="Compteur",IFERROR(INDEX(pl_trig,MATCH(F651,pl_num,0))&amp;"","")="Au premier des deux")),"Compteur manquant (plan au compteur)","OK"))))))))))))))))))</f>
        <v/>
      </c>
      <c r="S651" s="67">
        <f>IF(AND(ISNUMBER(B651),N(B651)&gt;0),INT(B651),0)</f>
        <v>0.0</v>
      </c>
      <c r="T651" s="67">
        <f>IF(AND(ISNUMBER(J651),N(J651)&gt;=0),N(J651),0)</f>
        <v>0.0</v>
      </c>
      <c r="U651" s="67">
        <f>IF(AND(ISNUMBER(K651),N(K651)&gt;0),N(K651),0)</f>
        <v>0.0</v>
      </c>
      <c r="V651" s="67">
        <f>IF(AND(ISNUMBER(L651),N(L651)&gt;0),N(L651),0)</f>
        <v>0.0</v>
      </c>
      <c r="W651" s="67">
        <f>IF(AND(I651="Terminée",S651&gt;0,C651&lt;&gt;"",ISNUMBER(MATCH(C651,eq_code,0))),1,0)</f>
        <v>0.0</v>
      </c>
      <c r="X651" s="67">
        <f>IF(AND(W651=1,E651="Préventif"),1,0)</f>
        <v>0.0</v>
      </c>
      <c r="Y651" s="67">
        <f>IF(AND(ISNUMBER(N651),N(N651)&gt;0),N(N651),0)</f>
        <v>0.0</v>
      </c>
      <c r="Z651" s="67">
        <f>IF(AND(ISNUMBER(P651),N(P651)&gt;0),N(P651),0)</f>
        <v>0.0</v>
      </c>
    </row>
    <row r="652">
      <c r="A652" s="79" t="str">
        <f>IF(COUNTA(B652:C652,E652:G652,I652)=0,"","BI-"&amp;RIGHT("0000"&amp;(ROW()-5),4))</f>
        <v/>
      </c>
      <c r="B652" s="72" t="n"/>
      <c r="C652" s="66" t="n"/>
      <c r="D652" s="67" t="str">
        <f>IF(C652="","",IFERROR(INDEX(eq_des,MATCH(C652,eq_code,0))&amp;"","Équipement inconnu"))</f>
        <v/>
      </c>
      <c r="E652" s="68" t="n"/>
      <c r="F652" s="68" t="n"/>
      <c r="G652" s="66" t="n"/>
      <c r="H652" s="66" t="n"/>
      <c r="I652" s="68" t="n"/>
      <c r="J652" s="73" t="n"/>
      <c r="K652" s="71" t="n"/>
      <c r="L652" s="71" t="n"/>
      <c r="M652" s="66" t="n"/>
      <c r="N652" s="80" t="n"/>
      <c r="O652" s="81" t="str">
        <f>IF(A652="","",ROUND(V652*IFERROR(N(INDEX(tech_rate,MATCH(M652,tech_name,0))),0),2))</f>
        <v/>
      </c>
      <c r="P652" s="80" t="n"/>
      <c r="Q652" s="81" t="str">
        <f>IF(A652="","",ROUND(Y652+O652+Z652,2))</f>
        <v/>
      </c>
      <c r="R652" s="79" t="str">
        <f>IF(A652="","",IF(S652=0,"Date manquante ou invalide",IF(C652="","Équipement manquant",IF(ISNA(MATCH(C652,eq_code,0)),"Équipement inconnu",IF(E652="","Type manquant",IF(AND(E652&lt;&gt;"Préventif",E652&lt;&gt;"Correctif",E652&lt;&gt;"Amélioratif"),"Type inconnu",IF(I652="","Statut manquant",IF(AND(I652&lt;&gt;"Terminée",I652&lt;&gt;"En cours",I652&lt;&gt;"À faire",I652&lt;&gt;"Annulée"),"Statut inconnu",IF(AND(E652="Préventif",F652=""),"Plan manquant (préventif)",IF(AND(F652&lt;&gt;"",ISNA(MATCH(F652,pl_num,0))),"Plan inconnu",IF(AND(F652&lt;&gt;"",IFERROR(INDEX(pl_eq,MATCH(F652,pl_num,0))&amp;"",C652)&lt;&gt;C652),"Plan d'un autre équipement",IF(AND(J652&lt;&gt;"",OR(NOT(ISNUMBER(J652)),N(J652)&lt;0)),"Compteur invalide",IF(OR(AND(K652&lt;&gt;"",OR(NOT(ISNUMBER(K652)),N(K652)&lt;0)),AND(L652&lt;&gt;"",OR(NOT(ISNUMBER(L652)),N(L652)&lt;0))),"Durée invalide",IF(OR(AND(N652&lt;&gt;"",OR(NOT(ISNUMBER(N652)),N(N652)&lt;0)),AND(P652&lt;&gt;"",OR(NOT(ISNUMBER(P652)),N(P652)&lt;0))),"Coût invalide",IF(AND(M652&lt;&gt;"",ISNA(MATCH(M652,tech_name,0))),"Technicien inconnu",IF(AND(I652="Terminée",S652&gt;p_today),"Terminée à une date future",IF(AND(I652="Terminée",V652=0),"Durée d'intervention manquante",IF(AND(I652="Terminée",E652="Préventif",T652=0,OR(IFERROR(INDEX(pl_trig,MATCH(F652,pl_num,0))&amp;"","")="Compteur",IFERROR(INDEX(pl_trig,MATCH(F652,pl_num,0))&amp;"","")="Au premier des deux")),"Compteur manquant (plan au compteur)","OK"))))))))))))))))))</f>
        <v/>
      </c>
      <c r="S652" s="67">
        <f>IF(AND(ISNUMBER(B652),N(B652)&gt;0),INT(B652),0)</f>
        <v>0.0</v>
      </c>
      <c r="T652" s="67">
        <f>IF(AND(ISNUMBER(J652),N(J652)&gt;=0),N(J652),0)</f>
        <v>0.0</v>
      </c>
      <c r="U652" s="67">
        <f>IF(AND(ISNUMBER(K652),N(K652)&gt;0),N(K652),0)</f>
        <v>0.0</v>
      </c>
      <c r="V652" s="67">
        <f>IF(AND(ISNUMBER(L652),N(L652)&gt;0),N(L652),0)</f>
        <v>0.0</v>
      </c>
      <c r="W652" s="67">
        <f>IF(AND(I652="Terminée",S652&gt;0,C652&lt;&gt;"",ISNUMBER(MATCH(C652,eq_code,0))),1,0)</f>
        <v>0.0</v>
      </c>
      <c r="X652" s="67">
        <f>IF(AND(W652=1,E652="Préventif"),1,0)</f>
        <v>0.0</v>
      </c>
      <c r="Y652" s="67">
        <f>IF(AND(ISNUMBER(N652),N(N652)&gt;0),N(N652),0)</f>
        <v>0.0</v>
      </c>
      <c r="Z652" s="67">
        <f>IF(AND(ISNUMBER(P652),N(P652)&gt;0),N(P652),0)</f>
        <v>0.0</v>
      </c>
    </row>
    <row r="653">
      <c r="A653" s="79" t="str">
        <f>IF(COUNTA(B653:C653,E653:G653,I653)=0,"","BI-"&amp;RIGHT("0000"&amp;(ROW()-5),4))</f>
        <v/>
      </c>
      <c r="B653" s="72" t="n"/>
      <c r="C653" s="66" t="n"/>
      <c r="D653" s="67" t="str">
        <f>IF(C653="","",IFERROR(INDEX(eq_des,MATCH(C653,eq_code,0))&amp;"","Équipement inconnu"))</f>
        <v/>
      </c>
      <c r="E653" s="68" t="n"/>
      <c r="F653" s="68" t="n"/>
      <c r="G653" s="66" t="n"/>
      <c r="H653" s="66" t="n"/>
      <c r="I653" s="68" t="n"/>
      <c r="J653" s="73" t="n"/>
      <c r="K653" s="71" t="n"/>
      <c r="L653" s="71" t="n"/>
      <c r="M653" s="66" t="n"/>
      <c r="N653" s="80" t="n"/>
      <c r="O653" s="81" t="str">
        <f>IF(A653="","",ROUND(V653*IFERROR(N(INDEX(tech_rate,MATCH(M653,tech_name,0))),0),2))</f>
        <v/>
      </c>
      <c r="P653" s="80" t="n"/>
      <c r="Q653" s="81" t="str">
        <f>IF(A653="","",ROUND(Y653+O653+Z653,2))</f>
        <v/>
      </c>
      <c r="R653" s="79" t="str">
        <f>IF(A653="","",IF(S653=0,"Date manquante ou invalide",IF(C653="","Équipement manquant",IF(ISNA(MATCH(C653,eq_code,0)),"Équipement inconnu",IF(E653="","Type manquant",IF(AND(E653&lt;&gt;"Préventif",E653&lt;&gt;"Correctif",E653&lt;&gt;"Amélioratif"),"Type inconnu",IF(I653="","Statut manquant",IF(AND(I653&lt;&gt;"Terminée",I653&lt;&gt;"En cours",I653&lt;&gt;"À faire",I653&lt;&gt;"Annulée"),"Statut inconnu",IF(AND(E653="Préventif",F653=""),"Plan manquant (préventif)",IF(AND(F653&lt;&gt;"",ISNA(MATCH(F653,pl_num,0))),"Plan inconnu",IF(AND(F653&lt;&gt;"",IFERROR(INDEX(pl_eq,MATCH(F653,pl_num,0))&amp;"",C653)&lt;&gt;C653),"Plan d'un autre équipement",IF(AND(J653&lt;&gt;"",OR(NOT(ISNUMBER(J653)),N(J653)&lt;0)),"Compteur invalide",IF(OR(AND(K653&lt;&gt;"",OR(NOT(ISNUMBER(K653)),N(K653)&lt;0)),AND(L653&lt;&gt;"",OR(NOT(ISNUMBER(L653)),N(L653)&lt;0))),"Durée invalide",IF(OR(AND(N653&lt;&gt;"",OR(NOT(ISNUMBER(N653)),N(N653)&lt;0)),AND(P653&lt;&gt;"",OR(NOT(ISNUMBER(P653)),N(P653)&lt;0))),"Coût invalide",IF(AND(M653&lt;&gt;"",ISNA(MATCH(M653,tech_name,0))),"Technicien inconnu",IF(AND(I653="Terminée",S653&gt;p_today),"Terminée à une date future",IF(AND(I653="Terminée",V653=0),"Durée d'intervention manquante",IF(AND(I653="Terminée",E653="Préventif",T653=0,OR(IFERROR(INDEX(pl_trig,MATCH(F653,pl_num,0))&amp;"","")="Compteur",IFERROR(INDEX(pl_trig,MATCH(F653,pl_num,0))&amp;"","")="Au premier des deux")),"Compteur manquant (plan au compteur)","OK"))))))))))))))))))</f>
        <v/>
      </c>
      <c r="S653" s="67">
        <f>IF(AND(ISNUMBER(B653),N(B653)&gt;0),INT(B653),0)</f>
        <v>0.0</v>
      </c>
      <c r="T653" s="67">
        <f>IF(AND(ISNUMBER(J653),N(J653)&gt;=0),N(J653),0)</f>
        <v>0.0</v>
      </c>
      <c r="U653" s="67">
        <f>IF(AND(ISNUMBER(K653),N(K653)&gt;0),N(K653),0)</f>
        <v>0.0</v>
      </c>
      <c r="V653" s="67">
        <f>IF(AND(ISNUMBER(L653),N(L653)&gt;0),N(L653),0)</f>
        <v>0.0</v>
      </c>
      <c r="W653" s="67">
        <f>IF(AND(I653="Terminée",S653&gt;0,C653&lt;&gt;"",ISNUMBER(MATCH(C653,eq_code,0))),1,0)</f>
        <v>0.0</v>
      </c>
      <c r="X653" s="67">
        <f>IF(AND(W653=1,E653="Préventif"),1,0)</f>
        <v>0.0</v>
      </c>
      <c r="Y653" s="67">
        <f>IF(AND(ISNUMBER(N653),N(N653)&gt;0),N(N653),0)</f>
        <v>0.0</v>
      </c>
      <c r="Z653" s="67">
        <f>IF(AND(ISNUMBER(P653),N(P653)&gt;0),N(P653),0)</f>
        <v>0.0</v>
      </c>
    </row>
    <row r="654">
      <c r="A654" s="79" t="str">
        <f>IF(COUNTA(B654:C654,E654:G654,I654)=0,"","BI-"&amp;RIGHT("0000"&amp;(ROW()-5),4))</f>
        <v/>
      </c>
      <c r="B654" s="72" t="n"/>
      <c r="C654" s="66" t="n"/>
      <c r="D654" s="67" t="str">
        <f>IF(C654="","",IFERROR(INDEX(eq_des,MATCH(C654,eq_code,0))&amp;"","Équipement inconnu"))</f>
        <v/>
      </c>
      <c r="E654" s="68" t="n"/>
      <c r="F654" s="68" t="n"/>
      <c r="G654" s="66" t="n"/>
      <c r="H654" s="66" t="n"/>
      <c r="I654" s="68" t="n"/>
      <c r="J654" s="73" t="n"/>
      <c r="K654" s="71" t="n"/>
      <c r="L654" s="71" t="n"/>
      <c r="M654" s="66" t="n"/>
      <c r="N654" s="80" t="n"/>
      <c r="O654" s="81" t="str">
        <f>IF(A654="","",ROUND(V654*IFERROR(N(INDEX(tech_rate,MATCH(M654,tech_name,0))),0),2))</f>
        <v/>
      </c>
      <c r="P654" s="80" t="n"/>
      <c r="Q654" s="81" t="str">
        <f>IF(A654="","",ROUND(Y654+O654+Z654,2))</f>
        <v/>
      </c>
      <c r="R654" s="79" t="str">
        <f>IF(A654="","",IF(S654=0,"Date manquante ou invalide",IF(C654="","Équipement manquant",IF(ISNA(MATCH(C654,eq_code,0)),"Équipement inconnu",IF(E654="","Type manquant",IF(AND(E654&lt;&gt;"Préventif",E654&lt;&gt;"Correctif",E654&lt;&gt;"Amélioratif"),"Type inconnu",IF(I654="","Statut manquant",IF(AND(I654&lt;&gt;"Terminée",I654&lt;&gt;"En cours",I654&lt;&gt;"À faire",I654&lt;&gt;"Annulée"),"Statut inconnu",IF(AND(E654="Préventif",F654=""),"Plan manquant (préventif)",IF(AND(F654&lt;&gt;"",ISNA(MATCH(F654,pl_num,0))),"Plan inconnu",IF(AND(F654&lt;&gt;"",IFERROR(INDEX(pl_eq,MATCH(F654,pl_num,0))&amp;"",C654)&lt;&gt;C654),"Plan d'un autre équipement",IF(AND(J654&lt;&gt;"",OR(NOT(ISNUMBER(J654)),N(J654)&lt;0)),"Compteur invalide",IF(OR(AND(K654&lt;&gt;"",OR(NOT(ISNUMBER(K654)),N(K654)&lt;0)),AND(L654&lt;&gt;"",OR(NOT(ISNUMBER(L654)),N(L654)&lt;0))),"Durée invalide",IF(OR(AND(N654&lt;&gt;"",OR(NOT(ISNUMBER(N654)),N(N654)&lt;0)),AND(P654&lt;&gt;"",OR(NOT(ISNUMBER(P654)),N(P654)&lt;0))),"Coût invalide",IF(AND(M654&lt;&gt;"",ISNA(MATCH(M654,tech_name,0))),"Technicien inconnu",IF(AND(I654="Terminée",S654&gt;p_today),"Terminée à une date future",IF(AND(I654="Terminée",V654=0),"Durée d'intervention manquante",IF(AND(I654="Terminée",E654="Préventif",T654=0,OR(IFERROR(INDEX(pl_trig,MATCH(F654,pl_num,0))&amp;"","")="Compteur",IFERROR(INDEX(pl_trig,MATCH(F654,pl_num,0))&amp;"","")="Au premier des deux")),"Compteur manquant (plan au compteur)","OK"))))))))))))))))))</f>
        <v/>
      </c>
      <c r="S654" s="67">
        <f>IF(AND(ISNUMBER(B654),N(B654)&gt;0),INT(B654),0)</f>
        <v>0.0</v>
      </c>
      <c r="T654" s="67">
        <f>IF(AND(ISNUMBER(J654),N(J654)&gt;=0),N(J654),0)</f>
        <v>0.0</v>
      </c>
      <c r="U654" s="67">
        <f>IF(AND(ISNUMBER(K654),N(K654)&gt;0),N(K654),0)</f>
        <v>0.0</v>
      </c>
      <c r="V654" s="67">
        <f>IF(AND(ISNUMBER(L654),N(L654)&gt;0),N(L654),0)</f>
        <v>0.0</v>
      </c>
      <c r="W654" s="67">
        <f>IF(AND(I654="Terminée",S654&gt;0,C654&lt;&gt;"",ISNUMBER(MATCH(C654,eq_code,0))),1,0)</f>
        <v>0.0</v>
      </c>
      <c r="X654" s="67">
        <f>IF(AND(W654=1,E654="Préventif"),1,0)</f>
        <v>0.0</v>
      </c>
      <c r="Y654" s="67">
        <f>IF(AND(ISNUMBER(N654),N(N654)&gt;0),N(N654),0)</f>
        <v>0.0</v>
      </c>
      <c r="Z654" s="67">
        <f>IF(AND(ISNUMBER(P654),N(P654)&gt;0),N(P654),0)</f>
        <v>0.0</v>
      </c>
    </row>
    <row r="655">
      <c r="A655" s="79" t="str">
        <f>IF(COUNTA(B655:C655,E655:G655,I655)=0,"","BI-"&amp;RIGHT("0000"&amp;(ROW()-5),4))</f>
        <v/>
      </c>
      <c r="B655" s="72" t="n"/>
      <c r="C655" s="66" t="n"/>
      <c r="D655" s="67" t="str">
        <f>IF(C655="","",IFERROR(INDEX(eq_des,MATCH(C655,eq_code,0))&amp;"","Équipement inconnu"))</f>
        <v/>
      </c>
      <c r="E655" s="68" t="n"/>
      <c r="F655" s="68" t="n"/>
      <c r="G655" s="66" t="n"/>
      <c r="H655" s="66" t="n"/>
      <c r="I655" s="68" t="n"/>
      <c r="J655" s="73" t="n"/>
      <c r="K655" s="71" t="n"/>
      <c r="L655" s="71" t="n"/>
      <c r="M655" s="66" t="n"/>
      <c r="N655" s="80" t="n"/>
      <c r="O655" s="81" t="str">
        <f>IF(A655="","",ROUND(V655*IFERROR(N(INDEX(tech_rate,MATCH(M655,tech_name,0))),0),2))</f>
        <v/>
      </c>
      <c r="P655" s="80" t="n"/>
      <c r="Q655" s="81" t="str">
        <f>IF(A655="","",ROUND(Y655+O655+Z655,2))</f>
        <v/>
      </c>
      <c r="R655" s="79" t="str">
        <f>IF(A655="","",IF(S655=0,"Date manquante ou invalide",IF(C655="","Équipement manquant",IF(ISNA(MATCH(C655,eq_code,0)),"Équipement inconnu",IF(E655="","Type manquant",IF(AND(E655&lt;&gt;"Préventif",E655&lt;&gt;"Correctif",E655&lt;&gt;"Amélioratif"),"Type inconnu",IF(I655="","Statut manquant",IF(AND(I655&lt;&gt;"Terminée",I655&lt;&gt;"En cours",I655&lt;&gt;"À faire",I655&lt;&gt;"Annulée"),"Statut inconnu",IF(AND(E655="Préventif",F655=""),"Plan manquant (préventif)",IF(AND(F655&lt;&gt;"",ISNA(MATCH(F655,pl_num,0))),"Plan inconnu",IF(AND(F655&lt;&gt;"",IFERROR(INDEX(pl_eq,MATCH(F655,pl_num,0))&amp;"",C655)&lt;&gt;C655),"Plan d'un autre équipement",IF(AND(J655&lt;&gt;"",OR(NOT(ISNUMBER(J655)),N(J655)&lt;0)),"Compteur invalide",IF(OR(AND(K655&lt;&gt;"",OR(NOT(ISNUMBER(K655)),N(K655)&lt;0)),AND(L655&lt;&gt;"",OR(NOT(ISNUMBER(L655)),N(L655)&lt;0))),"Durée invalide",IF(OR(AND(N655&lt;&gt;"",OR(NOT(ISNUMBER(N655)),N(N655)&lt;0)),AND(P655&lt;&gt;"",OR(NOT(ISNUMBER(P655)),N(P655)&lt;0))),"Coût invalide",IF(AND(M655&lt;&gt;"",ISNA(MATCH(M655,tech_name,0))),"Technicien inconnu",IF(AND(I655="Terminée",S655&gt;p_today),"Terminée à une date future",IF(AND(I655="Terminée",V655=0),"Durée d'intervention manquante",IF(AND(I655="Terminée",E655="Préventif",T655=0,OR(IFERROR(INDEX(pl_trig,MATCH(F655,pl_num,0))&amp;"","")="Compteur",IFERROR(INDEX(pl_trig,MATCH(F655,pl_num,0))&amp;"","")="Au premier des deux")),"Compteur manquant (plan au compteur)","OK"))))))))))))))))))</f>
        <v/>
      </c>
      <c r="S655" s="67">
        <f>IF(AND(ISNUMBER(B655),N(B655)&gt;0),INT(B655),0)</f>
        <v>0.0</v>
      </c>
      <c r="T655" s="67">
        <f>IF(AND(ISNUMBER(J655),N(J655)&gt;=0),N(J655),0)</f>
        <v>0.0</v>
      </c>
      <c r="U655" s="67">
        <f>IF(AND(ISNUMBER(K655),N(K655)&gt;0),N(K655),0)</f>
        <v>0.0</v>
      </c>
      <c r="V655" s="67">
        <f>IF(AND(ISNUMBER(L655),N(L655)&gt;0),N(L655),0)</f>
        <v>0.0</v>
      </c>
      <c r="W655" s="67">
        <f>IF(AND(I655="Terminée",S655&gt;0,C655&lt;&gt;"",ISNUMBER(MATCH(C655,eq_code,0))),1,0)</f>
        <v>0.0</v>
      </c>
      <c r="X655" s="67">
        <f>IF(AND(W655=1,E655="Préventif"),1,0)</f>
        <v>0.0</v>
      </c>
      <c r="Y655" s="67">
        <f>IF(AND(ISNUMBER(N655),N(N655)&gt;0),N(N655),0)</f>
        <v>0.0</v>
      </c>
      <c r="Z655" s="67">
        <f>IF(AND(ISNUMBER(P655),N(P655)&gt;0),N(P655),0)</f>
        <v>0.0</v>
      </c>
    </row>
    <row r="656">
      <c r="A656" s="79" t="str">
        <f>IF(COUNTA(B656:C656,E656:G656,I656)=0,"","BI-"&amp;RIGHT("0000"&amp;(ROW()-5),4))</f>
        <v/>
      </c>
      <c r="B656" s="72" t="n"/>
      <c r="C656" s="66" t="n"/>
      <c r="D656" s="67" t="str">
        <f>IF(C656="","",IFERROR(INDEX(eq_des,MATCH(C656,eq_code,0))&amp;"","Équipement inconnu"))</f>
        <v/>
      </c>
      <c r="E656" s="68" t="n"/>
      <c r="F656" s="68" t="n"/>
      <c r="G656" s="66" t="n"/>
      <c r="H656" s="66" t="n"/>
      <c r="I656" s="68" t="n"/>
      <c r="J656" s="73" t="n"/>
      <c r="K656" s="71" t="n"/>
      <c r="L656" s="71" t="n"/>
      <c r="M656" s="66" t="n"/>
      <c r="N656" s="80" t="n"/>
      <c r="O656" s="81" t="str">
        <f>IF(A656="","",ROUND(V656*IFERROR(N(INDEX(tech_rate,MATCH(M656,tech_name,0))),0),2))</f>
        <v/>
      </c>
      <c r="P656" s="80" t="n"/>
      <c r="Q656" s="81" t="str">
        <f>IF(A656="","",ROUND(Y656+O656+Z656,2))</f>
        <v/>
      </c>
      <c r="R656" s="79" t="str">
        <f>IF(A656="","",IF(S656=0,"Date manquante ou invalide",IF(C656="","Équipement manquant",IF(ISNA(MATCH(C656,eq_code,0)),"Équipement inconnu",IF(E656="","Type manquant",IF(AND(E656&lt;&gt;"Préventif",E656&lt;&gt;"Correctif",E656&lt;&gt;"Amélioratif"),"Type inconnu",IF(I656="","Statut manquant",IF(AND(I656&lt;&gt;"Terminée",I656&lt;&gt;"En cours",I656&lt;&gt;"À faire",I656&lt;&gt;"Annulée"),"Statut inconnu",IF(AND(E656="Préventif",F656=""),"Plan manquant (préventif)",IF(AND(F656&lt;&gt;"",ISNA(MATCH(F656,pl_num,0))),"Plan inconnu",IF(AND(F656&lt;&gt;"",IFERROR(INDEX(pl_eq,MATCH(F656,pl_num,0))&amp;"",C656)&lt;&gt;C656),"Plan d'un autre équipement",IF(AND(J656&lt;&gt;"",OR(NOT(ISNUMBER(J656)),N(J656)&lt;0)),"Compteur invalide",IF(OR(AND(K656&lt;&gt;"",OR(NOT(ISNUMBER(K656)),N(K656)&lt;0)),AND(L656&lt;&gt;"",OR(NOT(ISNUMBER(L656)),N(L656)&lt;0))),"Durée invalide",IF(OR(AND(N656&lt;&gt;"",OR(NOT(ISNUMBER(N656)),N(N656)&lt;0)),AND(P656&lt;&gt;"",OR(NOT(ISNUMBER(P656)),N(P656)&lt;0))),"Coût invalide",IF(AND(M656&lt;&gt;"",ISNA(MATCH(M656,tech_name,0))),"Technicien inconnu",IF(AND(I656="Terminée",S656&gt;p_today),"Terminée à une date future",IF(AND(I656="Terminée",V656=0),"Durée d'intervention manquante",IF(AND(I656="Terminée",E656="Préventif",T656=0,OR(IFERROR(INDEX(pl_trig,MATCH(F656,pl_num,0))&amp;"","")="Compteur",IFERROR(INDEX(pl_trig,MATCH(F656,pl_num,0))&amp;"","")="Au premier des deux")),"Compteur manquant (plan au compteur)","OK"))))))))))))))))))</f>
        <v/>
      </c>
      <c r="S656" s="67">
        <f>IF(AND(ISNUMBER(B656),N(B656)&gt;0),INT(B656),0)</f>
        <v>0.0</v>
      </c>
      <c r="T656" s="67">
        <f>IF(AND(ISNUMBER(J656),N(J656)&gt;=0),N(J656),0)</f>
        <v>0.0</v>
      </c>
      <c r="U656" s="67">
        <f>IF(AND(ISNUMBER(K656),N(K656)&gt;0),N(K656),0)</f>
        <v>0.0</v>
      </c>
      <c r="V656" s="67">
        <f>IF(AND(ISNUMBER(L656),N(L656)&gt;0),N(L656),0)</f>
        <v>0.0</v>
      </c>
      <c r="W656" s="67">
        <f>IF(AND(I656="Terminée",S656&gt;0,C656&lt;&gt;"",ISNUMBER(MATCH(C656,eq_code,0))),1,0)</f>
        <v>0.0</v>
      </c>
      <c r="X656" s="67">
        <f>IF(AND(W656=1,E656="Préventif"),1,0)</f>
        <v>0.0</v>
      </c>
      <c r="Y656" s="67">
        <f>IF(AND(ISNUMBER(N656),N(N656)&gt;0),N(N656),0)</f>
        <v>0.0</v>
      </c>
      <c r="Z656" s="67">
        <f>IF(AND(ISNUMBER(P656),N(P656)&gt;0),N(P656),0)</f>
        <v>0.0</v>
      </c>
    </row>
    <row r="657">
      <c r="A657" s="79" t="str">
        <f>IF(COUNTA(B657:C657,E657:G657,I657)=0,"","BI-"&amp;RIGHT("0000"&amp;(ROW()-5),4))</f>
        <v/>
      </c>
      <c r="B657" s="72" t="n"/>
      <c r="C657" s="66" t="n"/>
      <c r="D657" s="67" t="str">
        <f>IF(C657="","",IFERROR(INDEX(eq_des,MATCH(C657,eq_code,0))&amp;"","Équipement inconnu"))</f>
        <v/>
      </c>
      <c r="E657" s="68" t="n"/>
      <c r="F657" s="68" t="n"/>
      <c r="G657" s="66" t="n"/>
      <c r="H657" s="66" t="n"/>
      <c r="I657" s="68" t="n"/>
      <c r="J657" s="73" t="n"/>
      <c r="K657" s="71" t="n"/>
      <c r="L657" s="71" t="n"/>
      <c r="M657" s="66" t="n"/>
      <c r="N657" s="80" t="n"/>
      <c r="O657" s="81" t="str">
        <f>IF(A657="","",ROUND(V657*IFERROR(N(INDEX(tech_rate,MATCH(M657,tech_name,0))),0),2))</f>
        <v/>
      </c>
      <c r="P657" s="80" t="n"/>
      <c r="Q657" s="81" t="str">
        <f>IF(A657="","",ROUND(Y657+O657+Z657,2))</f>
        <v/>
      </c>
      <c r="R657" s="79" t="str">
        <f>IF(A657="","",IF(S657=0,"Date manquante ou invalide",IF(C657="","Équipement manquant",IF(ISNA(MATCH(C657,eq_code,0)),"Équipement inconnu",IF(E657="","Type manquant",IF(AND(E657&lt;&gt;"Préventif",E657&lt;&gt;"Correctif",E657&lt;&gt;"Amélioratif"),"Type inconnu",IF(I657="","Statut manquant",IF(AND(I657&lt;&gt;"Terminée",I657&lt;&gt;"En cours",I657&lt;&gt;"À faire",I657&lt;&gt;"Annulée"),"Statut inconnu",IF(AND(E657="Préventif",F657=""),"Plan manquant (préventif)",IF(AND(F657&lt;&gt;"",ISNA(MATCH(F657,pl_num,0))),"Plan inconnu",IF(AND(F657&lt;&gt;"",IFERROR(INDEX(pl_eq,MATCH(F657,pl_num,0))&amp;"",C657)&lt;&gt;C657),"Plan d'un autre équipement",IF(AND(J657&lt;&gt;"",OR(NOT(ISNUMBER(J657)),N(J657)&lt;0)),"Compteur invalide",IF(OR(AND(K657&lt;&gt;"",OR(NOT(ISNUMBER(K657)),N(K657)&lt;0)),AND(L657&lt;&gt;"",OR(NOT(ISNUMBER(L657)),N(L657)&lt;0))),"Durée invalide",IF(OR(AND(N657&lt;&gt;"",OR(NOT(ISNUMBER(N657)),N(N657)&lt;0)),AND(P657&lt;&gt;"",OR(NOT(ISNUMBER(P657)),N(P657)&lt;0))),"Coût invalide",IF(AND(M657&lt;&gt;"",ISNA(MATCH(M657,tech_name,0))),"Technicien inconnu",IF(AND(I657="Terminée",S657&gt;p_today),"Terminée à une date future",IF(AND(I657="Terminée",V657=0),"Durée d'intervention manquante",IF(AND(I657="Terminée",E657="Préventif",T657=0,OR(IFERROR(INDEX(pl_trig,MATCH(F657,pl_num,0))&amp;"","")="Compteur",IFERROR(INDEX(pl_trig,MATCH(F657,pl_num,0))&amp;"","")="Au premier des deux")),"Compteur manquant (plan au compteur)","OK"))))))))))))))))))</f>
        <v/>
      </c>
      <c r="S657" s="67">
        <f>IF(AND(ISNUMBER(B657),N(B657)&gt;0),INT(B657),0)</f>
        <v>0.0</v>
      </c>
      <c r="T657" s="67">
        <f>IF(AND(ISNUMBER(J657),N(J657)&gt;=0),N(J657),0)</f>
        <v>0.0</v>
      </c>
      <c r="U657" s="67">
        <f>IF(AND(ISNUMBER(K657),N(K657)&gt;0),N(K657),0)</f>
        <v>0.0</v>
      </c>
      <c r="V657" s="67">
        <f>IF(AND(ISNUMBER(L657),N(L657)&gt;0),N(L657),0)</f>
        <v>0.0</v>
      </c>
      <c r="W657" s="67">
        <f>IF(AND(I657="Terminée",S657&gt;0,C657&lt;&gt;"",ISNUMBER(MATCH(C657,eq_code,0))),1,0)</f>
        <v>0.0</v>
      </c>
      <c r="X657" s="67">
        <f>IF(AND(W657=1,E657="Préventif"),1,0)</f>
        <v>0.0</v>
      </c>
      <c r="Y657" s="67">
        <f>IF(AND(ISNUMBER(N657),N(N657)&gt;0),N(N657),0)</f>
        <v>0.0</v>
      </c>
      <c r="Z657" s="67">
        <f>IF(AND(ISNUMBER(P657),N(P657)&gt;0),N(P657),0)</f>
        <v>0.0</v>
      </c>
    </row>
    <row r="658">
      <c r="A658" s="79" t="str">
        <f>IF(COUNTA(B658:C658,E658:G658,I658)=0,"","BI-"&amp;RIGHT("0000"&amp;(ROW()-5),4))</f>
        <v/>
      </c>
      <c r="B658" s="72" t="n"/>
      <c r="C658" s="66" t="n"/>
      <c r="D658" s="67" t="str">
        <f>IF(C658="","",IFERROR(INDEX(eq_des,MATCH(C658,eq_code,0))&amp;"","Équipement inconnu"))</f>
        <v/>
      </c>
      <c r="E658" s="68" t="n"/>
      <c r="F658" s="68" t="n"/>
      <c r="G658" s="66" t="n"/>
      <c r="H658" s="66" t="n"/>
      <c r="I658" s="68" t="n"/>
      <c r="J658" s="73" t="n"/>
      <c r="K658" s="71" t="n"/>
      <c r="L658" s="71" t="n"/>
      <c r="M658" s="66" t="n"/>
      <c r="N658" s="80" t="n"/>
      <c r="O658" s="81" t="str">
        <f>IF(A658="","",ROUND(V658*IFERROR(N(INDEX(tech_rate,MATCH(M658,tech_name,0))),0),2))</f>
        <v/>
      </c>
      <c r="P658" s="80" t="n"/>
      <c r="Q658" s="81" t="str">
        <f>IF(A658="","",ROUND(Y658+O658+Z658,2))</f>
        <v/>
      </c>
      <c r="R658" s="79" t="str">
        <f>IF(A658="","",IF(S658=0,"Date manquante ou invalide",IF(C658="","Équipement manquant",IF(ISNA(MATCH(C658,eq_code,0)),"Équipement inconnu",IF(E658="","Type manquant",IF(AND(E658&lt;&gt;"Préventif",E658&lt;&gt;"Correctif",E658&lt;&gt;"Amélioratif"),"Type inconnu",IF(I658="","Statut manquant",IF(AND(I658&lt;&gt;"Terminée",I658&lt;&gt;"En cours",I658&lt;&gt;"À faire",I658&lt;&gt;"Annulée"),"Statut inconnu",IF(AND(E658="Préventif",F658=""),"Plan manquant (préventif)",IF(AND(F658&lt;&gt;"",ISNA(MATCH(F658,pl_num,0))),"Plan inconnu",IF(AND(F658&lt;&gt;"",IFERROR(INDEX(pl_eq,MATCH(F658,pl_num,0))&amp;"",C658)&lt;&gt;C658),"Plan d'un autre équipement",IF(AND(J658&lt;&gt;"",OR(NOT(ISNUMBER(J658)),N(J658)&lt;0)),"Compteur invalide",IF(OR(AND(K658&lt;&gt;"",OR(NOT(ISNUMBER(K658)),N(K658)&lt;0)),AND(L658&lt;&gt;"",OR(NOT(ISNUMBER(L658)),N(L658)&lt;0))),"Durée invalide",IF(OR(AND(N658&lt;&gt;"",OR(NOT(ISNUMBER(N658)),N(N658)&lt;0)),AND(P658&lt;&gt;"",OR(NOT(ISNUMBER(P658)),N(P658)&lt;0))),"Coût invalide",IF(AND(M658&lt;&gt;"",ISNA(MATCH(M658,tech_name,0))),"Technicien inconnu",IF(AND(I658="Terminée",S658&gt;p_today),"Terminée à une date future",IF(AND(I658="Terminée",V658=0),"Durée d'intervention manquante",IF(AND(I658="Terminée",E658="Préventif",T658=0,OR(IFERROR(INDEX(pl_trig,MATCH(F658,pl_num,0))&amp;"","")="Compteur",IFERROR(INDEX(pl_trig,MATCH(F658,pl_num,0))&amp;"","")="Au premier des deux")),"Compteur manquant (plan au compteur)","OK"))))))))))))))))))</f>
        <v/>
      </c>
      <c r="S658" s="67">
        <f>IF(AND(ISNUMBER(B658),N(B658)&gt;0),INT(B658),0)</f>
        <v>0.0</v>
      </c>
      <c r="T658" s="67">
        <f>IF(AND(ISNUMBER(J658),N(J658)&gt;=0),N(J658),0)</f>
        <v>0.0</v>
      </c>
      <c r="U658" s="67">
        <f>IF(AND(ISNUMBER(K658),N(K658)&gt;0),N(K658),0)</f>
        <v>0.0</v>
      </c>
      <c r="V658" s="67">
        <f>IF(AND(ISNUMBER(L658),N(L658)&gt;0),N(L658),0)</f>
        <v>0.0</v>
      </c>
      <c r="W658" s="67">
        <f>IF(AND(I658="Terminée",S658&gt;0,C658&lt;&gt;"",ISNUMBER(MATCH(C658,eq_code,0))),1,0)</f>
        <v>0.0</v>
      </c>
      <c r="X658" s="67">
        <f>IF(AND(W658=1,E658="Préventif"),1,0)</f>
        <v>0.0</v>
      </c>
      <c r="Y658" s="67">
        <f>IF(AND(ISNUMBER(N658),N(N658)&gt;0),N(N658),0)</f>
        <v>0.0</v>
      </c>
      <c r="Z658" s="67">
        <f>IF(AND(ISNUMBER(P658),N(P658)&gt;0),N(P658),0)</f>
        <v>0.0</v>
      </c>
    </row>
    <row r="659">
      <c r="A659" s="79" t="str">
        <f>IF(COUNTA(B659:C659,E659:G659,I659)=0,"","BI-"&amp;RIGHT("0000"&amp;(ROW()-5),4))</f>
        <v/>
      </c>
      <c r="B659" s="72" t="n"/>
      <c r="C659" s="66" t="n"/>
      <c r="D659" s="67" t="str">
        <f>IF(C659="","",IFERROR(INDEX(eq_des,MATCH(C659,eq_code,0))&amp;"","Équipement inconnu"))</f>
        <v/>
      </c>
      <c r="E659" s="68" t="n"/>
      <c r="F659" s="68" t="n"/>
      <c r="G659" s="66" t="n"/>
      <c r="H659" s="66" t="n"/>
      <c r="I659" s="68" t="n"/>
      <c r="J659" s="73" t="n"/>
      <c r="K659" s="71" t="n"/>
      <c r="L659" s="71" t="n"/>
      <c r="M659" s="66" t="n"/>
      <c r="N659" s="80" t="n"/>
      <c r="O659" s="81" t="str">
        <f>IF(A659="","",ROUND(V659*IFERROR(N(INDEX(tech_rate,MATCH(M659,tech_name,0))),0),2))</f>
        <v/>
      </c>
      <c r="P659" s="80" t="n"/>
      <c r="Q659" s="81" t="str">
        <f>IF(A659="","",ROUND(Y659+O659+Z659,2))</f>
        <v/>
      </c>
      <c r="R659" s="79" t="str">
        <f>IF(A659="","",IF(S659=0,"Date manquante ou invalide",IF(C659="","Équipement manquant",IF(ISNA(MATCH(C659,eq_code,0)),"Équipement inconnu",IF(E659="","Type manquant",IF(AND(E659&lt;&gt;"Préventif",E659&lt;&gt;"Correctif",E659&lt;&gt;"Amélioratif"),"Type inconnu",IF(I659="","Statut manquant",IF(AND(I659&lt;&gt;"Terminée",I659&lt;&gt;"En cours",I659&lt;&gt;"À faire",I659&lt;&gt;"Annulée"),"Statut inconnu",IF(AND(E659="Préventif",F659=""),"Plan manquant (préventif)",IF(AND(F659&lt;&gt;"",ISNA(MATCH(F659,pl_num,0))),"Plan inconnu",IF(AND(F659&lt;&gt;"",IFERROR(INDEX(pl_eq,MATCH(F659,pl_num,0))&amp;"",C659)&lt;&gt;C659),"Plan d'un autre équipement",IF(AND(J659&lt;&gt;"",OR(NOT(ISNUMBER(J659)),N(J659)&lt;0)),"Compteur invalide",IF(OR(AND(K659&lt;&gt;"",OR(NOT(ISNUMBER(K659)),N(K659)&lt;0)),AND(L659&lt;&gt;"",OR(NOT(ISNUMBER(L659)),N(L659)&lt;0))),"Durée invalide",IF(OR(AND(N659&lt;&gt;"",OR(NOT(ISNUMBER(N659)),N(N659)&lt;0)),AND(P659&lt;&gt;"",OR(NOT(ISNUMBER(P659)),N(P659)&lt;0))),"Coût invalide",IF(AND(M659&lt;&gt;"",ISNA(MATCH(M659,tech_name,0))),"Technicien inconnu",IF(AND(I659="Terminée",S659&gt;p_today),"Terminée à une date future",IF(AND(I659="Terminée",V659=0),"Durée d'intervention manquante",IF(AND(I659="Terminée",E659="Préventif",T659=0,OR(IFERROR(INDEX(pl_trig,MATCH(F659,pl_num,0))&amp;"","")="Compteur",IFERROR(INDEX(pl_trig,MATCH(F659,pl_num,0))&amp;"","")="Au premier des deux")),"Compteur manquant (plan au compteur)","OK"))))))))))))))))))</f>
        <v/>
      </c>
      <c r="S659" s="67">
        <f>IF(AND(ISNUMBER(B659),N(B659)&gt;0),INT(B659),0)</f>
        <v>0.0</v>
      </c>
      <c r="T659" s="67">
        <f>IF(AND(ISNUMBER(J659),N(J659)&gt;=0),N(J659),0)</f>
        <v>0.0</v>
      </c>
      <c r="U659" s="67">
        <f>IF(AND(ISNUMBER(K659),N(K659)&gt;0),N(K659),0)</f>
        <v>0.0</v>
      </c>
      <c r="V659" s="67">
        <f>IF(AND(ISNUMBER(L659),N(L659)&gt;0),N(L659),0)</f>
        <v>0.0</v>
      </c>
      <c r="W659" s="67">
        <f>IF(AND(I659="Terminée",S659&gt;0,C659&lt;&gt;"",ISNUMBER(MATCH(C659,eq_code,0))),1,0)</f>
        <v>0.0</v>
      </c>
      <c r="X659" s="67">
        <f>IF(AND(W659=1,E659="Préventif"),1,0)</f>
        <v>0.0</v>
      </c>
      <c r="Y659" s="67">
        <f>IF(AND(ISNUMBER(N659),N(N659)&gt;0),N(N659),0)</f>
        <v>0.0</v>
      </c>
      <c r="Z659" s="67">
        <f>IF(AND(ISNUMBER(P659),N(P659)&gt;0),N(P659),0)</f>
        <v>0.0</v>
      </c>
    </row>
    <row r="660">
      <c r="A660" s="79" t="str">
        <f>IF(COUNTA(B660:C660,E660:G660,I660)=0,"","BI-"&amp;RIGHT("0000"&amp;(ROW()-5),4))</f>
        <v/>
      </c>
      <c r="B660" s="72" t="n"/>
      <c r="C660" s="66" t="n"/>
      <c r="D660" s="67" t="str">
        <f>IF(C660="","",IFERROR(INDEX(eq_des,MATCH(C660,eq_code,0))&amp;"","Équipement inconnu"))</f>
        <v/>
      </c>
      <c r="E660" s="68" t="n"/>
      <c r="F660" s="68" t="n"/>
      <c r="G660" s="66" t="n"/>
      <c r="H660" s="66" t="n"/>
      <c r="I660" s="68" t="n"/>
      <c r="J660" s="73" t="n"/>
      <c r="K660" s="71" t="n"/>
      <c r="L660" s="71" t="n"/>
      <c r="M660" s="66" t="n"/>
      <c r="N660" s="80" t="n"/>
      <c r="O660" s="81" t="str">
        <f>IF(A660="","",ROUND(V660*IFERROR(N(INDEX(tech_rate,MATCH(M660,tech_name,0))),0),2))</f>
        <v/>
      </c>
      <c r="P660" s="80" t="n"/>
      <c r="Q660" s="81" t="str">
        <f>IF(A660="","",ROUND(Y660+O660+Z660,2))</f>
        <v/>
      </c>
      <c r="R660" s="79" t="str">
        <f>IF(A660="","",IF(S660=0,"Date manquante ou invalide",IF(C660="","Équipement manquant",IF(ISNA(MATCH(C660,eq_code,0)),"Équipement inconnu",IF(E660="","Type manquant",IF(AND(E660&lt;&gt;"Préventif",E660&lt;&gt;"Correctif",E660&lt;&gt;"Amélioratif"),"Type inconnu",IF(I660="","Statut manquant",IF(AND(I660&lt;&gt;"Terminée",I660&lt;&gt;"En cours",I660&lt;&gt;"À faire",I660&lt;&gt;"Annulée"),"Statut inconnu",IF(AND(E660="Préventif",F660=""),"Plan manquant (préventif)",IF(AND(F660&lt;&gt;"",ISNA(MATCH(F660,pl_num,0))),"Plan inconnu",IF(AND(F660&lt;&gt;"",IFERROR(INDEX(pl_eq,MATCH(F660,pl_num,0))&amp;"",C660)&lt;&gt;C660),"Plan d'un autre équipement",IF(AND(J660&lt;&gt;"",OR(NOT(ISNUMBER(J660)),N(J660)&lt;0)),"Compteur invalide",IF(OR(AND(K660&lt;&gt;"",OR(NOT(ISNUMBER(K660)),N(K660)&lt;0)),AND(L660&lt;&gt;"",OR(NOT(ISNUMBER(L660)),N(L660)&lt;0))),"Durée invalide",IF(OR(AND(N660&lt;&gt;"",OR(NOT(ISNUMBER(N660)),N(N660)&lt;0)),AND(P660&lt;&gt;"",OR(NOT(ISNUMBER(P660)),N(P660)&lt;0))),"Coût invalide",IF(AND(M660&lt;&gt;"",ISNA(MATCH(M660,tech_name,0))),"Technicien inconnu",IF(AND(I660="Terminée",S660&gt;p_today),"Terminée à une date future",IF(AND(I660="Terminée",V660=0),"Durée d'intervention manquante",IF(AND(I660="Terminée",E660="Préventif",T660=0,OR(IFERROR(INDEX(pl_trig,MATCH(F660,pl_num,0))&amp;"","")="Compteur",IFERROR(INDEX(pl_trig,MATCH(F660,pl_num,0))&amp;"","")="Au premier des deux")),"Compteur manquant (plan au compteur)","OK"))))))))))))))))))</f>
        <v/>
      </c>
      <c r="S660" s="67">
        <f>IF(AND(ISNUMBER(B660),N(B660)&gt;0),INT(B660),0)</f>
        <v>0.0</v>
      </c>
      <c r="T660" s="67">
        <f>IF(AND(ISNUMBER(J660),N(J660)&gt;=0),N(J660),0)</f>
        <v>0.0</v>
      </c>
      <c r="U660" s="67">
        <f>IF(AND(ISNUMBER(K660),N(K660)&gt;0),N(K660),0)</f>
        <v>0.0</v>
      </c>
      <c r="V660" s="67">
        <f>IF(AND(ISNUMBER(L660),N(L660)&gt;0),N(L660),0)</f>
        <v>0.0</v>
      </c>
      <c r="W660" s="67">
        <f>IF(AND(I660="Terminée",S660&gt;0,C660&lt;&gt;"",ISNUMBER(MATCH(C660,eq_code,0))),1,0)</f>
        <v>0.0</v>
      </c>
      <c r="X660" s="67">
        <f>IF(AND(W660=1,E660="Préventif"),1,0)</f>
        <v>0.0</v>
      </c>
      <c r="Y660" s="67">
        <f>IF(AND(ISNUMBER(N660),N(N660)&gt;0),N(N660),0)</f>
        <v>0.0</v>
      </c>
      <c r="Z660" s="67">
        <f>IF(AND(ISNUMBER(P660),N(P660)&gt;0),N(P660),0)</f>
        <v>0.0</v>
      </c>
    </row>
    <row r="661">
      <c r="A661" s="79" t="str">
        <f>IF(COUNTA(B661:C661,E661:G661,I661)=0,"","BI-"&amp;RIGHT("0000"&amp;(ROW()-5),4))</f>
        <v/>
      </c>
      <c r="B661" s="72" t="n"/>
      <c r="C661" s="66" t="n"/>
      <c r="D661" s="67" t="str">
        <f>IF(C661="","",IFERROR(INDEX(eq_des,MATCH(C661,eq_code,0))&amp;"","Équipement inconnu"))</f>
        <v/>
      </c>
      <c r="E661" s="68" t="n"/>
      <c r="F661" s="68" t="n"/>
      <c r="G661" s="66" t="n"/>
      <c r="H661" s="66" t="n"/>
      <c r="I661" s="68" t="n"/>
      <c r="J661" s="73" t="n"/>
      <c r="K661" s="71" t="n"/>
      <c r="L661" s="71" t="n"/>
      <c r="M661" s="66" t="n"/>
      <c r="N661" s="80" t="n"/>
      <c r="O661" s="81" t="str">
        <f>IF(A661="","",ROUND(V661*IFERROR(N(INDEX(tech_rate,MATCH(M661,tech_name,0))),0),2))</f>
        <v/>
      </c>
      <c r="P661" s="80" t="n"/>
      <c r="Q661" s="81" t="str">
        <f>IF(A661="","",ROUND(Y661+O661+Z661,2))</f>
        <v/>
      </c>
      <c r="R661" s="79" t="str">
        <f>IF(A661="","",IF(S661=0,"Date manquante ou invalide",IF(C661="","Équipement manquant",IF(ISNA(MATCH(C661,eq_code,0)),"Équipement inconnu",IF(E661="","Type manquant",IF(AND(E661&lt;&gt;"Préventif",E661&lt;&gt;"Correctif",E661&lt;&gt;"Amélioratif"),"Type inconnu",IF(I661="","Statut manquant",IF(AND(I661&lt;&gt;"Terminée",I661&lt;&gt;"En cours",I661&lt;&gt;"À faire",I661&lt;&gt;"Annulée"),"Statut inconnu",IF(AND(E661="Préventif",F661=""),"Plan manquant (préventif)",IF(AND(F661&lt;&gt;"",ISNA(MATCH(F661,pl_num,0))),"Plan inconnu",IF(AND(F661&lt;&gt;"",IFERROR(INDEX(pl_eq,MATCH(F661,pl_num,0))&amp;"",C661)&lt;&gt;C661),"Plan d'un autre équipement",IF(AND(J661&lt;&gt;"",OR(NOT(ISNUMBER(J661)),N(J661)&lt;0)),"Compteur invalide",IF(OR(AND(K661&lt;&gt;"",OR(NOT(ISNUMBER(K661)),N(K661)&lt;0)),AND(L661&lt;&gt;"",OR(NOT(ISNUMBER(L661)),N(L661)&lt;0))),"Durée invalide",IF(OR(AND(N661&lt;&gt;"",OR(NOT(ISNUMBER(N661)),N(N661)&lt;0)),AND(P661&lt;&gt;"",OR(NOT(ISNUMBER(P661)),N(P661)&lt;0))),"Coût invalide",IF(AND(M661&lt;&gt;"",ISNA(MATCH(M661,tech_name,0))),"Technicien inconnu",IF(AND(I661="Terminée",S661&gt;p_today),"Terminée à une date future",IF(AND(I661="Terminée",V661=0),"Durée d'intervention manquante",IF(AND(I661="Terminée",E661="Préventif",T661=0,OR(IFERROR(INDEX(pl_trig,MATCH(F661,pl_num,0))&amp;"","")="Compteur",IFERROR(INDEX(pl_trig,MATCH(F661,pl_num,0))&amp;"","")="Au premier des deux")),"Compteur manquant (plan au compteur)","OK"))))))))))))))))))</f>
        <v/>
      </c>
      <c r="S661" s="67">
        <f>IF(AND(ISNUMBER(B661),N(B661)&gt;0),INT(B661),0)</f>
        <v>0.0</v>
      </c>
      <c r="T661" s="67">
        <f>IF(AND(ISNUMBER(J661),N(J661)&gt;=0),N(J661),0)</f>
        <v>0.0</v>
      </c>
      <c r="U661" s="67">
        <f>IF(AND(ISNUMBER(K661),N(K661)&gt;0),N(K661),0)</f>
        <v>0.0</v>
      </c>
      <c r="V661" s="67">
        <f>IF(AND(ISNUMBER(L661),N(L661)&gt;0),N(L661),0)</f>
        <v>0.0</v>
      </c>
      <c r="W661" s="67">
        <f>IF(AND(I661="Terminée",S661&gt;0,C661&lt;&gt;"",ISNUMBER(MATCH(C661,eq_code,0))),1,0)</f>
        <v>0.0</v>
      </c>
      <c r="X661" s="67">
        <f>IF(AND(W661=1,E661="Préventif"),1,0)</f>
        <v>0.0</v>
      </c>
      <c r="Y661" s="67">
        <f>IF(AND(ISNUMBER(N661),N(N661)&gt;0),N(N661),0)</f>
        <v>0.0</v>
      </c>
      <c r="Z661" s="67">
        <f>IF(AND(ISNUMBER(P661),N(P661)&gt;0),N(P661),0)</f>
        <v>0.0</v>
      </c>
    </row>
    <row r="662">
      <c r="A662" s="79" t="str">
        <f>IF(COUNTA(B662:C662,E662:G662,I662)=0,"","BI-"&amp;RIGHT("0000"&amp;(ROW()-5),4))</f>
        <v/>
      </c>
      <c r="B662" s="72" t="n"/>
      <c r="C662" s="66" t="n"/>
      <c r="D662" s="67" t="str">
        <f>IF(C662="","",IFERROR(INDEX(eq_des,MATCH(C662,eq_code,0))&amp;"","Équipement inconnu"))</f>
        <v/>
      </c>
      <c r="E662" s="68" t="n"/>
      <c r="F662" s="68" t="n"/>
      <c r="G662" s="66" t="n"/>
      <c r="H662" s="66" t="n"/>
      <c r="I662" s="68" t="n"/>
      <c r="J662" s="73" t="n"/>
      <c r="K662" s="71" t="n"/>
      <c r="L662" s="71" t="n"/>
      <c r="M662" s="66" t="n"/>
      <c r="N662" s="80" t="n"/>
      <c r="O662" s="81" t="str">
        <f>IF(A662="","",ROUND(V662*IFERROR(N(INDEX(tech_rate,MATCH(M662,tech_name,0))),0),2))</f>
        <v/>
      </c>
      <c r="P662" s="80" t="n"/>
      <c r="Q662" s="81" t="str">
        <f>IF(A662="","",ROUND(Y662+O662+Z662,2))</f>
        <v/>
      </c>
      <c r="R662" s="79" t="str">
        <f>IF(A662="","",IF(S662=0,"Date manquante ou invalide",IF(C662="","Équipement manquant",IF(ISNA(MATCH(C662,eq_code,0)),"Équipement inconnu",IF(E662="","Type manquant",IF(AND(E662&lt;&gt;"Préventif",E662&lt;&gt;"Correctif",E662&lt;&gt;"Amélioratif"),"Type inconnu",IF(I662="","Statut manquant",IF(AND(I662&lt;&gt;"Terminée",I662&lt;&gt;"En cours",I662&lt;&gt;"À faire",I662&lt;&gt;"Annulée"),"Statut inconnu",IF(AND(E662="Préventif",F662=""),"Plan manquant (préventif)",IF(AND(F662&lt;&gt;"",ISNA(MATCH(F662,pl_num,0))),"Plan inconnu",IF(AND(F662&lt;&gt;"",IFERROR(INDEX(pl_eq,MATCH(F662,pl_num,0))&amp;"",C662)&lt;&gt;C662),"Plan d'un autre équipement",IF(AND(J662&lt;&gt;"",OR(NOT(ISNUMBER(J662)),N(J662)&lt;0)),"Compteur invalide",IF(OR(AND(K662&lt;&gt;"",OR(NOT(ISNUMBER(K662)),N(K662)&lt;0)),AND(L662&lt;&gt;"",OR(NOT(ISNUMBER(L662)),N(L662)&lt;0))),"Durée invalide",IF(OR(AND(N662&lt;&gt;"",OR(NOT(ISNUMBER(N662)),N(N662)&lt;0)),AND(P662&lt;&gt;"",OR(NOT(ISNUMBER(P662)),N(P662)&lt;0))),"Coût invalide",IF(AND(M662&lt;&gt;"",ISNA(MATCH(M662,tech_name,0))),"Technicien inconnu",IF(AND(I662="Terminée",S662&gt;p_today),"Terminée à une date future",IF(AND(I662="Terminée",V662=0),"Durée d'intervention manquante",IF(AND(I662="Terminée",E662="Préventif",T662=0,OR(IFERROR(INDEX(pl_trig,MATCH(F662,pl_num,0))&amp;"","")="Compteur",IFERROR(INDEX(pl_trig,MATCH(F662,pl_num,0))&amp;"","")="Au premier des deux")),"Compteur manquant (plan au compteur)","OK"))))))))))))))))))</f>
        <v/>
      </c>
      <c r="S662" s="67">
        <f>IF(AND(ISNUMBER(B662),N(B662)&gt;0),INT(B662),0)</f>
        <v>0.0</v>
      </c>
      <c r="T662" s="67">
        <f>IF(AND(ISNUMBER(J662),N(J662)&gt;=0),N(J662),0)</f>
        <v>0.0</v>
      </c>
      <c r="U662" s="67">
        <f>IF(AND(ISNUMBER(K662),N(K662)&gt;0),N(K662),0)</f>
        <v>0.0</v>
      </c>
      <c r="V662" s="67">
        <f>IF(AND(ISNUMBER(L662),N(L662)&gt;0),N(L662),0)</f>
        <v>0.0</v>
      </c>
      <c r="W662" s="67">
        <f>IF(AND(I662="Terminée",S662&gt;0,C662&lt;&gt;"",ISNUMBER(MATCH(C662,eq_code,0))),1,0)</f>
        <v>0.0</v>
      </c>
      <c r="X662" s="67">
        <f>IF(AND(W662=1,E662="Préventif"),1,0)</f>
        <v>0.0</v>
      </c>
      <c r="Y662" s="67">
        <f>IF(AND(ISNUMBER(N662),N(N662)&gt;0),N(N662),0)</f>
        <v>0.0</v>
      </c>
      <c r="Z662" s="67">
        <f>IF(AND(ISNUMBER(P662),N(P662)&gt;0),N(P662),0)</f>
        <v>0.0</v>
      </c>
    </row>
    <row r="663">
      <c r="A663" s="79" t="str">
        <f>IF(COUNTA(B663:C663,E663:G663,I663)=0,"","BI-"&amp;RIGHT("0000"&amp;(ROW()-5),4))</f>
        <v/>
      </c>
      <c r="B663" s="72" t="n"/>
      <c r="C663" s="66" t="n"/>
      <c r="D663" s="67" t="str">
        <f>IF(C663="","",IFERROR(INDEX(eq_des,MATCH(C663,eq_code,0))&amp;"","Équipement inconnu"))</f>
        <v/>
      </c>
      <c r="E663" s="68" t="n"/>
      <c r="F663" s="68" t="n"/>
      <c r="G663" s="66" t="n"/>
      <c r="H663" s="66" t="n"/>
      <c r="I663" s="68" t="n"/>
      <c r="J663" s="73" t="n"/>
      <c r="K663" s="71" t="n"/>
      <c r="L663" s="71" t="n"/>
      <c r="M663" s="66" t="n"/>
      <c r="N663" s="80" t="n"/>
      <c r="O663" s="81" t="str">
        <f>IF(A663="","",ROUND(V663*IFERROR(N(INDEX(tech_rate,MATCH(M663,tech_name,0))),0),2))</f>
        <v/>
      </c>
      <c r="P663" s="80" t="n"/>
      <c r="Q663" s="81" t="str">
        <f>IF(A663="","",ROUND(Y663+O663+Z663,2))</f>
        <v/>
      </c>
      <c r="R663" s="79" t="str">
        <f>IF(A663="","",IF(S663=0,"Date manquante ou invalide",IF(C663="","Équipement manquant",IF(ISNA(MATCH(C663,eq_code,0)),"Équipement inconnu",IF(E663="","Type manquant",IF(AND(E663&lt;&gt;"Préventif",E663&lt;&gt;"Correctif",E663&lt;&gt;"Amélioratif"),"Type inconnu",IF(I663="","Statut manquant",IF(AND(I663&lt;&gt;"Terminée",I663&lt;&gt;"En cours",I663&lt;&gt;"À faire",I663&lt;&gt;"Annulée"),"Statut inconnu",IF(AND(E663="Préventif",F663=""),"Plan manquant (préventif)",IF(AND(F663&lt;&gt;"",ISNA(MATCH(F663,pl_num,0))),"Plan inconnu",IF(AND(F663&lt;&gt;"",IFERROR(INDEX(pl_eq,MATCH(F663,pl_num,0))&amp;"",C663)&lt;&gt;C663),"Plan d'un autre équipement",IF(AND(J663&lt;&gt;"",OR(NOT(ISNUMBER(J663)),N(J663)&lt;0)),"Compteur invalide",IF(OR(AND(K663&lt;&gt;"",OR(NOT(ISNUMBER(K663)),N(K663)&lt;0)),AND(L663&lt;&gt;"",OR(NOT(ISNUMBER(L663)),N(L663)&lt;0))),"Durée invalide",IF(OR(AND(N663&lt;&gt;"",OR(NOT(ISNUMBER(N663)),N(N663)&lt;0)),AND(P663&lt;&gt;"",OR(NOT(ISNUMBER(P663)),N(P663)&lt;0))),"Coût invalide",IF(AND(M663&lt;&gt;"",ISNA(MATCH(M663,tech_name,0))),"Technicien inconnu",IF(AND(I663="Terminée",S663&gt;p_today),"Terminée à une date future",IF(AND(I663="Terminée",V663=0),"Durée d'intervention manquante",IF(AND(I663="Terminée",E663="Préventif",T663=0,OR(IFERROR(INDEX(pl_trig,MATCH(F663,pl_num,0))&amp;"","")="Compteur",IFERROR(INDEX(pl_trig,MATCH(F663,pl_num,0))&amp;"","")="Au premier des deux")),"Compteur manquant (plan au compteur)","OK"))))))))))))))))))</f>
        <v/>
      </c>
      <c r="S663" s="67">
        <f>IF(AND(ISNUMBER(B663),N(B663)&gt;0),INT(B663),0)</f>
        <v>0.0</v>
      </c>
      <c r="T663" s="67">
        <f>IF(AND(ISNUMBER(J663),N(J663)&gt;=0),N(J663),0)</f>
        <v>0.0</v>
      </c>
      <c r="U663" s="67">
        <f>IF(AND(ISNUMBER(K663),N(K663)&gt;0),N(K663),0)</f>
        <v>0.0</v>
      </c>
      <c r="V663" s="67">
        <f>IF(AND(ISNUMBER(L663),N(L663)&gt;0),N(L663),0)</f>
        <v>0.0</v>
      </c>
      <c r="W663" s="67">
        <f>IF(AND(I663="Terminée",S663&gt;0,C663&lt;&gt;"",ISNUMBER(MATCH(C663,eq_code,0))),1,0)</f>
        <v>0.0</v>
      </c>
      <c r="X663" s="67">
        <f>IF(AND(W663=1,E663="Préventif"),1,0)</f>
        <v>0.0</v>
      </c>
      <c r="Y663" s="67">
        <f>IF(AND(ISNUMBER(N663),N(N663)&gt;0),N(N663),0)</f>
        <v>0.0</v>
      </c>
      <c r="Z663" s="67">
        <f>IF(AND(ISNUMBER(P663),N(P663)&gt;0),N(P663),0)</f>
        <v>0.0</v>
      </c>
    </row>
    <row r="664">
      <c r="A664" s="79" t="str">
        <f>IF(COUNTA(B664:C664,E664:G664,I664)=0,"","BI-"&amp;RIGHT("0000"&amp;(ROW()-5),4))</f>
        <v/>
      </c>
      <c r="B664" s="72" t="n"/>
      <c r="C664" s="66" t="n"/>
      <c r="D664" s="67" t="str">
        <f>IF(C664="","",IFERROR(INDEX(eq_des,MATCH(C664,eq_code,0))&amp;"","Équipement inconnu"))</f>
        <v/>
      </c>
      <c r="E664" s="68" t="n"/>
      <c r="F664" s="68" t="n"/>
      <c r="G664" s="66" t="n"/>
      <c r="H664" s="66" t="n"/>
      <c r="I664" s="68" t="n"/>
      <c r="J664" s="73" t="n"/>
      <c r="K664" s="71" t="n"/>
      <c r="L664" s="71" t="n"/>
      <c r="M664" s="66" t="n"/>
      <c r="N664" s="80" t="n"/>
      <c r="O664" s="81" t="str">
        <f>IF(A664="","",ROUND(V664*IFERROR(N(INDEX(tech_rate,MATCH(M664,tech_name,0))),0),2))</f>
        <v/>
      </c>
      <c r="P664" s="80" t="n"/>
      <c r="Q664" s="81" t="str">
        <f>IF(A664="","",ROUND(Y664+O664+Z664,2))</f>
        <v/>
      </c>
      <c r="R664" s="79" t="str">
        <f>IF(A664="","",IF(S664=0,"Date manquante ou invalide",IF(C664="","Équipement manquant",IF(ISNA(MATCH(C664,eq_code,0)),"Équipement inconnu",IF(E664="","Type manquant",IF(AND(E664&lt;&gt;"Préventif",E664&lt;&gt;"Correctif",E664&lt;&gt;"Amélioratif"),"Type inconnu",IF(I664="","Statut manquant",IF(AND(I664&lt;&gt;"Terminée",I664&lt;&gt;"En cours",I664&lt;&gt;"À faire",I664&lt;&gt;"Annulée"),"Statut inconnu",IF(AND(E664="Préventif",F664=""),"Plan manquant (préventif)",IF(AND(F664&lt;&gt;"",ISNA(MATCH(F664,pl_num,0))),"Plan inconnu",IF(AND(F664&lt;&gt;"",IFERROR(INDEX(pl_eq,MATCH(F664,pl_num,0))&amp;"",C664)&lt;&gt;C664),"Plan d'un autre équipement",IF(AND(J664&lt;&gt;"",OR(NOT(ISNUMBER(J664)),N(J664)&lt;0)),"Compteur invalide",IF(OR(AND(K664&lt;&gt;"",OR(NOT(ISNUMBER(K664)),N(K664)&lt;0)),AND(L664&lt;&gt;"",OR(NOT(ISNUMBER(L664)),N(L664)&lt;0))),"Durée invalide",IF(OR(AND(N664&lt;&gt;"",OR(NOT(ISNUMBER(N664)),N(N664)&lt;0)),AND(P664&lt;&gt;"",OR(NOT(ISNUMBER(P664)),N(P664)&lt;0))),"Coût invalide",IF(AND(M664&lt;&gt;"",ISNA(MATCH(M664,tech_name,0))),"Technicien inconnu",IF(AND(I664="Terminée",S664&gt;p_today),"Terminée à une date future",IF(AND(I664="Terminée",V664=0),"Durée d'intervention manquante",IF(AND(I664="Terminée",E664="Préventif",T664=0,OR(IFERROR(INDEX(pl_trig,MATCH(F664,pl_num,0))&amp;"","")="Compteur",IFERROR(INDEX(pl_trig,MATCH(F664,pl_num,0))&amp;"","")="Au premier des deux")),"Compteur manquant (plan au compteur)","OK"))))))))))))))))))</f>
        <v/>
      </c>
      <c r="S664" s="67">
        <f>IF(AND(ISNUMBER(B664),N(B664)&gt;0),INT(B664),0)</f>
        <v>0.0</v>
      </c>
      <c r="T664" s="67">
        <f>IF(AND(ISNUMBER(J664),N(J664)&gt;=0),N(J664),0)</f>
        <v>0.0</v>
      </c>
      <c r="U664" s="67">
        <f>IF(AND(ISNUMBER(K664),N(K664)&gt;0),N(K664),0)</f>
        <v>0.0</v>
      </c>
      <c r="V664" s="67">
        <f>IF(AND(ISNUMBER(L664),N(L664)&gt;0),N(L664),0)</f>
        <v>0.0</v>
      </c>
      <c r="W664" s="67">
        <f>IF(AND(I664="Terminée",S664&gt;0,C664&lt;&gt;"",ISNUMBER(MATCH(C664,eq_code,0))),1,0)</f>
        <v>0.0</v>
      </c>
      <c r="X664" s="67">
        <f>IF(AND(W664=1,E664="Préventif"),1,0)</f>
        <v>0.0</v>
      </c>
      <c r="Y664" s="67">
        <f>IF(AND(ISNUMBER(N664),N(N664)&gt;0),N(N664),0)</f>
        <v>0.0</v>
      </c>
      <c r="Z664" s="67">
        <f>IF(AND(ISNUMBER(P664),N(P664)&gt;0),N(P664),0)</f>
        <v>0.0</v>
      </c>
    </row>
    <row r="665">
      <c r="A665" s="79" t="str">
        <f>IF(COUNTA(B665:C665,E665:G665,I665)=0,"","BI-"&amp;RIGHT("0000"&amp;(ROW()-5),4))</f>
        <v/>
      </c>
      <c r="B665" s="72" t="n"/>
      <c r="C665" s="66" t="n"/>
      <c r="D665" s="67" t="str">
        <f>IF(C665="","",IFERROR(INDEX(eq_des,MATCH(C665,eq_code,0))&amp;"","Équipement inconnu"))</f>
        <v/>
      </c>
      <c r="E665" s="68" t="n"/>
      <c r="F665" s="68" t="n"/>
      <c r="G665" s="66" t="n"/>
      <c r="H665" s="66" t="n"/>
      <c r="I665" s="68" t="n"/>
      <c r="J665" s="73" t="n"/>
      <c r="K665" s="71" t="n"/>
      <c r="L665" s="71" t="n"/>
      <c r="M665" s="66" t="n"/>
      <c r="N665" s="80" t="n"/>
      <c r="O665" s="81" t="str">
        <f>IF(A665="","",ROUND(V665*IFERROR(N(INDEX(tech_rate,MATCH(M665,tech_name,0))),0),2))</f>
        <v/>
      </c>
      <c r="P665" s="80" t="n"/>
      <c r="Q665" s="81" t="str">
        <f>IF(A665="","",ROUND(Y665+O665+Z665,2))</f>
        <v/>
      </c>
      <c r="R665" s="79" t="str">
        <f>IF(A665="","",IF(S665=0,"Date manquante ou invalide",IF(C665="","Équipement manquant",IF(ISNA(MATCH(C665,eq_code,0)),"Équipement inconnu",IF(E665="","Type manquant",IF(AND(E665&lt;&gt;"Préventif",E665&lt;&gt;"Correctif",E665&lt;&gt;"Amélioratif"),"Type inconnu",IF(I665="","Statut manquant",IF(AND(I665&lt;&gt;"Terminée",I665&lt;&gt;"En cours",I665&lt;&gt;"À faire",I665&lt;&gt;"Annulée"),"Statut inconnu",IF(AND(E665="Préventif",F665=""),"Plan manquant (préventif)",IF(AND(F665&lt;&gt;"",ISNA(MATCH(F665,pl_num,0))),"Plan inconnu",IF(AND(F665&lt;&gt;"",IFERROR(INDEX(pl_eq,MATCH(F665,pl_num,0))&amp;"",C665)&lt;&gt;C665),"Plan d'un autre équipement",IF(AND(J665&lt;&gt;"",OR(NOT(ISNUMBER(J665)),N(J665)&lt;0)),"Compteur invalide",IF(OR(AND(K665&lt;&gt;"",OR(NOT(ISNUMBER(K665)),N(K665)&lt;0)),AND(L665&lt;&gt;"",OR(NOT(ISNUMBER(L665)),N(L665)&lt;0))),"Durée invalide",IF(OR(AND(N665&lt;&gt;"",OR(NOT(ISNUMBER(N665)),N(N665)&lt;0)),AND(P665&lt;&gt;"",OR(NOT(ISNUMBER(P665)),N(P665)&lt;0))),"Coût invalide",IF(AND(M665&lt;&gt;"",ISNA(MATCH(M665,tech_name,0))),"Technicien inconnu",IF(AND(I665="Terminée",S665&gt;p_today),"Terminée à une date future",IF(AND(I665="Terminée",V665=0),"Durée d'intervention manquante",IF(AND(I665="Terminée",E665="Préventif",T665=0,OR(IFERROR(INDEX(pl_trig,MATCH(F665,pl_num,0))&amp;"","")="Compteur",IFERROR(INDEX(pl_trig,MATCH(F665,pl_num,0))&amp;"","")="Au premier des deux")),"Compteur manquant (plan au compteur)","OK"))))))))))))))))))</f>
        <v/>
      </c>
      <c r="S665" s="67">
        <f>IF(AND(ISNUMBER(B665),N(B665)&gt;0),INT(B665),0)</f>
        <v>0.0</v>
      </c>
      <c r="T665" s="67">
        <f>IF(AND(ISNUMBER(J665),N(J665)&gt;=0),N(J665),0)</f>
        <v>0.0</v>
      </c>
      <c r="U665" s="67">
        <f>IF(AND(ISNUMBER(K665),N(K665)&gt;0),N(K665),0)</f>
        <v>0.0</v>
      </c>
      <c r="V665" s="67">
        <f>IF(AND(ISNUMBER(L665),N(L665)&gt;0),N(L665),0)</f>
        <v>0.0</v>
      </c>
      <c r="W665" s="67">
        <f>IF(AND(I665="Terminée",S665&gt;0,C665&lt;&gt;"",ISNUMBER(MATCH(C665,eq_code,0))),1,0)</f>
        <v>0.0</v>
      </c>
      <c r="X665" s="67">
        <f>IF(AND(W665=1,E665="Préventif"),1,0)</f>
        <v>0.0</v>
      </c>
      <c r="Y665" s="67">
        <f>IF(AND(ISNUMBER(N665),N(N665)&gt;0),N(N665),0)</f>
        <v>0.0</v>
      </c>
      <c r="Z665" s="67">
        <f>IF(AND(ISNUMBER(P665),N(P665)&gt;0),N(P665),0)</f>
        <v>0.0</v>
      </c>
    </row>
    <row r="666">
      <c r="A666" s="79" t="str">
        <f>IF(COUNTA(B666:C666,E666:G666,I666)=0,"","BI-"&amp;RIGHT("0000"&amp;(ROW()-5),4))</f>
        <v/>
      </c>
      <c r="B666" s="72" t="n"/>
      <c r="C666" s="66" t="n"/>
      <c r="D666" s="67" t="str">
        <f>IF(C666="","",IFERROR(INDEX(eq_des,MATCH(C666,eq_code,0))&amp;"","Équipement inconnu"))</f>
        <v/>
      </c>
      <c r="E666" s="68" t="n"/>
      <c r="F666" s="68" t="n"/>
      <c r="G666" s="66" t="n"/>
      <c r="H666" s="66" t="n"/>
      <c r="I666" s="68" t="n"/>
      <c r="J666" s="73" t="n"/>
      <c r="K666" s="71" t="n"/>
      <c r="L666" s="71" t="n"/>
      <c r="M666" s="66" t="n"/>
      <c r="N666" s="80" t="n"/>
      <c r="O666" s="81" t="str">
        <f>IF(A666="","",ROUND(V666*IFERROR(N(INDEX(tech_rate,MATCH(M666,tech_name,0))),0),2))</f>
        <v/>
      </c>
      <c r="P666" s="80" t="n"/>
      <c r="Q666" s="81" t="str">
        <f>IF(A666="","",ROUND(Y666+O666+Z666,2))</f>
        <v/>
      </c>
      <c r="R666" s="79" t="str">
        <f>IF(A666="","",IF(S666=0,"Date manquante ou invalide",IF(C666="","Équipement manquant",IF(ISNA(MATCH(C666,eq_code,0)),"Équipement inconnu",IF(E666="","Type manquant",IF(AND(E666&lt;&gt;"Préventif",E666&lt;&gt;"Correctif",E666&lt;&gt;"Amélioratif"),"Type inconnu",IF(I666="","Statut manquant",IF(AND(I666&lt;&gt;"Terminée",I666&lt;&gt;"En cours",I666&lt;&gt;"À faire",I666&lt;&gt;"Annulée"),"Statut inconnu",IF(AND(E666="Préventif",F666=""),"Plan manquant (préventif)",IF(AND(F666&lt;&gt;"",ISNA(MATCH(F666,pl_num,0))),"Plan inconnu",IF(AND(F666&lt;&gt;"",IFERROR(INDEX(pl_eq,MATCH(F666,pl_num,0))&amp;"",C666)&lt;&gt;C666),"Plan d'un autre équipement",IF(AND(J666&lt;&gt;"",OR(NOT(ISNUMBER(J666)),N(J666)&lt;0)),"Compteur invalide",IF(OR(AND(K666&lt;&gt;"",OR(NOT(ISNUMBER(K666)),N(K666)&lt;0)),AND(L666&lt;&gt;"",OR(NOT(ISNUMBER(L666)),N(L666)&lt;0))),"Durée invalide",IF(OR(AND(N666&lt;&gt;"",OR(NOT(ISNUMBER(N666)),N(N666)&lt;0)),AND(P666&lt;&gt;"",OR(NOT(ISNUMBER(P666)),N(P666)&lt;0))),"Coût invalide",IF(AND(M666&lt;&gt;"",ISNA(MATCH(M666,tech_name,0))),"Technicien inconnu",IF(AND(I666="Terminée",S666&gt;p_today),"Terminée à une date future",IF(AND(I666="Terminée",V666=0),"Durée d'intervention manquante",IF(AND(I666="Terminée",E666="Préventif",T666=0,OR(IFERROR(INDEX(pl_trig,MATCH(F666,pl_num,0))&amp;"","")="Compteur",IFERROR(INDEX(pl_trig,MATCH(F666,pl_num,0))&amp;"","")="Au premier des deux")),"Compteur manquant (plan au compteur)","OK"))))))))))))))))))</f>
        <v/>
      </c>
      <c r="S666" s="67">
        <f>IF(AND(ISNUMBER(B666),N(B666)&gt;0),INT(B666),0)</f>
        <v>0.0</v>
      </c>
      <c r="T666" s="67">
        <f>IF(AND(ISNUMBER(J666),N(J666)&gt;=0),N(J666),0)</f>
        <v>0.0</v>
      </c>
      <c r="U666" s="67">
        <f>IF(AND(ISNUMBER(K666),N(K666)&gt;0),N(K666),0)</f>
        <v>0.0</v>
      </c>
      <c r="V666" s="67">
        <f>IF(AND(ISNUMBER(L666),N(L666)&gt;0),N(L666),0)</f>
        <v>0.0</v>
      </c>
      <c r="W666" s="67">
        <f>IF(AND(I666="Terminée",S666&gt;0,C666&lt;&gt;"",ISNUMBER(MATCH(C666,eq_code,0))),1,0)</f>
        <v>0.0</v>
      </c>
      <c r="X666" s="67">
        <f>IF(AND(W666=1,E666="Préventif"),1,0)</f>
        <v>0.0</v>
      </c>
      <c r="Y666" s="67">
        <f>IF(AND(ISNUMBER(N666),N(N666)&gt;0),N(N666),0)</f>
        <v>0.0</v>
      </c>
      <c r="Z666" s="67">
        <f>IF(AND(ISNUMBER(P666),N(P666)&gt;0),N(P666),0)</f>
        <v>0.0</v>
      </c>
    </row>
    <row r="667">
      <c r="A667" s="79" t="str">
        <f>IF(COUNTA(B667:C667,E667:G667,I667)=0,"","BI-"&amp;RIGHT("0000"&amp;(ROW()-5),4))</f>
        <v/>
      </c>
      <c r="B667" s="72" t="n"/>
      <c r="C667" s="66" t="n"/>
      <c r="D667" s="67" t="str">
        <f>IF(C667="","",IFERROR(INDEX(eq_des,MATCH(C667,eq_code,0))&amp;"","Équipement inconnu"))</f>
        <v/>
      </c>
      <c r="E667" s="68" t="n"/>
      <c r="F667" s="68" t="n"/>
      <c r="G667" s="66" t="n"/>
      <c r="H667" s="66" t="n"/>
      <c r="I667" s="68" t="n"/>
      <c r="J667" s="73" t="n"/>
      <c r="K667" s="71" t="n"/>
      <c r="L667" s="71" t="n"/>
      <c r="M667" s="66" t="n"/>
      <c r="N667" s="80" t="n"/>
      <c r="O667" s="81" t="str">
        <f>IF(A667="","",ROUND(V667*IFERROR(N(INDEX(tech_rate,MATCH(M667,tech_name,0))),0),2))</f>
        <v/>
      </c>
      <c r="P667" s="80" t="n"/>
      <c r="Q667" s="81" t="str">
        <f>IF(A667="","",ROUND(Y667+O667+Z667,2))</f>
        <v/>
      </c>
      <c r="R667" s="79" t="str">
        <f>IF(A667="","",IF(S667=0,"Date manquante ou invalide",IF(C667="","Équipement manquant",IF(ISNA(MATCH(C667,eq_code,0)),"Équipement inconnu",IF(E667="","Type manquant",IF(AND(E667&lt;&gt;"Préventif",E667&lt;&gt;"Correctif",E667&lt;&gt;"Amélioratif"),"Type inconnu",IF(I667="","Statut manquant",IF(AND(I667&lt;&gt;"Terminée",I667&lt;&gt;"En cours",I667&lt;&gt;"À faire",I667&lt;&gt;"Annulée"),"Statut inconnu",IF(AND(E667="Préventif",F667=""),"Plan manquant (préventif)",IF(AND(F667&lt;&gt;"",ISNA(MATCH(F667,pl_num,0))),"Plan inconnu",IF(AND(F667&lt;&gt;"",IFERROR(INDEX(pl_eq,MATCH(F667,pl_num,0))&amp;"",C667)&lt;&gt;C667),"Plan d'un autre équipement",IF(AND(J667&lt;&gt;"",OR(NOT(ISNUMBER(J667)),N(J667)&lt;0)),"Compteur invalide",IF(OR(AND(K667&lt;&gt;"",OR(NOT(ISNUMBER(K667)),N(K667)&lt;0)),AND(L667&lt;&gt;"",OR(NOT(ISNUMBER(L667)),N(L667)&lt;0))),"Durée invalide",IF(OR(AND(N667&lt;&gt;"",OR(NOT(ISNUMBER(N667)),N(N667)&lt;0)),AND(P667&lt;&gt;"",OR(NOT(ISNUMBER(P667)),N(P667)&lt;0))),"Coût invalide",IF(AND(M667&lt;&gt;"",ISNA(MATCH(M667,tech_name,0))),"Technicien inconnu",IF(AND(I667="Terminée",S667&gt;p_today),"Terminée à une date future",IF(AND(I667="Terminée",V667=0),"Durée d'intervention manquante",IF(AND(I667="Terminée",E667="Préventif",T667=0,OR(IFERROR(INDEX(pl_trig,MATCH(F667,pl_num,0))&amp;"","")="Compteur",IFERROR(INDEX(pl_trig,MATCH(F667,pl_num,0))&amp;"","")="Au premier des deux")),"Compteur manquant (plan au compteur)","OK"))))))))))))))))))</f>
        <v/>
      </c>
      <c r="S667" s="67">
        <f>IF(AND(ISNUMBER(B667),N(B667)&gt;0),INT(B667),0)</f>
        <v>0.0</v>
      </c>
      <c r="T667" s="67">
        <f>IF(AND(ISNUMBER(J667),N(J667)&gt;=0),N(J667),0)</f>
        <v>0.0</v>
      </c>
      <c r="U667" s="67">
        <f>IF(AND(ISNUMBER(K667),N(K667)&gt;0),N(K667),0)</f>
        <v>0.0</v>
      </c>
      <c r="V667" s="67">
        <f>IF(AND(ISNUMBER(L667),N(L667)&gt;0),N(L667),0)</f>
        <v>0.0</v>
      </c>
      <c r="W667" s="67">
        <f>IF(AND(I667="Terminée",S667&gt;0,C667&lt;&gt;"",ISNUMBER(MATCH(C667,eq_code,0))),1,0)</f>
        <v>0.0</v>
      </c>
      <c r="X667" s="67">
        <f>IF(AND(W667=1,E667="Préventif"),1,0)</f>
        <v>0.0</v>
      </c>
      <c r="Y667" s="67">
        <f>IF(AND(ISNUMBER(N667),N(N667)&gt;0),N(N667),0)</f>
        <v>0.0</v>
      </c>
      <c r="Z667" s="67">
        <f>IF(AND(ISNUMBER(P667),N(P667)&gt;0),N(P667),0)</f>
        <v>0.0</v>
      </c>
    </row>
    <row r="668">
      <c r="A668" s="79" t="str">
        <f>IF(COUNTA(B668:C668,E668:G668,I668)=0,"","BI-"&amp;RIGHT("0000"&amp;(ROW()-5),4))</f>
        <v/>
      </c>
      <c r="B668" s="72" t="n"/>
      <c r="C668" s="66" t="n"/>
      <c r="D668" s="67" t="str">
        <f>IF(C668="","",IFERROR(INDEX(eq_des,MATCH(C668,eq_code,0))&amp;"","Équipement inconnu"))</f>
        <v/>
      </c>
      <c r="E668" s="68" t="n"/>
      <c r="F668" s="68" t="n"/>
      <c r="G668" s="66" t="n"/>
      <c r="H668" s="66" t="n"/>
      <c r="I668" s="68" t="n"/>
      <c r="J668" s="73" t="n"/>
      <c r="K668" s="71" t="n"/>
      <c r="L668" s="71" t="n"/>
      <c r="M668" s="66" t="n"/>
      <c r="N668" s="80" t="n"/>
      <c r="O668" s="81" t="str">
        <f>IF(A668="","",ROUND(V668*IFERROR(N(INDEX(tech_rate,MATCH(M668,tech_name,0))),0),2))</f>
        <v/>
      </c>
      <c r="P668" s="80" t="n"/>
      <c r="Q668" s="81" t="str">
        <f>IF(A668="","",ROUND(Y668+O668+Z668,2))</f>
        <v/>
      </c>
      <c r="R668" s="79" t="str">
        <f>IF(A668="","",IF(S668=0,"Date manquante ou invalide",IF(C668="","Équipement manquant",IF(ISNA(MATCH(C668,eq_code,0)),"Équipement inconnu",IF(E668="","Type manquant",IF(AND(E668&lt;&gt;"Préventif",E668&lt;&gt;"Correctif",E668&lt;&gt;"Amélioratif"),"Type inconnu",IF(I668="","Statut manquant",IF(AND(I668&lt;&gt;"Terminée",I668&lt;&gt;"En cours",I668&lt;&gt;"À faire",I668&lt;&gt;"Annulée"),"Statut inconnu",IF(AND(E668="Préventif",F668=""),"Plan manquant (préventif)",IF(AND(F668&lt;&gt;"",ISNA(MATCH(F668,pl_num,0))),"Plan inconnu",IF(AND(F668&lt;&gt;"",IFERROR(INDEX(pl_eq,MATCH(F668,pl_num,0))&amp;"",C668)&lt;&gt;C668),"Plan d'un autre équipement",IF(AND(J668&lt;&gt;"",OR(NOT(ISNUMBER(J668)),N(J668)&lt;0)),"Compteur invalide",IF(OR(AND(K668&lt;&gt;"",OR(NOT(ISNUMBER(K668)),N(K668)&lt;0)),AND(L668&lt;&gt;"",OR(NOT(ISNUMBER(L668)),N(L668)&lt;0))),"Durée invalide",IF(OR(AND(N668&lt;&gt;"",OR(NOT(ISNUMBER(N668)),N(N668)&lt;0)),AND(P668&lt;&gt;"",OR(NOT(ISNUMBER(P668)),N(P668)&lt;0))),"Coût invalide",IF(AND(M668&lt;&gt;"",ISNA(MATCH(M668,tech_name,0))),"Technicien inconnu",IF(AND(I668="Terminée",S668&gt;p_today),"Terminée à une date future",IF(AND(I668="Terminée",V668=0),"Durée d'intervention manquante",IF(AND(I668="Terminée",E668="Préventif",T668=0,OR(IFERROR(INDEX(pl_trig,MATCH(F668,pl_num,0))&amp;"","")="Compteur",IFERROR(INDEX(pl_trig,MATCH(F668,pl_num,0))&amp;"","")="Au premier des deux")),"Compteur manquant (plan au compteur)","OK"))))))))))))))))))</f>
        <v/>
      </c>
      <c r="S668" s="67">
        <f>IF(AND(ISNUMBER(B668),N(B668)&gt;0),INT(B668),0)</f>
        <v>0.0</v>
      </c>
      <c r="T668" s="67">
        <f>IF(AND(ISNUMBER(J668),N(J668)&gt;=0),N(J668),0)</f>
        <v>0.0</v>
      </c>
      <c r="U668" s="67">
        <f>IF(AND(ISNUMBER(K668),N(K668)&gt;0),N(K668),0)</f>
        <v>0.0</v>
      </c>
      <c r="V668" s="67">
        <f>IF(AND(ISNUMBER(L668),N(L668)&gt;0),N(L668),0)</f>
        <v>0.0</v>
      </c>
      <c r="W668" s="67">
        <f>IF(AND(I668="Terminée",S668&gt;0,C668&lt;&gt;"",ISNUMBER(MATCH(C668,eq_code,0))),1,0)</f>
        <v>0.0</v>
      </c>
      <c r="X668" s="67">
        <f>IF(AND(W668=1,E668="Préventif"),1,0)</f>
        <v>0.0</v>
      </c>
      <c r="Y668" s="67">
        <f>IF(AND(ISNUMBER(N668),N(N668)&gt;0),N(N668),0)</f>
        <v>0.0</v>
      </c>
      <c r="Z668" s="67">
        <f>IF(AND(ISNUMBER(P668),N(P668)&gt;0),N(P668),0)</f>
        <v>0.0</v>
      </c>
    </row>
    <row r="669">
      <c r="A669" s="79" t="str">
        <f>IF(COUNTA(B669:C669,E669:G669,I669)=0,"","BI-"&amp;RIGHT("0000"&amp;(ROW()-5),4))</f>
        <v/>
      </c>
      <c r="B669" s="72" t="n"/>
      <c r="C669" s="66" t="n"/>
      <c r="D669" s="67" t="str">
        <f>IF(C669="","",IFERROR(INDEX(eq_des,MATCH(C669,eq_code,0))&amp;"","Équipement inconnu"))</f>
        <v/>
      </c>
      <c r="E669" s="68" t="n"/>
      <c r="F669" s="68" t="n"/>
      <c r="G669" s="66" t="n"/>
      <c r="H669" s="66" t="n"/>
      <c r="I669" s="68" t="n"/>
      <c r="J669" s="73" t="n"/>
      <c r="K669" s="71" t="n"/>
      <c r="L669" s="71" t="n"/>
      <c r="M669" s="66" t="n"/>
      <c r="N669" s="80" t="n"/>
      <c r="O669" s="81" t="str">
        <f>IF(A669="","",ROUND(V669*IFERROR(N(INDEX(tech_rate,MATCH(M669,tech_name,0))),0),2))</f>
        <v/>
      </c>
      <c r="P669" s="80" t="n"/>
      <c r="Q669" s="81" t="str">
        <f>IF(A669="","",ROUND(Y669+O669+Z669,2))</f>
        <v/>
      </c>
      <c r="R669" s="79" t="str">
        <f>IF(A669="","",IF(S669=0,"Date manquante ou invalide",IF(C669="","Équipement manquant",IF(ISNA(MATCH(C669,eq_code,0)),"Équipement inconnu",IF(E669="","Type manquant",IF(AND(E669&lt;&gt;"Préventif",E669&lt;&gt;"Correctif",E669&lt;&gt;"Amélioratif"),"Type inconnu",IF(I669="","Statut manquant",IF(AND(I669&lt;&gt;"Terminée",I669&lt;&gt;"En cours",I669&lt;&gt;"À faire",I669&lt;&gt;"Annulée"),"Statut inconnu",IF(AND(E669="Préventif",F669=""),"Plan manquant (préventif)",IF(AND(F669&lt;&gt;"",ISNA(MATCH(F669,pl_num,0))),"Plan inconnu",IF(AND(F669&lt;&gt;"",IFERROR(INDEX(pl_eq,MATCH(F669,pl_num,0))&amp;"",C669)&lt;&gt;C669),"Plan d'un autre équipement",IF(AND(J669&lt;&gt;"",OR(NOT(ISNUMBER(J669)),N(J669)&lt;0)),"Compteur invalide",IF(OR(AND(K669&lt;&gt;"",OR(NOT(ISNUMBER(K669)),N(K669)&lt;0)),AND(L669&lt;&gt;"",OR(NOT(ISNUMBER(L669)),N(L669)&lt;0))),"Durée invalide",IF(OR(AND(N669&lt;&gt;"",OR(NOT(ISNUMBER(N669)),N(N669)&lt;0)),AND(P669&lt;&gt;"",OR(NOT(ISNUMBER(P669)),N(P669)&lt;0))),"Coût invalide",IF(AND(M669&lt;&gt;"",ISNA(MATCH(M669,tech_name,0))),"Technicien inconnu",IF(AND(I669="Terminée",S669&gt;p_today),"Terminée à une date future",IF(AND(I669="Terminée",V669=0),"Durée d'intervention manquante",IF(AND(I669="Terminée",E669="Préventif",T669=0,OR(IFERROR(INDEX(pl_trig,MATCH(F669,pl_num,0))&amp;"","")="Compteur",IFERROR(INDEX(pl_trig,MATCH(F669,pl_num,0))&amp;"","")="Au premier des deux")),"Compteur manquant (plan au compteur)","OK"))))))))))))))))))</f>
        <v/>
      </c>
      <c r="S669" s="67">
        <f>IF(AND(ISNUMBER(B669),N(B669)&gt;0),INT(B669),0)</f>
        <v>0.0</v>
      </c>
      <c r="T669" s="67">
        <f>IF(AND(ISNUMBER(J669),N(J669)&gt;=0),N(J669),0)</f>
        <v>0.0</v>
      </c>
      <c r="U669" s="67">
        <f>IF(AND(ISNUMBER(K669),N(K669)&gt;0),N(K669),0)</f>
        <v>0.0</v>
      </c>
      <c r="V669" s="67">
        <f>IF(AND(ISNUMBER(L669),N(L669)&gt;0),N(L669),0)</f>
        <v>0.0</v>
      </c>
      <c r="W669" s="67">
        <f>IF(AND(I669="Terminée",S669&gt;0,C669&lt;&gt;"",ISNUMBER(MATCH(C669,eq_code,0))),1,0)</f>
        <v>0.0</v>
      </c>
      <c r="X669" s="67">
        <f>IF(AND(W669=1,E669="Préventif"),1,0)</f>
        <v>0.0</v>
      </c>
      <c r="Y669" s="67">
        <f>IF(AND(ISNUMBER(N669),N(N669)&gt;0),N(N669),0)</f>
        <v>0.0</v>
      </c>
      <c r="Z669" s="67">
        <f>IF(AND(ISNUMBER(P669),N(P669)&gt;0),N(P669),0)</f>
        <v>0.0</v>
      </c>
    </row>
    <row r="670">
      <c r="A670" s="79" t="str">
        <f>IF(COUNTA(B670:C670,E670:G670,I670)=0,"","BI-"&amp;RIGHT("0000"&amp;(ROW()-5),4))</f>
        <v/>
      </c>
      <c r="B670" s="72" t="n"/>
      <c r="C670" s="66" t="n"/>
      <c r="D670" s="67" t="str">
        <f>IF(C670="","",IFERROR(INDEX(eq_des,MATCH(C670,eq_code,0))&amp;"","Équipement inconnu"))</f>
        <v/>
      </c>
      <c r="E670" s="68" t="n"/>
      <c r="F670" s="68" t="n"/>
      <c r="G670" s="66" t="n"/>
      <c r="H670" s="66" t="n"/>
      <c r="I670" s="68" t="n"/>
      <c r="J670" s="73" t="n"/>
      <c r="K670" s="71" t="n"/>
      <c r="L670" s="71" t="n"/>
      <c r="M670" s="66" t="n"/>
      <c r="N670" s="80" t="n"/>
      <c r="O670" s="81" t="str">
        <f>IF(A670="","",ROUND(V670*IFERROR(N(INDEX(tech_rate,MATCH(M670,tech_name,0))),0),2))</f>
        <v/>
      </c>
      <c r="P670" s="80" t="n"/>
      <c r="Q670" s="81" t="str">
        <f>IF(A670="","",ROUND(Y670+O670+Z670,2))</f>
        <v/>
      </c>
      <c r="R670" s="79" t="str">
        <f>IF(A670="","",IF(S670=0,"Date manquante ou invalide",IF(C670="","Équipement manquant",IF(ISNA(MATCH(C670,eq_code,0)),"Équipement inconnu",IF(E670="","Type manquant",IF(AND(E670&lt;&gt;"Préventif",E670&lt;&gt;"Correctif",E670&lt;&gt;"Amélioratif"),"Type inconnu",IF(I670="","Statut manquant",IF(AND(I670&lt;&gt;"Terminée",I670&lt;&gt;"En cours",I670&lt;&gt;"À faire",I670&lt;&gt;"Annulée"),"Statut inconnu",IF(AND(E670="Préventif",F670=""),"Plan manquant (préventif)",IF(AND(F670&lt;&gt;"",ISNA(MATCH(F670,pl_num,0))),"Plan inconnu",IF(AND(F670&lt;&gt;"",IFERROR(INDEX(pl_eq,MATCH(F670,pl_num,0))&amp;"",C670)&lt;&gt;C670),"Plan d'un autre équipement",IF(AND(J670&lt;&gt;"",OR(NOT(ISNUMBER(J670)),N(J670)&lt;0)),"Compteur invalide",IF(OR(AND(K670&lt;&gt;"",OR(NOT(ISNUMBER(K670)),N(K670)&lt;0)),AND(L670&lt;&gt;"",OR(NOT(ISNUMBER(L670)),N(L670)&lt;0))),"Durée invalide",IF(OR(AND(N670&lt;&gt;"",OR(NOT(ISNUMBER(N670)),N(N670)&lt;0)),AND(P670&lt;&gt;"",OR(NOT(ISNUMBER(P670)),N(P670)&lt;0))),"Coût invalide",IF(AND(M670&lt;&gt;"",ISNA(MATCH(M670,tech_name,0))),"Technicien inconnu",IF(AND(I670="Terminée",S670&gt;p_today),"Terminée à une date future",IF(AND(I670="Terminée",V670=0),"Durée d'intervention manquante",IF(AND(I670="Terminée",E670="Préventif",T670=0,OR(IFERROR(INDEX(pl_trig,MATCH(F670,pl_num,0))&amp;"","")="Compteur",IFERROR(INDEX(pl_trig,MATCH(F670,pl_num,0))&amp;"","")="Au premier des deux")),"Compteur manquant (plan au compteur)","OK"))))))))))))))))))</f>
        <v/>
      </c>
      <c r="S670" s="67">
        <f>IF(AND(ISNUMBER(B670),N(B670)&gt;0),INT(B670),0)</f>
        <v>0.0</v>
      </c>
      <c r="T670" s="67">
        <f>IF(AND(ISNUMBER(J670),N(J670)&gt;=0),N(J670),0)</f>
        <v>0.0</v>
      </c>
      <c r="U670" s="67">
        <f>IF(AND(ISNUMBER(K670),N(K670)&gt;0),N(K670),0)</f>
        <v>0.0</v>
      </c>
      <c r="V670" s="67">
        <f>IF(AND(ISNUMBER(L670),N(L670)&gt;0),N(L670),0)</f>
        <v>0.0</v>
      </c>
      <c r="W670" s="67">
        <f>IF(AND(I670="Terminée",S670&gt;0,C670&lt;&gt;"",ISNUMBER(MATCH(C670,eq_code,0))),1,0)</f>
        <v>0.0</v>
      </c>
      <c r="X670" s="67">
        <f>IF(AND(W670=1,E670="Préventif"),1,0)</f>
        <v>0.0</v>
      </c>
      <c r="Y670" s="67">
        <f>IF(AND(ISNUMBER(N670),N(N670)&gt;0),N(N670),0)</f>
        <v>0.0</v>
      </c>
      <c r="Z670" s="67">
        <f>IF(AND(ISNUMBER(P670),N(P670)&gt;0),N(P670),0)</f>
        <v>0.0</v>
      </c>
    </row>
    <row r="671">
      <c r="A671" s="79" t="str">
        <f>IF(COUNTA(B671:C671,E671:G671,I671)=0,"","BI-"&amp;RIGHT("0000"&amp;(ROW()-5),4))</f>
        <v/>
      </c>
      <c r="B671" s="72" t="n"/>
      <c r="C671" s="66" t="n"/>
      <c r="D671" s="67" t="str">
        <f>IF(C671="","",IFERROR(INDEX(eq_des,MATCH(C671,eq_code,0))&amp;"","Équipement inconnu"))</f>
        <v/>
      </c>
      <c r="E671" s="68" t="n"/>
      <c r="F671" s="68" t="n"/>
      <c r="G671" s="66" t="n"/>
      <c r="H671" s="66" t="n"/>
      <c r="I671" s="68" t="n"/>
      <c r="J671" s="73" t="n"/>
      <c r="K671" s="71" t="n"/>
      <c r="L671" s="71" t="n"/>
      <c r="M671" s="66" t="n"/>
      <c r="N671" s="80" t="n"/>
      <c r="O671" s="81" t="str">
        <f>IF(A671="","",ROUND(V671*IFERROR(N(INDEX(tech_rate,MATCH(M671,tech_name,0))),0),2))</f>
        <v/>
      </c>
      <c r="P671" s="80" t="n"/>
      <c r="Q671" s="81" t="str">
        <f>IF(A671="","",ROUND(Y671+O671+Z671,2))</f>
        <v/>
      </c>
      <c r="R671" s="79" t="str">
        <f>IF(A671="","",IF(S671=0,"Date manquante ou invalide",IF(C671="","Équipement manquant",IF(ISNA(MATCH(C671,eq_code,0)),"Équipement inconnu",IF(E671="","Type manquant",IF(AND(E671&lt;&gt;"Préventif",E671&lt;&gt;"Correctif",E671&lt;&gt;"Amélioratif"),"Type inconnu",IF(I671="","Statut manquant",IF(AND(I671&lt;&gt;"Terminée",I671&lt;&gt;"En cours",I671&lt;&gt;"À faire",I671&lt;&gt;"Annulée"),"Statut inconnu",IF(AND(E671="Préventif",F671=""),"Plan manquant (préventif)",IF(AND(F671&lt;&gt;"",ISNA(MATCH(F671,pl_num,0))),"Plan inconnu",IF(AND(F671&lt;&gt;"",IFERROR(INDEX(pl_eq,MATCH(F671,pl_num,0))&amp;"",C671)&lt;&gt;C671),"Plan d'un autre équipement",IF(AND(J671&lt;&gt;"",OR(NOT(ISNUMBER(J671)),N(J671)&lt;0)),"Compteur invalide",IF(OR(AND(K671&lt;&gt;"",OR(NOT(ISNUMBER(K671)),N(K671)&lt;0)),AND(L671&lt;&gt;"",OR(NOT(ISNUMBER(L671)),N(L671)&lt;0))),"Durée invalide",IF(OR(AND(N671&lt;&gt;"",OR(NOT(ISNUMBER(N671)),N(N671)&lt;0)),AND(P671&lt;&gt;"",OR(NOT(ISNUMBER(P671)),N(P671)&lt;0))),"Coût invalide",IF(AND(M671&lt;&gt;"",ISNA(MATCH(M671,tech_name,0))),"Technicien inconnu",IF(AND(I671="Terminée",S671&gt;p_today),"Terminée à une date future",IF(AND(I671="Terminée",V671=0),"Durée d'intervention manquante",IF(AND(I671="Terminée",E671="Préventif",T671=0,OR(IFERROR(INDEX(pl_trig,MATCH(F671,pl_num,0))&amp;"","")="Compteur",IFERROR(INDEX(pl_trig,MATCH(F671,pl_num,0))&amp;"","")="Au premier des deux")),"Compteur manquant (plan au compteur)","OK"))))))))))))))))))</f>
        <v/>
      </c>
      <c r="S671" s="67">
        <f>IF(AND(ISNUMBER(B671),N(B671)&gt;0),INT(B671),0)</f>
        <v>0.0</v>
      </c>
      <c r="T671" s="67">
        <f>IF(AND(ISNUMBER(J671),N(J671)&gt;=0),N(J671),0)</f>
        <v>0.0</v>
      </c>
      <c r="U671" s="67">
        <f>IF(AND(ISNUMBER(K671),N(K671)&gt;0),N(K671),0)</f>
        <v>0.0</v>
      </c>
      <c r="V671" s="67">
        <f>IF(AND(ISNUMBER(L671),N(L671)&gt;0),N(L671),0)</f>
        <v>0.0</v>
      </c>
      <c r="W671" s="67">
        <f>IF(AND(I671="Terminée",S671&gt;0,C671&lt;&gt;"",ISNUMBER(MATCH(C671,eq_code,0))),1,0)</f>
        <v>0.0</v>
      </c>
      <c r="X671" s="67">
        <f>IF(AND(W671=1,E671="Préventif"),1,0)</f>
        <v>0.0</v>
      </c>
      <c r="Y671" s="67">
        <f>IF(AND(ISNUMBER(N671),N(N671)&gt;0),N(N671),0)</f>
        <v>0.0</v>
      </c>
      <c r="Z671" s="67">
        <f>IF(AND(ISNUMBER(P671),N(P671)&gt;0),N(P671),0)</f>
        <v>0.0</v>
      </c>
    </row>
    <row r="672">
      <c r="A672" s="79" t="str">
        <f>IF(COUNTA(B672:C672,E672:G672,I672)=0,"","BI-"&amp;RIGHT("0000"&amp;(ROW()-5),4))</f>
        <v/>
      </c>
      <c r="B672" s="72" t="n"/>
      <c r="C672" s="66" t="n"/>
      <c r="D672" s="67" t="str">
        <f>IF(C672="","",IFERROR(INDEX(eq_des,MATCH(C672,eq_code,0))&amp;"","Équipement inconnu"))</f>
        <v/>
      </c>
      <c r="E672" s="68" t="n"/>
      <c r="F672" s="68" t="n"/>
      <c r="G672" s="66" t="n"/>
      <c r="H672" s="66" t="n"/>
      <c r="I672" s="68" t="n"/>
      <c r="J672" s="73" t="n"/>
      <c r="K672" s="71" t="n"/>
      <c r="L672" s="71" t="n"/>
      <c r="M672" s="66" t="n"/>
      <c r="N672" s="80" t="n"/>
      <c r="O672" s="81" t="str">
        <f>IF(A672="","",ROUND(V672*IFERROR(N(INDEX(tech_rate,MATCH(M672,tech_name,0))),0),2))</f>
        <v/>
      </c>
      <c r="P672" s="80" t="n"/>
      <c r="Q672" s="81" t="str">
        <f>IF(A672="","",ROUND(Y672+O672+Z672,2))</f>
        <v/>
      </c>
      <c r="R672" s="79" t="str">
        <f>IF(A672="","",IF(S672=0,"Date manquante ou invalide",IF(C672="","Équipement manquant",IF(ISNA(MATCH(C672,eq_code,0)),"Équipement inconnu",IF(E672="","Type manquant",IF(AND(E672&lt;&gt;"Préventif",E672&lt;&gt;"Correctif",E672&lt;&gt;"Amélioratif"),"Type inconnu",IF(I672="","Statut manquant",IF(AND(I672&lt;&gt;"Terminée",I672&lt;&gt;"En cours",I672&lt;&gt;"À faire",I672&lt;&gt;"Annulée"),"Statut inconnu",IF(AND(E672="Préventif",F672=""),"Plan manquant (préventif)",IF(AND(F672&lt;&gt;"",ISNA(MATCH(F672,pl_num,0))),"Plan inconnu",IF(AND(F672&lt;&gt;"",IFERROR(INDEX(pl_eq,MATCH(F672,pl_num,0))&amp;"",C672)&lt;&gt;C672),"Plan d'un autre équipement",IF(AND(J672&lt;&gt;"",OR(NOT(ISNUMBER(J672)),N(J672)&lt;0)),"Compteur invalide",IF(OR(AND(K672&lt;&gt;"",OR(NOT(ISNUMBER(K672)),N(K672)&lt;0)),AND(L672&lt;&gt;"",OR(NOT(ISNUMBER(L672)),N(L672)&lt;0))),"Durée invalide",IF(OR(AND(N672&lt;&gt;"",OR(NOT(ISNUMBER(N672)),N(N672)&lt;0)),AND(P672&lt;&gt;"",OR(NOT(ISNUMBER(P672)),N(P672)&lt;0))),"Coût invalide",IF(AND(M672&lt;&gt;"",ISNA(MATCH(M672,tech_name,0))),"Technicien inconnu",IF(AND(I672="Terminée",S672&gt;p_today),"Terminée à une date future",IF(AND(I672="Terminée",V672=0),"Durée d'intervention manquante",IF(AND(I672="Terminée",E672="Préventif",T672=0,OR(IFERROR(INDEX(pl_trig,MATCH(F672,pl_num,0))&amp;"","")="Compteur",IFERROR(INDEX(pl_trig,MATCH(F672,pl_num,0))&amp;"","")="Au premier des deux")),"Compteur manquant (plan au compteur)","OK"))))))))))))))))))</f>
        <v/>
      </c>
      <c r="S672" s="67">
        <f>IF(AND(ISNUMBER(B672),N(B672)&gt;0),INT(B672),0)</f>
        <v>0.0</v>
      </c>
      <c r="T672" s="67">
        <f>IF(AND(ISNUMBER(J672),N(J672)&gt;=0),N(J672),0)</f>
        <v>0.0</v>
      </c>
      <c r="U672" s="67">
        <f>IF(AND(ISNUMBER(K672),N(K672)&gt;0),N(K672),0)</f>
        <v>0.0</v>
      </c>
      <c r="V672" s="67">
        <f>IF(AND(ISNUMBER(L672),N(L672)&gt;0),N(L672),0)</f>
        <v>0.0</v>
      </c>
      <c r="W672" s="67">
        <f>IF(AND(I672="Terminée",S672&gt;0,C672&lt;&gt;"",ISNUMBER(MATCH(C672,eq_code,0))),1,0)</f>
        <v>0.0</v>
      </c>
      <c r="X672" s="67">
        <f>IF(AND(W672=1,E672="Préventif"),1,0)</f>
        <v>0.0</v>
      </c>
      <c r="Y672" s="67">
        <f>IF(AND(ISNUMBER(N672),N(N672)&gt;0),N(N672),0)</f>
        <v>0.0</v>
      </c>
      <c r="Z672" s="67">
        <f>IF(AND(ISNUMBER(P672),N(P672)&gt;0),N(P672),0)</f>
        <v>0.0</v>
      </c>
    </row>
    <row r="673">
      <c r="A673" s="79" t="str">
        <f>IF(COUNTA(B673:C673,E673:G673,I673)=0,"","BI-"&amp;RIGHT("0000"&amp;(ROW()-5),4))</f>
        <v/>
      </c>
      <c r="B673" s="72" t="n"/>
      <c r="C673" s="66" t="n"/>
      <c r="D673" s="67" t="str">
        <f>IF(C673="","",IFERROR(INDEX(eq_des,MATCH(C673,eq_code,0))&amp;"","Équipement inconnu"))</f>
        <v/>
      </c>
      <c r="E673" s="68" t="n"/>
      <c r="F673" s="68" t="n"/>
      <c r="G673" s="66" t="n"/>
      <c r="H673" s="66" t="n"/>
      <c r="I673" s="68" t="n"/>
      <c r="J673" s="73" t="n"/>
      <c r="K673" s="71" t="n"/>
      <c r="L673" s="71" t="n"/>
      <c r="M673" s="66" t="n"/>
      <c r="N673" s="80" t="n"/>
      <c r="O673" s="81" t="str">
        <f>IF(A673="","",ROUND(V673*IFERROR(N(INDEX(tech_rate,MATCH(M673,tech_name,0))),0),2))</f>
        <v/>
      </c>
      <c r="P673" s="80" t="n"/>
      <c r="Q673" s="81" t="str">
        <f>IF(A673="","",ROUND(Y673+O673+Z673,2))</f>
        <v/>
      </c>
      <c r="R673" s="79" t="str">
        <f>IF(A673="","",IF(S673=0,"Date manquante ou invalide",IF(C673="","Équipement manquant",IF(ISNA(MATCH(C673,eq_code,0)),"Équipement inconnu",IF(E673="","Type manquant",IF(AND(E673&lt;&gt;"Préventif",E673&lt;&gt;"Correctif",E673&lt;&gt;"Amélioratif"),"Type inconnu",IF(I673="","Statut manquant",IF(AND(I673&lt;&gt;"Terminée",I673&lt;&gt;"En cours",I673&lt;&gt;"À faire",I673&lt;&gt;"Annulée"),"Statut inconnu",IF(AND(E673="Préventif",F673=""),"Plan manquant (préventif)",IF(AND(F673&lt;&gt;"",ISNA(MATCH(F673,pl_num,0))),"Plan inconnu",IF(AND(F673&lt;&gt;"",IFERROR(INDEX(pl_eq,MATCH(F673,pl_num,0))&amp;"",C673)&lt;&gt;C673),"Plan d'un autre équipement",IF(AND(J673&lt;&gt;"",OR(NOT(ISNUMBER(J673)),N(J673)&lt;0)),"Compteur invalide",IF(OR(AND(K673&lt;&gt;"",OR(NOT(ISNUMBER(K673)),N(K673)&lt;0)),AND(L673&lt;&gt;"",OR(NOT(ISNUMBER(L673)),N(L673)&lt;0))),"Durée invalide",IF(OR(AND(N673&lt;&gt;"",OR(NOT(ISNUMBER(N673)),N(N673)&lt;0)),AND(P673&lt;&gt;"",OR(NOT(ISNUMBER(P673)),N(P673)&lt;0))),"Coût invalide",IF(AND(M673&lt;&gt;"",ISNA(MATCH(M673,tech_name,0))),"Technicien inconnu",IF(AND(I673="Terminée",S673&gt;p_today),"Terminée à une date future",IF(AND(I673="Terminée",V673=0),"Durée d'intervention manquante",IF(AND(I673="Terminée",E673="Préventif",T673=0,OR(IFERROR(INDEX(pl_trig,MATCH(F673,pl_num,0))&amp;"","")="Compteur",IFERROR(INDEX(pl_trig,MATCH(F673,pl_num,0))&amp;"","")="Au premier des deux")),"Compteur manquant (plan au compteur)","OK"))))))))))))))))))</f>
        <v/>
      </c>
      <c r="S673" s="67">
        <f>IF(AND(ISNUMBER(B673),N(B673)&gt;0),INT(B673),0)</f>
        <v>0.0</v>
      </c>
      <c r="T673" s="67">
        <f>IF(AND(ISNUMBER(J673),N(J673)&gt;=0),N(J673),0)</f>
        <v>0.0</v>
      </c>
      <c r="U673" s="67">
        <f>IF(AND(ISNUMBER(K673),N(K673)&gt;0),N(K673),0)</f>
        <v>0.0</v>
      </c>
      <c r="V673" s="67">
        <f>IF(AND(ISNUMBER(L673),N(L673)&gt;0),N(L673),0)</f>
        <v>0.0</v>
      </c>
      <c r="W673" s="67">
        <f>IF(AND(I673="Terminée",S673&gt;0,C673&lt;&gt;"",ISNUMBER(MATCH(C673,eq_code,0))),1,0)</f>
        <v>0.0</v>
      </c>
      <c r="X673" s="67">
        <f>IF(AND(W673=1,E673="Préventif"),1,0)</f>
        <v>0.0</v>
      </c>
      <c r="Y673" s="67">
        <f>IF(AND(ISNUMBER(N673),N(N673)&gt;0),N(N673),0)</f>
        <v>0.0</v>
      </c>
      <c r="Z673" s="67">
        <f>IF(AND(ISNUMBER(P673),N(P673)&gt;0),N(P673),0)</f>
        <v>0.0</v>
      </c>
    </row>
    <row r="674">
      <c r="A674" s="79" t="str">
        <f>IF(COUNTA(B674:C674,E674:G674,I674)=0,"","BI-"&amp;RIGHT("0000"&amp;(ROW()-5),4))</f>
        <v/>
      </c>
      <c r="B674" s="72" t="n"/>
      <c r="C674" s="66" t="n"/>
      <c r="D674" s="67" t="str">
        <f>IF(C674="","",IFERROR(INDEX(eq_des,MATCH(C674,eq_code,0))&amp;"","Équipement inconnu"))</f>
        <v/>
      </c>
      <c r="E674" s="68" t="n"/>
      <c r="F674" s="68" t="n"/>
      <c r="G674" s="66" t="n"/>
      <c r="H674" s="66" t="n"/>
      <c r="I674" s="68" t="n"/>
      <c r="J674" s="73" t="n"/>
      <c r="K674" s="71" t="n"/>
      <c r="L674" s="71" t="n"/>
      <c r="M674" s="66" t="n"/>
      <c r="N674" s="80" t="n"/>
      <c r="O674" s="81" t="str">
        <f>IF(A674="","",ROUND(V674*IFERROR(N(INDEX(tech_rate,MATCH(M674,tech_name,0))),0),2))</f>
        <v/>
      </c>
      <c r="P674" s="80" t="n"/>
      <c r="Q674" s="81" t="str">
        <f>IF(A674="","",ROUND(Y674+O674+Z674,2))</f>
        <v/>
      </c>
      <c r="R674" s="79" t="str">
        <f>IF(A674="","",IF(S674=0,"Date manquante ou invalide",IF(C674="","Équipement manquant",IF(ISNA(MATCH(C674,eq_code,0)),"Équipement inconnu",IF(E674="","Type manquant",IF(AND(E674&lt;&gt;"Préventif",E674&lt;&gt;"Correctif",E674&lt;&gt;"Amélioratif"),"Type inconnu",IF(I674="","Statut manquant",IF(AND(I674&lt;&gt;"Terminée",I674&lt;&gt;"En cours",I674&lt;&gt;"À faire",I674&lt;&gt;"Annulée"),"Statut inconnu",IF(AND(E674="Préventif",F674=""),"Plan manquant (préventif)",IF(AND(F674&lt;&gt;"",ISNA(MATCH(F674,pl_num,0))),"Plan inconnu",IF(AND(F674&lt;&gt;"",IFERROR(INDEX(pl_eq,MATCH(F674,pl_num,0))&amp;"",C674)&lt;&gt;C674),"Plan d'un autre équipement",IF(AND(J674&lt;&gt;"",OR(NOT(ISNUMBER(J674)),N(J674)&lt;0)),"Compteur invalide",IF(OR(AND(K674&lt;&gt;"",OR(NOT(ISNUMBER(K674)),N(K674)&lt;0)),AND(L674&lt;&gt;"",OR(NOT(ISNUMBER(L674)),N(L674)&lt;0))),"Durée invalide",IF(OR(AND(N674&lt;&gt;"",OR(NOT(ISNUMBER(N674)),N(N674)&lt;0)),AND(P674&lt;&gt;"",OR(NOT(ISNUMBER(P674)),N(P674)&lt;0))),"Coût invalide",IF(AND(M674&lt;&gt;"",ISNA(MATCH(M674,tech_name,0))),"Technicien inconnu",IF(AND(I674="Terminée",S674&gt;p_today),"Terminée à une date future",IF(AND(I674="Terminée",V674=0),"Durée d'intervention manquante",IF(AND(I674="Terminée",E674="Préventif",T674=0,OR(IFERROR(INDEX(pl_trig,MATCH(F674,pl_num,0))&amp;"","")="Compteur",IFERROR(INDEX(pl_trig,MATCH(F674,pl_num,0))&amp;"","")="Au premier des deux")),"Compteur manquant (plan au compteur)","OK"))))))))))))))))))</f>
        <v/>
      </c>
      <c r="S674" s="67">
        <f>IF(AND(ISNUMBER(B674),N(B674)&gt;0),INT(B674),0)</f>
        <v>0.0</v>
      </c>
      <c r="T674" s="67">
        <f>IF(AND(ISNUMBER(J674),N(J674)&gt;=0),N(J674),0)</f>
        <v>0.0</v>
      </c>
      <c r="U674" s="67">
        <f>IF(AND(ISNUMBER(K674),N(K674)&gt;0),N(K674),0)</f>
        <v>0.0</v>
      </c>
      <c r="V674" s="67">
        <f>IF(AND(ISNUMBER(L674),N(L674)&gt;0),N(L674),0)</f>
        <v>0.0</v>
      </c>
      <c r="W674" s="67">
        <f>IF(AND(I674="Terminée",S674&gt;0,C674&lt;&gt;"",ISNUMBER(MATCH(C674,eq_code,0))),1,0)</f>
        <v>0.0</v>
      </c>
      <c r="X674" s="67">
        <f>IF(AND(W674=1,E674="Préventif"),1,0)</f>
        <v>0.0</v>
      </c>
      <c r="Y674" s="67">
        <f>IF(AND(ISNUMBER(N674),N(N674)&gt;0),N(N674),0)</f>
        <v>0.0</v>
      </c>
      <c r="Z674" s="67">
        <f>IF(AND(ISNUMBER(P674),N(P674)&gt;0),N(P674),0)</f>
        <v>0.0</v>
      </c>
    </row>
    <row r="675">
      <c r="A675" s="79" t="str">
        <f>IF(COUNTA(B675:C675,E675:G675,I675)=0,"","BI-"&amp;RIGHT("0000"&amp;(ROW()-5),4))</f>
        <v/>
      </c>
      <c r="B675" s="72" t="n"/>
      <c r="C675" s="66" t="n"/>
      <c r="D675" s="67" t="str">
        <f>IF(C675="","",IFERROR(INDEX(eq_des,MATCH(C675,eq_code,0))&amp;"","Équipement inconnu"))</f>
        <v/>
      </c>
      <c r="E675" s="68" t="n"/>
      <c r="F675" s="68" t="n"/>
      <c r="G675" s="66" t="n"/>
      <c r="H675" s="66" t="n"/>
      <c r="I675" s="68" t="n"/>
      <c r="J675" s="73" t="n"/>
      <c r="K675" s="71" t="n"/>
      <c r="L675" s="71" t="n"/>
      <c r="M675" s="66" t="n"/>
      <c r="N675" s="80" t="n"/>
      <c r="O675" s="81" t="str">
        <f>IF(A675="","",ROUND(V675*IFERROR(N(INDEX(tech_rate,MATCH(M675,tech_name,0))),0),2))</f>
        <v/>
      </c>
      <c r="P675" s="80" t="n"/>
      <c r="Q675" s="81" t="str">
        <f>IF(A675="","",ROUND(Y675+O675+Z675,2))</f>
        <v/>
      </c>
      <c r="R675" s="79" t="str">
        <f>IF(A675="","",IF(S675=0,"Date manquante ou invalide",IF(C675="","Équipement manquant",IF(ISNA(MATCH(C675,eq_code,0)),"Équipement inconnu",IF(E675="","Type manquant",IF(AND(E675&lt;&gt;"Préventif",E675&lt;&gt;"Correctif",E675&lt;&gt;"Amélioratif"),"Type inconnu",IF(I675="","Statut manquant",IF(AND(I675&lt;&gt;"Terminée",I675&lt;&gt;"En cours",I675&lt;&gt;"À faire",I675&lt;&gt;"Annulée"),"Statut inconnu",IF(AND(E675="Préventif",F675=""),"Plan manquant (préventif)",IF(AND(F675&lt;&gt;"",ISNA(MATCH(F675,pl_num,0))),"Plan inconnu",IF(AND(F675&lt;&gt;"",IFERROR(INDEX(pl_eq,MATCH(F675,pl_num,0))&amp;"",C675)&lt;&gt;C675),"Plan d'un autre équipement",IF(AND(J675&lt;&gt;"",OR(NOT(ISNUMBER(J675)),N(J675)&lt;0)),"Compteur invalide",IF(OR(AND(K675&lt;&gt;"",OR(NOT(ISNUMBER(K675)),N(K675)&lt;0)),AND(L675&lt;&gt;"",OR(NOT(ISNUMBER(L675)),N(L675)&lt;0))),"Durée invalide",IF(OR(AND(N675&lt;&gt;"",OR(NOT(ISNUMBER(N675)),N(N675)&lt;0)),AND(P675&lt;&gt;"",OR(NOT(ISNUMBER(P675)),N(P675)&lt;0))),"Coût invalide",IF(AND(M675&lt;&gt;"",ISNA(MATCH(M675,tech_name,0))),"Technicien inconnu",IF(AND(I675="Terminée",S675&gt;p_today),"Terminée à une date future",IF(AND(I675="Terminée",V675=0),"Durée d'intervention manquante",IF(AND(I675="Terminée",E675="Préventif",T675=0,OR(IFERROR(INDEX(pl_trig,MATCH(F675,pl_num,0))&amp;"","")="Compteur",IFERROR(INDEX(pl_trig,MATCH(F675,pl_num,0))&amp;"","")="Au premier des deux")),"Compteur manquant (plan au compteur)","OK"))))))))))))))))))</f>
        <v/>
      </c>
      <c r="S675" s="67">
        <f>IF(AND(ISNUMBER(B675),N(B675)&gt;0),INT(B675),0)</f>
        <v>0.0</v>
      </c>
      <c r="T675" s="67">
        <f>IF(AND(ISNUMBER(J675),N(J675)&gt;=0),N(J675),0)</f>
        <v>0.0</v>
      </c>
      <c r="U675" s="67">
        <f>IF(AND(ISNUMBER(K675),N(K675)&gt;0),N(K675),0)</f>
        <v>0.0</v>
      </c>
      <c r="V675" s="67">
        <f>IF(AND(ISNUMBER(L675),N(L675)&gt;0),N(L675),0)</f>
        <v>0.0</v>
      </c>
      <c r="W675" s="67">
        <f>IF(AND(I675="Terminée",S675&gt;0,C675&lt;&gt;"",ISNUMBER(MATCH(C675,eq_code,0))),1,0)</f>
        <v>0.0</v>
      </c>
      <c r="X675" s="67">
        <f>IF(AND(W675=1,E675="Préventif"),1,0)</f>
        <v>0.0</v>
      </c>
      <c r="Y675" s="67">
        <f>IF(AND(ISNUMBER(N675),N(N675)&gt;0),N(N675),0)</f>
        <v>0.0</v>
      </c>
      <c r="Z675" s="67">
        <f>IF(AND(ISNUMBER(P675),N(P675)&gt;0),N(P675),0)</f>
        <v>0.0</v>
      </c>
    </row>
    <row r="676">
      <c r="A676" s="79" t="str">
        <f>IF(COUNTA(B676:C676,E676:G676,I676)=0,"","BI-"&amp;RIGHT("0000"&amp;(ROW()-5),4))</f>
        <v/>
      </c>
      <c r="B676" s="72" t="n"/>
      <c r="C676" s="66" t="n"/>
      <c r="D676" s="67" t="str">
        <f>IF(C676="","",IFERROR(INDEX(eq_des,MATCH(C676,eq_code,0))&amp;"","Équipement inconnu"))</f>
        <v/>
      </c>
      <c r="E676" s="68" t="n"/>
      <c r="F676" s="68" t="n"/>
      <c r="G676" s="66" t="n"/>
      <c r="H676" s="66" t="n"/>
      <c r="I676" s="68" t="n"/>
      <c r="J676" s="73" t="n"/>
      <c r="K676" s="71" t="n"/>
      <c r="L676" s="71" t="n"/>
      <c r="M676" s="66" t="n"/>
      <c r="N676" s="80" t="n"/>
      <c r="O676" s="81" t="str">
        <f>IF(A676="","",ROUND(V676*IFERROR(N(INDEX(tech_rate,MATCH(M676,tech_name,0))),0),2))</f>
        <v/>
      </c>
      <c r="P676" s="80" t="n"/>
      <c r="Q676" s="81" t="str">
        <f>IF(A676="","",ROUND(Y676+O676+Z676,2))</f>
        <v/>
      </c>
      <c r="R676" s="79" t="str">
        <f>IF(A676="","",IF(S676=0,"Date manquante ou invalide",IF(C676="","Équipement manquant",IF(ISNA(MATCH(C676,eq_code,0)),"Équipement inconnu",IF(E676="","Type manquant",IF(AND(E676&lt;&gt;"Préventif",E676&lt;&gt;"Correctif",E676&lt;&gt;"Amélioratif"),"Type inconnu",IF(I676="","Statut manquant",IF(AND(I676&lt;&gt;"Terminée",I676&lt;&gt;"En cours",I676&lt;&gt;"À faire",I676&lt;&gt;"Annulée"),"Statut inconnu",IF(AND(E676="Préventif",F676=""),"Plan manquant (préventif)",IF(AND(F676&lt;&gt;"",ISNA(MATCH(F676,pl_num,0))),"Plan inconnu",IF(AND(F676&lt;&gt;"",IFERROR(INDEX(pl_eq,MATCH(F676,pl_num,0))&amp;"",C676)&lt;&gt;C676),"Plan d'un autre équipement",IF(AND(J676&lt;&gt;"",OR(NOT(ISNUMBER(J676)),N(J676)&lt;0)),"Compteur invalide",IF(OR(AND(K676&lt;&gt;"",OR(NOT(ISNUMBER(K676)),N(K676)&lt;0)),AND(L676&lt;&gt;"",OR(NOT(ISNUMBER(L676)),N(L676)&lt;0))),"Durée invalide",IF(OR(AND(N676&lt;&gt;"",OR(NOT(ISNUMBER(N676)),N(N676)&lt;0)),AND(P676&lt;&gt;"",OR(NOT(ISNUMBER(P676)),N(P676)&lt;0))),"Coût invalide",IF(AND(M676&lt;&gt;"",ISNA(MATCH(M676,tech_name,0))),"Technicien inconnu",IF(AND(I676="Terminée",S676&gt;p_today),"Terminée à une date future",IF(AND(I676="Terminée",V676=0),"Durée d'intervention manquante",IF(AND(I676="Terminée",E676="Préventif",T676=0,OR(IFERROR(INDEX(pl_trig,MATCH(F676,pl_num,0))&amp;"","")="Compteur",IFERROR(INDEX(pl_trig,MATCH(F676,pl_num,0))&amp;"","")="Au premier des deux")),"Compteur manquant (plan au compteur)","OK"))))))))))))))))))</f>
        <v/>
      </c>
      <c r="S676" s="67">
        <f>IF(AND(ISNUMBER(B676),N(B676)&gt;0),INT(B676),0)</f>
        <v>0.0</v>
      </c>
      <c r="T676" s="67">
        <f>IF(AND(ISNUMBER(J676),N(J676)&gt;=0),N(J676),0)</f>
        <v>0.0</v>
      </c>
      <c r="U676" s="67">
        <f>IF(AND(ISNUMBER(K676),N(K676)&gt;0),N(K676),0)</f>
        <v>0.0</v>
      </c>
      <c r="V676" s="67">
        <f>IF(AND(ISNUMBER(L676),N(L676)&gt;0),N(L676),0)</f>
        <v>0.0</v>
      </c>
      <c r="W676" s="67">
        <f>IF(AND(I676="Terminée",S676&gt;0,C676&lt;&gt;"",ISNUMBER(MATCH(C676,eq_code,0))),1,0)</f>
        <v>0.0</v>
      </c>
      <c r="X676" s="67">
        <f>IF(AND(W676=1,E676="Préventif"),1,0)</f>
        <v>0.0</v>
      </c>
      <c r="Y676" s="67">
        <f>IF(AND(ISNUMBER(N676),N(N676)&gt;0),N(N676),0)</f>
        <v>0.0</v>
      </c>
      <c r="Z676" s="67">
        <f>IF(AND(ISNUMBER(P676),N(P676)&gt;0),N(P676),0)</f>
        <v>0.0</v>
      </c>
    </row>
    <row r="677">
      <c r="A677" s="79" t="str">
        <f>IF(COUNTA(B677:C677,E677:G677,I677)=0,"","BI-"&amp;RIGHT("0000"&amp;(ROW()-5),4))</f>
        <v/>
      </c>
      <c r="B677" s="72" t="n"/>
      <c r="C677" s="66" t="n"/>
      <c r="D677" s="67" t="str">
        <f>IF(C677="","",IFERROR(INDEX(eq_des,MATCH(C677,eq_code,0))&amp;"","Équipement inconnu"))</f>
        <v/>
      </c>
      <c r="E677" s="68" t="n"/>
      <c r="F677" s="68" t="n"/>
      <c r="G677" s="66" t="n"/>
      <c r="H677" s="66" t="n"/>
      <c r="I677" s="68" t="n"/>
      <c r="J677" s="73" t="n"/>
      <c r="K677" s="71" t="n"/>
      <c r="L677" s="71" t="n"/>
      <c r="M677" s="66" t="n"/>
      <c r="N677" s="80" t="n"/>
      <c r="O677" s="81" t="str">
        <f>IF(A677="","",ROUND(V677*IFERROR(N(INDEX(tech_rate,MATCH(M677,tech_name,0))),0),2))</f>
        <v/>
      </c>
      <c r="P677" s="80" t="n"/>
      <c r="Q677" s="81" t="str">
        <f>IF(A677="","",ROUND(Y677+O677+Z677,2))</f>
        <v/>
      </c>
      <c r="R677" s="79" t="str">
        <f>IF(A677="","",IF(S677=0,"Date manquante ou invalide",IF(C677="","Équipement manquant",IF(ISNA(MATCH(C677,eq_code,0)),"Équipement inconnu",IF(E677="","Type manquant",IF(AND(E677&lt;&gt;"Préventif",E677&lt;&gt;"Correctif",E677&lt;&gt;"Amélioratif"),"Type inconnu",IF(I677="","Statut manquant",IF(AND(I677&lt;&gt;"Terminée",I677&lt;&gt;"En cours",I677&lt;&gt;"À faire",I677&lt;&gt;"Annulée"),"Statut inconnu",IF(AND(E677="Préventif",F677=""),"Plan manquant (préventif)",IF(AND(F677&lt;&gt;"",ISNA(MATCH(F677,pl_num,0))),"Plan inconnu",IF(AND(F677&lt;&gt;"",IFERROR(INDEX(pl_eq,MATCH(F677,pl_num,0))&amp;"",C677)&lt;&gt;C677),"Plan d'un autre équipement",IF(AND(J677&lt;&gt;"",OR(NOT(ISNUMBER(J677)),N(J677)&lt;0)),"Compteur invalide",IF(OR(AND(K677&lt;&gt;"",OR(NOT(ISNUMBER(K677)),N(K677)&lt;0)),AND(L677&lt;&gt;"",OR(NOT(ISNUMBER(L677)),N(L677)&lt;0))),"Durée invalide",IF(OR(AND(N677&lt;&gt;"",OR(NOT(ISNUMBER(N677)),N(N677)&lt;0)),AND(P677&lt;&gt;"",OR(NOT(ISNUMBER(P677)),N(P677)&lt;0))),"Coût invalide",IF(AND(M677&lt;&gt;"",ISNA(MATCH(M677,tech_name,0))),"Technicien inconnu",IF(AND(I677="Terminée",S677&gt;p_today),"Terminée à une date future",IF(AND(I677="Terminée",V677=0),"Durée d'intervention manquante",IF(AND(I677="Terminée",E677="Préventif",T677=0,OR(IFERROR(INDEX(pl_trig,MATCH(F677,pl_num,0))&amp;"","")="Compteur",IFERROR(INDEX(pl_trig,MATCH(F677,pl_num,0))&amp;"","")="Au premier des deux")),"Compteur manquant (plan au compteur)","OK"))))))))))))))))))</f>
        <v/>
      </c>
      <c r="S677" s="67">
        <f>IF(AND(ISNUMBER(B677),N(B677)&gt;0),INT(B677),0)</f>
        <v>0.0</v>
      </c>
      <c r="T677" s="67">
        <f>IF(AND(ISNUMBER(J677),N(J677)&gt;=0),N(J677),0)</f>
        <v>0.0</v>
      </c>
      <c r="U677" s="67">
        <f>IF(AND(ISNUMBER(K677),N(K677)&gt;0),N(K677),0)</f>
        <v>0.0</v>
      </c>
      <c r="V677" s="67">
        <f>IF(AND(ISNUMBER(L677),N(L677)&gt;0),N(L677),0)</f>
        <v>0.0</v>
      </c>
      <c r="W677" s="67">
        <f>IF(AND(I677="Terminée",S677&gt;0,C677&lt;&gt;"",ISNUMBER(MATCH(C677,eq_code,0))),1,0)</f>
        <v>0.0</v>
      </c>
      <c r="X677" s="67">
        <f>IF(AND(W677=1,E677="Préventif"),1,0)</f>
        <v>0.0</v>
      </c>
      <c r="Y677" s="67">
        <f>IF(AND(ISNUMBER(N677),N(N677)&gt;0),N(N677),0)</f>
        <v>0.0</v>
      </c>
      <c r="Z677" s="67">
        <f>IF(AND(ISNUMBER(P677),N(P677)&gt;0),N(P677),0)</f>
        <v>0.0</v>
      </c>
    </row>
    <row r="678">
      <c r="A678" s="79" t="str">
        <f>IF(COUNTA(B678:C678,E678:G678,I678)=0,"","BI-"&amp;RIGHT("0000"&amp;(ROW()-5),4))</f>
        <v/>
      </c>
      <c r="B678" s="72" t="n"/>
      <c r="C678" s="66" t="n"/>
      <c r="D678" s="67" t="str">
        <f>IF(C678="","",IFERROR(INDEX(eq_des,MATCH(C678,eq_code,0))&amp;"","Équipement inconnu"))</f>
        <v/>
      </c>
      <c r="E678" s="68" t="n"/>
      <c r="F678" s="68" t="n"/>
      <c r="G678" s="66" t="n"/>
      <c r="H678" s="66" t="n"/>
      <c r="I678" s="68" t="n"/>
      <c r="J678" s="73" t="n"/>
      <c r="K678" s="71" t="n"/>
      <c r="L678" s="71" t="n"/>
      <c r="M678" s="66" t="n"/>
      <c r="N678" s="80" t="n"/>
      <c r="O678" s="81" t="str">
        <f>IF(A678="","",ROUND(V678*IFERROR(N(INDEX(tech_rate,MATCH(M678,tech_name,0))),0),2))</f>
        <v/>
      </c>
      <c r="P678" s="80" t="n"/>
      <c r="Q678" s="81" t="str">
        <f>IF(A678="","",ROUND(Y678+O678+Z678,2))</f>
        <v/>
      </c>
      <c r="R678" s="79" t="str">
        <f>IF(A678="","",IF(S678=0,"Date manquante ou invalide",IF(C678="","Équipement manquant",IF(ISNA(MATCH(C678,eq_code,0)),"Équipement inconnu",IF(E678="","Type manquant",IF(AND(E678&lt;&gt;"Préventif",E678&lt;&gt;"Correctif",E678&lt;&gt;"Amélioratif"),"Type inconnu",IF(I678="","Statut manquant",IF(AND(I678&lt;&gt;"Terminée",I678&lt;&gt;"En cours",I678&lt;&gt;"À faire",I678&lt;&gt;"Annulée"),"Statut inconnu",IF(AND(E678="Préventif",F678=""),"Plan manquant (préventif)",IF(AND(F678&lt;&gt;"",ISNA(MATCH(F678,pl_num,0))),"Plan inconnu",IF(AND(F678&lt;&gt;"",IFERROR(INDEX(pl_eq,MATCH(F678,pl_num,0))&amp;"",C678)&lt;&gt;C678),"Plan d'un autre équipement",IF(AND(J678&lt;&gt;"",OR(NOT(ISNUMBER(J678)),N(J678)&lt;0)),"Compteur invalide",IF(OR(AND(K678&lt;&gt;"",OR(NOT(ISNUMBER(K678)),N(K678)&lt;0)),AND(L678&lt;&gt;"",OR(NOT(ISNUMBER(L678)),N(L678)&lt;0))),"Durée invalide",IF(OR(AND(N678&lt;&gt;"",OR(NOT(ISNUMBER(N678)),N(N678)&lt;0)),AND(P678&lt;&gt;"",OR(NOT(ISNUMBER(P678)),N(P678)&lt;0))),"Coût invalide",IF(AND(M678&lt;&gt;"",ISNA(MATCH(M678,tech_name,0))),"Technicien inconnu",IF(AND(I678="Terminée",S678&gt;p_today),"Terminée à une date future",IF(AND(I678="Terminée",V678=0),"Durée d'intervention manquante",IF(AND(I678="Terminée",E678="Préventif",T678=0,OR(IFERROR(INDEX(pl_trig,MATCH(F678,pl_num,0))&amp;"","")="Compteur",IFERROR(INDEX(pl_trig,MATCH(F678,pl_num,0))&amp;"","")="Au premier des deux")),"Compteur manquant (plan au compteur)","OK"))))))))))))))))))</f>
        <v/>
      </c>
      <c r="S678" s="67">
        <f>IF(AND(ISNUMBER(B678),N(B678)&gt;0),INT(B678),0)</f>
        <v>0.0</v>
      </c>
      <c r="T678" s="67">
        <f>IF(AND(ISNUMBER(J678),N(J678)&gt;=0),N(J678),0)</f>
        <v>0.0</v>
      </c>
      <c r="U678" s="67">
        <f>IF(AND(ISNUMBER(K678),N(K678)&gt;0),N(K678),0)</f>
        <v>0.0</v>
      </c>
      <c r="V678" s="67">
        <f>IF(AND(ISNUMBER(L678),N(L678)&gt;0),N(L678),0)</f>
        <v>0.0</v>
      </c>
      <c r="W678" s="67">
        <f>IF(AND(I678="Terminée",S678&gt;0,C678&lt;&gt;"",ISNUMBER(MATCH(C678,eq_code,0))),1,0)</f>
        <v>0.0</v>
      </c>
      <c r="X678" s="67">
        <f>IF(AND(W678=1,E678="Préventif"),1,0)</f>
        <v>0.0</v>
      </c>
      <c r="Y678" s="67">
        <f>IF(AND(ISNUMBER(N678),N(N678)&gt;0),N(N678),0)</f>
        <v>0.0</v>
      </c>
      <c r="Z678" s="67">
        <f>IF(AND(ISNUMBER(P678),N(P678)&gt;0),N(P678),0)</f>
        <v>0.0</v>
      </c>
    </row>
    <row r="679">
      <c r="A679" s="79" t="str">
        <f>IF(COUNTA(B679:C679,E679:G679,I679)=0,"","BI-"&amp;RIGHT("0000"&amp;(ROW()-5),4))</f>
        <v/>
      </c>
      <c r="B679" s="72" t="n"/>
      <c r="C679" s="66" t="n"/>
      <c r="D679" s="67" t="str">
        <f>IF(C679="","",IFERROR(INDEX(eq_des,MATCH(C679,eq_code,0))&amp;"","Équipement inconnu"))</f>
        <v/>
      </c>
      <c r="E679" s="68" t="n"/>
      <c r="F679" s="68" t="n"/>
      <c r="G679" s="66" t="n"/>
      <c r="H679" s="66" t="n"/>
      <c r="I679" s="68" t="n"/>
      <c r="J679" s="73" t="n"/>
      <c r="K679" s="71" t="n"/>
      <c r="L679" s="71" t="n"/>
      <c r="M679" s="66" t="n"/>
      <c r="N679" s="80" t="n"/>
      <c r="O679" s="81" t="str">
        <f>IF(A679="","",ROUND(V679*IFERROR(N(INDEX(tech_rate,MATCH(M679,tech_name,0))),0),2))</f>
        <v/>
      </c>
      <c r="P679" s="80" t="n"/>
      <c r="Q679" s="81" t="str">
        <f>IF(A679="","",ROUND(Y679+O679+Z679,2))</f>
        <v/>
      </c>
      <c r="R679" s="79" t="str">
        <f>IF(A679="","",IF(S679=0,"Date manquante ou invalide",IF(C679="","Équipement manquant",IF(ISNA(MATCH(C679,eq_code,0)),"Équipement inconnu",IF(E679="","Type manquant",IF(AND(E679&lt;&gt;"Préventif",E679&lt;&gt;"Correctif",E679&lt;&gt;"Amélioratif"),"Type inconnu",IF(I679="","Statut manquant",IF(AND(I679&lt;&gt;"Terminée",I679&lt;&gt;"En cours",I679&lt;&gt;"À faire",I679&lt;&gt;"Annulée"),"Statut inconnu",IF(AND(E679="Préventif",F679=""),"Plan manquant (préventif)",IF(AND(F679&lt;&gt;"",ISNA(MATCH(F679,pl_num,0))),"Plan inconnu",IF(AND(F679&lt;&gt;"",IFERROR(INDEX(pl_eq,MATCH(F679,pl_num,0))&amp;"",C679)&lt;&gt;C679),"Plan d'un autre équipement",IF(AND(J679&lt;&gt;"",OR(NOT(ISNUMBER(J679)),N(J679)&lt;0)),"Compteur invalide",IF(OR(AND(K679&lt;&gt;"",OR(NOT(ISNUMBER(K679)),N(K679)&lt;0)),AND(L679&lt;&gt;"",OR(NOT(ISNUMBER(L679)),N(L679)&lt;0))),"Durée invalide",IF(OR(AND(N679&lt;&gt;"",OR(NOT(ISNUMBER(N679)),N(N679)&lt;0)),AND(P679&lt;&gt;"",OR(NOT(ISNUMBER(P679)),N(P679)&lt;0))),"Coût invalide",IF(AND(M679&lt;&gt;"",ISNA(MATCH(M679,tech_name,0))),"Technicien inconnu",IF(AND(I679="Terminée",S679&gt;p_today),"Terminée à une date future",IF(AND(I679="Terminée",V679=0),"Durée d'intervention manquante",IF(AND(I679="Terminée",E679="Préventif",T679=0,OR(IFERROR(INDEX(pl_trig,MATCH(F679,pl_num,0))&amp;"","")="Compteur",IFERROR(INDEX(pl_trig,MATCH(F679,pl_num,0))&amp;"","")="Au premier des deux")),"Compteur manquant (plan au compteur)","OK"))))))))))))))))))</f>
        <v/>
      </c>
      <c r="S679" s="67">
        <f>IF(AND(ISNUMBER(B679),N(B679)&gt;0),INT(B679),0)</f>
        <v>0.0</v>
      </c>
      <c r="T679" s="67">
        <f>IF(AND(ISNUMBER(J679),N(J679)&gt;=0),N(J679),0)</f>
        <v>0.0</v>
      </c>
      <c r="U679" s="67">
        <f>IF(AND(ISNUMBER(K679),N(K679)&gt;0),N(K679),0)</f>
        <v>0.0</v>
      </c>
      <c r="V679" s="67">
        <f>IF(AND(ISNUMBER(L679),N(L679)&gt;0),N(L679),0)</f>
        <v>0.0</v>
      </c>
      <c r="W679" s="67">
        <f>IF(AND(I679="Terminée",S679&gt;0,C679&lt;&gt;"",ISNUMBER(MATCH(C679,eq_code,0))),1,0)</f>
        <v>0.0</v>
      </c>
      <c r="X679" s="67">
        <f>IF(AND(W679=1,E679="Préventif"),1,0)</f>
        <v>0.0</v>
      </c>
      <c r="Y679" s="67">
        <f>IF(AND(ISNUMBER(N679),N(N679)&gt;0),N(N679),0)</f>
        <v>0.0</v>
      </c>
      <c r="Z679" s="67">
        <f>IF(AND(ISNUMBER(P679),N(P679)&gt;0),N(P679),0)</f>
        <v>0.0</v>
      </c>
    </row>
    <row r="680">
      <c r="A680" s="79" t="str">
        <f>IF(COUNTA(B680:C680,E680:G680,I680)=0,"","BI-"&amp;RIGHT("0000"&amp;(ROW()-5),4))</f>
        <v/>
      </c>
      <c r="B680" s="72" t="n"/>
      <c r="C680" s="66" t="n"/>
      <c r="D680" s="67" t="str">
        <f>IF(C680="","",IFERROR(INDEX(eq_des,MATCH(C680,eq_code,0))&amp;"","Équipement inconnu"))</f>
        <v/>
      </c>
      <c r="E680" s="68" t="n"/>
      <c r="F680" s="68" t="n"/>
      <c r="G680" s="66" t="n"/>
      <c r="H680" s="66" t="n"/>
      <c r="I680" s="68" t="n"/>
      <c r="J680" s="73" t="n"/>
      <c r="K680" s="71" t="n"/>
      <c r="L680" s="71" t="n"/>
      <c r="M680" s="66" t="n"/>
      <c r="N680" s="80" t="n"/>
      <c r="O680" s="81" t="str">
        <f>IF(A680="","",ROUND(V680*IFERROR(N(INDEX(tech_rate,MATCH(M680,tech_name,0))),0),2))</f>
        <v/>
      </c>
      <c r="P680" s="80" t="n"/>
      <c r="Q680" s="81" t="str">
        <f>IF(A680="","",ROUND(Y680+O680+Z680,2))</f>
        <v/>
      </c>
      <c r="R680" s="79" t="str">
        <f>IF(A680="","",IF(S680=0,"Date manquante ou invalide",IF(C680="","Équipement manquant",IF(ISNA(MATCH(C680,eq_code,0)),"Équipement inconnu",IF(E680="","Type manquant",IF(AND(E680&lt;&gt;"Préventif",E680&lt;&gt;"Correctif",E680&lt;&gt;"Amélioratif"),"Type inconnu",IF(I680="","Statut manquant",IF(AND(I680&lt;&gt;"Terminée",I680&lt;&gt;"En cours",I680&lt;&gt;"À faire",I680&lt;&gt;"Annulée"),"Statut inconnu",IF(AND(E680="Préventif",F680=""),"Plan manquant (préventif)",IF(AND(F680&lt;&gt;"",ISNA(MATCH(F680,pl_num,0))),"Plan inconnu",IF(AND(F680&lt;&gt;"",IFERROR(INDEX(pl_eq,MATCH(F680,pl_num,0))&amp;"",C680)&lt;&gt;C680),"Plan d'un autre équipement",IF(AND(J680&lt;&gt;"",OR(NOT(ISNUMBER(J680)),N(J680)&lt;0)),"Compteur invalide",IF(OR(AND(K680&lt;&gt;"",OR(NOT(ISNUMBER(K680)),N(K680)&lt;0)),AND(L680&lt;&gt;"",OR(NOT(ISNUMBER(L680)),N(L680)&lt;0))),"Durée invalide",IF(OR(AND(N680&lt;&gt;"",OR(NOT(ISNUMBER(N680)),N(N680)&lt;0)),AND(P680&lt;&gt;"",OR(NOT(ISNUMBER(P680)),N(P680)&lt;0))),"Coût invalide",IF(AND(M680&lt;&gt;"",ISNA(MATCH(M680,tech_name,0))),"Technicien inconnu",IF(AND(I680="Terminée",S680&gt;p_today),"Terminée à une date future",IF(AND(I680="Terminée",V680=0),"Durée d'intervention manquante",IF(AND(I680="Terminée",E680="Préventif",T680=0,OR(IFERROR(INDEX(pl_trig,MATCH(F680,pl_num,0))&amp;"","")="Compteur",IFERROR(INDEX(pl_trig,MATCH(F680,pl_num,0))&amp;"","")="Au premier des deux")),"Compteur manquant (plan au compteur)","OK"))))))))))))))))))</f>
        <v/>
      </c>
      <c r="S680" s="67">
        <f>IF(AND(ISNUMBER(B680),N(B680)&gt;0),INT(B680),0)</f>
        <v>0.0</v>
      </c>
      <c r="T680" s="67">
        <f>IF(AND(ISNUMBER(J680),N(J680)&gt;=0),N(J680),0)</f>
        <v>0.0</v>
      </c>
      <c r="U680" s="67">
        <f>IF(AND(ISNUMBER(K680),N(K680)&gt;0),N(K680),0)</f>
        <v>0.0</v>
      </c>
      <c r="V680" s="67">
        <f>IF(AND(ISNUMBER(L680),N(L680)&gt;0),N(L680),0)</f>
        <v>0.0</v>
      </c>
      <c r="W680" s="67">
        <f>IF(AND(I680="Terminée",S680&gt;0,C680&lt;&gt;"",ISNUMBER(MATCH(C680,eq_code,0))),1,0)</f>
        <v>0.0</v>
      </c>
      <c r="X680" s="67">
        <f>IF(AND(W680=1,E680="Préventif"),1,0)</f>
        <v>0.0</v>
      </c>
      <c r="Y680" s="67">
        <f>IF(AND(ISNUMBER(N680),N(N680)&gt;0),N(N680),0)</f>
        <v>0.0</v>
      </c>
      <c r="Z680" s="67">
        <f>IF(AND(ISNUMBER(P680),N(P680)&gt;0),N(P680),0)</f>
        <v>0.0</v>
      </c>
    </row>
    <row r="681">
      <c r="A681" s="79" t="str">
        <f>IF(COUNTA(B681:C681,E681:G681,I681)=0,"","BI-"&amp;RIGHT("0000"&amp;(ROW()-5),4))</f>
        <v/>
      </c>
      <c r="B681" s="72" t="n"/>
      <c r="C681" s="66" t="n"/>
      <c r="D681" s="67" t="str">
        <f>IF(C681="","",IFERROR(INDEX(eq_des,MATCH(C681,eq_code,0))&amp;"","Équipement inconnu"))</f>
        <v/>
      </c>
      <c r="E681" s="68" t="n"/>
      <c r="F681" s="68" t="n"/>
      <c r="G681" s="66" t="n"/>
      <c r="H681" s="66" t="n"/>
      <c r="I681" s="68" t="n"/>
      <c r="J681" s="73" t="n"/>
      <c r="K681" s="71" t="n"/>
      <c r="L681" s="71" t="n"/>
      <c r="M681" s="66" t="n"/>
      <c r="N681" s="80" t="n"/>
      <c r="O681" s="81" t="str">
        <f>IF(A681="","",ROUND(V681*IFERROR(N(INDEX(tech_rate,MATCH(M681,tech_name,0))),0),2))</f>
        <v/>
      </c>
      <c r="P681" s="80" t="n"/>
      <c r="Q681" s="81" t="str">
        <f>IF(A681="","",ROUND(Y681+O681+Z681,2))</f>
        <v/>
      </c>
      <c r="R681" s="79" t="str">
        <f>IF(A681="","",IF(S681=0,"Date manquante ou invalide",IF(C681="","Équipement manquant",IF(ISNA(MATCH(C681,eq_code,0)),"Équipement inconnu",IF(E681="","Type manquant",IF(AND(E681&lt;&gt;"Préventif",E681&lt;&gt;"Correctif",E681&lt;&gt;"Amélioratif"),"Type inconnu",IF(I681="","Statut manquant",IF(AND(I681&lt;&gt;"Terminée",I681&lt;&gt;"En cours",I681&lt;&gt;"À faire",I681&lt;&gt;"Annulée"),"Statut inconnu",IF(AND(E681="Préventif",F681=""),"Plan manquant (préventif)",IF(AND(F681&lt;&gt;"",ISNA(MATCH(F681,pl_num,0))),"Plan inconnu",IF(AND(F681&lt;&gt;"",IFERROR(INDEX(pl_eq,MATCH(F681,pl_num,0))&amp;"",C681)&lt;&gt;C681),"Plan d'un autre équipement",IF(AND(J681&lt;&gt;"",OR(NOT(ISNUMBER(J681)),N(J681)&lt;0)),"Compteur invalide",IF(OR(AND(K681&lt;&gt;"",OR(NOT(ISNUMBER(K681)),N(K681)&lt;0)),AND(L681&lt;&gt;"",OR(NOT(ISNUMBER(L681)),N(L681)&lt;0))),"Durée invalide",IF(OR(AND(N681&lt;&gt;"",OR(NOT(ISNUMBER(N681)),N(N681)&lt;0)),AND(P681&lt;&gt;"",OR(NOT(ISNUMBER(P681)),N(P681)&lt;0))),"Coût invalide",IF(AND(M681&lt;&gt;"",ISNA(MATCH(M681,tech_name,0))),"Technicien inconnu",IF(AND(I681="Terminée",S681&gt;p_today),"Terminée à une date future",IF(AND(I681="Terminée",V681=0),"Durée d'intervention manquante",IF(AND(I681="Terminée",E681="Préventif",T681=0,OR(IFERROR(INDEX(pl_trig,MATCH(F681,pl_num,0))&amp;"","")="Compteur",IFERROR(INDEX(pl_trig,MATCH(F681,pl_num,0))&amp;"","")="Au premier des deux")),"Compteur manquant (plan au compteur)","OK"))))))))))))))))))</f>
        <v/>
      </c>
      <c r="S681" s="67">
        <f>IF(AND(ISNUMBER(B681),N(B681)&gt;0),INT(B681),0)</f>
        <v>0.0</v>
      </c>
      <c r="T681" s="67">
        <f>IF(AND(ISNUMBER(J681),N(J681)&gt;=0),N(J681),0)</f>
        <v>0.0</v>
      </c>
      <c r="U681" s="67">
        <f>IF(AND(ISNUMBER(K681),N(K681)&gt;0),N(K681),0)</f>
        <v>0.0</v>
      </c>
      <c r="V681" s="67">
        <f>IF(AND(ISNUMBER(L681),N(L681)&gt;0),N(L681),0)</f>
        <v>0.0</v>
      </c>
      <c r="W681" s="67">
        <f>IF(AND(I681="Terminée",S681&gt;0,C681&lt;&gt;"",ISNUMBER(MATCH(C681,eq_code,0))),1,0)</f>
        <v>0.0</v>
      </c>
      <c r="X681" s="67">
        <f>IF(AND(W681=1,E681="Préventif"),1,0)</f>
        <v>0.0</v>
      </c>
      <c r="Y681" s="67">
        <f>IF(AND(ISNUMBER(N681),N(N681)&gt;0),N(N681),0)</f>
        <v>0.0</v>
      </c>
      <c r="Z681" s="67">
        <f>IF(AND(ISNUMBER(P681),N(P681)&gt;0),N(P681),0)</f>
        <v>0.0</v>
      </c>
    </row>
    <row r="682">
      <c r="A682" s="79" t="str">
        <f>IF(COUNTA(B682:C682,E682:G682,I682)=0,"","BI-"&amp;RIGHT("0000"&amp;(ROW()-5),4))</f>
        <v/>
      </c>
      <c r="B682" s="72" t="n"/>
      <c r="C682" s="66" t="n"/>
      <c r="D682" s="67" t="str">
        <f>IF(C682="","",IFERROR(INDEX(eq_des,MATCH(C682,eq_code,0))&amp;"","Équipement inconnu"))</f>
        <v/>
      </c>
      <c r="E682" s="68" t="n"/>
      <c r="F682" s="68" t="n"/>
      <c r="G682" s="66" t="n"/>
      <c r="H682" s="66" t="n"/>
      <c r="I682" s="68" t="n"/>
      <c r="J682" s="73" t="n"/>
      <c r="K682" s="71" t="n"/>
      <c r="L682" s="71" t="n"/>
      <c r="M682" s="66" t="n"/>
      <c r="N682" s="80" t="n"/>
      <c r="O682" s="81" t="str">
        <f>IF(A682="","",ROUND(V682*IFERROR(N(INDEX(tech_rate,MATCH(M682,tech_name,0))),0),2))</f>
        <v/>
      </c>
      <c r="P682" s="80" t="n"/>
      <c r="Q682" s="81" t="str">
        <f>IF(A682="","",ROUND(Y682+O682+Z682,2))</f>
        <v/>
      </c>
      <c r="R682" s="79" t="str">
        <f>IF(A682="","",IF(S682=0,"Date manquante ou invalide",IF(C682="","Équipement manquant",IF(ISNA(MATCH(C682,eq_code,0)),"Équipement inconnu",IF(E682="","Type manquant",IF(AND(E682&lt;&gt;"Préventif",E682&lt;&gt;"Correctif",E682&lt;&gt;"Amélioratif"),"Type inconnu",IF(I682="","Statut manquant",IF(AND(I682&lt;&gt;"Terminée",I682&lt;&gt;"En cours",I682&lt;&gt;"À faire",I682&lt;&gt;"Annulée"),"Statut inconnu",IF(AND(E682="Préventif",F682=""),"Plan manquant (préventif)",IF(AND(F682&lt;&gt;"",ISNA(MATCH(F682,pl_num,0))),"Plan inconnu",IF(AND(F682&lt;&gt;"",IFERROR(INDEX(pl_eq,MATCH(F682,pl_num,0))&amp;"",C682)&lt;&gt;C682),"Plan d'un autre équipement",IF(AND(J682&lt;&gt;"",OR(NOT(ISNUMBER(J682)),N(J682)&lt;0)),"Compteur invalide",IF(OR(AND(K682&lt;&gt;"",OR(NOT(ISNUMBER(K682)),N(K682)&lt;0)),AND(L682&lt;&gt;"",OR(NOT(ISNUMBER(L682)),N(L682)&lt;0))),"Durée invalide",IF(OR(AND(N682&lt;&gt;"",OR(NOT(ISNUMBER(N682)),N(N682)&lt;0)),AND(P682&lt;&gt;"",OR(NOT(ISNUMBER(P682)),N(P682)&lt;0))),"Coût invalide",IF(AND(M682&lt;&gt;"",ISNA(MATCH(M682,tech_name,0))),"Technicien inconnu",IF(AND(I682="Terminée",S682&gt;p_today),"Terminée à une date future",IF(AND(I682="Terminée",V682=0),"Durée d'intervention manquante",IF(AND(I682="Terminée",E682="Préventif",T682=0,OR(IFERROR(INDEX(pl_trig,MATCH(F682,pl_num,0))&amp;"","")="Compteur",IFERROR(INDEX(pl_trig,MATCH(F682,pl_num,0))&amp;"","")="Au premier des deux")),"Compteur manquant (plan au compteur)","OK"))))))))))))))))))</f>
        <v/>
      </c>
      <c r="S682" s="67">
        <f>IF(AND(ISNUMBER(B682),N(B682)&gt;0),INT(B682),0)</f>
        <v>0.0</v>
      </c>
      <c r="T682" s="67">
        <f>IF(AND(ISNUMBER(J682),N(J682)&gt;=0),N(J682),0)</f>
        <v>0.0</v>
      </c>
      <c r="U682" s="67">
        <f>IF(AND(ISNUMBER(K682),N(K682)&gt;0),N(K682),0)</f>
        <v>0.0</v>
      </c>
      <c r="V682" s="67">
        <f>IF(AND(ISNUMBER(L682),N(L682)&gt;0),N(L682),0)</f>
        <v>0.0</v>
      </c>
      <c r="W682" s="67">
        <f>IF(AND(I682="Terminée",S682&gt;0,C682&lt;&gt;"",ISNUMBER(MATCH(C682,eq_code,0))),1,0)</f>
        <v>0.0</v>
      </c>
      <c r="X682" s="67">
        <f>IF(AND(W682=1,E682="Préventif"),1,0)</f>
        <v>0.0</v>
      </c>
      <c r="Y682" s="67">
        <f>IF(AND(ISNUMBER(N682),N(N682)&gt;0),N(N682),0)</f>
        <v>0.0</v>
      </c>
      <c r="Z682" s="67">
        <f>IF(AND(ISNUMBER(P682),N(P682)&gt;0),N(P682),0)</f>
        <v>0.0</v>
      </c>
    </row>
    <row r="683">
      <c r="A683" s="79" t="str">
        <f>IF(COUNTA(B683:C683,E683:G683,I683)=0,"","BI-"&amp;RIGHT("0000"&amp;(ROW()-5),4))</f>
        <v/>
      </c>
      <c r="B683" s="72" t="n"/>
      <c r="C683" s="66" t="n"/>
      <c r="D683" s="67" t="str">
        <f>IF(C683="","",IFERROR(INDEX(eq_des,MATCH(C683,eq_code,0))&amp;"","Équipement inconnu"))</f>
        <v/>
      </c>
      <c r="E683" s="68" t="n"/>
      <c r="F683" s="68" t="n"/>
      <c r="G683" s="66" t="n"/>
      <c r="H683" s="66" t="n"/>
      <c r="I683" s="68" t="n"/>
      <c r="J683" s="73" t="n"/>
      <c r="K683" s="71" t="n"/>
      <c r="L683" s="71" t="n"/>
      <c r="M683" s="66" t="n"/>
      <c r="N683" s="80" t="n"/>
      <c r="O683" s="81" t="str">
        <f>IF(A683="","",ROUND(V683*IFERROR(N(INDEX(tech_rate,MATCH(M683,tech_name,0))),0),2))</f>
        <v/>
      </c>
      <c r="P683" s="80" t="n"/>
      <c r="Q683" s="81" t="str">
        <f>IF(A683="","",ROUND(Y683+O683+Z683,2))</f>
        <v/>
      </c>
      <c r="R683" s="79" t="str">
        <f>IF(A683="","",IF(S683=0,"Date manquante ou invalide",IF(C683="","Équipement manquant",IF(ISNA(MATCH(C683,eq_code,0)),"Équipement inconnu",IF(E683="","Type manquant",IF(AND(E683&lt;&gt;"Préventif",E683&lt;&gt;"Correctif",E683&lt;&gt;"Amélioratif"),"Type inconnu",IF(I683="","Statut manquant",IF(AND(I683&lt;&gt;"Terminée",I683&lt;&gt;"En cours",I683&lt;&gt;"À faire",I683&lt;&gt;"Annulée"),"Statut inconnu",IF(AND(E683="Préventif",F683=""),"Plan manquant (préventif)",IF(AND(F683&lt;&gt;"",ISNA(MATCH(F683,pl_num,0))),"Plan inconnu",IF(AND(F683&lt;&gt;"",IFERROR(INDEX(pl_eq,MATCH(F683,pl_num,0))&amp;"",C683)&lt;&gt;C683),"Plan d'un autre équipement",IF(AND(J683&lt;&gt;"",OR(NOT(ISNUMBER(J683)),N(J683)&lt;0)),"Compteur invalide",IF(OR(AND(K683&lt;&gt;"",OR(NOT(ISNUMBER(K683)),N(K683)&lt;0)),AND(L683&lt;&gt;"",OR(NOT(ISNUMBER(L683)),N(L683)&lt;0))),"Durée invalide",IF(OR(AND(N683&lt;&gt;"",OR(NOT(ISNUMBER(N683)),N(N683)&lt;0)),AND(P683&lt;&gt;"",OR(NOT(ISNUMBER(P683)),N(P683)&lt;0))),"Coût invalide",IF(AND(M683&lt;&gt;"",ISNA(MATCH(M683,tech_name,0))),"Technicien inconnu",IF(AND(I683="Terminée",S683&gt;p_today),"Terminée à une date future",IF(AND(I683="Terminée",V683=0),"Durée d'intervention manquante",IF(AND(I683="Terminée",E683="Préventif",T683=0,OR(IFERROR(INDEX(pl_trig,MATCH(F683,pl_num,0))&amp;"","")="Compteur",IFERROR(INDEX(pl_trig,MATCH(F683,pl_num,0))&amp;"","")="Au premier des deux")),"Compteur manquant (plan au compteur)","OK"))))))))))))))))))</f>
        <v/>
      </c>
      <c r="S683" s="67">
        <f>IF(AND(ISNUMBER(B683),N(B683)&gt;0),INT(B683),0)</f>
        <v>0.0</v>
      </c>
      <c r="T683" s="67">
        <f>IF(AND(ISNUMBER(J683),N(J683)&gt;=0),N(J683),0)</f>
        <v>0.0</v>
      </c>
      <c r="U683" s="67">
        <f>IF(AND(ISNUMBER(K683),N(K683)&gt;0),N(K683),0)</f>
        <v>0.0</v>
      </c>
      <c r="V683" s="67">
        <f>IF(AND(ISNUMBER(L683),N(L683)&gt;0),N(L683),0)</f>
        <v>0.0</v>
      </c>
      <c r="W683" s="67">
        <f>IF(AND(I683="Terminée",S683&gt;0,C683&lt;&gt;"",ISNUMBER(MATCH(C683,eq_code,0))),1,0)</f>
        <v>0.0</v>
      </c>
      <c r="X683" s="67">
        <f>IF(AND(W683=1,E683="Préventif"),1,0)</f>
        <v>0.0</v>
      </c>
      <c r="Y683" s="67">
        <f>IF(AND(ISNUMBER(N683),N(N683)&gt;0),N(N683),0)</f>
        <v>0.0</v>
      </c>
      <c r="Z683" s="67">
        <f>IF(AND(ISNUMBER(P683),N(P683)&gt;0),N(P683),0)</f>
        <v>0.0</v>
      </c>
    </row>
    <row r="684">
      <c r="A684" s="79" t="str">
        <f>IF(COUNTA(B684:C684,E684:G684,I684)=0,"","BI-"&amp;RIGHT("0000"&amp;(ROW()-5),4))</f>
        <v/>
      </c>
      <c r="B684" s="72" t="n"/>
      <c r="C684" s="66" t="n"/>
      <c r="D684" s="67" t="str">
        <f>IF(C684="","",IFERROR(INDEX(eq_des,MATCH(C684,eq_code,0))&amp;"","Équipement inconnu"))</f>
        <v/>
      </c>
      <c r="E684" s="68" t="n"/>
      <c r="F684" s="68" t="n"/>
      <c r="G684" s="66" t="n"/>
      <c r="H684" s="66" t="n"/>
      <c r="I684" s="68" t="n"/>
      <c r="J684" s="73" t="n"/>
      <c r="K684" s="71" t="n"/>
      <c r="L684" s="71" t="n"/>
      <c r="M684" s="66" t="n"/>
      <c r="N684" s="80" t="n"/>
      <c r="O684" s="81" t="str">
        <f>IF(A684="","",ROUND(V684*IFERROR(N(INDEX(tech_rate,MATCH(M684,tech_name,0))),0),2))</f>
        <v/>
      </c>
      <c r="P684" s="80" t="n"/>
      <c r="Q684" s="81" t="str">
        <f>IF(A684="","",ROUND(Y684+O684+Z684,2))</f>
        <v/>
      </c>
      <c r="R684" s="79" t="str">
        <f>IF(A684="","",IF(S684=0,"Date manquante ou invalide",IF(C684="","Équipement manquant",IF(ISNA(MATCH(C684,eq_code,0)),"Équipement inconnu",IF(E684="","Type manquant",IF(AND(E684&lt;&gt;"Préventif",E684&lt;&gt;"Correctif",E684&lt;&gt;"Amélioratif"),"Type inconnu",IF(I684="","Statut manquant",IF(AND(I684&lt;&gt;"Terminée",I684&lt;&gt;"En cours",I684&lt;&gt;"À faire",I684&lt;&gt;"Annulée"),"Statut inconnu",IF(AND(E684="Préventif",F684=""),"Plan manquant (préventif)",IF(AND(F684&lt;&gt;"",ISNA(MATCH(F684,pl_num,0))),"Plan inconnu",IF(AND(F684&lt;&gt;"",IFERROR(INDEX(pl_eq,MATCH(F684,pl_num,0))&amp;"",C684)&lt;&gt;C684),"Plan d'un autre équipement",IF(AND(J684&lt;&gt;"",OR(NOT(ISNUMBER(J684)),N(J684)&lt;0)),"Compteur invalide",IF(OR(AND(K684&lt;&gt;"",OR(NOT(ISNUMBER(K684)),N(K684)&lt;0)),AND(L684&lt;&gt;"",OR(NOT(ISNUMBER(L684)),N(L684)&lt;0))),"Durée invalide",IF(OR(AND(N684&lt;&gt;"",OR(NOT(ISNUMBER(N684)),N(N684)&lt;0)),AND(P684&lt;&gt;"",OR(NOT(ISNUMBER(P684)),N(P684)&lt;0))),"Coût invalide",IF(AND(M684&lt;&gt;"",ISNA(MATCH(M684,tech_name,0))),"Technicien inconnu",IF(AND(I684="Terminée",S684&gt;p_today),"Terminée à une date future",IF(AND(I684="Terminée",V684=0),"Durée d'intervention manquante",IF(AND(I684="Terminée",E684="Préventif",T684=0,OR(IFERROR(INDEX(pl_trig,MATCH(F684,pl_num,0))&amp;"","")="Compteur",IFERROR(INDEX(pl_trig,MATCH(F684,pl_num,0))&amp;"","")="Au premier des deux")),"Compteur manquant (plan au compteur)","OK"))))))))))))))))))</f>
        <v/>
      </c>
      <c r="S684" s="67">
        <f>IF(AND(ISNUMBER(B684),N(B684)&gt;0),INT(B684),0)</f>
        <v>0.0</v>
      </c>
      <c r="T684" s="67">
        <f>IF(AND(ISNUMBER(J684),N(J684)&gt;=0),N(J684),0)</f>
        <v>0.0</v>
      </c>
      <c r="U684" s="67">
        <f>IF(AND(ISNUMBER(K684),N(K684)&gt;0),N(K684),0)</f>
        <v>0.0</v>
      </c>
      <c r="V684" s="67">
        <f>IF(AND(ISNUMBER(L684),N(L684)&gt;0),N(L684),0)</f>
        <v>0.0</v>
      </c>
      <c r="W684" s="67">
        <f>IF(AND(I684="Terminée",S684&gt;0,C684&lt;&gt;"",ISNUMBER(MATCH(C684,eq_code,0))),1,0)</f>
        <v>0.0</v>
      </c>
      <c r="X684" s="67">
        <f>IF(AND(W684=1,E684="Préventif"),1,0)</f>
        <v>0.0</v>
      </c>
      <c r="Y684" s="67">
        <f>IF(AND(ISNUMBER(N684),N(N684)&gt;0),N(N684),0)</f>
        <v>0.0</v>
      </c>
      <c r="Z684" s="67">
        <f>IF(AND(ISNUMBER(P684),N(P684)&gt;0),N(P684),0)</f>
        <v>0.0</v>
      </c>
    </row>
    <row r="685">
      <c r="A685" s="79" t="str">
        <f>IF(COUNTA(B685:C685,E685:G685,I685)=0,"","BI-"&amp;RIGHT("0000"&amp;(ROW()-5),4))</f>
        <v/>
      </c>
      <c r="B685" s="72" t="n"/>
      <c r="C685" s="66" t="n"/>
      <c r="D685" s="67" t="str">
        <f>IF(C685="","",IFERROR(INDEX(eq_des,MATCH(C685,eq_code,0))&amp;"","Équipement inconnu"))</f>
        <v/>
      </c>
      <c r="E685" s="68" t="n"/>
      <c r="F685" s="68" t="n"/>
      <c r="G685" s="66" t="n"/>
      <c r="H685" s="66" t="n"/>
      <c r="I685" s="68" t="n"/>
      <c r="J685" s="73" t="n"/>
      <c r="K685" s="71" t="n"/>
      <c r="L685" s="71" t="n"/>
      <c r="M685" s="66" t="n"/>
      <c r="N685" s="80" t="n"/>
      <c r="O685" s="81" t="str">
        <f>IF(A685="","",ROUND(V685*IFERROR(N(INDEX(tech_rate,MATCH(M685,tech_name,0))),0),2))</f>
        <v/>
      </c>
      <c r="P685" s="80" t="n"/>
      <c r="Q685" s="81" t="str">
        <f>IF(A685="","",ROUND(Y685+O685+Z685,2))</f>
        <v/>
      </c>
      <c r="R685" s="79" t="str">
        <f>IF(A685="","",IF(S685=0,"Date manquante ou invalide",IF(C685="","Équipement manquant",IF(ISNA(MATCH(C685,eq_code,0)),"Équipement inconnu",IF(E685="","Type manquant",IF(AND(E685&lt;&gt;"Préventif",E685&lt;&gt;"Correctif",E685&lt;&gt;"Amélioratif"),"Type inconnu",IF(I685="","Statut manquant",IF(AND(I685&lt;&gt;"Terminée",I685&lt;&gt;"En cours",I685&lt;&gt;"À faire",I685&lt;&gt;"Annulée"),"Statut inconnu",IF(AND(E685="Préventif",F685=""),"Plan manquant (préventif)",IF(AND(F685&lt;&gt;"",ISNA(MATCH(F685,pl_num,0))),"Plan inconnu",IF(AND(F685&lt;&gt;"",IFERROR(INDEX(pl_eq,MATCH(F685,pl_num,0))&amp;"",C685)&lt;&gt;C685),"Plan d'un autre équipement",IF(AND(J685&lt;&gt;"",OR(NOT(ISNUMBER(J685)),N(J685)&lt;0)),"Compteur invalide",IF(OR(AND(K685&lt;&gt;"",OR(NOT(ISNUMBER(K685)),N(K685)&lt;0)),AND(L685&lt;&gt;"",OR(NOT(ISNUMBER(L685)),N(L685)&lt;0))),"Durée invalide",IF(OR(AND(N685&lt;&gt;"",OR(NOT(ISNUMBER(N685)),N(N685)&lt;0)),AND(P685&lt;&gt;"",OR(NOT(ISNUMBER(P685)),N(P685)&lt;0))),"Coût invalide",IF(AND(M685&lt;&gt;"",ISNA(MATCH(M685,tech_name,0))),"Technicien inconnu",IF(AND(I685="Terminée",S685&gt;p_today),"Terminée à une date future",IF(AND(I685="Terminée",V685=0),"Durée d'intervention manquante",IF(AND(I685="Terminée",E685="Préventif",T685=0,OR(IFERROR(INDEX(pl_trig,MATCH(F685,pl_num,0))&amp;"","")="Compteur",IFERROR(INDEX(pl_trig,MATCH(F685,pl_num,0))&amp;"","")="Au premier des deux")),"Compteur manquant (plan au compteur)","OK"))))))))))))))))))</f>
        <v/>
      </c>
      <c r="S685" s="67">
        <f>IF(AND(ISNUMBER(B685),N(B685)&gt;0),INT(B685),0)</f>
        <v>0.0</v>
      </c>
      <c r="T685" s="67">
        <f>IF(AND(ISNUMBER(J685),N(J685)&gt;=0),N(J685),0)</f>
        <v>0.0</v>
      </c>
      <c r="U685" s="67">
        <f>IF(AND(ISNUMBER(K685),N(K685)&gt;0),N(K685),0)</f>
        <v>0.0</v>
      </c>
      <c r="V685" s="67">
        <f>IF(AND(ISNUMBER(L685),N(L685)&gt;0),N(L685),0)</f>
        <v>0.0</v>
      </c>
      <c r="W685" s="67">
        <f>IF(AND(I685="Terminée",S685&gt;0,C685&lt;&gt;"",ISNUMBER(MATCH(C685,eq_code,0))),1,0)</f>
        <v>0.0</v>
      </c>
      <c r="X685" s="67">
        <f>IF(AND(W685=1,E685="Préventif"),1,0)</f>
        <v>0.0</v>
      </c>
      <c r="Y685" s="67">
        <f>IF(AND(ISNUMBER(N685),N(N685)&gt;0),N(N685),0)</f>
        <v>0.0</v>
      </c>
      <c r="Z685" s="67">
        <f>IF(AND(ISNUMBER(P685),N(P685)&gt;0),N(P685),0)</f>
        <v>0.0</v>
      </c>
    </row>
    <row r="686">
      <c r="A686" s="79" t="str">
        <f>IF(COUNTA(B686:C686,E686:G686,I686)=0,"","BI-"&amp;RIGHT("0000"&amp;(ROW()-5),4))</f>
        <v/>
      </c>
      <c r="B686" s="72" t="n"/>
      <c r="C686" s="66" t="n"/>
      <c r="D686" s="67" t="str">
        <f>IF(C686="","",IFERROR(INDEX(eq_des,MATCH(C686,eq_code,0))&amp;"","Équipement inconnu"))</f>
        <v/>
      </c>
      <c r="E686" s="68" t="n"/>
      <c r="F686" s="68" t="n"/>
      <c r="G686" s="66" t="n"/>
      <c r="H686" s="66" t="n"/>
      <c r="I686" s="68" t="n"/>
      <c r="J686" s="73" t="n"/>
      <c r="K686" s="71" t="n"/>
      <c r="L686" s="71" t="n"/>
      <c r="M686" s="66" t="n"/>
      <c r="N686" s="80" t="n"/>
      <c r="O686" s="81" t="str">
        <f>IF(A686="","",ROUND(V686*IFERROR(N(INDEX(tech_rate,MATCH(M686,tech_name,0))),0),2))</f>
        <v/>
      </c>
      <c r="P686" s="80" t="n"/>
      <c r="Q686" s="81" t="str">
        <f>IF(A686="","",ROUND(Y686+O686+Z686,2))</f>
        <v/>
      </c>
      <c r="R686" s="79" t="str">
        <f>IF(A686="","",IF(S686=0,"Date manquante ou invalide",IF(C686="","Équipement manquant",IF(ISNA(MATCH(C686,eq_code,0)),"Équipement inconnu",IF(E686="","Type manquant",IF(AND(E686&lt;&gt;"Préventif",E686&lt;&gt;"Correctif",E686&lt;&gt;"Amélioratif"),"Type inconnu",IF(I686="","Statut manquant",IF(AND(I686&lt;&gt;"Terminée",I686&lt;&gt;"En cours",I686&lt;&gt;"À faire",I686&lt;&gt;"Annulée"),"Statut inconnu",IF(AND(E686="Préventif",F686=""),"Plan manquant (préventif)",IF(AND(F686&lt;&gt;"",ISNA(MATCH(F686,pl_num,0))),"Plan inconnu",IF(AND(F686&lt;&gt;"",IFERROR(INDEX(pl_eq,MATCH(F686,pl_num,0))&amp;"",C686)&lt;&gt;C686),"Plan d'un autre équipement",IF(AND(J686&lt;&gt;"",OR(NOT(ISNUMBER(J686)),N(J686)&lt;0)),"Compteur invalide",IF(OR(AND(K686&lt;&gt;"",OR(NOT(ISNUMBER(K686)),N(K686)&lt;0)),AND(L686&lt;&gt;"",OR(NOT(ISNUMBER(L686)),N(L686)&lt;0))),"Durée invalide",IF(OR(AND(N686&lt;&gt;"",OR(NOT(ISNUMBER(N686)),N(N686)&lt;0)),AND(P686&lt;&gt;"",OR(NOT(ISNUMBER(P686)),N(P686)&lt;0))),"Coût invalide",IF(AND(M686&lt;&gt;"",ISNA(MATCH(M686,tech_name,0))),"Technicien inconnu",IF(AND(I686="Terminée",S686&gt;p_today),"Terminée à une date future",IF(AND(I686="Terminée",V686=0),"Durée d'intervention manquante",IF(AND(I686="Terminée",E686="Préventif",T686=0,OR(IFERROR(INDEX(pl_trig,MATCH(F686,pl_num,0))&amp;"","")="Compteur",IFERROR(INDEX(pl_trig,MATCH(F686,pl_num,0))&amp;"","")="Au premier des deux")),"Compteur manquant (plan au compteur)","OK"))))))))))))))))))</f>
        <v/>
      </c>
      <c r="S686" s="67">
        <f>IF(AND(ISNUMBER(B686),N(B686)&gt;0),INT(B686),0)</f>
        <v>0.0</v>
      </c>
      <c r="T686" s="67">
        <f>IF(AND(ISNUMBER(J686),N(J686)&gt;=0),N(J686),0)</f>
        <v>0.0</v>
      </c>
      <c r="U686" s="67">
        <f>IF(AND(ISNUMBER(K686),N(K686)&gt;0),N(K686),0)</f>
        <v>0.0</v>
      </c>
      <c r="V686" s="67">
        <f>IF(AND(ISNUMBER(L686),N(L686)&gt;0),N(L686),0)</f>
        <v>0.0</v>
      </c>
      <c r="W686" s="67">
        <f>IF(AND(I686="Terminée",S686&gt;0,C686&lt;&gt;"",ISNUMBER(MATCH(C686,eq_code,0))),1,0)</f>
        <v>0.0</v>
      </c>
      <c r="X686" s="67">
        <f>IF(AND(W686=1,E686="Préventif"),1,0)</f>
        <v>0.0</v>
      </c>
      <c r="Y686" s="67">
        <f>IF(AND(ISNUMBER(N686),N(N686)&gt;0),N(N686),0)</f>
        <v>0.0</v>
      </c>
      <c r="Z686" s="67">
        <f>IF(AND(ISNUMBER(P686),N(P686)&gt;0),N(P686),0)</f>
        <v>0.0</v>
      </c>
    </row>
    <row r="687">
      <c r="A687" s="79" t="str">
        <f>IF(COUNTA(B687:C687,E687:G687,I687)=0,"","BI-"&amp;RIGHT("0000"&amp;(ROW()-5),4))</f>
        <v/>
      </c>
      <c r="B687" s="72" t="n"/>
      <c r="C687" s="66" t="n"/>
      <c r="D687" s="67" t="str">
        <f>IF(C687="","",IFERROR(INDEX(eq_des,MATCH(C687,eq_code,0))&amp;"","Équipement inconnu"))</f>
        <v/>
      </c>
      <c r="E687" s="68" t="n"/>
      <c r="F687" s="68" t="n"/>
      <c r="G687" s="66" t="n"/>
      <c r="H687" s="66" t="n"/>
      <c r="I687" s="68" t="n"/>
      <c r="J687" s="73" t="n"/>
      <c r="K687" s="71" t="n"/>
      <c r="L687" s="71" t="n"/>
      <c r="M687" s="66" t="n"/>
      <c r="N687" s="80" t="n"/>
      <c r="O687" s="81" t="str">
        <f>IF(A687="","",ROUND(V687*IFERROR(N(INDEX(tech_rate,MATCH(M687,tech_name,0))),0),2))</f>
        <v/>
      </c>
      <c r="P687" s="80" t="n"/>
      <c r="Q687" s="81" t="str">
        <f>IF(A687="","",ROUND(Y687+O687+Z687,2))</f>
        <v/>
      </c>
      <c r="R687" s="79" t="str">
        <f>IF(A687="","",IF(S687=0,"Date manquante ou invalide",IF(C687="","Équipement manquant",IF(ISNA(MATCH(C687,eq_code,0)),"Équipement inconnu",IF(E687="","Type manquant",IF(AND(E687&lt;&gt;"Préventif",E687&lt;&gt;"Correctif",E687&lt;&gt;"Amélioratif"),"Type inconnu",IF(I687="","Statut manquant",IF(AND(I687&lt;&gt;"Terminée",I687&lt;&gt;"En cours",I687&lt;&gt;"À faire",I687&lt;&gt;"Annulée"),"Statut inconnu",IF(AND(E687="Préventif",F687=""),"Plan manquant (préventif)",IF(AND(F687&lt;&gt;"",ISNA(MATCH(F687,pl_num,0))),"Plan inconnu",IF(AND(F687&lt;&gt;"",IFERROR(INDEX(pl_eq,MATCH(F687,pl_num,0))&amp;"",C687)&lt;&gt;C687),"Plan d'un autre équipement",IF(AND(J687&lt;&gt;"",OR(NOT(ISNUMBER(J687)),N(J687)&lt;0)),"Compteur invalide",IF(OR(AND(K687&lt;&gt;"",OR(NOT(ISNUMBER(K687)),N(K687)&lt;0)),AND(L687&lt;&gt;"",OR(NOT(ISNUMBER(L687)),N(L687)&lt;0))),"Durée invalide",IF(OR(AND(N687&lt;&gt;"",OR(NOT(ISNUMBER(N687)),N(N687)&lt;0)),AND(P687&lt;&gt;"",OR(NOT(ISNUMBER(P687)),N(P687)&lt;0))),"Coût invalide",IF(AND(M687&lt;&gt;"",ISNA(MATCH(M687,tech_name,0))),"Technicien inconnu",IF(AND(I687="Terminée",S687&gt;p_today),"Terminée à une date future",IF(AND(I687="Terminée",V687=0),"Durée d'intervention manquante",IF(AND(I687="Terminée",E687="Préventif",T687=0,OR(IFERROR(INDEX(pl_trig,MATCH(F687,pl_num,0))&amp;"","")="Compteur",IFERROR(INDEX(pl_trig,MATCH(F687,pl_num,0))&amp;"","")="Au premier des deux")),"Compteur manquant (plan au compteur)","OK"))))))))))))))))))</f>
        <v/>
      </c>
      <c r="S687" s="67">
        <f>IF(AND(ISNUMBER(B687),N(B687)&gt;0),INT(B687),0)</f>
        <v>0.0</v>
      </c>
      <c r="T687" s="67">
        <f>IF(AND(ISNUMBER(J687),N(J687)&gt;=0),N(J687),0)</f>
        <v>0.0</v>
      </c>
      <c r="U687" s="67">
        <f>IF(AND(ISNUMBER(K687),N(K687)&gt;0),N(K687),0)</f>
        <v>0.0</v>
      </c>
      <c r="V687" s="67">
        <f>IF(AND(ISNUMBER(L687),N(L687)&gt;0),N(L687),0)</f>
        <v>0.0</v>
      </c>
      <c r="W687" s="67">
        <f>IF(AND(I687="Terminée",S687&gt;0,C687&lt;&gt;"",ISNUMBER(MATCH(C687,eq_code,0))),1,0)</f>
        <v>0.0</v>
      </c>
      <c r="X687" s="67">
        <f>IF(AND(W687=1,E687="Préventif"),1,0)</f>
        <v>0.0</v>
      </c>
      <c r="Y687" s="67">
        <f>IF(AND(ISNUMBER(N687),N(N687)&gt;0),N(N687),0)</f>
        <v>0.0</v>
      </c>
      <c r="Z687" s="67">
        <f>IF(AND(ISNUMBER(P687),N(P687)&gt;0),N(P687),0)</f>
        <v>0.0</v>
      </c>
    </row>
    <row r="688">
      <c r="A688" s="79" t="str">
        <f>IF(COUNTA(B688:C688,E688:G688,I688)=0,"","BI-"&amp;RIGHT("0000"&amp;(ROW()-5),4))</f>
        <v/>
      </c>
      <c r="B688" s="72" t="n"/>
      <c r="C688" s="66" t="n"/>
      <c r="D688" s="67" t="str">
        <f>IF(C688="","",IFERROR(INDEX(eq_des,MATCH(C688,eq_code,0))&amp;"","Équipement inconnu"))</f>
        <v/>
      </c>
      <c r="E688" s="68" t="n"/>
      <c r="F688" s="68" t="n"/>
      <c r="G688" s="66" t="n"/>
      <c r="H688" s="66" t="n"/>
      <c r="I688" s="68" t="n"/>
      <c r="J688" s="73" t="n"/>
      <c r="K688" s="71" t="n"/>
      <c r="L688" s="71" t="n"/>
      <c r="M688" s="66" t="n"/>
      <c r="N688" s="80" t="n"/>
      <c r="O688" s="81" t="str">
        <f>IF(A688="","",ROUND(V688*IFERROR(N(INDEX(tech_rate,MATCH(M688,tech_name,0))),0),2))</f>
        <v/>
      </c>
      <c r="P688" s="80" t="n"/>
      <c r="Q688" s="81" t="str">
        <f>IF(A688="","",ROUND(Y688+O688+Z688,2))</f>
        <v/>
      </c>
      <c r="R688" s="79" t="str">
        <f>IF(A688="","",IF(S688=0,"Date manquante ou invalide",IF(C688="","Équipement manquant",IF(ISNA(MATCH(C688,eq_code,0)),"Équipement inconnu",IF(E688="","Type manquant",IF(AND(E688&lt;&gt;"Préventif",E688&lt;&gt;"Correctif",E688&lt;&gt;"Amélioratif"),"Type inconnu",IF(I688="","Statut manquant",IF(AND(I688&lt;&gt;"Terminée",I688&lt;&gt;"En cours",I688&lt;&gt;"À faire",I688&lt;&gt;"Annulée"),"Statut inconnu",IF(AND(E688="Préventif",F688=""),"Plan manquant (préventif)",IF(AND(F688&lt;&gt;"",ISNA(MATCH(F688,pl_num,0))),"Plan inconnu",IF(AND(F688&lt;&gt;"",IFERROR(INDEX(pl_eq,MATCH(F688,pl_num,0))&amp;"",C688)&lt;&gt;C688),"Plan d'un autre équipement",IF(AND(J688&lt;&gt;"",OR(NOT(ISNUMBER(J688)),N(J688)&lt;0)),"Compteur invalide",IF(OR(AND(K688&lt;&gt;"",OR(NOT(ISNUMBER(K688)),N(K688)&lt;0)),AND(L688&lt;&gt;"",OR(NOT(ISNUMBER(L688)),N(L688)&lt;0))),"Durée invalide",IF(OR(AND(N688&lt;&gt;"",OR(NOT(ISNUMBER(N688)),N(N688)&lt;0)),AND(P688&lt;&gt;"",OR(NOT(ISNUMBER(P688)),N(P688)&lt;0))),"Coût invalide",IF(AND(M688&lt;&gt;"",ISNA(MATCH(M688,tech_name,0))),"Technicien inconnu",IF(AND(I688="Terminée",S688&gt;p_today),"Terminée à une date future",IF(AND(I688="Terminée",V688=0),"Durée d'intervention manquante",IF(AND(I688="Terminée",E688="Préventif",T688=0,OR(IFERROR(INDEX(pl_trig,MATCH(F688,pl_num,0))&amp;"","")="Compteur",IFERROR(INDEX(pl_trig,MATCH(F688,pl_num,0))&amp;"","")="Au premier des deux")),"Compteur manquant (plan au compteur)","OK"))))))))))))))))))</f>
        <v/>
      </c>
      <c r="S688" s="67">
        <f>IF(AND(ISNUMBER(B688),N(B688)&gt;0),INT(B688),0)</f>
        <v>0.0</v>
      </c>
      <c r="T688" s="67">
        <f>IF(AND(ISNUMBER(J688),N(J688)&gt;=0),N(J688),0)</f>
        <v>0.0</v>
      </c>
      <c r="U688" s="67">
        <f>IF(AND(ISNUMBER(K688),N(K688)&gt;0),N(K688),0)</f>
        <v>0.0</v>
      </c>
      <c r="V688" s="67">
        <f>IF(AND(ISNUMBER(L688),N(L688)&gt;0),N(L688),0)</f>
        <v>0.0</v>
      </c>
      <c r="W688" s="67">
        <f>IF(AND(I688="Terminée",S688&gt;0,C688&lt;&gt;"",ISNUMBER(MATCH(C688,eq_code,0))),1,0)</f>
        <v>0.0</v>
      </c>
      <c r="X688" s="67">
        <f>IF(AND(W688=1,E688="Préventif"),1,0)</f>
        <v>0.0</v>
      </c>
      <c r="Y688" s="67">
        <f>IF(AND(ISNUMBER(N688),N(N688)&gt;0),N(N688),0)</f>
        <v>0.0</v>
      </c>
      <c r="Z688" s="67">
        <f>IF(AND(ISNUMBER(P688),N(P688)&gt;0),N(P688),0)</f>
        <v>0.0</v>
      </c>
    </row>
    <row r="689">
      <c r="A689" s="79" t="str">
        <f>IF(COUNTA(B689:C689,E689:G689,I689)=0,"","BI-"&amp;RIGHT("0000"&amp;(ROW()-5),4))</f>
        <v/>
      </c>
      <c r="B689" s="72" t="n"/>
      <c r="C689" s="66" t="n"/>
      <c r="D689" s="67" t="str">
        <f>IF(C689="","",IFERROR(INDEX(eq_des,MATCH(C689,eq_code,0))&amp;"","Équipement inconnu"))</f>
        <v/>
      </c>
      <c r="E689" s="68" t="n"/>
      <c r="F689" s="68" t="n"/>
      <c r="G689" s="66" t="n"/>
      <c r="H689" s="66" t="n"/>
      <c r="I689" s="68" t="n"/>
      <c r="J689" s="73" t="n"/>
      <c r="K689" s="71" t="n"/>
      <c r="L689" s="71" t="n"/>
      <c r="M689" s="66" t="n"/>
      <c r="N689" s="80" t="n"/>
      <c r="O689" s="81" t="str">
        <f>IF(A689="","",ROUND(V689*IFERROR(N(INDEX(tech_rate,MATCH(M689,tech_name,0))),0),2))</f>
        <v/>
      </c>
      <c r="P689" s="80" t="n"/>
      <c r="Q689" s="81" t="str">
        <f>IF(A689="","",ROUND(Y689+O689+Z689,2))</f>
        <v/>
      </c>
      <c r="R689" s="79" t="str">
        <f>IF(A689="","",IF(S689=0,"Date manquante ou invalide",IF(C689="","Équipement manquant",IF(ISNA(MATCH(C689,eq_code,0)),"Équipement inconnu",IF(E689="","Type manquant",IF(AND(E689&lt;&gt;"Préventif",E689&lt;&gt;"Correctif",E689&lt;&gt;"Amélioratif"),"Type inconnu",IF(I689="","Statut manquant",IF(AND(I689&lt;&gt;"Terminée",I689&lt;&gt;"En cours",I689&lt;&gt;"À faire",I689&lt;&gt;"Annulée"),"Statut inconnu",IF(AND(E689="Préventif",F689=""),"Plan manquant (préventif)",IF(AND(F689&lt;&gt;"",ISNA(MATCH(F689,pl_num,0))),"Plan inconnu",IF(AND(F689&lt;&gt;"",IFERROR(INDEX(pl_eq,MATCH(F689,pl_num,0))&amp;"",C689)&lt;&gt;C689),"Plan d'un autre équipement",IF(AND(J689&lt;&gt;"",OR(NOT(ISNUMBER(J689)),N(J689)&lt;0)),"Compteur invalide",IF(OR(AND(K689&lt;&gt;"",OR(NOT(ISNUMBER(K689)),N(K689)&lt;0)),AND(L689&lt;&gt;"",OR(NOT(ISNUMBER(L689)),N(L689)&lt;0))),"Durée invalide",IF(OR(AND(N689&lt;&gt;"",OR(NOT(ISNUMBER(N689)),N(N689)&lt;0)),AND(P689&lt;&gt;"",OR(NOT(ISNUMBER(P689)),N(P689)&lt;0))),"Coût invalide",IF(AND(M689&lt;&gt;"",ISNA(MATCH(M689,tech_name,0))),"Technicien inconnu",IF(AND(I689="Terminée",S689&gt;p_today),"Terminée à une date future",IF(AND(I689="Terminée",V689=0),"Durée d'intervention manquante",IF(AND(I689="Terminée",E689="Préventif",T689=0,OR(IFERROR(INDEX(pl_trig,MATCH(F689,pl_num,0))&amp;"","")="Compteur",IFERROR(INDEX(pl_trig,MATCH(F689,pl_num,0))&amp;"","")="Au premier des deux")),"Compteur manquant (plan au compteur)","OK"))))))))))))))))))</f>
        <v/>
      </c>
      <c r="S689" s="67">
        <f>IF(AND(ISNUMBER(B689),N(B689)&gt;0),INT(B689),0)</f>
        <v>0.0</v>
      </c>
      <c r="T689" s="67">
        <f>IF(AND(ISNUMBER(J689),N(J689)&gt;=0),N(J689),0)</f>
        <v>0.0</v>
      </c>
      <c r="U689" s="67">
        <f>IF(AND(ISNUMBER(K689),N(K689)&gt;0),N(K689),0)</f>
        <v>0.0</v>
      </c>
      <c r="V689" s="67">
        <f>IF(AND(ISNUMBER(L689),N(L689)&gt;0),N(L689),0)</f>
        <v>0.0</v>
      </c>
      <c r="W689" s="67">
        <f>IF(AND(I689="Terminée",S689&gt;0,C689&lt;&gt;"",ISNUMBER(MATCH(C689,eq_code,0))),1,0)</f>
        <v>0.0</v>
      </c>
      <c r="X689" s="67">
        <f>IF(AND(W689=1,E689="Préventif"),1,0)</f>
        <v>0.0</v>
      </c>
      <c r="Y689" s="67">
        <f>IF(AND(ISNUMBER(N689),N(N689)&gt;0),N(N689),0)</f>
        <v>0.0</v>
      </c>
      <c r="Z689" s="67">
        <f>IF(AND(ISNUMBER(P689),N(P689)&gt;0),N(P689),0)</f>
        <v>0.0</v>
      </c>
    </row>
    <row r="690">
      <c r="A690" s="79" t="str">
        <f>IF(COUNTA(B690:C690,E690:G690,I690)=0,"","BI-"&amp;RIGHT("0000"&amp;(ROW()-5),4))</f>
        <v/>
      </c>
      <c r="B690" s="72" t="n"/>
      <c r="C690" s="66" t="n"/>
      <c r="D690" s="67" t="str">
        <f>IF(C690="","",IFERROR(INDEX(eq_des,MATCH(C690,eq_code,0))&amp;"","Équipement inconnu"))</f>
        <v/>
      </c>
      <c r="E690" s="68" t="n"/>
      <c r="F690" s="68" t="n"/>
      <c r="G690" s="66" t="n"/>
      <c r="H690" s="66" t="n"/>
      <c r="I690" s="68" t="n"/>
      <c r="J690" s="73" t="n"/>
      <c r="K690" s="71" t="n"/>
      <c r="L690" s="71" t="n"/>
      <c r="M690" s="66" t="n"/>
      <c r="N690" s="80" t="n"/>
      <c r="O690" s="81" t="str">
        <f>IF(A690="","",ROUND(V690*IFERROR(N(INDEX(tech_rate,MATCH(M690,tech_name,0))),0),2))</f>
        <v/>
      </c>
      <c r="P690" s="80" t="n"/>
      <c r="Q690" s="81" t="str">
        <f>IF(A690="","",ROUND(Y690+O690+Z690,2))</f>
        <v/>
      </c>
      <c r="R690" s="79" t="str">
        <f>IF(A690="","",IF(S690=0,"Date manquante ou invalide",IF(C690="","Équipement manquant",IF(ISNA(MATCH(C690,eq_code,0)),"Équipement inconnu",IF(E690="","Type manquant",IF(AND(E690&lt;&gt;"Préventif",E690&lt;&gt;"Correctif",E690&lt;&gt;"Amélioratif"),"Type inconnu",IF(I690="","Statut manquant",IF(AND(I690&lt;&gt;"Terminée",I690&lt;&gt;"En cours",I690&lt;&gt;"À faire",I690&lt;&gt;"Annulée"),"Statut inconnu",IF(AND(E690="Préventif",F690=""),"Plan manquant (préventif)",IF(AND(F690&lt;&gt;"",ISNA(MATCH(F690,pl_num,0))),"Plan inconnu",IF(AND(F690&lt;&gt;"",IFERROR(INDEX(pl_eq,MATCH(F690,pl_num,0))&amp;"",C690)&lt;&gt;C690),"Plan d'un autre équipement",IF(AND(J690&lt;&gt;"",OR(NOT(ISNUMBER(J690)),N(J690)&lt;0)),"Compteur invalide",IF(OR(AND(K690&lt;&gt;"",OR(NOT(ISNUMBER(K690)),N(K690)&lt;0)),AND(L690&lt;&gt;"",OR(NOT(ISNUMBER(L690)),N(L690)&lt;0))),"Durée invalide",IF(OR(AND(N690&lt;&gt;"",OR(NOT(ISNUMBER(N690)),N(N690)&lt;0)),AND(P690&lt;&gt;"",OR(NOT(ISNUMBER(P690)),N(P690)&lt;0))),"Coût invalide",IF(AND(M690&lt;&gt;"",ISNA(MATCH(M690,tech_name,0))),"Technicien inconnu",IF(AND(I690="Terminée",S690&gt;p_today),"Terminée à une date future",IF(AND(I690="Terminée",V690=0),"Durée d'intervention manquante",IF(AND(I690="Terminée",E690="Préventif",T690=0,OR(IFERROR(INDEX(pl_trig,MATCH(F690,pl_num,0))&amp;"","")="Compteur",IFERROR(INDEX(pl_trig,MATCH(F690,pl_num,0))&amp;"","")="Au premier des deux")),"Compteur manquant (plan au compteur)","OK"))))))))))))))))))</f>
        <v/>
      </c>
      <c r="S690" s="67">
        <f>IF(AND(ISNUMBER(B690),N(B690)&gt;0),INT(B690),0)</f>
        <v>0.0</v>
      </c>
      <c r="T690" s="67">
        <f>IF(AND(ISNUMBER(J690),N(J690)&gt;=0),N(J690),0)</f>
        <v>0.0</v>
      </c>
      <c r="U690" s="67">
        <f>IF(AND(ISNUMBER(K690),N(K690)&gt;0),N(K690),0)</f>
        <v>0.0</v>
      </c>
      <c r="V690" s="67">
        <f>IF(AND(ISNUMBER(L690),N(L690)&gt;0),N(L690),0)</f>
        <v>0.0</v>
      </c>
      <c r="W690" s="67">
        <f>IF(AND(I690="Terminée",S690&gt;0,C690&lt;&gt;"",ISNUMBER(MATCH(C690,eq_code,0))),1,0)</f>
        <v>0.0</v>
      </c>
      <c r="X690" s="67">
        <f>IF(AND(W690=1,E690="Préventif"),1,0)</f>
        <v>0.0</v>
      </c>
      <c r="Y690" s="67">
        <f>IF(AND(ISNUMBER(N690),N(N690)&gt;0),N(N690),0)</f>
        <v>0.0</v>
      </c>
      <c r="Z690" s="67">
        <f>IF(AND(ISNUMBER(P690),N(P690)&gt;0),N(P690),0)</f>
        <v>0.0</v>
      </c>
    </row>
    <row r="691">
      <c r="A691" s="79" t="str">
        <f>IF(COUNTA(B691:C691,E691:G691,I691)=0,"","BI-"&amp;RIGHT("0000"&amp;(ROW()-5),4))</f>
        <v/>
      </c>
      <c r="B691" s="72" t="n"/>
      <c r="C691" s="66" t="n"/>
      <c r="D691" s="67" t="str">
        <f>IF(C691="","",IFERROR(INDEX(eq_des,MATCH(C691,eq_code,0))&amp;"","Équipement inconnu"))</f>
        <v/>
      </c>
      <c r="E691" s="68" t="n"/>
      <c r="F691" s="68" t="n"/>
      <c r="G691" s="66" t="n"/>
      <c r="H691" s="66" t="n"/>
      <c r="I691" s="68" t="n"/>
      <c r="J691" s="73" t="n"/>
      <c r="K691" s="71" t="n"/>
      <c r="L691" s="71" t="n"/>
      <c r="M691" s="66" t="n"/>
      <c r="N691" s="80" t="n"/>
      <c r="O691" s="81" t="str">
        <f>IF(A691="","",ROUND(V691*IFERROR(N(INDEX(tech_rate,MATCH(M691,tech_name,0))),0),2))</f>
        <v/>
      </c>
      <c r="P691" s="80" t="n"/>
      <c r="Q691" s="81" t="str">
        <f>IF(A691="","",ROUND(Y691+O691+Z691,2))</f>
        <v/>
      </c>
      <c r="R691" s="79" t="str">
        <f>IF(A691="","",IF(S691=0,"Date manquante ou invalide",IF(C691="","Équipement manquant",IF(ISNA(MATCH(C691,eq_code,0)),"Équipement inconnu",IF(E691="","Type manquant",IF(AND(E691&lt;&gt;"Préventif",E691&lt;&gt;"Correctif",E691&lt;&gt;"Amélioratif"),"Type inconnu",IF(I691="","Statut manquant",IF(AND(I691&lt;&gt;"Terminée",I691&lt;&gt;"En cours",I691&lt;&gt;"À faire",I691&lt;&gt;"Annulée"),"Statut inconnu",IF(AND(E691="Préventif",F691=""),"Plan manquant (préventif)",IF(AND(F691&lt;&gt;"",ISNA(MATCH(F691,pl_num,0))),"Plan inconnu",IF(AND(F691&lt;&gt;"",IFERROR(INDEX(pl_eq,MATCH(F691,pl_num,0))&amp;"",C691)&lt;&gt;C691),"Plan d'un autre équipement",IF(AND(J691&lt;&gt;"",OR(NOT(ISNUMBER(J691)),N(J691)&lt;0)),"Compteur invalide",IF(OR(AND(K691&lt;&gt;"",OR(NOT(ISNUMBER(K691)),N(K691)&lt;0)),AND(L691&lt;&gt;"",OR(NOT(ISNUMBER(L691)),N(L691)&lt;0))),"Durée invalide",IF(OR(AND(N691&lt;&gt;"",OR(NOT(ISNUMBER(N691)),N(N691)&lt;0)),AND(P691&lt;&gt;"",OR(NOT(ISNUMBER(P691)),N(P691)&lt;0))),"Coût invalide",IF(AND(M691&lt;&gt;"",ISNA(MATCH(M691,tech_name,0))),"Technicien inconnu",IF(AND(I691="Terminée",S691&gt;p_today),"Terminée à une date future",IF(AND(I691="Terminée",V691=0),"Durée d'intervention manquante",IF(AND(I691="Terminée",E691="Préventif",T691=0,OR(IFERROR(INDEX(pl_trig,MATCH(F691,pl_num,0))&amp;"","")="Compteur",IFERROR(INDEX(pl_trig,MATCH(F691,pl_num,0))&amp;"","")="Au premier des deux")),"Compteur manquant (plan au compteur)","OK"))))))))))))))))))</f>
        <v/>
      </c>
      <c r="S691" s="67">
        <f>IF(AND(ISNUMBER(B691),N(B691)&gt;0),INT(B691),0)</f>
        <v>0.0</v>
      </c>
      <c r="T691" s="67">
        <f>IF(AND(ISNUMBER(J691),N(J691)&gt;=0),N(J691),0)</f>
        <v>0.0</v>
      </c>
      <c r="U691" s="67">
        <f>IF(AND(ISNUMBER(K691),N(K691)&gt;0),N(K691),0)</f>
        <v>0.0</v>
      </c>
      <c r="V691" s="67">
        <f>IF(AND(ISNUMBER(L691),N(L691)&gt;0),N(L691),0)</f>
        <v>0.0</v>
      </c>
      <c r="W691" s="67">
        <f>IF(AND(I691="Terminée",S691&gt;0,C691&lt;&gt;"",ISNUMBER(MATCH(C691,eq_code,0))),1,0)</f>
        <v>0.0</v>
      </c>
      <c r="X691" s="67">
        <f>IF(AND(W691=1,E691="Préventif"),1,0)</f>
        <v>0.0</v>
      </c>
      <c r="Y691" s="67">
        <f>IF(AND(ISNUMBER(N691),N(N691)&gt;0),N(N691),0)</f>
        <v>0.0</v>
      </c>
      <c r="Z691" s="67">
        <f>IF(AND(ISNUMBER(P691),N(P691)&gt;0),N(P691),0)</f>
        <v>0.0</v>
      </c>
    </row>
    <row r="692">
      <c r="A692" s="79" t="str">
        <f>IF(COUNTA(B692:C692,E692:G692,I692)=0,"","BI-"&amp;RIGHT("0000"&amp;(ROW()-5),4))</f>
        <v/>
      </c>
      <c r="B692" s="72" t="n"/>
      <c r="C692" s="66" t="n"/>
      <c r="D692" s="67" t="str">
        <f>IF(C692="","",IFERROR(INDEX(eq_des,MATCH(C692,eq_code,0))&amp;"","Équipement inconnu"))</f>
        <v/>
      </c>
      <c r="E692" s="68" t="n"/>
      <c r="F692" s="68" t="n"/>
      <c r="G692" s="66" t="n"/>
      <c r="H692" s="66" t="n"/>
      <c r="I692" s="68" t="n"/>
      <c r="J692" s="73" t="n"/>
      <c r="K692" s="71" t="n"/>
      <c r="L692" s="71" t="n"/>
      <c r="M692" s="66" t="n"/>
      <c r="N692" s="80" t="n"/>
      <c r="O692" s="81" t="str">
        <f>IF(A692="","",ROUND(V692*IFERROR(N(INDEX(tech_rate,MATCH(M692,tech_name,0))),0),2))</f>
        <v/>
      </c>
      <c r="P692" s="80" t="n"/>
      <c r="Q692" s="81" t="str">
        <f>IF(A692="","",ROUND(Y692+O692+Z692,2))</f>
        <v/>
      </c>
      <c r="R692" s="79" t="str">
        <f>IF(A692="","",IF(S692=0,"Date manquante ou invalide",IF(C692="","Équipement manquant",IF(ISNA(MATCH(C692,eq_code,0)),"Équipement inconnu",IF(E692="","Type manquant",IF(AND(E692&lt;&gt;"Préventif",E692&lt;&gt;"Correctif",E692&lt;&gt;"Amélioratif"),"Type inconnu",IF(I692="","Statut manquant",IF(AND(I692&lt;&gt;"Terminée",I692&lt;&gt;"En cours",I692&lt;&gt;"À faire",I692&lt;&gt;"Annulée"),"Statut inconnu",IF(AND(E692="Préventif",F692=""),"Plan manquant (préventif)",IF(AND(F692&lt;&gt;"",ISNA(MATCH(F692,pl_num,0))),"Plan inconnu",IF(AND(F692&lt;&gt;"",IFERROR(INDEX(pl_eq,MATCH(F692,pl_num,0))&amp;"",C692)&lt;&gt;C692),"Plan d'un autre équipement",IF(AND(J692&lt;&gt;"",OR(NOT(ISNUMBER(J692)),N(J692)&lt;0)),"Compteur invalide",IF(OR(AND(K692&lt;&gt;"",OR(NOT(ISNUMBER(K692)),N(K692)&lt;0)),AND(L692&lt;&gt;"",OR(NOT(ISNUMBER(L692)),N(L692)&lt;0))),"Durée invalide",IF(OR(AND(N692&lt;&gt;"",OR(NOT(ISNUMBER(N692)),N(N692)&lt;0)),AND(P692&lt;&gt;"",OR(NOT(ISNUMBER(P692)),N(P692)&lt;0))),"Coût invalide",IF(AND(M692&lt;&gt;"",ISNA(MATCH(M692,tech_name,0))),"Technicien inconnu",IF(AND(I692="Terminée",S692&gt;p_today),"Terminée à une date future",IF(AND(I692="Terminée",V692=0),"Durée d'intervention manquante",IF(AND(I692="Terminée",E692="Préventif",T692=0,OR(IFERROR(INDEX(pl_trig,MATCH(F692,pl_num,0))&amp;"","")="Compteur",IFERROR(INDEX(pl_trig,MATCH(F692,pl_num,0))&amp;"","")="Au premier des deux")),"Compteur manquant (plan au compteur)","OK"))))))))))))))))))</f>
        <v/>
      </c>
      <c r="S692" s="67">
        <f>IF(AND(ISNUMBER(B692),N(B692)&gt;0),INT(B692),0)</f>
        <v>0.0</v>
      </c>
      <c r="T692" s="67">
        <f>IF(AND(ISNUMBER(J692),N(J692)&gt;=0),N(J692),0)</f>
        <v>0.0</v>
      </c>
      <c r="U692" s="67">
        <f>IF(AND(ISNUMBER(K692),N(K692)&gt;0),N(K692),0)</f>
        <v>0.0</v>
      </c>
      <c r="V692" s="67">
        <f>IF(AND(ISNUMBER(L692),N(L692)&gt;0),N(L692),0)</f>
        <v>0.0</v>
      </c>
      <c r="W692" s="67">
        <f>IF(AND(I692="Terminée",S692&gt;0,C692&lt;&gt;"",ISNUMBER(MATCH(C692,eq_code,0))),1,0)</f>
        <v>0.0</v>
      </c>
      <c r="X692" s="67">
        <f>IF(AND(W692=1,E692="Préventif"),1,0)</f>
        <v>0.0</v>
      </c>
      <c r="Y692" s="67">
        <f>IF(AND(ISNUMBER(N692),N(N692)&gt;0),N(N692),0)</f>
        <v>0.0</v>
      </c>
      <c r="Z692" s="67">
        <f>IF(AND(ISNUMBER(P692),N(P692)&gt;0),N(P692),0)</f>
        <v>0.0</v>
      </c>
    </row>
    <row r="693">
      <c r="A693" s="79" t="str">
        <f>IF(COUNTA(B693:C693,E693:G693,I693)=0,"","BI-"&amp;RIGHT("0000"&amp;(ROW()-5),4))</f>
        <v/>
      </c>
      <c r="B693" s="72" t="n"/>
      <c r="C693" s="66" t="n"/>
      <c r="D693" s="67" t="str">
        <f>IF(C693="","",IFERROR(INDEX(eq_des,MATCH(C693,eq_code,0))&amp;"","Équipement inconnu"))</f>
        <v/>
      </c>
      <c r="E693" s="68" t="n"/>
      <c r="F693" s="68" t="n"/>
      <c r="G693" s="66" t="n"/>
      <c r="H693" s="66" t="n"/>
      <c r="I693" s="68" t="n"/>
      <c r="J693" s="73" t="n"/>
      <c r="K693" s="71" t="n"/>
      <c r="L693" s="71" t="n"/>
      <c r="M693" s="66" t="n"/>
      <c r="N693" s="80" t="n"/>
      <c r="O693" s="81" t="str">
        <f>IF(A693="","",ROUND(V693*IFERROR(N(INDEX(tech_rate,MATCH(M693,tech_name,0))),0),2))</f>
        <v/>
      </c>
      <c r="P693" s="80" t="n"/>
      <c r="Q693" s="81" t="str">
        <f>IF(A693="","",ROUND(Y693+O693+Z693,2))</f>
        <v/>
      </c>
      <c r="R693" s="79" t="str">
        <f>IF(A693="","",IF(S693=0,"Date manquante ou invalide",IF(C693="","Équipement manquant",IF(ISNA(MATCH(C693,eq_code,0)),"Équipement inconnu",IF(E693="","Type manquant",IF(AND(E693&lt;&gt;"Préventif",E693&lt;&gt;"Correctif",E693&lt;&gt;"Amélioratif"),"Type inconnu",IF(I693="","Statut manquant",IF(AND(I693&lt;&gt;"Terminée",I693&lt;&gt;"En cours",I693&lt;&gt;"À faire",I693&lt;&gt;"Annulée"),"Statut inconnu",IF(AND(E693="Préventif",F693=""),"Plan manquant (préventif)",IF(AND(F693&lt;&gt;"",ISNA(MATCH(F693,pl_num,0))),"Plan inconnu",IF(AND(F693&lt;&gt;"",IFERROR(INDEX(pl_eq,MATCH(F693,pl_num,0))&amp;"",C693)&lt;&gt;C693),"Plan d'un autre équipement",IF(AND(J693&lt;&gt;"",OR(NOT(ISNUMBER(J693)),N(J693)&lt;0)),"Compteur invalide",IF(OR(AND(K693&lt;&gt;"",OR(NOT(ISNUMBER(K693)),N(K693)&lt;0)),AND(L693&lt;&gt;"",OR(NOT(ISNUMBER(L693)),N(L693)&lt;0))),"Durée invalide",IF(OR(AND(N693&lt;&gt;"",OR(NOT(ISNUMBER(N693)),N(N693)&lt;0)),AND(P693&lt;&gt;"",OR(NOT(ISNUMBER(P693)),N(P693)&lt;0))),"Coût invalide",IF(AND(M693&lt;&gt;"",ISNA(MATCH(M693,tech_name,0))),"Technicien inconnu",IF(AND(I693="Terminée",S693&gt;p_today),"Terminée à une date future",IF(AND(I693="Terminée",V693=0),"Durée d'intervention manquante",IF(AND(I693="Terminée",E693="Préventif",T693=0,OR(IFERROR(INDEX(pl_trig,MATCH(F693,pl_num,0))&amp;"","")="Compteur",IFERROR(INDEX(pl_trig,MATCH(F693,pl_num,0))&amp;"","")="Au premier des deux")),"Compteur manquant (plan au compteur)","OK"))))))))))))))))))</f>
        <v/>
      </c>
      <c r="S693" s="67">
        <f>IF(AND(ISNUMBER(B693),N(B693)&gt;0),INT(B693),0)</f>
        <v>0.0</v>
      </c>
      <c r="T693" s="67">
        <f>IF(AND(ISNUMBER(J693),N(J693)&gt;=0),N(J693),0)</f>
        <v>0.0</v>
      </c>
      <c r="U693" s="67">
        <f>IF(AND(ISNUMBER(K693),N(K693)&gt;0),N(K693),0)</f>
        <v>0.0</v>
      </c>
      <c r="V693" s="67">
        <f>IF(AND(ISNUMBER(L693),N(L693)&gt;0),N(L693),0)</f>
        <v>0.0</v>
      </c>
      <c r="W693" s="67">
        <f>IF(AND(I693="Terminée",S693&gt;0,C693&lt;&gt;"",ISNUMBER(MATCH(C693,eq_code,0))),1,0)</f>
        <v>0.0</v>
      </c>
      <c r="X693" s="67">
        <f>IF(AND(W693=1,E693="Préventif"),1,0)</f>
        <v>0.0</v>
      </c>
      <c r="Y693" s="67">
        <f>IF(AND(ISNUMBER(N693),N(N693)&gt;0),N(N693),0)</f>
        <v>0.0</v>
      </c>
      <c r="Z693" s="67">
        <f>IF(AND(ISNUMBER(P693),N(P693)&gt;0),N(P693),0)</f>
        <v>0.0</v>
      </c>
    </row>
    <row r="694">
      <c r="A694" s="79" t="str">
        <f>IF(COUNTA(B694:C694,E694:G694,I694)=0,"","BI-"&amp;RIGHT("0000"&amp;(ROW()-5),4))</f>
        <v/>
      </c>
      <c r="B694" s="72" t="n"/>
      <c r="C694" s="66" t="n"/>
      <c r="D694" s="67" t="str">
        <f>IF(C694="","",IFERROR(INDEX(eq_des,MATCH(C694,eq_code,0))&amp;"","Équipement inconnu"))</f>
        <v/>
      </c>
      <c r="E694" s="68" t="n"/>
      <c r="F694" s="68" t="n"/>
      <c r="G694" s="66" t="n"/>
      <c r="H694" s="66" t="n"/>
      <c r="I694" s="68" t="n"/>
      <c r="J694" s="73" t="n"/>
      <c r="K694" s="71" t="n"/>
      <c r="L694" s="71" t="n"/>
      <c r="M694" s="66" t="n"/>
      <c r="N694" s="80" t="n"/>
      <c r="O694" s="81" t="str">
        <f>IF(A694="","",ROUND(V694*IFERROR(N(INDEX(tech_rate,MATCH(M694,tech_name,0))),0),2))</f>
        <v/>
      </c>
      <c r="P694" s="80" t="n"/>
      <c r="Q694" s="81" t="str">
        <f>IF(A694="","",ROUND(Y694+O694+Z694,2))</f>
        <v/>
      </c>
      <c r="R694" s="79" t="str">
        <f>IF(A694="","",IF(S694=0,"Date manquante ou invalide",IF(C694="","Équipement manquant",IF(ISNA(MATCH(C694,eq_code,0)),"Équipement inconnu",IF(E694="","Type manquant",IF(AND(E694&lt;&gt;"Préventif",E694&lt;&gt;"Correctif",E694&lt;&gt;"Amélioratif"),"Type inconnu",IF(I694="","Statut manquant",IF(AND(I694&lt;&gt;"Terminée",I694&lt;&gt;"En cours",I694&lt;&gt;"À faire",I694&lt;&gt;"Annulée"),"Statut inconnu",IF(AND(E694="Préventif",F694=""),"Plan manquant (préventif)",IF(AND(F694&lt;&gt;"",ISNA(MATCH(F694,pl_num,0))),"Plan inconnu",IF(AND(F694&lt;&gt;"",IFERROR(INDEX(pl_eq,MATCH(F694,pl_num,0))&amp;"",C694)&lt;&gt;C694),"Plan d'un autre équipement",IF(AND(J694&lt;&gt;"",OR(NOT(ISNUMBER(J694)),N(J694)&lt;0)),"Compteur invalide",IF(OR(AND(K694&lt;&gt;"",OR(NOT(ISNUMBER(K694)),N(K694)&lt;0)),AND(L694&lt;&gt;"",OR(NOT(ISNUMBER(L694)),N(L694)&lt;0))),"Durée invalide",IF(OR(AND(N694&lt;&gt;"",OR(NOT(ISNUMBER(N694)),N(N694)&lt;0)),AND(P694&lt;&gt;"",OR(NOT(ISNUMBER(P694)),N(P694)&lt;0))),"Coût invalide",IF(AND(M694&lt;&gt;"",ISNA(MATCH(M694,tech_name,0))),"Technicien inconnu",IF(AND(I694="Terminée",S694&gt;p_today),"Terminée à une date future",IF(AND(I694="Terminée",V694=0),"Durée d'intervention manquante",IF(AND(I694="Terminée",E694="Préventif",T694=0,OR(IFERROR(INDEX(pl_trig,MATCH(F694,pl_num,0))&amp;"","")="Compteur",IFERROR(INDEX(pl_trig,MATCH(F694,pl_num,0))&amp;"","")="Au premier des deux")),"Compteur manquant (plan au compteur)","OK"))))))))))))))))))</f>
        <v/>
      </c>
      <c r="S694" s="67">
        <f>IF(AND(ISNUMBER(B694),N(B694)&gt;0),INT(B694),0)</f>
        <v>0.0</v>
      </c>
      <c r="T694" s="67">
        <f>IF(AND(ISNUMBER(J694),N(J694)&gt;=0),N(J694),0)</f>
        <v>0.0</v>
      </c>
      <c r="U694" s="67">
        <f>IF(AND(ISNUMBER(K694),N(K694)&gt;0),N(K694),0)</f>
        <v>0.0</v>
      </c>
      <c r="V694" s="67">
        <f>IF(AND(ISNUMBER(L694),N(L694)&gt;0),N(L694),0)</f>
        <v>0.0</v>
      </c>
      <c r="W694" s="67">
        <f>IF(AND(I694="Terminée",S694&gt;0,C694&lt;&gt;"",ISNUMBER(MATCH(C694,eq_code,0))),1,0)</f>
        <v>0.0</v>
      </c>
      <c r="X694" s="67">
        <f>IF(AND(W694=1,E694="Préventif"),1,0)</f>
        <v>0.0</v>
      </c>
      <c r="Y694" s="67">
        <f>IF(AND(ISNUMBER(N694),N(N694)&gt;0),N(N694),0)</f>
        <v>0.0</v>
      </c>
      <c r="Z694" s="67">
        <f>IF(AND(ISNUMBER(P694),N(P694)&gt;0),N(P694),0)</f>
        <v>0.0</v>
      </c>
    </row>
    <row r="695">
      <c r="A695" s="79" t="str">
        <f>IF(COUNTA(B695:C695,E695:G695,I695)=0,"","BI-"&amp;RIGHT("0000"&amp;(ROW()-5),4))</f>
        <v/>
      </c>
      <c r="B695" s="72" t="n"/>
      <c r="C695" s="66" t="n"/>
      <c r="D695" s="67" t="str">
        <f>IF(C695="","",IFERROR(INDEX(eq_des,MATCH(C695,eq_code,0))&amp;"","Équipement inconnu"))</f>
        <v/>
      </c>
      <c r="E695" s="68" t="n"/>
      <c r="F695" s="68" t="n"/>
      <c r="G695" s="66" t="n"/>
      <c r="H695" s="66" t="n"/>
      <c r="I695" s="68" t="n"/>
      <c r="J695" s="73" t="n"/>
      <c r="K695" s="71" t="n"/>
      <c r="L695" s="71" t="n"/>
      <c r="M695" s="66" t="n"/>
      <c r="N695" s="80" t="n"/>
      <c r="O695" s="81" t="str">
        <f>IF(A695="","",ROUND(V695*IFERROR(N(INDEX(tech_rate,MATCH(M695,tech_name,0))),0),2))</f>
        <v/>
      </c>
      <c r="P695" s="80" t="n"/>
      <c r="Q695" s="81" t="str">
        <f>IF(A695="","",ROUND(Y695+O695+Z695,2))</f>
        <v/>
      </c>
      <c r="R695" s="79" t="str">
        <f>IF(A695="","",IF(S695=0,"Date manquante ou invalide",IF(C695="","Équipement manquant",IF(ISNA(MATCH(C695,eq_code,0)),"Équipement inconnu",IF(E695="","Type manquant",IF(AND(E695&lt;&gt;"Préventif",E695&lt;&gt;"Correctif",E695&lt;&gt;"Amélioratif"),"Type inconnu",IF(I695="","Statut manquant",IF(AND(I695&lt;&gt;"Terminée",I695&lt;&gt;"En cours",I695&lt;&gt;"À faire",I695&lt;&gt;"Annulée"),"Statut inconnu",IF(AND(E695="Préventif",F695=""),"Plan manquant (préventif)",IF(AND(F695&lt;&gt;"",ISNA(MATCH(F695,pl_num,0))),"Plan inconnu",IF(AND(F695&lt;&gt;"",IFERROR(INDEX(pl_eq,MATCH(F695,pl_num,0))&amp;"",C695)&lt;&gt;C695),"Plan d'un autre équipement",IF(AND(J695&lt;&gt;"",OR(NOT(ISNUMBER(J695)),N(J695)&lt;0)),"Compteur invalide",IF(OR(AND(K695&lt;&gt;"",OR(NOT(ISNUMBER(K695)),N(K695)&lt;0)),AND(L695&lt;&gt;"",OR(NOT(ISNUMBER(L695)),N(L695)&lt;0))),"Durée invalide",IF(OR(AND(N695&lt;&gt;"",OR(NOT(ISNUMBER(N695)),N(N695)&lt;0)),AND(P695&lt;&gt;"",OR(NOT(ISNUMBER(P695)),N(P695)&lt;0))),"Coût invalide",IF(AND(M695&lt;&gt;"",ISNA(MATCH(M695,tech_name,0))),"Technicien inconnu",IF(AND(I695="Terminée",S695&gt;p_today),"Terminée à une date future",IF(AND(I695="Terminée",V695=0),"Durée d'intervention manquante",IF(AND(I695="Terminée",E695="Préventif",T695=0,OR(IFERROR(INDEX(pl_trig,MATCH(F695,pl_num,0))&amp;"","")="Compteur",IFERROR(INDEX(pl_trig,MATCH(F695,pl_num,0))&amp;"","")="Au premier des deux")),"Compteur manquant (plan au compteur)","OK"))))))))))))))))))</f>
        <v/>
      </c>
      <c r="S695" s="67">
        <f>IF(AND(ISNUMBER(B695),N(B695)&gt;0),INT(B695),0)</f>
        <v>0.0</v>
      </c>
      <c r="T695" s="67">
        <f>IF(AND(ISNUMBER(J695),N(J695)&gt;=0),N(J695),0)</f>
        <v>0.0</v>
      </c>
      <c r="U695" s="67">
        <f>IF(AND(ISNUMBER(K695),N(K695)&gt;0),N(K695),0)</f>
        <v>0.0</v>
      </c>
      <c r="V695" s="67">
        <f>IF(AND(ISNUMBER(L695),N(L695)&gt;0),N(L695),0)</f>
        <v>0.0</v>
      </c>
      <c r="W695" s="67">
        <f>IF(AND(I695="Terminée",S695&gt;0,C695&lt;&gt;"",ISNUMBER(MATCH(C695,eq_code,0))),1,0)</f>
        <v>0.0</v>
      </c>
      <c r="X695" s="67">
        <f>IF(AND(W695=1,E695="Préventif"),1,0)</f>
        <v>0.0</v>
      </c>
      <c r="Y695" s="67">
        <f>IF(AND(ISNUMBER(N695),N(N695)&gt;0),N(N695),0)</f>
        <v>0.0</v>
      </c>
      <c r="Z695" s="67">
        <f>IF(AND(ISNUMBER(P695),N(P695)&gt;0),N(P695),0)</f>
        <v>0.0</v>
      </c>
    </row>
    <row r="696">
      <c r="A696" s="79" t="str">
        <f>IF(COUNTA(B696:C696,E696:G696,I696)=0,"","BI-"&amp;RIGHT("0000"&amp;(ROW()-5),4))</f>
        <v/>
      </c>
      <c r="B696" s="72" t="n"/>
      <c r="C696" s="66" t="n"/>
      <c r="D696" s="67" t="str">
        <f>IF(C696="","",IFERROR(INDEX(eq_des,MATCH(C696,eq_code,0))&amp;"","Équipement inconnu"))</f>
        <v/>
      </c>
      <c r="E696" s="68" t="n"/>
      <c r="F696" s="68" t="n"/>
      <c r="G696" s="66" t="n"/>
      <c r="H696" s="66" t="n"/>
      <c r="I696" s="68" t="n"/>
      <c r="J696" s="73" t="n"/>
      <c r="K696" s="71" t="n"/>
      <c r="L696" s="71" t="n"/>
      <c r="M696" s="66" t="n"/>
      <c r="N696" s="80" t="n"/>
      <c r="O696" s="81" t="str">
        <f>IF(A696="","",ROUND(V696*IFERROR(N(INDEX(tech_rate,MATCH(M696,tech_name,0))),0),2))</f>
        <v/>
      </c>
      <c r="P696" s="80" t="n"/>
      <c r="Q696" s="81" t="str">
        <f>IF(A696="","",ROUND(Y696+O696+Z696,2))</f>
        <v/>
      </c>
      <c r="R696" s="79" t="str">
        <f>IF(A696="","",IF(S696=0,"Date manquante ou invalide",IF(C696="","Équipement manquant",IF(ISNA(MATCH(C696,eq_code,0)),"Équipement inconnu",IF(E696="","Type manquant",IF(AND(E696&lt;&gt;"Préventif",E696&lt;&gt;"Correctif",E696&lt;&gt;"Amélioratif"),"Type inconnu",IF(I696="","Statut manquant",IF(AND(I696&lt;&gt;"Terminée",I696&lt;&gt;"En cours",I696&lt;&gt;"À faire",I696&lt;&gt;"Annulée"),"Statut inconnu",IF(AND(E696="Préventif",F696=""),"Plan manquant (préventif)",IF(AND(F696&lt;&gt;"",ISNA(MATCH(F696,pl_num,0))),"Plan inconnu",IF(AND(F696&lt;&gt;"",IFERROR(INDEX(pl_eq,MATCH(F696,pl_num,0))&amp;"",C696)&lt;&gt;C696),"Plan d'un autre équipement",IF(AND(J696&lt;&gt;"",OR(NOT(ISNUMBER(J696)),N(J696)&lt;0)),"Compteur invalide",IF(OR(AND(K696&lt;&gt;"",OR(NOT(ISNUMBER(K696)),N(K696)&lt;0)),AND(L696&lt;&gt;"",OR(NOT(ISNUMBER(L696)),N(L696)&lt;0))),"Durée invalide",IF(OR(AND(N696&lt;&gt;"",OR(NOT(ISNUMBER(N696)),N(N696)&lt;0)),AND(P696&lt;&gt;"",OR(NOT(ISNUMBER(P696)),N(P696)&lt;0))),"Coût invalide",IF(AND(M696&lt;&gt;"",ISNA(MATCH(M696,tech_name,0))),"Technicien inconnu",IF(AND(I696="Terminée",S696&gt;p_today),"Terminée à une date future",IF(AND(I696="Terminée",V696=0),"Durée d'intervention manquante",IF(AND(I696="Terminée",E696="Préventif",T696=0,OR(IFERROR(INDEX(pl_trig,MATCH(F696,pl_num,0))&amp;"","")="Compteur",IFERROR(INDEX(pl_trig,MATCH(F696,pl_num,0))&amp;"","")="Au premier des deux")),"Compteur manquant (plan au compteur)","OK"))))))))))))))))))</f>
        <v/>
      </c>
      <c r="S696" s="67">
        <f>IF(AND(ISNUMBER(B696),N(B696)&gt;0),INT(B696),0)</f>
        <v>0.0</v>
      </c>
      <c r="T696" s="67">
        <f>IF(AND(ISNUMBER(J696),N(J696)&gt;=0),N(J696),0)</f>
        <v>0.0</v>
      </c>
      <c r="U696" s="67">
        <f>IF(AND(ISNUMBER(K696),N(K696)&gt;0),N(K696),0)</f>
        <v>0.0</v>
      </c>
      <c r="V696" s="67">
        <f>IF(AND(ISNUMBER(L696),N(L696)&gt;0),N(L696),0)</f>
        <v>0.0</v>
      </c>
      <c r="W696" s="67">
        <f>IF(AND(I696="Terminée",S696&gt;0,C696&lt;&gt;"",ISNUMBER(MATCH(C696,eq_code,0))),1,0)</f>
        <v>0.0</v>
      </c>
      <c r="X696" s="67">
        <f>IF(AND(W696=1,E696="Préventif"),1,0)</f>
        <v>0.0</v>
      </c>
      <c r="Y696" s="67">
        <f>IF(AND(ISNUMBER(N696),N(N696)&gt;0),N(N696),0)</f>
        <v>0.0</v>
      </c>
      <c r="Z696" s="67">
        <f>IF(AND(ISNUMBER(P696),N(P696)&gt;0),N(P696),0)</f>
        <v>0.0</v>
      </c>
    </row>
    <row r="697">
      <c r="A697" s="79" t="str">
        <f>IF(COUNTA(B697:C697,E697:G697,I697)=0,"","BI-"&amp;RIGHT("0000"&amp;(ROW()-5),4))</f>
        <v/>
      </c>
      <c r="B697" s="72" t="n"/>
      <c r="C697" s="66" t="n"/>
      <c r="D697" s="67" t="str">
        <f>IF(C697="","",IFERROR(INDEX(eq_des,MATCH(C697,eq_code,0))&amp;"","Équipement inconnu"))</f>
        <v/>
      </c>
      <c r="E697" s="68" t="n"/>
      <c r="F697" s="68" t="n"/>
      <c r="G697" s="66" t="n"/>
      <c r="H697" s="66" t="n"/>
      <c r="I697" s="68" t="n"/>
      <c r="J697" s="73" t="n"/>
      <c r="K697" s="71" t="n"/>
      <c r="L697" s="71" t="n"/>
      <c r="M697" s="66" t="n"/>
      <c r="N697" s="80" t="n"/>
      <c r="O697" s="81" t="str">
        <f>IF(A697="","",ROUND(V697*IFERROR(N(INDEX(tech_rate,MATCH(M697,tech_name,0))),0),2))</f>
        <v/>
      </c>
      <c r="P697" s="80" t="n"/>
      <c r="Q697" s="81" t="str">
        <f>IF(A697="","",ROUND(Y697+O697+Z697,2))</f>
        <v/>
      </c>
      <c r="R697" s="79" t="str">
        <f>IF(A697="","",IF(S697=0,"Date manquante ou invalide",IF(C697="","Équipement manquant",IF(ISNA(MATCH(C697,eq_code,0)),"Équipement inconnu",IF(E697="","Type manquant",IF(AND(E697&lt;&gt;"Préventif",E697&lt;&gt;"Correctif",E697&lt;&gt;"Amélioratif"),"Type inconnu",IF(I697="","Statut manquant",IF(AND(I697&lt;&gt;"Terminée",I697&lt;&gt;"En cours",I697&lt;&gt;"À faire",I697&lt;&gt;"Annulée"),"Statut inconnu",IF(AND(E697="Préventif",F697=""),"Plan manquant (préventif)",IF(AND(F697&lt;&gt;"",ISNA(MATCH(F697,pl_num,0))),"Plan inconnu",IF(AND(F697&lt;&gt;"",IFERROR(INDEX(pl_eq,MATCH(F697,pl_num,0))&amp;"",C697)&lt;&gt;C697),"Plan d'un autre équipement",IF(AND(J697&lt;&gt;"",OR(NOT(ISNUMBER(J697)),N(J697)&lt;0)),"Compteur invalide",IF(OR(AND(K697&lt;&gt;"",OR(NOT(ISNUMBER(K697)),N(K697)&lt;0)),AND(L697&lt;&gt;"",OR(NOT(ISNUMBER(L697)),N(L697)&lt;0))),"Durée invalide",IF(OR(AND(N697&lt;&gt;"",OR(NOT(ISNUMBER(N697)),N(N697)&lt;0)),AND(P697&lt;&gt;"",OR(NOT(ISNUMBER(P697)),N(P697)&lt;0))),"Coût invalide",IF(AND(M697&lt;&gt;"",ISNA(MATCH(M697,tech_name,0))),"Technicien inconnu",IF(AND(I697="Terminée",S697&gt;p_today),"Terminée à une date future",IF(AND(I697="Terminée",V697=0),"Durée d'intervention manquante",IF(AND(I697="Terminée",E697="Préventif",T697=0,OR(IFERROR(INDEX(pl_trig,MATCH(F697,pl_num,0))&amp;"","")="Compteur",IFERROR(INDEX(pl_trig,MATCH(F697,pl_num,0))&amp;"","")="Au premier des deux")),"Compteur manquant (plan au compteur)","OK"))))))))))))))))))</f>
        <v/>
      </c>
      <c r="S697" s="67">
        <f>IF(AND(ISNUMBER(B697),N(B697)&gt;0),INT(B697),0)</f>
        <v>0.0</v>
      </c>
      <c r="T697" s="67">
        <f>IF(AND(ISNUMBER(J697),N(J697)&gt;=0),N(J697),0)</f>
        <v>0.0</v>
      </c>
      <c r="U697" s="67">
        <f>IF(AND(ISNUMBER(K697),N(K697)&gt;0),N(K697),0)</f>
        <v>0.0</v>
      </c>
      <c r="V697" s="67">
        <f>IF(AND(ISNUMBER(L697),N(L697)&gt;0),N(L697),0)</f>
        <v>0.0</v>
      </c>
      <c r="W697" s="67">
        <f>IF(AND(I697="Terminée",S697&gt;0,C697&lt;&gt;"",ISNUMBER(MATCH(C697,eq_code,0))),1,0)</f>
        <v>0.0</v>
      </c>
      <c r="X697" s="67">
        <f>IF(AND(W697=1,E697="Préventif"),1,0)</f>
        <v>0.0</v>
      </c>
      <c r="Y697" s="67">
        <f>IF(AND(ISNUMBER(N697),N(N697)&gt;0),N(N697),0)</f>
        <v>0.0</v>
      </c>
      <c r="Z697" s="67">
        <f>IF(AND(ISNUMBER(P697),N(P697)&gt;0),N(P697),0)</f>
        <v>0.0</v>
      </c>
    </row>
    <row r="698">
      <c r="A698" s="79" t="str">
        <f>IF(COUNTA(B698:C698,E698:G698,I698)=0,"","BI-"&amp;RIGHT("0000"&amp;(ROW()-5),4))</f>
        <v/>
      </c>
      <c r="B698" s="72" t="n"/>
      <c r="C698" s="66" t="n"/>
      <c r="D698" s="67" t="str">
        <f>IF(C698="","",IFERROR(INDEX(eq_des,MATCH(C698,eq_code,0))&amp;"","Équipement inconnu"))</f>
        <v/>
      </c>
      <c r="E698" s="68" t="n"/>
      <c r="F698" s="68" t="n"/>
      <c r="G698" s="66" t="n"/>
      <c r="H698" s="66" t="n"/>
      <c r="I698" s="68" t="n"/>
      <c r="J698" s="73" t="n"/>
      <c r="K698" s="71" t="n"/>
      <c r="L698" s="71" t="n"/>
      <c r="M698" s="66" t="n"/>
      <c r="N698" s="80" t="n"/>
      <c r="O698" s="81" t="str">
        <f>IF(A698="","",ROUND(V698*IFERROR(N(INDEX(tech_rate,MATCH(M698,tech_name,0))),0),2))</f>
        <v/>
      </c>
      <c r="P698" s="80" t="n"/>
      <c r="Q698" s="81" t="str">
        <f>IF(A698="","",ROUND(Y698+O698+Z698,2))</f>
        <v/>
      </c>
      <c r="R698" s="79" t="str">
        <f>IF(A698="","",IF(S698=0,"Date manquante ou invalide",IF(C698="","Équipement manquant",IF(ISNA(MATCH(C698,eq_code,0)),"Équipement inconnu",IF(E698="","Type manquant",IF(AND(E698&lt;&gt;"Préventif",E698&lt;&gt;"Correctif",E698&lt;&gt;"Amélioratif"),"Type inconnu",IF(I698="","Statut manquant",IF(AND(I698&lt;&gt;"Terminée",I698&lt;&gt;"En cours",I698&lt;&gt;"À faire",I698&lt;&gt;"Annulée"),"Statut inconnu",IF(AND(E698="Préventif",F698=""),"Plan manquant (préventif)",IF(AND(F698&lt;&gt;"",ISNA(MATCH(F698,pl_num,0))),"Plan inconnu",IF(AND(F698&lt;&gt;"",IFERROR(INDEX(pl_eq,MATCH(F698,pl_num,0))&amp;"",C698)&lt;&gt;C698),"Plan d'un autre équipement",IF(AND(J698&lt;&gt;"",OR(NOT(ISNUMBER(J698)),N(J698)&lt;0)),"Compteur invalide",IF(OR(AND(K698&lt;&gt;"",OR(NOT(ISNUMBER(K698)),N(K698)&lt;0)),AND(L698&lt;&gt;"",OR(NOT(ISNUMBER(L698)),N(L698)&lt;0))),"Durée invalide",IF(OR(AND(N698&lt;&gt;"",OR(NOT(ISNUMBER(N698)),N(N698)&lt;0)),AND(P698&lt;&gt;"",OR(NOT(ISNUMBER(P698)),N(P698)&lt;0))),"Coût invalide",IF(AND(M698&lt;&gt;"",ISNA(MATCH(M698,tech_name,0))),"Technicien inconnu",IF(AND(I698="Terminée",S698&gt;p_today),"Terminée à une date future",IF(AND(I698="Terminée",V698=0),"Durée d'intervention manquante",IF(AND(I698="Terminée",E698="Préventif",T698=0,OR(IFERROR(INDEX(pl_trig,MATCH(F698,pl_num,0))&amp;"","")="Compteur",IFERROR(INDEX(pl_trig,MATCH(F698,pl_num,0))&amp;"","")="Au premier des deux")),"Compteur manquant (plan au compteur)","OK"))))))))))))))))))</f>
        <v/>
      </c>
      <c r="S698" s="67">
        <f>IF(AND(ISNUMBER(B698),N(B698)&gt;0),INT(B698),0)</f>
        <v>0.0</v>
      </c>
      <c r="T698" s="67">
        <f>IF(AND(ISNUMBER(J698),N(J698)&gt;=0),N(J698),0)</f>
        <v>0.0</v>
      </c>
      <c r="U698" s="67">
        <f>IF(AND(ISNUMBER(K698),N(K698)&gt;0),N(K698),0)</f>
        <v>0.0</v>
      </c>
      <c r="V698" s="67">
        <f>IF(AND(ISNUMBER(L698),N(L698)&gt;0),N(L698),0)</f>
        <v>0.0</v>
      </c>
      <c r="W698" s="67">
        <f>IF(AND(I698="Terminée",S698&gt;0,C698&lt;&gt;"",ISNUMBER(MATCH(C698,eq_code,0))),1,0)</f>
        <v>0.0</v>
      </c>
      <c r="X698" s="67">
        <f>IF(AND(W698=1,E698="Préventif"),1,0)</f>
        <v>0.0</v>
      </c>
      <c r="Y698" s="67">
        <f>IF(AND(ISNUMBER(N698),N(N698)&gt;0),N(N698),0)</f>
        <v>0.0</v>
      </c>
      <c r="Z698" s="67">
        <f>IF(AND(ISNUMBER(P698),N(P698)&gt;0),N(P698),0)</f>
        <v>0.0</v>
      </c>
    </row>
    <row r="699">
      <c r="A699" s="79" t="str">
        <f>IF(COUNTA(B699:C699,E699:G699,I699)=0,"","BI-"&amp;RIGHT("0000"&amp;(ROW()-5),4))</f>
        <v/>
      </c>
      <c r="B699" s="72" t="n"/>
      <c r="C699" s="66" t="n"/>
      <c r="D699" s="67" t="str">
        <f>IF(C699="","",IFERROR(INDEX(eq_des,MATCH(C699,eq_code,0))&amp;"","Équipement inconnu"))</f>
        <v/>
      </c>
      <c r="E699" s="68" t="n"/>
      <c r="F699" s="68" t="n"/>
      <c r="G699" s="66" t="n"/>
      <c r="H699" s="66" t="n"/>
      <c r="I699" s="68" t="n"/>
      <c r="J699" s="73" t="n"/>
      <c r="K699" s="71" t="n"/>
      <c r="L699" s="71" t="n"/>
      <c r="M699" s="66" t="n"/>
      <c r="N699" s="80" t="n"/>
      <c r="O699" s="81" t="str">
        <f>IF(A699="","",ROUND(V699*IFERROR(N(INDEX(tech_rate,MATCH(M699,tech_name,0))),0),2))</f>
        <v/>
      </c>
      <c r="P699" s="80" t="n"/>
      <c r="Q699" s="81" t="str">
        <f>IF(A699="","",ROUND(Y699+O699+Z699,2))</f>
        <v/>
      </c>
      <c r="R699" s="79" t="str">
        <f>IF(A699="","",IF(S699=0,"Date manquante ou invalide",IF(C699="","Équipement manquant",IF(ISNA(MATCH(C699,eq_code,0)),"Équipement inconnu",IF(E699="","Type manquant",IF(AND(E699&lt;&gt;"Préventif",E699&lt;&gt;"Correctif",E699&lt;&gt;"Amélioratif"),"Type inconnu",IF(I699="","Statut manquant",IF(AND(I699&lt;&gt;"Terminée",I699&lt;&gt;"En cours",I699&lt;&gt;"À faire",I699&lt;&gt;"Annulée"),"Statut inconnu",IF(AND(E699="Préventif",F699=""),"Plan manquant (préventif)",IF(AND(F699&lt;&gt;"",ISNA(MATCH(F699,pl_num,0))),"Plan inconnu",IF(AND(F699&lt;&gt;"",IFERROR(INDEX(pl_eq,MATCH(F699,pl_num,0))&amp;"",C699)&lt;&gt;C699),"Plan d'un autre équipement",IF(AND(J699&lt;&gt;"",OR(NOT(ISNUMBER(J699)),N(J699)&lt;0)),"Compteur invalide",IF(OR(AND(K699&lt;&gt;"",OR(NOT(ISNUMBER(K699)),N(K699)&lt;0)),AND(L699&lt;&gt;"",OR(NOT(ISNUMBER(L699)),N(L699)&lt;0))),"Durée invalide",IF(OR(AND(N699&lt;&gt;"",OR(NOT(ISNUMBER(N699)),N(N699)&lt;0)),AND(P699&lt;&gt;"",OR(NOT(ISNUMBER(P699)),N(P699)&lt;0))),"Coût invalide",IF(AND(M699&lt;&gt;"",ISNA(MATCH(M699,tech_name,0))),"Technicien inconnu",IF(AND(I699="Terminée",S699&gt;p_today),"Terminée à une date future",IF(AND(I699="Terminée",V699=0),"Durée d'intervention manquante",IF(AND(I699="Terminée",E699="Préventif",T699=0,OR(IFERROR(INDEX(pl_trig,MATCH(F699,pl_num,0))&amp;"","")="Compteur",IFERROR(INDEX(pl_trig,MATCH(F699,pl_num,0))&amp;"","")="Au premier des deux")),"Compteur manquant (plan au compteur)","OK"))))))))))))))))))</f>
        <v/>
      </c>
      <c r="S699" s="67">
        <f>IF(AND(ISNUMBER(B699),N(B699)&gt;0),INT(B699),0)</f>
        <v>0.0</v>
      </c>
      <c r="T699" s="67">
        <f>IF(AND(ISNUMBER(J699),N(J699)&gt;=0),N(J699),0)</f>
        <v>0.0</v>
      </c>
      <c r="U699" s="67">
        <f>IF(AND(ISNUMBER(K699),N(K699)&gt;0),N(K699),0)</f>
        <v>0.0</v>
      </c>
      <c r="V699" s="67">
        <f>IF(AND(ISNUMBER(L699),N(L699)&gt;0),N(L699),0)</f>
        <v>0.0</v>
      </c>
      <c r="W699" s="67">
        <f>IF(AND(I699="Terminée",S699&gt;0,C699&lt;&gt;"",ISNUMBER(MATCH(C699,eq_code,0))),1,0)</f>
        <v>0.0</v>
      </c>
      <c r="X699" s="67">
        <f>IF(AND(W699=1,E699="Préventif"),1,0)</f>
        <v>0.0</v>
      </c>
      <c r="Y699" s="67">
        <f>IF(AND(ISNUMBER(N699),N(N699)&gt;0),N(N699),0)</f>
        <v>0.0</v>
      </c>
      <c r="Z699" s="67">
        <f>IF(AND(ISNUMBER(P699),N(P699)&gt;0),N(P699),0)</f>
        <v>0.0</v>
      </c>
    </row>
    <row r="700">
      <c r="A700" s="79" t="str">
        <f>IF(COUNTA(B700:C700,E700:G700,I700)=0,"","BI-"&amp;RIGHT("0000"&amp;(ROW()-5),4))</f>
        <v/>
      </c>
      <c r="B700" s="72" t="n"/>
      <c r="C700" s="66" t="n"/>
      <c r="D700" s="67" t="str">
        <f>IF(C700="","",IFERROR(INDEX(eq_des,MATCH(C700,eq_code,0))&amp;"","Équipement inconnu"))</f>
        <v/>
      </c>
      <c r="E700" s="68" t="n"/>
      <c r="F700" s="68" t="n"/>
      <c r="G700" s="66" t="n"/>
      <c r="H700" s="66" t="n"/>
      <c r="I700" s="68" t="n"/>
      <c r="J700" s="73" t="n"/>
      <c r="K700" s="71" t="n"/>
      <c r="L700" s="71" t="n"/>
      <c r="M700" s="66" t="n"/>
      <c r="N700" s="80" t="n"/>
      <c r="O700" s="81" t="str">
        <f>IF(A700="","",ROUND(V700*IFERROR(N(INDEX(tech_rate,MATCH(M700,tech_name,0))),0),2))</f>
        <v/>
      </c>
      <c r="P700" s="80" t="n"/>
      <c r="Q700" s="81" t="str">
        <f>IF(A700="","",ROUND(Y700+O700+Z700,2))</f>
        <v/>
      </c>
      <c r="R700" s="79" t="str">
        <f>IF(A700="","",IF(S700=0,"Date manquante ou invalide",IF(C700="","Équipement manquant",IF(ISNA(MATCH(C700,eq_code,0)),"Équipement inconnu",IF(E700="","Type manquant",IF(AND(E700&lt;&gt;"Préventif",E700&lt;&gt;"Correctif",E700&lt;&gt;"Amélioratif"),"Type inconnu",IF(I700="","Statut manquant",IF(AND(I700&lt;&gt;"Terminée",I700&lt;&gt;"En cours",I700&lt;&gt;"À faire",I700&lt;&gt;"Annulée"),"Statut inconnu",IF(AND(E700="Préventif",F700=""),"Plan manquant (préventif)",IF(AND(F700&lt;&gt;"",ISNA(MATCH(F700,pl_num,0))),"Plan inconnu",IF(AND(F700&lt;&gt;"",IFERROR(INDEX(pl_eq,MATCH(F700,pl_num,0))&amp;"",C700)&lt;&gt;C700),"Plan d'un autre équipement",IF(AND(J700&lt;&gt;"",OR(NOT(ISNUMBER(J700)),N(J700)&lt;0)),"Compteur invalide",IF(OR(AND(K700&lt;&gt;"",OR(NOT(ISNUMBER(K700)),N(K700)&lt;0)),AND(L700&lt;&gt;"",OR(NOT(ISNUMBER(L700)),N(L700)&lt;0))),"Durée invalide",IF(OR(AND(N700&lt;&gt;"",OR(NOT(ISNUMBER(N700)),N(N700)&lt;0)),AND(P700&lt;&gt;"",OR(NOT(ISNUMBER(P700)),N(P700)&lt;0))),"Coût invalide",IF(AND(M700&lt;&gt;"",ISNA(MATCH(M700,tech_name,0))),"Technicien inconnu",IF(AND(I700="Terminée",S700&gt;p_today),"Terminée à une date future",IF(AND(I700="Terminée",V700=0),"Durée d'intervention manquante",IF(AND(I700="Terminée",E700="Préventif",T700=0,OR(IFERROR(INDEX(pl_trig,MATCH(F700,pl_num,0))&amp;"","")="Compteur",IFERROR(INDEX(pl_trig,MATCH(F700,pl_num,0))&amp;"","")="Au premier des deux")),"Compteur manquant (plan au compteur)","OK"))))))))))))))))))</f>
        <v/>
      </c>
      <c r="S700" s="67">
        <f>IF(AND(ISNUMBER(B700),N(B700)&gt;0),INT(B700),0)</f>
        <v>0.0</v>
      </c>
      <c r="T700" s="67">
        <f>IF(AND(ISNUMBER(J700),N(J700)&gt;=0),N(J700),0)</f>
        <v>0.0</v>
      </c>
      <c r="U700" s="67">
        <f>IF(AND(ISNUMBER(K700),N(K700)&gt;0),N(K700),0)</f>
        <v>0.0</v>
      </c>
      <c r="V700" s="67">
        <f>IF(AND(ISNUMBER(L700),N(L700)&gt;0),N(L700),0)</f>
        <v>0.0</v>
      </c>
      <c r="W700" s="67">
        <f>IF(AND(I700="Terminée",S700&gt;0,C700&lt;&gt;"",ISNUMBER(MATCH(C700,eq_code,0))),1,0)</f>
        <v>0.0</v>
      </c>
      <c r="X700" s="67">
        <f>IF(AND(W700=1,E700="Préventif"),1,0)</f>
        <v>0.0</v>
      </c>
      <c r="Y700" s="67">
        <f>IF(AND(ISNUMBER(N700),N(N700)&gt;0),N(N700),0)</f>
        <v>0.0</v>
      </c>
      <c r="Z700" s="67">
        <f>IF(AND(ISNUMBER(P700),N(P700)&gt;0),N(P700),0)</f>
        <v>0.0</v>
      </c>
    </row>
    <row r="701">
      <c r="A701" s="79" t="str">
        <f>IF(COUNTA(B701:C701,E701:G701,I701)=0,"","BI-"&amp;RIGHT("0000"&amp;(ROW()-5),4))</f>
        <v/>
      </c>
      <c r="B701" s="72" t="n"/>
      <c r="C701" s="66" t="n"/>
      <c r="D701" s="67" t="str">
        <f>IF(C701="","",IFERROR(INDEX(eq_des,MATCH(C701,eq_code,0))&amp;"","Équipement inconnu"))</f>
        <v/>
      </c>
      <c r="E701" s="68" t="n"/>
      <c r="F701" s="68" t="n"/>
      <c r="G701" s="66" t="n"/>
      <c r="H701" s="66" t="n"/>
      <c r="I701" s="68" t="n"/>
      <c r="J701" s="73" t="n"/>
      <c r="K701" s="71" t="n"/>
      <c r="L701" s="71" t="n"/>
      <c r="M701" s="66" t="n"/>
      <c r="N701" s="80" t="n"/>
      <c r="O701" s="81" t="str">
        <f>IF(A701="","",ROUND(V701*IFERROR(N(INDEX(tech_rate,MATCH(M701,tech_name,0))),0),2))</f>
        <v/>
      </c>
      <c r="P701" s="80" t="n"/>
      <c r="Q701" s="81" t="str">
        <f>IF(A701="","",ROUND(Y701+O701+Z701,2))</f>
        <v/>
      </c>
      <c r="R701" s="79" t="str">
        <f>IF(A701="","",IF(S701=0,"Date manquante ou invalide",IF(C701="","Équipement manquant",IF(ISNA(MATCH(C701,eq_code,0)),"Équipement inconnu",IF(E701="","Type manquant",IF(AND(E701&lt;&gt;"Préventif",E701&lt;&gt;"Correctif",E701&lt;&gt;"Amélioratif"),"Type inconnu",IF(I701="","Statut manquant",IF(AND(I701&lt;&gt;"Terminée",I701&lt;&gt;"En cours",I701&lt;&gt;"À faire",I701&lt;&gt;"Annulée"),"Statut inconnu",IF(AND(E701="Préventif",F701=""),"Plan manquant (préventif)",IF(AND(F701&lt;&gt;"",ISNA(MATCH(F701,pl_num,0))),"Plan inconnu",IF(AND(F701&lt;&gt;"",IFERROR(INDEX(pl_eq,MATCH(F701,pl_num,0))&amp;"",C701)&lt;&gt;C701),"Plan d'un autre équipement",IF(AND(J701&lt;&gt;"",OR(NOT(ISNUMBER(J701)),N(J701)&lt;0)),"Compteur invalide",IF(OR(AND(K701&lt;&gt;"",OR(NOT(ISNUMBER(K701)),N(K701)&lt;0)),AND(L701&lt;&gt;"",OR(NOT(ISNUMBER(L701)),N(L701)&lt;0))),"Durée invalide",IF(OR(AND(N701&lt;&gt;"",OR(NOT(ISNUMBER(N701)),N(N701)&lt;0)),AND(P701&lt;&gt;"",OR(NOT(ISNUMBER(P701)),N(P701)&lt;0))),"Coût invalide",IF(AND(M701&lt;&gt;"",ISNA(MATCH(M701,tech_name,0))),"Technicien inconnu",IF(AND(I701="Terminée",S701&gt;p_today),"Terminée à une date future",IF(AND(I701="Terminée",V701=0),"Durée d'intervention manquante",IF(AND(I701="Terminée",E701="Préventif",T701=0,OR(IFERROR(INDEX(pl_trig,MATCH(F701,pl_num,0))&amp;"","")="Compteur",IFERROR(INDEX(pl_trig,MATCH(F701,pl_num,0))&amp;"","")="Au premier des deux")),"Compteur manquant (plan au compteur)","OK"))))))))))))))))))</f>
        <v/>
      </c>
      <c r="S701" s="67">
        <f>IF(AND(ISNUMBER(B701),N(B701)&gt;0),INT(B701),0)</f>
        <v>0.0</v>
      </c>
      <c r="T701" s="67">
        <f>IF(AND(ISNUMBER(J701),N(J701)&gt;=0),N(J701),0)</f>
        <v>0.0</v>
      </c>
      <c r="U701" s="67">
        <f>IF(AND(ISNUMBER(K701),N(K701)&gt;0),N(K701),0)</f>
        <v>0.0</v>
      </c>
      <c r="V701" s="67">
        <f>IF(AND(ISNUMBER(L701),N(L701)&gt;0),N(L701),0)</f>
        <v>0.0</v>
      </c>
      <c r="W701" s="67">
        <f>IF(AND(I701="Terminée",S701&gt;0,C701&lt;&gt;"",ISNUMBER(MATCH(C701,eq_code,0))),1,0)</f>
        <v>0.0</v>
      </c>
      <c r="X701" s="67">
        <f>IF(AND(W701=1,E701="Préventif"),1,0)</f>
        <v>0.0</v>
      </c>
      <c r="Y701" s="67">
        <f>IF(AND(ISNUMBER(N701),N(N701)&gt;0),N(N701),0)</f>
        <v>0.0</v>
      </c>
      <c r="Z701" s="67">
        <f>IF(AND(ISNUMBER(P701),N(P701)&gt;0),N(P701),0)</f>
        <v>0.0</v>
      </c>
    </row>
    <row r="702">
      <c r="A702" s="79" t="str">
        <f>IF(COUNTA(B702:C702,E702:G702,I702)=0,"","BI-"&amp;RIGHT("0000"&amp;(ROW()-5),4))</f>
        <v/>
      </c>
      <c r="B702" s="72" t="n"/>
      <c r="C702" s="66" t="n"/>
      <c r="D702" s="67" t="str">
        <f>IF(C702="","",IFERROR(INDEX(eq_des,MATCH(C702,eq_code,0))&amp;"","Équipement inconnu"))</f>
        <v/>
      </c>
      <c r="E702" s="68" t="n"/>
      <c r="F702" s="68" t="n"/>
      <c r="G702" s="66" t="n"/>
      <c r="H702" s="66" t="n"/>
      <c r="I702" s="68" t="n"/>
      <c r="J702" s="73" t="n"/>
      <c r="K702" s="71" t="n"/>
      <c r="L702" s="71" t="n"/>
      <c r="M702" s="66" t="n"/>
      <c r="N702" s="80" t="n"/>
      <c r="O702" s="81" t="str">
        <f>IF(A702="","",ROUND(V702*IFERROR(N(INDEX(tech_rate,MATCH(M702,tech_name,0))),0),2))</f>
        <v/>
      </c>
      <c r="P702" s="80" t="n"/>
      <c r="Q702" s="81" t="str">
        <f>IF(A702="","",ROUND(Y702+O702+Z702,2))</f>
        <v/>
      </c>
      <c r="R702" s="79" t="str">
        <f>IF(A702="","",IF(S702=0,"Date manquante ou invalide",IF(C702="","Équipement manquant",IF(ISNA(MATCH(C702,eq_code,0)),"Équipement inconnu",IF(E702="","Type manquant",IF(AND(E702&lt;&gt;"Préventif",E702&lt;&gt;"Correctif",E702&lt;&gt;"Amélioratif"),"Type inconnu",IF(I702="","Statut manquant",IF(AND(I702&lt;&gt;"Terminée",I702&lt;&gt;"En cours",I702&lt;&gt;"À faire",I702&lt;&gt;"Annulée"),"Statut inconnu",IF(AND(E702="Préventif",F702=""),"Plan manquant (préventif)",IF(AND(F702&lt;&gt;"",ISNA(MATCH(F702,pl_num,0))),"Plan inconnu",IF(AND(F702&lt;&gt;"",IFERROR(INDEX(pl_eq,MATCH(F702,pl_num,0))&amp;"",C702)&lt;&gt;C702),"Plan d'un autre équipement",IF(AND(J702&lt;&gt;"",OR(NOT(ISNUMBER(J702)),N(J702)&lt;0)),"Compteur invalide",IF(OR(AND(K702&lt;&gt;"",OR(NOT(ISNUMBER(K702)),N(K702)&lt;0)),AND(L702&lt;&gt;"",OR(NOT(ISNUMBER(L702)),N(L702)&lt;0))),"Durée invalide",IF(OR(AND(N702&lt;&gt;"",OR(NOT(ISNUMBER(N702)),N(N702)&lt;0)),AND(P702&lt;&gt;"",OR(NOT(ISNUMBER(P702)),N(P702)&lt;0))),"Coût invalide",IF(AND(M702&lt;&gt;"",ISNA(MATCH(M702,tech_name,0))),"Technicien inconnu",IF(AND(I702="Terminée",S702&gt;p_today),"Terminée à une date future",IF(AND(I702="Terminée",V702=0),"Durée d'intervention manquante",IF(AND(I702="Terminée",E702="Préventif",T702=0,OR(IFERROR(INDEX(pl_trig,MATCH(F702,pl_num,0))&amp;"","")="Compteur",IFERROR(INDEX(pl_trig,MATCH(F702,pl_num,0))&amp;"","")="Au premier des deux")),"Compteur manquant (plan au compteur)","OK"))))))))))))))))))</f>
        <v/>
      </c>
      <c r="S702" s="67">
        <f>IF(AND(ISNUMBER(B702),N(B702)&gt;0),INT(B702),0)</f>
        <v>0.0</v>
      </c>
      <c r="T702" s="67">
        <f>IF(AND(ISNUMBER(J702),N(J702)&gt;=0),N(J702),0)</f>
        <v>0.0</v>
      </c>
      <c r="U702" s="67">
        <f>IF(AND(ISNUMBER(K702),N(K702)&gt;0),N(K702),0)</f>
        <v>0.0</v>
      </c>
      <c r="V702" s="67">
        <f>IF(AND(ISNUMBER(L702),N(L702)&gt;0),N(L702),0)</f>
        <v>0.0</v>
      </c>
      <c r="W702" s="67">
        <f>IF(AND(I702="Terminée",S702&gt;0,C702&lt;&gt;"",ISNUMBER(MATCH(C702,eq_code,0))),1,0)</f>
        <v>0.0</v>
      </c>
      <c r="X702" s="67">
        <f>IF(AND(W702=1,E702="Préventif"),1,0)</f>
        <v>0.0</v>
      </c>
      <c r="Y702" s="67">
        <f>IF(AND(ISNUMBER(N702),N(N702)&gt;0),N(N702),0)</f>
        <v>0.0</v>
      </c>
      <c r="Z702" s="67">
        <f>IF(AND(ISNUMBER(P702),N(P702)&gt;0),N(P702),0)</f>
        <v>0.0</v>
      </c>
    </row>
    <row r="703">
      <c r="A703" s="79" t="str">
        <f>IF(COUNTA(B703:C703,E703:G703,I703)=0,"","BI-"&amp;RIGHT("0000"&amp;(ROW()-5),4))</f>
        <v/>
      </c>
      <c r="B703" s="72" t="n"/>
      <c r="C703" s="66" t="n"/>
      <c r="D703" s="67" t="str">
        <f>IF(C703="","",IFERROR(INDEX(eq_des,MATCH(C703,eq_code,0))&amp;"","Équipement inconnu"))</f>
        <v/>
      </c>
      <c r="E703" s="68" t="n"/>
      <c r="F703" s="68" t="n"/>
      <c r="G703" s="66" t="n"/>
      <c r="H703" s="66" t="n"/>
      <c r="I703" s="68" t="n"/>
      <c r="J703" s="73" t="n"/>
      <c r="K703" s="71" t="n"/>
      <c r="L703" s="71" t="n"/>
      <c r="M703" s="66" t="n"/>
      <c r="N703" s="80" t="n"/>
      <c r="O703" s="81" t="str">
        <f>IF(A703="","",ROUND(V703*IFERROR(N(INDEX(tech_rate,MATCH(M703,tech_name,0))),0),2))</f>
        <v/>
      </c>
      <c r="P703" s="80" t="n"/>
      <c r="Q703" s="81" t="str">
        <f>IF(A703="","",ROUND(Y703+O703+Z703,2))</f>
        <v/>
      </c>
      <c r="R703" s="79" t="str">
        <f>IF(A703="","",IF(S703=0,"Date manquante ou invalide",IF(C703="","Équipement manquant",IF(ISNA(MATCH(C703,eq_code,0)),"Équipement inconnu",IF(E703="","Type manquant",IF(AND(E703&lt;&gt;"Préventif",E703&lt;&gt;"Correctif",E703&lt;&gt;"Amélioratif"),"Type inconnu",IF(I703="","Statut manquant",IF(AND(I703&lt;&gt;"Terminée",I703&lt;&gt;"En cours",I703&lt;&gt;"À faire",I703&lt;&gt;"Annulée"),"Statut inconnu",IF(AND(E703="Préventif",F703=""),"Plan manquant (préventif)",IF(AND(F703&lt;&gt;"",ISNA(MATCH(F703,pl_num,0))),"Plan inconnu",IF(AND(F703&lt;&gt;"",IFERROR(INDEX(pl_eq,MATCH(F703,pl_num,0))&amp;"",C703)&lt;&gt;C703),"Plan d'un autre équipement",IF(AND(J703&lt;&gt;"",OR(NOT(ISNUMBER(J703)),N(J703)&lt;0)),"Compteur invalide",IF(OR(AND(K703&lt;&gt;"",OR(NOT(ISNUMBER(K703)),N(K703)&lt;0)),AND(L703&lt;&gt;"",OR(NOT(ISNUMBER(L703)),N(L703)&lt;0))),"Durée invalide",IF(OR(AND(N703&lt;&gt;"",OR(NOT(ISNUMBER(N703)),N(N703)&lt;0)),AND(P703&lt;&gt;"",OR(NOT(ISNUMBER(P703)),N(P703)&lt;0))),"Coût invalide",IF(AND(M703&lt;&gt;"",ISNA(MATCH(M703,tech_name,0))),"Technicien inconnu",IF(AND(I703="Terminée",S703&gt;p_today),"Terminée à une date future",IF(AND(I703="Terminée",V703=0),"Durée d'intervention manquante",IF(AND(I703="Terminée",E703="Préventif",T703=0,OR(IFERROR(INDEX(pl_trig,MATCH(F703,pl_num,0))&amp;"","")="Compteur",IFERROR(INDEX(pl_trig,MATCH(F703,pl_num,0))&amp;"","")="Au premier des deux")),"Compteur manquant (plan au compteur)","OK"))))))))))))))))))</f>
        <v/>
      </c>
      <c r="S703" s="67">
        <f>IF(AND(ISNUMBER(B703),N(B703)&gt;0),INT(B703),0)</f>
        <v>0.0</v>
      </c>
      <c r="T703" s="67">
        <f>IF(AND(ISNUMBER(J703),N(J703)&gt;=0),N(J703),0)</f>
        <v>0.0</v>
      </c>
      <c r="U703" s="67">
        <f>IF(AND(ISNUMBER(K703),N(K703)&gt;0),N(K703),0)</f>
        <v>0.0</v>
      </c>
      <c r="V703" s="67">
        <f>IF(AND(ISNUMBER(L703),N(L703)&gt;0),N(L703),0)</f>
        <v>0.0</v>
      </c>
      <c r="W703" s="67">
        <f>IF(AND(I703="Terminée",S703&gt;0,C703&lt;&gt;"",ISNUMBER(MATCH(C703,eq_code,0))),1,0)</f>
        <v>0.0</v>
      </c>
      <c r="X703" s="67">
        <f>IF(AND(W703=1,E703="Préventif"),1,0)</f>
        <v>0.0</v>
      </c>
      <c r="Y703" s="67">
        <f>IF(AND(ISNUMBER(N703),N(N703)&gt;0),N(N703),0)</f>
        <v>0.0</v>
      </c>
      <c r="Z703" s="67">
        <f>IF(AND(ISNUMBER(P703),N(P703)&gt;0),N(P703),0)</f>
        <v>0.0</v>
      </c>
    </row>
    <row r="704">
      <c r="A704" s="79" t="str">
        <f>IF(COUNTA(B704:C704,E704:G704,I704)=0,"","BI-"&amp;RIGHT("0000"&amp;(ROW()-5),4))</f>
        <v/>
      </c>
      <c r="B704" s="72" t="n"/>
      <c r="C704" s="66" t="n"/>
      <c r="D704" s="67" t="str">
        <f>IF(C704="","",IFERROR(INDEX(eq_des,MATCH(C704,eq_code,0))&amp;"","Équipement inconnu"))</f>
        <v/>
      </c>
      <c r="E704" s="68" t="n"/>
      <c r="F704" s="68" t="n"/>
      <c r="G704" s="66" t="n"/>
      <c r="H704" s="66" t="n"/>
      <c r="I704" s="68" t="n"/>
      <c r="J704" s="73" t="n"/>
      <c r="K704" s="71" t="n"/>
      <c r="L704" s="71" t="n"/>
      <c r="M704" s="66" t="n"/>
      <c r="N704" s="80" t="n"/>
      <c r="O704" s="81" t="str">
        <f>IF(A704="","",ROUND(V704*IFERROR(N(INDEX(tech_rate,MATCH(M704,tech_name,0))),0),2))</f>
        <v/>
      </c>
      <c r="P704" s="80" t="n"/>
      <c r="Q704" s="81" t="str">
        <f>IF(A704="","",ROUND(Y704+O704+Z704,2))</f>
        <v/>
      </c>
      <c r="R704" s="79" t="str">
        <f>IF(A704="","",IF(S704=0,"Date manquante ou invalide",IF(C704="","Équipement manquant",IF(ISNA(MATCH(C704,eq_code,0)),"Équipement inconnu",IF(E704="","Type manquant",IF(AND(E704&lt;&gt;"Préventif",E704&lt;&gt;"Correctif",E704&lt;&gt;"Amélioratif"),"Type inconnu",IF(I704="","Statut manquant",IF(AND(I704&lt;&gt;"Terminée",I704&lt;&gt;"En cours",I704&lt;&gt;"À faire",I704&lt;&gt;"Annulée"),"Statut inconnu",IF(AND(E704="Préventif",F704=""),"Plan manquant (préventif)",IF(AND(F704&lt;&gt;"",ISNA(MATCH(F704,pl_num,0))),"Plan inconnu",IF(AND(F704&lt;&gt;"",IFERROR(INDEX(pl_eq,MATCH(F704,pl_num,0))&amp;"",C704)&lt;&gt;C704),"Plan d'un autre équipement",IF(AND(J704&lt;&gt;"",OR(NOT(ISNUMBER(J704)),N(J704)&lt;0)),"Compteur invalide",IF(OR(AND(K704&lt;&gt;"",OR(NOT(ISNUMBER(K704)),N(K704)&lt;0)),AND(L704&lt;&gt;"",OR(NOT(ISNUMBER(L704)),N(L704)&lt;0))),"Durée invalide",IF(OR(AND(N704&lt;&gt;"",OR(NOT(ISNUMBER(N704)),N(N704)&lt;0)),AND(P704&lt;&gt;"",OR(NOT(ISNUMBER(P704)),N(P704)&lt;0))),"Coût invalide",IF(AND(M704&lt;&gt;"",ISNA(MATCH(M704,tech_name,0))),"Technicien inconnu",IF(AND(I704="Terminée",S704&gt;p_today),"Terminée à une date future",IF(AND(I704="Terminée",V704=0),"Durée d'intervention manquante",IF(AND(I704="Terminée",E704="Préventif",T704=0,OR(IFERROR(INDEX(pl_trig,MATCH(F704,pl_num,0))&amp;"","")="Compteur",IFERROR(INDEX(pl_trig,MATCH(F704,pl_num,0))&amp;"","")="Au premier des deux")),"Compteur manquant (plan au compteur)","OK"))))))))))))))))))</f>
        <v/>
      </c>
      <c r="S704" s="67">
        <f>IF(AND(ISNUMBER(B704),N(B704)&gt;0),INT(B704),0)</f>
        <v>0.0</v>
      </c>
      <c r="T704" s="67">
        <f>IF(AND(ISNUMBER(J704),N(J704)&gt;=0),N(J704),0)</f>
        <v>0.0</v>
      </c>
      <c r="U704" s="67">
        <f>IF(AND(ISNUMBER(K704),N(K704)&gt;0),N(K704),0)</f>
        <v>0.0</v>
      </c>
      <c r="V704" s="67">
        <f>IF(AND(ISNUMBER(L704),N(L704)&gt;0),N(L704),0)</f>
        <v>0.0</v>
      </c>
      <c r="W704" s="67">
        <f>IF(AND(I704="Terminée",S704&gt;0,C704&lt;&gt;"",ISNUMBER(MATCH(C704,eq_code,0))),1,0)</f>
        <v>0.0</v>
      </c>
      <c r="X704" s="67">
        <f>IF(AND(W704=1,E704="Préventif"),1,0)</f>
        <v>0.0</v>
      </c>
      <c r="Y704" s="67">
        <f>IF(AND(ISNUMBER(N704),N(N704)&gt;0),N(N704),0)</f>
        <v>0.0</v>
      </c>
      <c r="Z704" s="67">
        <f>IF(AND(ISNUMBER(P704),N(P704)&gt;0),N(P704),0)</f>
        <v>0.0</v>
      </c>
    </row>
    <row r="705">
      <c r="A705" s="79" t="str">
        <f>IF(COUNTA(B705:C705,E705:G705,I705)=0,"","BI-"&amp;RIGHT("0000"&amp;(ROW()-5),4))</f>
        <v/>
      </c>
      <c r="B705" s="72" t="n"/>
      <c r="C705" s="66" t="n"/>
      <c r="D705" s="67" t="str">
        <f>IF(C705="","",IFERROR(INDEX(eq_des,MATCH(C705,eq_code,0))&amp;"","Équipement inconnu"))</f>
        <v/>
      </c>
      <c r="E705" s="68" t="n"/>
      <c r="F705" s="68" t="n"/>
      <c r="G705" s="66" t="n"/>
      <c r="H705" s="66" t="n"/>
      <c r="I705" s="68" t="n"/>
      <c r="J705" s="73" t="n"/>
      <c r="K705" s="71" t="n"/>
      <c r="L705" s="71" t="n"/>
      <c r="M705" s="66" t="n"/>
      <c r="N705" s="80" t="n"/>
      <c r="O705" s="81" t="str">
        <f>IF(A705="","",ROUND(V705*IFERROR(N(INDEX(tech_rate,MATCH(M705,tech_name,0))),0),2))</f>
        <v/>
      </c>
      <c r="P705" s="80" t="n"/>
      <c r="Q705" s="81" t="str">
        <f>IF(A705="","",ROUND(Y705+O705+Z705,2))</f>
        <v/>
      </c>
      <c r="R705" s="79" t="str">
        <f>IF(A705="","",IF(S705=0,"Date manquante ou invalide",IF(C705="","Équipement manquant",IF(ISNA(MATCH(C705,eq_code,0)),"Équipement inconnu",IF(E705="","Type manquant",IF(AND(E705&lt;&gt;"Préventif",E705&lt;&gt;"Correctif",E705&lt;&gt;"Amélioratif"),"Type inconnu",IF(I705="","Statut manquant",IF(AND(I705&lt;&gt;"Terminée",I705&lt;&gt;"En cours",I705&lt;&gt;"À faire",I705&lt;&gt;"Annulée"),"Statut inconnu",IF(AND(E705="Préventif",F705=""),"Plan manquant (préventif)",IF(AND(F705&lt;&gt;"",ISNA(MATCH(F705,pl_num,0))),"Plan inconnu",IF(AND(F705&lt;&gt;"",IFERROR(INDEX(pl_eq,MATCH(F705,pl_num,0))&amp;"",C705)&lt;&gt;C705),"Plan d'un autre équipement",IF(AND(J705&lt;&gt;"",OR(NOT(ISNUMBER(J705)),N(J705)&lt;0)),"Compteur invalide",IF(OR(AND(K705&lt;&gt;"",OR(NOT(ISNUMBER(K705)),N(K705)&lt;0)),AND(L705&lt;&gt;"",OR(NOT(ISNUMBER(L705)),N(L705)&lt;0))),"Durée invalide",IF(OR(AND(N705&lt;&gt;"",OR(NOT(ISNUMBER(N705)),N(N705)&lt;0)),AND(P705&lt;&gt;"",OR(NOT(ISNUMBER(P705)),N(P705)&lt;0))),"Coût invalide",IF(AND(M705&lt;&gt;"",ISNA(MATCH(M705,tech_name,0))),"Technicien inconnu",IF(AND(I705="Terminée",S705&gt;p_today),"Terminée à une date future",IF(AND(I705="Terminée",V705=0),"Durée d'intervention manquante",IF(AND(I705="Terminée",E705="Préventif",T705=0,OR(IFERROR(INDEX(pl_trig,MATCH(F705,pl_num,0))&amp;"","")="Compteur",IFERROR(INDEX(pl_trig,MATCH(F705,pl_num,0))&amp;"","")="Au premier des deux")),"Compteur manquant (plan au compteur)","OK"))))))))))))))))))</f>
        <v/>
      </c>
      <c r="S705" s="67">
        <f>IF(AND(ISNUMBER(B705),N(B705)&gt;0),INT(B705),0)</f>
        <v>0.0</v>
      </c>
      <c r="T705" s="67">
        <f>IF(AND(ISNUMBER(J705),N(J705)&gt;=0),N(J705),0)</f>
        <v>0.0</v>
      </c>
      <c r="U705" s="67">
        <f>IF(AND(ISNUMBER(K705),N(K705)&gt;0),N(K705),0)</f>
        <v>0.0</v>
      </c>
      <c r="V705" s="67">
        <f>IF(AND(ISNUMBER(L705),N(L705)&gt;0),N(L705),0)</f>
        <v>0.0</v>
      </c>
      <c r="W705" s="67">
        <f>IF(AND(I705="Terminée",S705&gt;0,C705&lt;&gt;"",ISNUMBER(MATCH(C705,eq_code,0))),1,0)</f>
        <v>0.0</v>
      </c>
      <c r="X705" s="67">
        <f>IF(AND(W705=1,E705="Préventif"),1,0)</f>
        <v>0.0</v>
      </c>
      <c r="Y705" s="67">
        <f>IF(AND(ISNUMBER(N705),N(N705)&gt;0),N(N705),0)</f>
        <v>0.0</v>
      </c>
      <c r="Z705" s="67">
        <f>IF(AND(ISNUMBER(P705),N(P705)&gt;0),N(P705),0)</f>
        <v>0.0</v>
      </c>
    </row>
    <row r="706">
      <c r="A706" s="79" t="str">
        <f>IF(COUNTA(B706:C706,E706:G706,I706)=0,"","BI-"&amp;RIGHT("0000"&amp;(ROW()-5),4))</f>
        <v/>
      </c>
      <c r="B706" s="72" t="n"/>
      <c r="C706" s="66" t="n"/>
      <c r="D706" s="67" t="str">
        <f>IF(C706="","",IFERROR(INDEX(eq_des,MATCH(C706,eq_code,0))&amp;"","Équipement inconnu"))</f>
        <v/>
      </c>
      <c r="E706" s="68" t="n"/>
      <c r="F706" s="68" t="n"/>
      <c r="G706" s="66" t="n"/>
      <c r="H706" s="66" t="n"/>
      <c r="I706" s="68" t="n"/>
      <c r="J706" s="73" t="n"/>
      <c r="K706" s="71" t="n"/>
      <c r="L706" s="71" t="n"/>
      <c r="M706" s="66" t="n"/>
      <c r="N706" s="80" t="n"/>
      <c r="O706" s="81" t="str">
        <f>IF(A706="","",ROUND(V706*IFERROR(N(INDEX(tech_rate,MATCH(M706,tech_name,0))),0),2))</f>
        <v/>
      </c>
      <c r="P706" s="80" t="n"/>
      <c r="Q706" s="81" t="str">
        <f>IF(A706="","",ROUND(Y706+O706+Z706,2))</f>
        <v/>
      </c>
      <c r="R706" s="79" t="str">
        <f>IF(A706="","",IF(S706=0,"Date manquante ou invalide",IF(C706="","Équipement manquant",IF(ISNA(MATCH(C706,eq_code,0)),"Équipement inconnu",IF(E706="","Type manquant",IF(AND(E706&lt;&gt;"Préventif",E706&lt;&gt;"Correctif",E706&lt;&gt;"Amélioratif"),"Type inconnu",IF(I706="","Statut manquant",IF(AND(I706&lt;&gt;"Terminée",I706&lt;&gt;"En cours",I706&lt;&gt;"À faire",I706&lt;&gt;"Annulée"),"Statut inconnu",IF(AND(E706="Préventif",F706=""),"Plan manquant (préventif)",IF(AND(F706&lt;&gt;"",ISNA(MATCH(F706,pl_num,0))),"Plan inconnu",IF(AND(F706&lt;&gt;"",IFERROR(INDEX(pl_eq,MATCH(F706,pl_num,0))&amp;"",C706)&lt;&gt;C706),"Plan d'un autre équipement",IF(AND(J706&lt;&gt;"",OR(NOT(ISNUMBER(J706)),N(J706)&lt;0)),"Compteur invalide",IF(OR(AND(K706&lt;&gt;"",OR(NOT(ISNUMBER(K706)),N(K706)&lt;0)),AND(L706&lt;&gt;"",OR(NOT(ISNUMBER(L706)),N(L706)&lt;0))),"Durée invalide",IF(OR(AND(N706&lt;&gt;"",OR(NOT(ISNUMBER(N706)),N(N706)&lt;0)),AND(P706&lt;&gt;"",OR(NOT(ISNUMBER(P706)),N(P706)&lt;0))),"Coût invalide",IF(AND(M706&lt;&gt;"",ISNA(MATCH(M706,tech_name,0))),"Technicien inconnu",IF(AND(I706="Terminée",S706&gt;p_today),"Terminée à une date future",IF(AND(I706="Terminée",V706=0),"Durée d'intervention manquante",IF(AND(I706="Terminée",E706="Préventif",T706=0,OR(IFERROR(INDEX(pl_trig,MATCH(F706,pl_num,0))&amp;"","")="Compteur",IFERROR(INDEX(pl_trig,MATCH(F706,pl_num,0))&amp;"","")="Au premier des deux")),"Compteur manquant (plan au compteur)","OK"))))))))))))))))))</f>
        <v/>
      </c>
      <c r="S706" s="67">
        <f>IF(AND(ISNUMBER(B706),N(B706)&gt;0),INT(B706),0)</f>
        <v>0.0</v>
      </c>
      <c r="T706" s="67">
        <f>IF(AND(ISNUMBER(J706),N(J706)&gt;=0),N(J706),0)</f>
        <v>0.0</v>
      </c>
      <c r="U706" s="67">
        <f>IF(AND(ISNUMBER(K706),N(K706)&gt;0),N(K706),0)</f>
        <v>0.0</v>
      </c>
      <c r="V706" s="67">
        <f>IF(AND(ISNUMBER(L706),N(L706)&gt;0),N(L706),0)</f>
        <v>0.0</v>
      </c>
      <c r="W706" s="67">
        <f>IF(AND(I706="Terminée",S706&gt;0,C706&lt;&gt;"",ISNUMBER(MATCH(C706,eq_code,0))),1,0)</f>
        <v>0.0</v>
      </c>
      <c r="X706" s="67">
        <f>IF(AND(W706=1,E706="Préventif"),1,0)</f>
        <v>0.0</v>
      </c>
      <c r="Y706" s="67">
        <f>IF(AND(ISNUMBER(N706),N(N706)&gt;0),N(N706),0)</f>
        <v>0.0</v>
      </c>
      <c r="Z706" s="67">
        <f>IF(AND(ISNUMBER(P706),N(P706)&gt;0),N(P706),0)</f>
        <v>0.0</v>
      </c>
    </row>
    <row r="707">
      <c r="A707" s="79" t="str">
        <f>IF(COUNTA(B707:C707,E707:G707,I707)=0,"","BI-"&amp;RIGHT("0000"&amp;(ROW()-5),4))</f>
        <v/>
      </c>
      <c r="B707" s="72" t="n"/>
      <c r="C707" s="66" t="n"/>
      <c r="D707" s="67" t="str">
        <f>IF(C707="","",IFERROR(INDEX(eq_des,MATCH(C707,eq_code,0))&amp;"","Équipement inconnu"))</f>
        <v/>
      </c>
      <c r="E707" s="68" t="n"/>
      <c r="F707" s="68" t="n"/>
      <c r="G707" s="66" t="n"/>
      <c r="H707" s="66" t="n"/>
      <c r="I707" s="68" t="n"/>
      <c r="J707" s="73" t="n"/>
      <c r="K707" s="71" t="n"/>
      <c r="L707" s="71" t="n"/>
      <c r="M707" s="66" t="n"/>
      <c r="N707" s="80" t="n"/>
      <c r="O707" s="81" t="str">
        <f>IF(A707="","",ROUND(V707*IFERROR(N(INDEX(tech_rate,MATCH(M707,tech_name,0))),0),2))</f>
        <v/>
      </c>
      <c r="P707" s="80" t="n"/>
      <c r="Q707" s="81" t="str">
        <f>IF(A707="","",ROUND(Y707+O707+Z707,2))</f>
        <v/>
      </c>
      <c r="R707" s="79" t="str">
        <f>IF(A707="","",IF(S707=0,"Date manquante ou invalide",IF(C707="","Équipement manquant",IF(ISNA(MATCH(C707,eq_code,0)),"Équipement inconnu",IF(E707="","Type manquant",IF(AND(E707&lt;&gt;"Préventif",E707&lt;&gt;"Correctif",E707&lt;&gt;"Amélioratif"),"Type inconnu",IF(I707="","Statut manquant",IF(AND(I707&lt;&gt;"Terminée",I707&lt;&gt;"En cours",I707&lt;&gt;"À faire",I707&lt;&gt;"Annulée"),"Statut inconnu",IF(AND(E707="Préventif",F707=""),"Plan manquant (préventif)",IF(AND(F707&lt;&gt;"",ISNA(MATCH(F707,pl_num,0))),"Plan inconnu",IF(AND(F707&lt;&gt;"",IFERROR(INDEX(pl_eq,MATCH(F707,pl_num,0))&amp;"",C707)&lt;&gt;C707),"Plan d'un autre équipement",IF(AND(J707&lt;&gt;"",OR(NOT(ISNUMBER(J707)),N(J707)&lt;0)),"Compteur invalide",IF(OR(AND(K707&lt;&gt;"",OR(NOT(ISNUMBER(K707)),N(K707)&lt;0)),AND(L707&lt;&gt;"",OR(NOT(ISNUMBER(L707)),N(L707)&lt;0))),"Durée invalide",IF(OR(AND(N707&lt;&gt;"",OR(NOT(ISNUMBER(N707)),N(N707)&lt;0)),AND(P707&lt;&gt;"",OR(NOT(ISNUMBER(P707)),N(P707)&lt;0))),"Coût invalide",IF(AND(M707&lt;&gt;"",ISNA(MATCH(M707,tech_name,0))),"Technicien inconnu",IF(AND(I707="Terminée",S707&gt;p_today),"Terminée à une date future",IF(AND(I707="Terminée",V707=0),"Durée d'intervention manquante",IF(AND(I707="Terminée",E707="Préventif",T707=0,OR(IFERROR(INDEX(pl_trig,MATCH(F707,pl_num,0))&amp;"","")="Compteur",IFERROR(INDEX(pl_trig,MATCH(F707,pl_num,0))&amp;"","")="Au premier des deux")),"Compteur manquant (plan au compteur)","OK"))))))))))))))))))</f>
        <v/>
      </c>
      <c r="S707" s="67">
        <f>IF(AND(ISNUMBER(B707),N(B707)&gt;0),INT(B707),0)</f>
        <v>0.0</v>
      </c>
      <c r="T707" s="67">
        <f>IF(AND(ISNUMBER(J707),N(J707)&gt;=0),N(J707),0)</f>
        <v>0.0</v>
      </c>
      <c r="U707" s="67">
        <f>IF(AND(ISNUMBER(K707),N(K707)&gt;0),N(K707),0)</f>
        <v>0.0</v>
      </c>
      <c r="V707" s="67">
        <f>IF(AND(ISNUMBER(L707),N(L707)&gt;0),N(L707),0)</f>
        <v>0.0</v>
      </c>
      <c r="W707" s="67">
        <f>IF(AND(I707="Terminée",S707&gt;0,C707&lt;&gt;"",ISNUMBER(MATCH(C707,eq_code,0))),1,0)</f>
        <v>0.0</v>
      </c>
      <c r="X707" s="67">
        <f>IF(AND(W707=1,E707="Préventif"),1,0)</f>
        <v>0.0</v>
      </c>
      <c r="Y707" s="67">
        <f>IF(AND(ISNUMBER(N707),N(N707)&gt;0),N(N707),0)</f>
        <v>0.0</v>
      </c>
      <c r="Z707" s="67">
        <f>IF(AND(ISNUMBER(P707),N(P707)&gt;0),N(P707),0)</f>
        <v>0.0</v>
      </c>
    </row>
    <row r="708">
      <c r="A708" s="79" t="str">
        <f>IF(COUNTA(B708:C708,E708:G708,I708)=0,"","BI-"&amp;RIGHT("0000"&amp;(ROW()-5),4))</f>
        <v/>
      </c>
      <c r="B708" s="72" t="n"/>
      <c r="C708" s="66" t="n"/>
      <c r="D708" s="67" t="str">
        <f>IF(C708="","",IFERROR(INDEX(eq_des,MATCH(C708,eq_code,0))&amp;"","Équipement inconnu"))</f>
        <v/>
      </c>
      <c r="E708" s="68" t="n"/>
      <c r="F708" s="68" t="n"/>
      <c r="G708" s="66" t="n"/>
      <c r="H708" s="66" t="n"/>
      <c r="I708" s="68" t="n"/>
      <c r="J708" s="73" t="n"/>
      <c r="K708" s="71" t="n"/>
      <c r="L708" s="71" t="n"/>
      <c r="M708" s="66" t="n"/>
      <c r="N708" s="80" t="n"/>
      <c r="O708" s="81" t="str">
        <f>IF(A708="","",ROUND(V708*IFERROR(N(INDEX(tech_rate,MATCH(M708,tech_name,0))),0),2))</f>
        <v/>
      </c>
      <c r="P708" s="80" t="n"/>
      <c r="Q708" s="81" t="str">
        <f>IF(A708="","",ROUND(Y708+O708+Z708,2))</f>
        <v/>
      </c>
      <c r="R708" s="79" t="str">
        <f>IF(A708="","",IF(S708=0,"Date manquante ou invalide",IF(C708="","Équipement manquant",IF(ISNA(MATCH(C708,eq_code,0)),"Équipement inconnu",IF(E708="","Type manquant",IF(AND(E708&lt;&gt;"Préventif",E708&lt;&gt;"Correctif",E708&lt;&gt;"Amélioratif"),"Type inconnu",IF(I708="","Statut manquant",IF(AND(I708&lt;&gt;"Terminée",I708&lt;&gt;"En cours",I708&lt;&gt;"À faire",I708&lt;&gt;"Annulée"),"Statut inconnu",IF(AND(E708="Préventif",F708=""),"Plan manquant (préventif)",IF(AND(F708&lt;&gt;"",ISNA(MATCH(F708,pl_num,0))),"Plan inconnu",IF(AND(F708&lt;&gt;"",IFERROR(INDEX(pl_eq,MATCH(F708,pl_num,0))&amp;"",C708)&lt;&gt;C708),"Plan d'un autre équipement",IF(AND(J708&lt;&gt;"",OR(NOT(ISNUMBER(J708)),N(J708)&lt;0)),"Compteur invalide",IF(OR(AND(K708&lt;&gt;"",OR(NOT(ISNUMBER(K708)),N(K708)&lt;0)),AND(L708&lt;&gt;"",OR(NOT(ISNUMBER(L708)),N(L708)&lt;0))),"Durée invalide",IF(OR(AND(N708&lt;&gt;"",OR(NOT(ISNUMBER(N708)),N(N708)&lt;0)),AND(P708&lt;&gt;"",OR(NOT(ISNUMBER(P708)),N(P708)&lt;0))),"Coût invalide",IF(AND(M708&lt;&gt;"",ISNA(MATCH(M708,tech_name,0))),"Technicien inconnu",IF(AND(I708="Terminée",S708&gt;p_today),"Terminée à une date future",IF(AND(I708="Terminée",V708=0),"Durée d'intervention manquante",IF(AND(I708="Terminée",E708="Préventif",T708=0,OR(IFERROR(INDEX(pl_trig,MATCH(F708,pl_num,0))&amp;"","")="Compteur",IFERROR(INDEX(pl_trig,MATCH(F708,pl_num,0))&amp;"","")="Au premier des deux")),"Compteur manquant (plan au compteur)","OK"))))))))))))))))))</f>
        <v/>
      </c>
      <c r="S708" s="67">
        <f>IF(AND(ISNUMBER(B708),N(B708)&gt;0),INT(B708),0)</f>
        <v>0.0</v>
      </c>
      <c r="T708" s="67">
        <f>IF(AND(ISNUMBER(J708),N(J708)&gt;=0),N(J708),0)</f>
        <v>0.0</v>
      </c>
      <c r="U708" s="67">
        <f>IF(AND(ISNUMBER(K708),N(K708)&gt;0),N(K708),0)</f>
        <v>0.0</v>
      </c>
      <c r="V708" s="67">
        <f>IF(AND(ISNUMBER(L708),N(L708)&gt;0),N(L708),0)</f>
        <v>0.0</v>
      </c>
      <c r="W708" s="67">
        <f>IF(AND(I708="Terminée",S708&gt;0,C708&lt;&gt;"",ISNUMBER(MATCH(C708,eq_code,0))),1,0)</f>
        <v>0.0</v>
      </c>
      <c r="X708" s="67">
        <f>IF(AND(W708=1,E708="Préventif"),1,0)</f>
        <v>0.0</v>
      </c>
      <c r="Y708" s="67">
        <f>IF(AND(ISNUMBER(N708),N(N708)&gt;0),N(N708),0)</f>
        <v>0.0</v>
      </c>
      <c r="Z708" s="67">
        <f>IF(AND(ISNUMBER(P708),N(P708)&gt;0),N(P708),0)</f>
        <v>0.0</v>
      </c>
    </row>
    <row r="709">
      <c r="A709" s="79" t="str">
        <f>IF(COUNTA(B709:C709,E709:G709,I709)=0,"","BI-"&amp;RIGHT("0000"&amp;(ROW()-5),4))</f>
        <v/>
      </c>
      <c r="B709" s="72" t="n"/>
      <c r="C709" s="66" t="n"/>
      <c r="D709" s="67" t="str">
        <f>IF(C709="","",IFERROR(INDEX(eq_des,MATCH(C709,eq_code,0))&amp;"","Équipement inconnu"))</f>
        <v/>
      </c>
      <c r="E709" s="68" t="n"/>
      <c r="F709" s="68" t="n"/>
      <c r="G709" s="66" t="n"/>
      <c r="H709" s="66" t="n"/>
      <c r="I709" s="68" t="n"/>
      <c r="J709" s="73" t="n"/>
      <c r="K709" s="71" t="n"/>
      <c r="L709" s="71" t="n"/>
      <c r="M709" s="66" t="n"/>
      <c r="N709" s="80" t="n"/>
      <c r="O709" s="81" t="str">
        <f>IF(A709="","",ROUND(V709*IFERROR(N(INDEX(tech_rate,MATCH(M709,tech_name,0))),0),2))</f>
        <v/>
      </c>
      <c r="P709" s="80" t="n"/>
      <c r="Q709" s="81" t="str">
        <f>IF(A709="","",ROUND(Y709+O709+Z709,2))</f>
        <v/>
      </c>
      <c r="R709" s="79" t="str">
        <f>IF(A709="","",IF(S709=0,"Date manquante ou invalide",IF(C709="","Équipement manquant",IF(ISNA(MATCH(C709,eq_code,0)),"Équipement inconnu",IF(E709="","Type manquant",IF(AND(E709&lt;&gt;"Préventif",E709&lt;&gt;"Correctif",E709&lt;&gt;"Amélioratif"),"Type inconnu",IF(I709="","Statut manquant",IF(AND(I709&lt;&gt;"Terminée",I709&lt;&gt;"En cours",I709&lt;&gt;"À faire",I709&lt;&gt;"Annulée"),"Statut inconnu",IF(AND(E709="Préventif",F709=""),"Plan manquant (préventif)",IF(AND(F709&lt;&gt;"",ISNA(MATCH(F709,pl_num,0))),"Plan inconnu",IF(AND(F709&lt;&gt;"",IFERROR(INDEX(pl_eq,MATCH(F709,pl_num,0))&amp;"",C709)&lt;&gt;C709),"Plan d'un autre équipement",IF(AND(J709&lt;&gt;"",OR(NOT(ISNUMBER(J709)),N(J709)&lt;0)),"Compteur invalide",IF(OR(AND(K709&lt;&gt;"",OR(NOT(ISNUMBER(K709)),N(K709)&lt;0)),AND(L709&lt;&gt;"",OR(NOT(ISNUMBER(L709)),N(L709)&lt;0))),"Durée invalide",IF(OR(AND(N709&lt;&gt;"",OR(NOT(ISNUMBER(N709)),N(N709)&lt;0)),AND(P709&lt;&gt;"",OR(NOT(ISNUMBER(P709)),N(P709)&lt;0))),"Coût invalide",IF(AND(M709&lt;&gt;"",ISNA(MATCH(M709,tech_name,0))),"Technicien inconnu",IF(AND(I709="Terminée",S709&gt;p_today),"Terminée à une date future",IF(AND(I709="Terminée",V709=0),"Durée d'intervention manquante",IF(AND(I709="Terminée",E709="Préventif",T709=0,OR(IFERROR(INDEX(pl_trig,MATCH(F709,pl_num,0))&amp;"","")="Compteur",IFERROR(INDEX(pl_trig,MATCH(F709,pl_num,0))&amp;"","")="Au premier des deux")),"Compteur manquant (plan au compteur)","OK"))))))))))))))))))</f>
        <v/>
      </c>
      <c r="S709" s="67">
        <f>IF(AND(ISNUMBER(B709),N(B709)&gt;0),INT(B709),0)</f>
        <v>0.0</v>
      </c>
      <c r="T709" s="67">
        <f>IF(AND(ISNUMBER(J709),N(J709)&gt;=0),N(J709),0)</f>
        <v>0.0</v>
      </c>
      <c r="U709" s="67">
        <f>IF(AND(ISNUMBER(K709),N(K709)&gt;0),N(K709),0)</f>
        <v>0.0</v>
      </c>
      <c r="V709" s="67">
        <f>IF(AND(ISNUMBER(L709),N(L709)&gt;0),N(L709),0)</f>
        <v>0.0</v>
      </c>
      <c r="W709" s="67">
        <f>IF(AND(I709="Terminée",S709&gt;0,C709&lt;&gt;"",ISNUMBER(MATCH(C709,eq_code,0))),1,0)</f>
        <v>0.0</v>
      </c>
      <c r="X709" s="67">
        <f>IF(AND(W709=1,E709="Préventif"),1,0)</f>
        <v>0.0</v>
      </c>
      <c r="Y709" s="67">
        <f>IF(AND(ISNUMBER(N709),N(N709)&gt;0),N(N709),0)</f>
        <v>0.0</v>
      </c>
      <c r="Z709" s="67">
        <f>IF(AND(ISNUMBER(P709),N(P709)&gt;0),N(P709),0)</f>
        <v>0.0</v>
      </c>
    </row>
    <row r="710">
      <c r="A710" s="79" t="str">
        <f>IF(COUNTA(B710:C710,E710:G710,I710)=0,"","BI-"&amp;RIGHT("0000"&amp;(ROW()-5),4))</f>
        <v/>
      </c>
      <c r="B710" s="72" t="n"/>
      <c r="C710" s="66" t="n"/>
      <c r="D710" s="67" t="str">
        <f>IF(C710="","",IFERROR(INDEX(eq_des,MATCH(C710,eq_code,0))&amp;"","Équipement inconnu"))</f>
        <v/>
      </c>
      <c r="E710" s="68" t="n"/>
      <c r="F710" s="68" t="n"/>
      <c r="G710" s="66" t="n"/>
      <c r="H710" s="66" t="n"/>
      <c r="I710" s="68" t="n"/>
      <c r="J710" s="73" t="n"/>
      <c r="K710" s="71" t="n"/>
      <c r="L710" s="71" t="n"/>
      <c r="M710" s="66" t="n"/>
      <c r="N710" s="80" t="n"/>
      <c r="O710" s="81" t="str">
        <f>IF(A710="","",ROUND(V710*IFERROR(N(INDEX(tech_rate,MATCH(M710,tech_name,0))),0),2))</f>
        <v/>
      </c>
      <c r="P710" s="80" t="n"/>
      <c r="Q710" s="81" t="str">
        <f>IF(A710="","",ROUND(Y710+O710+Z710,2))</f>
        <v/>
      </c>
      <c r="R710" s="79" t="str">
        <f>IF(A710="","",IF(S710=0,"Date manquante ou invalide",IF(C710="","Équipement manquant",IF(ISNA(MATCH(C710,eq_code,0)),"Équipement inconnu",IF(E710="","Type manquant",IF(AND(E710&lt;&gt;"Préventif",E710&lt;&gt;"Correctif",E710&lt;&gt;"Amélioratif"),"Type inconnu",IF(I710="","Statut manquant",IF(AND(I710&lt;&gt;"Terminée",I710&lt;&gt;"En cours",I710&lt;&gt;"À faire",I710&lt;&gt;"Annulée"),"Statut inconnu",IF(AND(E710="Préventif",F710=""),"Plan manquant (préventif)",IF(AND(F710&lt;&gt;"",ISNA(MATCH(F710,pl_num,0))),"Plan inconnu",IF(AND(F710&lt;&gt;"",IFERROR(INDEX(pl_eq,MATCH(F710,pl_num,0))&amp;"",C710)&lt;&gt;C710),"Plan d'un autre équipement",IF(AND(J710&lt;&gt;"",OR(NOT(ISNUMBER(J710)),N(J710)&lt;0)),"Compteur invalide",IF(OR(AND(K710&lt;&gt;"",OR(NOT(ISNUMBER(K710)),N(K710)&lt;0)),AND(L710&lt;&gt;"",OR(NOT(ISNUMBER(L710)),N(L710)&lt;0))),"Durée invalide",IF(OR(AND(N710&lt;&gt;"",OR(NOT(ISNUMBER(N710)),N(N710)&lt;0)),AND(P710&lt;&gt;"",OR(NOT(ISNUMBER(P710)),N(P710)&lt;0))),"Coût invalide",IF(AND(M710&lt;&gt;"",ISNA(MATCH(M710,tech_name,0))),"Technicien inconnu",IF(AND(I710="Terminée",S710&gt;p_today),"Terminée à une date future",IF(AND(I710="Terminée",V710=0),"Durée d'intervention manquante",IF(AND(I710="Terminée",E710="Préventif",T710=0,OR(IFERROR(INDEX(pl_trig,MATCH(F710,pl_num,0))&amp;"","")="Compteur",IFERROR(INDEX(pl_trig,MATCH(F710,pl_num,0))&amp;"","")="Au premier des deux")),"Compteur manquant (plan au compteur)","OK"))))))))))))))))))</f>
        <v/>
      </c>
      <c r="S710" s="67">
        <f>IF(AND(ISNUMBER(B710),N(B710)&gt;0),INT(B710),0)</f>
        <v>0.0</v>
      </c>
      <c r="T710" s="67">
        <f>IF(AND(ISNUMBER(J710),N(J710)&gt;=0),N(J710),0)</f>
        <v>0.0</v>
      </c>
      <c r="U710" s="67">
        <f>IF(AND(ISNUMBER(K710),N(K710)&gt;0),N(K710),0)</f>
        <v>0.0</v>
      </c>
      <c r="V710" s="67">
        <f>IF(AND(ISNUMBER(L710),N(L710)&gt;0),N(L710),0)</f>
        <v>0.0</v>
      </c>
      <c r="W710" s="67">
        <f>IF(AND(I710="Terminée",S710&gt;0,C710&lt;&gt;"",ISNUMBER(MATCH(C710,eq_code,0))),1,0)</f>
        <v>0.0</v>
      </c>
      <c r="X710" s="67">
        <f>IF(AND(W710=1,E710="Préventif"),1,0)</f>
        <v>0.0</v>
      </c>
      <c r="Y710" s="67">
        <f>IF(AND(ISNUMBER(N710),N(N710)&gt;0),N(N710),0)</f>
        <v>0.0</v>
      </c>
      <c r="Z710" s="67">
        <f>IF(AND(ISNUMBER(P710),N(P710)&gt;0),N(P710),0)</f>
        <v>0.0</v>
      </c>
    </row>
    <row r="711">
      <c r="A711" s="79" t="str">
        <f>IF(COUNTA(B711:C711,E711:G711,I711)=0,"","BI-"&amp;RIGHT("0000"&amp;(ROW()-5),4))</f>
        <v/>
      </c>
      <c r="B711" s="72" t="n"/>
      <c r="C711" s="66" t="n"/>
      <c r="D711" s="67" t="str">
        <f>IF(C711="","",IFERROR(INDEX(eq_des,MATCH(C711,eq_code,0))&amp;"","Équipement inconnu"))</f>
        <v/>
      </c>
      <c r="E711" s="68" t="n"/>
      <c r="F711" s="68" t="n"/>
      <c r="G711" s="66" t="n"/>
      <c r="H711" s="66" t="n"/>
      <c r="I711" s="68" t="n"/>
      <c r="J711" s="73" t="n"/>
      <c r="K711" s="71" t="n"/>
      <c r="L711" s="71" t="n"/>
      <c r="M711" s="66" t="n"/>
      <c r="N711" s="80" t="n"/>
      <c r="O711" s="81" t="str">
        <f>IF(A711="","",ROUND(V711*IFERROR(N(INDEX(tech_rate,MATCH(M711,tech_name,0))),0),2))</f>
        <v/>
      </c>
      <c r="P711" s="80" t="n"/>
      <c r="Q711" s="81" t="str">
        <f>IF(A711="","",ROUND(Y711+O711+Z711,2))</f>
        <v/>
      </c>
      <c r="R711" s="79" t="str">
        <f>IF(A711="","",IF(S711=0,"Date manquante ou invalide",IF(C711="","Équipement manquant",IF(ISNA(MATCH(C711,eq_code,0)),"Équipement inconnu",IF(E711="","Type manquant",IF(AND(E711&lt;&gt;"Préventif",E711&lt;&gt;"Correctif",E711&lt;&gt;"Amélioratif"),"Type inconnu",IF(I711="","Statut manquant",IF(AND(I711&lt;&gt;"Terminée",I711&lt;&gt;"En cours",I711&lt;&gt;"À faire",I711&lt;&gt;"Annulée"),"Statut inconnu",IF(AND(E711="Préventif",F711=""),"Plan manquant (préventif)",IF(AND(F711&lt;&gt;"",ISNA(MATCH(F711,pl_num,0))),"Plan inconnu",IF(AND(F711&lt;&gt;"",IFERROR(INDEX(pl_eq,MATCH(F711,pl_num,0))&amp;"",C711)&lt;&gt;C711),"Plan d'un autre équipement",IF(AND(J711&lt;&gt;"",OR(NOT(ISNUMBER(J711)),N(J711)&lt;0)),"Compteur invalide",IF(OR(AND(K711&lt;&gt;"",OR(NOT(ISNUMBER(K711)),N(K711)&lt;0)),AND(L711&lt;&gt;"",OR(NOT(ISNUMBER(L711)),N(L711)&lt;0))),"Durée invalide",IF(OR(AND(N711&lt;&gt;"",OR(NOT(ISNUMBER(N711)),N(N711)&lt;0)),AND(P711&lt;&gt;"",OR(NOT(ISNUMBER(P711)),N(P711)&lt;0))),"Coût invalide",IF(AND(M711&lt;&gt;"",ISNA(MATCH(M711,tech_name,0))),"Technicien inconnu",IF(AND(I711="Terminée",S711&gt;p_today),"Terminée à une date future",IF(AND(I711="Terminée",V711=0),"Durée d'intervention manquante",IF(AND(I711="Terminée",E711="Préventif",T711=0,OR(IFERROR(INDEX(pl_trig,MATCH(F711,pl_num,0))&amp;"","")="Compteur",IFERROR(INDEX(pl_trig,MATCH(F711,pl_num,0))&amp;"","")="Au premier des deux")),"Compteur manquant (plan au compteur)","OK"))))))))))))))))))</f>
        <v/>
      </c>
      <c r="S711" s="67">
        <f>IF(AND(ISNUMBER(B711),N(B711)&gt;0),INT(B711),0)</f>
        <v>0.0</v>
      </c>
      <c r="T711" s="67">
        <f>IF(AND(ISNUMBER(J711),N(J711)&gt;=0),N(J711),0)</f>
        <v>0.0</v>
      </c>
      <c r="U711" s="67">
        <f>IF(AND(ISNUMBER(K711),N(K711)&gt;0),N(K711),0)</f>
        <v>0.0</v>
      </c>
      <c r="V711" s="67">
        <f>IF(AND(ISNUMBER(L711),N(L711)&gt;0),N(L711),0)</f>
        <v>0.0</v>
      </c>
      <c r="W711" s="67">
        <f>IF(AND(I711="Terminée",S711&gt;0,C711&lt;&gt;"",ISNUMBER(MATCH(C711,eq_code,0))),1,0)</f>
        <v>0.0</v>
      </c>
      <c r="X711" s="67">
        <f>IF(AND(W711=1,E711="Préventif"),1,0)</f>
        <v>0.0</v>
      </c>
      <c r="Y711" s="67">
        <f>IF(AND(ISNUMBER(N711),N(N711)&gt;0),N(N711),0)</f>
        <v>0.0</v>
      </c>
      <c r="Z711" s="67">
        <f>IF(AND(ISNUMBER(P711),N(P711)&gt;0),N(P711),0)</f>
        <v>0.0</v>
      </c>
    </row>
    <row r="712">
      <c r="A712" s="79" t="str">
        <f>IF(COUNTA(B712:C712,E712:G712,I712)=0,"","BI-"&amp;RIGHT("0000"&amp;(ROW()-5),4))</f>
        <v/>
      </c>
      <c r="B712" s="72" t="n"/>
      <c r="C712" s="66" t="n"/>
      <c r="D712" s="67" t="str">
        <f>IF(C712="","",IFERROR(INDEX(eq_des,MATCH(C712,eq_code,0))&amp;"","Équipement inconnu"))</f>
        <v/>
      </c>
      <c r="E712" s="68" t="n"/>
      <c r="F712" s="68" t="n"/>
      <c r="G712" s="66" t="n"/>
      <c r="H712" s="66" t="n"/>
      <c r="I712" s="68" t="n"/>
      <c r="J712" s="73" t="n"/>
      <c r="K712" s="71" t="n"/>
      <c r="L712" s="71" t="n"/>
      <c r="M712" s="66" t="n"/>
      <c r="N712" s="80" t="n"/>
      <c r="O712" s="81" t="str">
        <f>IF(A712="","",ROUND(V712*IFERROR(N(INDEX(tech_rate,MATCH(M712,tech_name,0))),0),2))</f>
        <v/>
      </c>
      <c r="P712" s="80" t="n"/>
      <c r="Q712" s="81" t="str">
        <f>IF(A712="","",ROUND(Y712+O712+Z712,2))</f>
        <v/>
      </c>
      <c r="R712" s="79" t="str">
        <f>IF(A712="","",IF(S712=0,"Date manquante ou invalide",IF(C712="","Équipement manquant",IF(ISNA(MATCH(C712,eq_code,0)),"Équipement inconnu",IF(E712="","Type manquant",IF(AND(E712&lt;&gt;"Préventif",E712&lt;&gt;"Correctif",E712&lt;&gt;"Amélioratif"),"Type inconnu",IF(I712="","Statut manquant",IF(AND(I712&lt;&gt;"Terminée",I712&lt;&gt;"En cours",I712&lt;&gt;"À faire",I712&lt;&gt;"Annulée"),"Statut inconnu",IF(AND(E712="Préventif",F712=""),"Plan manquant (préventif)",IF(AND(F712&lt;&gt;"",ISNA(MATCH(F712,pl_num,0))),"Plan inconnu",IF(AND(F712&lt;&gt;"",IFERROR(INDEX(pl_eq,MATCH(F712,pl_num,0))&amp;"",C712)&lt;&gt;C712),"Plan d'un autre équipement",IF(AND(J712&lt;&gt;"",OR(NOT(ISNUMBER(J712)),N(J712)&lt;0)),"Compteur invalide",IF(OR(AND(K712&lt;&gt;"",OR(NOT(ISNUMBER(K712)),N(K712)&lt;0)),AND(L712&lt;&gt;"",OR(NOT(ISNUMBER(L712)),N(L712)&lt;0))),"Durée invalide",IF(OR(AND(N712&lt;&gt;"",OR(NOT(ISNUMBER(N712)),N(N712)&lt;0)),AND(P712&lt;&gt;"",OR(NOT(ISNUMBER(P712)),N(P712)&lt;0))),"Coût invalide",IF(AND(M712&lt;&gt;"",ISNA(MATCH(M712,tech_name,0))),"Technicien inconnu",IF(AND(I712="Terminée",S712&gt;p_today),"Terminée à une date future",IF(AND(I712="Terminée",V712=0),"Durée d'intervention manquante",IF(AND(I712="Terminée",E712="Préventif",T712=0,OR(IFERROR(INDEX(pl_trig,MATCH(F712,pl_num,0))&amp;"","")="Compteur",IFERROR(INDEX(pl_trig,MATCH(F712,pl_num,0))&amp;"","")="Au premier des deux")),"Compteur manquant (plan au compteur)","OK"))))))))))))))))))</f>
        <v/>
      </c>
      <c r="S712" s="67">
        <f>IF(AND(ISNUMBER(B712),N(B712)&gt;0),INT(B712),0)</f>
        <v>0.0</v>
      </c>
      <c r="T712" s="67">
        <f>IF(AND(ISNUMBER(J712),N(J712)&gt;=0),N(J712),0)</f>
        <v>0.0</v>
      </c>
      <c r="U712" s="67">
        <f>IF(AND(ISNUMBER(K712),N(K712)&gt;0),N(K712),0)</f>
        <v>0.0</v>
      </c>
      <c r="V712" s="67">
        <f>IF(AND(ISNUMBER(L712),N(L712)&gt;0),N(L712),0)</f>
        <v>0.0</v>
      </c>
      <c r="W712" s="67">
        <f>IF(AND(I712="Terminée",S712&gt;0,C712&lt;&gt;"",ISNUMBER(MATCH(C712,eq_code,0))),1,0)</f>
        <v>0.0</v>
      </c>
      <c r="X712" s="67">
        <f>IF(AND(W712=1,E712="Préventif"),1,0)</f>
        <v>0.0</v>
      </c>
      <c r="Y712" s="67">
        <f>IF(AND(ISNUMBER(N712),N(N712)&gt;0),N(N712),0)</f>
        <v>0.0</v>
      </c>
      <c r="Z712" s="67">
        <f>IF(AND(ISNUMBER(P712),N(P712)&gt;0),N(P712),0)</f>
        <v>0.0</v>
      </c>
    </row>
    <row r="713">
      <c r="A713" s="79" t="str">
        <f>IF(COUNTA(B713:C713,E713:G713,I713)=0,"","BI-"&amp;RIGHT("0000"&amp;(ROW()-5),4))</f>
        <v/>
      </c>
      <c r="B713" s="72" t="n"/>
      <c r="C713" s="66" t="n"/>
      <c r="D713" s="67" t="str">
        <f>IF(C713="","",IFERROR(INDEX(eq_des,MATCH(C713,eq_code,0))&amp;"","Équipement inconnu"))</f>
        <v/>
      </c>
      <c r="E713" s="68" t="n"/>
      <c r="F713" s="68" t="n"/>
      <c r="G713" s="66" t="n"/>
      <c r="H713" s="66" t="n"/>
      <c r="I713" s="68" t="n"/>
      <c r="J713" s="73" t="n"/>
      <c r="K713" s="71" t="n"/>
      <c r="L713" s="71" t="n"/>
      <c r="M713" s="66" t="n"/>
      <c r="N713" s="80" t="n"/>
      <c r="O713" s="81" t="str">
        <f>IF(A713="","",ROUND(V713*IFERROR(N(INDEX(tech_rate,MATCH(M713,tech_name,0))),0),2))</f>
        <v/>
      </c>
      <c r="P713" s="80" t="n"/>
      <c r="Q713" s="81" t="str">
        <f>IF(A713="","",ROUND(Y713+O713+Z713,2))</f>
        <v/>
      </c>
      <c r="R713" s="79" t="str">
        <f>IF(A713="","",IF(S713=0,"Date manquante ou invalide",IF(C713="","Équipement manquant",IF(ISNA(MATCH(C713,eq_code,0)),"Équipement inconnu",IF(E713="","Type manquant",IF(AND(E713&lt;&gt;"Préventif",E713&lt;&gt;"Correctif",E713&lt;&gt;"Amélioratif"),"Type inconnu",IF(I713="","Statut manquant",IF(AND(I713&lt;&gt;"Terminée",I713&lt;&gt;"En cours",I713&lt;&gt;"À faire",I713&lt;&gt;"Annulée"),"Statut inconnu",IF(AND(E713="Préventif",F713=""),"Plan manquant (préventif)",IF(AND(F713&lt;&gt;"",ISNA(MATCH(F713,pl_num,0))),"Plan inconnu",IF(AND(F713&lt;&gt;"",IFERROR(INDEX(pl_eq,MATCH(F713,pl_num,0))&amp;"",C713)&lt;&gt;C713),"Plan d'un autre équipement",IF(AND(J713&lt;&gt;"",OR(NOT(ISNUMBER(J713)),N(J713)&lt;0)),"Compteur invalide",IF(OR(AND(K713&lt;&gt;"",OR(NOT(ISNUMBER(K713)),N(K713)&lt;0)),AND(L713&lt;&gt;"",OR(NOT(ISNUMBER(L713)),N(L713)&lt;0))),"Durée invalide",IF(OR(AND(N713&lt;&gt;"",OR(NOT(ISNUMBER(N713)),N(N713)&lt;0)),AND(P713&lt;&gt;"",OR(NOT(ISNUMBER(P713)),N(P713)&lt;0))),"Coût invalide",IF(AND(M713&lt;&gt;"",ISNA(MATCH(M713,tech_name,0))),"Technicien inconnu",IF(AND(I713="Terminée",S713&gt;p_today),"Terminée à une date future",IF(AND(I713="Terminée",V713=0),"Durée d'intervention manquante",IF(AND(I713="Terminée",E713="Préventif",T713=0,OR(IFERROR(INDEX(pl_trig,MATCH(F713,pl_num,0))&amp;"","")="Compteur",IFERROR(INDEX(pl_trig,MATCH(F713,pl_num,0))&amp;"","")="Au premier des deux")),"Compteur manquant (plan au compteur)","OK"))))))))))))))))))</f>
        <v/>
      </c>
      <c r="S713" s="67">
        <f>IF(AND(ISNUMBER(B713),N(B713)&gt;0),INT(B713),0)</f>
        <v>0.0</v>
      </c>
      <c r="T713" s="67">
        <f>IF(AND(ISNUMBER(J713),N(J713)&gt;=0),N(J713),0)</f>
        <v>0.0</v>
      </c>
      <c r="U713" s="67">
        <f>IF(AND(ISNUMBER(K713),N(K713)&gt;0),N(K713),0)</f>
        <v>0.0</v>
      </c>
      <c r="V713" s="67">
        <f>IF(AND(ISNUMBER(L713),N(L713)&gt;0),N(L713),0)</f>
        <v>0.0</v>
      </c>
      <c r="W713" s="67">
        <f>IF(AND(I713="Terminée",S713&gt;0,C713&lt;&gt;"",ISNUMBER(MATCH(C713,eq_code,0))),1,0)</f>
        <v>0.0</v>
      </c>
      <c r="X713" s="67">
        <f>IF(AND(W713=1,E713="Préventif"),1,0)</f>
        <v>0.0</v>
      </c>
      <c r="Y713" s="67">
        <f>IF(AND(ISNUMBER(N713),N(N713)&gt;0),N(N713),0)</f>
        <v>0.0</v>
      </c>
      <c r="Z713" s="67">
        <f>IF(AND(ISNUMBER(P713),N(P713)&gt;0),N(P713),0)</f>
        <v>0.0</v>
      </c>
    </row>
    <row r="714">
      <c r="A714" s="79" t="str">
        <f>IF(COUNTA(B714:C714,E714:G714,I714)=0,"","BI-"&amp;RIGHT("0000"&amp;(ROW()-5),4))</f>
        <v/>
      </c>
      <c r="B714" s="72" t="n"/>
      <c r="C714" s="66" t="n"/>
      <c r="D714" s="67" t="str">
        <f>IF(C714="","",IFERROR(INDEX(eq_des,MATCH(C714,eq_code,0))&amp;"","Équipement inconnu"))</f>
        <v/>
      </c>
      <c r="E714" s="68" t="n"/>
      <c r="F714" s="68" t="n"/>
      <c r="G714" s="66" t="n"/>
      <c r="H714" s="66" t="n"/>
      <c r="I714" s="68" t="n"/>
      <c r="J714" s="73" t="n"/>
      <c r="K714" s="71" t="n"/>
      <c r="L714" s="71" t="n"/>
      <c r="M714" s="66" t="n"/>
      <c r="N714" s="80" t="n"/>
      <c r="O714" s="81" t="str">
        <f>IF(A714="","",ROUND(V714*IFERROR(N(INDEX(tech_rate,MATCH(M714,tech_name,0))),0),2))</f>
        <v/>
      </c>
      <c r="P714" s="80" t="n"/>
      <c r="Q714" s="81" t="str">
        <f>IF(A714="","",ROUND(Y714+O714+Z714,2))</f>
        <v/>
      </c>
      <c r="R714" s="79" t="str">
        <f>IF(A714="","",IF(S714=0,"Date manquante ou invalide",IF(C714="","Équipement manquant",IF(ISNA(MATCH(C714,eq_code,0)),"Équipement inconnu",IF(E714="","Type manquant",IF(AND(E714&lt;&gt;"Préventif",E714&lt;&gt;"Correctif",E714&lt;&gt;"Amélioratif"),"Type inconnu",IF(I714="","Statut manquant",IF(AND(I714&lt;&gt;"Terminée",I714&lt;&gt;"En cours",I714&lt;&gt;"À faire",I714&lt;&gt;"Annulée"),"Statut inconnu",IF(AND(E714="Préventif",F714=""),"Plan manquant (préventif)",IF(AND(F714&lt;&gt;"",ISNA(MATCH(F714,pl_num,0))),"Plan inconnu",IF(AND(F714&lt;&gt;"",IFERROR(INDEX(pl_eq,MATCH(F714,pl_num,0))&amp;"",C714)&lt;&gt;C714),"Plan d'un autre équipement",IF(AND(J714&lt;&gt;"",OR(NOT(ISNUMBER(J714)),N(J714)&lt;0)),"Compteur invalide",IF(OR(AND(K714&lt;&gt;"",OR(NOT(ISNUMBER(K714)),N(K714)&lt;0)),AND(L714&lt;&gt;"",OR(NOT(ISNUMBER(L714)),N(L714)&lt;0))),"Durée invalide",IF(OR(AND(N714&lt;&gt;"",OR(NOT(ISNUMBER(N714)),N(N714)&lt;0)),AND(P714&lt;&gt;"",OR(NOT(ISNUMBER(P714)),N(P714)&lt;0))),"Coût invalide",IF(AND(M714&lt;&gt;"",ISNA(MATCH(M714,tech_name,0))),"Technicien inconnu",IF(AND(I714="Terminée",S714&gt;p_today),"Terminée à une date future",IF(AND(I714="Terminée",V714=0),"Durée d'intervention manquante",IF(AND(I714="Terminée",E714="Préventif",T714=0,OR(IFERROR(INDEX(pl_trig,MATCH(F714,pl_num,0))&amp;"","")="Compteur",IFERROR(INDEX(pl_trig,MATCH(F714,pl_num,0))&amp;"","")="Au premier des deux")),"Compteur manquant (plan au compteur)","OK"))))))))))))))))))</f>
        <v/>
      </c>
      <c r="S714" s="67">
        <f>IF(AND(ISNUMBER(B714),N(B714)&gt;0),INT(B714),0)</f>
        <v>0.0</v>
      </c>
      <c r="T714" s="67">
        <f>IF(AND(ISNUMBER(J714),N(J714)&gt;=0),N(J714),0)</f>
        <v>0.0</v>
      </c>
      <c r="U714" s="67">
        <f>IF(AND(ISNUMBER(K714),N(K714)&gt;0),N(K714),0)</f>
        <v>0.0</v>
      </c>
      <c r="V714" s="67">
        <f>IF(AND(ISNUMBER(L714),N(L714)&gt;0),N(L714),0)</f>
        <v>0.0</v>
      </c>
      <c r="W714" s="67">
        <f>IF(AND(I714="Terminée",S714&gt;0,C714&lt;&gt;"",ISNUMBER(MATCH(C714,eq_code,0))),1,0)</f>
        <v>0.0</v>
      </c>
      <c r="X714" s="67">
        <f>IF(AND(W714=1,E714="Préventif"),1,0)</f>
        <v>0.0</v>
      </c>
      <c r="Y714" s="67">
        <f>IF(AND(ISNUMBER(N714),N(N714)&gt;0),N(N714),0)</f>
        <v>0.0</v>
      </c>
      <c r="Z714" s="67">
        <f>IF(AND(ISNUMBER(P714),N(P714)&gt;0),N(P714),0)</f>
        <v>0.0</v>
      </c>
    </row>
    <row r="715">
      <c r="A715" s="79" t="str">
        <f>IF(COUNTA(B715:C715,E715:G715,I715)=0,"","BI-"&amp;RIGHT("0000"&amp;(ROW()-5),4))</f>
        <v/>
      </c>
      <c r="B715" s="72" t="n"/>
      <c r="C715" s="66" t="n"/>
      <c r="D715" s="67" t="str">
        <f>IF(C715="","",IFERROR(INDEX(eq_des,MATCH(C715,eq_code,0))&amp;"","Équipement inconnu"))</f>
        <v/>
      </c>
      <c r="E715" s="68" t="n"/>
      <c r="F715" s="68" t="n"/>
      <c r="G715" s="66" t="n"/>
      <c r="H715" s="66" t="n"/>
      <c r="I715" s="68" t="n"/>
      <c r="J715" s="73" t="n"/>
      <c r="K715" s="71" t="n"/>
      <c r="L715" s="71" t="n"/>
      <c r="M715" s="66" t="n"/>
      <c r="N715" s="80" t="n"/>
      <c r="O715" s="81" t="str">
        <f>IF(A715="","",ROUND(V715*IFERROR(N(INDEX(tech_rate,MATCH(M715,tech_name,0))),0),2))</f>
        <v/>
      </c>
      <c r="P715" s="80" t="n"/>
      <c r="Q715" s="81" t="str">
        <f>IF(A715="","",ROUND(Y715+O715+Z715,2))</f>
        <v/>
      </c>
      <c r="R715" s="79" t="str">
        <f>IF(A715="","",IF(S715=0,"Date manquante ou invalide",IF(C715="","Équipement manquant",IF(ISNA(MATCH(C715,eq_code,0)),"Équipement inconnu",IF(E715="","Type manquant",IF(AND(E715&lt;&gt;"Préventif",E715&lt;&gt;"Correctif",E715&lt;&gt;"Amélioratif"),"Type inconnu",IF(I715="","Statut manquant",IF(AND(I715&lt;&gt;"Terminée",I715&lt;&gt;"En cours",I715&lt;&gt;"À faire",I715&lt;&gt;"Annulée"),"Statut inconnu",IF(AND(E715="Préventif",F715=""),"Plan manquant (préventif)",IF(AND(F715&lt;&gt;"",ISNA(MATCH(F715,pl_num,0))),"Plan inconnu",IF(AND(F715&lt;&gt;"",IFERROR(INDEX(pl_eq,MATCH(F715,pl_num,0))&amp;"",C715)&lt;&gt;C715),"Plan d'un autre équipement",IF(AND(J715&lt;&gt;"",OR(NOT(ISNUMBER(J715)),N(J715)&lt;0)),"Compteur invalide",IF(OR(AND(K715&lt;&gt;"",OR(NOT(ISNUMBER(K715)),N(K715)&lt;0)),AND(L715&lt;&gt;"",OR(NOT(ISNUMBER(L715)),N(L715)&lt;0))),"Durée invalide",IF(OR(AND(N715&lt;&gt;"",OR(NOT(ISNUMBER(N715)),N(N715)&lt;0)),AND(P715&lt;&gt;"",OR(NOT(ISNUMBER(P715)),N(P715)&lt;0))),"Coût invalide",IF(AND(M715&lt;&gt;"",ISNA(MATCH(M715,tech_name,0))),"Technicien inconnu",IF(AND(I715="Terminée",S715&gt;p_today),"Terminée à une date future",IF(AND(I715="Terminée",V715=0),"Durée d'intervention manquante",IF(AND(I715="Terminée",E715="Préventif",T715=0,OR(IFERROR(INDEX(pl_trig,MATCH(F715,pl_num,0))&amp;"","")="Compteur",IFERROR(INDEX(pl_trig,MATCH(F715,pl_num,0))&amp;"","")="Au premier des deux")),"Compteur manquant (plan au compteur)","OK"))))))))))))))))))</f>
        <v/>
      </c>
      <c r="S715" s="67">
        <f>IF(AND(ISNUMBER(B715),N(B715)&gt;0),INT(B715),0)</f>
        <v>0.0</v>
      </c>
      <c r="T715" s="67">
        <f>IF(AND(ISNUMBER(J715),N(J715)&gt;=0),N(J715),0)</f>
        <v>0.0</v>
      </c>
      <c r="U715" s="67">
        <f>IF(AND(ISNUMBER(K715),N(K715)&gt;0),N(K715),0)</f>
        <v>0.0</v>
      </c>
      <c r="V715" s="67">
        <f>IF(AND(ISNUMBER(L715),N(L715)&gt;0),N(L715),0)</f>
        <v>0.0</v>
      </c>
      <c r="W715" s="67">
        <f>IF(AND(I715="Terminée",S715&gt;0,C715&lt;&gt;"",ISNUMBER(MATCH(C715,eq_code,0))),1,0)</f>
        <v>0.0</v>
      </c>
      <c r="X715" s="67">
        <f>IF(AND(W715=1,E715="Préventif"),1,0)</f>
        <v>0.0</v>
      </c>
      <c r="Y715" s="67">
        <f>IF(AND(ISNUMBER(N715),N(N715)&gt;0),N(N715),0)</f>
        <v>0.0</v>
      </c>
      <c r="Z715" s="67">
        <f>IF(AND(ISNUMBER(P715),N(P715)&gt;0),N(P715),0)</f>
        <v>0.0</v>
      </c>
    </row>
    <row r="716">
      <c r="A716" s="79" t="str">
        <f>IF(COUNTA(B716:C716,E716:G716,I716)=0,"","BI-"&amp;RIGHT("0000"&amp;(ROW()-5),4))</f>
        <v/>
      </c>
      <c r="B716" s="72" t="n"/>
      <c r="C716" s="66" t="n"/>
      <c r="D716" s="67" t="str">
        <f>IF(C716="","",IFERROR(INDEX(eq_des,MATCH(C716,eq_code,0))&amp;"","Équipement inconnu"))</f>
        <v/>
      </c>
      <c r="E716" s="68" t="n"/>
      <c r="F716" s="68" t="n"/>
      <c r="G716" s="66" t="n"/>
      <c r="H716" s="66" t="n"/>
      <c r="I716" s="68" t="n"/>
      <c r="J716" s="73" t="n"/>
      <c r="K716" s="71" t="n"/>
      <c r="L716" s="71" t="n"/>
      <c r="M716" s="66" t="n"/>
      <c r="N716" s="80" t="n"/>
      <c r="O716" s="81" t="str">
        <f>IF(A716="","",ROUND(V716*IFERROR(N(INDEX(tech_rate,MATCH(M716,tech_name,0))),0),2))</f>
        <v/>
      </c>
      <c r="P716" s="80" t="n"/>
      <c r="Q716" s="81" t="str">
        <f>IF(A716="","",ROUND(Y716+O716+Z716,2))</f>
        <v/>
      </c>
      <c r="R716" s="79" t="str">
        <f>IF(A716="","",IF(S716=0,"Date manquante ou invalide",IF(C716="","Équipement manquant",IF(ISNA(MATCH(C716,eq_code,0)),"Équipement inconnu",IF(E716="","Type manquant",IF(AND(E716&lt;&gt;"Préventif",E716&lt;&gt;"Correctif",E716&lt;&gt;"Amélioratif"),"Type inconnu",IF(I716="","Statut manquant",IF(AND(I716&lt;&gt;"Terminée",I716&lt;&gt;"En cours",I716&lt;&gt;"À faire",I716&lt;&gt;"Annulée"),"Statut inconnu",IF(AND(E716="Préventif",F716=""),"Plan manquant (préventif)",IF(AND(F716&lt;&gt;"",ISNA(MATCH(F716,pl_num,0))),"Plan inconnu",IF(AND(F716&lt;&gt;"",IFERROR(INDEX(pl_eq,MATCH(F716,pl_num,0))&amp;"",C716)&lt;&gt;C716),"Plan d'un autre équipement",IF(AND(J716&lt;&gt;"",OR(NOT(ISNUMBER(J716)),N(J716)&lt;0)),"Compteur invalide",IF(OR(AND(K716&lt;&gt;"",OR(NOT(ISNUMBER(K716)),N(K716)&lt;0)),AND(L716&lt;&gt;"",OR(NOT(ISNUMBER(L716)),N(L716)&lt;0))),"Durée invalide",IF(OR(AND(N716&lt;&gt;"",OR(NOT(ISNUMBER(N716)),N(N716)&lt;0)),AND(P716&lt;&gt;"",OR(NOT(ISNUMBER(P716)),N(P716)&lt;0))),"Coût invalide",IF(AND(M716&lt;&gt;"",ISNA(MATCH(M716,tech_name,0))),"Technicien inconnu",IF(AND(I716="Terminée",S716&gt;p_today),"Terminée à une date future",IF(AND(I716="Terminée",V716=0),"Durée d'intervention manquante",IF(AND(I716="Terminée",E716="Préventif",T716=0,OR(IFERROR(INDEX(pl_trig,MATCH(F716,pl_num,0))&amp;"","")="Compteur",IFERROR(INDEX(pl_trig,MATCH(F716,pl_num,0))&amp;"","")="Au premier des deux")),"Compteur manquant (plan au compteur)","OK"))))))))))))))))))</f>
        <v/>
      </c>
      <c r="S716" s="67">
        <f>IF(AND(ISNUMBER(B716),N(B716)&gt;0),INT(B716),0)</f>
        <v>0.0</v>
      </c>
      <c r="T716" s="67">
        <f>IF(AND(ISNUMBER(J716),N(J716)&gt;=0),N(J716),0)</f>
        <v>0.0</v>
      </c>
      <c r="U716" s="67">
        <f>IF(AND(ISNUMBER(K716),N(K716)&gt;0),N(K716),0)</f>
        <v>0.0</v>
      </c>
      <c r="V716" s="67">
        <f>IF(AND(ISNUMBER(L716),N(L716)&gt;0),N(L716),0)</f>
        <v>0.0</v>
      </c>
      <c r="W716" s="67">
        <f>IF(AND(I716="Terminée",S716&gt;0,C716&lt;&gt;"",ISNUMBER(MATCH(C716,eq_code,0))),1,0)</f>
        <v>0.0</v>
      </c>
      <c r="X716" s="67">
        <f>IF(AND(W716=1,E716="Préventif"),1,0)</f>
        <v>0.0</v>
      </c>
      <c r="Y716" s="67">
        <f>IF(AND(ISNUMBER(N716),N(N716)&gt;0),N(N716),0)</f>
        <v>0.0</v>
      </c>
      <c r="Z716" s="67">
        <f>IF(AND(ISNUMBER(P716),N(P716)&gt;0),N(P716),0)</f>
        <v>0.0</v>
      </c>
    </row>
    <row r="717">
      <c r="A717" s="79" t="str">
        <f>IF(COUNTA(B717:C717,E717:G717,I717)=0,"","BI-"&amp;RIGHT("0000"&amp;(ROW()-5),4))</f>
        <v/>
      </c>
      <c r="B717" s="72" t="n"/>
      <c r="C717" s="66" t="n"/>
      <c r="D717" s="67" t="str">
        <f>IF(C717="","",IFERROR(INDEX(eq_des,MATCH(C717,eq_code,0))&amp;"","Équipement inconnu"))</f>
        <v/>
      </c>
      <c r="E717" s="68" t="n"/>
      <c r="F717" s="68" t="n"/>
      <c r="G717" s="66" t="n"/>
      <c r="H717" s="66" t="n"/>
      <c r="I717" s="68" t="n"/>
      <c r="J717" s="73" t="n"/>
      <c r="K717" s="71" t="n"/>
      <c r="L717" s="71" t="n"/>
      <c r="M717" s="66" t="n"/>
      <c r="N717" s="80" t="n"/>
      <c r="O717" s="81" t="str">
        <f>IF(A717="","",ROUND(V717*IFERROR(N(INDEX(tech_rate,MATCH(M717,tech_name,0))),0),2))</f>
        <v/>
      </c>
      <c r="P717" s="80" t="n"/>
      <c r="Q717" s="81" t="str">
        <f>IF(A717="","",ROUND(Y717+O717+Z717,2))</f>
        <v/>
      </c>
      <c r="R717" s="79" t="str">
        <f>IF(A717="","",IF(S717=0,"Date manquante ou invalide",IF(C717="","Équipement manquant",IF(ISNA(MATCH(C717,eq_code,0)),"Équipement inconnu",IF(E717="","Type manquant",IF(AND(E717&lt;&gt;"Préventif",E717&lt;&gt;"Correctif",E717&lt;&gt;"Amélioratif"),"Type inconnu",IF(I717="","Statut manquant",IF(AND(I717&lt;&gt;"Terminée",I717&lt;&gt;"En cours",I717&lt;&gt;"À faire",I717&lt;&gt;"Annulée"),"Statut inconnu",IF(AND(E717="Préventif",F717=""),"Plan manquant (préventif)",IF(AND(F717&lt;&gt;"",ISNA(MATCH(F717,pl_num,0))),"Plan inconnu",IF(AND(F717&lt;&gt;"",IFERROR(INDEX(pl_eq,MATCH(F717,pl_num,0))&amp;"",C717)&lt;&gt;C717),"Plan d'un autre équipement",IF(AND(J717&lt;&gt;"",OR(NOT(ISNUMBER(J717)),N(J717)&lt;0)),"Compteur invalide",IF(OR(AND(K717&lt;&gt;"",OR(NOT(ISNUMBER(K717)),N(K717)&lt;0)),AND(L717&lt;&gt;"",OR(NOT(ISNUMBER(L717)),N(L717)&lt;0))),"Durée invalide",IF(OR(AND(N717&lt;&gt;"",OR(NOT(ISNUMBER(N717)),N(N717)&lt;0)),AND(P717&lt;&gt;"",OR(NOT(ISNUMBER(P717)),N(P717)&lt;0))),"Coût invalide",IF(AND(M717&lt;&gt;"",ISNA(MATCH(M717,tech_name,0))),"Technicien inconnu",IF(AND(I717="Terminée",S717&gt;p_today),"Terminée à une date future",IF(AND(I717="Terminée",V717=0),"Durée d'intervention manquante",IF(AND(I717="Terminée",E717="Préventif",T717=0,OR(IFERROR(INDEX(pl_trig,MATCH(F717,pl_num,0))&amp;"","")="Compteur",IFERROR(INDEX(pl_trig,MATCH(F717,pl_num,0))&amp;"","")="Au premier des deux")),"Compteur manquant (plan au compteur)","OK"))))))))))))))))))</f>
        <v/>
      </c>
      <c r="S717" s="67">
        <f>IF(AND(ISNUMBER(B717),N(B717)&gt;0),INT(B717),0)</f>
        <v>0.0</v>
      </c>
      <c r="T717" s="67">
        <f>IF(AND(ISNUMBER(J717),N(J717)&gt;=0),N(J717),0)</f>
        <v>0.0</v>
      </c>
      <c r="U717" s="67">
        <f>IF(AND(ISNUMBER(K717),N(K717)&gt;0),N(K717),0)</f>
        <v>0.0</v>
      </c>
      <c r="V717" s="67">
        <f>IF(AND(ISNUMBER(L717),N(L717)&gt;0),N(L717),0)</f>
        <v>0.0</v>
      </c>
      <c r="W717" s="67">
        <f>IF(AND(I717="Terminée",S717&gt;0,C717&lt;&gt;"",ISNUMBER(MATCH(C717,eq_code,0))),1,0)</f>
        <v>0.0</v>
      </c>
      <c r="X717" s="67">
        <f>IF(AND(W717=1,E717="Préventif"),1,0)</f>
        <v>0.0</v>
      </c>
      <c r="Y717" s="67">
        <f>IF(AND(ISNUMBER(N717),N(N717)&gt;0),N(N717),0)</f>
        <v>0.0</v>
      </c>
      <c r="Z717" s="67">
        <f>IF(AND(ISNUMBER(P717),N(P717)&gt;0),N(P717),0)</f>
        <v>0.0</v>
      </c>
    </row>
    <row r="718">
      <c r="A718" s="79" t="str">
        <f>IF(COUNTA(B718:C718,E718:G718,I718)=0,"","BI-"&amp;RIGHT("0000"&amp;(ROW()-5),4))</f>
        <v/>
      </c>
      <c r="B718" s="72" t="n"/>
      <c r="C718" s="66" t="n"/>
      <c r="D718" s="67" t="str">
        <f>IF(C718="","",IFERROR(INDEX(eq_des,MATCH(C718,eq_code,0))&amp;"","Équipement inconnu"))</f>
        <v/>
      </c>
      <c r="E718" s="68" t="n"/>
      <c r="F718" s="68" t="n"/>
      <c r="G718" s="66" t="n"/>
      <c r="H718" s="66" t="n"/>
      <c r="I718" s="68" t="n"/>
      <c r="J718" s="73" t="n"/>
      <c r="K718" s="71" t="n"/>
      <c r="L718" s="71" t="n"/>
      <c r="M718" s="66" t="n"/>
      <c r="N718" s="80" t="n"/>
      <c r="O718" s="81" t="str">
        <f>IF(A718="","",ROUND(V718*IFERROR(N(INDEX(tech_rate,MATCH(M718,tech_name,0))),0),2))</f>
        <v/>
      </c>
      <c r="P718" s="80" t="n"/>
      <c r="Q718" s="81" t="str">
        <f>IF(A718="","",ROUND(Y718+O718+Z718,2))</f>
        <v/>
      </c>
      <c r="R718" s="79" t="str">
        <f>IF(A718="","",IF(S718=0,"Date manquante ou invalide",IF(C718="","Équipement manquant",IF(ISNA(MATCH(C718,eq_code,0)),"Équipement inconnu",IF(E718="","Type manquant",IF(AND(E718&lt;&gt;"Préventif",E718&lt;&gt;"Correctif",E718&lt;&gt;"Amélioratif"),"Type inconnu",IF(I718="","Statut manquant",IF(AND(I718&lt;&gt;"Terminée",I718&lt;&gt;"En cours",I718&lt;&gt;"À faire",I718&lt;&gt;"Annulée"),"Statut inconnu",IF(AND(E718="Préventif",F718=""),"Plan manquant (préventif)",IF(AND(F718&lt;&gt;"",ISNA(MATCH(F718,pl_num,0))),"Plan inconnu",IF(AND(F718&lt;&gt;"",IFERROR(INDEX(pl_eq,MATCH(F718,pl_num,0))&amp;"",C718)&lt;&gt;C718),"Plan d'un autre équipement",IF(AND(J718&lt;&gt;"",OR(NOT(ISNUMBER(J718)),N(J718)&lt;0)),"Compteur invalide",IF(OR(AND(K718&lt;&gt;"",OR(NOT(ISNUMBER(K718)),N(K718)&lt;0)),AND(L718&lt;&gt;"",OR(NOT(ISNUMBER(L718)),N(L718)&lt;0))),"Durée invalide",IF(OR(AND(N718&lt;&gt;"",OR(NOT(ISNUMBER(N718)),N(N718)&lt;0)),AND(P718&lt;&gt;"",OR(NOT(ISNUMBER(P718)),N(P718)&lt;0))),"Coût invalide",IF(AND(M718&lt;&gt;"",ISNA(MATCH(M718,tech_name,0))),"Technicien inconnu",IF(AND(I718="Terminée",S718&gt;p_today),"Terminée à une date future",IF(AND(I718="Terminée",V718=0),"Durée d'intervention manquante",IF(AND(I718="Terminée",E718="Préventif",T718=0,OR(IFERROR(INDEX(pl_trig,MATCH(F718,pl_num,0))&amp;"","")="Compteur",IFERROR(INDEX(pl_trig,MATCH(F718,pl_num,0))&amp;"","")="Au premier des deux")),"Compteur manquant (plan au compteur)","OK"))))))))))))))))))</f>
        <v/>
      </c>
      <c r="S718" s="67">
        <f>IF(AND(ISNUMBER(B718),N(B718)&gt;0),INT(B718),0)</f>
        <v>0.0</v>
      </c>
      <c r="T718" s="67">
        <f>IF(AND(ISNUMBER(J718),N(J718)&gt;=0),N(J718),0)</f>
        <v>0.0</v>
      </c>
      <c r="U718" s="67">
        <f>IF(AND(ISNUMBER(K718),N(K718)&gt;0),N(K718),0)</f>
        <v>0.0</v>
      </c>
      <c r="V718" s="67">
        <f>IF(AND(ISNUMBER(L718),N(L718)&gt;0),N(L718),0)</f>
        <v>0.0</v>
      </c>
      <c r="W718" s="67">
        <f>IF(AND(I718="Terminée",S718&gt;0,C718&lt;&gt;"",ISNUMBER(MATCH(C718,eq_code,0))),1,0)</f>
        <v>0.0</v>
      </c>
      <c r="X718" s="67">
        <f>IF(AND(W718=1,E718="Préventif"),1,0)</f>
        <v>0.0</v>
      </c>
      <c r="Y718" s="67">
        <f>IF(AND(ISNUMBER(N718),N(N718)&gt;0),N(N718),0)</f>
        <v>0.0</v>
      </c>
      <c r="Z718" s="67">
        <f>IF(AND(ISNUMBER(P718),N(P718)&gt;0),N(P718),0)</f>
        <v>0.0</v>
      </c>
    </row>
    <row r="719">
      <c r="A719" s="79" t="str">
        <f>IF(COUNTA(B719:C719,E719:G719,I719)=0,"","BI-"&amp;RIGHT("0000"&amp;(ROW()-5),4))</f>
        <v/>
      </c>
      <c r="B719" s="72" t="n"/>
      <c r="C719" s="66" t="n"/>
      <c r="D719" s="67" t="str">
        <f>IF(C719="","",IFERROR(INDEX(eq_des,MATCH(C719,eq_code,0))&amp;"","Équipement inconnu"))</f>
        <v/>
      </c>
      <c r="E719" s="68" t="n"/>
      <c r="F719" s="68" t="n"/>
      <c r="G719" s="66" t="n"/>
      <c r="H719" s="66" t="n"/>
      <c r="I719" s="68" t="n"/>
      <c r="J719" s="73" t="n"/>
      <c r="K719" s="71" t="n"/>
      <c r="L719" s="71" t="n"/>
      <c r="M719" s="66" t="n"/>
      <c r="N719" s="80" t="n"/>
      <c r="O719" s="81" t="str">
        <f>IF(A719="","",ROUND(V719*IFERROR(N(INDEX(tech_rate,MATCH(M719,tech_name,0))),0),2))</f>
        <v/>
      </c>
      <c r="P719" s="80" t="n"/>
      <c r="Q719" s="81" t="str">
        <f>IF(A719="","",ROUND(Y719+O719+Z719,2))</f>
        <v/>
      </c>
      <c r="R719" s="79" t="str">
        <f>IF(A719="","",IF(S719=0,"Date manquante ou invalide",IF(C719="","Équipement manquant",IF(ISNA(MATCH(C719,eq_code,0)),"Équipement inconnu",IF(E719="","Type manquant",IF(AND(E719&lt;&gt;"Préventif",E719&lt;&gt;"Correctif",E719&lt;&gt;"Amélioratif"),"Type inconnu",IF(I719="","Statut manquant",IF(AND(I719&lt;&gt;"Terminée",I719&lt;&gt;"En cours",I719&lt;&gt;"À faire",I719&lt;&gt;"Annulée"),"Statut inconnu",IF(AND(E719="Préventif",F719=""),"Plan manquant (préventif)",IF(AND(F719&lt;&gt;"",ISNA(MATCH(F719,pl_num,0))),"Plan inconnu",IF(AND(F719&lt;&gt;"",IFERROR(INDEX(pl_eq,MATCH(F719,pl_num,0))&amp;"",C719)&lt;&gt;C719),"Plan d'un autre équipement",IF(AND(J719&lt;&gt;"",OR(NOT(ISNUMBER(J719)),N(J719)&lt;0)),"Compteur invalide",IF(OR(AND(K719&lt;&gt;"",OR(NOT(ISNUMBER(K719)),N(K719)&lt;0)),AND(L719&lt;&gt;"",OR(NOT(ISNUMBER(L719)),N(L719)&lt;0))),"Durée invalide",IF(OR(AND(N719&lt;&gt;"",OR(NOT(ISNUMBER(N719)),N(N719)&lt;0)),AND(P719&lt;&gt;"",OR(NOT(ISNUMBER(P719)),N(P719)&lt;0))),"Coût invalide",IF(AND(M719&lt;&gt;"",ISNA(MATCH(M719,tech_name,0))),"Technicien inconnu",IF(AND(I719="Terminée",S719&gt;p_today),"Terminée à une date future",IF(AND(I719="Terminée",V719=0),"Durée d'intervention manquante",IF(AND(I719="Terminée",E719="Préventif",T719=0,OR(IFERROR(INDEX(pl_trig,MATCH(F719,pl_num,0))&amp;"","")="Compteur",IFERROR(INDEX(pl_trig,MATCH(F719,pl_num,0))&amp;"","")="Au premier des deux")),"Compteur manquant (plan au compteur)","OK"))))))))))))))))))</f>
        <v/>
      </c>
      <c r="S719" s="67">
        <f>IF(AND(ISNUMBER(B719),N(B719)&gt;0),INT(B719),0)</f>
        <v>0.0</v>
      </c>
      <c r="T719" s="67">
        <f>IF(AND(ISNUMBER(J719),N(J719)&gt;=0),N(J719),0)</f>
        <v>0.0</v>
      </c>
      <c r="U719" s="67">
        <f>IF(AND(ISNUMBER(K719),N(K719)&gt;0),N(K719),0)</f>
        <v>0.0</v>
      </c>
      <c r="V719" s="67">
        <f>IF(AND(ISNUMBER(L719),N(L719)&gt;0),N(L719),0)</f>
        <v>0.0</v>
      </c>
      <c r="W719" s="67">
        <f>IF(AND(I719="Terminée",S719&gt;0,C719&lt;&gt;"",ISNUMBER(MATCH(C719,eq_code,0))),1,0)</f>
        <v>0.0</v>
      </c>
      <c r="X719" s="67">
        <f>IF(AND(W719=1,E719="Préventif"),1,0)</f>
        <v>0.0</v>
      </c>
      <c r="Y719" s="67">
        <f>IF(AND(ISNUMBER(N719),N(N719)&gt;0),N(N719),0)</f>
        <v>0.0</v>
      </c>
      <c r="Z719" s="67">
        <f>IF(AND(ISNUMBER(P719),N(P719)&gt;0),N(P719),0)</f>
        <v>0.0</v>
      </c>
    </row>
    <row r="720">
      <c r="A720" s="79" t="str">
        <f>IF(COUNTA(B720:C720,E720:G720,I720)=0,"","BI-"&amp;RIGHT("0000"&amp;(ROW()-5),4))</f>
        <v/>
      </c>
      <c r="B720" s="72" t="n"/>
      <c r="C720" s="66" t="n"/>
      <c r="D720" s="67" t="str">
        <f>IF(C720="","",IFERROR(INDEX(eq_des,MATCH(C720,eq_code,0))&amp;"","Équipement inconnu"))</f>
        <v/>
      </c>
      <c r="E720" s="68" t="n"/>
      <c r="F720" s="68" t="n"/>
      <c r="G720" s="66" t="n"/>
      <c r="H720" s="66" t="n"/>
      <c r="I720" s="68" t="n"/>
      <c r="J720" s="73" t="n"/>
      <c r="K720" s="71" t="n"/>
      <c r="L720" s="71" t="n"/>
      <c r="M720" s="66" t="n"/>
      <c r="N720" s="80" t="n"/>
      <c r="O720" s="81" t="str">
        <f>IF(A720="","",ROUND(V720*IFERROR(N(INDEX(tech_rate,MATCH(M720,tech_name,0))),0),2))</f>
        <v/>
      </c>
      <c r="P720" s="80" t="n"/>
      <c r="Q720" s="81" t="str">
        <f>IF(A720="","",ROUND(Y720+O720+Z720,2))</f>
        <v/>
      </c>
      <c r="R720" s="79" t="str">
        <f>IF(A720="","",IF(S720=0,"Date manquante ou invalide",IF(C720="","Équipement manquant",IF(ISNA(MATCH(C720,eq_code,0)),"Équipement inconnu",IF(E720="","Type manquant",IF(AND(E720&lt;&gt;"Préventif",E720&lt;&gt;"Correctif",E720&lt;&gt;"Amélioratif"),"Type inconnu",IF(I720="","Statut manquant",IF(AND(I720&lt;&gt;"Terminée",I720&lt;&gt;"En cours",I720&lt;&gt;"À faire",I720&lt;&gt;"Annulée"),"Statut inconnu",IF(AND(E720="Préventif",F720=""),"Plan manquant (préventif)",IF(AND(F720&lt;&gt;"",ISNA(MATCH(F720,pl_num,0))),"Plan inconnu",IF(AND(F720&lt;&gt;"",IFERROR(INDEX(pl_eq,MATCH(F720,pl_num,0))&amp;"",C720)&lt;&gt;C720),"Plan d'un autre équipement",IF(AND(J720&lt;&gt;"",OR(NOT(ISNUMBER(J720)),N(J720)&lt;0)),"Compteur invalide",IF(OR(AND(K720&lt;&gt;"",OR(NOT(ISNUMBER(K720)),N(K720)&lt;0)),AND(L720&lt;&gt;"",OR(NOT(ISNUMBER(L720)),N(L720)&lt;0))),"Durée invalide",IF(OR(AND(N720&lt;&gt;"",OR(NOT(ISNUMBER(N720)),N(N720)&lt;0)),AND(P720&lt;&gt;"",OR(NOT(ISNUMBER(P720)),N(P720)&lt;0))),"Coût invalide",IF(AND(M720&lt;&gt;"",ISNA(MATCH(M720,tech_name,0))),"Technicien inconnu",IF(AND(I720="Terminée",S720&gt;p_today),"Terminée à une date future",IF(AND(I720="Terminée",V720=0),"Durée d'intervention manquante",IF(AND(I720="Terminée",E720="Préventif",T720=0,OR(IFERROR(INDEX(pl_trig,MATCH(F720,pl_num,0))&amp;"","")="Compteur",IFERROR(INDEX(pl_trig,MATCH(F720,pl_num,0))&amp;"","")="Au premier des deux")),"Compteur manquant (plan au compteur)","OK"))))))))))))))))))</f>
        <v/>
      </c>
      <c r="S720" s="67">
        <f>IF(AND(ISNUMBER(B720),N(B720)&gt;0),INT(B720),0)</f>
        <v>0.0</v>
      </c>
      <c r="T720" s="67">
        <f>IF(AND(ISNUMBER(J720),N(J720)&gt;=0),N(J720),0)</f>
        <v>0.0</v>
      </c>
      <c r="U720" s="67">
        <f>IF(AND(ISNUMBER(K720),N(K720)&gt;0),N(K720),0)</f>
        <v>0.0</v>
      </c>
      <c r="V720" s="67">
        <f>IF(AND(ISNUMBER(L720),N(L720)&gt;0),N(L720),0)</f>
        <v>0.0</v>
      </c>
      <c r="W720" s="67">
        <f>IF(AND(I720="Terminée",S720&gt;0,C720&lt;&gt;"",ISNUMBER(MATCH(C720,eq_code,0))),1,0)</f>
        <v>0.0</v>
      </c>
      <c r="X720" s="67">
        <f>IF(AND(W720=1,E720="Préventif"),1,0)</f>
        <v>0.0</v>
      </c>
      <c r="Y720" s="67">
        <f>IF(AND(ISNUMBER(N720),N(N720)&gt;0),N(N720),0)</f>
        <v>0.0</v>
      </c>
      <c r="Z720" s="67">
        <f>IF(AND(ISNUMBER(P720),N(P720)&gt;0),N(P720),0)</f>
        <v>0.0</v>
      </c>
    </row>
    <row r="721">
      <c r="A721" s="79" t="str">
        <f>IF(COUNTA(B721:C721,E721:G721,I721)=0,"","BI-"&amp;RIGHT("0000"&amp;(ROW()-5),4))</f>
        <v/>
      </c>
      <c r="B721" s="72" t="n"/>
      <c r="C721" s="66" t="n"/>
      <c r="D721" s="67" t="str">
        <f>IF(C721="","",IFERROR(INDEX(eq_des,MATCH(C721,eq_code,0))&amp;"","Équipement inconnu"))</f>
        <v/>
      </c>
      <c r="E721" s="68" t="n"/>
      <c r="F721" s="68" t="n"/>
      <c r="G721" s="66" t="n"/>
      <c r="H721" s="66" t="n"/>
      <c r="I721" s="68" t="n"/>
      <c r="J721" s="73" t="n"/>
      <c r="K721" s="71" t="n"/>
      <c r="L721" s="71" t="n"/>
      <c r="M721" s="66" t="n"/>
      <c r="N721" s="80" t="n"/>
      <c r="O721" s="81" t="str">
        <f>IF(A721="","",ROUND(V721*IFERROR(N(INDEX(tech_rate,MATCH(M721,tech_name,0))),0),2))</f>
        <v/>
      </c>
      <c r="P721" s="80" t="n"/>
      <c r="Q721" s="81" t="str">
        <f>IF(A721="","",ROUND(Y721+O721+Z721,2))</f>
        <v/>
      </c>
      <c r="R721" s="79" t="str">
        <f>IF(A721="","",IF(S721=0,"Date manquante ou invalide",IF(C721="","Équipement manquant",IF(ISNA(MATCH(C721,eq_code,0)),"Équipement inconnu",IF(E721="","Type manquant",IF(AND(E721&lt;&gt;"Préventif",E721&lt;&gt;"Correctif",E721&lt;&gt;"Amélioratif"),"Type inconnu",IF(I721="","Statut manquant",IF(AND(I721&lt;&gt;"Terminée",I721&lt;&gt;"En cours",I721&lt;&gt;"À faire",I721&lt;&gt;"Annulée"),"Statut inconnu",IF(AND(E721="Préventif",F721=""),"Plan manquant (préventif)",IF(AND(F721&lt;&gt;"",ISNA(MATCH(F721,pl_num,0))),"Plan inconnu",IF(AND(F721&lt;&gt;"",IFERROR(INDEX(pl_eq,MATCH(F721,pl_num,0))&amp;"",C721)&lt;&gt;C721),"Plan d'un autre équipement",IF(AND(J721&lt;&gt;"",OR(NOT(ISNUMBER(J721)),N(J721)&lt;0)),"Compteur invalide",IF(OR(AND(K721&lt;&gt;"",OR(NOT(ISNUMBER(K721)),N(K721)&lt;0)),AND(L721&lt;&gt;"",OR(NOT(ISNUMBER(L721)),N(L721)&lt;0))),"Durée invalide",IF(OR(AND(N721&lt;&gt;"",OR(NOT(ISNUMBER(N721)),N(N721)&lt;0)),AND(P721&lt;&gt;"",OR(NOT(ISNUMBER(P721)),N(P721)&lt;0))),"Coût invalide",IF(AND(M721&lt;&gt;"",ISNA(MATCH(M721,tech_name,0))),"Technicien inconnu",IF(AND(I721="Terminée",S721&gt;p_today),"Terminée à une date future",IF(AND(I721="Terminée",V721=0),"Durée d'intervention manquante",IF(AND(I721="Terminée",E721="Préventif",T721=0,OR(IFERROR(INDEX(pl_trig,MATCH(F721,pl_num,0))&amp;"","")="Compteur",IFERROR(INDEX(pl_trig,MATCH(F721,pl_num,0))&amp;"","")="Au premier des deux")),"Compteur manquant (plan au compteur)","OK"))))))))))))))))))</f>
        <v/>
      </c>
      <c r="S721" s="67">
        <f>IF(AND(ISNUMBER(B721),N(B721)&gt;0),INT(B721),0)</f>
        <v>0.0</v>
      </c>
      <c r="T721" s="67">
        <f>IF(AND(ISNUMBER(J721),N(J721)&gt;=0),N(J721),0)</f>
        <v>0.0</v>
      </c>
      <c r="U721" s="67">
        <f>IF(AND(ISNUMBER(K721),N(K721)&gt;0),N(K721),0)</f>
        <v>0.0</v>
      </c>
      <c r="V721" s="67">
        <f>IF(AND(ISNUMBER(L721),N(L721)&gt;0),N(L721),0)</f>
        <v>0.0</v>
      </c>
      <c r="W721" s="67">
        <f>IF(AND(I721="Terminée",S721&gt;0,C721&lt;&gt;"",ISNUMBER(MATCH(C721,eq_code,0))),1,0)</f>
        <v>0.0</v>
      </c>
      <c r="X721" s="67">
        <f>IF(AND(W721=1,E721="Préventif"),1,0)</f>
        <v>0.0</v>
      </c>
      <c r="Y721" s="67">
        <f>IF(AND(ISNUMBER(N721),N(N721)&gt;0),N(N721),0)</f>
        <v>0.0</v>
      </c>
      <c r="Z721" s="67">
        <f>IF(AND(ISNUMBER(P721),N(P721)&gt;0),N(P721),0)</f>
        <v>0.0</v>
      </c>
    </row>
    <row r="722">
      <c r="A722" s="79" t="str">
        <f>IF(COUNTA(B722:C722,E722:G722,I722)=0,"","BI-"&amp;RIGHT("0000"&amp;(ROW()-5),4))</f>
        <v/>
      </c>
      <c r="B722" s="72" t="n"/>
      <c r="C722" s="66" t="n"/>
      <c r="D722" s="67" t="str">
        <f>IF(C722="","",IFERROR(INDEX(eq_des,MATCH(C722,eq_code,0))&amp;"","Équipement inconnu"))</f>
        <v/>
      </c>
      <c r="E722" s="68" t="n"/>
      <c r="F722" s="68" t="n"/>
      <c r="G722" s="66" t="n"/>
      <c r="H722" s="66" t="n"/>
      <c r="I722" s="68" t="n"/>
      <c r="J722" s="73" t="n"/>
      <c r="K722" s="71" t="n"/>
      <c r="L722" s="71" t="n"/>
      <c r="M722" s="66" t="n"/>
      <c r="N722" s="80" t="n"/>
      <c r="O722" s="81" t="str">
        <f>IF(A722="","",ROUND(V722*IFERROR(N(INDEX(tech_rate,MATCH(M722,tech_name,0))),0),2))</f>
        <v/>
      </c>
      <c r="P722" s="80" t="n"/>
      <c r="Q722" s="81" t="str">
        <f>IF(A722="","",ROUND(Y722+O722+Z722,2))</f>
        <v/>
      </c>
      <c r="R722" s="79" t="str">
        <f>IF(A722="","",IF(S722=0,"Date manquante ou invalide",IF(C722="","Équipement manquant",IF(ISNA(MATCH(C722,eq_code,0)),"Équipement inconnu",IF(E722="","Type manquant",IF(AND(E722&lt;&gt;"Préventif",E722&lt;&gt;"Correctif",E722&lt;&gt;"Amélioratif"),"Type inconnu",IF(I722="","Statut manquant",IF(AND(I722&lt;&gt;"Terminée",I722&lt;&gt;"En cours",I722&lt;&gt;"À faire",I722&lt;&gt;"Annulée"),"Statut inconnu",IF(AND(E722="Préventif",F722=""),"Plan manquant (préventif)",IF(AND(F722&lt;&gt;"",ISNA(MATCH(F722,pl_num,0))),"Plan inconnu",IF(AND(F722&lt;&gt;"",IFERROR(INDEX(pl_eq,MATCH(F722,pl_num,0))&amp;"",C722)&lt;&gt;C722),"Plan d'un autre équipement",IF(AND(J722&lt;&gt;"",OR(NOT(ISNUMBER(J722)),N(J722)&lt;0)),"Compteur invalide",IF(OR(AND(K722&lt;&gt;"",OR(NOT(ISNUMBER(K722)),N(K722)&lt;0)),AND(L722&lt;&gt;"",OR(NOT(ISNUMBER(L722)),N(L722)&lt;0))),"Durée invalide",IF(OR(AND(N722&lt;&gt;"",OR(NOT(ISNUMBER(N722)),N(N722)&lt;0)),AND(P722&lt;&gt;"",OR(NOT(ISNUMBER(P722)),N(P722)&lt;0))),"Coût invalide",IF(AND(M722&lt;&gt;"",ISNA(MATCH(M722,tech_name,0))),"Technicien inconnu",IF(AND(I722="Terminée",S722&gt;p_today),"Terminée à une date future",IF(AND(I722="Terminée",V722=0),"Durée d'intervention manquante",IF(AND(I722="Terminée",E722="Préventif",T722=0,OR(IFERROR(INDEX(pl_trig,MATCH(F722,pl_num,0))&amp;"","")="Compteur",IFERROR(INDEX(pl_trig,MATCH(F722,pl_num,0))&amp;"","")="Au premier des deux")),"Compteur manquant (plan au compteur)","OK"))))))))))))))))))</f>
        <v/>
      </c>
      <c r="S722" s="67">
        <f>IF(AND(ISNUMBER(B722),N(B722)&gt;0),INT(B722),0)</f>
        <v>0.0</v>
      </c>
      <c r="T722" s="67">
        <f>IF(AND(ISNUMBER(J722),N(J722)&gt;=0),N(J722),0)</f>
        <v>0.0</v>
      </c>
      <c r="U722" s="67">
        <f>IF(AND(ISNUMBER(K722),N(K722)&gt;0),N(K722),0)</f>
        <v>0.0</v>
      </c>
      <c r="V722" s="67">
        <f>IF(AND(ISNUMBER(L722),N(L722)&gt;0),N(L722),0)</f>
        <v>0.0</v>
      </c>
      <c r="W722" s="67">
        <f>IF(AND(I722="Terminée",S722&gt;0,C722&lt;&gt;"",ISNUMBER(MATCH(C722,eq_code,0))),1,0)</f>
        <v>0.0</v>
      </c>
      <c r="X722" s="67">
        <f>IF(AND(W722=1,E722="Préventif"),1,0)</f>
        <v>0.0</v>
      </c>
      <c r="Y722" s="67">
        <f>IF(AND(ISNUMBER(N722),N(N722)&gt;0),N(N722),0)</f>
        <v>0.0</v>
      </c>
      <c r="Z722" s="67">
        <f>IF(AND(ISNUMBER(P722),N(P722)&gt;0),N(P722),0)</f>
        <v>0.0</v>
      </c>
    </row>
    <row r="723">
      <c r="A723" s="79" t="str">
        <f>IF(COUNTA(B723:C723,E723:G723,I723)=0,"","BI-"&amp;RIGHT("0000"&amp;(ROW()-5),4))</f>
        <v/>
      </c>
      <c r="B723" s="72" t="n"/>
      <c r="C723" s="66" t="n"/>
      <c r="D723" s="67" t="str">
        <f>IF(C723="","",IFERROR(INDEX(eq_des,MATCH(C723,eq_code,0))&amp;"","Équipement inconnu"))</f>
        <v/>
      </c>
      <c r="E723" s="68" t="n"/>
      <c r="F723" s="68" t="n"/>
      <c r="G723" s="66" t="n"/>
      <c r="H723" s="66" t="n"/>
      <c r="I723" s="68" t="n"/>
      <c r="J723" s="73" t="n"/>
      <c r="K723" s="71" t="n"/>
      <c r="L723" s="71" t="n"/>
      <c r="M723" s="66" t="n"/>
      <c r="N723" s="80" t="n"/>
      <c r="O723" s="81" t="str">
        <f>IF(A723="","",ROUND(V723*IFERROR(N(INDEX(tech_rate,MATCH(M723,tech_name,0))),0),2))</f>
        <v/>
      </c>
      <c r="P723" s="80" t="n"/>
      <c r="Q723" s="81" t="str">
        <f>IF(A723="","",ROUND(Y723+O723+Z723,2))</f>
        <v/>
      </c>
      <c r="R723" s="79" t="str">
        <f>IF(A723="","",IF(S723=0,"Date manquante ou invalide",IF(C723="","Équipement manquant",IF(ISNA(MATCH(C723,eq_code,0)),"Équipement inconnu",IF(E723="","Type manquant",IF(AND(E723&lt;&gt;"Préventif",E723&lt;&gt;"Correctif",E723&lt;&gt;"Amélioratif"),"Type inconnu",IF(I723="","Statut manquant",IF(AND(I723&lt;&gt;"Terminée",I723&lt;&gt;"En cours",I723&lt;&gt;"À faire",I723&lt;&gt;"Annulée"),"Statut inconnu",IF(AND(E723="Préventif",F723=""),"Plan manquant (préventif)",IF(AND(F723&lt;&gt;"",ISNA(MATCH(F723,pl_num,0))),"Plan inconnu",IF(AND(F723&lt;&gt;"",IFERROR(INDEX(pl_eq,MATCH(F723,pl_num,0))&amp;"",C723)&lt;&gt;C723),"Plan d'un autre équipement",IF(AND(J723&lt;&gt;"",OR(NOT(ISNUMBER(J723)),N(J723)&lt;0)),"Compteur invalide",IF(OR(AND(K723&lt;&gt;"",OR(NOT(ISNUMBER(K723)),N(K723)&lt;0)),AND(L723&lt;&gt;"",OR(NOT(ISNUMBER(L723)),N(L723)&lt;0))),"Durée invalide",IF(OR(AND(N723&lt;&gt;"",OR(NOT(ISNUMBER(N723)),N(N723)&lt;0)),AND(P723&lt;&gt;"",OR(NOT(ISNUMBER(P723)),N(P723)&lt;0))),"Coût invalide",IF(AND(M723&lt;&gt;"",ISNA(MATCH(M723,tech_name,0))),"Technicien inconnu",IF(AND(I723="Terminée",S723&gt;p_today),"Terminée à une date future",IF(AND(I723="Terminée",V723=0),"Durée d'intervention manquante",IF(AND(I723="Terminée",E723="Préventif",T723=0,OR(IFERROR(INDEX(pl_trig,MATCH(F723,pl_num,0))&amp;"","")="Compteur",IFERROR(INDEX(pl_trig,MATCH(F723,pl_num,0))&amp;"","")="Au premier des deux")),"Compteur manquant (plan au compteur)","OK"))))))))))))))))))</f>
        <v/>
      </c>
      <c r="S723" s="67">
        <f>IF(AND(ISNUMBER(B723),N(B723)&gt;0),INT(B723),0)</f>
        <v>0.0</v>
      </c>
      <c r="T723" s="67">
        <f>IF(AND(ISNUMBER(J723),N(J723)&gt;=0),N(J723),0)</f>
        <v>0.0</v>
      </c>
      <c r="U723" s="67">
        <f>IF(AND(ISNUMBER(K723),N(K723)&gt;0),N(K723),0)</f>
        <v>0.0</v>
      </c>
      <c r="V723" s="67">
        <f>IF(AND(ISNUMBER(L723),N(L723)&gt;0),N(L723),0)</f>
        <v>0.0</v>
      </c>
      <c r="W723" s="67">
        <f>IF(AND(I723="Terminée",S723&gt;0,C723&lt;&gt;"",ISNUMBER(MATCH(C723,eq_code,0))),1,0)</f>
        <v>0.0</v>
      </c>
      <c r="X723" s="67">
        <f>IF(AND(W723=1,E723="Préventif"),1,0)</f>
        <v>0.0</v>
      </c>
      <c r="Y723" s="67">
        <f>IF(AND(ISNUMBER(N723),N(N723)&gt;0),N(N723),0)</f>
        <v>0.0</v>
      </c>
      <c r="Z723" s="67">
        <f>IF(AND(ISNUMBER(P723),N(P723)&gt;0),N(P723),0)</f>
        <v>0.0</v>
      </c>
    </row>
    <row r="724">
      <c r="A724" s="79" t="str">
        <f>IF(COUNTA(B724:C724,E724:G724,I724)=0,"","BI-"&amp;RIGHT("0000"&amp;(ROW()-5),4))</f>
        <v/>
      </c>
      <c r="B724" s="72" t="n"/>
      <c r="C724" s="66" t="n"/>
      <c r="D724" s="67" t="str">
        <f>IF(C724="","",IFERROR(INDEX(eq_des,MATCH(C724,eq_code,0))&amp;"","Équipement inconnu"))</f>
        <v/>
      </c>
      <c r="E724" s="68" t="n"/>
      <c r="F724" s="68" t="n"/>
      <c r="G724" s="66" t="n"/>
      <c r="H724" s="66" t="n"/>
      <c r="I724" s="68" t="n"/>
      <c r="J724" s="73" t="n"/>
      <c r="K724" s="71" t="n"/>
      <c r="L724" s="71" t="n"/>
      <c r="M724" s="66" t="n"/>
      <c r="N724" s="80" t="n"/>
      <c r="O724" s="81" t="str">
        <f>IF(A724="","",ROUND(V724*IFERROR(N(INDEX(tech_rate,MATCH(M724,tech_name,0))),0),2))</f>
        <v/>
      </c>
      <c r="P724" s="80" t="n"/>
      <c r="Q724" s="81" t="str">
        <f>IF(A724="","",ROUND(Y724+O724+Z724,2))</f>
        <v/>
      </c>
      <c r="R724" s="79" t="str">
        <f>IF(A724="","",IF(S724=0,"Date manquante ou invalide",IF(C724="","Équipement manquant",IF(ISNA(MATCH(C724,eq_code,0)),"Équipement inconnu",IF(E724="","Type manquant",IF(AND(E724&lt;&gt;"Préventif",E724&lt;&gt;"Correctif",E724&lt;&gt;"Amélioratif"),"Type inconnu",IF(I724="","Statut manquant",IF(AND(I724&lt;&gt;"Terminée",I724&lt;&gt;"En cours",I724&lt;&gt;"À faire",I724&lt;&gt;"Annulée"),"Statut inconnu",IF(AND(E724="Préventif",F724=""),"Plan manquant (préventif)",IF(AND(F724&lt;&gt;"",ISNA(MATCH(F724,pl_num,0))),"Plan inconnu",IF(AND(F724&lt;&gt;"",IFERROR(INDEX(pl_eq,MATCH(F724,pl_num,0))&amp;"",C724)&lt;&gt;C724),"Plan d'un autre équipement",IF(AND(J724&lt;&gt;"",OR(NOT(ISNUMBER(J724)),N(J724)&lt;0)),"Compteur invalide",IF(OR(AND(K724&lt;&gt;"",OR(NOT(ISNUMBER(K724)),N(K724)&lt;0)),AND(L724&lt;&gt;"",OR(NOT(ISNUMBER(L724)),N(L724)&lt;0))),"Durée invalide",IF(OR(AND(N724&lt;&gt;"",OR(NOT(ISNUMBER(N724)),N(N724)&lt;0)),AND(P724&lt;&gt;"",OR(NOT(ISNUMBER(P724)),N(P724)&lt;0))),"Coût invalide",IF(AND(M724&lt;&gt;"",ISNA(MATCH(M724,tech_name,0))),"Technicien inconnu",IF(AND(I724="Terminée",S724&gt;p_today),"Terminée à une date future",IF(AND(I724="Terminée",V724=0),"Durée d'intervention manquante",IF(AND(I724="Terminée",E724="Préventif",T724=0,OR(IFERROR(INDEX(pl_trig,MATCH(F724,pl_num,0))&amp;"","")="Compteur",IFERROR(INDEX(pl_trig,MATCH(F724,pl_num,0))&amp;"","")="Au premier des deux")),"Compteur manquant (plan au compteur)","OK"))))))))))))))))))</f>
        <v/>
      </c>
      <c r="S724" s="67">
        <f>IF(AND(ISNUMBER(B724),N(B724)&gt;0),INT(B724),0)</f>
        <v>0.0</v>
      </c>
      <c r="T724" s="67">
        <f>IF(AND(ISNUMBER(J724),N(J724)&gt;=0),N(J724),0)</f>
        <v>0.0</v>
      </c>
      <c r="U724" s="67">
        <f>IF(AND(ISNUMBER(K724),N(K724)&gt;0),N(K724),0)</f>
        <v>0.0</v>
      </c>
      <c r="V724" s="67">
        <f>IF(AND(ISNUMBER(L724),N(L724)&gt;0),N(L724),0)</f>
        <v>0.0</v>
      </c>
      <c r="W724" s="67">
        <f>IF(AND(I724="Terminée",S724&gt;0,C724&lt;&gt;"",ISNUMBER(MATCH(C724,eq_code,0))),1,0)</f>
        <v>0.0</v>
      </c>
      <c r="X724" s="67">
        <f>IF(AND(W724=1,E724="Préventif"),1,0)</f>
        <v>0.0</v>
      </c>
      <c r="Y724" s="67">
        <f>IF(AND(ISNUMBER(N724),N(N724)&gt;0),N(N724),0)</f>
        <v>0.0</v>
      </c>
      <c r="Z724" s="67">
        <f>IF(AND(ISNUMBER(P724),N(P724)&gt;0),N(P724),0)</f>
        <v>0.0</v>
      </c>
    </row>
    <row r="725">
      <c r="A725" s="79" t="str">
        <f>IF(COUNTA(B725:C725,E725:G725,I725)=0,"","BI-"&amp;RIGHT("0000"&amp;(ROW()-5),4))</f>
        <v/>
      </c>
      <c r="B725" s="72" t="n"/>
      <c r="C725" s="66" t="n"/>
      <c r="D725" s="67" t="str">
        <f>IF(C725="","",IFERROR(INDEX(eq_des,MATCH(C725,eq_code,0))&amp;"","Équipement inconnu"))</f>
        <v/>
      </c>
      <c r="E725" s="68" t="n"/>
      <c r="F725" s="68" t="n"/>
      <c r="G725" s="66" t="n"/>
      <c r="H725" s="66" t="n"/>
      <c r="I725" s="68" t="n"/>
      <c r="J725" s="73" t="n"/>
      <c r="K725" s="71" t="n"/>
      <c r="L725" s="71" t="n"/>
      <c r="M725" s="66" t="n"/>
      <c r="N725" s="80" t="n"/>
      <c r="O725" s="81" t="str">
        <f>IF(A725="","",ROUND(V725*IFERROR(N(INDEX(tech_rate,MATCH(M725,tech_name,0))),0),2))</f>
        <v/>
      </c>
      <c r="P725" s="80" t="n"/>
      <c r="Q725" s="81" t="str">
        <f>IF(A725="","",ROUND(Y725+O725+Z725,2))</f>
        <v/>
      </c>
      <c r="R725" s="79" t="str">
        <f>IF(A725="","",IF(S725=0,"Date manquante ou invalide",IF(C725="","Équipement manquant",IF(ISNA(MATCH(C725,eq_code,0)),"Équipement inconnu",IF(E725="","Type manquant",IF(AND(E725&lt;&gt;"Préventif",E725&lt;&gt;"Correctif",E725&lt;&gt;"Amélioratif"),"Type inconnu",IF(I725="","Statut manquant",IF(AND(I725&lt;&gt;"Terminée",I725&lt;&gt;"En cours",I725&lt;&gt;"À faire",I725&lt;&gt;"Annulée"),"Statut inconnu",IF(AND(E725="Préventif",F725=""),"Plan manquant (préventif)",IF(AND(F725&lt;&gt;"",ISNA(MATCH(F725,pl_num,0))),"Plan inconnu",IF(AND(F725&lt;&gt;"",IFERROR(INDEX(pl_eq,MATCH(F725,pl_num,0))&amp;"",C725)&lt;&gt;C725),"Plan d'un autre équipement",IF(AND(J725&lt;&gt;"",OR(NOT(ISNUMBER(J725)),N(J725)&lt;0)),"Compteur invalide",IF(OR(AND(K725&lt;&gt;"",OR(NOT(ISNUMBER(K725)),N(K725)&lt;0)),AND(L725&lt;&gt;"",OR(NOT(ISNUMBER(L725)),N(L725)&lt;0))),"Durée invalide",IF(OR(AND(N725&lt;&gt;"",OR(NOT(ISNUMBER(N725)),N(N725)&lt;0)),AND(P725&lt;&gt;"",OR(NOT(ISNUMBER(P725)),N(P725)&lt;0))),"Coût invalide",IF(AND(M725&lt;&gt;"",ISNA(MATCH(M725,tech_name,0))),"Technicien inconnu",IF(AND(I725="Terminée",S725&gt;p_today),"Terminée à une date future",IF(AND(I725="Terminée",V725=0),"Durée d'intervention manquante",IF(AND(I725="Terminée",E725="Préventif",T725=0,OR(IFERROR(INDEX(pl_trig,MATCH(F725,pl_num,0))&amp;"","")="Compteur",IFERROR(INDEX(pl_trig,MATCH(F725,pl_num,0))&amp;"","")="Au premier des deux")),"Compteur manquant (plan au compteur)","OK"))))))))))))))))))</f>
        <v/>
      </c>
      <c r="S725" s="67">
        <f>IF(AND(ISNUMBER(B725),N(B725)&gt;0),INT(B725),0)</f>
        <v>0.0</v>
      </c>
      <c r="T725" s="67">
        <f>IF(AND(ISNUMBER(J725),N(J725)&gt;=0),N(J725),0)</f>
        <v>0.0</v>
      </c>
      <c r="U725" s="67">
        <f>IF(AND(ISNUMBER(K725),N(K725)&gt;0),N(K725),0)</f>
        <v>0.0</v>
      </c>
      <c r="V725" s="67">
        <f>IF(AND(ISNUMBER(L725),N(L725)&gt;0),N(L725),0)</f>
        <v>0.0</v>
      </c>
      <c r="W725" s="67">
        <f>IF(AND(I725="Terminée",S725&gt;0,C725&lt;&gt;"",ISNUMBER(MATCH(C725,eq_code,0))),1,0)</f>
        <v>0.0</v>
      </c>
      <c r="X725" s="67">
        <f>IF(AND(W725=1,E725="Préventif"),1,0)</f>
        <v>0.0</v>
      </c>
      <c r="Y725" s="67">
        <f>IF(AND(ISNUMBER(N725),N(N725)&gt;0),N(N725),0)</f>
        <v>0.0</v>
      </c>
      <c r="Z725" s="67">
        <f>IF(AND(ISNUMBER(P725),N(P725)&gt;0),N(P725),0)</f>
        <v>0.0</v>
      </c>
    </row>
    <row r="726">
      <c r="A726" s="79" t="str">
        <f>IF(COUNTA(B726:C726,E726:G726,I726)=0,"","BI-"&amp;RIGHT("0000"&amp;(ROW()-5),4))</f>
        <v/>
      </c>
      <c r="B726" s="72" t="n"/>
      <c r="C726" s="66" t="n"/>
      <c r="D726" s="67" t="str">
        <f>IF(C726="","",IFERROR(INDEX(eq_des,MATCH(C726,eq_code,0))&amp;"","Équipement inconnu"))</f>
        <v/>
      </c>
      <c r="E726" s="68" t="n"/>
      <c r="F726" s="68" t="n"/>
      <c r="G726" s="66" t="n"/>
      <c r="H726" s="66" t="n"/>
      <c r="I726" s="68" t="n"/>
      <c r="J726" s="73" t="n"/>
      <c r="K726" s="71" t="n"/>
      <c r="L726" s="71" t="n"/>
      <c r="M726" s="66" t="n"/>
      <c r="N726" s="80" t="n"/>
      <c r="O726" s="81" t="str">
        <f>IF(A726="","",ROUND(V726*IFERROR(N(INDEX(tech_rate,MATCH(M726,tech_name,0))),0),2))</f>
        <v/>
      </c>
      <c r="P726" s="80" t="n"/>
      <c r="Q726" s="81" t="str">
        <f>IF(A726="","",ROUND(Y726+O726+Z726,2))</f>
        <v/>
      </c>
      <c r="R726" s="79" t="str">
        <f>IF(A726="","",IF(S726=0,"Date manquante ou invalide",IF(C726="","Équipement manquant",IF(ISNA(MATCH(C726,eq_code,0)),"Équipement inconnu",IF(E726="","Type manquant",IF(AND(E726&lt;&gt;"Préventif",E726&lt;&gt;"Correctif",E726&lt;&gt;"Amélioratif"),"Type inconnu",IF(I726="","Statut manquant",IF(AND(I726&lt;&gt;"Terminée",I726&lt;&gt;"En cours",I726&lt;&gt;"À faire",I726&lt;&gt;"Annulée"),"Statut inconnu",IF(AND(E726="Préventif",F726=""),"Plan manquant (préventif)",IF(AND(F726&lt;&gt;"",ISNA(MATCH(F726,pl_num,0))),"Plan inconnu",IF(AND(F726&lt;&gt;"",IFERROR(INDEX(pl_eq,MATCH(F726,pl_num,0))&amp;"",C726)&lt;&gt;C726),"Plan d'un autre équipement",IF(AND(J726&lt;&gt;"",OR(NOT(ISNUMBER(J726)),N(J726)&lt;0)),"Compteur invalide",IF(OR(AND(K726&lt;&gt;"",OR(NOT(ISNUMBER(K726)),N(K726)&lt;0)),AND(L726&lt;&gt;"",OR(NOT(ISNUMBER(L726)),N(L726)&lt;0))),"Durée invalide",IF(OR(AND(N726&lt;&gt;"",OR(NOT(ISNUMBER(N726)),N(N726)&lt;0)),AND(P726&lt;&gt;"",OR(NOT(ISNUMBER(P726)),N(P726)&lt;0))),"Coût invalide",IF(AND(M726&lt;&gt;"",ISNA(MATCH(M726,tech_name,0))),"Technicien inconnu",IF(AND(I726="Terminée",S726&gt;p_today),"Terminée à une date future",IF(AND(I726="Terminée",V726=0),"Durée d'intervention manquante",IF(AND(I726="Terminée",E726="Préventif",T726=0,OR(IFERROR(INDEX(pl_trig,MATCH(F726,pl_num,0))&amp;"","")="Compteur",IFERROR(INDEX(pl_trig,MATCH(F726,pl_num,0))&amp;"","")="Au premier des deux")),"Compteur manquant (plan au compteur)","OK"))))))))))))))))))</f>
        <v/>
      </c>
      <c r="S726" s="67">
        <f>IF(AND(ISNUMBER(B726),N(B726)&gt;0),INT(B726),0)</f>
        <v>0.0</v>
      </c>
      <c r="T726" s="67">
        <f>IF(AND(ISNUMBER(J726),N(J726)&gt;=0),N(J726),0)</f>
        <v>0.0</v>
      </c>
      <c r="U726" s="67">
        <f>IF(AND(ISNUMBER(K726),N(K726)&gt;0),N(K726),0)</f>
        <v>0.0</v>
      </c>
      <c r="V726" s="67">
        <f>IF(AND(ISNUMBER(L726),N(L726)&gt;0),N(L726),0)</f>
        <v>0.0</v>
      </c>
      <c r="W726" s="67">
        <f>IF(AND(I726="Terminée",S726&gt;0,C726&lt;&gt;"",ISNUMBER(MATCH(C726,eq_code,0))),1,0)</f>
        <v>0.0</v>
      </c>
      <c r="X726" s="67">
        <f>IF(AND(W726=1,E726="Préventif"),1,0)</f>
        <v>0.0</v>
      </c>
      <c r="Y726" s="67">
        <f>IF(AND(ISNUMBER(N726),N(N726)&gt;0),N(N726),0)</f>
        <v>0.0</v>
      </c>
      <c r="Z726" s="67">
        <f>IF(AND(ISNUMBER(P726),N(P726)&gt;0),N(P726),0)</f>
        <v>0.0</v>
      </c>
    </row>
    <row r="727">
      <c r="A727" s="79" t="str">
        <f>IF(COUNTA(B727:C727,E727:G727,I727)=0,"","BI-"&amp;RIGHT("0000"&amp;(ROW()-5),4))</f>
        <v/>
      </c>
      <c r="B727" s="72" t="n"/>
      <c r="C727" s="66" t="n"/>
      <c r="D727" s="67" t="str">
        <f>IF(C727="","",IFERROR(INDEX(eq_des,MATCH(C727,eq_code,0))&amp;"","Équipement inconnu"))</f>
        <v/>
      </c>
      <c r="E727" s="68" t="n"/>
      <c r="F727" s="68" t="n"/>
      <c r="G727" s="66" t="n"/>
      <c r="H727" s="66" t="n"/>
      <c r="I727" s="68" t="n"/>
      <c r="J727" s="73" t="n"/>
      <c r="K727" s="71" t="n"/>
      <c r="L727" s="71" t="n"/>
      <c r="M727" s="66" t="n"/>
      <c r="N727" s="80" t="n"/>
      <c r="O727" s="81" t="str">
        <f>IF(A727="","",ROUND(V727*IFERROR(N(INDEX(tech_rate,MATCH(M727,tech_name,0))),0),2))</f>
        <v/>
      </c>
      <c r="P727" s="80" t="n"/>
      <c r="Q727" s="81" t="str">
        <f>IF(A727="","",ROUND(Y727+O727+Z727,2))</f>
        <v/>
      </c>
      <c r="R727" s="79" t="str">
        <f>IF(A727="","",IF(S727=0,"Date manquante ou invalide",IF(C727="","Équipement manquant",IF(ISNA(MATCH(C727,eq_code,0)),"Équipement inconnu",IF(E727="","Type manquant",IF(AND(E727&lt;&gt;"Préventif",E727&lt;&gt;"Correctif",E727&lt;&gt;"Amélioratif"),"Type inconnu",IF(I727="","Statut manquant",IF(AND(I727&lt;&gt;"Terminée",I727&lt;&gt;"En cours",I727&lt;&gt;"À faire",I727&lt;&gt;"Annulée"),"Statut inconnu",IF(AND(E727="Préventif",F727=""),"Plan manquant (préventif)",IF(AND(F727&lt;&gt;"",ISNA(MATCH(F727,pl_num,0))),"Plan inconnu",IF(AND(F727&lt;&gt;"",IFERROR(INDEX(pl_eq,MATCH(F727,pl_num,0))&amp;"",C727)&lt;&gt;C727),"Plan d'un autre équipement",IF(AND(J727&lt;&gt;"",OR(NOT(ISNUMBER(J727)),N(J727)&lt;0)),"Compteur invalide",IF(OR(AND(K727&lt;&gt;"",OR(NOT(ISNUMBER(K727)),N(K727)&lt;0)),AND(L727&lt;&gt;"",OR(NOT(ISNUMBER(L727)),N(L727)&lt;0))),"Durée invalide",IF(OR(AND(N727&lt;&gt;"",OR(NOT(ISNUMBER(N727)),N(N727)&lt;0)),AND(P727&lt;&gt;"",OR(NOT(ISNUMBER(P727)),N(P727)&lt;0))),"Coût invalide",IF(AND(M727&lt;&gt;"",ISNA(MATCH(M727,tech_name,0))),"Technicien inconnu",IF(AND(I727="Terminée",S727&gt;p_today),"Terminée à une date future",IF(AND(I727="Terminée",V727=0),"Durée d'intervention manquante",IF(AND(I727="Terminée",E727="Préventif",T727=0,OR(IFERROR(INDEX(pl_trig,MATCH(F727,pl_num,0))&amp;"","")="Compteur",IFERROR(INDEX(pl_trig,MATCH(F727,pl_num,0))&amp;"","")="Au premier des deux")),"Compteur manquant (plan au compteur)","OK"))))))))))))))))))</f>
        <v/>
      </c>
      <c r="S727" s="67">
        <f>IF(AND(ISNUMBER(B727),N(B727)&gt;0),INT(B727),0)</f>
        <v>0.0</v>
      </c>
      <c r="T727" s="67">
        <f>IF(AND(ISNUMBER(J727),N(J727)&gt;=0),N(J727),0)</f>
        <v>0.0</v>
      </c>
      <c r="U727" s="67">
        <f>IF(AND(ISNUMBER(K727),N(K727)&gt;0),N(K727),0)</f>
        <v>0.0</v>
      </c>
      <c r="V727" s="67">
        <f>IF(AND(ISNUMBER(L727),N(L727)&gt;0),N(L727),0)</f>
        <v>0.0</v>
      </c>
      <c r="W727" s="67">
        <f>IF(AND(I727="Terminée",S727&gt;0,C727&lt;&gt;"",ISNUMBER(MATCH(C727,eq_code,0))),1,0)</f>
        <v>0.0</v>
      </c>
      <c r="X727" s="67">
        <f>IF(AND(W727=1,E727="Préventif"),1,0)</f>
        <v>0.0</v>
      </c>
      <c r="Y727" s="67">
        <f>IF(AND(ISNUMBER(N727),N(N727)&gt;0),N(N727),0)</f>
        <v>0.0</v>
      </c>
      <c r="Z727" s="67">
        <f>IF(AND(ISNUMBER(P727),N(P727)&gt;0),N(P727),0)</f>
        <v>0.0</v>
      </c>
    </row>
    <row r="728">
      <c r="A728" s="79" t="str">
        <f>IF(COUNTA(B728:C728,E728:G728,I728)=0,"","BI-"&amp;RIGHT("0000"&amp;(ROW()-5),4))</f>
        <v/>
      </c>
      <c r="B728" s="72" t="n"/>
      <c r="C728" s="66" t="n"/>
      <c r="D728" s="67" t="str">
        <f>IF(C728="","",IFERROR(INDEX(eq_des,MATCH(C728,eq_code,0))&amp;"","Équipement inconnu"))</f>
        <v/>
      </c>
      <c r="E728" s="68" t="n"/>
      <c r="F728" s="68" t="n"/>
      <c r="G728" s="66" t="n"/>
      <c r="H728" s="66" t="n"/>
      <c r="I728" s="68" t="n"/>
      <c r="J728" s="73" t="n"/>
      <c r="K728" s="71" t="n"/>
      <c r="L728" s="71" t="n"/>
      <c r="M728" s="66" t="n"/>
      <c r="N728" s="80" t="n"/>
      <c r="O728" s="81" t="str">
        <f>IF(A728="","",ROUND(V728*IFERROR(N(INDEX(tech_rate,MATCH(M728,tech_name,0))),0),2))</f>
        <v/>
      </c>
      <c r="P728" s="80" t="n"/>
      <c r="Q728" s="81" t="str">
        <f>IF(A728="","",ROUND(Y728+O728+Z728,2))</f>
        <v/>
      </c>
      <c r="R728" s="79" t="str">
        <f>IF(A728="","",IF(S728=0,"Date manquante ou invalide",IF(C728="","Équipement manquant",IF(ISNA(MATCH(C728,eq_code,0)),"Équipement inconnu",IF(E728="","Type manquant",IF(AND(E728&lt;&gt;"Préventif",E728&lt;&gt;"Correctif",E728&lt;&gt;"Amélioratif"),"Type inconnu",IF(I728="","Statut manquant",IF(AND(I728&lt;&gt;"Terminée",I728&lt;&gt;"En cours",I728&lt;&gt;"À faire",I728&lt;&gt;"Annulée"),"Statut inconnu",IF(AND(E728="Préventif",F728=""),"Plan manquant (préventif)",IF(AND(F728&lt;&gt;"",ISNA(MATCH(F728,pl_num,0))),"Plan inconnu",IF(AND(F728&lt;&gt;"",IFERROR(INDEX(pl_eq,MATCH(F728,pl_num,0))&amp;"",C728)&lt;&gt;C728),"Plan d'un autre équipement",IF(AND(J728&lt;&gt;"",OR(NOT(ISNUMBER(J728)),N(J728)&lt;0)),"Compteur invalide",IF(OR(AND(K728&lt;&gt;"",OR(NOT(ISNUMBER(K728)),N(K728)&lt;0)),AND(L728&lt;&gt;"",OR(NOT(ISNUMBER(L728)),N(L728)&lt;0))),"Durée invalide",IF(OR(AND(N728&lt;&gt;"",OR(NOT(ISNUMBER(N728)),N(N728)&lt;0)),AND(P728&lt;&gt;"",OR(NOT(ISNUMBER(P728)),N(P728)&lt;0))),"Coût invalide",IF(AND(M728&lt;&gt;"",ISNA(MATCH(M728,tech_name,0))),"Technicien inconnu",IF(AND(I728="Terminée",S728&gt;p_today),"Terminée à une date future",IF(AND(I728="Terminée",V728=0),"Durée d'intervention manquante",IF(AND(I728="Terminée",E728="Préventif",T728=0,OR(IFERROR(INDEX(pl_trig,MATCH(F728,pl_num,0))&amp;"","")="Compteur",IFERROR(INDEX(pl_trig,MATCH(F728,pl_num,0))&amp;"","")="Au premier des deux")),"Compteur manquant (plan au compteur)","OK"))))))))))))))))))</f>
        <v/>
      </c>
      <c r="S728" s="67">
        <f>IF(AND(ISNUMBER(B728),N(B728)&gt;0),INT(B728),0)</f>
        <v>0.0</v>
      </c>
      <c r="T728" s="67">
        <f>IF(AND(ISNUMBER(J728),N(J728)&gt;=0),N(J728),0)</f>
        <v>0.0</v>
      </c>
      <c r="U728" s="67">
        <f>IF(AND(ISNUMBER(K728),N(K728)&gt;0),N(K728),0)</f>
        <v>0.0</v>
      </c>
      <c r="V728" s="67">
        <f>IF(AND(ISNUMBER(L728),N(L728)&gt;0),N(L728),0)</f>
        <v>0.0</v>
      </c>
      <c r="W728" s="67">
        <f>IF(AND(I728="Terminée",S728&gt;0,C728&lt;&gt;"",ISNUMBER(MATCH(C728,eq_code,0))),1,0)</f>
        <v>0.0</v>
      </c>
      <c r="X728" s="67">
        <f>IF(AND(W728=1,E728="Préventif"),1,0)</f>
        <v>0.0</v>
      </c>
      <c r="Y728" s="67">
        <f>IF(AND(ISNUMBER(N728),N(N728)&gt;0),N(N728),0)</f>
        <v>0.0</v>
      </c>
      <c r="Z728" s="67">
        <f>IF(AND(ISNUMBER(P728),N(P728)&gt;0),N(P728),0)</f>
        <v>0.0</v>
      </c>
    </row>
    <row r="729">
      <c r="A729" s="79" t="str">
        <f>IF(COUNTA(B729:C729,E729:G729,I729)=0,"","BI-"&amp;RIGHT("0000"&amp;(ROW()-5),4))</f>
        <v/>
      </c>
      <c r="B729" s="72" t="n"/>
      <c r="C729" s="66" t="n"/>
      <c r="D729" s="67" t="str">
        <f>IF(C729="","",IFERROR(INDEX(eq_des,MATCH(C729,eq_code,0))&amp;"","Équipement inconnu"))</f>
        <v/>
      </c>
      <c r="E729" s="68" t="n"/>
      <c r="F729" s="68" t="n"/>
      <c r="G729" s="66" t="n"/>
      <c r="H729" s="66" t="n"/>
      <c r="I729" s="68" t="n"/>
      <c r="J729" s="73" t="n"/>
      <c r="K729" s="71" t="n"/>
      <c r="L729" s="71" t="n"/>
      <c r="M729" s="66" t="n"/>
      <c r="N729" s="80" t="n"/>
      <c r="O729" s="81" t="str">
        <f>IF(A729="","",ROUND(V729*IFERROR(N(INDEX(tech_rate,MATCH(M729,tech_name,0))),0),2))</f>
        <v/>
      </c>
      <c r="P729" s="80" t="n"/>
      <c r="Q729" s="81" t="str">
        <f>IF(A729="","",ROUND(Y729+O729+Z729,2))</f>
        <v/>
      </c>
      <c r="R729" s="79" t="str">
        <f>IF(A729="","",IF(S729=0,"Date manquante ou invalide",IF(C729="","Équipement manquant",IF(ISNA(MATCH(C729,eq_code,0)),"Équipement inconnu",IF(E729="","Type manquant",IF(AND(E729&lt;&gt;"Préventif",E729&lt;&gt;"Correctif",E729&lt;&gt;"Amélioratif"),"Type inconnu",IF(I729="","Statut manquant",IF(AND(I729&lt;&gt;"Terminée",I729&lt;&gt;"En cours",I729&lt;&gt;"À faire",I729&lt;&gt;"Annulée"),"Statut inconnu",IF(AND(E729="Préventif",F729=""),"Plan manquant (préventif)",IF(AND(F729&lt;&gt;"",ISNA(MATCH(F729,pl_num,0))),"Plan inconnu",IF(AND(F729&lt;&gt;"",IFERROR(INDEX(pl_eq,MATCH(F729,pl_num,0))&amp;"",C729)&lt;&gt;C729),"Plan d'un autre équipement",IF(AND(J729&lt;&gt;"",OR(NOT(ISNUMBER(J729)),N(J729)&lt;0)),"Compteur invalide",IF(OR(AND(K729&lt;&gt;"",OR(NOT(ISNUMBER(K729)),N(K729)&lt;0)),AND(L729&lt;&gt;"",OR(NOT(ISNUMBER(L729)),N(L729)&lt;0))),"Durée invalide",IF(OR(AND(N729&lt;&gt;"",OR(NOT(ISNUMBER(N729)),N(N729)&lt;0)),AND(P729&lt;&gt;"",OR(NOT(ISNUMBER(P729)),N(P729)&lt;0))),"Coût invalide",IF(AND(M729&lt;&gt;"",ISNA(MATCH(M729,tech_name,0))),"Technicien inconnu",IF(AND(I729="Terminée",S729&gt;p_today),"Terminée à une date future",IF(AND(I729="Terminée",V729=0),"Durée d'intervention manquante",IF(AND(I729="Terminée",E729="Préventif",T729=0,OR(IFERROR(INDEX(pl_trig,MATCH(F729,pl_num,0))&amp;"","")="Compteur",IFERROR(INDEX(pl_trig,MATCH(F729,pl_num,0))&amp;"","")="Au premier des deux")),"Compteur manquant (plan au compteur)","OK"))))))))))))))))))</f>
        <v/>
      </c>
      <c r="S729" s="67">
        <f>IF(AND(ISNUMBER(B729),N(B729)&gt;0),INT(B729),0)</f>
        <v>0.0</v>
      </c>
      <c r="T729" s="67">
        <f>IF(AND(ISNUMBER(J729),N(J729)&gt;=0),N(J729),0)</f>
        <v>0.0</v>
      </c>
      <c r="U729" s="67">
        <f>IF(AND(ISNUMBER(K729),N(K729)&gt;0),N(K729),0)</f>
        <v>0.0</v>
      </c>
      <c r="V729" s="67">
        <f>IF(AND(ISNUMBER(L729),N(L729)&gt;0),N(L729),0)</f>
        <v>0.0</v>
      </c>
      <c r="W729" s="67">
        <f>IF(AND(I729="Terminée",S729&gt;0,C729&lt;&gt;"",ISNUMBER(MATCH(C729,eq_code,0))),1,0)</f>
        <v>0.0</v>
      </c>
      <c r="X729" s="67">
        <f>IF(AND(W729=1,E729="Préventif"),1,0)</f>
        <v>0.0</v>
      </c>
      <c r="Y729" s="67">
        <f>IF(AND(ISNUMBER(N729),N(N729)&gt;0),N(N729),0)</f>
        <v>0.0</v>
      </c>
      <c r="Z729" s="67">
        <f>IF(AND(ISNUMBER(P729),N(P729)&gt;0),N(P729),0)</f>
        <v>0.0</v>
      </c>
    </row>
    <row r="730">
      <c r="A730" s="79" t="str">
        <f>IF(COUNTA(B730:C730,E730:G730,I730)=0,"","BI-"&amp;RIGHT("0000"&amp;(ROW()-5),4))</f>
        <v/>
      </c>
      <c r="B730" s="72" t="n"/>
      <c r="C730" s="66" t="n"/>
      <c r="D730" s="67" t="str">
        <f>IF(C730="","",IFERROR(INDEX(eq_des,MATCH(C730,eq_code,0))&amp;"","Équipement inconnu"))</f>
        <v/>
      </c>
      <c r="E730" s="68" t="n"/>
      <c r="F730" s="68" t="n"/>
      <c r="G730" s="66" t="n"/>
      <c r="H730" s="66" t="n"/>
      <c r="I730" s="68" t="n"/>
      <c r="J730" s="73" t="n"/>
      <c r="K730" s="71" t="n"/>
      <c r="L730" s="71" t="n"/>
      <c r="M730" s="66" t="n"/>
      <c r="N730" s="80" t="n"/>
      <c r="O730" s="81" t="str">
        <f>IF(A730="","",ROUND(V730*IFERROR(N(INDEX(tech_rate,MATCH(M730,tech_name,0))),0),2))</f>
        <v/>
      </c>
      <c r="P730" s="80" t="n"/>
      <c r="Q730" s="81" t="str">
        <f>IF(A730="","",ROUND(Y730+O730+Z730,2))</f>
        <v/>
      </c>
      <c r="R730" s="79" t="str">
        <f>IF(A730="","",IF(S730=0,"Date manquante ou invalide",IF(C730="","Équipement manquant",IF(ISNA(MATCH(C730,eq_code,0)),"Équipement inconnu",IF(E730="","Type manquant",IF(AND(E730&lt;&gt;"Préventif",E730&lt;&gt;"Correctif",E730&lt;&gt;"Amélioratif"),"Type inconnu",IF(I730="","Statut manquant",IF(AND(I730&lt;&gt;"Terminée",I730&lt;&gt;"En cours",I730&lt;&gt;"À faire",I730&lt;&gt;"Annulée"),"Statut inconnu",IF(AND(E730="Préventif",F730=""),"Plan manquant (préventif)",IF(AND(F730&lt;&gt;"",ISNA(MATCH(F730,pl_num,0))),"Plan inconnu",IF(AND(F730&lt;&gt;"",IFERROR(INDEX(pl_eq,MATCH(F730,pl_num,0))&amp;"",C730)&lt;&gt;C730),"Plan d'un autre équipement",IF(AND(J730&lt;&gt;"",OR(NOT(ISNUMBER(J730)),N(J730)&lt;0)),"Compteur invalide",IF(OR(AND(K730&lt;&gt;"",OR(NOT(ISNUMBER(K730)),N(K730)&lt;0)),AND(L730&lt;&gt;"",OR(NOT(ISNUMBER(L730)),N(L730)&lt;0))),"Durée invalide",IF(OR(AND(N730&lt;&gt;"",OR(NOT(ISNUMBER(N730)),N(N730)&lt;0)),AND(P730&lt;&gt;"",OR(NOT(ISNUMBER(P730)),N(P730)&lt;0))),"Coût invalide",IF(AND(M730&lt;&gt;"",ISNA(MATCH(M730,tech_name,0))),"Technicien inconnu",IF(AND(I730="Terminée",S730&gt;p_today),"Terminée à une date future",IF(AND(I730="Terminée",V730=0),"Durée d'intervention manquante",IF(AND(I730="Terminée",E730="Préventif",T730=0,OR(IFERROR(INDEX(pl_trig,MATCH(F730,pl_num,0))&amp;"","")="Compteur",IFERROR(INDEX(pl_trig,MATCH(F730,pl_num,0))&amp;"","")="Au premier des deux")),"Compteur manquant (plan au compteur)","OK"))))))))))))))))))</f>
        <v/>
      </c>
      <c r="S730" s="67">
        <f>IF(AND(ISNUMBER(B730),N(B730)&gt;0),INT(B730),0)</f>
        <v>0.0</v>
      </c>
      <c r="T730" s="67">
        <f>IF(AND(ISNUMBER(J730),N(J730)&gt;=0),N(J730),0)</f>
        <v>0.0</v>
      </c>
      <c r="U730" s="67">
        <f>IF(AND(ISNUMBER(K730),N(K730)&gt;0),N(K730),0)</f>
        <v>0.0</v>
      </c>
      <c r="V730" s="67">
        <f>IF(AND(ISNUMBER(L730),N(L730)&gt;0),N(L730),0)</f>
        <v>0.0</v>
      </c>
      <c r="W730" s="67">
        <f>IF(AND(I730="Terminée",S730&gt;0,C730&lt;&gt;"",ISNUMBER(MATCH(C730,eq_code,0))),1,0)</f>
        <v>0.0</v>
      </c>
      <c r="X730" s="67">
        <f>IF(AND(W730=1,E730="Préventif"),1,0)</f>
        <v>0.0</v>
      </c>
      <c r="Y730" s="67">
        <f>IF(AND(ISNUMBER(N730),N(N730)&gt;0),N(N730),0)</f>
        <v>0.0</v>
      </c>
      <c r="Z730" s="67">
        <f>IF(AND(ISNUMBER(P730),N(P730)&gt;0),N(P730),0)</f>
        <v>0.0</v>
      </c>
    </row>
    <row r="731">
      <c r="A731" s="79" t="str">
        <f>IF(COUNTA(B731:C731,E731:G731,I731)=0,"","BI-"&amp;RIGHT("0000"&amp;(ROW()-5),4))</f>
        <v/>
      </c>
      <c r="B731" s="72" t="n"/>
      <c r="C731" s="66" t="n"/>
      <c r="D731" s="67" t="str">
        <f>IF(C731="","",IFERROR(INDEX(eq_des,MATCH(C731,eq_code,0))&amp;"","Équipement inconnu"))</f>
        <v/>
      </c>
      <c r="E731" s="68" t="n"/>
      <c r="F731" s="68" t="n"/>
      <c r="G731" s="66" t="n"/>
      <c r="H731" s="66" t="n"/>
      <c r="I731" s="68" t="n"/>
      <c r="J731" s="73" t="n"/>
      <c r="K731" s="71" t="n"/>
      <c r="L731" s="71" t="n"/>
      <c r="M731" s="66" t="n"/>
      <c r="N731" s="80" t="n"/>
      <c r="O731" s="81" t="str">
        <f>IF(A731="","",ROUND(V731*IFERROR(N(INDEX(tech_rate,MATCH(M731,tech_name,0))),0),2))</f>
        <v/>
      </c>
      <c r="P731" s="80" t="n"/>
      <c r="Q731" s="81" t="str">
        <f>IF(A731="","",ROUND(Y731+O731+Z731,2))</f>
        <v/>
      </c>
      <c r="R731" s="79" t="str">
        <f>IF(A731="","",IF(S731=0,"Date manquante ou invalide",IF(C731="","Équipement manquant",IF(ISNA(MATCH(C731,eq_code,0)),"Équipement inconnu",IF(E731="","Type manquant",IF(AND(E731&lt;&gt;"Préventif",E731&lt;&gt;"Correctif",E731&lt;&gt;"Amélioratif"),"Type inconnu",IF(I731="","Statut manquant",IF(AND(I731&lt;&gt;"Terminée",I731&lt;&gt;"En cours",I731&lt;&gt;"À faire",I731&lt;&gt;"Annulée"),"Statut inconnu",IF(AND(E731="Préventif",F731=""),"Plan manquant (préventif)",IF(AND(F731&lt;&gt;"",ISNA(MATCH(F731,pl_num,0))),"Plan inconnu",IF(AND(F731&lt;&gt;"",IFERROR(INDEX(pl_eq,MATCH(F731,pl_num,0))&amp;"",C731)&lt;&gt;C731),"Plan d'un autre équipement",IF(AND(J731&lt;&gt;"",OR(NOT(ISNUMBER(J731)),N(J731)&lt;0)),"Compteur invalide",IF(OR(AND(K731&lt;&gt;"",OR(NOT(ISNUMBER(K731)),N(K731)&lt;0)),AND(L731&lt;&gt;"",OR(NOT(ISNUMBER(L731)),N(L731)&lt;0))),"Durée invalide",IF(OR(AND(N731&lt;&gt;"",OR(NOT(ISNUMBER(N731)),N(N731)&lt;0)),AND(P731&lt;&gt;"",OR(NOT(ISNUMBER(P731)),N(P731)&lt;0))),"Coût invalide",IF(AND(M731&lt;&gt;"",ISNA(MATCH(M731,tech_name,0))),"Technicien inconnu",IF(AND(I731="Terminée",S731&gt;p_today),"Terminée à une date future",IF(AND(I731="Terminée",V731=0),"Durée d'intervention manquante",IF(AND(I731="Terminée",E731="Préventif",T731=0,OR(IFERROR(INDEX(pl_trig,MATCH(F731,pl_num,0))&amp;"","")="Compteur",IFERROR(INDEX(pl_trig,MATCH(F731,pl_num,0))&amp;"","")="Au premier des deux")),"Compteur manquant (plan au compteur)","OK"))))))))))))))))))</f>
        <v/>
      </c>
      <c r="S731" s="67">
        <f>IF(AND(ISNUMBER(B731),N(B731)&gt;0),INT(B731),0)</f>
        <v>0.0</v>
      </c>
      <c r="T731" s="67">
        <f>IF(AND(ISNUMBER(J731),N(J731)&gt;=0),N(J731),0)</f>
        <v>0.0</v>
      </c>
      <c r="U731" s="67">
        <f>IF(AND(ISNUMBER(K731),N(K731)&gt;0),N(K731),0)</f>
        <v>0.0</v>
      </c>
      <c r="V731" s="67">
        <f>IF(AND(ISNUMBER(L731),N(L731)&gt;0),N(L731),0)</f>
        <v>0.0</v>
      </c>
      <c r="W731" s="67">
        <f>IF(AND(I731="Terminée",S731&gt;0,C731&lt;&gt;"",ISNUMBER(MATCH(C731,eq_code,0))),1,0)</f>
        <v>0.0</v>
      </c>
      <c r="X731" s="67">
        <f>IF(AND(W731=1,E731="Préventif"),1,0)</f>
        <v>0.0</v>
      </c>
      <c r="Y731" s="67">
        <f>IF(AND(ISNUMBER(N731),N(N731)&gt;0),N(N731),0)</f>
        <v>0.0</v>
      </c>
      <c r="Z731" s="67">
        <f>IF(AND(ISNUMBER(P731),N(P731)&gt;0),N(P731),0)</f>
        <v>0.0</v>
      </c>
    </row>
    <row r="732">
      <c r="A732" s="79" t="str">
        <f>IF(COUNTA(B732:C732,E732:G732,I732)=0,"","BI-"&amp;RIGHT("0000"&amp;(ROW()-5),4))</f>
        <v/>
      </c>
      <c r="B732" s="72" t="n"/>
      <c r="C732" s="66" t="n"/>
      <c r="D732" s="67" t="str">
        <f>IF(C732="","",IFERROR(INDEX(eq_des,MATCH(C732,eq_code,0))&amp;"","Équipement inconnu"))</f>
        <v/>
      </c>
      <c r="E732" s="68" t="n"/>
      <c r="F732" s="68" t="n"/>
      <c r="G732" s="66" t="n"/>
      <c r="H732" s="66" t="n"/>
      <c r="I732" s="68" t="n"/>
      <c r="J732" s="73" t="n"/>
      <c r="K732" s="71" t="n"/>
      <c r="L732" s="71" t="n"/>
      <c r="M732" s="66" t="n"/>
      <c r="N732" s="80" t="n"/>
      <c r="O732" s="81" t="str">
        <f>IF(A732="","",ROUND(V732*IFERROR(N(INDEX(tech_rate,MATCH(M732,tech_name,0))),0),2))</f>
        <v/>
      </c>
      <c r="P732" s="80" t="n"/>
      <c r="Q732" s="81" t="str">
        <f>IF(A732="","",ROUND(Y732+O732+Z732,2))</f>
        <v/>
      </c>
      <c r="R732" s="79" t="str">
        <f>IF(A732="","",IF(S732=0,"Date manquante ou invalide",IF(C732="","Équipement manquant",IF(ISNA(MATCH(C732,eq_code,0)),"Équipement inconnu",IF(E732="","Type manquant",IF(AND(E732&lt;&gt;"Préventif",E732&lt;&gt;"Correctif",E732&lt;&gt;"Amélioratif"),"Type inconnu",IF(I732="","Statut manquant",IF(AND(I732&lt;&gt;"Terminée",I732&lt;&gt;"En cours",I732&lt;&gt;"À faire",I732&lt;&gt;"Annulée"),"Statut inconnu",IF(AND(E732="Préventif",F732=""),"Plan manquant (préventif)",IF(AND(F732&lt;&gt;"",ISNA(MATCH(F732,pl_num,0))),"Plan inconnu",IF(AND(F732&lt;&gt;"",IFERROR(INDEX(pl_eq,MATCH(F732,pl_num,0))&amp;"",C732)&lt;&gt;C732),"Plan d'un autre équipement",IF(AND(J732&lt;&gt;"",OR(NOT(ISNUMBER(J732)),N(J732)&lt;0)),"Compteur invalide",IF(OR(AND(K732&lt;&gt;"",OR(NOT(ISNUMBER(K732)),N(K732)&lt;0)),AND(L732&lt;&gt;"",OR(NOT(ISNUMBER(L732)),N(L732)&lt;0))),"Durée invalide",IF(OR(AND(N732&lt;&gt;"",OR(NOT(ISNUMBER(N732)),N(N732)&lt;0)),AND(P732&lt;&gt;"",OR(NOT(ISNUMBER(P732)),N(P732)&lt;0))),"Coût invalide",IF(AND(M732&lt;&gt;"",ISNA(MATCH(M732,tech_name,0))),"Technicien inconnu",IF(AND(I732="Terminée",S732&gt;p_today),"Terminée à une date future",IF(AND(I732="Terminée",V732=0),"Durée d'intervention manquante",IF(AND(I732="Terminée",E732="Préventif",T732=0,OR(IFERROR(INDEX(pl_trig,MATCH(F732,pl_num,0))&amp;"","")="Compteur",IFERROR(INDEX(pl_trig,MATCH(F732,pl_num,0))&amp;"","")="Au premier des deux")),"Compteur manquant (plan au compteur)","OK"))))))))))))))))))</f>
        <v/>
      </c>
      <c r="S732" s="67">
        <f>IF(AND(ISNUMBER(B732),N(B732)&gt;0),INT(B732),0)</f>
        <v>0.0</v>
      </c>
      <c r="T732" s="67">
        <f>IF(AND(ISNUMBER(J732),N(J732)&gt;=0),N(J732),0)</f>
        <v>0.0</v>
      </c>
      <c r="U732" s="67">
        <f>IF(AND(ISNUMBER(K732),N(K732)&gt;0),N(K732),0)</f>
        <v>0.0</v>
      </c>
      <c r="V732" s="67">
        <f>IF(AND(ISNUMBER(L732),N(L732)&gt;0),N(L732),0)</f>
        <v>0.0</v>
      </c>
      <c r="W732" s="67">
        <f>IF(AND(I732="Terminée",S732&gt;0,C732&lt;&gt;"",ISNUMBER(MATCH(C732,eq_code,0))),1,0)</f>
        <v>0.0</v>
      </c>
      <c r="X732" s="67">
        <f>IF(AND(W732=1,E732="Préventif"),1,0)</f>
        <v>0.0</v>
      </c>
      <c r="Y732" s="67">
        <f>IF(AND(ISNUMBER(N732),N(N732)&gt;0),N(N732),0)</f>
        <v>0.0</v>
      </c>
      <c r="Z732" s="67">
        <f>IF(AND(ISNUMBER(P732),N(P732)&gt;0),N(P732),0)</f>
        <v>0.0</v>
      </c>
    </row>
    <row r="733">
      <c r="A733" s="79" t="str">
        <f>IF(COUNTA(B733:C733,E733:G733,I733)=0,"","BI-"&amp;RIGHT("0000"&amp;(ROW()-5),4))</f>
        <v/>
      </c>
      <c r="B733" s="72" t="n"/>
      <c r="C733" s="66" t="n"/>
      <c r="D733" s="67" t="str">
        <f>IF(C733="","",IFERROR(INDEX(eq_des,MATCH(C733,eq_code,0))&amp;"","Équipement inconnu"))</f>
        <v/>
      </c>
      <c r="E733" s="68" t="n"/>
      <c r="F733" s="68" t="n"/>
      <c r="G733" s="66" t="n"/>
      <c r="H733" s="66" t="n"/>
      <c r="I733" s="68" t="n"/>
      <c r="J733" s="73" t="n"/>
      <c r="K733" s="71" t="n"/>
      <c r="L733" s="71" t="n"/>
      <c r="M733" s="66" t="n"/>
      <c r="N733" s="80" t="n"/>
      <c r="O733" s="81" t="str">
        <f>IF(A733="","",ROUND(V733*IFERROR(N(INDEX(tech_rate,MATCH(M733,tech_name,0))),0),2))</f>
        <v/>
      </c>
      <c r="P733" s="80" t="n"/>
      <c r="Q733" s="81" t="str">
        <f>IF(A733="","",ROUND(Y733+O733+Z733,2))</f>
        <v/>
      </c>
      <c r="R733" s="79" t="str">
        <f>IF(A733="","",IF(S733=0,"Date manquante ou invalide",IF(C733="","Équipement manquant",IF(ISNA(MATCH(C733,eq_code,0)),"Équipement inconnu",IF(E733="","Type manquant",IF(AND(E733&lt;&gt;"Préventif",E733&lt;&gt;"Correctif",E733&lt;&gt;"Amélioratif"),"Type inconnu",IF(I733="","Statut manquant",IF(AND(I733&lt;&gt;"Terminée",I733&lt;&gt;"En cours",I733&lt;&gt;"À faire",I733&lt;&gt;"Annulée"),"Statut inconnu",IF(AND(E733="Préventif",F733=""),"Plan manquant (préventif)",IF(AND(F733&lt;&gt;"",ISNA(MATCH(F733,pl_num,0))),"Plan inconnu",IF(AND(F733&lt;&gt;"",IFERROR(INDEX(pl_eq,MATCH(F733,pl_num,0))&amp;"",C733)&lt;&gt;C733),"Plan d'un autre équipement",IF(AND(J733&lt;&gt;"",OR(NOT(ISNUMBER(J733)),N(J733)&lt;0)),"Compteur invalide",IF(OR(AND(K733&lt;&gt;"",OR(NOT(ISNUMBER(K733)),N(K733)&lt;0)),AND(L733&lt;&gt;"",OR(NOT(ISNUMBER(L733)),N(L733)&lt;0))),"Durée invalide",IF(OR(AND(N733&lt;&gt;"",OR(NOT(ISNUMBER(N733)),N(N733)&lt;0)),AND(P733&lt;&gt;"",OR(NOT(ISNUMBER(P733)),N(P733)&lt;0))),"Coût invalide",IF(AND(M733&lt;&gt;"",ISNA(MATCH(M733,tech_name,0))),"Technicien inconnu",IF(AND(I733="Terminée",S733&gt;p_today),"Terminée à une date future",IF(AND(I733="Terminée",V733=0),"Durée d'intervention manquante",IF(AND(I733="Terminée",E733="Préventif",T733=0,OR(IFERROR(INDEX(pl_trig,MATCH(F733,pl_num,0))&amp;"","")="Compteur",IFERROR(INDEX(pl_trig,MATCH(F733,pl_num,0))&amp;"","")="Au premier des deux")),"Compteur manquant (plan au compteur)","OK"))))))))))))))))))</f>
        <v/>
      </c>
      <c r="S733" s="67">
        <f>IF(AND(ISNUMBER(B733),N(B733)&gt;0),INT(B733),0)</f>
        <v>0.0</v>
      </c>
      <c r="T733" s="67">
        <f>IF(AND(ISNUMBER(J733),N(J733)&gt;=0),N(J733),0)</f>
        <v>0.0</v>
      </c>
      <c r="U733" s="67">
        <f>IF(AND(ISNUMBER(K733),N(K733)&gt;0),N(K733),0)</f>
        <v>0.0</v>
      </c>
      <c r="V733" s="67">
        <f>IF(AND(ISNUMBER(L733),N(L733)&gt;0),N(L733),0)</f>
        <v>0.0</v>
      </c>
      <c r="W733" s="67">
        <f>IF(AND(I733="Terminée",S733&gt;0,C733&lt;&gt;"",ISNUMBER(MATCH(C733,eq_code,0))),1,0)</f>
        <v>0.0</v>
      </c>
      <c r="X733" s="67">
        <f>IF(AND(W733=1,E733="Préventif"),1,0)</f>
        <v>0.0</v>
      </c>
      <c r="Y733" s="67">
        <f>IF(AND(ISNUMBER(N733),N(N733)&gt;0),N(N733),0)</f>
        <v>0.0</v>
      </c>
      <c r="Z733" s="67">
        <f>IF(AND(ISNUMBER(P733),N(P733)&gt;0),N(P733),0)</f>
        <v>0.0</v>
      </c>
    </row>
    <row r="734">
      <c r="A734" s="79" t="str">
        <f>IF(COUNTA(B734:C734,E734:G734,I734)=0,"","BI-"&amp;RIGHT("0000"&amp;(ROW()-5),4))</f>
        <v/>
      </c>
      <c r="B734" s="72" t="n"/>
      <c r="C734" s="66" t="n"/>
      <c r="D734" s="67" t="str">
        <f>IF(C734="","",IFERROR(INDEX(eq_des,MATCH(C734,eq_code,0))&amp;"","Équipement inconnu"))</f>
        <v/>
      </c>
      <c r="E734" s="68" t="n"/>
      <c r="F734" s="68" t="n"/>
      <c r="G734" s="66" t="n"/>
      <c r="H734" s="66" t="n"/>
      <c r="I734" s="68" t="n"/>
      <c r="J734" s="73" t="n"/>
      <c r="K734" s="71" t="n"/>
      <c r="L734" s="71" t="n"/>
      <c r="M734" s="66" t="n"/>
      <c r="N734" s="80" t="n"/>
      <c r="O734" s="81" t="str">
        <f>IF(A734="","",ROUND(V734*IFERROR(N(INDEX(tech_rate,MATCH(M734,tech_name,0))),0),2))</f>
        <v/>
      </c>
      <c r="P734" s="80" t="n"/>
      <c r="Q734" s="81" t="str">
        <f>IF(A734="","",ROUND(Y734+O734+Z734,2))</f>
        <v/>
      </c>
      <c r="R734" s="79" t="str">
        <f>IF(A734="","",IF(S734=0,"Date manquante ou invalide",IF(C734="","Équipement manquant",IF(ISNA(MATCH(C734,eq_code,0)),"Équipement inconnu",IF(E734="","Type manquant",IF(AND(E734&lt;&gt;"Préventif",E734&lt;&gt;"Correctif",E734&lt;&gt;"Amélioratif"),"Type inconnu",IF(I734="","Statut manquant",IF(AND(I734&lt;&gt;"Terminée",I734&lt;&gt;"En cours",I734&lt;&gt;"À faire",I734&lt;&gt;"Annulée"),"Statut inconnu",IF(AND(E734="Préventif",F734=""),"Plan manquant (préventif)",IF(AND(F734&lt;&gt;"",ISNA(MATCH(F734,pl_num,0))),"Plan inconnu",IF(AND(F734&lt;&gt;"",IFERROR(INDEX(pl_eq,MATCH(F734,pl_num,0))&amp;"",C734)&lt;&gt;C734),"Plan d'un autre équipement",IF(AND(J734&lt;&gt;"",OR(NOT(ISNUMBER(J734)),N(J734)&lt;0)),"Compteur invalide",IF(OR(AND(K734&lt;&gt;"",OR(NOT(ISNUMBER(K734)),N(K734)&lt;0)),AND(L734&lt;&gt;"",OR(NOT(ISNUMBER(L734)),N(L734)&lt;0))),"Durée invalide",IF(OR(AND(N734&lt;&gt;"",OR(NOT(ISNUMBER(N734)),N(N734)&lt;0)),AND(P734&lt;&gt;"",OR(NOT(ISNUMBER(P734)),N(P734)&lt;0))),"Coût invalide",IF(AND(M734&lt;&gt;"",ISNA(MATCH(M734,tech_name,0))),"Technicien inconnu",IF(AND(I734="Terminée",S734&gt;p_today),"Terminée à une date future",IF(AND(I734="Terminée",V734=0),"Durée d'intervention manquante",IF(AND(I734="Terminée",E734="Préventif",T734=0,OR(IFERROR(INDEX(pl_trig,MATCH(F734,pl_num,0))&amp;"","")="Compteur",IFERROR(INDEX(pl_trig,MATCH(F734,pl_num,0))&amp;"","")="Au premier des deux")),"Compteur manquant (plan au compteur)","OK"))))))))))))))))))</f>
        <v/>
      </c>
      <c r="S734" s="67">
        <f>IF(AND(ISNUMBER(B734),N(B734)&gt;0),INT(B734),0)</f>
        <v>0.0</v>
      </c>
      <c r="T734" s="67">
        <f>IF(AND(ISNUMBER(J734),N(J734)&gt;=0),N(J734),0)</f>
        <v>0.0</v>
      </c>
      <c r="U734" s="67">
        <f>IF(AND(ISNUMBER(K734),N(K734)&gt;0),N(K734),0)</f>
        <v>0.0</v>
      </c>
      <c r="V734" s="67">
        <f>IF(AND(ISNUMBER(L734),N(L734)&gt;0),N(L734),0)</f>
        <v>0.0</v>
      </c>
      <c r="W734" s="67">
        <f>IF(AND(I734="Terminée",S734&gt;0,C734&lt;&gt;"",ISNUMBER(MATCH(C734,eq_code,0))),1,0)</f>
        <v>0.0</v>
      </c>
      <c r="X734" s="67">
        <f>IF(AND(W734=1,E734="Préventif"),1,0)</f>
        <v>0.0</v>
      </c>
      <c r="Y734" s="67">
        <f>IF(AND(ISNUMBER(N734),N(N734)&gt;0),N(N734),0)</f>
        <v>0.0</v>
      </c>
      <c r="Z734" s="67">
        <f>IF(AND(ISNUMBER(P734),N(P734)&gt;0),N(P734),0)</f>
        <v>0.0</v>
      </c>
    </row>
    <row r="735">
      <c r="A735" s="79" t="str">
        <f>IF(COUNTA(B735:C735,E735:G735,I735)=0,"","BI-"&amp;RIGHT("0000"&amp;(ROW()-5),4))</f>
        <v/>
      </c>
      <c r="B735" s="72" t="n"/>
      <c r="C735" s="66" t="n"/>
      <c r="D735" s="67" t="str">
        <f>IF(C735="","",IFERROR(INDEX(eq_des,MATCH(C735,eq_code,0))&amp;"","Équipement inconnu"))</f>
        <v/>
      </c>
      <c r="E735" s="68" t="n"/>
      <c r="F735" s="68" t="n"/>
      <c r="G735" s="66" t="n"/>
      <c r="H735" s="66" t="n"/>
      <c r="I735" s="68" t="n"/>
      <c r="J735" s="73" t="n"/>
      <c r="K735" s="71" t="n"/>
      <c r="L735" s="71" t="n"/>
      <c r="M735" s="66" t="n"/>
      <c r="N735" s="80" t="n"/>
      <c r="O735" s="81" t="str">
        <f>IF(A735="","",ROUND(V735*IFERROR(N(INDEX(tech_rate,MATCH(M735,tech_name,0))),0),2))</f>
        <v/>
      </c>
      <c r="P735" s="80" t="n"/>
      <c r="Q735" s="81" t="str">
        <f>IF(A735="","",ROUND(Y735+O735+Z735,2))</f>
        <v/>
      </c>
      <c r="R735" s="79" t="str">
        <f>IF(A735="","",IF(S735=0,"Date manquante ou invalide",IF(C735="","Équipement manquant",IF(ISNA(MATCH(C735,eq_code,0)),"Équipement inconnu",IF(E735="","Type manquant",IF(AND(E735&lt;&gt;"Préventif",E735&lt;&gt;"Correctif",E735&lt;&gt;"Amélioratif"),"Type inconnu",IF(I735="","Statut manquant",IF(AND(I735&lt;&gt;"Terminée",I735&lt;&gt;"En cours",I735&lt;&gt;"À faire",I735&lt;&gt;"Annulée"),"Statut inconnu",IF(AND(E735="Préventif",F735=""),"Plan manquant (préventif)",IF(AND(F735&lt;&gt;"",ISNA(MATCH(F735,pl_num,0))),"Plan inconnu",IF(AND(F735&lt;&gt;"",IFERROR(INDEX(pl_eq,MATCH(F735,pl_num,0))&amp;"",C735)&lt;&gt;C735),"Plan d'un autre équipement",IF(AND(J735&lt;&gt;"",OR(NOT(ISNUMBER(J735)),N(J735)&lt;0)),"Compteur invalide",IF(OR(AND(K735&lt;&gt;"",OR(NOT(ISNUMBER(K735)),N(K735)&lt;0)),AND(L735&lt;&gt;"",OR(NOT(ISNUMBER(L735)),N(L735)&lt;0))),"Durée invalide",IF(OR(AND(N735&lt;&gt;"",OR(NOT(ISNUMBER(N735)),N(N735)&lt;0)),AND(P735&lt;&gt;"",OR(NOT(ISNUMBER(P735)),N(P735)&lt;0))),"Coût invalide",IF(AND(M735&lt;&gt;"",ISNA(MATCH(M735,tech_name,0))),"Technicien inconnu",IF(AND(I735="Terminée",S735&gt;p_today),"Terminée à une date future",IF(AND(I735="Terminée",V735=0),"Durée d'intervention manquante",IF(AND(I735="Terminée",E735="Préventif",T735=0,OR(IFERROR(INDEX(pl_trig,MATCH(F735,pl_num,0))&amp;"","")="Compteur",IFERROR(INDEX(pl_trig,MATCH(F735,pl_num,0))&amp;"","")="Au premier des deux")),"Compteur manquant (plan au compteur)","OK"))))))))))))))))))</f>
        <v/>
      </c>
      <c r="S735" s="67">
        <f>IF(AND(ISNUMBER(B735),N(B735)&gt;0),INT(B735),0)</f>
        <v>0.0</v>
      </c>
      <c r="T735" s="67">
        <f>IF(AND(ISNUMBER(J735),N(J735)&gt;=0),N(J735),0)</f>
        <v>0.0</v>
      </c>
      <c r="U735" s="67">
        <f>IF(AND(ISNUMBER(K735),N(K735)&gt;0),N(K735),0)</f>
        <v>0.0</v>
      </c>
      <c r="V735" s="67">
        <f>IF(AND(ISNUMBER(L735),N(L735)&gt;0),N(L735),0)</f>
        <v>0.0</v>
      </c>
      <c r="W735" s="67">
        <f>IF(AND(I735="Terminée",S735&gt;0,C735&lt;&gt;"",ISNUMBER(MATCH(C735,eq_code,0))),1,0)</f>
        <v>0.0</v>
      </c>
      <c r="X735" s="67">
        <f>IF(AND(W735=1,E735="Préventif"),1,0)</f>
        <v>0.0</v>
      </c>
      <c r="Y735" s="67">
        <f>IF(AND(ISNUMBER(N735),N(N735)&gt;0),N(N735),0)</f>
        <v>0.0</v>
      </c>
      <c r="Z735" s="67">
        <f>IF(AND(ISNUMBER(P735),N(P735)&gt;0),N(P735),0)</f>
        <v>0.0</v>
      </c>
    </row>
    <row r="736">
      <c r="A736" s="79" t="str">
        <f>IF(COUNTA(B736:C736,E736:G736,I736)=0,"","BI-"&amp;RIGHT("0000"&amp;(ROW()-5),4))</f>
        <v/>
      </c>
      <c r="B736" s="72" t="n"/>
      <c r="C736" s="66" t="n"/>
      <c r="D736" s="67" t="str">
        <f>IF(C736="","",IFERROR(INDEX(eq_des,MATCH(C736,eq_code,0))&amp;"","Équipement inconnu"))</f>
        <v/>
      </c>
      <c r="E736" s="68" t="n"/>
      <c r="F736" s="68" t="n"/>
      <c r="G736" s="66" t="n"/>
      <c r="H736" s="66" t="n"/>
      <c r="I736" s="68" t="n"/>
      <c r="J736" s="73" t="n"/>
      <c r="K736" s="71" t="n"/>
      <c r="L736" s="71" t="n"/>
      <c r="M736" s="66" t="n"/>
      <c r="N736" s="80" t="n"/>
      <c r="O736" s="81" t="str">
        <f>IF(A736="","",ROUND(V736*IFERROR(N(INDEX(tech_rate,MATCH(M736,tech_name,0))),0),2))</f>
        <v/>
      </c>
      <c r="P736" s="80" t="n"/>
      <c r="Q736" s="81" t="str">
        <f>IF(A736="","",ROUND(Y736+O736+Z736,2))</f>
        <v/>
      </c>
      <c r="R736" s="79" t="str">
        <f>IF(A736="","",IF(S736=0,"Date manquante ou invalide",IF(C736="","Équipement manquant",IF(ISNA(MATCH(C736,eq_code,0)),"Équipement inconnu",IF(E736="","Type manquant",IF(AND(E736&lt;&gt;"Préventif",E736&lt;&gt;"Correctif",E736&lt;&gt;"Amélioratif"),"Type inconnu",IF(I736="","Statut manquant",IF(AND(I736&lt;&gt;"Terminée",I736&lt;&gt;"En cours",I736&lt;&gt;"À faire",I736&lt;&gt;"Annulée"),"Statut inconnu",IF(AND(E736="Préventif",F736=""),"Plan manquant (préventif)",IF(AND(F736&lt;&gt;"",ISNA(MATCH(F736,pl_num,0))),"Plan inconnu",IF(AND(F736&lt;&gt;"",IFERROR(INDEX(pl_eq,MATCH(F736,pl_num,0))&amp;"",C736)&lt;&gt;C736),"Plan d'un autre équipement",IF(AND(J736&lt;&gt;"",OR(NOT(ISNUMBER(J736)),N(J736)&lt;0)),"Compteur invalide",IF(OR(AND(K736&lt;&gt;"",OR(NOT(ISNUMBER(K736)),N(K736)&lt;0)),AND(L736&lt;&gt;"",OR(NOT(ISNUMBER(L736)),N(L736)&lt;0))),"Durée invalide",IF(OR(AND(N736&lt;&gt;"",OR(NOT(ISNUMBER(N736)),N(N736)&lt;0)),AND(P736&lt;&gt;"",OR(NOT(ISNUMBER(P736)),N(P736)&lt;0))),"Coût invalide",IF(AND(M736&lt;&gt;"",ISNA(MATCH(M736,tech_name,0))),"Technicien inconnu",IF(AND(I736="Terminée",S736&gt;p_today),"Terminée à une date future",IF(AND(I736="Terminée",V736=0),"Durée d'intervention manquante",IF(AND(I736="Terminée",E736="Préventif",T736=0,OR(IFERROR(INDEX(pl_trig,MATCH(F736,pl_num,0))&amp;"","")="Compteur",IFERROR(INDEX(pl_trig,MATCH(F736,pl_num,0))&amp;"","")="Au premier des deux")),"Compteur manquant (plan au compteur)","OK"))))))))))))))))))</f>
        <v/>
      </c>
      <c r="S736" s="67">
        <f>IF(AND(ISNUMBER(B736),N(B736)&gt;0),INT(B736),0)</f>
        <v>0.0</v>
      </c>
      <c r="T736" s="67">
        <f>IF(AND(ISNUMBER(J736),N(J736)&gt;=0),N(J736),0)</f>
        <v>0.0</v>
      </c>
      <c r="U736" s="67">
        <f>IF(AND(ISNUMBER(K736),N(K736)&gt;0),N(K736),0)</f>
        <v>0.0</v>
      </c>
      <c r="V736" s="67">
        <f>IF(AND(ISNUMBER(L736),N(L736)&gt;0),N(L736),0)</f>
        <v>0.0</v>
      </c>
      <c r="W736" s="67">
        <f>IF(AND(I736="Terminée",S736&gt;0,C736&lt;&gt;"",ISNUMBER(MATCH(C736,eq_code,0))),1,0)</f>
        <v>0.0</v>
      </c>
      <c r="X736" s="67">
        <f>IF(AND(W736=1,E736="Préventif"),1,0)</f>
        <v>0.0</v>
      </c>
      <c r="Y736" s="67">
        <f>IF(AND(ISNUMBER(N736),N(N736)&gt;0),N(N736),0)</f>
        <v>0.0</v>
      </c>
      <c r="Z736" s="67">
        <f>IF(AND(ISNUMBER(P736),N(P736)&gt;0),N(P736),0)</f>
        <v>0.0</v>
      </c>
    </row>
    <row r="737">
      <c r="A737" s="79" t="str">
        <f>IF(COUNTA(B737:C737,E737:G737,I737)=0,"","BI-"&amp;RIGHT("0000"&amp;(ROW()-5),4))</f>
        <v/>
      </c>
      <c r="B737" s="72" t="n"/>
      <c r="C737" s="66" t="n"/>
      <c r="D737" s="67" t="str">
        <f>IF(C737="","",IFERROR(INDEX(eq_des,MATCH(C737,eq_code,0))&amp;"","Équipement inconnu"))</f>
        <v/>
      </c>
      <c r="E737" s="68" t="n"/>
      <c r="F737" s="68" t="n"/>
      <c r="G737" s="66" t="n"/>
      <c r="H737" s="66" t="n"/>
      <c r="I737" s="68" t="n"/>
      <c r="J737" s="73" t="n"/>
      <c r="K737" s="71" t="n"/>
      <c r="L737" s="71" t="n"/>
      <c r="M737" s="66" t="n"/>
      <c r="N737" s="80" t="n"/>
      <c r="O737" s="81" t="str">
        <f>IF(A737="","",ROUND(V737*IFERROR(N(INDEX(tech_rate,MATCH(M737,tech_name,0))),0),2))</f>
        <v/>
      </c>
      <c r="P737" s="80" t="n"/>
      <c r="Q737" s="81" t="str">
        <f>IF(A737="","",ROUND(Y737+O737+Z737,2))</f>
        <v/>
      </c>
      <c r="R737" s="79" t="str">
        <f>IF(A737="","",IF(S737=0,"Date manquante ou invalide",IF(C737="","Équipement manquant",IF(ISNA(MATCH(C737,eq_code,0)),"Équipement inconnu",IF(E737="","Type manquant",IF(AND(E737&lt;&gt;"Préventif",E737&lt;&gt;"Correctif",E737&lt;&gt;"Amélioratif"),"Type inconnu",IF(I737="","Statut manquant",IF(AND(I737&lt;&gt;"Terminée",I737&lt;&gt;"En cours",I737&lt;&gt;"À faire",I737&lt;&gt;"Annulée"),"Statut inconnu",IF(AND(E737="Préventif",F737=""),"Plan manquant (préventif)",IF(AND(F737&lt;&gt;"",ISNA(MATCH(F737,pl_num,0))),"Plan inconnu",IF(AND(F737&lt;&gt;"",IFERROR(INDEX(pl_eq,MATCH(F737,pl_num,0))&amp;"",C737)&lt;&gt;C737),"Plan d'un autre équipement",IF(AND(J737&lt;&gt;"",OR(NOT(ISNUMBER(J737)),N(J737)&lt;0)),"Compteur invalide",IF(OR(AND(K737&lt;&gt;"",OR(NOT(ISNUMBER(K737)),N(K737)&lt;0)),AND(L737&lt;&gt;"",OR(NOT(ISNUMBER(L737)),N(L737)&lt;0))),"Durée invalide",IF(OR(AND(N737&lt;&gt;"",OR(NOT(ISNUMBER(N737)),N(N737)&lt;0)),AND(P737&lt;&gt;"",OR(NOT(ISNUMBER(P737)),N(P737)&lt;0))),"Coût invalide",IF(AND(M737&lt;&gt;"",ISNA(MATCH(M737,tech_name,0))),"Technicien inconnu",IF(AND(I737="Terminée",S737&gt;p_today),"Terminée à une date future",IF(AND(I737="Terminée",V737=0),"Durée d'intervention manquante",IF(AND(I737="Terminée",E737="Préventif",T737=0,OR(IFERROR(INDEX(pl_trig,MATCH(F737,pl_num,0))&amp;"","")="Compteur",IFERROR(INDEX(pl_trig,MATCH(F737,pl_num,0))&amp;"","")="Au premier des deux")),"Compteur manquant (plan au compteur)","OK"))))))))))))))))))</f>
        <v/>
      </c>
      <c r="S737" s="67">
        <f>IF(AND(ISNUMBER(B737),N(B737)&gt;0),INT(B737),0)</f>
        <v>0.0</v>
      </c>
      <c r="T737" s="67">
        <f>IF(AND(ISNUMBER(J737),N(J737)&gt;=0),N(J737),0)</f>
        <v>0.0</v>
      </c>
      <c r="U737" s="67">
        <f>IF(AND(ISNUMBER(K737),N(K737)&gt;0),N(K737),0)</f>
        <v>0.0</v>
      </c>
      <c r="V737" s="67">
        <f>IF(AND(ISNUMBER(L737),N(L737)&gt;0),N(L737),0)</f>
        <v>0.0</v>
      </c>
      <c r="W737" s="67">
        <f>IF(AND(I737="Terminée",S737&gt;0,C737&lt;&gt;"",ISNUMBER(MATCH(C737,eq_code,0))),1,0)</f>
        <v>0.0</v>
      </c>
      <c r="X737" s="67">
        <f>IF(AND(W737=1,E737="Préventif"),1,0)</f>
        <v>0.0</v>
      </c>
      <c r="Y737" s="67">
        <f>IF(AND(ISNUMBER(N737),N(N737)&gt;0),N(N737),0)</f>
        <v>0.0</v>
      </c>
      <c r="Z737" s="67">
        <f>IF(AND(ISNUMBER(P737),N(P737)&gt;0),N(P737),0)</f>
        <v>0.0</v>
      </c>
    </row>
    <row r="738">
      <c r="A738" s="79" t="str">
        <f>IF(COUNTA(B738:C738,E738:G738,I738)=0,"","BI-"&amp;RIGHT("0000"&amp;(ROW()-5),4))</f>
        <v/>
      </c>
      <c r="B738" s="72" t="n"/>
      <c r="C738" s="66" t="n"/>
      <c r="D738" s="67" t="str">
        <f>IF(C738="","",IFERROR(INDEX(eq_des,MATCH(C738,eq_code,0))&amp;"","Équipement inconnu"))</f>
        <v/>
      </c>
      <c r="E738" s="68" t="n"/>
      <c r="F738" s="68" t="n"/>
      <c r="G738" s="66" t="n"/>
      <c r="H738" s="66" t="n"/>
      <c r="I738" s="68" t="n"/>
      <c r="J738" s="73" t="n"/>
      <c r="K738" s="71" t="n"/>
      <c r="L738" s="71" t="n"/>
      <c r="M738" s="66" t="n"/>
      <c r="N738" s="80" t="n"/>
      <c r="O738" s="81" t="str">
        <f>IF(A738="","",ROUND(V738*IFERROR(N(INDEX(tech_rate,MATCH(M738,tech_name,0))),0),2))</f>
        <v/>
      </c>
      <c r="P738" s="80" t="n"/>
      <c r="Q738" s="81" t="str">
        <f>IF(A738="","",ROUND(Y738+O738+Z738,2))</f>
        <v/>
      </c>
      <c r="R738" s="79" t="str">
        <f>IF(A738="","",IF(S738=0,"Date manquante ou invalide",IF(C738="","Équipement manquant",IF(ISNA(MATCH(C738,eq_code,0)),"Équipement inconnu",IF(E738="","Type manquant",IF(AND(E738&lt;&gt;"Préventif",E738&lt;&gt;"Correctif",E738&lt;&gt;"Amélioratif"),"Type inconnu",IF(I738="","Statut manquant",IF(AND(I738&lt;&gt;"Terminée",I738&lt;&gt;"En cours",I738&lt;&gt;"À faire",I738&lt;&gt;"Annulée"),"Statut inconnu",IF(AND(E738="Préventif",F738=""),"Plan manquant (préventif)",IF(AND(F738&lt;&gt;"",ISNA(MATCH(F738,pl_num,0))),"Plan inconnu",IF(AND(F738&lt;&gt;"",IFERROR(INDEX(pl_eq,MATCH(F738,pl_num,0))&amp;"",C738)&lt;&gt;C738),"Plan d'un autre équipement",IF(AND(J738&lt;&gt;"",OR(NOT(ISNUMBER(J738)),N(J738)&lt;0)),"Compteur invalide",IF(OR(AND(K738&lt;&gt;"",OR(NOT(ISNUMBER(K738)),N(K738)&lt;0)),AND(L738&lt;&gt;"",OR(NOT(ISNUMBER(L738)),N(L738)&lt;0))),"Durée invalide",IF(OR(AND(N738&lt;&gt;"",OR(NOT(ISNUMBER(N738)),N(N738)&lt;0)),AND(P738&lt;&gt;"",OR(NOT(ISNUMBER(P738)),N(P738)&lt;0))),"Coût invalide",IF(AND(M738&lt;&gt;"",ISNA(MATCH(M738,tech_name,0))),"Technicien inconnu",IF(AND(I738="Terminée",S738&gt;p_today),"Terminée à une date future",IF(AND(I738="Terminée",V738=0),"Durée d'intervention manquante",IF(AND(I738="Terminée",E738="Préventif",T738=0,OR(IFERROR(INDEX(pl_trig,MATCH(F738,pl_num,0))&amp;"","")="Compteur",IFERROR(INDEX(pl_trig,MATCH(F738,pl_num,0))&amp;"","")="Au premier des deux")),"Compteur manquant (plan au compteur)","OK"))))))))))))))))))</f>
        <v/>
      </c>
      <c r="S738" s="67">
        <f>IF(AND(ISNUMBER(B738),N(B738)&gt;0),INT(B738),0)</f>
        <v>0.0</v>
      </c>
      <c r="T738" s="67">
        <f>IF(AND(ISNUMBER(J738),N(J738)&gt;=0),N(J738),0)</f>
        <v>0.0</v>
      </c>
      <c r="U738" s="67">
        <f>IF(AND(ISNUMBER(K738),N(K738)&gt;0),N(K738),0)</f>
        <v>0.0</v>
      </c>
      <c r="V738" s="67">
        <f>IF(AND(ISNUMBER(L738),N(L738)&gt;0),N(L738),0)</f>
        <v>0.0</v>
      </c>
      <c r="W738" s="67">
        <f>IF(AND(I738="Terminée",S738&gt;0,C738&lt;&gt;"",ISNUMBER(MATCH(C738,eq_code,0))),1,0)</f>
        <v>0.0</v>
      </c>
      <c r="X738" s="67">
        <f>IF(AND(W738=1,E738="Préventif"),1,0)</f>
        <v>0.0</v>
      </c>
      <c r="Y738" s="67">
        <f>IF(AND(ISNUMBER(N738),N(N738)&gt;0),N(N738),0)</f>
        <v>0.0</v>
      </c>
      <c r="Z738" s="67">
        <f>IF(AND(ISNUMBER(P738),N(P738)&gt;0),N(P738),0)</f>
        <v>0.0</v>
      </c>
    </row>
    <row r="739">
      <c r="A739" s="79" t="str">
        <f>IF(COUNTA(B739:C739,E739:G739,I739)=0,"","BI-"&amp;RIGHT("0000"&amp;(ROW()-5),4))</f>
        <v/>
      </c>
      <c r="B739" s="72" t="n"/>
      <c r="C739" s="66" t="n"/>
      <c r="D739" s="67" t="str">
        <f>IF(C739="","",IFERROR(INDEX(eq_des,MATCH(C739,eq_code,0))&amp;"","Équipement inconnu"))</f>
        <v/>
      </c>
      <c r="E739" s="68" t="n"/>
      <c r="F739" s="68" t="n"/>
      <c r="G739" s="66" t="n"/>
      <c r="H739" s="66" t="n"/>
      <c r="I739" s="68" t="n"/>
      <c r="J739" s="73" t="n"/>
      <c r="K739" s="71" t="n"/>
      <c r="L739" s="71" t="n"/>
      <c r="M739" s="66" t="n"/>
      <c r="N739" s="80" t="n"/>
      <c r="O739" s="81" t="str">
        <f>IF(A739="","",ROUND(V739*IFERROR(N(INDEX(tech_rate,MATCH(M739,tech_name,0))),0),2))</f>
        <v/>
      </c>
      <c r="P739" s="80" t="n"/>
      <c r="Q739" s="81" t="str">
        <f>IF(A739="","",ROUND(Y739+O739+Z739,2))</f>
        <v/>
      </c>
      <c r="R739" s="79" t="str">
        <f>IF(A739="","",IF(S739=0,"Date manquante ou invalide",IF(C739="","Équipement manquant",IF(ISNA(MATCH(C739,eq_code,0)),"Équipement inconnu",IF(E739="","Type manquant",IF(AND(E739&lt;&gt;"Préventif",E739&lt;&gt;"Correctif",E739&lt;&gt;"Amélioratif"),"Type inconnu",IF(I739="","Statut manquant",IF(AND(I739&lt;&gt;"Terminée",I739&lt;&gt;"En cours",I739&lt;&gt;"À faire",I739&lt;&gt;"Annulée"),"Statut inconnu",IF(AND(E739="Préventif",F739=""),"Plan manquant (préventif)",IF(AND(F739&lt;&gt;"",ISNA(MATCH(F739,pl_num,0))),"Plan inconnu",IF(AND(F739&lt;&gt;"",IFERROR(INDEX(pl_eq,MATCH(F739,pl_num,0))&amp;"",C739)&lt;&gt;C739),"Plan d'un autre équipement",IF(AND(J739&lt;&gt;"",OR(NOT(ISNUMBER(J739)),N(J739)&lt;0)),"Compteur invalide",IF(OR(AND(K739&lt;&gt;"",OR(NOT(ISNUMBER(K739)),N(K739)&lt;0)),AND(L739&lt;&gt;"",OR(NOT(ISNUMBER(L739)),N(L739)&lt;0))),"Durée invalide",IF(OR(AND(N739&lt;&gt;"",OR(NOT(ISNUMBER(N739)),N(N739)&lt;0)),AND(P739&lt;&gt;"",OR(NOT(ISNUMBER(P739)),N(P739)&lt;0))),"Coût invalide",IF(AND(M739&lt;&gt;"",ISNA(MATCH(M739,tech_name,0))),"Technicien inconnu",IF(AND(I739="Terminée",S739&gt;p_today),"Terminée à une date future",IF(AND(I739="Terminée",V739=0),"Durée d'intervention manquante",IF(AND(I739="Terminée",E739="Préventif",T739=0,OR(IFERROR(INDEX(pl_trig,MATCH(F739,pl_num,0))&amp;"","")="Compteur",IFERROR(INDEX(pl_trig,MATCH(F739,pl_num,0))&amp;"","")="Au premier des deux")),"Compteur manquant (plan au compteur)","OK"))))))))))))))))))</f>
        <v/>
      </c>
      <c r="S739" s="67">
        <f>IF(AND(ISNUMBER(B739),N(B739)&gt;0),INT(B739),0)</f>
        <v>0.0</v>
      </c>
      <c r="T739" s="67">
        <f>IF(AND(ISNUMBER(J739),N(J739)&gt;=0),N(J739),0)</f>
        <v>0.0</v>
      </c>
      <c r="U739" s="67">
        <f>IF(AND(ISNUMBER(K739),N(K739)&gt;0),N(K739),0)</f>
        <v>0.0</v>
      </c>
      <c r="V739" s="67">
        <f>IF(AND(ISNUMBER(L739),N(L739)&gt;0),N(L739),0)</f>
        <v>0.0</v>
      </c>
      <c r="W739" s="67">
        <f>IF(AND(I739="Terminée",S739&gt;0,C739&lt;&gt;"",ISNUMBER(MATCH(C739,eq_code,0))),1,0)</f>
        <v>0.0</v>
      </c>
      <c r="X739" s="67">
        <f>IF(AND(W739=1,E739="Préventif"),1,0)</f>
        <v>0.0</v>
      </c>
      <c r="Y739" s="67">
        <f>IF(AND(ISNUMBER(N739),N(N739)&gt;0),N(N739),0)</f>
        <v>0.0</v>
      </c>
      <c r="Z739" s="67">
        <f>IF(AND(ISNUMBER(P739),N(P739)&gt;0),N(P739),0)</f>
        <v>0.0</v>
      </c>
    </row>
    <row r="740">
      <c r="A740" s="79" t="str">
        <f>IF(COUNTA(B740:C740,E740:G740,I740)=0,"","BI-"&amp;RIGHT("0000"&amp;(ROW()-5),4))</f>
        <v/>
      </c>
      <c r="B740" s="72" t="n"/>
      <c r="C740" s="66" t="n"/>
      <c r="D740" s="67" t="str">
        <f>IF(C740="","",IFERROR(INDEX(eq_des,MATCH(C740,eq_code,0))&amp;"","Équipement inconnu"))</f>
        <v/>
      </c>
      <c r="E740" s="68" t="n"/>
      <c r="F740" s="68" t="n"/>
      <c r="G740" s="66" t="n"/>
      <c r="H740" s="66" t="n"/>
      <c r="I740" s="68" t="n"/>
      <c r="J740" s="73" t="n"/>
      <c r="K740" s="71" t="n"/>
      <c r="L740" s="71" t="n"/>
      <c r="M740" s="66" t="n"/>
      <c r="N740" s="80" t="n"/>
      <c r="O740" s="81" t="str">
        <f>IF(A740="","",ROUND(V740*IFERROR(N(INDEX(tech_rate,MATCH(M740,tech_name,0))),0),2))</f>
        <v/>
      </c>
      <c r="P740" s="80" t="n"/>
      <c r="Q740" s="81" t="str">
        <f>IF(A740="","",ROUND(Y740+O740+Z740,2))</f>
        <v/>
      </c>
      <c r="R740" s="79" t="str">
        <f>IF(A740="","",IF(S740=0,"Date manquante ou invalide",IF(C740="","Équipement manquant",IF(ISNA(MATCH(C740,eq_code,0)),"Équipement inconnu",IF(E740="","Type manquant",IF(AND(E740&lt;&gt;"Préventif",E740&lt;&gt;"Correctif",E740&lt;&gt;"Amélioratif"),"Type inconnu",IF(I740="","Statut manquant",IF(AND(I740&lt;&gt;"Terminée",I740&lt;&gt;"En cours",I740&lt;&gt;"À faire",I740&lt;&gt;"Annulée"),"Statut inconnu",IF(AND(E740="Préventif",F740=""),"Plan manquant (préventif)",IF(AND(F740&lt;&gt;"",ISNA(MATCH(F740,pl_num,0))),"Plan inconnu",IF(AND(F740&lt;&gt;"",IFERROR(INDEX(pl_eq,MATCH(F740,pl_num,0))&amp;"",C740)&lt;&gt;C740),"Plan d'un autre équipement",IF(AND(J740&lt;&gt;"",OR(NOT(ISNUMBER(J740)),N(J740)&lt;0)),"Compteur invalide",IF(OR(AND(K740&lt;&gt;"",OR(NOT(ISNUMBER(K740)),N(K740)&lt;0)),AND(L740&lt;&gt;"",OR(NOT(ISNUMBER(L740)),N(L740)&lt;0))),"Durée invalide",IF(OR(AND(N740&lt;&gt;"",OR(NOT(ISNUMBER(N740)),N(N740)&lt;0)),AND(P740&lt;&gt;"",OR(NOT(ISNUMBER(P740)),N(P740)&lt;0))),"Coût invalide",IF(AND(M740&lt;&gt;"",ISNA(MATCH(M740,tech_name,0))),"Technicien inconnu",IF(AND(I740="Terminée",S740&gt;p_today),"Terminée à une date future",IF(AND(I740="Terminée",V740=0),"Durée d'intervention manquante",IF(AND(I740="Terminée",E740="Préventif",T740=0,OR(IFERROR(INDEX(pl_trig,MATCH(F740,pl_num,0))&amp;"","")="Compteur",IFERROR(INDEX(pl_trig,MATCH(F740,pl_num,0))&amp;"","")="Au premier des deux")),"Compteur manquant (plan au compteur)","OK"))))))))))))))))))</f>
        <v/>
      </c>
      <c r="S740" s="67">
        <f>IF(AND(ISNUMBER(B740),N(B740)&gt;0),INT(B740),0)</f>
        <v>0.0</v>
      </c>
      <c r="T740" s="67">
        <f>IF(AND(ISNUMBER(J740),N(J740)&gt;=0),N(J740),0)</f>
        <v>0.0</v>
      </c>
      <c r="U740" s="67">
        <f>IF(AND(ISNUMBER(K740),N(K740)&gt;0),N(K740),0)</f>
        <v>0.0</v>
      </c>
      <c r="V740" s="67">
        <f>IF(AND(ISNUMBER(L740),N(L740)&gt;0),N(L740),0)</f>
        <v>0.0</v>
      </c>
      <c r="W740" s="67">
        <f>IF(AND(I740="Terminée",S740&gt;0,C740&lt;&gt;"",ISNUMBER(MATCH(C740,eq_code,0))),1,0)</f>
        <v>0.0</v>
      </c>
      <c r="X740" s="67">
        <f>IF(AND(W740=1,E740="Préventif"),1,0)</f>
        <v>0.0</v>
      </c>
      <c r="Y740" s="67">
        <f>IF(AND(ISNUMBER(N740),N(N740)&gt;0),N(N740),0)</f>
        <v>0.0</v>
      </c>
      <c r="Z740" s="67">
        <f>IF(AND(ISNUMBER(P740),N(P740)&gt;0),N(P740),0)</f>
        <v>0.0</v>
      </c>
    </row>
    <row r="741">
      <c r="A741" s="79" t="str">
        <f>IF(COUNTA(B741:C741,E741:G741,I741)=0,"","BI-"&amp;RIGHT("0000"&amp;(ROW()-5),4))</f>
        <v/>
      </c>
      <c r="B741" s="72" t="n"/>
      <c r="C741" s="66" t="n"/>
      <c r="D741" s="67" t="str">
        <f>IF(C741="","",IFERROR(INDEX(eq_des,MATCH(C741,eq_code,0))&amp;"","Équipement inconnu"))</f>
        <v/>
      </c>
      <c r="E741" s="68" t="n"/>
      <c r="F741" s="68" t="n"/>
      <c r="G741" s="66" t="n"/>
      <c r="H741" s="66" t="n"/>
      <c r="I741" s="68" t="n"/>
      <c r="J741" s="73" t="n"/>
      <c r="K741" s="71" t="n"/>
      <c r="L741" s="71" t="n"/>
      <c r="M741" s="66" t="n"/>
      <c r="N741" s="80" t="n"/>
      <c r="O741" s="81" t="str">
        <f>IF(A741="","",ROUND(V741*IFERROR(N(INDEX(tech_rate,MATCH(M741,tech_name,0))),0),2))</f>
        <v/>
      </c>
      <c r="P741" s="80" t="n"/>
      <c r="Q741" s="81" t="str">
        <f>IF(A741="","",ROUND(Y741+O741+Z741,2))</f>
        <v/>
      </c>
      <c r="R741" s="79" t="str">
        <f>IF(A741="","",IF(S741=0,"Date manquante ou invalide",IF(C741="","Équipement manquant",IF(ISNA(MATCH(C741,eq_code,0)),"Équipement inconnu",IF(E741="","Type manquant",IF(AND(E741&lt;&gt;"Préventif",E741&lt;&gt;"Correctif",E741&lt;&gt;"Amélioratif"),"Type inconnu",IF(I741="","Statut manquant",IF(AND(I741&lt;&gt;"Terminée",I741&lt;&gt;"En cours",I741&lt;&gt;"À faire",I741&lt;&gt;"Annulée"),"Statut inconnu",IF(AND(E741="Préventif",F741=""),"Plan manquant (préventif)",IF(AND(F741&lt;&gt;"",ISNA(MATCH(F741,pl_num,0))),"Plan inconnu",IF(AND(F741&lt;&gt;"",IFERROR(INDEX(pl_eq,MATCH(F741,pl_num,0))&amp;"",C741)&lt;&gt;C741),"Plan d'un autre équipement",IF(AND(J741&lt;&gt;"",OR(NOT(ISNUMBER(J741)),N(J741)&lt;0)),"Compteur invalide",IF(OR(AND(K741&lt;&gt;"",OR(NOT(ISNUMBER(K741)),N(K741)&lt;0)),AND(L741&lt;&gt;"",OR(NOT(ISNUMBER(L741)),N(L741)&lt;0))),"Durée invalide",IF(OR(AND(N741&lt;&gt;"",OR(NOT(ISNUMBER(N741)),N(N741)&lt;0)),AND(P741&lt;&gt;"",OR(NOT(ISNUMBER(P741)),N(P741)&lt;0))),"Coût invalide",IF(AND(M741&lt;&gt;"",ISNA(MATCH(M741,tech_name,0))),"Technicien inconnu",IF(AND(I741="Terminée",S741&gt;p_today),"Terminée à une date future",IF(AND(I741="Terminée",V741=0),"Durée d'intervention manquante",IF(AND(I741="Terminée",E741="Préventif",T741=0,OR(IFERROR(INDEX(pl_trig,MATCH(F741,pl_num,0))&amp;"","")="Compteur",IFERROR(INDEX(pl_trig,MATCH(F741,pl_num,0))&amp;"","")="Au premier des deux")),"Compteur manquant (plan au compteur)","OK"))))))))))))))))))</f>
        <v/>
      </c>
      <c r="S741" s="67">
        <f>IF(AND(ISNUMBER(B741),N(B741)&gt;0),INT(B741),0)</f>
        <v>0.0</v>
      </c>
      <c r="T741" s="67">
        <f>IF(AND(ISNUMBER(J741),N(J741)&gt;=0),N(J741),0)</f>
        <v>0.0</v>
      </c>
      <c r="U741" s="67">
        <f>IF(AND(ISNUMBER(K741),N(K741)&gt;0),N(K741),0)</f>
        <v>0.0</v>
      </c>
      <c r="V741" s="67">
        <f>IF(AND(ISNUMBER(L741),N(L741)&gt;0),N(L741),0)</f>
        <v>0.0</v>
      </c>
      <c r="W741" s="67">
        <f>IF(AND(I741="Terminée",S741&gt;0,C741&lt;&gt;"",ISNUMBER(MATCH(C741,eq_code,0))),1,0)</f>
        <v>0.0</v>
      </c>
      <c r="X741" s="67">
        <f>IF(AND(W741=1,E741="Préventif"),1,0)</f>
        <v>0.0</v>
      </c>
      <c r="Y741" s="67">
        <f>IF(AND(ISNUMBER(N741),N(N741)&gt;0),N(N741),0)</f>
        <v>0.0</v>
      </c>
      <c r="Z741" s="67">
        <f>IF(AND(ISNUMBER(P741),N(P741)&gt;0),N(P741),0)</f>
        <v>0.0</v>
      </c>
    </row>
    <row r="742">
      <c r="A742" s="79" t="str">
        <f>IF(COUNTA(B742:C742,E742:G742,I742)=0,"","BI-"&amp;RIGHT("0000"&amp;(ROW()-5),4))</f>
        <v/>
      </c>
      <c r="B742" s="72" t="n"/>
      <c r="C742" s="66" t="n"/>
      <c r="D742" s="67" t="str">
        <f>IF(C742="","",IFERROR(INDEX(eq_des,MATCH(C742,eq_code,0))&amp;"","Équipement inconnu"))</f>
        <v/>
      </c>
      <c r="E742" s="68" t="n"/>
      <c r="F742" s="68" t="n"/>
      <c r="G742" s="66" t="n"/>
      <c r="H742" s="66" t="n"/>
      <c r="I742" s="68" t="n"/>
      <c r="J742" s="73" t="n"/>
      <c r="K742" s="71" t="n"/>
      <c r="L742" s="71" t="n"/>
      <c r="M742" s="66" t="n"/>
      <c r="N742" s="80" t="n"/>
      <c r="O742" s="81" t="str">
        <f>IF(A742="","",ROUND(V742*IFERROR(N(INDEX(tech_rate,MATCH(M742,tech_name,0))),0),2))</f>
        <v/>
      </c>
      <c r="P742" s="80" t="n"/>
      <c r="Q742" s="81" t="str">
        <f>IF(A742="","",ROUND(Y742+O742+Z742,2))</f>
        <v/>
      </c>
      <c r="R742" s="79" t="str">
        <f>IF(A742="","",IF(S742=0,"Date manquante ou invalide",IF(C742="","Équipement manquant",IF(ISNA(MATCH(C742,eq_code,0)),"Équipement inconnu",IF(E742="","Type manquant",IF(AND(E742&lt;&gt;"Préventif",E742&lt;&gt;"Correctif",E742&lt;&gt;"Amélioratif"),"Type inconnu",IF(I742="","Statut manquant",IF(AND(I742&lt;&gt;"Terminée",I742&lt;&gt;"En cours",I742&lt;&gt;"À faire",I742&lt;&gt;"Annulée"),"Statut inconnu",IF(AND(E742="Préventif",F742=""),"Plan manquant (préventif)",IF(AND(F742&lt;&gt;"",ISNA(MATCH(F742,pl_num,0))),"Plan inconnu",IF(AND(F742&lt;&gt;"",IFERROR(INDEX(pl_eq,MATCH(F742,pl_num,0))&amp;"",C742)&lt;&gt;C742),"Plan d'un autre équipement",IF(AND(J742&lt;&gt;"",OR(NOT(ISNUMBER(J742)),N(J742)&lt;0)),"Compteur invalide",IF(OR(AND(K742&lt;&gt;"",OR(NOT(ISNUMBER(K742)),N(K742)&lt;0)),AND(L742&lt;&gt;"",OR(NOT(ISNUMBER(L742)),N(L742)&lt;0))),"Durée invalide",IF(OR(AND(N742&lt;&gt;"",OR(NOT(ISNUMBER(N742)),N(N742)&lt;0)),AND(P742&lt;&gt;"",OR(NOT(ISNUMBER(P742)),N(P742)&lt;0))),"Coût invalide",IF(AND(M742&lt;&gt;"",ISNA(MATCH(M742,tech_name,0))),"Technicien inconnu",IF(AND(I742="Terminée",S742&gt;p_today),"Terminée à une date future",IF(AND(I742="Terminée",V742=0),"Durée d'intervention manquante",IF(AND(I742="Terminée",E742="Préventif",T742=0,OR(IFERROR(INDEX(pl_trig,MATCH(F742,pl_num,0))&amp;"","")="Compteur",IFERROR(INDEX(pl_trig,MATCH(F742,pl_num,0))&amp;"","")="Au premier des deux")),"Compteur manquant (plan au compteur)","OK"))))))))))))))))))</f>
        <v/>
      </c>
      <c r="S742" s="67">
        <f>IF(AND(ISNUMBER(B742),N(B742)&gt;0),INT(B742),0)</f>
        <v>0.0</v>
      </c>
      <c r="T742" s="67">
        <f>IF(AND(ISNUMBER(J742),N(J742)&gt;=0),N(J742),0)</f>
        <v>0.0</v>
      </c>
      <c r="U742" s="67">
        <f>IF(AND(ISNUMBER(K742),N(K742)&gt;0),N(K742),0)</f>
        <v>0.0</v>
      </c>
      <c r="V742" s="67">
        <f>IF(AND(ISNUMBER(L742),N(L742)&gt;0),N(L742),0)</f>
        <v>0.0</v>
      </c>
      <c r="W742" s="67">
        <f>IF(AND(I742="Terminée",S742&gt;0,C742&lt;&gt;"",ISNUMBER(MATCH(C742,eq_code,0))),1,0)</f>
        <v>0.0</v>
      </c>
      <c r="X742" s="67">
        <f>IF(AND(W742=1,E742="Préventif"),1,0)</f>
        <v>0.0</v>
      </c>
      <c r="Y742" s="67">
        <f>IF(AND(ISNUMBER(N742),N(N742)&gt;0),N(N742),0)</f>
        <v>0.0</v>
      </c>
      <c r="Z742" s="67">
        <f>IF(AND(ISNUMBER(P742),N(P742)&gt;0),N(P742),0)</f>
        <v>0.0</v>
      </c>
    </row>
    <row r="743">
      <c r="A743" s="79" t="str">
        <f>IF(COUNTA(B743:C743,E743:G743,I743)=0,"","BI-"&amp;RIGHT("0000"&amp;(ROW()-5),4))</f>
        <v/>
      </c>
      <c r="B743" s="72" t="n"/>
      <c r="C743" s="66" t="n"/>
      <c r="D743" s="67" t="str">
        <f>IF(C743="","",IFERROR(INDEX(eq_des,MATCH(C743,eq_code,0))&amp;"","Équipement inconnu"))</f>
        <v/>
      </c>
      <c r="E743" s="68" t="n"/>
      <c r="F743" s="68" t="n"/>
      <c r="G743" s="66" t="n"/>
      <c r="H743" s="66" t="n"/>
      <c r="I743" s="68" t="n"/>
      <c r="J743" s="73" t="n"/>
      <c r="K743" s="71" t="n"/>
      <c r="L743" s="71" t="n"/>
      <c r="M743" s="66" t="n"/>
      <c r="N743" s="80" t="n"/>
      <c r="O743" s="81" t="str">
        <f>IF(A743="","",ROUND(V743*IFERROR(N(INDEX(tech_rate,MATCH(M743,tech_name,0))),0),2))</f>
        <v/>
      </c>
      <c r="P743" s="80" t="n"/>
      <c r="Q743" s="81" t="str">
        <f>IF(A743="","",ROUND(Y743+O743+Z743,2))</f>
        <v/>
      </c>
      <c r="R743" s="79" t="str">
        <f>IF(A743="","",IF(S743=0,"Date manquante ou invalide",IF(C743="","Équipement manquant",IF(ISNA(MATCH(C743,eq_code,0)),"Équipement inconnu",IF(E743="","Type manquant",IF(AND(E743&lt;&gt;"Préventif",E743&lt;&gt;"Correctif",E743&lt;&gt;"Amélioratif"),"Type inconnu",IF(I743="","Statut manquant",IF(AND(I743&lt;&gt;"Terminée",I743&lt;&gt;"En cours",I743&lt;&gt;"À faire",I743&lt;&gt;"Annulée"),"Statut inconnu",IF(AND(E743="Préventif",F743=""),"Plan manquant (préventif)",IF(AND(F743&lt;&gt;"",ISNA(MATCH(F743,pl_num,0))),"Plan inconnu",IF(AND(F743&lt;&gt;"",IFERROR(INDEX(pl_eq,MATCH(F743,pl_num,0))&amp;"",C743)&lt;&gt;C743),"Plan d'un autre équipement",IF(AND(J743&lt;&gt;"",OR(NOT(ISNUMBER(J743)),N(J743)&lt;0)),"Compteur invalide",IF(OR(AND(K743&lt;&gt;"",OR(NOT(ISNUMBER(K743)),N(K743)&lt;0)),AND(L743&lt;&gt;"",OR(NOT(ISNUMBER(L743)),N(L743)&lt;0))),"Durée invalide",IF(OR(AND(N743&lt;&gt;"",OR(NOT(ISNUMBER(N743)),N(N743)&lt;0)),AND(P743&lt;&gt;"",OR(NOT(ISNUMBER(P743)),N(P743)&lt;0))),"Coût invalide",IF(AND(M743&lt;&gt;"",ISNA(MATCH(M743,tech_name,0))),"Technicien inconnu",IF(AND(I743="Terminée",S743&gt;p_today),"Terminée à une date future",IF(AND(I743="Terminée",V743=0),"Durée d'intervention manquante",IF(AND(I743="Terminée",E743="Préventif",T743=0,OR(IFERROR(INDEX(pl_trig,MATCH(F743,pl_num,0))&amp;"","")="Compteur",IFERROR(INDEX(pl_trig,MATCH(F743,pl_num,0))&amp;"","")="Au premier des deux")),"Compteur manquant (plan au compteur)","OK"))))))))))))))))))</f>
        <v/>
      </c>
      <c r="S743" s="67">
        <f>IF(AND(ISNUMBER(B743),N(B743)&gt;0),INT(B743),0)</f>
        <v>0.0</v>
      </c>
      <c r="T743" s="67">
        <f>IF(AND(ISNUMBER(J743),N(J743)&gt;=0),N(J743),0)</f>
        <v>0.0</v>
      </c>
      <c r="U743" s="67">
        <f>IF(AND(ISNUMBER(K743),N(K743)&gt;0),N(K743),0)</f>
        <v>0.0</v>
      </c>
      <c r="V743" s="67">
        <f>IF(AND(ISNUMBER(L743),N(L743)&gt;0),N(L743),0)</f>
        <v>0.0</v>
      </c>
      <c r="W743" s="67">
        <f>IF(AND(I743="Terminée",S743&gt;0,C743&lt;&gt;"",ISNUMBER(MATCH(C743,eq_code,0))),1,0)</f>
        <v>0.0</v>
      </c>
      <c r="X743" s="67">
        <f>IF(AND(W743=1,E743="Préventif"),1,0)</f>
        <v>0.0</v>
      </c>
      <c r="Y743" s="67">
        <f>IF(AND(ISNUMBER(N743),N(N743)&gt;0),N(N743),0)</f>
        <v>0.0</v>
      </c>
      <c r="Z743" s="67">
        <f>IF(AND(ISNUMBER(P743),N(P743)&gt;0),N(P743),0)</f>
        <v>0.0</v>
      </c>
    </row>
    <row r="744">
      <c r="A744" s="79" t="str">
        <f>IF(COUNTA(B744:C744,E744:G744,I744)=0,"","BI-"&amp;RIGHT("0000"&amp;(ROW()-5),4))</f>
        <v/>
      </c>
      <c r="B744" s="72" t="n"/>
      <c r="C744" s="66" t="n"/>
      <c r="D744" s="67" t="str">
        <f>IF(C744="","",IFERROR(INDEX(eq_des,MATCH(C744,eq_code,0))&amp;"","Équipement inconnu"))</f>
        <v/>
      </c>
      <c r="E744" s="68" t="n"/>
      <c r="F744" s="68" t="n"/>
      <c r="G744" s="66" t="n"/>
      <c r="H744" s="66" t="n"/>
      <c r="I744" s="68" t="n"/>
      <c r="J744" s="73" t="n"/>
      <c r="K744" s="71" t="n"/>
      <c r="L744" s="71" t="n"/>
      <c r="M744" s="66" t="n"/>
      <c r="N744" s="80" t="n"/>
      <c r="O744" s="81" t="str">
        <f>IF(A744="","",ROUND(V744*IFERROR(N(INDEX(tech_rate,MATCH(M744,tech_name,0))),0),2))</f>
        <v/>
      </c>
      <c r="P744" s="80" t="n"/>
      <c r="Q744" s="81" t="str">
        <f>IF(A744="","",ROUND(Y744+O744+Z744,2))</f>
        <v/>
      </c>
      <c r="R744" s="79" t="str">
        <f>IF(A744="","",IF(S744=0,"Date manquante ou invalide",IF(C744="","Équipement manquant",IF(ISNA(MATCH(C744,eq_code,0)),"Équipement inconnu",IF(E744="","Type manquant",IF(AND(E744&lt;&gt;"Préventif",E744&lt;&gt;"Correctif",E744&lt;&gt;"Amélioratif"),"Type inconnu",IF(I744="","Statut manquant",IF(AND(I744&lt;&gt;"Terminée",I744&lt;&gt;"En cours",I744&lt;&gt;"À faire",I744&lt;&gt;"Annulée"),"Statut inconnu",IF(AND(E744="Préventif",F744=""),"Plan manquant (préventif)",IF(AND(F744&lt;&gt;"",ISNA(MATCH(F744,pl_num,0))),"Plan inconnu",IF(AND(F744&lt;&gt;"",IFERROR(INDEX(pl_eq,MATCH(F744,pl_num,0))&amp;"",C744)&lt;&gt;C744),"Plan d'un autre équipement",IF(AND(J744&lt;&gt;"",OR(NOT(ISNUMBER(J744)),N(J744)&lt;0)),"Compteur invalide",IF(OR(AND(K744&lt;&gt;"",OR(NOT(ISNUMBER(K744)),N(K744)&lt;0)),AND(L744&lt;&gt;"",OR(NOT(ISNUMBER(L744)),N(L744)&lt;0))),"Durée invalide",IF(OR(AND(N744&lt;&gt;"",OR(NOT(ISNUMBER(N744)),N(N744)&lt;0)),AND(P744&lt;&gt;"",OR(NOT(ISNUMBER(P744)),N(P744)&lt;0))),"Coût invalide",IF(AND(M744&lt;&gt;"",ISNA(MATCH(M744,tech_name,0))),"Technicien inconnu",IF(AND(I744="Terminée",S744&gt;p_today),"Terminée à une date future",IF(AND(I744="Terminée",V744=0),"Durée d'intervention manquante",IF(AND(I744="Terminée",E744="Préventif",T744=0,OR(IFERROR(INDEX(pl_trig,MATCH(F744,pl_num,0))&amp;"","")="Compteur",IFERROR(INDEX(pl_trig,MATCH(F744,pl_num,0))&amp;"","")="Au premier des deux")),"Compteur manquant (plan au compteur)","OK"))))))))))))))))))</f>
        <v/>
      </c>
      <c r="S744" s="67">
        <f>IF(AND(ISNUMBER(B744),N(B744)&gt;0),INT(B744),0)</f>
        <v>0.0</v>
      </c>
      <c r="T744" s="67">
        <f>IF(AND(ISNUMBER(J744),N(J744)&gt;=0),N(J744),0)</f>
        <v>0.0</v>
      </c>
      <c r="U744" s="67">
        <f>IF(AND(ISNUMBER(K744),N(K744)&gt;0),N(K744),0)</f>
        <v>0.0</v>
      </c>
      <c r="V744" s="67">
        <f>IF(AND(ISNUMBER(L744),N(L744)&gt;0),N(L744),0)</f>
        <v>0.0</v>
      </c>
      <c r="W744" s="67">
        <f>IF(AND(I744="Terminée",S744&gt;0,C744&lt;&gt;"",ISNUMBER(MATCH(C744,eq_code,0))),1,0)</f>
        <v>0.0</v>
      </c>
      <c r="X744" s="67">
        <f>IF(AND(W744=1,E744="Préventif"),1,0)</f>
        <v>0.0</v>
      </c>
      <c r="Y744" s="67">
        <f>IF(AND(ISNUMBER(N744),N(N744)&gt;0),N(N744),0)</f>
        <v>0.0</v>
      </c>
      <c r="Z744" s="67">
        <f>IF(AND(ISNUMBER(P744),N(P744)&gt;0),N(P744),0)</f>
        <v>0.0</v>
      </c>
    </row>
    <row r="745">
      <c r="A745" s="79" t="str">
        <f>IF(COUNTA(B745:C745,E745:G745,I745)=0,"","BI-"&amp;RIGHT("0000"&amp;(ROW()-5),4))</f>
        <v/>
      </c>
      <c r="B745" s="72" t="n"/>
      <c r="C745" s="66" t="n"/>
      <c r="D745" s="67" t="str">
        <f>IF(C745="","",IFERROR(INDEX(eq_des,MATCH(C745,eq_code,0))&amp;"","Équipement inconnu"))</f>
        <v/>
      </c>
      <c r="E745" s="68" t="n"/>
      <c r="F745" s="68" t="n"/>
      <c r="G745" s="66" t="n"/>
      <c r="H745" s="66" t="n"/>
      <c r="I745" s="68" t="n"/>
      <c r="J745" s="73" t="n"/>
      <c r="K745" s="71" t="n"/>
      <c r="L745" s="71" t="n"/>
      <c r="M745" s="66" t="n"/>
      <c r="N745" s="80" t="n"/>
      <c r="O745" s="81" t="str">
        <f>IF(A745="","",ROUND(V745*IFERROR(N(INDEX(tech_rate,MATCH(M745,tech_name,0))),0),2))</f>
        <v/>
      </c>
      <c r="P745" s="80" t="n"/>
      <c r="Q745" s="81" t="str">
        <f>IF(A745="","",ROUND(Y745+O745+Z745,2))</f>
        <v/>
      </c>
      <c r="R745" s="79" t="str">
        <f>IF(A745="","",IF(S745=0,"Date manquante ou invalide",IF(C745="","Équipement manquant",IF(ISNA(MATCH(C745,eq_code,0)),"Équipement inconnu",IF(E745="","Type manquant",IF(AND(E745&lt;&gt;"Préventif",E745&lt;&gt;"Correctif",E745&lt;&gt;"Amélioratif"),"Type inconnu",IF(I745="","Statut manquant",IF(AND(I745&lt;&gt;"Terminée",I745&lt;&gt;"En cours",I745&lt;&gt;"À faire",I745&lt;&gt;"Annulée"),"Statut inconnu",IF(AND(E745="Préventif",F745=""),"Plan manquant (préventif)",IF(AND(F745&lt;&gt;"",ISNA(MATCH(F745,pl_num,0))),"Plan inconnu",IF(AND(F745&lt;&gt;"",IFERROR(INDEX(pl_eq,MATCH(F745,pl_num,0))&amp;"",C745)&lt;&gt;C745),"Plan d'un autre équipement",IF(AND(J745&lt;&gt;"",OR(NOT(ISNUMBER(J745)),N(J745)&lt;0)),"Compteur invalide",IF(OR(AND(K745&lt;&gt;"",OR(NOT(ISNUMBER(K745)),N(K745)&lt;0)),AND(L745&lt;&gt;"",OR(NOT(ISNUMBER(L745)),N(L745)&lt;0))),"Durée invalide",IF(OR(AND(N745&lt;&gt;"",OR(NOT(ISNUMBER(N745)),N(N745)&lt;0)),AND(P745&lt;&gt;"",OR(NOT(ISNUMBER(P745)),N(P745)&lt;0))),"Coût invalide",IF(AND(M745&lt;&gt;"",ISNA(MATCH(M745,tech_name,0))),"Technicien inconnu",IF(AND(I745="Terminée",S745&gt;p_today),"Terminée à une date future",IF(AND(I745="Terminée",V745=0),"Durée d'intervention manquante",IF(AND(I745="Terminée",E745="Préventif",T745=0,OR(IFERROR(INDEX(pl_trig,MATCH(F745,pl_num,0))&amp;"","")="Compteur",IFERROR(INDEX(pl_trig,MATCH(F745,pl_num,0))&amp;"","")="Au premier des deux")),"Compteur manquant (plan au compteur)","OK"))))))))))))))))))</f>
        <v/>
      </c>
      <c r="S745" s="67">
        <f>IF(AND(ISNUMBER(B745),N(B745)&gt;0),INT(B745),0)</f>
        <v>0.0</v>
      </c>
      <c r="T745" s="67">
        <f>IF(AND(ISNUMBER(J745),N(J745)&gt;=0),N(J745),0)</f>
        <v>0.0</v>
      </c>
      <c r="U745" s="67">
        <f>IF(AND(ISNUMBER(K745),N(K745)&gt;0),N(K745),0)</f>
        <v>0.0</v>
      </c>
      <c r="V745" s="67">
        <f>IF(AND(ISNUMBER(L745),N(L745)&gt;0),N(L745),0)</f>
        <v>0.0</v>
      </c>
      <c r="W745" s="67">
        <f>IF(AND(I745="Terminée",S745&gt;0,C745&lt;&gt;"",ISNUMBER(MATCH(C745,eq_code,0))),1,0)</f>
        <v>0.0</v>
      </c>
      <c r="X745" s="67">
        <f>IF(AND(W745=1,E745="Préventif"),1,0)</f>
        <v>0.0</v>
      </c>
      <c r="Y745" s="67">
        <f>IF(AND(ISNUMBER(N745),N(N745)&gt;0),N(N745),0)</f>
        <v>0.0</v>
      </c>
      <c r="Z745" s="67">
        <f>IF(AND(ISNUMBER(P745),N(P745)&gt;0),N(P745),0)</f>
        <v>0.0</v>
      </c>
    </row>
    <row r="746">
      <c r="A746" s="79" t="str">
        <f>IF(COUNTA(B746:C746,E746:G746,I746)=0,"","BI-"&amp;RIGHT("0000"&amp;(ROW()-5),4))</f>
        <v/>
      </c>
      <c r="B746" s="72" t="n"/>
      <c r="C746" s="66" t="n"/>
      <c r="D746" s="67" t="str">
        <f>IF(C746="","",IFERROR(INDEX(eq_des,MATCH(C746,eq_code,0))&amp;"","Équipement inconnu"))</f>
        <v/>
      </c>
      <c r="E746" s="68" t="n"/>
      <c r="F746" s="68" t="n"/>
      <c r="G746" s="66" t="n"/>
      <c r="H746" s="66" t="n"/>
      <c r="I746" s="68" t="n"/>
      <c r="J746" s="73" t="n"/>
      <c r="K746" s="71" t="n"/>
      <c r="L746" s="71" t="n"/>
      <c r="M746" s="66" t="n"/>
      <c r="N746" s="80" t="n"/>
      <c r="O746" s="81" t="str">
        <f>IF(A746="","",ROUND(V746*IFERROR(N(INDEX(tech_rate,MATCH(M746,tech_name,0))),0),2))</f>
        <v/>
      </c>
      <c r="P746" s="80" t="n"/>
      <c r="Q746" s="81" t="str">
        <f>IF(A746="","",ROUND(Y746+O746+Z746,2))</f>
        <v/>
      </c>
      <c r="R746" s="79" t="str">
        <f>IF(A746="","",IF(S746=0,"Date manquante ou invalide",IF(C746="","Équipement manquant",IF(ISNA(MATCH(C746,eq_code,0)),"Équipement inconnu",IF(E746="","Type manquant",IF(AND(E746&lt;&gt;"Préventif",E746&lt;&gt;"Correctif",E746&lt;&gt;"Amélioratif"),"Type inconnu",IF(I746="","Statut manquant",IF(AND(I746&lt;&gt;"Terminée",I746&lt;&gt;"En cours",I746&lt;&gt;"À faire",I746&lt;&gt;"Annulée"),"Statut inconnu",IF(AND(E746="Préventif",F746=""),"Plan manquant (préventif)",IF(AND(F746&lt;&gt;"",ISNA(MATCH(F746,pl_num,0))),"Plan inconnu",IF(AND(F746&lt;&gt;"",IFERROR(INDEX(pl_eq,MATCH(F746,pl_num,0))&amp;"",C746)&lt;&gt;C746),"Plan d'un autre équipement",IF(AND(J746&lt;&gt;"",OR(NOT(ISNUMBER(J746)),N(J746)&lt;0)),"Compteur invalide",IF(OR(AND(K746&lt;&gt;"",OR(NOT(ISNUMBER(K746)),N(K746)&lt;0)),AND(L746&lt;&gt;"",OR(NOT(ISNUMBER(L746)),N(L746)&lt;0))),"Durée invalide",IF(OR(AND(N746&lt;&gt;"",OR(NOT(ISNUMBER(N746)),N(N746)&lt;0)),AND(P746&lt;&gt;"",OR(NOT(ISNUMBER(P746)),N(P746)&lt;0))),"Coût invalide",IF(AND(M746&lt;&gt;"",ISNA(MATCH(M746,tech_name,0))),"Technicien inconnu",IF(AND(I746="Terminée",S746&gt;p_today),"Terminée à une date future",IF(AND(I746="Terminée",V746=0),"Durée d'intervention manquante",IF(AND(I746="Terminée",E746="Préventif",T746=0,OR(IFERROR(INDEX(pl_trig,MATCH(F746,pl_num,0))&amp;"","")="Compteur",IFERROR(INDEX(pl_trig,MATCH(F746,pl_num,0))&amp;"","")="Au premier des deux")),"Compteur manquant (plan au compteur)","OK"))))))))))))))))))</f>
        <v/>
      </c>
      <c r="S746" s="67">
        <f>IF(AND(ISNUMBER(B746),N(B746)&gt;0),INT(B746),0)</f>
        <v>0.0</v>
      </c>
      <c r="T746" s="67">
        <f>IF(AND(ISNUMBER(J746),N(J746)&gt;=0),N(J746),0)</f>
        <v>0.0</v>
      </c>
      <c r="U746" s="67">
        <f>IF(AND(ISNUMBER(K746),N(K746)&gt;0),N(K746),0)</f>
        <v>0.0</v>
      </c>
      <c r="V746" s="67">
        <f>IF(AND(ISNUMBER(L746),N(L746)&gt;0),N(L746),0)</f>
        <v>0.0</v>
      </c>
      <c r="W746" s="67">
        <f>IF(AND(I746="Terminée",S746&gt;0,C746&lt;&gt;"",ISNUMBER(MATCH(C746,eq_code,0))),1,0)</f>
        <v>0.0</v>
      </c>
      <c r="X746" s="67">
        <f>IF(AND(W746=1,E746="Préventif"),1,0)</f>
        <v>0.0</v>
      </c>
      <c r="Y746" s="67">
        <f>IF(AND(ISNUMBER(N746),N(N746)&gt;0),N(N746),0)</f>
        <v>0.0</v>
      </c>
      <c r="Z746" s="67">
        <f>IF(AND(ISNUMBER(P746),N(P746)&gt;0),N(P746),0)</f>
        <v>0.0</v>
      </c>
    </row>
    <row r="747">
      <c r="A747" s="79" t="str">
        <f>IF(COUNTA(B747:C747,E747:G747,I747)=0,"","BI-"&amp;RIGHT("0000"&amp;(ROW()-5),4))</f>
        <v/>
      </c>
      <c r="B747" s="72" t="n"/>
      <c r="C747" s="66" t="n"/>
      <c r="D747" s="67" t="str">
        <f>IF(C747="","",IFERROR(INDEX(eq_des,MATCH(C747,eq_code,0))&amp;"","Équipement inconnu"))</f>
        <v/>
      </c>
      <c r="E747" s="68" t="n"/>
      <c r="F747" s="68" t="n"/>
      <c r="G747" s="66" t="n"/>
      <c r="H747" s="66" t="n"/>
      <c r="I747" s="68" t="n"/>
      <c r="J747" s="73" t="n"/>
      <c r="K747" s="71" t="n"/>
      <c r="L747" s="71" t="n"/>
      <c r="M747" s="66" t="n"/>
      <c r="N747" s="80" t="n"/>
      <c r="O747" s="81" t="str">
        <f>IF(A747="","",ROUND(V747*IFERROR(N(INDEX(tech_rate,MATCH(M747,tech_name,0))),0),2))</f>
        <v/>
      </c>
      <c r="P747" s="80" t="n"/>
      <c r="Q747" s="81" t="str">
        <f>IF(A747="","",ROUND(Y747+O747+Z747,2))</f>
        <v/>
      </c>
      <c r="R747" s="79" t="str">
        <f>IF(A747="","",IF(S747=0,"Date manquante ou invalide",IF(C747="","Équipement manquant",IF(ISNA(MATCH(C747,eq_code,0)),"Équipement inconnu",IF(E747="","Type manquant",IF(AND(E747&lt;&gt;"Préventif",E747&lt;&gt;"Correctif",E747&lt;&gt;"Amélioratif"),"Type inconnu",IF(I747="","Statut manquant",IF(AND(I747&lt;&gt;"Terminée",I747&lt;&gt;"En cours",I747&lt;&gt;"À faire",I747&lt;&gt;"Annulée"),"Statut inconnu",IF(AND(E747="Préventif",F747=""),"Plan manquant (préventif)",IF(AND(F747&lt;&gt;"",ISNA(MATCH(F747,pl_num,0))),"Plan inconnu",IF(AND(F747&lt;&gt;"",IFERROR(INDEX(pl_eq,MATCH(F747,pl_num,0))&amp;"",C747)&lt;&gt;C747),"Plan d'un autre équipement",IF(AND(J747&lt;&gt;"",OR(NOT(ISNUMBER(J747)),N(J747)&lt;0)),"Compteur invalide",IF(OR(AND(K747&lt;&gt;"",OR(NOT(ISNUMBER(K747)),N(K747)&lt;0)),AND(L747&lt;&gt;"",OR(NOT(ISNUMBER(L747)),N(L747)&lt;0))),"Durée invalide",IF(OR(AND(N747&lt;&gt;"",OR(NOT(ISNUMBER(N747)),N(N747)&lt;0)),AND(P747&lt;&gt;"",OR(NOT(ISNUMBER(P747)),N(P747)&lt;0))),"Coût invalide",IF(AND(M747&lt;&gt;"",ISNA(MATCH(M747,tech_name,0))),"Technicien inconnu",IF(AND(I747="Terminée",S747&gt;p_today),"Terminée à une date future",IF(AND(I747="Terminée",V747=0),"Durée d'intervention manquante",IF(AND(I747="Terminée",E747="Préventif",T747=0,OR(IFERROR(INDEX(pl_trig,MATCH(F747,pl_num,0))&amp;"","")="Compteur",IFERROR(INDEX(pl_trig,MATCH(F747,pl_num,0))&amp;"","")="Au premier des deux")),"Compteur manquant (plan au compteur)","OK"))))))))))))))))))</f>
        <v/>
      </c>
      <c r="S747" s="67">
        <f>IF(AND(ISNUMBER(B747),N(B747)&gt;0),INT(B747),0)</f>
        <v>0.0</v>
      </c>
      <c r="T747" s="67">
        <f>IF(AND(ISNUMBER(J747),N(J747)&gt;=0),N(J747),0)</f>
        <v>0.0</v>
      </c>
      <c r="U747" s="67">
        <f>IF(AND(ISNUMBER(K747),N(K747)&gt;0),N(K747),0)</f>
        <v>0.0</v>
      </c>
      <c r="V747" s="67">
        <f>IF(AND(ISNUMBER(L747),N(L747)&gt;0),N(L747),0)</f>
        <v>0.0</v>
      </c>
      <c r="W747" s="67">
        <f>IF(AND(I747="Terminée",S747&gt;0,C747&lt;&gt;"",ISNUMBER(MATCH(C747,eq_code,0))),1,0)</f>
        <v>0.0</v>
      </c>
      <c r="X747" s="67">
        <f>IF(AND(W747=1,E747="Préventif"),1,0)</f>
        <v>0.0</v>
      </c>
      <c r="Y747" s="67">
        <f>IF(AND(ISNUMBER(N747),N(N747)&gt;0),N(N747),0)</f>
        <v>0.0</v>
      </c>
      <c r="Z747" s="67">
        <f>IF(AND(ISNUMBER(P747),N(P747)&gt;0),N(P747),0)</f>
        <v>0.0</v>
      </c>
    </row>
    <row r="748">
      <c r="A748" s="79" t="str">
        <f>IF(COUNTA(B748:C748,E748:G748,I748)=0,"","BI-"&amp;RIGHT("0000"&amp;(ROW()-5),4))</f>
        <v/>
      </c>
      <c r="B748" s="72" t="n"/>
      <c r="C748" s="66" t="n"/>
      <c r="D748" s="67" t="str">
        <f>IF(C748="","",IFERROR(INDEX(eq_des,MATCH(C748,eq_code,0))&amp;"","Équipement inconnu"))</f>
        <v/>
      </c>
      <c r="E748" s="68" t="n"/>
      <c r="F748" s="68" t="n"/>
      <c r="G748" s="66" t="n"/>
      <c r="H748" s="66" t="n"/>
      <c r="I748" s="68" t="n"/>
      <c r="J748" s="73" t="n"/>
      <c r="K748" s="71" t="n"/>
      <c r="L748" s="71" t="n"/>
      <c r="M748" s="66" t="n"/>
      <c r="N748" s="80" t="n"/>
      <c r="O748" s="81" t="str">
        <f>IF(A748="","",ROUND(V748*IFERROR(N(INDEX(tech_rate,MATCH(M748,tech_name,0))),0),2))</f>
        <v/>
      </c>
      <c r="P748" s="80" t="n"/>
      <c r="Q748" s="81" t="str">
        <f>IF(A748="","",ROUND(Y748+O748+Z748,2))</f>
        <v/>
      </c>
      <c r="R748" s="79" t="str">
        <f>IF(A748="","",IF(S748=0,"Date manquante ou invalide",IF(C748="","Équipement manquant",IF(ISNA(MATCH(C748,eq_code,0)),"Équipement inconnu",IF(E748="","Type manquant",IF(AND(E748&lt;&gt;"Préventif",E748&lt;&gt;"Correctif",E748&lt;&gt;"Amélioratif"),"Type inconnu",IF(I748="","Statut manquant",IF(AND(I748&lt;&gt;"Terminée",I748&lt;&gt;"En cours",I748&lt;&gt;"À faire",I748&lt;&gt;"Annulée"),"Statut inconnu",IF(AND(E748="Préventif",F748=""),"Plan manquant (préventif)",IF(AND(F748&lt;&gt;"",ISNA(MATCH(F748,pl_num,0))),"Plan inconnu",IF(AND(F748&lt;&gt;"",IFERROR(INDEX(pl_eq,MATCH(F748,pl_num,0))&amp;"",C748)&lt;&gt;C748),"Plan d'un autre équipement",IF(AND(J748&lt;&gt;"",OR(NOT(ISNUMBER(J748)),N(J748)&lt;0)),"Compteur invalide",IF(OR(AND(K748&lt;&gt;"",OR(NOT(ISNUMBER(K748)),N(K748)&lt;0)),AND(L748&lt;&gt;"",OR(NOT(ISNUMBER(L748)),N(L748)&lt;0))),"Durée invalide",IF(OR(AND(N748&lt;&gt;"",OR(NOT(ISNUMBER(N748)),N(N748)&lt;0)),AND(P748&lt;&gt;"",OR(NOT(ISNUMBER(P748)),N(P748)&lt;0))),"Coût invalide",IF(AND(M748&lt;&gt;"",ISNA(MATCH(M748,tech_name,0))),"Technicien inconnu",IF(AND(I748="Terminée",S748&gt;p_today),"Terminée à une date future",IF(AND(I748="Terminée",V748=0),"Durée d'intervention manquante",IF(AND(I748="Terminée",E748="Préventif",T748=0,OR(IFERROR(INDEX(pl_trig,MATCH(F748,pl_num,0))&amp;"","")="Compteur",IFERROR(INDEX(pl_trig,MATCH(F748,pl_num,0))&amp;"","")="Au premier des deux")),"Compteur manquant (plan au compteur)","OK"))))))))))))))))))</f>
        <v/>
      </c>
      <c r="S748" s="67">
        <f>IF(AND(ISNUMBER(B748),N(B748)&gt;0),INT(B748),0)</f>
        <v>0.0</v>
      </c>
      <c r="T748" s="67">
        <f>IF(AND(ISNUMBER(J748),N(J748)&gt;=0),N(J748),0)</f>
        <v>0.0</v>
      </c>
      <c r="U748" s="67">
        <f>IF(AND(ISNUMBER(K748),N(K748)&gt;0),N(K748),0)</f>
        <v>0.0</v>
      </c>
      <c r="V748" s="67">
        <f>IF(AND(ISNUMBER(L748),N(L748)&gt;0),N(L748),0)</f>
        <v>0.0</v>
      </c>
      <c r="W748" s="67">
        <f>IF(AND(I748="Terminée",S748&gt;0,C748&lt;&gt;"",ISNUMBER(MATCH(C748,eq_code,0))),1,0)</f>
        <v>0.0</v>
      </c>
      <c r="X748" s="67">
        <f>IF(AND(W748=1,E748="Préventif"),1,0)</f>
        <v>0.0</v>
      </c>
      <c r="Y748" s="67">
        <f>IF(AND(ISNUMBER(N748),N(N748)&gt;0),N(N748),0)</f>
        <v>0.0</v>
      </c>
      <c r="Z748" s="67">
        <f>IF(AND(ISNUMBER(P748),N(P748)&gt;0),N(P748),0)</f>
        <v>0.0</v>
      </c>
    </row>
    <row r="749">
      <c r="A749" s="79" t="str">
        <f>IF(COUNTA(B749:C749,E749:G749,I749)=0,"","BI-"&amp;RIGHT("0000"&amp;(ROW()-5),4))</f>
        <v/>
      </c>
      <c r="B749" s="72" t="n"/>
      <c r="C749" s="66" t="n"/>
      <c r="D749" s="67" t="str">
        <f>IF(C749="","",IFERROR(INDEX(eq_des,MATCH(C749,eq_code,0))&amp;"","Équipement inconnu"))</f>
        <v/>
      </c>
      <c r="E749" s="68" t="n"/>
      <c r="F749" s="68" t="n"/>
      <c r="G749" s="66" t="n"/>
      <c r="H749" s="66" t="n"/>
      <c r="I749" s="68" t="n"/>
      <c r="J749" s="73" t="n"/>
      <c r="K749" s="71" t="n"/>
      <c r="L749" s="71" t="n"/>
      <c r="M749" s="66" t="n"/>
      <c r="N749" s="80" t="n"/>
      <c r="O749" s="81" t="str">
        <f>IF(A749="","",ROUND(V749*IFERROR(N(INDEX(tech_rate,MATCH(M749,tech_name,0))),0),2))</f>
        <v/>
      </c>
      <c r="P749" s="80" t="n"/>
      <c r="Q749" s="81" t="str">
        <f>IF(A749="","",ROUND(Y749+O749+Z749,2))</f>
        <v/>
      </c>
      <c r="R749" s="79" t="str">
        <f>IF(A749="","",IF(S749=0,"Date manquante ou invalide",IF(C749="","Équipement manquant",IF(ISNA(MATCH(C749,eq_code,0)),"Équipement inconnu",IF(E749="","Type manquant",IF(AND(E749&lt;&gt;"Préventif",E749&lt;&gt;"Correctif",E749&lt;&gt;"Amélioratif"),"Type inconnu",IF(I749="","Statut manquant",IF(AND(I749&lt;&gt;"Terminée",I749&lt;&gt;"En cours",I749&lt;&gt;"À faire",I749&lt;&gt;"Annulée"),"Statut inconnu",IF(AND(E749="Préventif",F749=""),"Plan manquant (préventif)",IF(AND(F749&lt;&gt;"",ISNA(MATCH(F749,pl_num,0))),"Plan inconnu",IF(AND(F749&lt;&gt;"",IFERROR(INDEX(pl_eq,MATCH(F749,pl_num,0))&amp;"",C749)&lt;&gt;C749),"Plan d'un autre équipement",IF(AND(J749&lt;&gt;"",OR(NOT(ISNUMBER(J749)),N(J749)&lt;0)),"Compteur invalide",IF(OR(AND(K749&lt;&gt;"",OR(NOT(ISNUMBER(K749)),N(K749)&lt;0)),AND(L749&lt;&gt;"",OR(NOT(ISNUMBER(L749)),N(L749)&lt;0))),"Durée invalide",IF(OR(AND(N749&lt;&gt;"",OR(NOT(ISNUMBER(N749)),N(N749)&lt;0)),AND(P749&lt;&gt;"",OR(NOT(ISNUMBER(P749)),N(P749)&lt;0))),"Coût invalide",IF(AND(M749&lt;&gt;"",ISNA(MATCH(M749,tech_name,0))),"Technicien inconnu",IF(AND(I749="Terminée",S749&gt;p_today),"Terminée à une date future",IF(AND(I749="Terminée",V749=0),"Durée d'intervention manquante",IF(AND(I749="Terminée",E749="Préventif",T749=0,OR(IFERROR(INDEX(pl_trig,MATCH(F749,pl_num,0))&amp;"","")="Compteur",IFERROR(INDEX(pl_trig,MATCH(F749,pl_num,0))&amp;"","")="Au premier des deux")),"Compteur manquant (plan au compteur)","OK"))))))))))))))))))</f>
        <v/>
      </c>
      <c r="S749" s="67">
        <f>IF(AND(ISNUMBER(B749),N(B749)&gt;0),INT(B749),0)</f>
        <v>0.0</v>
      </c>
      <c r="T749" s="67">
        <f>IF(AND(ISNUMBER(J749),N(J749)&gt;=0),N(J749),0)</f>
        <v>0.0</v>
      </c>
      <c r="U749" s="67">
        <f>IF(AND(ISNUMBER(K749),N(K749)&gt;0),N(K749),0)</f>
        <v>0.0</v>
      </c>
      <c r="V749" s="67">
        <f>IF(AND(ISNUMBER(L749),N(L749)&gt;0),N(L749),0)</f>
        <v>0.0</v>
      </c>
      <c r="W749" s="67">
        <f>IF(AND(I749="Terminée",S749&gt;0,C749&lt;&gt;"",ISNUMBER(MATCH(C749,eq_code,0))),1,0)</f>
        <v>0.0</v>
      </c>
      <c r="X749" s="67">
        <f>IF(AND(W749=1,E749="Préventif"),1,0)</f>
        <v>0.0</v>
      </c>
      <c r="Y749" s="67">
        <f>IF(AND(ISNUMBER(N749),N(N749)&gt;0),N(N749),0)</f>
        <v>0.0</v>
      </c>
      <c r="Z749" s="67">
        <f>IF(AND(ISNUMBER(P749),N(P749)&gt;0),N(P749),0)</f>
        <v>0.0</v>
      </c>
    </row>
    <row r="750">
      <c r="A750" s="79" t="str">
        <f>IF(COUNTA(B750:C750,E750:G750,I750)=0,"","BI-"&amp;RIGHT("0000"&amp;(ROW()-5),4))</f>
        <v/>
      </c>
      <c r="B750" s="72" t="n"/>
      <c r="C750" s="66" t="n"/>
      <c r="D750" s="67" t="str">
        <f>IF(C750="","",IFERROR(INDEX(eq_des,MATCH(C750,eq_code,0))&amp;"","Équipement inconnu"))</f>
        <v/>
      </c>
      <c r="E750" s="68" t="n"/>
      <c r="F750" s="68" t="n"/>
      <c r="G750" s="66" t="n"/>
      <c r="H750" s="66" t="n"/>
      <c r="I750" s="68" t="n"/>
      <c r="J750" s="73" t="n"/>
      <c r="K750" s="71" t="n"/>
      <c r="L750" s="71" t="n"/>
      <c r="M750" s="66" t="n"/>
      <c r="N750" s="80" t="n"/>
      <c r="O750" s="81" t="str">
        <f>IF(A750="","",ROUND(V750*IFERROR(N(INDEX(tech_rate,MATCH(M750,tech_name,0))),0),2))</f>
        <v/>
      </c>
      <c r="P750" s="80" t="n"/>
      <c r="Q750" s="81" t="str">
        <f>IF(A750="","",ROUND(Y750+O750+Z750,2))</f>
        <v/>
      </c>
      <c r="R750" s="79" t="str">
        <f>IF(A750="","",IF(S750=0,"Date manquante ou invalide",IF(C750="","Équipement manquant",IF(ISNA(MATCH(C750,eq_code,0)),"Équipement inconnu",IF(E750="","Type manquant",IF(AND(E750&lt;&gt;"Préventif",E750&lt;&gt;"Correctif",E750&lt;&gt;"Amélioratif"),"Type inconnu",IF(I750="","Statut manquant",IF(AND(I750&lt;&gt;"Terminée",I750&lt;&gt;"En cours",I750&lt;&gt;"À faire",I750&lt;&gt;"Annulée"),"Statut inconnu",IF(AND(E750="Préventif",F750=""),"Plan manquant (préventif)",IF(AND(F750&lt;&gt;"",ISNA(MATCH(F750,pl_num,0))),"Plan inconnu",IF(AND(F750&lt;&gt;"",IFERROR(INDEX(pl_eq,MATCH(F750,pl_num,0))&amp;"",C750)&lt;&gt;C750),"Plan d'un autre équipement",IF(AND(J750&lt;&gt;"",OR(NOT(ISNUMBER(J750)),N(J750)&lt;0)),"Compteur invalide",IF(OR(AND(K750&lt;&gt;"",OR(NOT(ISNUMBER(K750)),N(K750)&lt;0)),AND(L750&lt;&gt;"",OR(NOT(ISNUMBER(L750)),N(L750)&lt;0))),"Durée invalide",IF(OR(AND(N750&lt;&gt;"",OR(NOT(ISNUMBER(N750)),N(N750)&lt;0)),AND(P750&lt;&gt;"",OR(NOT(ISNUMBER(P750)),N(P750)&lt;0))),"Coût invalide",IF(AND(M750&lt;&gt;"",ISNA(MATCH(M750,tech_name,0))),"Technicien inconnu",IF(AND(I750="Terminée",S750&gt;p_today),"Terminée à une date future",IF(AND(I750="Terminée",V750=0),"Durée d'intervention manquante",IF(AND(I750="Terminée",E750="Préventif",T750=0,OR(IFERROR(INDEX(pl_trig,MATCH(F750,pl_num,0))&amp;"","")="Compteur",IFERROR(INDEX(pl_trig,MATCH(F750,pl_num,0))&amp;"","")="Au premier des deux")),"Compteur manquant (plan au compteur)","OK"))))))))))))))))))</f>
        <v/>
      </c>
      <c r="S750" s="67">
        <f>IF(AND(ISNUMBER(B750),N(B750)&gt;0),INT(B750),0)</f>
        <v>0.0</v>
      </c>
      <c r="T750" s="67">
        <f>IF(AND(ISNUMBER(J750),N(J750)&gt;=0),N(J750),0)</f>
        <v>0.0</v>
      </c>
      <c r="U750" s="67">
        <f>IF(AND(ISNUMBER(K750),N(K750)&gt;0),N(K750),0)</f>
        <v>0.0</v>
      </c>
      <c r="V750" s="67">
        <f>IF(AND(ISNUMBER(L750),N(L750)&gt;0),N(L750),0)</f>
        <v>0.0</v>
      </c>
      <c r="W750" s="67">
        <f>IF(AND(I750="Terminée",S750&gt;0,C750&lt;&gt;"",ISNUMBER(MATCH(C750,eq_code,0))),1,0)</f>
        <v>0.0</v>
      </c>
      <c r="X750" s="67">
        <f>IF(AND(W750=1,E750="Préventif"),1,0)</f>
        <v>0.0</v>
      </c>
      <c r="Y750" s="67">
        <f>IF(AND(ISNUMBER(N750),N(N750)&gt;0),N(N750),0)</f>
        <v>0.0</v>
      </c>
      <c r="Z750" s="67">
        <f>IF(AND(ISNUMBER(P750),N(P750)&gt;0),N(P750),0)</f>
        <v>0.0</v>
      </c>
    </row>
    <row r="751">
      <c r="A751" s="79" t="str">
        <f>IF(COUNTA(B751:C751,E751:G751,I751)=0,"","BI-"&amp;RIGHT("0000"&amp;(ROW()-5),4))</f>
        <v/>
      </c>
      <c r="B751" s="72" t="n"/>
      <c r="C751" s="66" t="n"/>
      <c r="D751" s="67" t="str">
        <f>IF(C751="","",IFERROR(INDEX(eq_des,MATCH(C751,eq_code,0))&amp;"","Équipement inconnu"))</f>
        <v/>
      </c>
      <c r="E751" s="68" t="n"/>
      <c r="F751" s="68" t="n"/>
      <c r="G751" s="66" t="n"/>
      <c r="H751" s="66" t="n"/>
      <c r="I751" s="68" t="n"/>
      <c r="J751" s="73" t="n"/>
      <c r="K751" s="71" t="n"/>
      <c r="L751" s="71" t="n"/>
      <c r="M751" s="66" t="n"/>
      <c r="N751" s="80" t="n"/>
      <c r="O751" s="81" t="str">
        <f>IF(A751="","",ROUND(V751*IFERROR(N(INDEX(tech_rate,MATCH(M751,tech_name,0))),0),2))</f>
        <v/>
      </c>
      <c r="P751" s="80" t="n"/>
      <c r="Q751" s="81" t="str">
        <f>IF(A751="","",ROUND(Y751+O751+Z751,2))</f>
        <v/>
      </c>
      <c r="R751" s="79" t="str">
        <f>IF(A751="","",IF(S751=0,"Date manquante ou invalide",IF(C751="","Équipement manquant",IF(ISNA(MATCH(C751,eq_code,0)),"Équipement inconnu",IF(E751="","Type manquant",IF(AND(E751&lt;&gt;"Préventif",E751&lt;&gt;"Correctif",E751&lt;&gt;"Amélioratif"),"Type inconnu",IF(I751="","Statut manquant",IF(AND(I751&lt;&gt;"Terminée",I751&lt;&gt;"En cours",I751&lt;&gt;"À faire",I751&lt;&gt;"Annulée"),"Statut inconnu",IF(AND(E751="Préventif",F751=""),"Plan manquant (préventif)",IF(AND(F751&lt;&gt;"",ISNA(MATCH(F751,pl_num,0))),"Plan inconnu",IF(AND(F751&lt;&gt;"",IFERROR(INDEX(pl_eq,MATCH(F751,pl_num,0))&amp;"",C751)&lt;&gt;C751),"Plan d'un autre équipement",IF(AND(J751&lt;&gt;"",OR(NOT(ISNUMBER(J751)),N(J751)&lt;0)),"Compteur invalide",IF(OR(AND(K751&lt;&gt;"",OR(NOT(ISNUMBER(K751)),N(K751)&lt;0)),AND(L751&lt;&gt;"",OR(NOT(ISNUMBER(L751)),N(L751)&lt;0))),"Durée invalide",IF(OR(AND(N751&lt;&gt;"",OR(NOT(ISNUMBER(N751)),N(N751)&lt;0)),AND(P751&lt;&gt;"",OR(NOT(ISNUMBER(P751)),N(P751)&lt;0))),"Coût invalide",IF(AND(M751&lt;&gt;"",ISNA(MATCH(M751,tech_name,0))),"Technicien inconnu",IF(AND(I751="Terminée",S751&gt;p_today),"Terminée à une date future",IF(AND(I751="Terminée",V751=0),"Durée d'intervention manquante",IF(AND(I751="Terminée",E751="Préventif",T751=0,OR(IFERROR(INDEX(pl_trig,MATCH(F751,pl_num,0))&amp;"","")="Compteur",IFERROR(INDEX(pl_trig,MATCH(F751,pl_num,0))&amp;"","")="Au premier des deux")),"Compteur manquant (plan au compteur)","OK"))))))))))))))))))</f>
        <v/>
      </c>
      <c r="S751" s="67">
        <f>IF(AND(ISNUMBER(B751),N(B751)&gt;0),INT(B751),0)</f>
        <v>0.0</v>
      </c>
      <c r="T751" s="67">
        <f>IF(AND(ISNUMBER(J751),N(J751)&gt;=0),N(J751),0)</f>
        <v>0.0</v>
      </c>
      <c r="U751" s="67">
        <f>IF(AND(ISNUMBER(K751),N(K751)&gt;0),N(K751),0)</f>
        <v>0.0</v>
      </c>
      <c r="V751" s="67">
        <f>IF(AND(ISNUMBER(L751),N(L751)&gt;0),N(L751),0)</f>
        <v>0.0</v>
      </c>
      <c r="W751" s="67">
        <f>IF(AND(I751="Terminée",S751&gt;0,C751&lt;&gt;"",ISNUMBER(MATCH(C751,eq_code,0))),1,0)</f>
        <v>0.0</v>
      </c>
      <c r="X751" s="67">
        <f>IF(AND(W751=1,E751="Préventif"),1,0)</f>
        <v>0.0</v>
      </c>
      <c r="Y751" s="67">
        <f>IF(AND(ISNUMBER(N751),N(N751)&gt;0),N(N751),0)</f>
        <v>0.0</v>
      </c>
      <c r="Z751" s="67">
        <f>IF(AND(ISNUMBER(P751),N(P751)&gt;0),N(P751),0)</f>
        <v>0.0</v>
      </c>
    </row>
    <row r="752">
      <c r="A752" s="79" t="str">
        <f>IF(COUNTA(B752:C752,E752:G752,I752)=0,"","BI-"&amp;RIGHT("0000"&amp;(ROW()-5),4))</f>
        <v/>
      </c>
      <c r="B752" s="72" t="n"/>
      <c r="C752" s="66" t="n"/>
      <c r="D752" s="67" t="str">
        <f>IF(C752="","",IFERROR(INDEX(eq_des,MATCH(C752,eq_code,0))&amp;"","Équipement inconnu"))</f>
        <v/>
      </c>
      <c r="E752" s="68" t="n"/>
      <c r="F752" s="68" t="n"/>
      <c r="G752" s="66" t="n"/>
      <c r="H752" s="66" t="n"/>
      <c r="I752" s="68" t="n"/>
      <c r="J752" s="73" t="n"/>
      <c r="K752" s="71" t="n"/>
      <c r="L752" s="71" t="n"/>
      <c r="M752" s="66" t="n"/>
      <c r="N752" s="80" t="n"/>
      <c r="O752" s="81" t="str">
        <f>IF(A752="","",ROUND(V752*IFERROR(N(INDEX(tech_rate,MATCH(M752,tech_name,0))),0),2))</f>
        <v/>
      </c>
      <c r="P752" s="80" t="n"/>
      <c r="Q752" s="81" t="str">
        <f>IF(A752="","",ROUND(Y752+O752+Z752,2))</f>
        <v/>
      </c>
      <c r="R752" s="79" t="str">
        <f>IF(A752="","",IF(S752=0,"Date manquante ou invalide",IF(C752="","Équipement manquant",IF(ISNA(MATCH(C752,eq_code,0)),"Équipement inconnu",IF(E752="","Type manquant",IF(AND(E752&lt;&gt;"Préventif",E752&lt;&gt;"Correctif",E752&lt;&gt;"Amélioratif"),"Type inconnu",IF(I752="","Statut manquant",IF(AND(I752&lt;&gt;"Terminée",I752&lt;&gt;"En cours",I752&lt;&gt;"À faire",I752&lt;&gt;"Annulée"),"Statut inconnu",IF(AND(E752="Préventif",F752=""),"Plan manquant (préventif)",IF(AND(F752&lt;&gt;"",ISNA(MATCH(F752,pl_num,0))),"Plan inconnu",IF(AND(F752&lt;&gt;"",IFERROR(INDEX(pl_eq,MATCH(F752,pl_num,0))&amp;"",C752)&lt;&gt;C752),"Plan d'un autre équipement",IF(AND(J752&lt;&gt;"",OR(NOT(ISNUMBER(J752)),N(J752)&lt;0)),"Compteur invalide",IF(OR(AND(K752&lt;&gt;"",OR(NOT(ISNUMBER(K752)),N(K752)&lt;0)),AND(L752&lt;&gt;"",OR(NOT(ISNUMBER(L752)),N(L752)&lt;0))),"Durée invalide",IF(OR(AND(N752&lt;&gt;"",OR(NOT(ISNUMBER(N752)),N(N752)&lt;0)),AND(P752&lt;&gt;"",OR(NOT(ISNUMBER(P752)),N(P752)&lt;0))),"Coût invalide",IF(AND(M752&lt;&gt;"",ISNA(MATCH(M752,tech_name,0))),"Technicien inconnu",IF(AND(I752="Terminée",S752&gt;p_today),"Terminée à une date future",IF(AND(I752="Terminée",V752=0),"Durée d'intervention manquante",IF(AND(I752="Terminée",E752="Préventif",T752=0,OR(IFERROR(INDEX(pl_trig,MATCH(F752,pl_num,0))&amp;"","")="Compteur",IFERROR(INDEX(pl_trig,MATCH(F752,pl_num,0))&amp;"","")="Au premier des deux")),"Compteur manquant (plan au compteur)","OK"))))))))))))))))))</f>
        <v/>
      </c>
      <c r="S752" s="67">
        <f>IF(AND(ISNUMBER(B752),N(B752)&gt;0),INT(B752),0)</f>
        <v>0.0</v>
      </c>
      <c r="T752" s="67">
        <f>IF(AND(ISNUMBER(J752),N(J752)&gt;=0),N(J752),0)</f>
        <v>0.0</v>
      </c>
      <c r="U752" s="67">
        <f>IF(AND(ISNUMBER(K752),N(K752)&gt;0),N(K752),0)</f>
        <v>0.0</v>
      </c>
      <c r="V752" s="67">
        <f>IF(AND(ISNUMBER(L752),N(L752)&gt;0),N(L752),0)</f>
        <v>0.0</v>
      </c>
      <c r="W752" s="67">
        <f>IF(AND(I752="Terminée",S752&gt;0,C752&lt;&gt;"",ISNUMBER(MATCH(C752,eq_code,0))),1,0)</f>
        <v>0.0</v>
      </c>
      <c r="X752" s="67">
        <f>IF(AND(W752=1,E752="Préventif"),1,0)</f>
        <v>0.0</v>
      </c>
      <c r="Y752" s="67">
        <f>IF(AND(ISNUMBER(N752),N(N752)&gt;0),N(N752),0)</f>
        <v>0.0</v>
      </c>
      <c r="Z752" s="67">
        <f>IF(AND(ISNUMBER(P752),N(P752)&gt;0),N(P752),0)</f>
        <v>0.0</v>
      </c>
    </row>
    <row r="753">
      <c r="A753" s="79" t="str">
        <f>IF(COUNTA(B753:C753,E753:G753,I753)=0,"","BI-"&amp;RIGHT("0000"&amp;(ROW()-5),4))</f>
        <v/>
      </c>
      <c r="B753" s="72" t="n"/>
      <c r="C753" s="66" t="n"/>
      <c r="D753" s="67" t="str">
        <f>IF(C753="","",IFERROR(INDEX(eq_des,MATCH(C753,eq_code,0))&amp;"","Équipement inconnu"))</f>
        <v/>
      </c>
      <c r="E753" s="68" t="n"/>
      <c r="F753" s="68" t="n"/>
      <c r="G753" s="66" t="n"/>
      <c r="H753" s="66" t="n"/>
      <c r="I753" s="68" t="n"/>
      <c r="J753" s="73" t="n"/>
      <c r="K753" s="71" t="n"/>
      <c r="L753" s="71" t="n"/>
      <c r="M753" s="66" t="n"/>
      <c r="N753" s="80" t="n"/>
      <c r="O753" s="81" t="str">
        <f>IF(A753="","",ROUND(V753*IFERROR(N(INDEX(tech_rate,MATCH(M753,tech_name,0))),0),2))</f>
        <v/>
      </c>
      <c r="P753" s="80" t="n"/>
      <c r="Q753" s="81" t="str">
        <f>IF(A753="","",ROUND(Y753+O753+Z753,2))</f>
        <v/>
      </c>
      <c r="R753" s="79" t="str">
        <f>IF(A753="","",IF(S753=0,"Date manquante ou invalide",IF(C753="","Équipement manquant",IF(ISNA(MATCH(C753,eq_code,0)),"Équipement inconnu",IF(E753="","Type manquant",IF(AND(E753&lt;&gt;"Préventif",E753&lt;&gt;"Correctif",E753&lt;&gt;"Amélioratif"),"Type inconnu",IF(I753="","Statut manquant",IF(AND(I753&lt;&gt;"Terminée",I753&lt;&gt;"En cours",I753&lt;&gt;"À faire",I753&lt;&gt;"Annulée"),"Statut inconnu",IF(AND(E753="Préventif",F753=""),"Plan manquant (préventif)",IF(AND(F753&lt;&gt;"",ISNA(MATCH(F753,pl_num,0))),"Plan inconnu",IF(AND(F753&lt;&gt;"",IFERROR(INDEX(pl_eq,MATCH(F753,pl_num,0))&amp;"",C753)&lt;&gt;C753),"Plan d'un autre équipement",IF(AND(J753&lt;&gt;"",OR(NOT(ISNUMBER(J753)),N(J753)&lt;0)),"Compteur invalide",IF(OR(AND(K753&lt;&gt;"",OR(NOT(ISNUMBER(K753)),N(K753)&lt;0)),AND(L753&lt;&gt;"",OR(NOT(ISNUMBER(L753)),N(L753)&lt;0))),"Durée invalide",IF(OR(AND(N753&lt;&gt;"",OR(NOT(ISNUMBER(N753)),N(N753)&lt;0)),AND(P753&lt;&gt;"",OR(NOT(ISNUMBER(P753)),N(P753)&lt;0))),"Coût invalide",IF(AND(M753&lt;&gt;"",ISNA(MATCH(M753,tech_name,0))),"Technicien inconnu",IF(AND(I753="Terminée",S753&gt;p_today),"Terminée à une date future",IF(AND(I753="Terminée",V753=0),"Durée d'intervention manquante",IF(AND(I753="Terminée",E753="Préventif",T753=0,OR(IFERROR(INDEX(pl_trig,MATCH(F753,pl_num,0))&amp;"","")="Compteur",IFERROR(INDEX(pl_trig,MATCH(F753,pl_num,0))&amp;"","")="Au premier des deux")),"Compteur manquant (plan au compteur)","OK"))))))))))))))))))</f>
        <v/>
      </c>
      <c r="S753" s="67">
        <f>IF(AND(ISNUMBER(B753),N(B753)&gt;0),INT(B753),0)</f>
        <v>0.0</v>
      </c>
      <c r="T753" s="67">
        <f>IF(AND(ISNUMBER(J753),N(J753)&gt;=0),N(J753),0)</f>
        <v>0.0</v>
      </c>
      <c r="U753" s="67">
        <f>IF(AND(ISNUMBER(K753),N(K753)&gt;0),N(K753),0)</f>
        <v>0.0</v>
      </c>
      <c r="V753" s="67">
        <f>IF(AND(ISNUMBER(L753),N(L753)&gt;0),N(L753),0)</f>
        <v>0.0</v>
      </c>
      <c r="W753" s="67">
        <f>IF(AND(I753="Terminée",S753&gt;0,C753&lt;&gt;"",ISNUMBER(MATCH(C753,eq_code,0))),1,0)</f>
        <v>0.0</v>
      </c>
      <c r="X753" s="67">
        <f>IF(AND(W753=1,E753="Préventif"),1,0)</f>
        <v>0.0</v>
      </c>
      <c r="Y753" s="67">
        <f>IF(AND(ISNUMBER(N753),N(N753)&gt;0),N(N753),0)</f>
        <v>0.0</v>
      </c>
      <c r="Z753" s="67">
        <f>IF(AND(ISNUMBER(P753),N(P753)&gt;0),N(P753),0)</f>
        <v>0.0</v>
      </c>
    </row>
    <row r="754">
      <c r="A754" s="79" t="str">
        <f>IF(COUNTA(B754:C754,E754:G754,I754)=0,"","BI-"&amp;RIGHT("0000"&amp;(ROW()-5),4))</f>
        <v/>
      </c>
      <c r="B754" s="72" t="n"/>
      <c r="C754" s="66" t="n"/>
      <c r="D754" s="67" t="str">
        <f>IF(C754="","",IFERROR(INDEX(eq_des,MATCH(C754,eq_code,0))&amp;"","Équipement inconnu"))</f>
        <v/>
      </c>
      <c r="E754" s="68" t="n"/>
      <c r="F754" s="68" t="n"/>
      <c r="G754" s="66" t="n"/>
      <c r="H754" s="66" t="n"/>
      <c r="I754" s="68" t="n"/>
      <c r="J754" s="73" t="n"/>
      <c r="K754" s="71" t="n"/>
      <c r="L754" s="71" t="n"/>
      <c r="M754" s="66" t="n"/>
      <c r="N754" s="80" t="n"/>
      <c r="O754" s="81" t="str">
        <f>IF(A754="","",ROUND(V754*IFERROR(N(INDEX(tech_rate,MATCH(M754,tech_name,0))),0),2))</f>
        <v/>
      </c>
      <c r="P754" s="80" t="n"/>
      <c r="Q754" s="81" t="str">
        <f>IF(A754="","",ROUND(Y754+O754+Z754,2))</f>
        <v/>
      </c>
      <c r="R754" s="79" t="str">
        <f>IF(A754="","",IF(S754=0,"Date manquante ou invalide",IF(C754="","Équipement manquant",IF(ISNA(MATCH(C754,eq_code,0)),"Équipement inconnu",IF(E754="","Type manquant",IF(AND(E754&lt;&gt;"Préventif",E754&lt;&gt;"Correctif",E754&lt;&gt;"Amélioratif"),"Type inconnu",IF(I754="","Statut manquant",IF(AND(I754&lt;&gt;"Terminée",I754&lt;&gt;"En cours",I754&lt;&gt;"À faire",I754&lt;&gt;"Annulée"),"Statut inconnu",IF(AND(E754="Préventif",F754=""),"Plan manquant (préventif)",IF(AND(F754&lt;&gt;"",ISNA(MATCH(F754,pl_num,0))),"Plan inconnu",IF(AND(F754&lt;&gt;"",IFERROR(INDEX(pl_eq,MATCH(F754,pl_num,0))&amp;"",C754)&lt;&gt;C754),"Plan d'un autre équipement",IF(AND(J754&lt;&gt;"",OR(NOT(ISNUMBER(J754)),N(J754)&lt;0)),"Compteur invalide",IF(OR(AND(K754&lt;&gt;"",OR(NOT(ISNUMBER(K754)),N(K754)&lt;0)),AND(L754&lt;&gt;"",OR(NOT(ISNUMBER(L754)),N(L754)&lt;0))),"Durée invalide",IF(OR(AND(N754&lt;&gt;"",OR(NOT(ISNUMBER(N754)),N(N754)&lt;0)),AND(P754&lt;&gt;"",OR(NOT(ISNUMBER(P754)),N(P754)&lt;0))),"Coût invalide",IF(AND(M754&lt;&gt;"",ISNA(MATCH(M754,tech_name,0))),"Technicien inconnu",IF(AND(I754="Terminée",S754&gt;p_today),"Terminée à une date future",IF(AND(I754="Terminée",V754=0),"Durée d'intervention manquante",IF(AND(I754="Terminée",E754="Préventif",T754=0,OR(IFERROR(INDEX(pl_trig,MATCH(F754,pl_num,0))&amp;"","")="Compteur",IFERROR(INDEX(pl_trig,MATCH(F754,pl_num,0))&amp;"","")="Au premier des deux")),"Compteur manquant (plan au compteur)","OK"))))))))))))))))))</f>
        <v/>
      </c>
      <c r="S754" s="67">
        <f>IF(AND(ISNUMBER(B754),N(B754)&gt;0),INT(B754),0)</f>
        <v>0.0</v>
      </c>
      <c r="T754" s="67">
        <f>IF(AND(ISNUMBER(J754),N(J754)&gt;=0),N(J754),0)</f>
        <v>0.0</v>
      </c>
      <c r="U754" s="67">
        <f>IF(AND(ISNUMBER(K754),N(K754)&gt;0),N(K754),0)</f>
        <v>0.0</v>
      </c>
      <c r="V754" s="67">
        <f>IF(AND(ISNUMBER(L754),N(L754)&gt;0),N(L754),0)</f>
        <v>0.0</v>
      </c>
      <c r="W754" s="67">
        <f>IF(AND(I754="Terminée",S754&gt;0,C754&lt;&gt;"",ISNUMBER(MATCH(C754,eq_code,0))),1,0)</f>
        <v>0.0</v>
      </c>
      <c r="X754" s="67">
        <f>IF(AND(W754=1,E754="Préventif"),1,0)</f>
        <v>0.0</v>
      </c>
      <c r="Y754" s="67">
        <f>IF(AND(ISNUMBER(N754),N(N754)&gt;0),N(N754),0)</f>
        <v>0.0</v>
      </c>
      <c r="Z754" s="67">
        <f>IF(AND(ISNUMBER(P754),N(P754)&gt;0),N(P754),0)</f>
        <v>0.0</v>
      </c>
    </row>
    <row r="755">
      <c r="A755" s="79" t="str">
        <f>IF(COUNTA(B755:C755,E755:G755,I755)=0,"","BI-"&amp;RIGHT("0000"&amp;(ROW()-5),4))</f>
        <v/>
      </c>
      <c r="B755" s="72" t="n"/>
      <c r="C755" s="66" t="n"/>
      <c r="D755" s="67" t="str">
        <f>IF(C755="","",IFERROR(INDEX(eq_des,MATCH(C755,eq_code,0))&amp;"","Équipement inconnu"))</f>
        <v/>
      </c>
      <c r="E755" s="68" t="n"/>
      <c r="F755" s="68" t="n"/>
      <c r="G755" s="66" t="n"/>
      <c r="H755" s="66" t="n"/>
      <c r="I755" s="68" t="n"/>
      <c r="J755" s="73" t="n"/>
      <c r="K755" s="71" t="n"/>
      <c r="L755" s="71" t="n"/>
      <c r="M755" s="66" t="n"/>
      <c r="N755" s="80" t="n"/>
      <c r="O755" s="81" t="str">
        <f>IF(A755="","",ROUND(V755*IFERROR(N(INDEX(tech_rate,MATCH(M755,tech_name,0))),0),2))</f>
        <v/>
      </c>
      <c r="P755" s="80" t="n"/>
      <c r="Q755" s="81" t="str">
        <f>IF(A755="","",ROUND(Y755+O755+Z755,2))</f>
        <v/>
      </c>
      <c r="R755" s="79" t="str">
        <f>IF(A755="","",IF(S755=0,"Date manquante ou invalide",IF(C755="","Équipement manquant",IF(ISNA(MATCH(C755,eq_code,0)),"Équipement inconnu",IF(E755="","Type manquant",IF(AND(E755&lt;&gt;"Préventif",E755&lt;&gt;"Correctif",E755&lt;&gt;"Amélioratif"),"Type inconnu",IF(I755="","Statut manquant",IF(AND(I755&lt;&gt;"Terminée",I755&lt;&gt;"En cours",I755&lt;&gt;"À faire",I755&lt;&gt;"Annulée"),"Statut inconnu",IF(AND(E755="Préventif",F755=""),"Plan manquant (préventif)",IF(AND(F755&lt;&gt;"",ISNA(MATCH(F755,pl_num,0))),"Plan inconnu",IF(AND(F755&lt;&gt;"",IFERROR(INDEX(pl_eq,MATCH(F755,pl_num,0))&amp;"",C755)&lt;&gt;C755),"Plan d'un autre équipement",IF(AND(J755&lt;&gt;"",OR(NOT(ISNUMBER(J755)),N(J755)&lt;0)),"Compteur invalide",IF(OR(AND(K755&lt;&gt;"",OR(NOT(ISNUMBER(K755)),N(K755)&lt;0)),AND(L755&lt;&gt;"",OR(NOT(ISNUMBER(L755)),N(L755)&lt;0))),"Durée invalide",IF(OR(AND(N755&lt;&gt;"",OR(NOT(ISNUMBER(N755)),N(N755)&lt;0)),AND(P755&lt;&gt;"",OR(NOT(ISNUMBER(P755)),N(P755)&lt;0))),"Coût invalide",IF(AND(M755&lt;&gt;"",ISNA(MATCH(M755,tech_name,0))),"Technicien inconnu",IF(AND(I755="Terminée",S755&gt;p_today),"Terminée à une date future",IF(AND(I755="Terminée",V755=0),"Durée d'intervention manquante",IF(AND(I755="Terminée",E755="Préventif",T755=0,OR(IFERROR(INDEX(pl_trig,MATCH(F755,pl_num,0))&amp;"","")="Compteur",IFERROR(INDEX(pl_trig,MATCH(F755,pl_num,0))&amp;"","")="Au premier des deux")),"Compteur manquant (plan au compteur)","OK"))))))))))))))))))</f>
        <v/>
      </c>
      <c r="S755" s="67">
        <f>IF(AND(ISNUMBER(B755),N(B755)&gt;0),INT(B755),0)</f>
        <v>0.0</v>
      </c>
      <c r="T755" s="67">
        <f>IF(AND(ISNUMBER(J755),N(J755)&gt;=0),N(J755),0)</f>
        <v>0.0</v>
      </c>
      <c r="U755" s="67">
        <f>IF(AND(ISNUMBER(K755),N(K755)&gt;0),N(K755),0)</f>
        <v>0.0</v>
      </c>
      <c r="V755" s="67">
        <f>IF(AND(ISNUMBER(L755),N(L755)&gt;0),N(L755),0)</f>
        <v>0.0</v>
      </c>
      <c r="W755" s="67">
        <f>IF(AND(I755="Terminée",S755&gt;0,C755&lt;&gt;"",ISNUMBER(MATCH(C755,eq_code,0))),1,0)</f>
        <v>0.0</v>
      </c>
      <c r="X755" s="67">
        <f>IF(AND(W755=1,E755="Préventif"),1,0)</f>
        <v>0.0</v>
      </c>
      <c r="Y755" s="67">
        <f>IF(AND(ISNUMBER(N755),N(N755)&gt;0),N(N755),0)</f>
        <v>0.0</v>
      </c>
      <c r="Z755" s="67">
        <f>IF(AND(ISNUMBER(P755),N(P755)&gt;0),N(P755),0)</f>
        <v>0.0</v>
      </c>
    </row>
    <row r="756">
      <c r="A756" s="79" t="str">
        <f>IF(COUNTA(B756:C756,E756:G756,I756)=0,"","BI-"&amp;RIGHT("0000"&amp;(ROW()-5),4))</f>
        <v/>
      </c>
      <c r="B756" s="72" t="n"/>
      <c r="C756" s="66" t="n"/>
      <c r="D756" s="67" t="str">
        <f>IF(C756="","",IFERROR(INDEX(eq_des,MATCH(C756,eq_code,0))&amp;"","Équipement inconnu"))</f>
        <v/>
      </c>
      <c r="E756" s="68" t="n"/>
      <c r="F756" s="68" t="n"/>
      <c r="G756" s="66" t="n"/>
      <c r="H756" s="66" t="n"/>
      <c r="I756" s="68" t="n"/>
      <c r="J756" s="73" t="n"/>
      <c r="K756" s="71" t="n"/>
      <c r="L756" s="71" t="n"/>
      <c r="M756" s="66" t="n"/>
      <c r="N756" s="80" t="n"/>
      <c r="O756" s="81" t="str">
        <f>IF(A756="","",ROUND(V756*IFERROR(N(INDEX(tech_rate,MATCH(M756,tech_name,0))),0),2))</f>
        <v/>
      </c>
      <c r="P756" s="80" t="n"/>
      <c r="Q756" s="81" t="str">
        <f>IF(A756="","",ROUND(Y756+O756+Z756,2))</f>
        <v/>
      </c>
      <c r="R756" s="79" t="str">
        <f>IF(A756="","",IF(S756=0,"Date manquante ou invalide",IF(C756="","Équipement manquant",IF(ISNA(MATCH(C756,eq_code,0)),"Équipement inconnu",IF(E756="","Type manquant",IF(AND(E756&lt;&gt;"Préventif",E756&lt;&gt;"Correctif",E756&lt;&gt;"Amélioratif"),"Type inconnu",IF(I756="","Statut manquant",IF(AND(I756&lt;&gt;"Terminée",I756&lt;&gt;"En cours",I756&lt;&gt;"À faire",I756&lt;&gt;"Annulée"),"Statut inconnu",IF(AND(E756="Préventif",F756=""),"Plan manquant (préventif)",IF(AND(F756&lt;&gt;"",ISNA(MATCH(F756,pl_num,0))),"Plan inconnu",IF(AND(F756&lt;&gt;"",IFERROR(INDEX(pl_eq,MATCH(F756,pl_num,0))&amp;"",C756)&lt;&gt;C756),"Plan d'un autre équipement",IF(AND(J756&lt;&gt;"",OR(NOT(ISNUMBER(J756)),N(J756)&lt;0)),"Compteur invalide",IF(OR(AND(K756&lt;&gt;"",OR(NOT(ISNUMBER(K756)),N(K756)&lt;0)),AND(L756&lt;&gt;"",OR(NOT(ISNUMBER(L756)),N(L756)&lt;0))),"Durée invalide",IF(OR(AND(N756&lt;&gt;"",OR(NOT(ISNUMBER(N756)),N(N756)&lt;0)),AND(P756&lt;&gt;"",OR(NOT(ISNUMBER(P756)),N(P756)&lt;0))),"Coût invalide",IF(AND(M756&lt;&gt;"",ISNA(MATCH(M756,tech_name,0))),"Technicien inconnu",IF(AND(I756="Terminée",S756&gt;p_today),"Terminée à une date future",IF(AND(I756="Terminée",V756=0),"Durée d'intervention manquante",IF(AND(I756="Terminée",E756="Préventif",T756=0,OR(IFERROR(INDEX(pl_trig,MATCH(F756,pl_num,0))&amp;"","")="Compteur",IFERROR(INDEX(pl_trig,MATCH(F756,pl_num,0))&amp;"","")="Au premier des deux")),"Compteur manquant (plan au compteur)","OK"))))))))))))))))))</f>
        <v/>
      </c>
      <c r="S756" s="67">
        <f>IF(AND(ISNUMBER(B756),N(B756)&gt;0),INT(B756),0)</f>
        <v>0.0</v>
      </c>
      <c r="T756" s="67">
        <f>IF(AND(ISNUMBER(J756),N(J756)&gt;=0),N(J756),0)</f>
        <v>0.0</v>
      </c>
      <c r="U756" s="67">
        <f>IF(AND(ISNUMBER(K756),N(K756)&gt;0),N(K756),0)</f>
        <v>0.0</v>
      </c>
      <c r="V756" s="67">
        <f>IF(AND(ISNUMBER(L756),N(L756)&gt;0),N(L756),0)</f>
        <v>0.0</v>
      </c>
      <c r="W756" s="67">
        <f>IF(AND(I756="Terminée",S756&gt;0,C756&lt;&gt;"",ISNUMBER(MATCH(C756,eq_code,0))),1,0)</f>
        <v>0.0</v>
      </c>
      <c r="X756" s="67">
        <f>IF(AND(W756=1,E756="Préventif"),1,0)</f>
        <v>0.0</v>
      </c>
      <c r="Y756" s="67">
        <f>IF(AND(ISNUMBER(N756),N(N756)&gt;0),N(N756),0)</f>
        <v>0.0</v>
      </c>
      <c r="Z756" s="67">
        <f>IF(AND(ISNUMBER(P756),N(P756)&gt;0),N(P756),0)</f>
        <v>0.0</v>
      </c>
    </row>
    <row r="757">
      <c r="A757" s="79" t="str">
        <f>IF(COUNTA(B757:C757,E757:G757,I757)=0,"","BI-"&amp;RIGHT("0000"&amp;(ROW()-5),4))</f>
        <v/>
      </c>
      <c r="B757" s="72" t="n"/>
      <c r="C757" s="66" t="n"/>
      <c r="D757" s="67" t="str">
        <f>IF(C757="","",IFERROR(INDEX(eq_des,MATCH(C757,eq_code,0))&amp;"","Équipement inconnu"))</f>
        <v/>
      </c>
      <c r="E757" s="68" t="n"/>
      <c r="F757" s="68" t="n"/>
      <c r="G757" s="66" t="n"/>
      <c r="H757" s="66" t="n"/>
      <c r="I757" s="68" t="n"/>
      <c r="J757" s="73" t="n"/>
      <c r="K757" s="71" t="n"/>
      <c r="L757" s="71" t="n"/>
      <c r="M757" s="66" t="n"/>
      <c r="N757" s="80" t="n"/>
      <c r="O757" s="81" t="str">
        <f>IF(A757="","",ROUND(V757*IFERROR(N(INDEX(tech_rate,MATCH(M757,tech_name,0))),0),2))</f>
        <v/>
      </c>
      <c r="P757" s="80" t="n"/>
      <c r="Q757" s="81" t="str">
        <f>IF(A757="","",ROUND(Y757+O757+Z757,2))</f>
        <v/>
      </c>
      <c r="R757" s="79" t="str">
        <f>IF(A757="","",IF(S757=0,"Date manquante ou invalide",IF(C757="","Équipement manquant",IF(ISNA(MATCH(C757,eq_code,0)),"Équipement inconnu",IF(E757="","Type manquant",IF(AND(E757&lt;&gt;"Préventif",E757&lt;&gt;"Correctif",E757&lt;&gt;"Amélioratif"),"Type inconnu",IF(I757="","Statut manquant",IF(AND(I757&lt;&gt;"Terminée",I757&lt;&gt;"En cours",I757&lt;&gt;"À faire",I757&lt;&gt;"Annulée"),"Statut inconnu",IF(AND(E757="Préventif",F757=""),"Plan manquant (préventif)",IF(AND(F757&lt;&gt;"",ISNA(MATCH(F757,pl_num,0))),"Plan inconnu",IF(AND(F757&lt;&gt;"",IFERROR(INDEX(pl_eq,MATCH(F757,pl_num,0))&amp;"",C757)&lt;&gt;C757),"Plan d'un autre équipement",IF(AND(J757&lt;&gt;"",OR(NOT(ISNUMBER(J757)),N(J757)&lt;0)),"Compteur invalide",IF(OR(AND(K757&lt;&gt;"",OR(NOT(ISNUMBER(K757)),N(K757)&lt;0)),AND(L757&lt;&gt;"",OR(NOT(ISNUMBER(L757)),N(L757)&lt;0))),"Durée invalide",IF(OR(AND(N757&lt;&gt;"",OR(NOT(ISNUMBER(N757)),N(N757)&lt;0)),AND(P757&lt;&gt;"",OR(NOT(ISNUMBER(P757)),N(P757)&lt;0))),"Coût invalide",IF(AND(M757&lt;&gt;"",ISNA(MATCH(M757,tech_name,0))),"Technicien inconnu",IF(AND(I757="Terminée",S757&gt;p_today),"Terminée à une date future",IF(AND(I757="Terminée",V757=0),"Durée d'intervention manquante",IF(AND(I757="Terminée",E757="Préventif",T757=0,OR(IFERROR(INDEX(pl_trig,MATCH(F757,pl_num,0))&amp;"","")="Compteur",IFERROR(INDEX(pl_trig,MATCH(F757,pl_num,0))&amp;"","")="Au premier des deux")),"Compteur manquant (plan au compteur)","OK"))))))))))))))))))</f>
        <v/>
      </c>
      <c r="S757" s="67">
        <f>IF(AND(ISNUMBER(B757),N(B757)&gt;0),INT(B757),0)</f>
        <v>0.0</v>
      </c>
      <c r="T757" s="67">
        <f>IF(AND(ISNUMBER(J757),N(J757)&gt;=0),N(J757),0)</f>
        <v>0.0</v>
      </c>
      <c r="U757" s="67">
        <f>IF(AND(ISNUMBER(K757),N(K757)&gt;0),N(K757),0)</f>
        <v>0.0</v>
      </c>
      <c r="V757" s="67">
        <f>IF(AND(ISNUMBER(L757),N(L757)&gt;0),N(L757),0)</f>
        <v>0.0</v>
      </c>
      <c r="W757" s="67">
        <f>IF(AND(I757="Terminée",S757&gt;0,C757&lt;&gt;"",ISNUMBER(MATCH(C757,eq_code,0))),1,0)</f>
        <v>0.0</v>
      </c>
      <c r="X757" s="67">
        <f>IF(AND(W757=1,E757="Préventif"),1,0)</f>
        <v>0.0</v>
      </c>
      <c r="Y757" s="67">
        <f>IF(AND(ISNUMBER(N757),N(N757)&gt;0),N(N757),0)</f>
        <v>0.0</v>
      </c>
      <c r="Z757" s="67">
        <f>IF(AND(ISNUMBER(P757),N(P757)&gt;0),N(P757),0)</f>
        <v>0.0</v>
      </c>
    </row>
    <row r="758">
      <c r="A758" s="79" t="str">
        <f>IF(COUNTA(B758:C758,E758:G758,I758)=0,"","BI-"&amp;RIGHT("0000"&amp;(ROW()-5),4))</f>
        <v/>
      </c>
      <c r="B758" s="72" t="n"/>
      <c r="C758" s="66" t="n"/>
      <c r="D758" s="67" t="str">
        <f>IF(C758="","",IFERROR(INDEX(eq_des,MATCH(C758,eq_code,0))&amp;"","Équipement inconnu"))</f>
        <v/>
      </c>
      <c r="E758" s="68" t="n"/>
      <c r="F758" s="68" t="n"/>
      <c r="G758" s="66" t="n"/>
      <c r="H758" s="66" t="n"/>
      <c r="I758" s="68" t="n"/>
      <c r="J758" s="73" t="n"/>
      <c r="K758" s="71" t="n"/>
      <c r="L758" s="71" t="n"/>
      <c r="M758" s="66" t="n"/>
      <c r="N758" s="80" t="n"/>
      <c r="O758" s="81" t="str">
        <f>IF(A758="","",ROUND(V758*IFERROR(N(INDEX(tech_rate,MATCH(M758,tech_name,0))),0),2))</f>
        <v/>
      </c>
      <c r="P758" s="80" t="n"/>
      <c r="Q758" s="81" t="str">
        <f>IF(A758="","",ROUND(Y758+O758+Z758,2))</f>
        <v/>
      </c>
      <c r="R758" s="79" t="str">
        <f>IF(A758="","",IF(S758=0,"Date manquante ou invalide",IF(C758="","Équipement manquant",IF(ISNA(MATCH(C758,eq_code,0)),"Équipement inconnu",IF(E758="","Type manquant",IF(AND(E758&lt;&gt;"Préventif",E758&lt;&gt;"Correctif",E758&lt;&gt;"Amélioratif"),"Type inconnu",IF(I758="","Statut manquant",IF(AND(I758&lt;&gt;"Terminée",I758&lt;&gt;"En cours",I758&lt;&gt;"À faire",I758&lt;&gt;"Annulée"),"Statut inconnu",IF(AND(E758="Préventif",F758=""),"Plan manquant (préventif)",IF(AND(F758&lt;&gt;"",ISNA(MATCH(F758,pl_num,0))),"Plan inconnu",IF(AND(F758&lt;&gt;"",IFERROR(INDEX(pl_eq,MATCH(F758,pl_num,0))&amp;"",C758)&lt;&gt;C758),"Plan d'un autre équipement",IF(AND(J758&lt;&gt;"",OR(NOT(ISNUMBER(J758)),N(J758)&lt;0)),"Compteur invalide",IF(OR(AND(K758&lt;&gt;"",OR(NOT(ISNUMBER(K758)),N(K758)&lt;0)),AND(L758&lt;&gt;"",OR(NOT(ISNUMBER(L758)),N(L758)&lt;0))),"Durée invalide",IF(OR(AND(N758&lt;&gt;"",OR(NOT(ISNUMBER(N758)),N(N758)&lt;0)),AND(P758&lt;&gt;"",OR(NOT(ISNUMBER(P758)),N(P758)&lt;0))),"Coût invalide",IF(AND(M758&lt;&gt;"",ISNA(MATCH(M758,tech_name,0))),"Technicien inconnu",IF(AND(I758="Terminée",S758&gt;p_today),"Terminée à une date future",IF(AND(I758="Terminée",V758=0),"Durée d'intervention manquante",IF(AND(I758="Terminée",E758="Préventif",T758=0,OR(IFERROR(INDEX(pl_trig,MATCH(F758,pl_num,0))&amp;"","")="Compteur",IFERROR(INDEX(pl_trig,MATCH(F758,pl_num,0))&amp;"","")="Au premier des deux")),"Compteur manquant (plan au compteur)","OK"))))))))))))))))))</f>
        <v/>
      </c>
      <c r="S758" s="67">
        <f>IF(AND(ISNUMBER(B758),N(B758)&gt;0),INT(B758),0)</f>
        <v>0.0</v>
      </c>
      <c r="T758" s="67">
        <f>IF(AND(ISNUMBER(J758),N(J758)&gt;=0),N(J758),0)</f>
        <v>0.0</v>
      </c>
      <c r="U758" s="67">
        <f>IF(AND(ISNUMBER(K758),N(K758)&gt;0),N(K758),0)</f>
        <v>0.0</v>
      </c>
      <c r="V758" s="67">
        <f>IF(AND(ISNUMBER(L758),N(L758)&gt;0),N(L758),0)</f>
        <v>0.0</v>
      </c>
      <c r="W758" s="67">
        <f>IF(AND(I758="Terminée",S758&gt;0,C758&lt;&gt;"",ISNUMBER(MATCH(C758,eq_code,0))),1,0)</f>
        <v>0.0</v>
      </c>
      <c r="X758" s="67">
        <f>IF(AND(W758=1,E758="Préventif"),1,0)</f>
        <v>0.0</v>
      </c>
      <c r="Y758" s="67">
        <f>IF(AND(ISNUMBER(N758),N(N758)&gt;0),N(N758),0)</f>
        <v>0.0</v>
      </c>
      <c r="Z758" s="67">
        <f>IF(AND(ISNUMBER(P758),N(P758)&gt;0),N(P758),0)</f>
        <v>0.0</v>
      </c>
    </row>
    <row r="759">
      <c r="A759" s="79" t="str">
        <f>IF(COUNTA(B759:C759,E759:G759,I759)=0,"","BI-"&amp;RIGHT("0000"&amp;(ROW()-5),4))</f>
        <v/>
      </c>
      <c r="B759" s="72" t="n"/>
      <c r="C759" s="66" t="n"/>
      <c r="D759" s="67" t="str">
        <f>IF(C759="","",IFERROR(INDEX(eq_des,MATCH(C759,eq_code,0))&amp;"","Équipement inconnu"))</f>
        <v/>
      </c>
      <c r="E759" s="68" t="n"/>
      <c r="F759" s="68" t="n"/>
      <c r="G759" s="66" t="n"/>
      <c r="H759" s="66" t="n"/>
      <c r="I759" s="68" t="n"/>
      <c r="J759" s="73" t="n"/>
      <c r="K759" s="71" t="n"/>
      <c r="L759" s="71" t="n"/>
      <c r="M759" s="66" t="n"/>
      <c r="N759" s="80" t="n"/>
      <c r="O759" s="81" t="str">
        <f>IF(A759="","",ROUND(V759*IFERROR(N(INDEX(tech_rate,MATCH(M759,tech_name,0))),0),2))</f>
        <v/>
      </c>
      <c r="P759" s="80" t="n"/>
      <c r="Q759" s="81" t="str">
        <f>IF(A759="","",ROUND(Y759+O759+Z759,2))</f>
        <v/>
      </c>
      <c r="R759" s="79" t="str">
        <f>IF(A759="","",IF(S759=0,"Date manquante ou invalide",IF(C759="","Équipement manquant",IF(ISNA(MATCH(C759,eq_code,0)),"Équipement inconnu",IF(E759="","Type manquant",IF(AND(E759&lt;&gt;"Préventif",E759&lt;&gt;"Correctif",E759&lt;&gt;"Amélioratif"),"Type inconnu",IF(I759="","Statut manquant",IF(AND(I759&lt;&gt;"Terminée",I759&lt;&gt;"En cours",I759&lt;&gt;"À faire",I759&lt;&gt;"Annulée"),"Statut inconnu",IF(AND(E759="Préventif",F759=""),"Plan manquant (préventif)",IF(AND(F759&lt;&gt;"",ISNA(MATCH(F759,pl_num,0))),"Plan inconnu",IF(AND(F759&lt;&gt;"",IFERROR(INDEX(pl_eq,MATCH(F759,pl_num,0))&amp;"",C759)&lt;&gt;C759),"Plan d'un autre équipement",IF(AND(J759&lt;&gt;"",OR(NOT(ISNUMBER(J759)),N(J759)&lt;0)),"Compteur invalide",IF(OR(AND(K759&lt;&gt;"",OR(NOT(ISNUMBER(K759)),N(K759)&lt;0)),AND(L759&lt;&gt;"",OR(NOT(ISNUMBER(L759)),N(L759)&lt;0))),"Durée invalide",IF(OR(AND(N759&lt;&gt;"",OR(NOT(ISNUMBER(N759)),N(N759)&lt;0)),AND(P759&lt;&gt;"",OR(NOT(ISNUMBER(P759)),N(P759)&lt;0))),"Coût invalide",IF(AND(M759&lt;&gt;"",ISNA(MATCH(M759,tech_name,0))),"Technicien inconnu",IF(AND(I759="Terminée",S759&gt;p_today),"Terminée à une date future",IF(AND(I759="Terminée",V759=0),"Durée d'intervention manquante",IF(AND(I759="Terminée",E759="Préventif",T759=0,OR(IFERROR(INDEX(pl_trig,MATCH(F759,pl_num,0))&amp;"","")="Compteur",IFERROR(INDEX(pl_trig,MATCH(F759,pl_num,0))&amp;"","")="Au premier des deux")),"Compteur manquant (plan au compteur)","OK"))))))))))))))))))</f>
        <v/>
      </c>
      <c r="S759" s="67">
        <f>IF(AND(ISNUMBER(B759),N(B759)&gt;0),INT(B759),0)</f>
        <v>0.0</v>
      </c>
      <c r="T759" s="67">
        <f>IF(AND(ISNUMBER(J759),N(J759)&gt;=0),N(J759),0)</f>
        <v>0.0</v>
      </c>
      <c r="U759" s="67">
        <f>IF(AND(ISNUMBER(K759),N(K759)&gt;0),N(K759),0)</f>
        <v>0.0</v>
      </c>
      <c r="V759" s="67">
        <f>IF(AND(ISNUMBER(L759),N(L759)&gt;0),N(L759),0)</f>
        <v>0.0</v>
      </c>
      <c r="W759" s="67">
        <f>IF(AND(I759="Terminée",S759&gt;0,C759&lt;&gt;"",ISNUMBER(MATCH(C759,eq_code,0))),1,0)</f>
        <v>0.0</v>
      </c>
      <c r="X759" s="67">
        <f>IF(AND(W759=1,E759="Préventif"),1,0)</f>
        <v>0.0</v>
      </c>
      <c r="Y759" s="67">
        <f>IF(AND(ISNUMBER(N759),N(N759)&gt;0),N(N759),0)</f>
        <v>0.0</v>
      </c>
      <c r="Z759" s="67">
        <f>IF(AND(ISNUMBER(P759),N(P759)&gt;0),N(P759),0)</f>
        <v>0.0</v>
      </c>
    </row>
    <row r="760">
      <c r="A760" s="79" t="str">
        <f>IF(COUNTA(B760:C760,E760:G760,I760)=0,"","BI-"&amp;RIGHT("0000"&amp;(ROW()-5),4))</f>
        <v/>
      </c>
      <c r="B760" s="72" t="n"/>
      <c r="C760" s="66" t="n"/>
      <c r="D760" s="67" t="str">
        <f>IF(C760="","",IFERROR(INDEX(eq_des,MATCH(C760,eq_code,0))&amp;"","Équipement inconnu"))</f>
        <v/>
      </c>
      <c r="E760" s="68" t="n"/>
      <c r="F760" s="68" t="n"/>
      <c r="G760" s="66" t="n"/>
      <c r="H760" s="66" t="n"/>
      <c r="I760" s="68" t="n"/>
      <c r="J760" s="73" t="n"/>
      <c r="K760" s="71" t="n"/>
      <c r="L760" s="71" t="n"/>
      <c r="M760" s="66" t="n"/>
      <c r="N760" s="80" t="n"/>
      <c r="O760" s="81" t="str">
        <f>IF(A760="","",ROUND(V760*IFERROR(N(INDEX(tech_rate,MATCH(M760,tech_name,0))),0),2))</f>
        <v/>
      </c>
      <c r="P760" s="80" t="n"/>
      <c r="Q760" s="81" t="str">
        <f>IF(A760="","",ROUND(Y760+O760+Z760,2))</f>
        <v/>
      </c>
      <c r="R760" s="79" t="str">
        <f>IF(A760="","",IF(S760=0,"Date manquante ou invalide",IF(C760="","Équipement manquant",IF(ISNA(MATCH(C760,eq_code,0)),"Équipement inconnu",IF(E760="","Type manquant",IF(AND(E760&lt;&gt;"Préventif",E760&lt;&gt;"Correctif",E760&lt;&gt;"Amélioratif"),"Type inconnu",IF(I760="","Statut manquant",IF(AND(I760&lt;&gt;"Terminée",I760&lt;&gt;"En cours",I760&lt;&gt;"À faire",I760&lt;&gt;"Annulée"),"Statut inconnu",IF(AND(E760="Préventif",F760=""),"Plan manquant (préventif)",IF(AND(F760&lt;&gt;"",ISNA(MATCH(F760,pl_num,0))),"Plan inconnu",IF(AND(F760&lt;&gt;"",IFERROR(INDEX(pl_eq,MATCH(F760,pl_num,0))&amp;"",C760)&lt;&gt;C760),"Plan d'un autre équipement",IF(AND(J760&lt;&gt;"",OR(NOT(ISNUMBER(J760)),N(J760)&lt;0)),"Compteur invalide",IF(OR(AND(K760&lt;&gt;"",OR(NOT(ISNUMBER(K760)),N(K760)&lt;0)),AND(L760&lt;&gt;"",OR(NOT(ISNUMBER(L760)),N(L760)&lt;0))),"Durée invalide",IF(OR(AND(N760&lt;&gt;"",OR(NOT(ISNUMBER(N760)),N(N760)&lt;0)),AND(P760&lt;&gt;"",OR(NOT(ISNUMBER(P760)),N(P760)&lt;0))),"Coût invalide",IF(AND(M760&lt;&gt;"",ISNA(MATCH(M760,tech_name,0))),"Technicien inconnu",IF(AND(I760="Terminée",S760&gt;p_today),"Terminée à une date future",IF(AND(I760="Terminée",V760=0),"Durée d'intervention manquante",IF(AND(I760="Terminée",E760="Préventif",T760=0,OR(IFERROR(INDEX(pl_trig,MATCH(F760,pl_num,0))&amp;"","")="Compteur",IFERROR(INDEX(pl_trig,MATCH(F760,pl_num,0))&amp;"","")="Au premier des deux")),"Compteur manquant (plan au compteur)","OK"))))))))))))))))))</f>
        <v/>
      </c>
      <c r="S760" s="67">
        <f>IF(AND(ISNUMBER(B760),N(B760)&gt;0),INT(B760),0)</f>
        <v>0.0</v>
      </c>
      <c r="T760" s="67">
        <f>IF(AND(ISNUMBER(J760),N(J760)&gt;=0),N(J760),0)</f>
        <v>0.0</v>
      </c>
      <c r="U760" s="67">
        <f>IF(AND(ISNUMBER(K760),N(K760)&gt;0),N(K760),0)</f>
        <v>0.0</v>
      </c>
      <c r="V760" s="67">
        <f>IF(AND(ISNUMBER(L760),N(L760)&gt;0),N(L760),0)</f>
        <v>0.0</v>
      </c>
      <c r="W760" s="67">
        <f>IF(AND(I760="Terminée",S760&gt;0,C760&lt;&gt;"",ISNUMBER(MATCH(C760,eq_code,0))),1,0)</f>
        <v>0.0</v>
      </c>
      <c r="X760" s="67">
        <f>IF(AND(W760=1,E760="Préventif"),1,0)</f>
        <v>0.0</v>
      </c>
      <c r="Y760" s="67">
        <f>IF(AND(ISNUMBER(N760),N(N760)&gt;0),N(N760),0)</f>
        <v>0.0</v>
      </c>
      <c r="Z760" s="67">
        <f>IF(AND(ISNUMBER(P760),N(P760)&gt;0),N(P760),0)</f>
        <v>0.0</v>
      </c>
    </row>
    <row r="761">
      <c r="A761" s="79" t="str">
        <f>IF(COUNTA(B761:C761,E761:G761,I761)=0,"","BI-"&amp;RIGHT("0000"&amp;(ROW()-5),4))</f>
        <v/>
      </c>
      <c r="B761" s="72" t="n"/>
      <c r="C761" s="66" t="n"/>
      <c r="D761" s="67" t="str">
        <f>IF(C761="","",IFERROR(INDEX(eq_des,MATCH(C761,eq_code,0))&amp;"","Équipement inconnu"))</f>
        <v/>
      </c>
      <c r="E761" s="68" t="n"/>
      <c r="F761" s="68" t="n"/>
      <c r="G761" s="66" t="n"/>
      <c r="H761" s="66" t="n"/>
      <c r="I761" s="68" t="n"/>
      <c r="J761" s="73" t="n"/>
      <c r="K761" s="71" t="n"/>
      <c r="L761" s="71" t="n"/>
      <c r="M761" s="66" t="n"/>
      <c r="N761" s="80" t="n"/>
      <c r="O761" s="81" t="str">
        <f>IF(A761="","",ROUND(V761*IFERROR(N(INDEX(tech_rate,MATCH(M761,tech_name,0))),0),2))</f>
        <v/>
      </c>
      <c r="P761" s="80" t="n"/>
      <c r="Q761" s="81" t="str">
        <f>IF(A761="","",ROUND(Y761+O761+Z761,2))</f>
        <v/>
      </c>
      <c r="R761" s="79" t="str">
        <f>IF(A761="","",IF(S761=0,"Date manquante ou invalide",IF(C761="","Équipement manquant",IF(ISNA(MATCH(C761,eq_code,0)),"Équipement inconnu",IF(E761="","Type manquant",IF(AND(E761&lt;&gt;"Préventif",E761&lt;&gt;"Correctif",E761&lt;&gt;"Amélioratif"),"Type inconnu",IF(I761="","Statut manquant",IF(AND(I761&lt;&gt;"Terminée",I761&lt;&gt;"En cours",I761&lt;&gt;"À faire",I761&lt;&gt;"Annulée"),"Statut inconnu",IF(AND(E761="Préventif",F761=""),"Plan manquant (préventif)",IF(AND(F761&lt;&gt;"",ISNA(MATCH(F761,pl_num,0))),"Plan inconnu",IF(AND(F761&lt;&gt;"",IFERROR(INDEX(pl_eq,MATCH(F761,pl_num,0))&amp;"",C761)&lt;&gt;C761),"Plan d'un autre équipement",IF(AND(J761&lt;&gt;"",OR(NOT(ISNUMBER(J761)),N(J761)&lt;0)),"Compteur invalide",IF(OR(AND(K761&lt;&gt;"",OR(NOT(ISNUMBER(K761)),N(K761)&lt;0)),AND(L761&lt;&gt;"",OR(NOT(ISNUMBER(L761)),N(L761)&lt;0))),"Durée invalide",IF(OR(AND(N761&lt;&gt;"",OR(NOT(ISNUMBER(N761)),N(N761)&lt;0)),AND(P761&lt;&gt;"",OR(NOT(ISNUMBER(P761)),N(P761)&lt;0))),"Coût invalide",IF(AND(M761&lt;&gt;"",ISNA(MATCH(M761,tech_name,0))),"Technicien inconnu",IF(AND(I761="Terminée",S761&gt;p_today),"Terminée à une date future",IF(AND(I761="Terminée",V761=0),"Durée d'intervention manquante",IF(AND(I761="Terminée",E761="Préventif",T761=0,OR(IFERROR(INDEX(pl_trig,MATCH(F761,pl_num,0))&amp;"","")="Compteur",IFERROR(INDEX(pl_trig,MATCH(F761,pl_num,0))&amp;"","")="Au premier des deux")),"Compteur manquant (plan au compteur)","OK"))))))))))))))))))</f>
        <v/>
      </c>
      <c r="S761" s="67">
        <f>IF(AND(ISNUMBER(B761),N(B761)&gt;0),INT(B761),0)</f>
        <v>0.0</v>
      </c>
      <c r="T761" s="67">
        <f>IF(AND(ISNUMBER(J761),N(J761)&gt;=0),N(J761),0)</f>
        <v>0.0</v>
      </c>
      <c r="U761" s="67">
        <f>IF(AND(ISNUMBER(K761),N(K761)&gt;0),N(K761),0)</f>
        <v>0.0</v>
      </c>
      <c r="V761" s="67">
        <f>IF(AND(ISNUMBER(L761),N(L761)&gt;0),N(L761),0)</f>
        <v>0.0</v>
      </c>
      <c r="W761" s="67">
        <f>IF(AND(I761="Terminée",S761&gt;0,C761&lt;&gt;"",ISNUMBER(MATCH(C761,eq_code,0))),1,0)</f>
        <v>0.0</v>
      </c>
      <c r="X761" s="67">
        <f>IF(AND(W761=1,E761="Préventif"),1,0)</f>
        <v>0.0</v>
      </c>
      <c r="Y761" s="67">
        <f>IF(AND(ISNUMBER(N761),N(N761)&gt;0),N(N761),0)</f>
        <v>0.0</v>
      </c>
      <c r="Z761" s="67">
        <f>IF(AND(ISNUMBER(P761),N(P761)&gt;0),N(P761),0)</f>
        <v>0.0</v>
      </c>
    </row>
    <row r="762">
      <c r="A762" s="79" t="str">
        <f>IF(COUNTA(B762:C762,E762:G762,I762)=0,"","BI-"&amp;RIGHT("0000"&amp;(ROW()-5),4))</f>
        <v/>
      </c>
      <c r="B762" s="72" t="n"/>
      <c r="C762" s="66" t="n"/>
      <c r="D762" s="67" t="str">
        <f>IF(C762="","",IFERROR(INDEX(eq_des,MATCH(C762,eq_code,0))&amp;"","Équipement inconnu"))</f>
        <v/>
      </c>
      <c r="E762" s="68" t="n"/>
      <c r="F762" s="68" t="n"/>
      <c r="G762" s="66" t="n"/>
      <c r="H762" s="66" t="n"/>
      <c r="I762" s="68" t="n"/>
      <c r="J762" s="73" t="n"/>
      <c r="K762" s="71" t="n"/>
      <c r="L762" s="71" t="n"/>
      <c r="M762" s="66" t="n"/>
      <c r="N762" s="80" t="n"/>
      <c r="O762" s="81" t="str">
        <f>IF(A762="","",ROUND(V762*IFERROR(N(INDEX(tech_rate,MATCH(M762,tech_name,0))),0),2))</f>
        <v/>
      </c>
      <c r="P762" s="80" t="n"/>
      <c r="Q762" s="81" t="str">
        <f>IF(A762="","",ROUND(Y762+O762+Z762,2))</f>
        <v/>
      </c>
      <c r="R762" s="79" t="str">
        <f>IF(A762="","",IF(S762=0,"Date manquante ou invalide",IF(C762="","Équipement manquant",IF(ISNA(MATCH(C762,eq_code,0)),"Équipement inconnu",IF(E762="","Type manquant",IF(AND(E762&lt;&gt;"Préventif",E762&lt;&gt;"Correctif",E762&lt;&gt;"Amélioratif"),"Type inconnu",IF(I762="","Statut manquant",IF(AND(I762&lt;&gt;"Terminée",I762&lt;&gt;"En cours",I762&lt;&gt;"À faire",I762&lt;&gt;"Annulée"),"Statut inconnu",IF(AND(E762="Préventif",F762=""),"Plan manquant (préventif)",IF(AND(F762&lt;&gt;"",ISNA(MATCH(F762,pl_num,0))),"Plan inconnu",IF(AND(F762&lt;&gt;"",IFERROR(INDEX(pl_eq,MATCH(F762,pl_num,0))&amp;"",C762)&lt;&gt;C762),"Plan d'un autre équipement",IF(AND(J762&lt;&gt;"",OR(NOT(ISNUMBER(J762)),N(J762)&lt;0)),"Compteur invalide",IF(OR(AND(K762&lt;&gt;"",OR(NOT(ISNUMBER(K762)),N(K762)&lt;0)),AND(L762&lt;&gt;"",OR(NOT(ISNUMBER(L762)),N(L762)&lt;0))),"Durée invalide",IF(OR(AND(N762&lt;&gt;"",OR(NOT(ISNUMBER(N762)),N(N762)&lt;0)),AND(P762&lt;&gt;"",OR(NOT(ISNUMBER(P762)),N(P762)&lt;0))),"Coût invalide",IF(AND(M762&lt;&gt;"",ISNA(MATCH(M762,tech_name,0))),"Technicien inconnu",IF(AND(I762="Terminée",S762&gt;p_today),"Terminée à une date future",IF(AND(I762="Terminée",V762=0),"Durée d'intervention manquante",IF(AND(I762="Terminée",E762="Préventif",T762=0,OR(IFERROR(INDEX(pl_trig,MATCH(F762,pl_num,0))&amp;"","")="Compteur",IFERROR(INDEX(pl_trig,MATCH(F762,pl_num,0))&amp;"","")="Au premier des deux")),"Compteur manquant (plan au compteur)","OK"))))))))))))))))))</f>
        <v/>
      </c>
      <c r="S762" s="67">
        <f>IF(AND(ISNUMBER(B762),N(B762)&gt;0),INT(B762),0)</f>
        <v>0.0</v>
      </c>
      <c r="T762" s="67">
        <f>IF(AND(ISNUMBER(J762),N(J762)&gt;=0),N(J762),0)</f>
        <v>0.0</v>
      </c>
      <c r="U762" s="67">
        <f>IF(AND(ISNUMBER(K762),N(K762)&gt;0),N(K762),0)</f>
        <v>0.0</v>
      </c>
      <c r="V762" s="67">
        <f>IF(AND(ISNUMBER(L762),N(L762)&gt;0),N(L762),0)</f>
        <v>0.0</v>
      </c>
      <c r="W762" s="67">
        <f>IF(AND(I762="Terminée",S762&gt;0,C762&lt;&gt;"",ISNUMBER(MATCH(C762,eq_code,0))),1,0)</f>
        <v>0.0</v>
      </c>
      <c r="X762" s="67">
        <f>IF(AND(W762=1,E762="Préventif"),1,0)</f>
        <v>0.0</v>
      </c>
      <c r="Y762" s="67">
        <f>IF(AND(ISNUMBER(N762),N(N762)&gt;0),N(N762),0)</f>
        <v>0.0</v>
      </c>
      <c r="Z762" s="67">
        <f>IF(AND(ISNUMBER(P762),N(P762)&gt;0),N(P762),0)</f>
        <v>0.0</v>
      </c>
    </row>
    <row r="763">
      <c r="A763" s="79" t="str">
        <f>IF(COUNTA(B763:C763,E763:G763,I763)=0,"","BI-"&amp;RIGHT("0000"&amp;(ROW()-5),4))</f>
        <v/>
      </c>
      <c r="B763" s="72" t="n"/>
      <c r="C763" s="66" t="n"/>
      <c r="D763" s="67" t="str">
        <f>IF(C763="","",IFERROR(INDEX(eq_des,MATCH(C763,eq_code,0))&amp;"","Équipement inconnu"))</f>
        <v/>
      </c>
      <c r="E763" s="68" t="n"/>
      <c r="F763" s="68" t="n"/>
      <c r="G763" s="66" t="n"/>
      <c r="H763" s="66" t="n"/>
      <c r="I763" s="68" t="n"/>
      <c r="J763" s="73" t="n"/>
      <c r="K763" s="71" t="n"/>
      <c r="L763" s="71" t="n"/>
      <c r="M763" s="66" t="n"/>
      <c r="N763" s="80" t="n"/>
      <c r="O763" s="81" t="str">
        <f>IF(A763="","",ROUND(V763*IFERROR(N(INDEX(tech_rate,MATCH(M763,tech_name,0))),0),2))</f>
        <v/>
      </c>
      <c r="P763" s="80" t="n"/>
      <c r="Q763" s="81" t="str">
        <f>IF(A763="","",ROUND(Y763+O763+Z763,2))</f>
        <v/>
      </c>
      <c r="R763" s="79" t="str">
        <f>IF(A763="","",IF(S763=0,"Date manquante ou invalide",IF(C763="","Équipement manquant",IF(ISNA(MATCH(C763,eq_code,0)),"Équipement inconnu",IF(E763="","Type manquant",IF(AND(E763&lt;&gt;"Préventif",E763&lt;&gt;"Correctif",E763&lt;&gt;"Amélioratif"),"Type inconnu",IF(I763="","Statut manquant",IF(AND(I763&lt;&gt;"Terminée",I763&lt;&gt;"En cours",I763&lt;&gt;"À faire",I763&lt;&gt;"Annulée"),"Statut inconnu",IF(AND(E763="Préventif",F763=""),"Plan manquant (préventif)",IF(AND(F763&lt;&gt;"",ISNA(MATCH(F763,pl_num,0))),"Plan inconnu",IF(AND(F763&lt;&gt;"",IFERROR(INDEX(pl_eq,MATCH(F763,pl_num,0))&amp;"",C763)&lt;&gt;C763),"Plan d'un autre équipement",IF(AND(J763&lt;&gt;"",OR(NOT(ISNUMBER(J763)),N(J763)&lt;0)),"Compteur invalide",IF(OR(AND(K763&lt;&gt;"",OR(NOT(ISNUMBER(K763)),N(K763)&lt;0)),AND(L763&lt;&gt;"",OR(NOT(ISNUMBER(L763)),N(L763)&lt;0))),"Durée invalide",IF(OR(AND(N763&lt;&gt;"",OR(NOT(ISNUMBER(N763)),N(N763)&lt;0)),AND(P763&lt;&gt;"",OR(NOT(ISNUMBER(P763)),N(P763)&lt;0))),"Coût invalide",IF(AND(M763&lt;&gt;"",ISNA(MATCH(M763,tech_name,0))),"Technicien inconnu",IF(AND(I763="Terminée",S763&gt;p_today),"Terminée à une date future",IF(AND(I763="Terminée",V763=0),"Durée d'intervention manquante",IF(AND(I763="Terminée",E763="Préventif",T763=0,OR(IFERROR(INDEX(pl_trig,MATCH(F763,pl_num,0))&amp;"","")="Compteur",IFERROR(INDEX(pl_trig,MATCH(F763,pl_num,0))&amp;"","")="Au premier des deux")),"Compteur manquant (plan au compteur)","OK"))))))))))))))))))</f>
        <v/>
      </c>
      <c r="S763" s="67">
        <f>IF(AND(ISNUMBER(B763),N(B763)&gt;0),INT(B763),0)</f>
        <v>0.0</v>
      </c>
      <c r="T763" s="67">
        <f>IF(AND(ISNUMBER(J763),N(J763)&gt;=0),N(J763),0)</f>
        <v>0.0</v>
      </c>
      <c r="U763" s="67">
        <f>IF(AND(ISNUMBER(K763),N(K763)&gt;0),N(K763),0)</f>
        <v>0.0</v>
      </c>
      <c r="V763" s="67">
        <f>IF(AND(ISNUMBER(L763),N(L763)&gt;0),N(L763),0)</f>
        <v>0.0</v>
      </c>
      <c r="W763" s="67">
        <f>IF(AND(I763="Terminée",S763&gt;0,C763&lt;&gt;"",ISNUMBER(MATCH(C763,eq_code,0))),1,0)</f>
        <v>0.0</v>
      </c>
      <c r="X763" s="67">
        <f>IF(AND(W763=1,E763="Préventif"),1,0)</f>
        <v>0.0</v>
      </c>
      <c r="Y763" s="67">
        <f>IF(AND(ISNUMBER(N763),N(N763)&gt;0),N(N763),0)</f>
        <v>0.0</v>
      </c>
      <c r="Z763" s="67">
        <f>IF(AND(ISNUMBER(P763),N(P763)&gt;0),N(P763),0)</f>
        <v>0.0</v>
      </c>
    </row>
    <row r="764">
      <c r="A764" s="79" t="str">
        <f>IF(COUNTA(B764:C764,E764:G764,I764)=0,"","BI-"&amp;RIGHT("0000"&amp;(ROW()-5),4))</f>
        <v/>
      </c>
      <c r="B764" s="72" t="n"/>
      <c r="C764" s="66" t="n"/>
      <c r="D764" s="67" t="str">
        <f>IF(C764="","",IFERROR(INDEX(eq_des,MATCH(C764,eq_code,0))&amp;"","Équipement inconnu"))</f>
        <v/>
      </c>
      <c r="E764" s="68" t="n"/>
      <c r="F764" s="68" t="n"/>
      <c r="G764" s="66" t="n"/>
      <c r="H764" s="66" t="n"/>
      <c r="I764" s="68" t="n"/>
      <c r="J764" s="73" t="n"/>
      <c r="K764" s="71" t="n"/>
      <c r="L764" s="71" t="n"/>
      <c r="M764" s="66" t="n"/>
      <c r="N764" s="80" t="n"/>
      <c r="O764" s="81" t="str">
        <f>IF(A764="","",ROUND(V764*IFERROR(N(INDEX(tech_rate,MATCH(M764,tech_name,0))),0),2))</f>
        <v/>
      </c>
      <c r="P764" s="80" t="n"/>
      <c r="Q764" s="81" t="str">
        <f>IF(A764="","",ROUND(Y764+O764+Z764,2))</f>
        <v/>
      </c>
      <c r="R764" s="79" t="str">
        <f>IF(A764="","",IF(S764=0,"Date manquante ou invalide",IF(C764="","Équipement manquant",IF(ISNA(MATCH(C764,eq_code,0)),"Équipement inconnu",IF(E764="","Type manquant",IF(AND(E764&lt;&gt;"Préventif",E764&lt;&gt;"Correctif",E764&lt;&gt;"Amélioratif"),"Type inconnu",IF(I764="","Statut manquant",IF(AND(I764&lt;&gt;"Terminée",I764&lt;&gt;"En cours",I764&lt;&gt;"À faire",I764&lt;&gt;"Annulée"),"Statut inconnu",IF(AND(E764="Préventif",F764=""),"Plan manquant (préventif)",IF(AND(F764&lt;&gt;"",ISNA(MATCH(F764,pl_num,0))),"Plan inconnu",IF(AND(F764&lt;&gt;"",IFERROR(INDEX(pl_eq,MATCH(F764,pl_num,0))&amp;"",C764)&lt;&gt;C764),"Plan d'un autre équipement",IF(AND(J764&lt;&gt;"",OR(NOT(ISNUMBER(J764)),N(J764)&lt;0)),"Compteur invalide",IF(OR(AND(K764&lt;&gt;"",OR(NOT(ISNUMBER(K764)),N(K764)&lt;0)),AND(L764&lt;&gt;"",OR(NOT(ISNUMBER(L764)),N(L764)&lt;0))),"Durée invalide",IF(OR(AND(N764&lt;&gt;"",OR(NOT(ISNUMBER(N764)),N(N764)&lt;0)),AND(P764&lt;&gt;"",OR(NOT(ISNUMBER(P764)),N(P764)&lt;0))),"Coût invalide",IF(AND(M764&lt;&gt;"",ISNA(MATCH(M764,tech_name,0))),"Technicien inconnu",IF(AND(I764="Terminée",S764&gt;p_today),"Terminée à une date future",IF(AND(I764="Terminée",V764=0),"Durée d'intervention manquante",IF(AND(I764="Terminée",E764="Préventif",T764=0,OR(IFERROR(INDEX(pl_trig,MATCH(F764,pl_num,0))&amp;"","")="Compteur",IFERROR(INDEX(pl_trig,MATCH(F764,pl_num,0))&amp;"","")="Au premier des deux")),"Compteur manquant (plan au compteur)","OK"))))))))))))))))))</f>
        <v/>
      </c>
      <c r="S764" s="67">
        <f>IF(AND(ISNUMBER(B764),N(B764)&gt;0),INT(B764),0)</f>
        <v>0.0</v>
      </c>
      <c r="T764" s="67">
        <f>IF(AND(ISNUMBER(J764),N(J764)&gt;=0),N(J764),0)</f>
        <v>0.0</v>
      </c>
      <c r="U764" s="67">
        <f>IF(AND(ISNUMBER(K764),N(K764)&gt;0),N(K764),0)</f>
        <v>0.0</v>
      </c>
      <c r="V764" s="67">
        <f>IF(AND(ISNUMBER(L764),N(L764)&gt;0),N(L764),0)</f>
        <v>0.0</v>
      </c>
      <c r="W764" s="67">
        <f>IF(AND(I764="Terminée",S764&gt;0,C764&lt;&gt;"",ISNUMBER(MATCH(C764,eq_code,0))),1,0)</f>
        <v>0.0</v>
      </c>
      <c r="X764" s="67">
        <f>IF(AND(W764=1,E764="Préventif"),1,0)</f>
        <v>0.0</v>
      </c>
      <c r="Y764" s="67">
        <f>IF(AND(ISNUMBER(N764),N(N764)&gt;0),N(N764),0)</f>
        <v>0.0</v>
      </c>
      <c r="Z764" s="67">
        <f>IF(AND(ISNUMBER(P764),N(P764)&gt;0),N(P764),0)</f>
        <v>0.0</v>
      </c>
    </row>
    <row r="765">
      <c r="A765" s="79" t="str">
        <f>IF(COUNTA(B765:C765,E765:G765,I765)=0,"","BI-"&amp;RIGHT("0000"&amp;(ROW()-5),4))</f>
        <v/>
      </c>
      <c r="B765" s="72" t="n"/>
      <c r="C765" s="66" t="n"/>
      <c r="D765" s="67" t="str">
        <f>IF(C765="","",IFERROR(INDEX(eq_des,MATCH(C765,eq_code,0))&amp;"","Équipement inconnu"))</f>
        <v/>
      </c>
      <c r="E765" s="68" t="n"/>
      <c r="F765" s="68" t="n"/>
      <c r="G765" s="66" t="n"/>
      <c r="H765" s="66" t="n"/>
      <c r="I765" s="68" t="n"/>
      <c r="J765" s="73" t="n"/>
      <c r="K765" s="71" t="n"/>
      <c r="L765" s="71" t="n"/>
      <c r="M765" s="66" t="n"/>
      <c r="N765" s="80" t="n"/>
      <c r="O765" s="81" t="str">
        <f>IF(A765="","",ROUND(V765*IFERROR(N(INDEX(tech_rate,MATCH(M765,tech_name,0))),0),2))</f>
        <v/>
      </c>
      <c r="P765" s="80" t="n"/>
      <c r="Q765" s="81" t="str">
        <f>IF(A765="","",ROUND(Y765+O765+Z765,2))</f>
        <v/>
      </c>
      <c r="R765" s="79" t="str">
        <f>IF(A765="","",IF(S765=0,"Date manquante ou invalide",IF(C765="","Équipement manquant",IF(ISNA(MATCH(C765,eq_code,0)),"Équipement inconnu",IF(E765="","Type manquant",IF(AND(E765&lt;&gt;"Préventif",E765&lt;&gt;"Correctif",E765&lt;&gt;"Amélioratif"),"Type inconnu",IF(I765="","Statut manquant",IF(AND(I765&lt;&gt;"Terminée",I765&lt;&gt;"En cours",I765&lt;&gt;"À faire",I765&lt;&gt;"Annulée"),"Statut inconnu",IF(AND(E765="Préventif",F765=""),"Plan manquant (préventif)",IF(AND(F765&lt;&gt;"",ISNA(MATCH(F765,pl_num,0))),"Plan inconnu",IF(AND(F765&lt;&gt;"",IFERROR(INDEX(pl_eq,MATCH(F765,pl_num,0))&amp;"",C765)&lt;&gt;C765),"Plan d'un autre équipement",IF(AND(J765&lt;&gt;"",OR(NOT(ISNUMBER(J765)),N(J765)&lt;0)),"Compteur invalide",IF(OR(AND(K765&lt;&gt;"",OR(NOT(ISNUMBER(K765)),N(K765)&lt;0)),AND(L765&lt;&gt;"",OR(NOT(ISNUMBER(L765)),N(L765)&lt;0))),"Durée invalide",IF(OR(AND(N765&lt;&gt;"",OR(NOT(ISNUMBER(N765)),N(N765)&lt;0)),AND(P765&lt;&gt;"",OR(NOT(ISNUMBER(P765)),N(P765)&lt;0))),"Coût invalide",IF(AND(M765&lt;&gt;"",ISNA(MATCH(M765,tech_name,0))),"Technicien inconnu",IF(AND(I765="Terminée",S765&gt;p_today),"Terminée à une date future",IF(AND(I765="Terminée",V765=0),"Durée d'intervention manquante",IF(AND(I765="Terminée",E765="Préventif",T765=0,OR(IFERROR(INDEX(pl_trig,MATCH(F765,pl_num,0))&amp;"","")="Compteur",IFERROR(INDEX(pl_trig,MATCH(F765,pl_num,0))&amp;"","")="Au premier des deux")),"Compteur manquant (plan au compteur)","OK"))))))))))))))))))</f>
        <v/>
      </c>
      <c r="S765" s="67">
        <f>IF(AND(ISNUMBER(B765),N(B765)&gt;0),INT(B765),0)</f>
        <v>0.0</v>
      </c>
      <c r="T765" s="67">
        <f>IF(AND(ISNUMBER(J765),N(J765)&gt;=0),N(J765),0)</f>
        <v>0.0</v>
      </c>
      <c r="U765" s="67">
        <f>IF(AND(ISNUMBER(K765),N(K765)&gt;0),N(K765),0)</f>
        <v>0.0</v>
      </c>
      <c r="V765" s="67">
        <f>IF(AND(ISNUMBER(L765),N(L765)&gt;0),N(L765),0)</f>
        <v>0.0</v>
      </c>
      <c r="W765" s="67">
        <f>IF(AND(I765="Terminée",S765&gt;0,C765&lt;&gt;"",ISNUMBER(MATCH(C765,eq_code,0))),1,0)</f>
        <v>0.0</v>
      </c>
      <c r="X765" s="67">
        <f>IF(AND(W765=1,E765="Préventif"),1,0)</f>
        <v>0.0</v>
      </c>
      <c r="Y765" s="67">
        <f>IF(AND(ISNUMBER(N765),N(N765)&gt;0),N(N765),0)</f>
        <v>0.0</v>
      </c>
      <c r="Z765" s="67">
        <f>IF(AND(ISNUMBER(P765),N(P765)&gt;0),N(P765),0)</f>
        <v>0.0</v>
      </c>
    </row>
    <row r="766">
      <c r="A766" s="79" t="str">
        <f>IF(COUNTA(B766:C766,E766:G766,I766)=0,"","BI-"&amp;RIGHT("0000"&amp;(ROW()-5),4))</f>
        <v/>
      </c>
      <c r="B766" s="72" t="n"/>
      <c r="C766" s="66" t="n"/>
      <c r="D766" s="67" t="str">
        <f>IF(C766="","",IFERROR(INDEX(eq_des,MATCH(C766,eq_code,0))&amp;"","Équipement inconnu"))</f>
        <v/>
      </c>
      <c r="E766" s="68" t="n"/>
      <c r="F766" s="68" t="n"/>
      <c r="G766" s="66" t="n"/>
      <c r="H766" s="66" t="n"/>
      <c r="I766" s="68" t="n"/>
      <c r="J766" s="73" t="n"/>
      <c r="K766" s="71" t="n"/>
      <c r="L766" s="71" t="n"/>
      <c r="M766" s="66" t="n"/>
      <c r="N766" s="80" t="n"/>
      <c r="O766" s="81" t="str">
        <f>IF(A766="","",ROUND(V766*IFERROR(N(INDEX(tech_rate,MATCH(M766,tech_name,0))),0),2))</f>
        <v/>
      </c>
      <c r="P766" s="80" t="n"/>
      <c r="Q766" s="81" t="str">
        <f>IF(A766="","",ROUND(Y766+O766+Z766,2))</f>
        <v/>
      </c>
      <c r="R766" s="79" t="str">
        <f>IF(A766="","",IF(S766=0,"Date manquante ou invalide",IF(C766="","Équipement manquant",IF(ISNA(MATCH(C766,eq_code,0)),"Équipement inconnu",IF(E766="","Type manquant",IF(AND(E766&lt;&gt;"Préventif",E766&lt;&gt;"Correctif",E766&lt;&gt;"Amélioratif"),"Type inconnu",IF(I766="","Statut manquant",IF(AND(I766&lt;&gt;"Terminée",I766&lt;&gt;"En cours",I766&lt;&gt;"À faire",I766&lt;&gt;"Annulée"),"Statut inconnu",IF(AND(E766="Préventif",F766=""),"Plan manquant (préventif)",IF(AND(F766&lt;&gt;"",ISNA(MATCH(F766,pl_num,0))),"Plan inconnu",IF(AND(F766&lt;&gt;"",IFERROR(INDEX(pl_eq,MATCH(F766,pl_num,0))&amp;"",C766)&lt;&gt;C766),"Plan d'un autre équipement",IF(AND(J766&lt;&gt;"",OR(NOT(ISNUMBER(J766)),N(J766)&lt;0)),"Compteur invalide",IF(OR(AND(K766&lt;&gt;"",OR(NOT(ISNUMBER(K766)),N(K766)&lt;0)),AND(L766&lt;&gt;"",OR(NOT(ISNUMBER(L766)),N(L766)&lt;0))),"Durée invalide",IF(OR(AND(N766&lt;&gt;"",OR(NOT(ISNUMBER(N766)),N(N766)&lt;0)),AND(P766&lt;&gt;"",OR(NOT(ISNUMBER(P766)),N(P766)&lt;0))),"Coût invalide",IF(AND(M766&lt;&gt;"",ISNA(MATCH(M766,tech_name,0))),"Technicien inconnu",IF(AND(I766="Terminée",S766&gt;p_today),"Terminée à une date future",IF(AND(I766="Terminée",V766=0),"Durée d'intervention manquante",IF(AND(I766="Terminée",E766="Préventif",T766=0,OR(IFERROR(INDEX(pl_trig,MATCH(F766,pl_num,0))&amp;"","")="Compteur",IFERROR(INDEX(pl_trig,MATCH(F766,pl_num,0))&amp;"","")="Au premier des deux")),"Compteur manquant (plan au compteur)","OK"))))))))))))))))))</f>
        <v/>
      </c>
      <c r="S766" s="67">
        <f>IF(AND(ISNUMBER(B766),N(B766)&gt;0),INT(B766),0)</f>
        <v>0.0</v>
      </c>
      <c r="T766" s="67">
        <f>IF(AND(ISNUMBER(J766),N(J766)&gt;=0),N(J766),0)</f>
        <v>0.0</v>
      </c>
      <c r="U766" s="67">
        <f>IF(AND(ISNUMBER(K766),N(K766)&gt;0),N(K766),0)</f>
        <v>0.0</v>
      </c>
      <c r="V766" s="67">
        <f>IF(AND(ISNUMBER(L766),N(L766)&gt;0),N(L766),0)</f>
        <v>0.0</v>
      </c>
      <c r="W766" s="67">
        <f>IF(AND(I766="Terminée",S766&gt;0,C766&lt;&gt;"",ISNUMBER(MATCH(C766,eq_code,0))),1,0)</f>
        <v>0.0</v>
      </c>
      <c r="X766" s="67">
        <f>IF(AND(W766=1,E766="Préventif"),1,0)</f>
        <v>0.0</v>
      </c>
      <c r="Y766" s="67">
        <f>IF(AND(ISNUMBER(N766),N(N766)&gt;0),N(N766),0)</f>
        <v>0.0</v>
      </c>
      <c r="Z766" s="67">
        <f>IF(AND(ISNUMBER(P766),N(P766)&gt;0),N(P766),0)</f>
        <v>0.0</v>
      </c>
    </row>
    <row r="767">
      <c r="A767" s="79" t="str">
        <f>IF(COUNTA(B767:C767,E767:G767,I767)=0,"","BI-"&amp;RIGHT("0000"&amp;(ROW()-5),4))</f>
        <v/>
      </c>
      <c r="B767" s="72" t="n"/>
      <c r="C767" s="66" t="n"/>
      <c r="D767" s="67" t="str">
        <f>IF(C767="","",IFERROR(INDEX(eq_des,MATCH(C767,eq_code,0))&amp;"","Équipement inconnu"))</f>
        <v/>
      </c>
      <c r="E767" s="68" t="n"/>
      <c r="F767" s="68" t="n"/>
      <c r="G767" s="66" t="n"/>
      <c r="H767" s="66" t="n"/>
      <c r="I767" s="68" t="n"/>
      <c r="J767" s="73" t="n"/>
      <c r="K767" s="71" t="n"/>
      <c r="L767" s="71" t="n"/>
      <c r="M767" s="66" t="n"/>
      <c r="N767" s="80" t="n"/>
      <c r="O767" s="81" t="str">
        <f>IF(A767="","",ROUND(V767*IFERROR(N(INDEX(tech_rate,MATCH(M767,tech_name,0))),0),2))</f>
        <v/>
      </c>
      <c r="P767" s="80" t="n"/>
      <c r="Q767" s="81" t="str">
        <f>IF(A767="","",ROUND(Y767+O767+Z767,2))</f>
        <v/>
      </c>
      <c r="R767" s="79" t="str">
        <f>IF(A767="","",IF(S767=0,"Date manquante ou invalide",IF(C767="","Équipement manquant",IF(ISNA(MATCH(C767,eq_code,0)),"Équipement inconnu",IF(E767="","Type manquant",IF(AND(E767&lt;&gt;"Préventif",E767&lt;&gt;"Correctif",E767&lt;&gt;"Amélioratif"),"Type inconnu",IF(I767="","Statut manquant",IF(AND(I767&lt;&gt;"Terminée",I767&lt;&gt;"En cours",I767&lt;&gt;"À faire",I767&lt;&gt;"Annulée"),"Statut inconnu",IF(AND(E767="Préventif",F767=""),"Plan manquant (préventif)",IF(AND(F767&lt;&gt;"",ISNA(MATCH(F767,pl_num,0))),"Plan inconnu",IF(AND(F767&lt;&gt;"",IFERROR(INDEX(pl_eq,MATCH(F767,pl_num,0))&amp;"",C767)&lt;&gt;C767),"Plan d'un autre équipement",IF(AND(J767&lt;&gt;"",OR(NOT(ISNUMBER(J767)),N(J767)&lt;0)),"Compteur invalide",IF(OR(AND(K767&lt;&gt;"",OR(NOT(ISNUMBER(K767)),N(K767)&lt;0)),AND(L767&lt;&gt;"",OR(NOT(ISNUMBER(L767)),N(L767)&lt;0))),"Durée invalide",IF(OR(AND(N767&lt;&gt;"",OR(NOT(ISNUMBER(N767)),N(N767)&lt;0)),AND(P767&lt;&gt;"",OR(NOT(ISNUMBER(P767)),N(P767)&lt;0))),"Coût invalide",IF(AND(M767&lt;&gt;"",ISNA(MATCH(M767,tech_name,0))),"Technicien inconnu",IF(AND(I767="Terminée",S767&gt;p_today),"Terminée à une date future",IF(AND(I767="Terminée",V767=0),"Durée d'intervention manquante",IF(AND(I767="Terminée",E767="Préventif",T767=0,OR(IFERROR(INDEX(pl_trig,MATCH(F767,pl_num,0))&amp;"","")="Compteur",IFERROR(INDEX(pl_trig,MATCH(F767,pl_num,0))&amp;"","")="Au premier des deux")),"Compteur manquant (plan au compteur)","OK"))))))))))))))))))</f>
        <v/>
      </c>
      <c r="S767" s="67">
        <f>IF(AND(ISNUMBER(B767),N(B767)&gt;0),INT(B767),0)</f>
        <v>0.0</v>
      </c>
      <c r="T767" s="67">
        <f>IF(AND(ISNUMBER(J767),N(J767)&gt;=0),N(J767),0)</f>
        <v>0.0</v>
      </c>
      <c r="U767" s="67">
        <f>IF(AND(ISNUMBER(K767),N(K767)&gt;0),N(K767),0)</f>
        <v>0.0</v>
      </c>
      <c r="V767" s="67">
        <f>IF(AND(ISNUMBER(L767),N(L767)&gt;0),N(L767),0)</f>
        <v>0.0</v>
      </c>
      <c r="W767" s="67">
        <f>IF(AND(I767="Terminée",S767&gt;0,C767&lt;&gt;"",ISNUMBER(MATCH(C767,eq_code,0))),1,0)</f>
        <v>0.0</v>
      </c>
      <c r="X767" s="67">
        <f>IF(AND(W767=1,E767="Préventif"),1,0)</f>
        <v>0.0</v>
      </c>
      <c r="Y767" s="67">
        <f>IF(AND(ISNUMBER(N767),N(N767)&gt;0),N(N767),0)</f>
        <v>0.0</v>
      </c>
      <c r="Z767" s="67">
        <f>IF(AND(ISNUMBER(P767),N(P767)&gt;0),N(P767),0)</f>
        <v>0.0</v>
      </c>
    </row>
    <row r="768">
      <c r="A768" s="79" t="str">
        <f>IF(COUNTA(B768:C768,E768:G768,I768)=0,"","BI-"&amp;RIGHT("0000"&amp;(ROW()-5),4))</f>
        <v/>
      </c>
      <c r="B768" s="72" t="n"/>
      <c r="C768" s="66" t="n"/>
      <c r="D768" s="67" t="str">
        <f>IF(C768="","",IFERROR(INDEX(eq_des,MATCH(C768,eq_code,0))&amp;"","Équipement inconnu"))</f>
        <v/>
      </c>
      <c r="E768" s="68" t="n"/>
      <c r="F768" s="68" t="n"/>
      <c r="G768" s="66" t="n"/>
      <c r="H768" s="66" t="n"/>
      <c r="I768" s="68" t="n"/>
      <c r="J768" s="73" t="n"/>
      <c r="K768" s="71" t="n"/>
      <c r="L768" s="71" t="n"/>
      <c r="M768" s="66" t="n"/>
      <c r="N768" s="80" t="n"/>
      <c r="O768" s="81" t="str">
        <f>IF(A768="","",ROUND(V768*IFERROR(N(INDEX(tech_rate,MATCH(M768,tech_name,0))),0),2))</f>
        <v/>
      </c>
      <c r="P768" s="80" t="n"/>
      <c r="Q768" s="81" t="str">
        <f>IF(A768="","",ROUND(Y768+O768+Z768,2))</f>
        <v/>
      </c>
      <c r="R768" s="79" t="str">
        <f>IF(A768="","",IF(S768=0,"Date manquante ou invalide",IF(C768="","Équipement manquant",IF(ISNA(MATCH(C768,eq_code,0)),"Équipement inconnu",IF(E768="","Type manquant",IF(AND(E768&lt;&gt;"Préventif",E768&lt;&gt;"Correctif",E768&lt;&gt;"Amélioratif"),"Type inconnu",IF(I768="","Statut manquant",IF(AND(I768&lt;&gt;"Terminée",I768&lt;&gt;"En cours",I768&lt;&gt;"À faire",I768&lt;&gt;"Annulée"),"Statut inconnu",IF(AND(E768="Préventif",F768=""),"Plan manquant (préventif)",IF(AND(F768&lt;&gt;"",ISNA(MATCH(F768,pl_num,0))),"Plan inconnu",IF(AND(F768&lt;&gt;"",IFERROR(INDEX(pl_eq,MATCH(F768,pl_num,0))&amp;"",C768)&lt;&gt;C768),"Plan d'un autre équipement",IF(AND(J768&lt;&gt;"",OR(NOT(ISNUMBER(J768)),N(J768)&lt;0)),"Compteur invalide",IF(OR(AND(K768&lt;&gt;"",OR(NOT(ISNUMBER(K768)),N(K768)&lt;0)),AND(L768&lt;&gt;"",OR(NOT(ISNUMBER(L768)),N(L768)&lt;0))),"Durée invalide",IF(OR(AND(N768&lt;&gt;"",OR(NOT(ISNUMBER(N768)),N(N768)&lt;0)),AND(P768&lt;&gt;"",OR(NOT(ISNUMBER(P768)),N(P768)&lt;0))),"Coût invalide",IF(AND(M768&lt;&gt;"",ISNA(MATCH(M768,tech_name,0))),"Technicien inconnu",IF(AND(I768="Terminée",S768&gt;p_today),"Terminée à une date future",IF(AND(I768="Terminée",V768=0),"Durée d'intervention manquante",IF(AND(I768="Terminée",E768="Préventif",T768=0,OR(IFERROR(INDEX(pl_trig,MATCH(F768,pl_num,0))&amp;"","")="Compteur",IFERROR(INDEX(pl_trig,MATCH(F768,pl_num,0))&amp;"","")="Au premier des deux")),"Compteur manquant (plan au compteur)","OK"))))))))))))))))))</f>
        <v/>
      </c>
      <c r="S768" s="67">
        <f>IF(AND(ISNUMBER(B768),N(B768)&gt;0),INT(B768),0)</f>
        <v>0.0</v>
      </c>
      <c r="T768" s="67">
        <f>IF(AND(ISNUMBER(J768),N(J768)&gt;=0),N(J768),0)</f>
        <v>0.0</v>
      </c>
      <c r="U768" s="67">
        <f>IF(AND(ISNUMBER(K768),N(K768)&gt;0),N(K768),0)</f>
        <v>0.0</v>
      </c>
      <c r="V768" s="67">
        <f>IF(AND(ISNUMBER(L768),N(L768)&gt;0),N(L768),0)</f>
        <v>0.0</v>
      </c>
      <c r="W768" s="67">
        <f>IF(AND(I768="Terminée",S768&gt;0,C768&lt;&gt;"",ISNUMBER(MATCH(C768,eq_code,0))),1,0)</f>
        <v>0.0</v>
      </c>
      <c r="X768" s="67">
        <f>IF(AND(W768=1,E768="Préventif"),1,0)</f>
        <v>0.0</v>
      </c>
      <c r="Y768" s="67">
        <f>IF(AND(ISNUMBER(N768),N(N768)&gt;0),N(N768),0)</f>
        <v>0.0</v>
      </c>
      <c r="Z768" s="67">
        <f>IF(AND(ISNUMBER(P768),N(P768)&gt;0),N(P768),0)</f>
        <v>0.0</v>
      </c>
    </row>
    <row r="769">
      <c r="A769" s="79" t="str">
        <f>IF(COUNTA(B769:C769,E769:G769,I769)=0,"","BI-"&amp;RIGHT("0000"&amp;(ROW()-5),4))</f>
        <v/>
      </c>
      <c r="B769" s="72" t="n"/>
      <c r="C769" s="66" t="n"/>
      <c r="D769" s="67" t="str">
        <f>IF(C769="","",IFERROR(INDEX(eq_des,MATCH(C769,eq_code,0))&amp;"","Équipement inconnu"))</f>
        <v/>
      </c>
      <c r="E769" s="68" t="n"/>
      <c r="F769" s="68" t="n"/>
      <c r="G769" s="66" t="n"/>
      <c r="H769" s="66" t="n"/>
      <c r="I769" s="68" t="n"/>
      <c r="J769" s="73" t="n"/>
      <c r="K769" s="71" t="n"/>
      <c r="L769" s="71" t="n"/>
      <c r="M769" s="66" t="n"/>
      <c r="N769" s="80" t="n"/>
      <c r="O769" s="81" t="str">
        <f>IF(A769="","",ROUND(V769*IFERROR(N(INDEX(tech_rate,MATCH(M769,tech_name,0))),0),2))</f>
        <v/>
      </c>
      <c r="P769" s="80" t="n"/>
      <c r="Q769" s="81" t="str">
        <f>IF(A769="","",ROUND(Y769+O769+Z769,2))</f>
        <v/>
      </c>
      <c r="R769" s="79" t="str">
        <f>IF(A769="","",IF(S769=0,"Date manquante ou invalide",IF(C769="","Équipement manquant",IF(ISNA(MATCH(C769,eq_code,0)),"Équipement inconnu",IF(E769="","Type manquant",IF(AND(E769&lt;&gt;"Préventif",E769&lt;&gt;"Correctif",E769&lt;&gt;"Amélioratif"),"Type inconnu",IF(I769="","Statut manquant",IF(AND(I769&lt;&gt;"Terminée",I769&lt;&gt;"En cours",I769&lt;&gt;"À faire",I769&lt;&gt;"Annulée"),"Statut inconnu",IF(AND(E769="Préventif",F769=""),"Plan manquant (préventif)",IF(AND(F769&lt;&gt;"",ISNA(MATCH(F769,pl_num,0))),"Plan inconnu",IF(AND(F769&lt;&gt;"",IFERROR(INDEX(pl_eq,MATCH(F769,pl_num,0))&amp;"",C769)&lt;&gt;C769),"Plan d'un autre équipement",IF(AND(J769&lt;&gt;"",OR(NOT(ISNUMBER(J769)),N(J769)&lt;0)),"Compteur invalide",IF(OR(AND(K769&lt;&gt;"",OR(NOT(ISNUMBER(K769)),N(K769)&lt;0)),AND(L769&lt;&gt;"",OR(NOT(ISNUMBER(L769)),N(L769)&lt;0))),"Durée invalide",IF(OR(AND(N769&lt;&gt;"",OR(NOT(ISNUMBER(N769)),N(N769)&lt;0)),AND(P769&lt;&gt;"",OR(NOT(ISNUMBER(P769)),N(P769)&lt;0))),"Coût invalide",IF(AND(M769&lt;&gt;"",ISNA(MATCH(M769,tech_name,0))),"Technicien inconnu",IF(AND(I769="Terminée",S769&gt;p_today),"Terminée à une date future",IF(AND(I769="Terminée",V769=0),"Durée d'intervention manquante",IF(AND(I769="Terminée",E769="Préventif",T769=0,OR(IFERROR(INDEX(pl_trig,MATCH(F769,pl_num,0))&amp;"","")="Compteur",IFERROR(INDEX(pl_trig,MATCH(F769,pl_num,0))&amp;"","")="Au premier des deux")),"Compteur manquant (plan au compteur)","OK"))))))))))))))))))</f>
        <v/>
      </c>
      <c r="S769" s="67">
        <f>IF(AND(ISNUMBER(B769),N(B769)&gt;0),INT(B769),0)</f>
        <v>0.0</v>
      </c>
      <c r="T769" s="67">
        <f>IF(AND(ISNUMBER(J769),N(J769)&gt;=0),N(J769),0)</f>
        <v>0.0</v>
      </c>
      <c r="U769" s="67">
        <f>IF(AND(ISNUMBER(K769),N(K769)&gt;0),N(K769),0)</f>
        <v>0.0</v>
      </c>
      <c r="V769" s="67">
        <f>IF(AND(ISNUMBER(L769),N(L769)&gt;0),N(L769),0)</f>
        <v>0.0</v>
      </c>
      <c r="W769" s="67">
        <f>IF(AND(I769="Terminée",S769&gt;0,C769&lt;&gt;"",ISNUMBER(MATCH(C769,eq_code,0))),1,0)</f>
        <v>0.0</v>
      </c>
      <c r="X769" s="67">
        <f>IF(AND(W769=1,E769="Préventif"),1,0)</f>
        <v>0.0</v>
      </c>
      <c r="Y769" s="67">
        <f>IF(AND(ISNUMBER(N769),N(N769)&gt;0),N(N769),0)</f>
        <v>0.0</v>
      </c>
      <c r="Z769" s="67">
        <f>IF(AND(ISNUMBER(P769),N(P769)&gt;0),N(P769),0)</f>
        <v>0.0</v>
      </c>
    </row>
    <row r="770">
      <c r="A770" s="79" t="str">
        <f>IF(COUNTA(B770:C770,E770:G770,I770)=0,"","BI-"&amp;RIGHT("0000"&amp;(ROW()-5),4))</f>
        <v/>
      </c>
      <c r="B770" s="72" t="n"/>
      <c r="C770" s="66" t="n"/>
      <c r="D770" s="67" t="str">
        <f>IF(C770="","",IFERROR(INDEX(eq_des,MATCH(C770,eq_code,0))&amp;"","Équipement inconnu"))</f>
        <v/>
      </c>
      <c r="E770" s="68" t="n"/>
      <c r="F770" s="68" t="n"/>
      <c r="G770" s="66" t="n"/>
      <c r="H770" s="66" t="n"/>
      <c r="I770" s="68" t="n"/>
      <c r="J770" s="73" t="n"/>
      <c r="K770" s="71" t="n"/>
      <c r="L770" s="71" t="n"/>
      <c r="M770" s="66" t="n"/>
      <c r="N770" s="80" t="n"/>
      <c r="O770" s="81" t="str">
        <f>IF(A770="","",ROUND(V770*IFERROR(N(INDEX(tech_rate,MATCH(M770,tech_name,0))),0),2))</f>
        <v/>
      </c>
      <c r="P770" s="80" t="n"/>
      <c r="Q770" s="81" t="str">
        <f>IF(A770="","",ROUND(Y770+O770+Z770,2))</f>
        <v/>
      </c>
      <c r="R770" s="79" t="str">
        <f>IF(A770="","",IF(S770=0,"Date manquante ou invalide",IF(C770="","Équipement manquant",IF(ISNA(MATCH(C770,eq_code,0)),"Équipement inconnu",IF(E770="","Type manquant",IF(AND(E770&lt;&gt;"Préventif",E770&lt;&gt;"Correctif",E770&lt;&gt;"Amélioratif"),"Type inconnu",IF(I770="","Statut manquant",IF(AND(I770&lt;&gt;"Terminée",I770&lt;&gt;"En cours",I770&lt;&gt;"À faire",I770&lt;&gt;"Annulée"),"Statut inconnu",IF(AND(E770="Préventif",F770=""),"Plan manquant (préventif)",IF(AND(F770&lt;&gt;"",ISNA(MATCH(F770,pl_num,0))),"Plan inconnu",IF(AND(F770&lt;&gt;"",IFERROR(INDEX(pl_eq,MATCH(F770,pl_num,0))&amp;"",C770)&lt;&gt;C770),"Plan d'un autre équipement",IF(AND(J770&lt;&gt;"",OR(NOT(ISNUMBER(J770)),N(J770)&lt;0)),"Compteur invalide",IF(OR(AND(K770&lt;&gt;"",OR(NOT(ISNUMBER(K770)),N(K770)&lt;0)),AND(L770&lt;&gt;"",OR(NOT(ISNUMBER(L770)),N(L770)&lt;0))),"Durée invalide",IF(OR(AND(N770&lt;&gt;"",OR(NOT(ISNUMBER(N770)),N(N770)&lt;0)),AND(P770&lt;&gt;"",OR(NOT(ISNUMBER(P770)),N(P770)&lt;0))),"Coût invalide",IF(AND(M770&lt;&gt;"",ISNA(MATCH(M770,tech_name,0))),"Technicien inconnu",IF(AND(I770="Terminée",S770&gt;p_today),"Terminée à une date future",IF(AND(I770="Terminée",V770=0),"Durée d'intervention manquante",IF(AND(I770="Terminée",E770="Préventif",T770=0,OR(IFERROR(INDEX(pl_trig,MATCH(F770,pl_num,0))&amp;"","")="Compteur",IFERROR(INDEX(pl_trig,MATCH(F770,pl_num,0))&amp;"","")="Au premier des deux")),"Compteur manquant (plan au compteur)","OK"))))))))))))))))))</f>
        <v/>
      </c>
      <c r="S770" s="67">
        <f>IF(AND(ISNUMBER(B770),N(B770)&gt;0),INT(B770),0)</f>
        <v>0.0</v>
      </c>
      <c r="T770" s="67">
        <f>IF(AND(ISNUMBER(J770),N(J770)&gt;=0),N(J770),0)</f>
        <v>0.0</v>
      </c>
      <c r="U770" s="67">
        <f>IF(AND(ISNUMBER(K770),N(K770)&gt;0),N(K770),0)</f>
        <v>0.0</v>
      </c>
      <c r="V770" s="67">
        <f>IF(AND(ISNUMBER(L770),N(L770)&gt;0),N(L770),0)</f>
        <v>0.0</v>
      </c>
      <c r="W770" s="67">
        <f>IF(AND(I770="Terminée",S770&gt;0,C770&lt;&gt;"",ISNUMBER(MATCH(C770,eq_code,0))),1,0)</f>
        <v>0.0</v>
      </c>
      <c r="X770" s="67">
        <f>IF(AND(W770=1,E770="Préventif"),1,0)</f>
        <v>0.0</v>
      </c>
      <c r="Y770" s="67">
        <f>IF(AND(ISNUMBER(N770),N(N770)&gt;0),N(N770),0)</f>
        <v>0.0</v>
      </c>
      <c r="Z770" s="67">
        <f>IF(AND(ISNUMBER(P770),N(P770)&gt;0),N(P770),0)</f>
        <v>0.0</v>
      </c>
    </row>
    <row r="771">
      <c r="A771" s="79" t="str">
        <f>IF(COUNTA(B771:C771,E771:G771,I771)=0,"","BI-"&amp;RIGHT("0000"&amp;(ROW()-5),4))</f>
        <v/>
      </c>
      <c r="B771" s="72" t="n"/>
      <c r="C771" s="66" t="n"/>
      <c r="D771" s="67" t="str">
        <f>IF(C771="","",IFERROR(INDEX(eq_des,MATCH(C771,eq_code,0))&amp;"","Équipement inconnu"))</f>
        <v/>
      </c>
      <c r="E771" s="68" t="n"/>
      <c r="F771" s="68" t="n"/>
      <c r="G771" s="66" t="n"/>
      <c r="H771" s="66" t="n"/>
      <c r="I771" s="68" t="n"/>
      <c r="J771" s="73" t="n"/>
      <c r="K771" s="71" t="n"/>
      <c r="L771" s="71" t="n"/>
      <c r="M771" s="66" t="n"/>
      <c r="N771" s="80" t="n"/>
      <c r="O771" s="81" t="str">
        <f>IF(A771="","",ROUND(V771*IFERROR(N(INDEX(tech_rate,MATCH(M771,tech_name,0))),0),2))</f>
        <v/>
      </c>
      <c r="P771" s="80" t="n"/>
      <c r="Q771" s="81" t="str">
        <f>IF(A771="","",ROUND(Y771+O771+Z771,2))</f>
        <v/>
      </c>
      <c r="R771" s="79" t="str">
        <f>IF(A771="","",IF(S771=0,"Date manquante ou invalide",IF(C771="","Équipement manquant",IF(ISNA(MATCH(C771,eq_code,0)),"Équipement inconnu",IF(E771="","Type manquant",IF(AND(E771&lt;&gt;"Préventif",E771&lt;&gt;"Correctif",E771&lt;&gt;"Amélioratif"),"Type inconnu",IF(I771="","Statut manquant",IF(AND(I771&lt;&gt;"Terminée",I771&lt;&gt;"En cours",I771&lt;&gt;"À faire",I771&lt;&gt;"Annulée"),"Statut inconnu",IF(AND(E771="Préventif",F771=""),"Plan manquant (préventif)",IF(AND(F771&lt;&gt;"",ISNA(MATCH(F771,pl_num,0))),"Plan inconnu",IF(AND(F771&lt;&gt;"",IFERROR(INDEX(pl_eq,MATCH(F771,pl_num,0))&amp;"",C771)&lt;&gt;C771),"Plan d'un autre équipement",IF(AND(J771&lt;&gt;"",OR(NOT(ISNUMBER(J771)),N(J771)&lt;0)),"Compteur invalide",IF(OR(AND(K771&lt;&gt;"",OR(NOT(ISNUMBER(K771)),N(K771)&lt;0)),AND(L771&lt;&gt;"",OR(NOT(ISNUMBER(L771)),N(L771)&lt;0))),"Durée invalide",IF(OR(AND(N771&lt;&gt;"",OR(NOT(ISNUMBER(N771)),N(N771)&lt;0)),AND(P771&lt;&gt;"",OR(NOT(ISNUMBER(P771)),N(P771)&lt;0))),"Coût invalide",IF(AND(M771&lt;&gt;"",ISNA(MATCH(M771,tech_name,0))),"Technicien inconnu",IF(AND(I771="Terminée",S771&gt;p_today),"Terminée à une date future",IF(AND(I771="Terminée",V771=0),"Durée d'intervention manquante",IF(AND(I771="Terminée",E771="Préventif",T771=0,OR(IFERROR(INDEX(pl_trig,MATCH(F771,pl_num,0))&amp;"","")="Compteur",IFERROR(INDEX(pl_trig,MATCH(F771,pl_num,0))&amp;"","")="Au premier des deux")),"Compteur manquant (plan au compteur)","OK"))))))))))))))))))</f>
        <v/>
      </c>
      <c r="S771" s="67">
        <f>IF(AND(ISNUMBER(B771),N(B771)&gt;0),INT(B771),0)</f>
        <v>0.0</v>
      </c>
      <c r="T771" s="67">
        <f>IF(AND(ISNUMBER(J771),N(J771)&gt;=0),N(J771),0)</f>
        <v>0.0</v>
      </c>
      <c r="U771" s="67">
        <f>IF(AND(ISNUMBER(K771),N(K771)&gt;0),N(K771),0)</f>
        <v>0.0</v>
      </c>
      <c r="V771" s="67">
        <f>IF(AND(ISNUMBER(L771),N(L771)&gt;0),N(L771),0)</f>
        <v>0.0</v>
      </c>
      <c r="W771" s="67">
        <f>IF(AND(I771="Terminée",S771&gt;0,C771&lt;&gt;"",ISNUMBER(MATCH(C771,eq_code,0))),1,0)</f>
        <v>0.0</v>
      </c>
      <c r="X771" s="67">
        <f>IF(AND(W771=1,E771="Préventif"),1,0)</f>
        <v>0.0</v>
      </c>
      <c r="Y771" s="67">
        <f>IF(AND(ISNUMBER(N771),N(N771)&gt;0),N(N771),0)</f>
        <v>0.0</v>
      </c>
      <c r="Z771" s="67">
        <f>IF(AND(ISNUMBER(P771),N(P771)&gt;0),N(P771),0)</f>
        <v>0.0</v>
      </c>
    </row>
    <row r="772">
      <c r="A772" s="79" t="str">
        <f>IF(COUNTA(B772:C772,E772:G772,I772)=0,"","BI-"&amp;RIGHT("0000"&amp;(ROW()-5),4))</f>
        <v/>
      </c>
      <c r="B772" s="72" t="n"/>
      <c r="C772" s="66" t="n"/>
      <c r="D772" s="67" t="str">
        <f>IF(C772="","",IFERROR(INDEX(eq_des,MATCH(C772,eq_code,0))&amp;"","Équipement inconnu"))</f>
        <v/>
      </c>
      <c r="E772" s="68" t="n"/>
      <c r="F772" s="68" t="n"/>
      <c r="G772" s="66" t="n"/>
      <c r="H772" s="66" t="n"/>
      <c r="I772" s="68" t="n"/>
      <c r="J772" s="73" t="n"/>
      <c r="K772" s="71" t="n"/>
      <c r="L772" s="71" t="n"/>
      <c r="M772" s="66" t="n"/>
      <c r="N772" s="80" t="n"/>
      <c r="O772" s="81" t="str">
        <f>IF(A772="","",ROUND(V772*IFERROR(N(INDEX(tech_rate,MATCH(M772,tech_name,0))),0),2))</f>
        <v/>
      </c>
      <c r="P772" s="80" t="n"/>
      <c r="Q772" s="81" t="str">
        <f>IF(A772="","",ROUND(Y772+O772+Z772,2))</f>
        <v/>
      </c>
      <c r="R772" s="79" t="str">
        <f>IF(A772="","",IF(S772=0,"Date manquante ou invalide",IF(C772="","Équipement manquant",IF(ISNA(MATCH(C772,eq_code,0)),"Équipement inconnu",IF(E772="","Type manquant",IF(AND(E772&lt;&gt;"Préventif",E772&lt;&gt;"Correctif",E772&lt;&gt;"Amélioratif"),"Type inconnu",IF(I772="","Statut manquant",IF(AND(I772&lt;&gt;"Terminée",I772&lt;&gt;"En cours",I772&lt;&gt;"À faire",I772&lt;&gt;"Annulée"),"Statut inconnu",IF(AND(E772="Préventif",F772=""),"Plan manquant (préventif)",IF(AND(F772&lt;&gt;"",ISNA(MATCH(F772,pl_num,0))),"Plan inconnu",IF(AND(F772&lt;&gt;"",IFERROR(INDEX(pl_eq,MATCH(F772,pl_num,0))&amp;"",C772)&lt;&gt;C772),"Plan d'un autre équipement",IF(AND(J772&lt;&gt;"",OR(NOT(ISNUMBER(J772)),N(J772)&lt;0)),"Compteur invalide",IF(OR(AND(K772&lt;&gt;"",OR(NOT(ISNUMBER(K772)),N(K772)&lt;0)),AND(L772&lt;&gt;"",OR(NOT(ISNUMBER(L772)),N(L772)&lt;0))),"Durée invalide",IF(OR(AND(N772&lt;&gt;"",OR(NOT(ISNUMBER(N772)),N(N772)&lt;0)),AND(P772&lt;&gt;"",OR(NOT(ISNUMBER(P772)),N(P772)&lt;0))),"Coût invalide",IF(AND(M772&lt;&gt;"",ISNA(MATCH(M772,tech_name,0))),"Technicien inconnu",IF(AND(I772="Terminée",S772&gt;p_today),"Terminée à une date future",IF(AND(I772="Terminée",V772=0),"Durée d'intervention manquante",IF(AND(I772="Terminée",E772="Préventif",T772=0,OR(IFERROR(INDEX(pl_trig,MATCH(F772,pl_num,0))&amp;"","")="Compteur",IFERROR(INDEX(pl_trig,MATCH(F772,pl_num,0))&amp;"","")="Au premier des deux")),"Compteur manquant (plan au compteur)","OK"))))))))))))))))))</f>
        <v/>
      </c>
      <c r="S772" s="67">
        <f>IF(AND(ISNUMBER(B772),N(B772)&gt;0),INT(B772),0)</f>
        <v>0.0</v>
      </c>
      <c r="T772" s="67">
        <f>IF(AND(ISNUMBER(J772),N(J772)&gt;=0),N(J772),0)</f>
        <v>0.0</v>
      </c>
      <c r="U772" s="67">
        <f>IF(AND(ISNUMBER(K772),N(K772)&gt;0),N(K772),0)</f>
        <v>0.0</v>
      </c>
      <c r="V772" s="67">
        <f>IF(AND(ISNUMBER(L772),N(L772)&gt;0),N(L772),0)</f>
        <v>0.0</v>
      </c>
      <c r="W772" s="67">
        <f>IF(AND(I772="Terminée",S772&gt;0,C772&lt;&gt;"",ISNUMBER(MATCH(C772,eq_code,0))),1,0)</f>
        <v>0.0</v>
      </c>
      <c r="X772" s="67">
        <f>IF(AND(W772=1,E772="Préventif"),1,0)</f>
        <v>0.0</v>
      </c>
      <c r="Y772" s="67">
        <f>IF(AND(ISNUMBER(N772),N(N772)&gt;0),N(N772),0)</f>
        <v>0.0</v>
      </c>
      <c r="Z772" s="67">
        <f>IF(AND(ISNUMBER(P772),N(P772)&gt;0),N(P772),0)</f>
        <v>0.0</v>
      </c>
    </row>
    <row r="773">
      <c r="A773" s="79" t="str">
        <f>IF(COUNTA(B773:C773,E773:G773,I773)=0,"","BI-"&amp;RIGHT("0000"&amp;(ROW()-5),4))</f>
        <v/>
      </c>
      <c r="B773" s="72" t="n"/>
      <c r="C773" s="66" t="n"/>
      <c r="D773" s="67" t="str">
        <f>IF(C773="","",IFERROR(INDEX(eq_des,MATCH(C773,eq_code,0))&amp;"","Équipement inconnu"))</f>
        <v/>
      </c>
      <c r="E773" s="68" t="n"/>
      <c r="F773" s="68" t="n"/>
      <c r="G773" s="66" t="n"/>
      <c r="H773" s="66" t="n"/>
      <c r="I773" s="68" t="n"/>
      <c r="J773" s="73" t="n"/>
      <c r="K773" s="71" t="n"/>
      <c r="L773" s="71" t="n"/>
      <c r="M773" s="66" t="n"/>
      <c r="N773" s="80" t="n"/>
      <c r="O773" s="81" t="str">
        <f>IF(A773="","",ROUND(V773*IFERROR(N(INDEX(tech_rate,MATCH(M773,tech_name,0))),0),2))</f>
        <v/>
      </c>
      <c r="P773" s="80" t="n"/>
      <c r="Q773" s="81" t="str">
        <f>IF(A773="","",ROUND(Y773+O773+Z773,2))</f>
        <v/>
      </c>
      <c r="R773" s="79" t="str">
        <f>IF(A773="","",IF(S773=0,"Date manquante ou invalide",IF(C773="","Équipement manquant",IF(ISNA(MATCH(C773,eq_code,0)),"Équipement inconnu",IF(E773="","Type manquant",IF(AND(E773&lt;&gt;"Préventif",E773&lt;&gt;"Correctif",E773&lt;&gt;"Amélioratif"),"Type inconnu",IF(I773="","Statut manquant",IF(AND(I773&lt;&gt;"Terminée",I773&lt;&gt;"En cours",I773&lt;&gt;"À faire",I773&lt;&gt;"Annulée"),"Statut inconnu",IF(AND(E773="Préventif",F773=""),"Plan manquant (préventif)",IF(AND(F773&lt;&gt;"",ISNA(MATCH(F773,pl_num,0))),"Plan inconnu",IF(AND(F773&lt;&gt;"",IFERROR(INDEX(pl_eq,MATCH(F773,pl_num,0))&amp;"",C773)&lt;&gt;C773),"Plan d'un autre équipement",IF(AND(J773&lt;&gt;"",OR(NOT(ISNUMBER(J773)),N(J773)&lt;0)),"Compteur invalide",IF(OR(AND(K773&lt;&gt;"",OR(NOT(ISNUMBER(K773)),N(K773)&lt;0)),AND(L773&lt;&gt;"",OR(NOT(ISNUMBER(L773)),N(L773)&lt;0))),"Durée invalide",IF(OR(AND(N773&lt;&gt;"",OR(NOT(ISNUMBER(N773)),N(N773)&lt;0)),AND(P773&lt;&gt;"",OR(NOT(ISNUMBER(P773)),N(P773)&lt;0))),"Coût invalide",IF(AND(M773&lt;&gt;"",ISNA(MATCH(M773,tech_name,0))),"Technicien inconnu",IF(AND(I773="Terminée",S773&gt;p_today),"Terminée à une date future",IF(AND(I773="Terminée",V773=0),"Durée d'intervention manquante",IF(AND(I773="Terminée",E773="Préventif",T773=0,OR(IFERROR(INDEX(pl_trig,MATCH(F773,pl_num,0))&amp;"","")="Compteur",IFERROR(INDEX(pl_trig,MATCH(F773,pl_num,0))&amp;"","")="Au premier des deux")),"Compteur manquant (plan au compteur)","OK"))))))))))))))))))</f>
        <v/>
      </c>
      <c r="S773" s="67">
        <f>IF(AND(ISNUMBER(B773),N(B773)&gt;0),INT(B773),0)</f>
        <v>0.0</v>
      </c>
      <c r="T773" s="67">
        <f>IF(AND(ISNUMBER(J773),N(J773)&gt;=0),N(J773),0)</f>
        <v>0.0</v>
      </c>
      <c r="U773" s="67">
        <f>IF(AND(ISNUMBER(K773),N(K773)&gt;0),N(K773),0)</f>
        <v>0.0</v>
      </c>
      <c r="V773" s="67">
        <f>IF(AND(ISNUMBER(L773),N(L773)&gt;0),N(L773),0)</f>
        <v>0.0</v>
      </c>
      <c r="W773" s="67">
        <f>IF(AND(I773="Terminée",S773&gt;0,C773&lt;&gt;"",ISNUMBER(MATCH(C773,eq_code,0))),1,0)</f>
        <v>0.0</v>
      </c>
      <c r="X773" s="67">
        <f>IF(AND(W773=1,E773="Préventif"),1,0)</f>
        <v>0.0</v>
      </c>
      <c r="Y773" s="67">
        <f>IF(AND(ISNUMBER(N773),N(N773)&gt;0),N(N773),0)</f>
        <v>0.0</v>
      </c>
      <c r="Z773" s="67">
        <f>IF(AND(ISNUMBER(P773),N(P773)&gt;0),N(P773),0)</f>
        <v>0.0</v>
      </c>
    </row>
    <row r="774">
      <c r="A774" s="79" t="str">
        <f>IF(COUNTA(B774:C774,E774:G774,I774)=0,"","BI-"&amp;RIGHT("0000"&amp;(ROW()-5),4))</f>
        <v/>
      </c>
      <c r="B774" s="72" t="n"/>
      <c r="C774" s="66" t="n"/>
      <c r="D774" s="67" t="str">
        <f>IF(C774="","",IFERROR(INDEX(eq_des,MATCH(C774,eq_code,0))&amp;"","Équipement inconnu"))</f>
        <v/>
      </c>
      <c r="E774" s="68" t="n"/>
      <c r="F774" s="68" t="n"/>
      <c r="G774" s="66" t="n"/>
      <c r="H774" s="66" t="n"/>
      <c r="I774" s="68" t="n"/>
      <c r="J774" s="73" t="n"/>
      <c r="K774" s="71" t="n"/>
      <c r="L774" s="71" t="n"/>
      <c r="M774" s="66" t="n"/>
      <c r="N774" s="80" t="n"/>
      <c r="O774" s="81" t="str">
        <f>IF(A774="","",ROUND(V774*IFERROR(N(INDEX(tech_rate,MATCH(M774,tech_name,0))),0),2))</f>
        <v/>
      </c>
      <c r="P774" s="80" t="n"/>
      <c r="Q774" s="81" t="str">
        <f>IF(A774="","",ROUND(Y774+O774+Z774,2))</f>
        <v/>
      </c>
      <c r="R774" s="79" t="str">
        <f>IF(A774="","",IF(S774=0,"Date manquante ou invalide",IF(C774="","Équipement manquant",IF(ISNA(MATCH(C774,eq_code,0)),"Équipement inconnu",IF(E774="","Type manquant",IF(AND(E774&lt;&gt;"Préventif",E774&lt;&gt;"Correctif",E774&lt;&gt;"Amélioratif"),"Type inconnu",IF(I774="","Statut manquant",IF(AND(I774&lt;&gt;"Terminée",I774&lt;&gt;"En cours",I774&lt;&gt;"À faire",I774&lt;&gt;"Annulée"),"Statut inconnu",IF(AND(E774="Préventif",F774=""),"Plan manquant (préventif)",IF(AND(F774&lt;&gt;"",ISNA(MATCH(F774,pl_num,0))),"Plan inconnu",IF(AND(F774&lt;&gt;"",IFERROR(INDEX(pl_eq,MATCH(F774,pl_num,0))&amp;"",C774)&lt;&gt;C774),"Plan d'un autre équipement",IF(AND(J774&lt;&gt;"",OR(NOT(ISNUMBER(J774)),N(J774)&lt;0)),"Compteur invalide",IF(OR(AND(K774&lt;&gt;"",OR(NOT(ISNUMBER(K774)),N(K774)&lt;0)),AND(L774&lt;&gt;"",OR(NOT(ISNUMBER(L774)),N(L774)&lt;0))),"Durée invalide",IF(OR(AND(N774&lt;&gt;"",OR(NOT(ISNUMBER(N774)),N(N774)&lt;0)),AND(P774&lt;&gt;"",OR(NOT(ISNUMBER(P774)),N(P774)&lt;0))),"Coût invalide",IF(AND(M774&lt;&gt;"",ISNA(MATCH(M774,tech_name,0))),"Technicien inconnu",IF(AND(I774="Terminée",S774&gt;p_today),"Terminée à une date future",IF(AND(I774="Terminée",V774=0),"Durée d'intervention manquante",IF(AND(I774="Terminée",E774="Préventif",T774=0,OR(IFERROR(INDEX(pl_trig,MATCH(F774,pl_num,0))&amp;"","")="Compteur",IFERROR(INDEX(pl_trig,MATCH(F774,pl_num,0))&amp;"","")="Au premier des deux")),"Compteur manquant (plan au compteur)","OK"))))))))))))))))))</f>
        <v/>
      </c>
      <c r="S774" s="67">
        <f>IF(AND(ISNUMBER(B774),N(B774)&gt;0),INT(B774),0)</f>
        <v>0.0</v>
      </c>
      <c r="T774" s="67">
        <f>IF(AND(ISNUMBER(J774),N(J774)&gt;=0),N(J774),0)</f>
        <v>0.0</v>
      </c>
      <c r="U774" s="67">
        <f>IF(AND(ISNUMBER(K774),N(K774)&gt;0),N(K774),0)</f>
        <v>0.0</v>
      </c>
      <c r="V774" s="67">
        <f>IF(AND(ISNUMBER(L774),N(L774)&gt;0),N(L774),0)</f>
        <v>0.0</v>
      </c>
      <c r="W774" s="67">
        <f>IF(AND(I774="Terminée",S774&gt;0,C774&lt;&gt;"",ISNUMBER(MATCH(C774,eq_code,0))),1,0)</f>
        <v>0.0</v>
      </c>
      <c r="X774" s="67">
        <f>IF(AND(W774=1,E774="Préventif"),1,0)</f>
        <v>0.0</v>
      </c>
      <c r="Y774" s="67">
        <f>IF(AND(ISNUMBER(N774),N(N774)&gt;0),N(N774),0)</f>
        <v>0.0</v>
      </c>
      <c r="Z774" s="67">
        <f>IF(AND(ISNUMBER(P774),N(P774)&gt;0),N(P774),0)</f>
        <v>0.0</v>
      </c>
    </row>
    <row r="775">
      <c r="A775" s="79" t="str">
        <f>IF(COUNTA(B775:C775,E775:G775,I775)=0,"","BI-"&amp;RIGHT("0000"&amp;(ROW()-5),4))</f>
        <v/>
      </c>
      <c r="B775" s="72" t="n"/>
      <c r="C775" s="66" t="n"/>
      <c r="D775" s="67" t="str">
        <f>IF(C775="","",IFERROR(INDEX(eq_des,MATCH(C775,eq_code,0))&amp;"","Équipement inconnu"))</f>
        <v/>
      </c>
      <c r="E775" s="68" t="n"/>
      <c r="F775" s="68" t="n"/>
      <c r="G775" s="66" t="n"/>
      <c r="H775" s="66" t="n"/>
      <c r="I775" s="68" t="n"/>
      <c r="J775" s="73" t="n"/>
      <c r="K775" s="71" t="n"/>
      <c r="L775" s="71" t="n"/>
      <c r="M775" s="66" t="n"/>
      <c r="N775" s="80" t="n"/>
      <c r="O775" s="81" t="str">
        <f>IF(A775="","",ROUND(V775*IFERROR(N(INDEX(tech_rate,MATCH(M775,tech_name,0))),0),2))</f>
        <v/>
      </c>
      <c r="P775" s="80" t="n"/>
      <c r="Q775" s="81" t="str">
        <f>IF(A775="","",ROUND(Y775+O775+Z775,2))</f>
        <v/>
      </c>
      <c r="R775" s="79" t="str">
        <f>IF(A775="","",IF(S775=0,"Date manquante ou invalide",IF(C775="","Équipement manquant",IF(ISNA(MATCH(C775,eq_code,0)),"Équipement inconnu",IF(E775="","Type manquant",IF(AND(E775&lt;&gt;"Préventif",E775&lt;&gt;"Correctif",E775&lt;&gt;"Amélioratif"),"Type inconnu",IF(I775="","Statut manquant",IF(AND(I775&lt;&gt;"Terminée",I775&lt;&gt;"En cours",I775&lt;&gt;"À faire",I775&lt;&gt;"Annulée"),"Statut inconnu",IF(AND(E775="Préventif",F775=""),"Plan manquant (préventif)",IF(AND(F775&lt;&gt;"",ISNA(MATCH(F775,pl_num,0))),"Plan inconnu",IF(AND(F775&lt;&gt;"",IFERROR(INDEX(pl_eq,MATCH(F775,pl_num,0))&amp;"",C775)&lt;&gt;C775),"Plan d'un autre équipement",IF(AND(J775&lt;&gt;"",OR(NOT(ISNUMBER(J775)),N(J775)&lt;0)),"Compteur invalide",IF(OR(AND(K775&lt;&gt;"",OR(NOT(ISNUMBER(K775)),N(K775)&lt;0)),AND(L775&lt;&gt;"",OR(NOT(ISNUMBER(L775)),N(L775)&lt;0))),"Durée invalide",IF(OR(AND(N775&lt;&gt;"",OR(NOT(ISNUMBER(N775)),N(N775)&lt;0)),AND(P775&lt;&gt;"",OR(NOT(ISNUMBER(P775)),N(P775)&lt;0))),"Coût invalide",IF(AND(M775&lt;&gt;"",ISNA(MATCH(M775,tech_name,0))),"Technicien inconnu",IF(AND(I775="Terminée",S775&gt;p_today),"Terminée à une date future",IF(AND(I775="Terminée",V775=0),"Durée d'intervention manquante",IF(AND(I775="Terminée",E775="Préventif",T775=0,OR(IFERROR(INDEX(pl_trig,MATCH(F775,pl_num,0))&amp;"","")="Compteur",IFERROR(INDEX(pl_trig,MATCH(F775,pl_num,0))&amp;"","")="Au premier des deux")),"Compteur manquant (plan au compteur)","OK"))))))))))))))))))</f>
        <v/>
      </c>
      <c r="S775" s="67">
        <f>IF(AND(ISNUMBER(B775),N(B775)&gt;0),INT(B775),0)</f>
        <v>0.0</v>
      </c>
      <c r="T775" s="67">
        <f>IF(AND(ISNUMBER(J775),N(J775)&gt;=0),N(J775),0)</f>
        <v>0.0</v>
      </c>
      <c r="U775" s="67">
        <f>IF(AND(ISNUMBER(K775),N(K775)&gt;0),N(K775),0)</f>
        <v>0.0</v>
      </c>
      <c r="V775" s="67">
        <f>IF(AND(ISNUMBER(L775),N(L775)&gt;0),N(L775),0)</f>
        <v>0.0</v>
      </c>
      <c r="W775" s="67">
        <f>IF(AND(I775="Terminée",S775&gt;0,C775&lt;&gt;"",ISNUMBER(MATCH(C775,eq_code,0))),1,0)</f>
        <v>0.0</v>
      </c>
      <c r="X775" s="67">
        <f>IF(AND(W775=1,E775="Préventif"),1,0)</f>
        <v>0.0</v>
      </c>
      <c r="Y775" s="67">
        <f>IF(AND(ISNUMBER(N775),N(N775)&gt;0),N(N775),0)</f>
        <v>0.0</v>
      </c>
      <c r="Z775" s="67">
        <f>IF(AND(ISNUMBER(P775),N(P775)&gt;0),N(P775),0)</f>
        <v>0.0</v>
      </c>
    </row>
    <row r="776">
      <c r="A776" s="79" t="str">
        <f>IF(COUNTA(B776:C776,E776:G776,I776)=0,"","BI-"&amp;RIGHT("0000"&amp;(ROW()-5),4))</f>
        <v/>
      </c>
      <c r="B776" s="72" t="n"/>
      <c r="C776" s="66" t="n"/>
      <c r="D776" s="67" t="str">
        <f>IF(C776="","",IFERROR(INDEX(eq_des,MATCH(C776,eq_code,0))&amp;"","Équipement inconnu"))</f>
        <v/>
      </c>
      <c r="E776" s="68" t="n"/>
      <c r="F776" s="68" t="n"/>
      <c r="G776" s="66" t="n"/>
      <c r="H776" s="66" t="n"/>
      <c r="I776" s="68" t="n"/>
      <c r="J776" s="73" t="n"/>
      <c r="K776" s="71" t="n"/>
      <c r="L776" s="71" t="n"/>
      <c r="M776" s="66" t="n"/>
      <c r="N776" s="80" t="n"/>
      <c r="O776" s="81" t="str">
        <f>IF(A776="","",ROUND(V776*IFERROR(N(INDEX(tech_rate,MATCH(M776,tech_name,0))),0),2))</f>
        <v/>
      </c>
      <c r="P776" s="80" t="n"/>
      <c r="Q776" s="81" t="str">
        <f>IF(A776="","",ROUND(Y776+O776+Z776,2))</f>
        <v/>
      </c>
      <c r="R776" s="79" t="str">
        <f>IF(A776="","",IF(S776=0,"Date manquante ou invalide",IF(C776="","Équipement manquant",IF(ISNA(MATCH(C776,eq_code,0)),"Équipement inconnu",IF(E776="","Type manquant",IF(AND(E776&lt;&gt;"Préventif",E776&lt;&gt;"Correctif",E776&lt;&gt;"Amélioratif"),"Type inconnu",IF(I776="","Statut manquant",IF(AND(I776&lt;&gt;"Terminée",I776&lt;&gt;"En cours",I776&lt;&gt;"À faire",I776&lt;&gt;"Annulée"),"Statut inconnu",IF(AND(E776="Préventif",F776=""),"Plan manquant (préventif)",IF(AND(F776&lt;&gt;"",ISNA(MATCH(F776,pl_num,0))),"Plan inconnu",IF(AND(F776&lt;&gt;"",IFERROR(INDEX(pl_eq,MATCH(F776,pl_num,0))&amp;"",C776)&lt;&gt;C776),"Plan d'un autre équipement",IF(AND(J776&lt;&gt;"",OR(NOT(ISNUMBER(J776)),N(J776)&lt;0)),"Compteur invalide",IF(OR(AND(K776&lt;&gt;"",OR(NOT(ISNUMBER(K776)),N(K776)&lt;0)),AND(L776&lt;&gt;"",OR(NOT(ISNUMBER(L776)),N(L776)&lt;0))),"Durée invalide",IF(OR(AND(N776&lt;&gt;"",OR(NOT(ISNUMBER(N776)),N(N776)&lt;0)),AND(P776&lt;&gt;"",OR(NOT(ISNUMBER(P776)),N(P776)&lt;0))),"Coût invalide",IF(AND(M776&lt;&gt;"",ISNA(MATCH(M776,tech_name,0))),"Technicien inconnu",IF(AND(I776="Terminée",S776&gt;p_today),"Terminée à une date future",IF(AND(I776="Terminée",V776=0),"Durée d'intervention manquante",IF(AND(I776="Terminée",E776="Préventif",T776=0,OR(IFERROR(INDEX(pl_trig,MATCH(F776,pl_num,0))&amp;"","")="Compteur",IFERROR(INDEX(pl_trig,MATCH(F776,pl_num,0))&amp;"","")="Au premier des deux")),"Compteur manquant (plan au compteur)","OK"))))))))))))))))))</f>
        <v/>
      </c>
      <c r="S776" s="67">
        <f>IF(AND(ISNUMBER(B776),N(B776)&gt;0),INT(B776),0)</f>
        <v>0.0</v>
      </c>
      <c r="T776" s="67">
        <f>IF(AND(ISNUMBER(J776),N(J776)&gt;=0),N(J776),0)</f>
        <v>0.0</v>
      </c>
      <c r="U776" s="67">
        <f>IF(AND(ISNUMBER(K776),N(K776)&gt;0),N(K776),0)</f>
        <v>0.0</v>
      </c>
      <c r="V776" s="67">
        <f>IF(AND(ISNUMBER(L776),N(L776)&gt;0),N(L776),0)</f>
        <v>0.0</v>
      </c>
      <c r="W776" s="67">
        <f>IF(AND(I776="Terminée",S776&gt;0,C776&lt;&gt;"",ISNUMBER(MATCH(C776,eq_code,0))),1,0)</f>
        <v>0.0</v>
      </c>
      <c r="X776" s="67">
        <f>IF(AND(W776=1,E776="Préventif"),1,0)</f>
        <v>0.0</v>
      </c>
      <c r="Y776" s="67">
        <f>IF(AND(ISNUMBER(N776),N(N776)&gt;0),N(N776),0)</f>
        <v>0.0</v>
      </c>
      <c r="Z776" s="67">
        <f>IF(AND(ISNUMBER(P776),N(P776)&gt;0),N(P776),0)</f>
        <v>0.0</v>
      </c>
    </row>
    <row r="777">
      <c r="A777" s="79" t="str">
        <f>IF(COUNTA(B777:C777,E777:G777,I777)=0,"","BI-"&amp;RIGHT("0000"&amp;(ROW()-5),4))</f>
        <v/>
      </c>
      <c r="B777" s="72" t="n"/>
      <c r="C777" s="66" t="n"/>
      <c r="D777" s="67" t="str">
        <f>IF(C777="","",IFERROR(INDEX(eq_des,MATCH(C777,eq_code,0))&amp;"","Équipement inconnu"))</f>
        <v/>
      </c>
      <c r="E777" s="68" t="n"/>
      <c r="F777" s="68" t="n"/>
      <c r="G777" s="66" t="n"/>
      <c r="H777" s="66" t="n"/>
      <c r="I777" s="68" t="n"/>
      <c r="J777" s="73" t="n"/>
      <c r="K777" s="71" t="n"/>
      <c r="L777" s="71" t="n"/>
      <c r="M777" s="66" t="n"/>
      <c r="N777" s="80" t="n"/>
      <c r="O777" s="81" t="str">
        <f>IF(A777="","",ROUND(V777*IFERROR(N(INDEX(tech_rate,MATCH(M777,tech_name,0))),0),2))</f>
        <v/>
      </c>
      <c r="P777" s="80" t="n"/>
      <c r="Q777" s="81" t="str">
        <f>IF(A777="","",ROUND(Y777+O777+Z777,2))</f>
        <v/>
      </c>
      <c r="R777" s="79" t="str">
        <f>IF(A777="","",IF(S777=0,"Date manquante ou invalide",IF(C777="","Équipement manquant",IF(ISNA(MATCH(C777,eq_code,0)),"Équipement inconnu",IF(E777="","Type manquant",IF(AND(E777&lt;&gt;"Préventif",E777&lt;&gt;"Correctif",E777&lt;&gt;"Amélioratif"),"Type inconnu",IF(I777="","Statut manquant",IF(AND(I777&lt;&gt;"Terminée",I777&lt;&gt;"En cours",I777&lt;&gt;"À faire",I777&lt;&gt;"Annulée"),"Statut inconnu",IF(AND(E777="Préventif",F777=""),"Plan manquant (préventif)",IF(AND(F777&lt;&gt;"",ISNA(MATCH(F777,pl_num,0))),"Plan inconnu",IF(AND(F777&lt;&gt;"",IFERROR(INDEX(pl_eq,MATCH(F777,pl_num,0))&amp;"",C777)&lt;&gt;C777),"Plan d'un autre équipement",IF(AND(J777&lt;&gt;"",OR(NOT(ISNUMBER(J777)),N(J777)&lt;0)),"Compteur invalide",IF(OR(AND(K777&lt;&gt;"",OR(NOT(ISNUMBER(K777)),N(K777)&lt;0)),AND(L777&lt;&gt;"",OR(NOT(ISNUMBER(L777)),N(L777)&lt;0))),"Durée invalide",IF(OR(AND(N777&lt;&gt;"",OR(NOT(ISNUMBER(N777)),N(N777)&lt;0)),AND(P777&lt;&gt;"",OR(NOT(ISNUMBER(P777)),N(P777)&lt;0))),"Coût invalide",IF(AND(M777&lt;&gt;"",ISNA(MATCH(M777,tech_name,0))),"Technicien inconnu",IF(AND(I777="Terminée",S777&gt;p_today),"Terminée à une date future",IF(AND(I777="Terminée",V777=0),"Durée d'intervention manquante",IF(AND(I777="Terminée",E777="Préventif",T777=0,OR(IFERROR(INDEX(pl_trig,MATCH(F777,pl_num,0))&amp;"","")="Compteur",IFERROR(INDEX(pl_trig,MATCH(F777,pl_num,0))&amp;"","")="Au premier des deux")),"Compteur manquant (plan au compteur)","OK"))))))))))))))))))</f>
        <v/>
      </c>
      <c r="S777" s="67">
        <f>IF(AND(ISNUMBER(B777),N(B777)&gt;0),INT(B777),0)</f>
        <v>0.0</v>
      </c>
      <c r="T777" s="67">
        <f>IF(AND(ISNUMBER(J777),N(J777)&gt;=0),N(J777),0)</f>
        <v>0.0</v>
      </c>
      <c r="U777" s="67">
        <f>IF(AND(ISNUMBER(K777),N(K777)&gt;0),N(K777),0)</f>
        <v>0.0</v>
      </c>
      <c r="V777" s="67">
        <f>IF(AND(ISNUMBER(L777),N(L777)&gt;0),N(L777),0)</f>
        <v>0.0</v>
      </c>
      <c r="W777" s="67">
        <f>IF(AND(I777="Terminée",S777&gt;0,C777&lt;&gt;"",ISNUMBER(MATCH(C777,eq_code,0))),1,0)</f>
        <v>0.0</v>
      </c>
      <c r="X777" s="67">
        <f>IF(AND(W777=1,E777="Préventif"),1,0)</f>
        <v>0.0</v>
      </c>
      <c r="Y777" s="67">
        <f>IF(AND(ISNUMBER(N777),N(N777)&gt;0),N(N777),0)</f>
        <v>0.0</v>
      </c>
      <c r="Z777" s="67">
        <f>IF(AND(ISNUMBER(P777),N(P777)&gt;0),N(P777),0)</f>
        <v>0.0</v>
      </c>
    </row>
    <row r="778">
      <c r="A778" s="79" t="str">
        <f>IF(COUNTA(B778:C778,E778:G778,I778)=0,"","BI-"&amp;RIGHT("0000"&amp;(ROW()-5),4))</f>
        <v/>
      </c>
      <c r="B778" s="72" t="n"/>
      <c r="C778" s="66" t="n"/>
      <c r="D778" s="67" t="str">
        <f>IF(C778="","",IFERROR(INDEX(eq_des,MATCH(C778,eq_code,0))&amp;"","Équipement inconnu"))</f>
        <v/>
      </c>
      <c r="E778" s="68" t="n"/>
      <c r="F778" s="68" t="n"/>
      <c r="G778" s="66" t="n"/>
      <c r="H778" s="66" t="n"/>
      <c r="I778" s="68" t="n"/>
      <c r="J778" s="73" t="n"/>
      <c r="K778" s="71" t="n"/>
      <c r="L778" s="71" t="n"/>
      <c r="M778" s="66" t="n"/>
      <c r="N778" s="80" t="n"/>
      <c r="O778" s="81" t="str">
        <f>IF(A778="","",ROUND(V778*IFERROR(N(INDEX(tech_rate,MATCH(M778,tech_name,0))),0),2))</f>
        <v/>
      </c>
      <c r="P778" s="80" t="n"/>
      <c r="Q778" s="81" t="str">
        <f>IF(A778="","",ROUND(Y778+O778+Z778,2))</f>
        <v/>
      </c>
      <c r="R778" s="79" t="str">
        <f>IF(A778="","",IF(S778=0,"Date manquante ou invalide",IF(C778="","Équipement manquant",IF(ISNA(MATCH(C778,eq_code,0)),"Équipement inconnu",IF(E778="","Type manquant",IF(AND(E778&lt;&gt;"Préventif",E778&lt;&gt;"Correctif",E778&lt;&gt;"Amélioratif"),"Type inconnu",IF(I778="","Statut manquant",IF(AND(I778&lt;&gt;"Terminée",I778&lt;&gt;"En cours",I778&lt;&gt;"À faire",I778&lt;&gt;"Annulée"),"Statut inconnu",IF(AND(E778="Préventif",F778=""),"Plan manquant (préventif)",IF(AND(F778&lt;&gt;"",ISNA(MATCH(F778,pl_num,0))),"Plan inconnu",IF(AND(F778&lt;&gt;"",IFERROR(INDEX(pl_eq,MATCH(F778,pl_num,0))&amp;"",C778)&lt;&gt;C778),"Plan d'un autre équipement",IF(AND(J778&lt;&gt;"",OR(NOT(ISNUMBER(J778)),N(J778)&lt;0)),"Compteur invalide",IF(OR(AND(K778&lt;&gt;"",OR(NOT(ISNUMBER(K778)),N(K778)&lt;0)),AND(L778&lt;&gt;"",OR(NOT(ISNUMBER(L778)),N(L778)&lt;0))),"Durée invalide",IF(OR(AND(N778&lt;&gt;"",OR(NOT(ISNUMBER(N778)),N(N778)&lt;0)),AND(P778&lt;&gt;"",OR(NOT(ISNUMBER(P778)),N(P778)&lt;0))),"Coût invalide",IF(AND(M778&lt;&gt;"",ISNA(MATCH(M778,tech_name,0))),"Technicien inconnu",IF(AND(I778="Terminée",S778&gt;p_today),"Terminée à une date future",IF(AND(I778="Terminée",V778=0),"Durée d'intervention manquante",IF(AND(I778="Terminée",E778="Préventif",T778=0,OR(IFERROR(INDEX(pl_trig,MATCH(F778,pl_num,0))&amp;"","")="Compteur",IFERROR(INDEX(pl_trig,MATCH(F778,pl_num,0))&amp;"","")="Au premier des deux")),"Compteur manquant (plan au compteur)","OK"))))))))))))))))))</f>
        <v/>
      </c>
      <c r="S778" s="67">
        <f>IF(AND(ISNUMBER(B778),N(B778)&gt;0),INT(B778),0)</f>
        <v>0.0</v>
      </c>
      <c r="T778" s="67">
        <f>IF(AND(ISNUMBER(J778),N(J778)&gt;=0),N(J778),0)</f>
        <v>0.0</v>
      </c>
      <c r="U778" s="67">
        <f>IF(AND(ISNUMBER(K778),N(K778)&gt;0),N(K778),0)</f>
        <v>0.0</v>
      </c>
      <c r="V778" s="67">
        <f>IF(AND(ISNUMBER(L778),N(L778)&gt;0),N(L778),0)</f>
        <v>0.0</v>
      </c>
      <c r="W778" s="67">
        <f>IF(AND(I778="Terminée",S778&gt;0,C778&lt;&gt;"",ISNUMBER(MATCH(C778,eq_code,0))),1,0)</f>
        <v>0.0</v>
      </c>
      <c r="X778" s="67">
        <f>IF(AND(W778=1,E778="Préventif"),1,0)</f>
        <v>0.0</v>
      </c>
      <c r="Y778" s="67">
        <f>IF(AND(ISNUMBER(N778),N(N778)&gt;0),N(N778),0)</f>
        <v>0.0</v>
      </c>
      <c r="Z778" s="67">
        <f>IF(AND(ISNUMBER(P778),N(P778)&gt;0),N(P778),0)</f>
        <v>0.0</v>
      </c>
    </row>
    <row r="779">
      <c r="A779" s="79" t="str">
        <f>IF(COUNTA(B779:C779,E779:G779,I779)=0,"","BI-"&amp;RIGHT("0000"&amp;(ROW()-5),4))</f>
        <v/>
      </c>
      <c r="B779" s="72" t="n"/>
      <c r="C779" s="66" t="n"/>
      <c r="D779" s="67" t="str">
        <f>IF(C779="","",IFERROR(INDEX(eq_des,MATCH(C779,eq_code,0))&amp;"","Équipement inconnu"))</f>
        <v/>
      </c>
      <c r="E779" s="68" t="n"/>
      <c r="F779" s="68" t="n"/>
      <c r="G779" s="66" t="n"/>
      <c r="H779" s="66" t="n"/>
      <c r="I779" s="68" t="n"/>
      <c r="J779" s="73" t="n"/>
      <c r="K779" s="71" t="n"/>
      <c r="L779" s="71" t="n"/>
      <c r="M779" s="66" t="n"/>
      <c r="N779" s="80" t="n"/>
      <c r="O779" s="81" t="str">
        <f>IF(A779="","",ROUND(V779*IFERROR(N(INDEX(tech_rate,MATCH(M779,tech_name,0))),0),2))</f>
        <v/>
      </c>
      <c r="P779" s="80" t="n"/>
      <c r="Q779" s="81" t="str">
        <f>IF(A779="","",ROUND(Y779+O779+Z779,2))</f>
        <v/>
      </c>
      <c r="R779" s="79" t="str">
        <f>IF(A779="","",IF(S779=0,"Date manquante ou invalide",IF(C779="","Équipement manquant",IF(ISNA(MATCH(C779,eq_code,0)),"Équipement inconnu",IF(E779="","Type manquant",IF(AND(E779&lt;&gt;"Préventif",E779&lt;&gt;"Correctif",E779&lt;&gt;"Amélioratif"),"Type inconnu",IF(I779="","Statut manquant",IF(AND(I779&lt;&gt;"Terminée",I779&lt;&gt;"En cours",I779&lt;&gt;"À faire",I779&lt;&gt;"Annulée"),"Statut inconnu",IF(AND(E779="Préventif",F779=""),"Plan manquant (préventif)",IF(AND(F779&lt;&gt;"",ISNA(MATCH(F779,pl_num,0))),"Plan inconnu",IF(AND(F779&lt;&gt;"",IFERROR(INDEX(pl_eq,MATCH(F779,pl_num,0))&amp;"",C779)&lt;&gt;C779),"Plan d'un autre équipement",IF(AND(J779&lt;&gt;"",OR(NOT(ISNUMBER(J779)),N(J779)&lt;0)),"Compteur invalide",IF(OR(AND(K779&lt;&gt;"",OR(NOT(ISNUMBER(K779)),N(K779)&lt;0)),AND(L779&lt;&gt;"",OR(NOT(ISNUMBER(L779)),N(L779)&lt;0))),"Durée invalide",IF(OR(AND(N779&lt;&gt;"",OR(NOT(ISNUMBER(N779)),N(N779)&lt;0)),AND(P779&lt;&gt;"",OR(NOT(ISNUMBER(P779)),N(P779)&lt;0))),"Coût invalide",IF(AND(M779&lt;&gt;"",ISNA(MATCH(M779,tech_name,0))),"Technicien inconnu",IF(AND(I779="Terminée",S779&gt;p_today),"Terminée à une date future",IF(AND(I779="Terminée",V779=0),"Durée d'intervention manquante",IF(AND(I779="Terminée",E779="Préventif",T779=0,OR(IFERROR(INDEX(pl_trig,MATCH(F779,pl_num,0))&amp;"","")="Compteur",IFERROR(INDEX(pl_trig,MATCH(F779,pl_num,0))&amp;"","")="Au premier des deux")),"Compteur manquant (plan au compteur)","OK"))))))))))))))))))</f>
        <v/>
      </c>
      <c r="S779" s="67">
        <f>IF(AND(ISNUMBER(B779),N(B779)&gt;0),INT(B779),0)</f>
        <v>0.0</v>
      </c>
      <c r="T779" s="67">
        <f>IF(AND(ISNUMBER(J779),N(J779)&gt;=0),N(J779),0)</f>
        <v>0.0</v>
      </c>
      <c r="U779" s="67">
        <f>IF(AND(ISNUMBER(K779),N(K779)&gt;0),N(K779),0)</f>
        <v>0.0</v>
      </c>
      <c r="V779" s="67">
        <f>IF(AND(ISNUMBER(L779),N(L779)&gt;0),N(L779),0)</f>
        <v>0.0</v>
      </c>
      <c r="W779" s="67">
        <f>IF(AND(I779="Terminée",S779&gt;0,C779&lt;&gt;"",ISNUMBER(MATCH(C779,eq_code,0))),1,0)</f>
        <v>0.0</v>
      </c>
      <c r="X779" s="67">
        <f>IF(AND(W779=1,E779="Préventif"),1,0)</f>
        <v>0.0</v>
      </c>
      <c r="Y779" s="67">
        <f>IF(AND(ISNUMBER(N779),N(N779)&gt;0),N(N779),0)</f>
        <v>0.0</v>
      </c>
      <c r="Z779" s="67">
        <f>IF(AND(ISNUMBER(P779),N(P779)&gt;0),N(P779),0)</f>
        <v>0.0</v>
      </c>
    </row>
    <row r="780">
      <c r="A780" s="79" t="str">
        <f>IF(COUNTA(B780:C780,E780:G780,I780)=0,"","BI-"&amp;RIGHT("0000"&amp;(ROW()-5),4))</f>
        <v/>
      </c>
      <c r="B780" s="72" t="n"/>
      <c r="C780" s="66" t="n"/>
      <c r="D780" s="67" t="str">
        <f>IF(C780="","",IFERROR(INDEX(eq_des,MATCH(C780,eq_code,0))&amp;"","Équipement inconnu"))</f>
        <v/>
      </c>
      <c r="E780" s="68" t="n"/>
      <c r="F780" s="68" t="n"/>
      <c r="G780" s="66" t="n"/>
      <c r="H780" s="66" t="n"/>
      <c r="I780" s="68" t="n"/>
      <c r="J780" s="73" t="n"/>
      <c r="K780" s="71" t="n"/>
      <c r="L780" s="71" t="n"/>
      <c r="M780" s="66" t="n"/>
      <c r="N780" s="80" t="n"/>
      <c r="O780" s="81" t="str">
        <f>IF(A780="","",ROUND(V780*IFERROR(N(INDEX(tech_rate,MATCH(M780,tech_name,0))),0),2))</f>
        <v/>
      </c>
      <c r="P780" s="80" t="n"/>
      <c r="Q780" s="81" t="str">
        <f>IF(A780="","",ROUND(Y780+O780+Z780,2))</f>
        <v/>
      </c>
      <c r="R780" s="79" t="str">
        <f>IF(A780="","",IF(S780=0,"Date manquante ou invalide",IF(C780="","Équipement manquant",IF(ISNA(MATCH(C780,eq_code,0)),"Équipement inconnu",IF(E780="","Type manquant",IF(AND(E780&lt;&gt;"Préventif",E780&lt;&gt;"Correctif",E780&lt;&gt;"Amélioratif"),"Type inconnu",IF(I780="","Statut manquant",IF(AND(I780&lt;&gt;"Terminée",I780&lt;&gt;"En cours",I780&lt;&gt;"À faire",I780&lt;&gt;"Annulée"),"Statut inconnu",IF(AND(E780="Préventif",F780=""),"Plan manquant (préventif)",IF(AND(F780&lt;&gt;"",ISNA(MATCH(F780,pl_num,0))),"Plan inconnu",IF(AND(F780&lt;&gt;"",IFERROR(INDEX(pl_eq,MATCH(F780,pl_num,0))&amp;"",C780)&lt;&gt;C780),"Plan d'un autre équipement",IF(AND(J780&lt;&gt;"",OR(NOT(ISNUMBER(J780)),N(J780)&lt;0)),"Compteur invalide",IF(OR(AND(K780&lt;&gt;"",OR(NOT(ISNUMBER(K780)),N(K780)&lt;0)),AND(L780&lt;&gt;"",OR(NOT(ISNUMBER(L780)),N(L780)&lt;0))),"Durée invalide",IF(OR(AND(N780&lt;&gt;"",OR(NOT(ISNUMBER(N780)),N(N780)&lt;0)),AND(P780&lt;&gt;"",OR(NOT(ISNUMBER(P780)),N(P780)&lt;0))),"Coût invalide",IF(AND(M780&lt;&gt;"",ISNA(MATCH(M780,tech_name,0))),"Technicien inconnu",IF(AND(I780="Terminée",S780&gt;p_today),"Terminée à une date future",IF(AND(I780="Terminée",V780=0),"Durée d'intervention manquante",IF(AND(I780="Terminée",E780="Préventif",T780=0,OR(IFERROR(INDEX(pl_trig,MATCH(F780,pl_num,0))&amp;"","")="Compteur",IFERROR(INDEX(pl_trig,MATCH(F780,pl_num,0))&amp;"","")="Au premier des deux")),"Compteur manquant (plan au compteur)","OK"))))))))))))))))))</f>
        <v/>
      </c>
      <c r="S780" s="67">
        <f>IF(AND(ISNUMBER(B780),N(B780)&gt;0),INT(B780),0)</f>
        <v>0.0</v>
      </c>
      <c r="T780" s="67">
        <f>IF(AND(ISNUMBER(J780),N(J780)&gt;=0),N(J780),0)</f>
        <v>0.0</v>
      </c>
      <c r="U780" s="67">
        <f>IF(AND(ISNUMBER(K780),N(K780)&gt;0),N(K780),0)</f>
        <v>0.0</v>
      </c>
      <c r="V780" s="67">
        <f>IF(AND(ISNUMBER(L780),N(L780)&gt;0),N(L780),0)</f>
        <v>0.0</v>
      </c>
      <c r="W780" s="67">
        <f>IF(AND(I780="Terminée",S780&gt;0,C780&lt;&gt;"",ISNUMBER(MATCH(C780,eq_code,0))),1,0)</f>
        <v>0.0</v>
      </c>
      <c r="X780" s="67">
        <f>IF(AND(W780=1,E780="Préventif"),1,0)</f>
        <v>0.0</v>
      </c>
      <c r="Y780" s="67">
        <f>IF(AND(ISNUMBER(N780),N(N780)&gt;0),N(N780),0)</f>
        <v>0.0</v>
      </c>
      <c r="Z780" s="67">
        <f>IF(AND(ISNUMBER(P780),N(P780)&gt;0),N(P780),0)</f>
        <v>0.0</v>
      </c>
    </row>
    <row r="781">
      <c r="A781" s="79" t="str">
        <f>IF(COUNTA(B781:C781,E781:G781,I781)=0,"","BI-"&amp;RIGHT("0000"&amp;(ROW()-5),4))</f>
        <v/>
      </c>
      <c r="B781" s="72" t="n"/>
      <c r="C781" s="66" t="n"/>
      <c r="D781" s="67" t="str">
        <f>IF(C781="","",IFERROR(INDEX(eq_des,MATCH(C781,eq_code,0))&amp;"","Équipement inconnu"))</f>
        <v/>
      </c>
      <c r="E781" s="68" t="n"/>
      <c r="F781" s="68" t="n"/>
      <c r="G781" s="66" t="n"/>
      <c r="H781" s="66" t="n"/>
      <c r="I781" s="68" t="n"/>
      <c r="J781" s="73" t="n"/>
      <c r="K781" s="71" t="n"/>
      <c r="L781" s="71" t="n"/>
      <c r="M781" s="66" t="n"/>
      <c r="N781" s="80" t="n"/>
      <c r="O781" s="81" t="str">
        <f>IF(A781="","",ROUND(V781*IFERROR(N(INDEX(tech_rate,MATCH(M781,tech_name,0))),0),2))</f>
        <v/>
      </c>
      <c r="P781" s="80" t="n"/>
      <c r="Q781" s="81" t="str">
        <f>IF(A781="","",ROUND(Y781+O781+Z781,2))</f>
        <v/>
      </c>
      <c r="R781" s="79" t="str">
        <f>IF(A781="","",IF(S781=0,"Date manquante ou invalide",IF(C781="","Équipement manquant",IF(ISNA(MATCH(C781,eq_code,0)),"Équipement inconnu",IF(E781="","Type manquant",IF(AND(E781&lt;&gt;"Préventif",E781&lt;&gt;"Correctif",E781&lt;&gt;"Amélioratif"),"Type inconnu",IF(I781="","Statut manquant",IF(AND(I781&lt;&gt;"Terminée",I781&lt;&gt;"En cours",I781&lt;&gt;"À faire",I781&lt;&gt;"Annulée"),"Statut inconnu",IF(AND(E781="Préventif",F781=""),"Plan manquant (préventif)",IF(AND(F781&lt;&gt;"",ISNA(MATCH(F781,pl_num,0))),"Plan inconnu",IF(AND(F781&lt;&gt;"",IFERROR(INDEX(pl_eq,MATCH(F781,pl_num,0))&amp;"",C781)&lt;&gt;C781),"Plan d'un autre équipement",IF(AND(J781&lt;&gt;"",OR(NOT(ISNUMBER(J781)),N(J781)&lt;0)),"Compteur invalide",IF(OR(AND(K781&lt;&gt;"",OR(NOT(ISNUMBER(K781)),N(K781)&lt;0)),AND(L781&lt;&gt;"",OR(NOT(ISNUMBER(L781)),N(L781)&lt;0))),"Durée invalide",IF(OR(AND(N781&lt;&gt;"",OR(NOT(ISNUMBER(N781)),N(N781)&lt;0)),AND(P781&lt;&gt;"",OR(NOT(ISNUMBER(P781)),N(P781)&lt;0))),"Coût invalide",IF(AND(M781&lt;&gt;"",ISNA(MATCH(M781,tech_name,0))),"Technicien inconnu",IF(AND(I781="Terminée",S781&gt;p_today),"Terminée à une date future",IF(AND(I781="Terminée",V781=0),"Durée d'intervention manquante",IF(AND(I781="Terminée",E781="Préventif",T781=0,OR(IFERROR(INDEX(pl_trig,MATCH(F781,pl_num,0))&amp;"","")="Compteur",IFERROR(INDEX(pl_trig,MATCH(F781,pl_num,0))&amp;"","")="Au premier des deux")),"Compteur manquant (plan au compteur)","OK"))))))))))))))))))</f>
        <v/>
      </c>
      <c r="S781" s="67">
        <f>IF(AND(ISNUMBER(B781),N(B781)&gt;0),INT(B781),0)</f>
        <v>0.0</v>
      </c>
      <c r="T781" s="67">
        <f>IF(AND(ISNUMBER(J781),N(J781)&gt;=0),N(J781),0)</f>
        <v>0.0</v>
      </c>
      <c r="U781" s="67">
        <f>IF(AND(ISNUMBER(K781),N(K781)&gt;0),N(K781),0)</f>
        <v>0.0</v>
      </c>
      <c r="V781" s="67">
        <f>IF(AND(ISNUMBER(L781),N(L781)&gt;0),N(L781),0)</f>
        <v>0.0</v>
      </c>
      <c r="W781" s="67">
        <f>IF(AND(I781="Terminée",S781&gt;0,C781&lt;&gt;"",ISNUMBER(MATCH(C781,eq_code,0))),1,0)</f>
        <v>0.0</v>
      </c>
      <c r="X781" s="67">
        <f>IF(AND(W781=1,E781="Préventif"),1,0)</f>
        <v>0.0</v>
      </c>
      <c r="Y781" s="67">
        <f>IF(AND(ISNUMBER(N781),N(N781)&gt;0),N(N781),0)</f>
        <v>0.0</v>
      </c>
      <c r="Z781" s="67">
        <f>IF(AND(ISNUMBER(P781),N(P781)&gt;0),N(P781),0)</f>
        <v>0.0</v>
      </c>
    </row>
    <row r="782">
      <c r="A782" s="79" t="str">
        <f>IF(COUNTA(B782:C782,E782:G782,I782)=0,"","BI-"&amp;RIGHT("0000"&amp;(ROW()-5),4))</f>
        <v/>
      </c>
      <c r="B782" s="72" t="n"/>
      <c r="C782" s="66" t="n"/>
      <c r="D782" s="67" t="str">
        <f>IF(C782="","",IFERROR(INDEX(eq_des,MATCH(C782,eq_code,0))&amp;"","Équipement inconnu"))</f>
        <v/>
      </c>
      <c r="E782" s="68" t="n"/>
      <c r="F782" s="68" t="n"/>
      <c r="G782" s="66" t="n"/>
      <c r="H782" s="66" t="n"/>
      <c r="I782" s="68" t="n"/>
      <c r="J782" s="73" t="n"/>
      <c r="K782" s="71" t="n"/>
      <c r="L782" s="71" t="n"/>
      <c r="M782" s="66" t="n"/>
      <c r="N782" s="80" t="n"/>
      <c r="O782" s="81" t="str">
        <f>IF(A782="","",ROUND(V782*IFERROR(N(INDEX(tech_rate,MATCH(M782,tech_name,0))),0),2))</f>
        <v/>
      </c>
      <c r="P782" s="80" t="n"/>
      <c r="Q782" s="81" t="str">
        <f>IF(A782="","",ROUND(Y782+O782+Z782,2))</f>
        <v/>
      </c>
      <c r="R782" s="79" t="str">
        <f>IF(A782="","",IF(S782=0,"Date manquante ou invalide",IF(C782="","Équipement manquant",IF(ISNA(MATCH(C782,eq_code,0)),"Équipement inconnu",IF(E782="","Type manquant",IF(AND(E782&lt;&gt;"Préventif",E782&lt;&gt;"Correctif",E782&lt;&gt;"Amélioratif"),"Type inconnu",IF(I782="","Statut manquant",IF(AND(I782&lt;&gt;"Terminée",I782&lt;&gt;"En cours",I782&lt;&gt;"À faire",I782&lt;&gt;"Annulée"),"Statut inconnu",IF(AND(E782="Préventif",F782=""),"Plan manquant (préventif)",IF(AND(F782&lt;&gt;"",ISNA(MATCH(F782,pl_num,0))),"Plan inconnu",IF(AND(F782&lt;&gt;"",IFERROR(INDEX(pl_eq,MATCH(F782,pl_num,0))&amp;"",C782)&lt;&gt;C782),"Plan d'un autre équipement",IF(AND(J782&lt;&gt;"",OR(NOT(ISNUMBER(J782)),N(J782)&lt;0)),"Compteur invalide",IF(OR(AND(K782&lt;&gt;"",OR(NOT(ISNUMBER(K782)),N(K782)&lt;0)),AND(L782&lt;&gt;"",OR(NOT(ISNUMBER(L782)),N(L782)&lt;0))),"Durée invalide",IF(OR(AND(N782&lt;&gt;"",OR(NOT(ISNUMBER(N782)),N(N782)&lt;0)),AND(P782&lt;&gt;"",OR(NOT(ISNUMBER(P782)),N(P782)&lt;0))),"Coût invalide",IF(AND(M782&lt;&gt;"",ISNA(MATCH(M782,tech_name,0))),"Technicien inconnu",IF(AND(I782="Terminée",S782&gt;p_today),"Terminée à une date future",IF(AND(I782="Terminée",V782=0),"Durée d'intervention manquante",IF(AND(I782="Terminée",E782="Préventif",T782=0,OR(IFERROR(INDEX(pl_trig,MATCH(F782,pl_num,0))&amp;"","")="Compteur",IFERROR(INDEX(pl_trig,MATCH(F782,pl_num,0))&amp;"","")="Au premier des deux")),"Compteur manquant (plan au compteur)","OK"))))))))))))))))))</f>
        <v/>
      </c>
      <c r="S782" s="67">
        <f>IF(AND(ISNUMBER(B782),N(B782)&gt;0),INT(B782),0)</f>
        <v>0.0</v>
      </c>
      <c r="T782" s="67">
        <f>IF(AND(ISNUMBER(J782),N(J782)&gt;=0),N(J782),0)</f>
        <v>0.0</v>
      </c>
      <c r="U782" s="67">
        <f>IF(AND(ISNUMBER(K782),N(K782)&gt;0),N(K782),0)</f>
        <v>0.0</v>
      </c>
      <c r="V782" s="67">
        <f>IF(AND(ISNUMBER(L782),N(L782)&gt;0),N(L782),0)</f>
        <v>0.0</v>
      </c>
      <c r="W782" s="67">
        <f>IF(AND(I782="Terminée",S782&gt;0,C782&lt;&gt;"",ISNUMBER(MATCH(C782,eq_code,0))),1,0)</f>
        <v>0.0</v>
      </c>
      <c r="X782" s="67">
        <f>IF(AND(W782=1,E782="Préventif"),1,0)</f>
        <v>0.0</v>
      </c>
      <c r="Y782" s="67">
        <f>IF(AND(ISNUMBER(N782),N(N782)&gt;0),N(N782),0)</f>
        <v>0.0</v>
      </c>
      <c r="Z782" s="67">
        <f>IF(AND(ISNUMBER(P782),N(P782)&gt;0),N(P782),0)</f>
        <v>0.0</v>
      </c>
    </row>
    <row r="783">
      <c r="A783" s="79" t="str">
        <f>IF(COUNTA(B783:C783,E783:G783,I783)=0,"","BI-"&amp;RIGHT("0000"&amp;(ROW()-5),4))</f>
        <v/>
      </c>
      <c r="B783" s="72" t="n"/>
      <c r="C783" s="66" t="n"/>
      <c r="D783" s="67" t="str">
        <f>IF(C783="","",IFERROR(INDEX(eq_des,MATCH(C783,eq_code,0))&amp;"","Équipement inconnu"))</f>
        <v/>
      </c>
      <c r="E783" s="68" t="n"/>
      <c r="F783" s="68" t="n"/>
      <c r="G783" s="66" t="n"/>
      <c r="H783" s="66" t="n"/>
      <c r="I783" s="68" t="n"/>
      <c r="J783" s="73" t="n"/>
      <c r="K783" s="71" t="n"/>
      <c r="L783" s="71" t="n"/>
      <c r="M783" s="66" t="n"/>
      <c r="N783" s="80" t="n"/>
      <c r="O783" s="81" t="str">
        <f>IF(A783="","",ROUND(V783*IFERROR(N(INDEX(tech_rate,MATCH(M783,tech_name,0))),0),2))</f>
        <v/>
      </c>
      <c r="P783" s="80" t="n"/>
      <c r="Q783" s="81" t="str">
        <f>IF(A783="","",ROUND(Y783+O783+Z783,2))</f>
        <v/>
      </c>
      <c r="R783" s="79" t="str">
        <f>IF(A783="","",IF(S783=0,"Date manquante ou invalide",IF(C783="","Équipement manquant",IF(ISNA(MATCH(C783,eq_code,0)),"Équipement inconnu",IF(E783="","Type manquant",IF(AND(E783&lt;&gt;"Préventif",E783&lt;&gt;"Correctif",E783&lt;&gt;"Amélioratif"),"Type inconnu",IF(I783="","Statut manquant",IF(AND(I783&lt;&gt;"Terminée",I783&lt;&gt;"En cours",I783&lt;&gt;"À faire",I783&lt;&gt;"Annulée"),"Statut inconnu",IF(AND(E783="Préventif",F783=""),"Plan manquant (préventif)",IF(AND(F783&lt;&gt;"",ISNA(MATCH(F783,pl_num,0))),"Plan inconnu",IF(AND(F783&lt;&gt;"",IFERROR(INDEX(pl_eq,MATCH(F783,pl_num,0))&amp;"",C783)&lt;&gt;C783),"Plan d'un autre équipement",IF(AND(J783&lt;&gt;"",OR(NOT(ISNUMBER(J783)),N(J783)&lt;0)),"Compteur invalide",IF(OR(AND(K783&lt;&gt;"",OR(NOT(ISNUMBER(K783)),N(K783)&lt;0)),AND(L783&lt;&gt;"",OR(NOT(ISNUMBER(L783)),N(L783)&lt;0))),"Durée invalide",IF(OR(AND(N783&lt;&gt;"",OR(NOT(ISNUMBER(N783)),N(N783)&lt;0)),AND(P783&lt;&gt;"",OR(NOT(ISNUMBER(P783)),N(P783)&lt;0))),"Coût invalide",IF(AND(M783&lt;&gt;"",ISNA(MATCH(M783,tech_name,0))),"Technicien inconnu",IF(AND(I783="Terminée",S783&gt;p_today),"Terminée à une date future",IF(AND(I783="Terminée",V783=0),"Durée d'intervention manquante",IF(AND(I783="Terminée",E783="Préventif",T783=0,OR(IFERROR(INDEX(pl_trig,MATCH(F783,pl_num,0))&amp;"","")="Compteur",IFERROR(INDEX(pl_trig,MATCH(F783,pl_num,0))&amp;"","")="Au premier des deux")),"Compteur manquant (plan au compteur)","OK"))))))))))))))))))</f>
        <v/>
      </c>
      <c r="S783" s="67">
        <f>IF(AND(ISNUMBER(B783),N(B783)&gt;0),INT(B783),0)</f>
        <v>0.0</v>
      </c>
      <c r="T783" s="67">
        <f>IF(AND(ISNUMBER(J783),N(J783)&gt;=0),N(J783),0)</f>
        <v>0.0</v>
      </c>
      <c r="U783" s="67">
        <f>IF(AND(ISNUMBER(K783),N(K783)&gt;0),N(K783),0)</f>
        <v>0.0</v>
      </c>
      <c r="V783" s="67">
        <f>IF(AND(ISNUMBER(L783),N(L783)&gt;0),N(L783),0)</f>
        <v>0.0</v>
      </c>
      <c r="W783" s="67">
        <f>IF(AND(I783="Terminée",S783&gt;0,C783&lt;&gt;"",ISNUMBER(MATCH(C783,eq_code,0))),1,0)</f>
        <v>0.0</v>
      </c>
      <c r="X783" s="67">
        <f>IF(AND(W783=1,E783="Préventif"),1,0)</f>
        <v>0.0</v>
      </c>
      <c r="Y783" s="67">
        <f>IF(AND(ISNUMBER(N783),N(N783)&gt;0),N(N783),0)</f>
        <v>0.0</v>
      </c>
      <c r="Z783" s="67">
        <f>IF(AND(ISNUMBER(P783),N(P783)&gt;0),N(P783),0)</f>
        <v>0.0</v>
      </c>
    </row>
    <row r="784">
      <c r="A784" s="79" t="str">
        <f>IF(COUNTA(B784:C784,E784:G784,I784)=0,"","BI-"&amp;RIGHT("0000"&amp;(ROW()-5),4))</f>
        <v/>
      </c>
      <c r="B784" s="72" t="n"/>
      <c r="C784" s="66" t="n"/>
      <c r="D784" s="67" t="str">
        <f>IF(C784="","",IFERROR(INDEX(eq_des,MATCH(C784,eq_code,0))&amp;"","Équipement inconnu"))</f>
        <v/>
      </c>
      <c r="E784" s="68" t="n"/>
      <c r="F784" s="68" t="n"/>
      <c r="G784" s="66" t="n"/>
      <c r="H784" s="66" t="n"/>
      <c r="I784" s="68" t="n"/>
      <c r="J784" s="73" t="n"/>
      <c r="K784" s="71" t="n"/>
      <c r="L784" s="71" t="n"/>
      <c r="M784" s="66" t="n"/>
      <c r="N784" s="80" t="n"/>
      <c r="O784" s="81" t="str">
        <f>IF(A784="","",ROUND(V784*IFERROR(N(INDEX(tech_rate,MATCH(M784,tech_name,0))),0),2))</f>
        <v/>
      </c>
      <c r="P784" s="80" t="n"/>
      <c r="Q784" s="81" t="str">
        <f>IF(A784="","",ROUND(Y784+O784+Z784,2))</f>
        <v/>
      </c>
      <c r="R784" s="79" t="str">
        <f>IF(A784="","",IF(S784=0,"Date manquante ou invalide",IF(C784="","Équipement manquant",IF(ISNA(MATCH(C784,eq_code,0)),"Équipement inconnu",IF(E784="","Type manquant",IF(AND(E784&lt;&gt;"Préventif",E784&lt;&gt;"Correctif",E784&lt;&gt;"Amélioratif"),"Type inconnu",IF(I784="","Statut manquant",IF(AND(I784&lt;&gt;"Terminée",I784&lt;&gt;"En cours",I784&lt;&gt;"À faire",I784&lt;&gt;"Annulée"),"Statut inconnu",IF(AND(E784="Préventif",F784=""),"Plan manquant (préventif)",IF(AND(F784&lt;&gt;"",ISNA(MATCH(F784,pl_num,0))),"Plan inconnu",IF(AND(F784&lt;&gt;"",IFERROR(INDEX(pl_eq,MATCH(F784,pl_num,0))&amp;"",C784)&lt;&gt;C784),"Plan d'un autre équipement",IF(AND(J784&lt;&gt;"",OR(NOT(ISNUMBER(J784)),N(J784)&lt;0)),"Compteur invalide",IF(OR(AND(K784&lt;&gt;"",OR(NOT(ISNUMBER(K784)),N(K784)&lt;0)),AND(L784&lt;&gt;"",OR(NOT(ISNUMBER(L784)),N(L784)&lt;0))),"Durée invalide",IF(OR(AND(N784&lt;&gt;"",OR(NOT(ISNUMBER(N784)),N(N784)&lt;0)),AND(P784&lt;&gt;"",OR(NOT(ISNUMBER(P784)),N(P784)&lt;0))),"Coût invalide",IF(AND(M784&lt;&gt;"",ISNA(MATCH(M784,tech_name,0))),"Technicien inconnu",IF(AND(I784="Terminée",S784&gt;p_today),"Terminée à une date future",IF(AND(I784="Terminée",V784=0),"Durée d'intervention manquante",IF(AND(I784="Terminée",E784="Préventif",T784=0,OR(IFERROR(INDEX(pl_trig,MATCH(F784,pl_num,0))&amp;"","")="Compteur",IFERROR(INDEX(pl_trig,MATCH(F784,pl_num,0))&amp;"","")="Au premier des deux")),"Compteur manquant (plan au compteur)","OK"))))))))))))))))))</f>
        <v/>
      </c>
      <c r="S784" s="67">
        <f>IF(AND(ISNUMBER(B784),N(B784)&gt;0),INT(B784),0)</f>
        <v>0.0</v>
      </c>
      <c r="T784" s="67">
        <f>IF(AND(ISNUMBER(J784),N(J784)&gt;=0),N(J784),0)</f>
        <v>0.0</v>
      </c>
      <c r="U784" s="67">
        <f>IF(AND(ISNUMBER(K784),N(K784)&gt;0),N(K784),0)</f>
        <v>0.0</v>
      </c>
      <c r="V784" s="67">
        <f>IF(AND(ISNUMBER(L784),N(L784)&gt;0),N(L784),0)</f>
        <v>0.0</v>
      </c>
      <c r="W784" s="67">
        <f>IF(AND(I784="Terminée",S784&gt;0,C784&lt;&gt;"",ISNUMBER(MATCH(C784,eq_code,0))),1,0)</f>
        <v>0.0</v>
      </c>
      <c r="X784" s="67">
        <f>IF(AND(W784=1,E784="Préventif"),1,0)</f>
        <v>0.0</v>
      </c>
      <c r="Y784" s="67">
        <f>IF(AND(ISNUMBER(N784),N(N784)&gt;0),N(N784),0)</f>
        <v>0.0</v>
      </c>
      <c r="Z784" s="67">
        <f>IF(AND(ISNUMBER(P784),N(P784)&gt;0),N(P784),0)</f>
        <v>0.0</v>
      </c>
    </row>
    <row r="785">
      <c r="A785" s="79" t="str">
        <f>IF(COUNTA(B785:C785,E785:G785,I785)=0,"","BI-"&amp;RIGHT("0000"&amp;(ROW()-5),4))</f>
        <v/>
      </c>
      <c r="B785" s="72" t="n"/>
      <c r="C785" s="66" t="n"/>
      <c r="D785" s="67" t="str">
        <f>IF(C785="","",IFERROR(INDEX(eq_des,MATCH(C785,eq_code,0))&amp;"","Équipement inconnu"))</f>
        <v/>
      </c>
      <c r="E785" s="68" t="n"/>
      <c r="F785" s="68" t="n"/>
      <c r="G785" s="66" t="n"/>
      <c r="H785" s="66" t="n"/>
      <c r="I785" s="68" t="n"/>
      <c r="J785" s="73" t="n"/>
      <c r="K785" s="71" t="n"/>
      <c r="L785" s="71" t="n"/>
      <c r="M785" s="66" t="n"/>
      <c r="N785" s="80" t="n"/>
      <c r="O785" s="81" t="str">
        <f>IF(A785="","",ROUND(V785*IFERROR(N(INDEX(tech_rate,MATCH(M785,tech_name,0))),0),2))</f>
        <v/>
      </c>
      <c r="P785" s="80" t="n"/>
      <c r="Q785" s="81" t="str">
        <f>IF(A785="","",ROUND(Y785+O785+Z785,2))</f>
        <v/>
      </c>
      <c r="R785" s="79" t="str">
        <f>IF(A785="","",IF(S785=0,"Date manquante ou invalide",IF(C785="","Équipement manquant",IF(ISNA(MATCH(C785,eq_code,0)),"Équipement inconnu",IF(E785="","Type manquant",IF(AND(E785&lt;&gt;"Préventif",E785&lt;&gt;"Correctif",E785&lt;&gt;"Amélioratif"),"Type inconnu",IF(I785="","Statut manquant",IF(AND(I785&lt;&gt;"Terminée",I785&lt;&gt;"En cours",I785&lt;&gt;"À faire",I785&lt;&gt;"Annulée"),"Statut inconnu",IF(AND(E785="Préventif",F785=""),"Plan manquant (préventif)",IF(AND(F785&lt;&gt;"",ISNA(MATCH(F785,pl_num,0))),"Plan inconnu",IF(AND(F785&lt;&gt;"",IFERROR(INDEX(pl_eq,MATCH(F785,pl_num,0))&amp;"",C785)&lt;&gt;C785),"Plan d'un autre équipement",IF(AND(J785&lt;&gt;"",OR(NOT(ISNUMBER(J785)),N(J785)&lt;0)),"Compteur invalide",IF(OR(AND(K785&lt;&gt;"",OR(NOT(ISNUMBER(K785)),N(K785)&lt;0)),AND(L785&lt;&gt;"",OR(NOT(ISNUMBER(L785)),N(L785)&lt;0))),"Durée invalide",IF(OR(AND(N785&lt;&gt;"",OR(NOT(ISNUMBER(N785)),N(N785)&lt;0)),AND(P785&lt;&gt;"",OR(NOT(ISNUMBER(P785)),N(P785)&lt;0))),"Coût invalide",IF(AND(M785&lt;&gt;"",ISNA(MATCH(M785,tech_name,0))),"Technicien inconnu",IF(AND(I785="Terminée",S785&gt;p_today),"Terminée à une date future",IF(AND(I785="Terminée",V785=0),"Durée d'intervention manquante",IF(AND(I785="Terminée",E785="Préventif",T785=0,OR(IFERROR(INDEX(pl_trig,MATCH(F785,pl_num,0))&amp;"","")="Compteur",IFERROR(INDEX(pl_trig,MATCH(F785,pl_num,0))&amp;"","")="Au premier des deux")),"Compteur manquant (plan au compteur)","OK"))))))))))))))))))</f>
        <v/>
      </c>
      <c r="S785" s="67">
        <f>IF(AND(ISNUMBER(B785),N(B785)&gt;0),INT(B785),0)</f>
        <v>0.0</v>
      </c>
      <c r="T785" s="67">
        <f>IF(AND(ISNUMBER(J785),N(J785)&gt;=0),N(J785),0)</f>
        <v>0.0</v>
      </c>
      <c r="U785" s="67">
        <f>IF(AND(ISNUMBER(K785),N(K785)&gt;0),N(K785),0)</f>
        <v>0.0</v>
      </c>
      <c r="V785" s="67">
        <f>IF(AND(ISNUMBER(L785),N(L785)&gt;0),N(L785),0)</f>
        <v>0.0</v>
      </c>
      <c r="W785" s="67">
        <f>IF(AND(I785="Terminée",S785&gt;0,C785&lt;&gt;"",ISNUMBER(MATCH(C785,eq_code,0))),1,0)</f>
        <v>0.0</v>
      </c>
      <c r="X785" s="67">
        <f>IF(AND(W785=1,E785="Préventif"),1,0)</f>
        <v>0.0</v>
      </c>
      <c r="Y785" s="67">
        <f>IF(AND(ISNUMBER(N785),N(N785)&gt;0),N(N785),0)</f>
        <v>0.0</v>
      </c>
      <c r="Z785" s="67">
        <f>IF(AND(ISNUMBER(P785),N(P785)&gt;0),N(P785),0)</f>
        <v>0.0</v>
      </c>
    </row>
    <row r="786">
      <c r="A786" s="79" t="str">
        <f>IF(COUNTA(B786:C786,E786:G786,I786)=0,"","BI-"&amp;RIGHT("0000"&amp;(ROW()-5),4))</f>
        <v/>
      </c>
      <c r="B786" s="72" t="n"/>
      <c r="C786" s="66" t="n"/>
      <c r="D786" s="67" t="str">
        <f>IF(C786="","",IFERROR(INDEX(eq_des,MATCH(C786,eq_code,0))&amp;"","Équipement inconnu"))</f>
        <v/>
      </c>
      <c r="E786" s="68" t="n"/>
      <c r="F786" s="68" t="n"/>
      <c r="G786" s="66" t="n"/>
      <c r="H786" s="66" t="n"/>
      <c r="I786" s="68" t="n"/>
      <c r="J786" s="73" t="n"/>
      <c r="K786" s="71" t="n"/>
      <c r="L786" s="71" t="n"/>
      <c r="M786" s="66" t="n"/>
      <c r="N786" s="80" t="n"/>
      <c r="O786" s="81" t="str">
        <f>IF(A786="","",ROUND(V786*IFERROR(N(INDEX(tech_rate,MATCH(M786,tech_name,0))),0),2))</f>
        <v/>
      </c>
      <c r="P786" s="80" t="n"/>
      <c r="Q786" s="81" t="str">
        <f>IF(A786="","",ROUND(Y786+O786+Z786,2))</f>
        <v/>
      </c>
      <c r="R786" s="79" t="str">
        <f>IF(A786="","",IF(S786=0,"Date manquante ou invalide",IF(C786="","Équipement manquant",IF(ISNA(MATCH(C786,eq_code,0)),"Équipement inconnu",IF(E786="","Type manquant",IF(AND(E786&lt;&gt;"Préventif",E786&lt;&gt;"Correctif",E786&lt;&gt;"Amélioratif"),"Type inconnu",IF(I786="","Statut manquant",IF(AND(I786&lt;&gt;"Terminée",I786&lt;&gt;"En cours",I786&lt;&gt;"À faire",I786&lt;&gt;"Annulée"),"Statut inconnu",IF(AND(E786="Préventif",F786=""),"Plan manquant (préventif)",IF(AND(F786&lt;&gt;"",ISNA(MATCH(F786,pl_num,0))),"Plan inconnu",IF(AND(F786&lt;&gt;"",IFERROR(INDEX(pl_eq,MATCH(F786,pl_num,0))&amp;"",C786)&lt;&gt;C786),"Plan d'un autre équipement",IF(AND(J786&lt;&gt;"",OR(NOT(ISNUMBER(J786)),N(J786)&lt;0)),"Compteur invalide",IF(OR(AND(K786&lt;&gt;"",OR(NOT(ISNUMBER(K786)),N(K786)&lt;0)),AND(L786&lt;&gt;"",OR(NOT(ISNUMBER(L786)),N(L786)&lt;0))),"Durée invalide",IF(OR(AND(N786&lt;&gt;"",OR(NOT(ISNUMBER(N786)),N(N786)&lt;0)),AND(P786&lt;&gt;"",OR(NOT(ISNUMBER(P786)),N(P786)&lt;0))),"Coût invalide",IF(AND(M786&lt;&gt;"",ISNA(MATCH(M786,tech_name,0))),"Technicien inconnu",IF(AND(I786="Terminée",S786&gt;p_today),"Terminée à une date future",IF(AND(I786="Terminée",V786=0),"Durée d'intervention manquante",IF(AND(I786="Terminée",E786="Préventif",T786=0,OR(IFERROR(INDEX(pl_trig,MATCH(F786,pl_num,0))&amp;"","")="Compteur",IFERROR(INDEX(pl_trig,MATCH(F786,pl_num,0))&amp;"","")="Au premier des deux")),"Compteur manquant (plan au compteur)","OK"))))))))))))))))))</f>
        <v/>
      </c>
      <c r="S786" s="67">
        <f>IF(AND(ISNUMBER(B786),N(B786)&gt;0),INT(B786),0)</f>
        <v>0.0</v>
      </c>
      <c r="T786" s="67">
        <f>IF(AND(ISNUMBER(J786),N(J786)&gt;=0),N(J786),0)</f>
        <v>0.0</v>
      </c>
      <c r="U786" s="67">
        <f>IF(AND(ISNUMBER(K786),N(K786)&gt;0),N(K786),0)</f>
        <v>0.0</v>
      </c>
      <c r="V786" s="67">
        <f>IF(AND(ISNUMBER(L786),N(L786)&gt;0),N(L786),0)</f>
        <v>0.0</v>
      </c>
      <c r="W786" s="67">
        <f>IF(AND(I786="Terminée",S786&gt;0,C786&lt;&gt;"",ISNUMBER(MATCH(C786,eq_code,0))),1,0)</f>
        <v>0.0</v>
      </c>
      <c r="X786" s="67">
        <f>IF(AND(W786=1,E786="Préventif"),1,0)</f>
        <v>0.0</v>
      </c>
      <c r="Y786" s="67">
        <f>IF(AND(ISNUMBER(N786),N(N786)&gt;0),N(N786),0)</f>
        <v>0.0</v>
      </c>
      <c r="Z786" s="67">
        <f>IF(AND(ISNUMBER(P786),N(P786)&gt;0),N(P786),0)</f>
        <v>0.0</v>
      </c>
    </row>
    <row r="787">
      <c r="A787" s="79" t="str">
        <f>IF(COUNTA(B787:C787,E787:G787,I787)=0,"","BI-"&amp;RIGHT("0000"&amp;(ROW()-5),4))</f>
        <v/>
      </c>
      <c r="B787" s="72" t="n"/>
      <c r="C787" s="66" t="n"/>
      <c r="D787" s="67" t="str">
        <f>IF(C787="","",IFERROR(INDEX(eq_des,MATCH(C787,eq_code,0))&amp;"","Équipement inconnu"))</f>
        <v/>
      </c>
      <c r="E787" s="68" t="n"/>
      <c r="F787" s="68" t="n"/>
      <c r="G787" s="66" t="n"/>
      <c r="H787" s="66" t="n"/>
      <c r="I787" s="68" t="n"/>
      <c r="J787" s="73" t="n"/>
      <c r="K787" s="71" t="n"/>
      <c r="L787" s="71" t="n"/>
      <c r="M787" s="66" t="n"/>
      <c r="N787" s="80" t="n"/>
      <c r="O787" s="81" t="str">
        <f>IF(A787="","",ROUND(V787*IFERROR(N(INDEX(tech_rate,MATCH(M787,tech_name,0))),0),2))</f>
        <v/>
      </c>
      <c r="P787" s="80" t="n"/>
      <c r="Q787" s="81" t="str">
        <f>IF(A787="","",ROUND(Y787+O787+Z787,2))</f>
        <v/>
      </c>
      <c r="R787" s="79" t="str">
        <f>IF(A787="","",IF(S787=0,"Date manquante ou invalide",IF(C787="","Équipement manquant",IF(ISNA(MATCH(C787,eq_code,0)),"Équipement inconnu",IF(E787="","Type manquant",IF(AND(E787&lt;&gt;"Préventif",E787&lt;&gt;"Correctif",E787&lt;&gt;"Amélioratif"),"Type inconnu",IF(I787="","Statut manquant",IF(AND(I787&lt;&gt;"Terminée",I787&lt;&gt;"En cours",I787&lt;&gt;"À faire",I787&lt;&gt;"Annulée"),"Statut inconnu",IF(AND(E787="Préventif",F787=""),"Plan manquant (préventif)",IF(AND(F787&lt;&gt;"",ISNA(MATCH(F787,pl_num,0))),"Plan inconnu",IF(AND(F787&lt;&gt;"",IFERROR(INDEX(pl_eq,MATCH(F787,pl_num,0))&amp;"",C787)&lt;&gt;C787),"Plan d'un autre équipement",IF(AND(J787&lt;&gt;"",OR(NOT(ISNUMBER(J787)),N(J787)&lt;0)),"Compteur invalide",IF(OR(AND(K787&lt;&gt;"",OR(NOT(ISNUMBER(K787)),N(K787)&lt;0)),AND(L787&lt;&gt;"",OR(NOT(ISNUMBER(L787)),N(L787)&lt;0))),"Durée invalide",IF(OR(AND(N787&lt;&gt;"",OR(NOT(ISNUMBER(N787)),N(N787)&lt;0)),AND(P787&lt;&gt;"",OR(NOT(ISNUMBER(P787)),N(P787)&lt;0))),"Coût invalide",IF(AND(M787&lt;&gt;"",ISNA(MATCH(M787,tech_name,0))),"Technicien inconnu",IF(AND(I787="Terminée",S787&gt;p_today),"Terminée à une date future",IF(AND(I787="Terminée",V787=0),"Durée d'intervention manquante",IF(AND(I787="Terminée",E787="Préventif",T787=0,OR(IFERROR(INDEX(pl_trig,MATCH(F787,pl_num,0))&amp;"","")="Compteur",IFERROR(INDEX(pl_trig,MATCH(F787,pl_num,0))&amp;"","")="Au premier des deux")),"Compteur manquant (plan au compteur)","OK"))))))))))))))))))</f>
        <v/>
      </c>
      <c r="S787" s="67">
        <f>IF(AND(ISNUMBER(B787),N(B787)&gt;0),INT(B787),0)</f>
        <v>0.0</v>
      </c>
      <c r="T787" s="67">
        <f>IF(AND(ISNUMBER(J787),N(J787)&gt;=0),N(J787),0)</f>
        <v>0.0</v>
      </c>
      <c r="U787" s="67">
        <f>IF(AND(ISNUMBER(K787),N(K787)&gt;0),N(K787),0)</f>
        <v>0.0</v>
      </c>
      <c r="V787" s="67">
        <f>IF(AND(ISNUMBER(L787),N(L787)&gt;0),N(L787),0)</f>
        <v>0.0</v>
      </c>
      <c r="W787" s="67">
        <f>IF(AND(I787="Terminée",S787&gt;0,C787&lt;&gt;"",ISNUMBER(MATCH(C787,eq_code,0))),1,0)</f>
        <v>0.0</v>
      </c>
      <c r="X787" s="67">
        <f>IF(AND(W787=1,E787="Préventif"),1,0)</f>
        <v>0.0</v>
      </c>
      <c r="Y787" s="67">
        <f>IF(AND(ISNUMBER(N787),N(N787)&gt;0),N(N787),0)</f>
        <v>0.0</v>
      </c>
      <c r="Z787" s="67">
        <f>IF(AND(ISNUMBER(P787),N(P787)&gt;0),N(P787),0)</f>
        <v>0.0</v>
      </c>
    </row>
    <row r="788">
      <c r="A788" s="79" t="str">
        <f>IF(COUNTA(B788:C788,E788:G788,I788)=0,"","BI-"&amp;RIGHT("0000"&amp;(ROW()-5),4))</f>
        <v/>
      </c>
      <c r="B788" s="72" t="n"/>
      <c r="C788" s="66" t="n"/>
      <c r="D788" s="67" t="str">
        <f>IF(C788="","",IFERROR(INDEX(eq_des,MATCH(C788,eq_code,0))&amp;"","Équipement inconnu"))</f>
        <v/>
      </c>
      <c r="E788" s="68" t="n"/>
      <c r="F788" s="68" t="n"/>
      <c r="G788" s="66" t="n"/>
      <c r="H788" s="66" t="n"/>
      <c r="I788" s="68" t="n"/>
      <c r="J788" s="73" t="n"/>
      <c r="K788" s="71" t="n"/>
      <c r="L788" s="71" t="n"/>
      <c r="M788" s="66" t="n"/>
      <c r="N788" s="80" t="n"/>
      <c r="O788" s="81" t="str">
        <f>IF(A788="","",ROUND(V788*IFERROR(N(INDEX(tech_rate,MATCH(M788,tech_name,0))),0),2))</f>
        <v/>
      </c>
      <c r="P788" s="80" t="n"/>
      <c r="Q788" s="81" t="str">
        <f>IF(A788="","",ROUND(Y788+O788+Z788,2))</f>
        <v/>
      </c>
      <c r="R788" s="79" t="str">
        <f>IF(A788="","",IF(S788=0,"Date manquante ou invalide",IF(C788="","Équipement manquant",IF(ISNA(MATCH(C788,eq_code,0)),"Équipement inconnu",IF(E788="","Type manquant",IF(AND(E788&lt;&gt;"Préventif",E788&lt;&gt;"Correctif",E788&lt;&gt;"Amélioratif"),"Type inconnu",IF(I788="","Statut manquant",IF(AND(I788&lt;&gt;"Terminée",I788&lt;&gt;"En cours",I788&lt;&gt;"À faire",I788&lt;&gt;"Annulée"),"Statut inconnu",IF(AND(E788="Préventif",F788=""),"Plan manquant (préventif)",IF(AND(F788&lt;&gt;"",ISNA(MATCH(F788,pl_num,0))),"Plan inconnu",IF(AND(F788&lt;&gt;"",IFERROR(INDEX(pl_eq,MATCH(F788,pl_num,0))&amp;"",C788)&lt;&gt;C788),"Plan d'un autre équipement",IF(AND(J788&lt;&gt;"",OR(NOT(ISNUMBER(J788)),N(J788)&lt;0)),"Compteur invalide",IF(OR(AND(K788&lt;&gt;"",OR(NOT(ISNUMBER(K788)),N(K788)&lt;0)),AND(L788&lt;&gt;"",OR(NOT(ISNUMBER(L788)),N(L788)&lt;0))),"Durée invalide",IF(OR(AND(N788&lt;&gt;"",OR(NOT(ISNUMBER(N788)),N(N788)&lt;0)),AND(P788&lt;&gt;"",OR(NOT(ISNUMBER(P788)),N(P788)&lt;0))),"Coût invalide",IF(AND(M788&lt;&gt;"",ISNA(MATCH(M788,tech_name,0))),"Technicien inconnu",IF(AND(I788="Terminée",S788&gt;p_today),"Terminée à une date future",IF(AND(I788="Terminée",V788=0),"Durée d'intervention manquante",IF(AND(I788="Terminée",E788="Préventif",T788=0,OR(IFERROR(INDEX(pl_trig,MATCH(F788,pl_num,0))&amp;"","")="Compteur",IFERROR(INDEX(pl_trig,MATCH(F788,pl_num,0))&amp;"","")="Au premier des deux")),"Compteur manquant (plan au compteur)","OK"))))))))))))))))))</f>
        <v/>
      </c>
      <c r="S788" s="67">
        <f>IF(AND(ISNUMBER(B788),N(B788)&gt;0),INT(B788),0)</f>
        <v>0.0</v>
      </c>
      <c r="T788" s="67">
        <f>IF(AND(ISNUMBER(J788),N(J788)&gt;=0),N(J788),0)</f>
        <v>0.0</v>
      </c>
      <c r="U788" s="67">
        <f>IF(AND(ISNUMBER(K788),N(K788)&gt;0),N(K788),0)</f>
        <v>0.0</v>
      </c>
      <c r="V788" s="67">
        <f>IF(AND(ISNUMBER(L788),N(L788)&gt;0),N(L788),0)</f>
        <v>0.0</v>
      </c>
      <c r="W788" s="67">
        <f>IF(AND(I788="Terminée",S788&gt;0,C788&lt;&gt;"",ISNUMBER(MATCH(C788,eq_code,0))),1,0)</f>
        <v>0.0</v>
      </c>
      <c r="X788" s="67">
        <f>IF(AND(W788=1,E788="Préventif"),1,0)</f>
        <v>0.0</v>
      </c>
      <c r="Y788" s="67">
        <f>IF(AND(ISNUMBER(N788),N(N788)&gt;0),N(N788),0)</f>
        <v>0.0</v>
      </c>
      <c r="Z788" s="67">
        <f>IF(AND(ISNUMBER(P788),N(P788)&gt;0),N(P788),0)</f>
        <v>0.0</v>
      </c>
    </row>
    <row r="789">
      <c r="A789" s="79" t="str">
        <f>IF(COUNTA(B789:C789,E789:G789,I789)=0,"","BI-"&amp;RIGHT("0000"&amp;(ROW()-5),4))</f>
        <v/>
      </c>
      <c r="B789" s="72" t="n"/>
      <c r="C789" s="66" t="n"/>
      <c r="D789" s="67" t="str">
        <f>IF(C789="","",IFERROR(INDEX(eq_des,MATCH(C789,eq_code,0))&amp;"","Équipement inconnu"))</f>
        <v/>
      </c>
      <c r="E789" s="68" t="n"/>
      <c r="F789" s="68" t="n"/>
      <c r="G789" s="66" t="n"/>
      <c r="H789" s="66" t="n"/>
      <c r="I789" s="68" t="n"/>
      <c r="J789" s="73" t="n"/>
      <c r="K789" s="71" t="n"/>
      <c r="L789" s="71" t="n"/>
      <c r="M789" s="66" t="n"/>
      <c r="N789" s="80" t="n"/>
      <c r="O789" s="81" t="str">
        <f>IF(A789="","",ROUND(V789*IFERROR(N(INDEX(tech_rate,MATCH(M789,tech_name,0))),0),2))</f>
        <v/>
      </c>
      <c r="P789" s="80" t="n"/>
      <c r="Q789" s="81" t="str">
        <f>IF(A789="","",ROUND(Y789+O789+Z789,2))</f>
        <v/>
      </c>
      <c r="R789" s="79" t="str">
        <f>IF(A789="","",IF(S789=0,"Date manquante ou invalide",IF(C789="","Équipement manquant",IF(ISNA(MATCH(C789,eq_code,0)),"Équipement inconnu",IF(E789="","Type manquant",IF(AND(E789&lt;&gt;"Préventif",E789&lt;&gt;"Correctif",E789&lt;&gt;"Amélioratif"),"Type inconnu",IF(I789="","Statut manquant",IF(AND(I789&lt;&gt;"Terminée",I789&lt;&gt;"En cours",I789&lt;&gt;"À faire",I789&lt;&gt;"Annulée"),"Statut inconnu",IF(AND(E789="Préventif",F789=""),"Plan manquant (préventif)",IF(AND(F789&lt;&gt;"",ISNA(MATCH(F789,pl_num,0))),"Plan inconnu",IF(AND(F789&lt;&gt;"",IFERROR(INDEX(pl_eq,MATCH(F789,pl_num,0))&amp;"",C789)&lt;&gt;C789),"Plan d'un autre équipement",IF(AND(J789&lt;&gt;"",OR(NOT(ISNUMBER(J789)),N(J789)&lt;0)),"Compteur invalide",IF(OR(AND(K789&lt;&gt;"",OR(NOT(ISNUMBER(K789)),N(K789)&lt;0)),AND(L789&lt;&gt;"",OR(NOT(ISNUMBER(L789)),N(L789)&lt;0))),"Durée invalide",IF(OR(AND(N789&lt;&gt;"",OR(NOT(ISNUMBER(N789)),N(N789)&lt;0)),AND(P789&lt;&gt;"",OR(NOT(ISNUMBER(P789)),N(P789)&lt;0))),"Coût invalide",IF(AND(M789&lt;&gt;"",ISNA(MATCH(M789,tech_name,0))),"Technicien inconnu",IF(AND(I789="Terminée",S789&gt;p_today),"Terminée à une date future",IF(AND(I789="Terminée",V789=0),"Durée d'intervention manquante",IF(AND(I789="Terminée",E789="Préventif",T789=0,OR(IFERROR(INDEX(pl_trig,MATCH(F789,pl_num,0))&amp;"","")="Compteur",IFERROR(INDEX(pl_trig,MATCH(F789,pl_num,0))&amp;"","")="Au premier des deux")),"Compteur manquant (plan au compteur)","OK"))))))))))))))))))</f>
        <v/>
      </c>
      <c r="S789" s="67">
        <f>IF(AND(ISNUMBER(B789),N(B789)&gt;0),INT(B789),0)</f>
        <v>0.0</v>
      </c>
      <c r="T789" s="67">
        <f>IF(AND(ISNUMBER(J789),N(J789)&gt;=0),N(J789),0)</f>
        <v>0.0</v>
      </c>
      <c r="U789" s="67">
        <f>IF(AND(ISNUMBER(K789),N(K789)&gt;0),N(K789),0)</f>
        <v>0.0</v>
      </c>
      <c r="V789" s="67">
        <f>IF(AND(ISNUMBER(L789),N(L789)&gt;0),N(L789),0)</f>
        <v>0.0</v>
      </c>
      <c r="W789" s="67">
        <f>IF(AND(I789="Terminée",S789&gt;0,C789&lt;&gt;"",ISNUMBER(MATCH(C789,eq_code,0))),1,0)</f>
        <v>0.0</v>
      </c>
      <c r="X789" s="67">
        <f>IF(AND(W789=1,E789="Préventif"),1,0)</f>
        <v>0.0</v>
      </c>
      <c r="Y789" s="67">
        <f>IF(AND(ISNUMBER(N789),N(N789)&gt;0),N(N789),0)</f>
        <v>0.0</v>
      </c>
      <c r="Z789" s="67">
        <f>IF(AND(ISNUMBER(P789),N(P789)&gt;0),N(P789),0)</f>
        <v>0.0</v>
      </c>
    </row>
    <row r="790">
      <c r="A790" s="79" t="str">
        <f>IF(COUNTA(B790:C790,E790:G790,I790)=0,"","BI-"&amp;RIGHT("0000"&amp;(ROW()-5),4))</f>
        <v/>
      </c>
      <c r="B790" s="72" t="n"/>
      <c r="C790" s="66" t="n"/>
      <c r="D790" s="67" t="str">
        <f>IF(C790="","",IFERROR(INDEX(eq_des,MATCH(C790,eq_code,0))&amp;"","Équipement inconnu"))</f>
        <v/>
      </c>
      <c r="E790" s="68" t="n"/>
      <c r="F790" s="68" t="n"/>
      <c r="G790" s="66" t="n"/>
      <c r="H790" s="66" t="n"/>
      <c r="I790" s="68" t="n"/>
      <c r="J790" s="73" t="n"/>
      <c r="K790" s="71" t="n"/>
      <c r="L790" s="71" t="n"/>
      <c r="M790" s="66" t="n"/>
      <c r="N790" s="80" t="n"/>
      <c r="O790" s="81" t="str">
        <f>IF(A790="","",ROUND(V790*IFERROR(N(INDEX(tech_rate,MATCH(M790,tech_name,0))),0),2))</f>
        <v/>
      </c>
      <c r="P790" s="80" t="n"/>
      <c r="Q790" s="81" t="str">
        <f>IF(A790="","",ROUND(Y790+O790+Z790,2))</f>
        <v/>
      </c>
      <c r="R790" s="79" t="str">
        <f>IF(A790="","",IF(S790=0,"Date manquante ou invalide",IF(C790="","Équipement manquant",IF(ISNA(MATCH(C790,eq_code,0)),"Équipement inconnu",IF(E790="","Type manquant",IF(AND(E790&lt;&gt;"Préventif",E790&lt;&gt;"Correctif",E790&lt;&gt;"Amélioratif"),"Type inconnu",IF(I790="","Statut manquant",IF(AND(I790&lt;&gt;"Terminée",I790&lt;&gt;"En cours",I790&lt;&gt;"À faire",I790&lt;&gt;"Annulée"),"Statut inconnu",IF(AND(E790="Préventif",F790=""),"Plan manquant (préventif)",IF(AND(F790&lt;&gt;"",ISNA(MATCH(F790,pl_num,0))),"Plan inconnu",IF(AND(F790&lt;&gt;"",IFERROR(INDEX(pl_eq,MATCH(F790,pl_num,0))&amp;"",C790)&lt;&gt;C790),"Plan d'un autre équipement",IF(AND(J790&lt;&gt;"",OR(NOT(ISNUMBER(J790)),N(J790)&lt;0)),"Compteur invalide",IF(OR(AND(K790&lt;&gt;"",OR(NOT(ISNUMBER(K790)),N(K790)&lt;0)),AND(L790&lt;&gt;"",OR(NOT(ISNUMBER(L790)),N(L790)&lt;0))),"Durée invalide",IF(OR(AND(N790&lt;&gt;"",OR(NOT(ISNUMBER(N790)),N(N790)&lt;0)),AND(P790&lt;&gt;"",OR(NOT(ISNUMBER(P790)),N(P790)&lt;0))),"Coût invalide",IF(AND(M790&lt;&gt;"",ISNA(MATCH(M790,tech_name,0))),"Technicien inconnu",IF(AND(I790="Terminée",S790&gt;p_today),"Terminée à une date future",IF(AND(I790="Terminée",V790=0),"Durée d'intervention manquante",IF(AND(I790="Terminée",E790="Préventif",T790=0,OR(IFERROR(INDEX(pl_trig,MATCH(F790,pl_num,0))&amp;"","")="Compteur",IFERROR(INDEX(pl_trig,MATCH(F790,pl_num,0))&amp;"","")="Au premier des deux")),"Compteur manquant (plan au compteur)","OK"))))))))))))))))))</f>
        <v/>
      </c>
      <c r="S790" s="67">
        <f>IF(AND(ISNUMBER(B790),N(B790)&gt;0),INT(B790),0)</f>
        <v>0.0</v>
      </c>
      <c r="T790" s="67">
        <f>IF(AND(ISNUMBER(J790),N(J790)&gt;=0),N(J790),0)</f>
        <v>0.0</v>
      </c>
      <c r="U790" s="67">
        <f>IF(AND(ISNUMBER(K790),N(K790)&gt;0),N(K790),0)</f>
        <v>0.0</v>
      </c>
      <c r="V790" s="67">
        <f>IF(AND(ISNUMBER(L790),N(L790)&gt;0),N(L790),0)</f>
        <v>0.0</v>
      </c>
      <c r="W790" s="67">
        <f>IF(AND(I790="Terminée",S790&gt;0,C790&lt;&gt;"",ISNUMBER(MATCH(C790,eq_code,0))),1,0)</f>
        <v>0.0</v>
      </c>
      <c r="X790" s="67">
        <f>IF(AND(W790=1,E790="Préventif"),1,0)</f>
        <v>0.0</v>
      </c>
      <c r="Y790" s="67">
        <f>IF(AND(ISNUMBER(N790),N(N790)&gt;0),N(N790),0)</f>
        <v>0.0</v>
      </c>
      <c r="Z790" s="67">
        <f>IF(AND(ISNUMBER(P790),N(P790)&gt;0),N(P790),0)</f>
        <v>0.0</v>
      </c>
    </row>
    <row r="791">
      <c r="A791" s="79" t="str">
        <f>IF(COUNTA(B791:C791,E791:G791,I791)=0,"","BI-"&amp;RIGHT("0000"&amp;(ROW()-5),4))</f>
        <v/>
      </c>
      <c r="B791" s="72" t="n"/>
      <c r="C791" s="66" t="n"/>
      <c r="D791" s="67" t="str">
        <f>IF(C791="","",IFERROR(INDEX(eq_des,MATCH(C791,eq_code,0))&amp;"","Équipement inconnu"))</f>
        <v/>
      </c>
      <c r="E791" s="68" t="n"/>
      <c r="F791" s="68" t="n"/>
      <c r="G791" s="66" t="n"/>
      <c r="H791" s="66" t="n"/>
      <c r="I791" s="68" t="n"/>
      <c r="J791" s="73" t="n"/>
      <c r="K791" s="71" t="n"/>
      <c r="L791" s="71" t="n"/>
      <c r="M791" s="66" t="n"/>
      <c r="N791" s="80" t="n"/>
      <c r="O791" s="81" t="str">
        <f>IF(A791="","",ROUND(V791*IFERROR(N(INDEX(tech_rate,MATCH(M791,tech_name,0))),0),2))</f>
        <v/>
      </c>
      <c r="P791" s="80" t="n"/>
      <c r="Q791" s="81" t="str">
        <f>IF(A791="","",ROUND(Y791+O791+Z791,2))</f>
        <v/>
      </c>
      <c r="R791" s="79" t="str">
        <f>IF(A791="","",IF(S791=0,"Date manquante ou invalide",IF(C791="","Équipement manquant",IF(ISNA(MATCH(C791,eq_code,0)),"Équipement inconnu",IF(E791="","Type manquant",IF(AND(E791&lt;&gt;"Préventif",E791&lt;&gt;"Correctif",E791&lt;&gt;"Amélioratif"),"Type inconnu",IF(I791="","Statut manquant",IF(AND(I791&lt;&gt;"Terminée",I791&lt;&gt;"En cours",I791&lt;&gt;"À faire",I791&lt;&gt;"Annulée"),"Statut inconnu",IF(AND(E791="Préventif",F791=""),"Plan manquant (préventif)",IF(AND(F791&lt;&gt;"",ISNA(MATCH(F791,pl_num,0))),"Plan inconnu",IF(AND(F791&lt;&gt;"",IFERROR(INDEX(pl_eq,MATCH(F791,pl_num,0))&amp;"",C791)&lt;&gt;C791),"Plan d'un autre équipement",IF(AND(J791&lt;&gt;"",OR(NOT(ISNUMBER(J791)),N(J791)&lt;0)),"Compteur invalide",IF(OR(AND(K791&lt;&gt;"",OR(NOT(ISNUMBER(K791)),N(K791)&lt;0)),AND(L791&lt;&gt;"",OR(NOT(ISNUMBER(L791)),N(L791)&lt;0))),"Durée invalide",IF(OR(AND(N791&lt;&gt;"",OR(NOT(ISNUMBER(N791)),N(N791)&lt;0)),AND(P791&lt;&gt;"",OR(NOT(ISNUMBER(P791)),N(P791)&lt;0))),"Coût invalide",IF(AND(M791&lt;&gt;"",ISNA(MATCH(M791,tech_name,0))),"Technicien inconnu",IF(AND(I791="Terminée",S791&gt;p_today),"Terminée à une date future",IF(AND(I791="Terminée",V791=0),"Durée d'intervention manquante",IF(AND(I791="Terminée",E791="Préventif",T791=0,OR(IFERROR(INDEX(pl_trig,MATCH(F791,pl_num,0))&amp;"","")="Compteur",IFERROR(INDEX(pl_trig,MATCH(F791,pl_num,0))&amp;"","")="Au premier des deux")),"Compteur manquant (plan au compteur)","OK"))))))))))))))))))</f>
        <v/>
      </c>
      <c r="S791" s="67">
        <f>IF(AND(ISNUMBER(B791),N(B791)&gt;0),INT(B791),0)</f>
        <v>0.0</v>
      </c>
      <c r="T791" s="67">
        <f>IF(AND(ISNUMBER(J791),N(J791)&gt;=0),N(J791),0)</f>
        <v>0.0</v>
      </c>
      <c r="U791" s="67">
        <f>IF(AND(ISNUMBER(K791),N(K791)&gt;0),N(K791),0)</f>
        <v>0.0</v>
      </c>
      <c r="V791" s="67">
        <f>IF(AND(ISNUMBER(L791),N(L791)&gt;0),N(L791),0)</f>
        <v>0.0</v>
      </c>
      <c r="W791" s="67">
        <f>IF(AND(I791="Terminée",S791&gt;0,C791&lt;&gt;"",ISNUMBER(MATCH(C791,eq_code,0))),1,0)</f>
        <v>0.0</v>
      </c>
      <c r="X791" s="67">
        <f>IF(AND(W791=1,E791="Préventif"),1,0)</f>
        <v>0.0</v>
      </c>
      <c r="Y791" s="67">
        <f>IF(AND(ISNUMBER(N791),N(N791)&gt;0),N(N791),0)</f>
        <v>0.0</v>
      </c>
      <c r="Z791" s="67">
        <f>IF(AND(ISNUMBER(P791),N(P791)&gt;0),N(P791),0)</f>
        <v>0.0</v>
      </c>
    </row>
    <row r="792">
      <c r="A792" s="79" t="str">
        <f>IF(COUNTA(B792:C792,E792:G792,I792)=0,"","BI-"&amp;RIGHT("0000"&amp;(ROW()-5),4))</f>
        <v/>
      </c>
      <c r="B792" s="72" t="n"/>
      <c r="C792" s="66" t="n"/>
      <c r="D792" s="67" t="str">
        <f>IF(C792="","",IFERROR(INDEX(eq_des,MATCH(C792,eq_code,0))&amp;"","Équipement inconnu"))</f>
        <v/>
      </c>
      <c r="E792" s="68" t="n"/>
      <c r="F792" s="68" t="n"/>
      <c r="G792" s="66" t="n"/>
      <c r="H792" s="66" t="n"/>
      <c r="I792" s="68" t="n"/>
      <c r="J792" s="73" t="n"/>
      <c r="K792" s="71" t="n"/>
      <c r="L792" s="71" t="n"/>
      <c r="M792" s="66" t="n"/>
      <c r="N792" s="80" t="n"/>
      <c r="O792" s="81" t="str">
        <f>IF(A792="","",ROUND(V792*IFERROR(N(INDEX(tech_rate,MATCH(M792,tech_name,0))),0),2))</f>
        <v/>
      </c>
      <c r="P792" s="80" t="n"/>
      <c r="Q792" s="81" t="str">
        <f>IF(A792="","",ROUND(Y792+O792+Z792,2))</f>
        <v/>
      </c>
      <c r="R792" s="79" t="str">
        <f>IF(A792="","",IF(S792=0,"Date manquante ou invalide",IF(C792="","Équipement manquant",IF(ISNA(MATCH(C792,eq_code,0)),"Équipement inconnu",IF(E792="","Type manquant",IF(AND(E792&lt;&gt;"Préventif",E792&lt;&gt;"Correctif",E792&lt;&gt;"Amélioratif"),"Type inconnu",IF(I792="","Statut manquant",IF(AND(I792&lt;&gt;"Terminée",I792&lt;&gt;"En cours",I792&lt;&gt;"À faire",I792&lt;&gt;"Annulée"),"Statut inconnu",IF(AND(E792="Préventif",F792=""),"Plan manquant (préventif)",IF(AND(F792&lt;&gt;"",ISNA(MATCH(F792,pl_num,0))),"Plan inconnu",IF(AND(F792&lt;&gt;"",IFERROR(INDEX(pl_eq,MATCH(F792,pl_num,0))&amp;"",C792)&lt;&gt;C792),"Plan d'un autre équipement",IF(AND(J792&lt;&gt;"",OR(NOT(ISNUMBER(J792)),N(J792)&lt;0)),"Compteur invalide",IF(OR(AND(K792&lt;&gt;"",OR(NOT(ISNUMBER(K792)),N(K792)&lt;0)),AND(L792&lt;&gt;"",OR(NOT(ISNUMBER(L792)),N(L792)&lt;0))),"Durée invalide",IF(OR(AND(N792&lt;&gt;"",OR(NOT(ISNUMBER(N792)),N(N792)&lt;0)),AND(P792&lt;&gt;"",OR(NOT(ISNUMBER(P792)),N(P792)&lt;0))),"Coût invalide",IF(AND(M792&lt;&gt;"",ISNA(MATCH(M792,tech_name,0))),"Technicien inconnu",IF(AND(I792="Terminée",S792&gt;p_today),"Terminée à une date future",IF(AND(I792="Terminée",V792=0),"Durée d'intervention manquante",IF(AND(I792="Terminée",E792="Préventif",T792=0,OR(IFERROR(INDEX(pl_trig,MATCH(F792,pl_num,0))&amp;"","")="Compteur",IFERROR(INDEX(pl_trig,MATCH(F792,pl_num,0))&amp;"","")="Au premier des deux")),"Compteur manquant (plan au compteur)","OK"))))))))))))))))))</f>
        <v/>
      </c>
      <c r="S792" s="67">
        <f>IF(AND(ISNUMBER(B792),N(B792)&gt;0),INT(B792),0)</f>
        <v>0.0</v>
      </c>
      <c r="T792" s="67">
        <f>IF(AND(ISNUMBER(J792),N(J792)&gt;=0),N(J792),0)</f>
        <v>0.0</v>
      </c>
      <c r="U792" s="67">
        <f>IF(AND(ISNUMBER(K792),N(K792)&gt;0),N(K792),0)</f>
        <v>0.0</v>
      </c>
      <c r="V792" s="67">
        <f>IF(AND(ISNUMBER(L792),N(L792)&gt;0),N(L792),0)</f>
        <v>0.0</v>
      </c>
      <c r="W792" s="67">
        <f>IF(AND(I792="Terminée",S792&gt;0,C792&lt;&gt;"",ISNUMBER(MATCH(C792,eq_code,0))),1,0)</f>
        <v>0.0</v>
      </c>
      <c r="X792" s="67">
        <f>IF(AND(W792=1,E792="Préventif"),1,0)</f>
        <v>0.0</v>
      </c>
      <c r="Y792" s="67">
        <f>IF(AND(ISNUMBER(N792),N(N792)&gt;0),N(N792),0)</f>
        <v>0.0</v>
      </c>
      <c r="Z792" s="67">
        <f>IF(AND(ISNUMBER(P792),N(P792)&gt;0),N(P792),0)</f>
        <v>0.0</v>
      </c>
    </row>
    <row r="793">
      <c r="A793" s="79" t="str">
        <f>IF(COUNTA(B793:C793,E793:G793,I793)=0,"","BI-"&amp;RIGHT("0000"&amp;(ROW()-5),4))</f>
        <v/>
      </c>
      <c r="B793" s="72" t="n"/>
      <c r="C793" s="66" t="n"/>
      <c r="D793" s="67" t="str">
        <f>IF(C793="","",IFERROR(INDEX(eq_des,MATCH(C793,eq_code,0))&amp;"","Équipement inconnu"))</f>
        <v/>
      </c>
      <c r="E793" s="68" t="n"/>
      <c r="F793" s="68" t="n"/>
      <c r="G793" s="66" t="n"/>
      <c r="H793" s="66" t="n"/>
      <c r="I793" s="68" t="n"/>
      <c r="J793" s="73" t="n"/>
      <c r="K793" s="71" t="n"/>
      <c r="L793" s="71" t="n"/>
      <c r="M793" s="66" t="n"/>
      <c r="N793" s="80" t="n"/>
      <c r="O793" s="81" t="str">
        <f>IF(A793="","",ROUND(V793*IFERROR(N(INDEX(tech_rate,MATCH(M793,tech_name,0))),0),2))</f>
        <v/>
      </c>
      <c r="P793" s="80" t="n"/>
      <c r="Q793" s="81" t="str">
        <f>IF(A793="","",ROUND(Y793+O793+Z793,2))</f>
        <v/>
      </c>
      <c r="R793" s="79" t="str">
        <f>IF(A793="","",IF(S793=0,"Date manquante ou invalide",IF(C793="","Équipement manquant",IF(ISNA(MATCH(C793,eq_code,0)),"Équipement inconnu",IF(E793="","Type manquant",IF(AND(E793&lt;&gt;"Préventif",E793&lt;&gt;"Correctif",E793&lt;&gt;"Amélioratif"),"Type inconnu",IF(I793="","Statut manquant",IF(AND(I793&lt;&gt;"Terminée",I793&lt;&gt;"En cours",I793&lt;&gt;"À faire",I793&lt;&gt;"Annulée"),"Statut inconnu",IF(AND(E793="Préventif",F793=""),"Plan manquant (préventif)",IF(AND(F793&lt;&gt;"",ISNA(MATCH(F793,pl_num,0))),"Plan inconnu",IF(AND(F793&lt;&gt;"",IFERROR(INDEX(pl_eq,MATCH(F793,pl_num,0))&amp;"",C793)&lt;&gt;C793),"Plan d'un autre équipement",IF(AND(J793&lt;&gt;"",OR(NOT(ISNUMBER(J793)),N(J793)&lt;0)),"Compteur invalide",IF(OR(AND(K793&lt;&gt;"",OR(NOT(ISNUMBER(K793)),N(K793)&lt;0)),AND(L793&lt;&gt;"",OR(NOT(ISNUMBER(L793)),N(L793)&lt;0))),"Durée invalide",IF(OR(AND(N793&lt;&gt;"",OR(NOT(ISNUMBER(N793)),N(N793)&lt;0)),AND(P793&lt;&gt;"",OR(NOT(ISNUMBER(P793)),N(P793)&lt;0))),"Coût invalide",IF(AND(M793&lt;&gt;"",ISNA(MATCH(M793,tech_name,0))),"Technicien inconnu",IF(AND(I793="Terminée",S793&gt;p_today),"Terminée à une date future",IF(AND(I793="Terminée",V793=0),"Durée d'intervention manquante",IF(AND(I793="Terminée",E793="Préventif",T793=0,OR(IFERROR(INDEX(pl_trig,MATCH(F793,pl_num,0))&amp;"","")="Compteur",IFERROR(INDEX(pl_trig,MATCH(F793,pl_num,0))&amp;"","")="Au premier des deux")),"Compteur manquant (plan au compteur)","OK"))))))))))))))))))</f>
        <v/>
      </c>
      <c r="S793" s="67">
        <f>IF(AND(ISNUMBER(B793),N(B793)&gt;0),INT(B793),0)</f>
        <v>0.0</v>
      </c>
      <c r="T793" s="67">
        <f>IF(AND(ISNUMBER(J793),N(J793)&gt;=0),N(J793),0)</f>
        <v>0.0</v>
      </c>
      <c r="U793" s="67">
        <f>IF(AND(ISNUMBER(K793),N(K793)&gt;0),N(K793),0)</f>
        <v>0.0</v>
      </c>
      <c r="V793" s="67">
        <f>IF(AND(ISNUMBER(L793),N(L793)&gt;0),N(L793),0)</f>
        <v>0.0</v>
      </c>
      <c r="W793" s="67">
        <f>IF(AND(I793="Terminée",S793&gt;0,C793&lt;&gt;"",ISNUMBER(MATCH(C793,eq_code,0))),1,0)</f>
        <v>0.0</v>
      </c>
      <c r="X793" s="67">
        <f>IF(AND(W793=1,E793="Préventif"),1,0)</f>
        <v>0.0</v>
      </c>
      <c r="Y793" s="67">
        <f>IF(AND(ISNUMBER(N793),N(N793)&gt;0),N(N793),0)</f>
        <v>0.0</v>
      </c>
      <c r="Z793" s="67">
        <f>IF(AND(ISNUMBER(P793),N(P793)&gt;0),N(P793),0)</f>
        <v>0.0</v>
      </c>
    </row>
    <row r="794">
      <c r="A794" s="79" t="str">
        <f>IF(COUNTA(B794:C794,E794:G794,I794)=0,"","BI-"&amp;RIGHT("0000"&amp;(ROW()-5),4))</f>
        <v/>
      </c>
      <c r="B794" s="72" t="n"/>
      <c r="C794" s="66" t="n"/>
      <c r="D794" s="67" t="str">
        <f>IF(C794="","",IFERROR(INDEX(eq_des,MATCH(C794,eq_code,0))&amp;"","Équipement inconnu"))</f>
        <v/>
      </c>
      <c r="E794" s="68" t="n"/>
      <c r="F794" s="68" t="n"/>
      <c r="G794" s="66" t="n"/>
      <c r="H794" s="66" t="n"/>
      <c r="I794" s="68" t="n"/>
      <c r="J794" s="73" t="n"/>
      <c r="K794" s="71" t="n"/>
      <c r="L794" s="71" t="n"/>
      <c r="M794" s="66" t="n"/>
      <c r="N794" s="80" t="n"/>
      <c r="O794" s="81" t="str">
        <f>IF(A794="","",ROUND(V794*IFERROR(N(INDEX(tech_rate,MATCH(M794,tech_name,0))),0),2))</f>
        <v/>
      </c>
      <c r="P794" s="80" t="n"/>
      <c r="Q794" s="81" t="str">
        <f>IF(A794="","",ROUND(Y794+O794+Z794,2))</f>
        <v/>
      </c>
      <c r="R794" s="79" t="str">
        <f>IF(A794="","",IF(S794=0,"Date manquante ou invalide",IF(C794="","Équipement manquant",IF(ISNA(MATCH(C794,eq_code,0)),"Équipement inconnu",IF(E794="","Type manquant",IF(AND(E794&lt;&gt;"Préventif",E794&lt;&gt;"Correctif",E794&lt;&gt;"Amélioratif"),"Type inconnu",IF(I794="","Statut manquant",IF(AND(I794&lt;&gt;"Terminée",I794&lt;&gt;"En cours",I794&lt;&gt;"À faire",I794&lt;&gt;"Annulée"),"Statut inconnu",IF(AND(E794="Préventif",F794=""),"Plan manquant (préventif)",IF(AND(F794&lt;&gt;"",ISNA(MATCH(F794,pl_num,0))),"Plan inconnu",IF(AND(F794&lt;&gt;"",IFERROR(INDEX(pl_eq,MATCH(F794,pl_num,0))&amp;"",C794)&lt;&gt;C794),"Plan d'un autre équipement",IF(AND(J794&lt;&gt;"",OR(NOT(ISNUMBER(J794)),N(J794)&lt;0)),"Compteur invalide",IF(OR(AND(K794&lt;&gt;"",OR(NOT(ISNUMBER(K794)),N(K794)&lt;0)),AND(L794&lt;&gt;"",OR(NOT(ISNUMBER(L794)),N(L794)&lt;0))),"Durée invalide",IF(OR(AND(N794&lt;&gt;"",OR(NOT(ISNUMBER(N794)),N(N794)&lt;0)),AND(P794&lt;&gt;"",OR(NOT(ISNUMBER(P794)),N(P794)&lt;0))),"Coût invalide",IF(AND(M794&lt;&gt;"",ISNA(MATCH(M794,tech_name,0))),"Technicien inconnu",IF(AND(I794="Terminée",S794&gt;p_today),"Terminée à une date future",IF(AND(I794="Terminée",V794=0),"Durée d'intervention manquante",IF(AND(I794="Terminée",E794="Préventif",T794=0,OR(IFERROR(INDEX(pl_trig,MATCH(F794,pl_num,0))&amp;"","")="Compteur",IFERROR(INDEX(pl_trig,MATCH(F794,pl_num,0))&amp;"","")="Au premier des deux")),"Compteur manquant (plan au compteur)","OK"))))))))))))))))))</f>
        <v/>
      </c>
      <c r="S794" s="67">
        <f>IF(AND(ISNUMBER(B794),N(B794)&gt;0),INT(B794),0)</f>
        <v>0.0</v>
      </c>
      <c r="T794" s="67">
        <f>IF(AND(ISNUMBER(J794),N(J794)&gt;=0),N(J794),0)</f>
        <v>0.0</v>
      </c>
      <c r="U794" s="67">
        <f>IF(AND(ISNUMBER(K794),N(K794)&gt;0),N(K794),0)</f>
        <v>0.0</v>
      </c>
      <c r="V794" s="67">
        <f>IF(AND(ISNUMBER(L794),N(L794)&gt;0),N(L794),0)</f>
        <v>0.0</v>
      </c>
      <c r="W794" s="67">
        <f>IF(AND(I794="Terminée",S794&gt;0,C794&lt;&gt;"",ISNUMBER(MATCH(C794,eq_code,0))),1,0)</f>
        <v>0.0</v>
      </c>
      <c r="X794" s="67">
        <f>IF(AND(W794=1,E794="Préventif"),1,0)</f>
        <v>0.0</v>
      </c>
      <c r="Y794" s="67">
        <f>IF(AND(ISNUMBER(N794),N(N794)&gt;0),N(N794),0)</f>
        <v>0.0</v>
      </c>
      <c r="Z794" s="67">
        <f>IF(AND(ISNUMBER(P794),N(P794)&gt;0),N(P794),0)</f>
        <v>0.0</v>
      </c>
    </row>
    <row r="795">
      <c r="A795" s="79" t="str">
        <f>IF(COUNTA(B795:C795,E795:G795,I795)=0,"","BI-"&amp;RIGHT("0000"&amp;(ROW()-5),4))</f>
        <v/>
      </c>
      <c r="B795" s="72" t="n"/>
      <c r="C795" s="66" t="n"/>
      <c r="D795" s="67" t="str">
        <f>IF(C795="","",IFERROR(INDEX(eq_des,MATCH(C795,eq_code,0))&amp;"","Équipement inconnu"))</f>
        <v/>
      </c>
      <c r="E795" s="68" t="n"/>
      <c r="F795" s="68" t="n"/>
      <c r="G795" s="66" t="n"/>
      <c r="H795" s="66" t="n"/>
      <c r="I795" s="68" t="n"/>
      <c r="J795" s="73" t="n"/>
      <c r="K795" s="71" t="n"/>
      <c r="L795" s="71" t="n"/>
      <c r="M795" s="66" t="n"/>
      <c r="N795" s="80" t="n"/>
      <c r="O795" s="81" t="str">
        <f>IF(A795="","",ROUND(V795*IFERROR(N(INDEX(tech_rate,MATCH(M795,tech_name,0))),0),2))</f>
        <v/>
      </c>
      <c r="P795" s="80" t="n"/>
      <c r="Q795" s="81" t="str">
        <f>IF(A795="","",ROUND(Y795+O795+Z795,2))</f>
        <v/>
      </c>
      <c r="R795" s="79" t="str">
        <f>IF(A795="","",IF(S795=0,"Date manquante ou invalide",IF(C795="","Équipement manquant",IF(ISNA(MATCH(C795,eq_code,0)),"Équipement inconnu",IF(E795="","Type manquant",IF(AND(E795&lt;&gt;"Préventif",E795&lt;&gt;"Correctif",E795&lt;&gt;"Amélioratif"),"Type inconnu",IF(I795="","Statut manquant",IF(AND(I795&lt;&gt;"Terminée",I795&lt;&gt;"En cours",I795&lt;&gt;"À faire",I795&lt;&gt;"Annulée"),"Statut inconnu",IF(AND(E795="Préventif",F795=""),"Plan manquant (préventif)",IF(AND(F795&lt;&gt;"",ISNA(MATCH(F795,pl_num,0))),"Plan inconnu",IF(AND(F795&lt;&gt;"",IFERROR(INDEX(pl_eq,MATCH(F795,pl_num,0))&amp;"",C795)&lt;&gt;C795),"Plan d'un autre équipement",IF(AND(J795&lt;&gt;"",OR(NOT(ISNUMBER(J795)),N(J795)&lt;0)),"Compteur invalide",IF(OR(AND(K795&lt;&gt;"",OR(NOT(ISNUMBER(K795)),N(K795)&lt;0)),AND(L795&lt;&gt;"",OR(NOT(ISNUMBER(L795)),N(L795)&lt;0))),"Durée invalide",IF(OR(AND(N795&lt;&gt;"",OR(NOT(ISNUMBER(N795)),N(N795)&lt;0)),AND(P795&lt;&gt;"",OR(NOT(ISNUMBER(P795)),N(P795)&lt;0))),"Coût invalide",IF(AND(M795&lt;&gt;"",ISNA(MATCH(M795,tech_name,0))),"Technicien inconnu",IF(AND(I795="Terminée",S795&gt;p_today),"Terminée à une date future",IF(AND(I795="Terminée",V795=0),"Durée d'intervention manquante",IF(AND(I795="Terminée",E795="Préventif",T795=0,OR(IFERROR(INDEX(pl_trig,MATCH(F795,pl_num,0))&amp;"","")="Compteur",IFERROR(INDEX(pl_trig,MATCH(F795,pl_num,0))&amp;"","")="Au premier des deux")),"Compteur manquant (plan au compteur)","OK"))))))))))))))))))</f>
        <v/>
      </c>
      <c r="S795" s="67">
        <f>IF(AND(ISNUMBER(B795),N(B795)&gt;0),INT(B795),0)</f>
        <v>0.0</v>
      </c>
      <c r="T795" s="67">
        <f>IF(AND(ISNUMBER(J795),N(J795)&gt;=0),N(J795),0)</f>
        <v>0.0</v>
      </c>
      <c r="U795" s="67">
        <f>IF(AND(ISNUMBER(K795),N(K795)&gt;0),N(K795),0)</f>
        <v>0.0</v>
      </c>
      <c r="V795" s="67">
        <f>IF(AND(ISNUMBER(L795),N(L795)&gt;0),N(L795),0)</f>
        <v>0.0</v>
      </c>
      <c r="W795" s="67">
        <f>IF(AND(I795="Terminée",S795&gt;0,C795&lt;&gt;"",ISNUMBER(MATCH(C795,eq_code,0))),1,0)</f>
        <v>0.0</v>
      </c>
      <c r="X795" s="67">
        <f>IF(AND(W795=1,E795="Préventif"),1,0)</f>
        <v>0.0</v>
      </c>
      <c r="Y795" s="67">
        <f>IF(AND(ISNUMBER(N795),N(N795)&gt;0),N(N795),0)</f>
        <v>0.0</v>
      </c>
      <c r="Z795" s="67">
        <f>IF(AND(ISNUMBER(P795),N(P795)&gt;0),N(P795),0)</f>
        <v>0.0</v>
      </c>
    </row>
    <row r="796">
      <c r="A796" s="79" t="str">
        <f>IF(COUNTA(B796:C796,E796:G796,I796)=0,"","BI-"&amp;RIGHT("0000"&amp;(ROW()-5),4))</f>
        <v/>
      </c>
      <c r="B796" s="72" t="n"/>
      <c r="C796" s="66" t="n"/>
      <c r="D796" s="67" t="str">
        <f>IF(C796="","",IFERROR(INDEX(eq_des,MATCH(C796,eq_code,0))&amp;"","Équipement inconnu"))</f>
        <v/>
      </c>
      <c r="E796" s="68" t="n"/>
      <c r="F796" s="68" t="n"/>
      <c r="G796" s="66" t="n"/>
      <c r="H796" s="66" t="n"/>
      <c r="I796" s="68" t="n"/>
      <c r="J796" s="73" t="n"/>
      <c r="K796" s="71" t="n"/>
      <c r="L796" s="71" t="n"/>
      <c r="M796" s="66" t="n"/>
      <c r="N796" s="80" t="n"/>
      <c r="O796" s="81" t="str">
        <f>IF(A796="","",ROUND(V796*IFERROR(N(INDEX(tech_rate,MATCH(M796,tech_name,0))),0),2))</f>
        <v/>
      </c>
      <c r="P796" s="80" t="n"/>
      <c r="Q796" s="81" t="str">
        <f>IF(A796="","",ROUND(Y796+O796+Z796,2))</f>
        <v/>
      </c>
      <c r="R796" s="79" t="str">
        <f>IF(A796="","",IF(S796=0,"Date manquante ou invalide",IF(C796="","Équipement manquant",IF(ISNA(MATCH(C796,eq_code,0)),"Équipement inconnu",IF(E796="","Type manquant",IF(AND(E796&lt;&gt;"Préventif",E796&lt;&gt;"Correctif",E796&lt;&gt;"Amélioratif"),"Type inconnu",IF(I796="","Statut manquant",IF(AND(I796&lt;&gt;"Terminée",I796&lt;&gt;"En cours",I796&lt;&gt;"À faire",I796&lt;&gt;"Annulée"),"Statut inconnu",IF(AND(E796="Préventif",F796=""),"Plan manquant (préventif)",IF(AND(F796&lt;&gt;"",ISNA(MATCH(F796,pl_num,0))),"Plan inconnu",IF(AND(F796&lt;&gt;"",IFERROR(INDEX(pl_eq,MATCH(F796,pl_num,0))&amp;"",C796)&lt;&gt;C796),"Plan d'un autre équipement",IF(AND(J796&lt;&gt;"",OR(NOT(ISNUMBER(J796)),N(J796)&lt;0)),"Compteur invalide",IF(OR(AND(K796&lt;&gt;"",OR(NOT(ISNUMBER(K796)),N(K796)&lt;0)),AND(L796&lt;&gt;"",OR(NOT(ISNUMBER(L796)),N(L796)&lt;0))),"Durée invalide",IF(OR(AND(N796&lt;&gt;"",OR(NOT(ISNUMBER(N796)),N(N796)&lt;0)),AND(P796&lt;&gt;"",OR(NOT(ISNUMBER(P796)),N(P796)&lt;0))),"Coût invalide",IF(AND(M796&lt;&gt;"",ISNA(MATCH(M796,tech_name,0))),"Technicien inconnu",IF(AND(I796="Terminée",S796&gt;p_today),"Terminée à une date future",IF(AND(I796="Terminée",V796=0),"Durée d'intervention manquante",IF(AND(I796="Terminée",E796="Préventif",T796=0,OR(IFERROR(INDEX(pl_trig,MATCH(F796,pl_num,0))&amp;"","")="Compteur",IFERROR(INDEX(pl_trig,MATCH(F796,pl_num,0))&amp;"","")="Au premier des deux")),"Compteur manquant (plan au compteur)","OK"))))))))))))))))))</f>
        <v/>
      </c>
      <c r="S796" s="67">
        <f>IF(AND(ISNUMBER(B796),N(B796)&gt;0),INT(B796),0)</f>
        <v>0.0</v>
      </c>
      <c r="T796" s="67">
        <f>IF(AND(ISNUMBER(J796),N(J796)&gt;=0),N(J796),0)</f>
        <v>0.0</v>
      </c>
      <c r="U796" s="67">
        <f>IF(AND(ISNUMBER(K796),N(K796)&gt;0),N(K796),0)</f>
        <v>0.0</v>
      </c>
      <c r="V796" s="67">
        <f>IF(AND(ISNUMBER(L796),N(L796)&gt;0),N(L796),0)</f>
        <v>0.0</v>
      </c>
      <c r="W796" s="67">
        <f>IF(AND(I796="Terminée",S796&gt;0,C796&lt;&gt;"",ISNUMBER(MATCH(C796,eq_code,0))),1,0)</f>
        <v>0.0</v>
      </c>
      <c r="X796" s="67">
        <f>IF(AND(W796=1,E796="Préventif"),1,0)</f>
        <v>0.0</v>
      </c>
      <c r="Y796" s="67">
        <f>IF(AND(ISNUMBER(N796),N(N796)&gt;0),N(N796),0)</f>
        <v>0.0</v>
      </c>
      <c r="Z796" s="67">
        <f>IF(AND(ISNUMBER(P796),N(P796)&gt;0),N(P796),0)</f>
        <v>0.0</v>
      </c>
    </row>
    <row r="797">
      <c r="A797" s="79" t="str">
        <f>IF(COUNTA(B797:C797,E797:G797,I797)=0,"","BI-"&amp;RIGHT("0000"&amp;(ROW()-5),4))</f>
        <v/>
      </c>
      <c r="B797" s="72" t="n"/>
      <c r="C797" s="66" t="n"/>
      <c r="D797" s="67" t="str">
        <f>IF(C797="","",IFERROR(INDEX(eq_des,MATCH(C797,eq_code,0))&amp;"","Équipement inconnu"))</f>
        <v/>
      </c>
      <c r="E797" s="68" t="n"/>
      <c r="F797" s="68" t="n"/>
      <c r="G797" s="66" t="n"/>
      <c r="H797" s="66" t="n"/>
      <c r="I797" s="68" t="n"/>
      <c r="J797" s="73" t="n"/>
      <c r="K797" s="71" t="n"/>
      <c r="L797" s="71" t="n"/>
      <c r="M797" s="66" t="n"/>
      <c r="N797" s="80" t="n"/>
      <c r="O797" s="81" t="str">
        <f>IF(A797="","",ROUND(V797*IFERROR(N(INDEX(tech_rate,MATCH(M797,tech_name,0))),0),2))</f>
        <v/>
      </c>
      <c r="P797" s="80" t="n"/>
      <c r="Q797" s="81" t="str">
        <f>IF(A797="","",ROUND(Y797+O797+Z797,2))</f>
        <v/>
      </c>
      <c r="R797" s="79" t="str">
        <f>IF(A797="","",IF(S797=0,"Date manquante ou invalide",IF(C797="","Équipement manquant",IF(ISNA(MATCH(C797,eq_code,0)),"Équipement inconnu",IF(E797="","Type manquant",IF(AND(E797&lt;&gt;"Préventif",E797&lt;&gt;"Correctif",E797&lt;&gt;"Amélioratif"),"Type inconnu",IF(I797="","Statut manquant",IF(AND(I797&lt;&gt;"Terminée",I797&lt;&gt;"En cours",I797&lt;&gt;"À faire",I797&lt;&gt;"Annulée"),"Statut inconnu",IF(AND(E797="Préventif",F797=""),"Plan manquant (préventif)",IF(AND(F797&lt;&gt;"",ISNA(MATCH(F797,pl_num,0))),"Plan inconnu",IF(AND(F797&lt;&gt;"",IFERROR(INDEX(pl_eq,MATCH(F797,pl_num,0))&amp;"",C797)&lt;&gt;C797),"Plan d'un autre équipement",IF(AND(J797&lt;&gt;"",OR(NOT(ISNUMBER(J797)),N(J797)&lt;0)),"Compteur invalide",IF(OR(AND(K797&lt;&gt;"",OR(NOT(ISNUMBER(K797)),N(K797)&lt;0)),AND(L797&lt;&gt;"",OR(NOT(ISNUMBER(L797)),N(L797)&lt;0))),"Durée invalide",IF(OR(AND(N797&lt;&gt;"",OR(NOT(ISNUMBER(N797)),N(N797)&lt;0)),AND(P797&lt;&gt;"",OR(NOT(ISNUMBER(P797)),N(P797)&lt;0))),"Coût invalide",IF(AND(M797&lt;&gt;"",ISNA(MATCH(M797,tech_name,0))),"Technicien inconnu",IF(AND(I797="Terminée",S797&gt;p_today),"Terminée à une date future",IF(AND(I797="Terminée",V797=0),"Durée d'intervention manquante",IF(AND(I797="Terminée",E797="Préventif",T797=0,OR(IFERROR(INDEX(pl_trig,MATCH(F797,pl_num,0))&amp;"","")="Compteur",IFERROR(INDEX(pl_trig,MATCH(F797,pl_num,0))&amp;"","")="Au premier des deux")),"Compteur manquant (plan au compteur)","OK"))))))))))))))))))</f>
        <v/>
      </c>
      <c r="S797" s="67">
        <f>IF(AND(ISNUMBER(B797),N(B797)&gt;0),INT(B797),0)</f>
        <v>0.0</v>
      </c>
      <c r="T797" s="67">
        <f>IF(AND(ISNUMBER(J797),N(J797)&gt;=0),N(J797),0)</f>
        <v>0.0</v>
      </c>
      <c r="U797" s="67">
        <f>IF(AND(ISNUMBER(K797),N(K797)&gt;0),N(K797),0)</f>
        <v>0.0</v>
      </c>
      <c r="V797" s="67">
        <f>IF(AND(ISNUMBER(L797),N(L797)&gt;0),N(L797),0)</f>
        <v>0.0</v>
      </c>
      <c r="W797" s="67">
        <f>IF(AND(I797="Terminée",S797&gt;0,C797&lt;&gt;"",ISNUMBER(MATCH(C797,eq_code,0))),1,0)</f>
        <v>0.0</v>
      </c>
      <c r="X797" s="67">
        <f>IF(AND(W797=1,E797="Préventif"),1,0)</f>
        <v>0.0</v>
      </c>
      <c r="Y797" s="67">
        <f>IF(AND(ISNUMBER(N797),N(N797)&gt;0),N(N797),0)</f>
        <v>0.0</v>
      </c>
      <c r="Z797" s="67">
        <f>IF(AND(ISNUMBER(P797),N(P797)&gt;0),N(P797),0)</f>
        <v>0.0</v>
      </c>
    </row>
    <row r="798">
      <c r="A798" s="79" t="str">
        <f>IF(COUNTA(B798:C798,E798:G798,I798)=0,"","BI-"&amp;RIGHT("0000"&amp;(ROW()-5),4))</f>
        <v/>
      </c>
      <c r="B798" s="72" t="n"/>
      <c r="C798" s="66" t="n"/>
      <c r="D798" s="67" t="str">
        <f>IF(C798="","",IFERROR(INDEX(eq_des,MATCH(C798,eq_code,0))&amp;"","Équipement inconnu"))</f>
        <v/>
      </c>
      <c r="E798" s="68" t="n"/>
      <c r="F798" s="68" t="n"/>
      <c r="G798" s="66" t="n"/>
      <c r="H798" s="66" t="n"/>
      <c r="I798" s="68" t="n"/>
      <c r="J798" s="73" t="n"/>
      <c r="K798" s="71" t="n"/>
      <c r="L798" s="71" t="n"/>
      <c r="M798" s="66" t="n"/>
      <c r="N798" s="80" t="n"/>
      <c r="O798" s="81" t="str">
        <f>IF(A798="","",ROUND(V798*IFERROR(N(INDEX(tech_rate,MATCH(M798,tech_name,0))),0),2))</f>
        <v/>
      </c>
      <c r="P798" s="80" t="n"/>
      <c r="Q798" s="81" t="str">
        <f>IF(A798="","",ROUND(Y798+O798+Z798,2))</f>
        <v/>
      </c>
      <c r="R798" s="79" t="str">
        <f>IF(A798="","",IF(S798=0,"Date manquante ou invalide",IF(C798="","Équipement manquant",IF(ISNA(MATCH(C798,eq_code,0)),"Équipement inconnu",IF(E798="","Type manquant",IF(AND(E798&lt;&gt;"Préventif",E798&lt;&gt;"Correctif",E798&lt;&gt;"Amélioratif"),"Type inconnu",IF(I798="","Statut manquant",IF(AND(I798&lt;&gt;"Terminée",I798&lt;&gt;"En cours",I798&lt;&gt;"À faire",I798&lt;&gt;"Annulée"),"Statut inconnu",IF(AND(E798="Préventif",F798=""),"Plan manquant (préventif)",IF(AND(F798&lt;&gt;"",ISNA(MATCH(F798,pl_num,0))),"Plan inconnu",IF(AND(F798&lt;&gt;"",IFERROR(INDEX(pl_eq,MATCH(F798,pl_num,0))&amp;"",C798)&lt;&gt;C798),"Plan d'un autre équipement",IF(AND(J798&lt;&gt;"",OR(NOT(ISNUMBER(J798)),N(J798)&lt;0)),"Compteur invalide",IF(OR(AND(K798&lt;&gt;"",OR(NOT(ISNUMBER(K798)),N(K798)&lt;0)),AND(L798&lt;&gt;"",OR(NOT(ISNUMBER(L798)),N(L798)&lt;0))),"Durée invalide",IF(OR(AND(N798&lt;&gt;"",OR(NOT(ISNUMBER(N798)),N(N798)&lt;0)),AND(P798&lt;&gt;"",OR(NOT(ISNUMBER(P798)),N(P798)&lt;0))),"Coût invalide",IF(AND(M798&lt;&gt;"",ISNA(MATCH(M798,tech_name,0))),"Technicien inconnu",IF(AND(I798="Terminée",S798&gt;p_today),"Terminée à une date future",IF(AND(I798="Terminée",V798=0),"Durée d'intervention manquante",IF(AND(I798="Terminée",E798="Préventif",T798=0,OR(IFERROR(INDEX(pl_trig,MATCH(F798,pl_num,0))&amp;"","")="Compteur",IFERROR(INDEX(pl_trig,MATCH(F798,pl_num,0))&amp;"","")="Au premier des deux")),"Compteur manquant (plan au compteur)","OK"))))))))))))))))))</f>
        <v/>
      </c>
      <c r="S798" s="67">
        <f>IF(AND(ISNUMBER(B798),N(B798)&gt;0),INT(B798),0)</f>
        <v>0.0</v>
      </c>
      <c r="T798" s="67">
        <f>IF(AND(ISNUMBER(J798),N(J798)&gt;=0),N(J798),0)</f>
        <v>0.0</v>
      </c>
      <c r="U798" s="67">
        <f>IF(AND(ISNUMBER(K798),N(K798)&gt;0),N(K798),0)</f>
        <v>0.0</v>
      </c>
      <c r="V798" s="67">
        <f>IF(AND(ISNUMBER(L798),N(L798)&gt;0),N(L798),0)</f>
        <v>0.0</v>
      </c>
      <c r="W798" s="67">
        <f>IF(AND(I798="Terminée",S798&gt;0,C798&lt;&gt;"",ISNUMBER(MATCH(C798,eq_code,0))),1,0)</f>
        <v>0.0</v>
      </c>
      <c r="X798" s="67">
        <f>IF(AND(W798=1,E798="Préventif"),1,0)</f>
        <v>0.0</v>
      </c>
      <c r="Y798" s="67">
        <f>IF(AND(ISNUMBER(N798),N(N798)&gt;0),N(N798),0)</f>
        <v>0.0</v>
      </c>
      <c r="Z798" s="67">
        <f>IF(AND(ISNUMBER(P798),N(P798)&gt;0),N(P798),0)</f>
        <v>0.0</v>
      </c>
    </row>
    <row r="799">
      <c r="A799" s="79" t="str">
        <f>IF(COUNTA(B799:C799,E799:G799,I799)=0,"","BI-"&amp;RIGHT("0000"&amp;(ROW()-5),4))</f>
        <v/>
      </c>
      <c r="B799" s="72" t="n"/>
      <c r="C799" s="66" t="n"/>
      <c r="D799" s="67" t="str">
        <f>IF(C799="","",IFERROR(INDEX(eq_des,MATCH(C799,eq_code,0))&amp;"","Équipement inconnu"))</f>
        <v/>
      </c>
      <c r="E799" s="68" t="n"/>
      <c r="F799" s="68" t="n"/>
      <c r="G799" s="66" t="n"/>
      <c r="H799" s="66" t="n"/>
      <c r="I799" s="68" t="n"/>
      <c r="J799" s="73" t="n"/>
      <c r="K799" s="71" t="n"/>
      <c r="L799" s="71" t="n"/>
      <c r="M799" s="66" t="n"/>
      <c r="N799" s="80" t="n"/>
      <c r="O799" s="81" t="str">
        <f>IF(A799="","",ROUND(V799*IFERROR(N(INDEX(tech_rate,MATCH(M799,tech_name,0))),0),2))</f>
        <v/>
      </c>
      <c r="P799" s="80" t="n"/>
      <c r="Q799" s="81" t="str">
        <f>IF(A799="","",ROUND(Y799+O799+Z799,2))</f>
        <v/>
      </c>
      <c r="R799" s="79" t="str">
        <f>IF(A799="","",IF(S799=0,"Date manquante ou invalide",IF(C799="","Équipement manquant",IF(ISNA(MATCH(C799,eq_code,0)),"Équipement inconnu",IF(E799="","Type manquant",IF(AND(E799&lt;&gt;"Préventif",E799&lt;&gt;"Correctif",E799&lt;&gt;"Amélioratif"),"Type inconnu",IF(I799="","Statut manquant",IF(AND(I799&lt;&gt;"Terminée",I799&lt;&gt;"En cours",I799&lt;&gt;"À faire",I799&lt;&gt;"Annulée"),"Statut inconnu",IF(AND(E799="Préventif",F799=""),"Plan manquant (préventif)",IF(AND(F799&lt;&gt;"",ISNA(MATCH(F799,pl_num,0))),"Plan inconnu",IF(AND(F799&lt;&gt;"",IFERROR(INDEX(pl_eq,MATCH(F799,pl_num,0))&amp;"",C799)&lt;&gt;C799),"Plan d'un autre équipement",IF(AND(J799&lt;&gt;"",OR(NOT(ISNUMBER(J799)),N(J799)&lt;0)),"Compteur invalide",IF(OR(AND(K799&lt;&gt;"",OR(NOT(ISNUMBER(K799)),N(K799)&lt;0)),AND(L799&lt;&gt;"",OR(NOT(ISNUMBER(L799)),N(L799)&lt;0))),"Durée invalide",IF(OR(AND(N799&lt;&gt;"",OR(NOT(ISNUMBER(N799)),N(N799)&lt;0)),AND(P799&lt;&gt;"",OR(NOT(ISNUMBER(P799)),N(P799)&lt;0))),"Coût invalide",IF(AND(M799&lt;&gt;"",ISNA(MATCH(M799,tech_name,0))),"Technicien inconnu",IF(AND(I799="Terminée",S799&gt;p_today),"Terminée à une date future",IF(AND(I799="Terminée",V799=0),"Durée d'intervention manquante",IF(AND(I799="Terminée",E799="Préventif",T799=0,OR(IFERROR(INDEX(pl_trig,MATCH(F799,pl_num,0))&amp;"","")="Compteur",IFERROR(INDEX(pl_trig,MATCH(F799,pl_num,0))&amp;"","")="Au premier des deux")),"Compteur manquant (plan au compteur)","OK"))))))))))))))))))</f>
        <v/>
      </c>
      <c r="S799" s="67">
        <f>IF(AND(ISNUMBER(B799),N(B799)&gt;0),INT(B799),0)</f>
        <v>0.0</v>
      </c>
      <c r="T799" s="67">
        <f>IF(AND(ISNUMBER(J799),N(J799)&gt;=0),N(J799),0)</f>
        <v>0.0</v>
      </c>
      <c r="U799" s="67">
        <f>IF(AND(ISNUMBER(K799),N(K799)&gt;0),N(K799),0)</f>
        <v>0.0</v>
      </c>
      <c r="V799" s="67">
        <f>IF(AND(ISNUMBER(L799),N(L799)&gt;0),N(L799),0)</f>
        <v>0.0</v>
      </c>
      <c r="W799" s="67">
        <f>IF(AND(I799="Terminée",S799&gt;0,C799&lt;&gt;"",ISNUMBER(MATCH(C799,eq_code,0))),1,0)</f>
        <v>0.0</v>
      </c>
      <c r="X799" s="67">
        <f>IF(AND(W799=1,E799="Préventif"),1,0)</f>
        <v>0.0</v>
      </c>
      <c r="Y799" s="67">
        <f>IF(AND(ISNUMBER(N799),N(N799)&gt;0),N(N799),0)</f>
        <v>0.0</v>
      </c>
      <c r="Z799" s="67">
        <f>IF(AND(ISNUMBER(P799),N(P799)&gt;0),N(P799),0)</f>
        <v>0.0</v>
      </c>
    </row>
    <row r="800">
      <c r="A800" s="79" t="str">
        <f>IF(COUNTA(B800:C800,E800:G800,I800)=0,"","BI-"&amp;RIGHT("0000"&amp;(ROW()-5),4))</f>
        <v/>
      </c>
      <c r="B800" s="72" t="n"/>
      <c r="C800" s="66" t="n"/>
      <c r="D800" s="67" t="str">
        <f>IF(C800="","",IFERROR(INDEX(eq_des,MATCH(C800,eq_code,0))&amp;"","Équipement inconnu"))</f>
        <v/>
      </c>
      <c r="E800" s="68" t="n"/>
      <c r="F800" s="68" t="n"/>
      <c r="G800" s="66" t="n"/>
      <c r="H800" s="66" t="n"/>
      <c r="I800" s="68" t="n"/>
      <c r="J800" s="73" t="n"/>
      <c r="K800" s="71" t="n"/>
      <c r="L800" s="71" t="n"/>
      <c r="M800" s="66" t="n"/>
      <c r="N800" s="80" t="n"/>
      <c r="O800" s="81" t="str">
        <f>IF(A800="","",ROUND(V800*IFERROR(N(INDEX(tech_rate,MATCH(M800,tech_name,0))),0),2))</f>
        <v/>
      </c>
      <c r="P800" s="80" t="n"/>
      <c r="Q800" s="81" t="str">
        <f>IF(A800="","",ROUND(Y800+O800+Z800,2))</f>
        <v/>
      </c>
      <c r="R800" s="79" t="str">
        <f>IF(A800="","",IF(S800=0,"Date manquante ou invalide",IF(C800="","Équipement manquant",IF(ISNA(MATCH(C800,eq_code,0)),"Équipement inconnu",IF(E800="","Type manquant",IF(AND(E800&lt;&gt;"Préventif",E800&lt;&gt;"Correctif",E800&lt;&gt;"Amélioratif"),"Type inconnu",IF(I800="","Statut manquant",IF(AND(I800&lt;&gt;"Terminée",I800&lt;&gt;"En cours",I800&lt;&gt;"À faire",I800&lt;&gt;"Annulée"),"Statut inconnu",IF(AND(E800="Préventif",F800=""),"Plan manquant (préventif)",IF(AND(F800&lt;&gt;"",ISNA(MATCH(F800,pl_num,0))),"Plan inconnu",IF(AND(F800&lt;&gt;"",IFERROR(INDEX(pl_eq,MATCH(F800,pl_num,0))&amp;"",C800)&lt;&gt;C800),"Plan d'un autre équipement",IF(AND(J800&lt;&gt;"",OR(NOT(ISNUMBER(J800)),N(J800)&lt;0)),"Compteur invalide",IF(OR(AND(K800&lt;&gt;"",OR(NOT(ISNUMBER(K800)),N(K800)&lt;0)),AND(L800&lt;&gt;"",OR(NOT(ISNUMBER(L800)),N(L800)&lt;0))),"Durée invalide",IF(OR(AND(N800&lt;&gt;"",OR(NOT(ISNUMBER(N800)),N(N800)&lt;0)),AND(P800&lt;&gt;"",OR(NOT(ISNUMBER(P800)),N(P800)&lt;0))),"Coût invalide",IF(AND(M800&lt;&gt;"",ISNA(MATCH(M800,tech_name,0))),"Technicien inconnu",IF(AND(I800="Terminée",S800&gt;p_today),"Terminée à une date future",IF(AND(I800="Terminée",V800=0),"Durée d'intervention manquante",IF(AND(I800="Terminée",E800="Préventif",T800=0,OR(IFERROR(INDEX(pl_trig,MATCH(F800,pl_num,0))&amp;"","")="Compteur",IFERROR(INDEX(pl_trig,MATCH(F800,pl_num,0))&amp;"","")="Au premier des deux")),"Compteur manquant (plan au compteur)","OK"))))))))))))))))))</f>
        <v/>
      </c>
      <c r="S800" s="67">
        <f>IF(AND(ISNUMBER(B800),N(B800)&gt;0),INT(B800),0)</f>
        <v>0.0</v>
      </c>
      <c r="T800" s="67">
        <f>IF(AND(ISNUMBER(J800),N(J800)&gt;=0),N(J800),0)</f>
        <v>0.0</v>
      </c>
      <c r="U800" s="67">
        <f>IF(AND(ISNUMBER(K800),N(K800)&gt;0),N(K800),0)</f>
        <v>0.0</v>
      </c>
      <c r="V800" s="67">
        <f>IF(AND(ISNUMBER(L800),N(L800)&gt;0),N(L800),0)</f>
        <v>0.0</v>
      </c>
      <c r="W800" s="67">
        <f>IF(AND(I800="Terminée",S800&gt;0,C800&lt;&gt;"",ISNUMBER(MATCH(C800,eq_code,0))),1,0)</f>
        <v>0.0</v>
      </c>
      <c r="X800" s="67">
        <f>IF(AND(W800=1,E800="Préventif"),1,0)</f>
        <v>0.0</v>
      </c>
      <c r="Y800" s="67">
        <f>IF(AND(ISNUMBER(N800),N(N800)&gt;0),N(N800),0)</f>
        <v>0.0</v>
      </c>
      <c r="Z800" s="67">
        <f>IF(AND(ISNUMBER(P800),N(P800)&gt;0),N(P800),0)</f>
        <v>0.0</v>
      </c>
    </row>
    <row r="801">
      <c r="A801" s="79" t="str">
        <f>IF(COUNTA(B801:C801,E801:G801,I801)=0,"","BI-"&amp;RIGHT("0000"&amp;(ROW()-5),4))</f>
        <v/>
      </c>
      <c r="B801" s="72" t="n"/>
      <c r="C801" s="66" t="n"/>
      <c r="D801" s="67" t="str">
        <f>IF(C801="","",IFERROR(INDEX(eq_des,MATCH(C801,eq_code,0))&amp;"","Équipement inconnu"))</f>
        <v/>
      </c>
      <c r="E801" s="68" t="n"/>
      <c r="F801" s="68" t="n"/>
      <c r="G801" s="66" t="n"/>
      <c r="H801" s="66" t="n"/>
      <c r="I801" s="68" t="n"/>
      <c r="J801" s="73" t="n"/>
      <c r="K801" s="71" t="n"/>
      <c r="L801" s="71" t="n"/>
      <c r="M801" s="66" t="n"/>
      <c r="N801" s="80" t="n"/>
      <c r="O801" s="81" t="str">
        <f>IF(A801="","",ROUND(V801*IFERROR(N(INDEX(tech_rate,MATCH(M801,tech_name,0))),0),2))</f>
        <v/>
      </c>
      <c r="P801" s="80" t="n"/>
      <c r="Q801" s="81" t="str">
        <f>IF(A801="","",ROUND(Y801+O801+Z801,2))</f>
        <v/>
      </c>
      <c r="R801" s="79" t="str">
        <f>IF(A801="","",IF(S801=0,"Date manquante ou invalide",IF(C801="","Équipement manquant",IF(ISNA(MATCH(C801,eq_code,0)),"Équipement inconnu",IF(E801="","Type manquant",IF(AND(E801&lt;&gt;"Préventif",E801&lt;&gt;"Correctif",E801&lt;&gt;"Amélioratif"),"Type inconnu",IF(I801="","Statut manquant",IF(AND(I801&lt;&gt;"Terminée",I801&lt;&gt;"En cours",I801&lt;&gt;"À faire",I801&lt;&gt;"Annulée"),"Statut inconnu",IF(AND(E801="Préventif",F801=""),"Plan manquant (préventif)",IF(AND(F801&lt;&gt;"",ISNA(MATCH(F801,pl_num,0))),"Plan inconnu",IF(AND(F801&lt;&gt;"",IFERROR(INDEX(pl_eq,MATCH(F801,pl_num,0))&amp;"",C801)&lt;&gt;C801),"Plan d'un autre équipement",IF(AND(J801&lt;&gt;"",OR(NOT(ISNUMBER(J801)),N(J801)&lt;0)),"Compteur invalide",IF(OR(AND(K801&lt;&gt;"",OR(NOT(ISNUMBER(K801)),N(K801)&lt;0)),AND(L801&lt;&gt;"",OR(NOT(ISNUMBER(L801)),N(L801)&lt;0))),"Durée invalide",IF(OR(AND(N801&lt;&gt;"",OR(NOT(ISNUMBER(N801)),N(N801)&lt;0)),AND(P801&lt;&gt;"",OR(NOT(ISNUMBER(P801)),N(P801)&lt;0))),"Coût invalide",IF(AND(M801&lt;&gt;"",ISNA(MATCH(M801,tech_name,0))),"Technicien inconnu",IF(AND(I801="Terminée",S801&gt;p_today),"Terminée à une date future",IF(AND(I801="Terminée",V801=0),"Durée d'intervention manquante",IF(AND(I801="Terminée",E801="Préventif",T801=0,OR(IFERROR(INDEX(pl_trig,MATCH(F801,pl_num,0))&amp;"","")="Compteur",IFERROR(INDEX(pl_trig,MATCH(F801,pl_num,0))&amp;"","")="Au premier des deux")),"Compteur manquant (plan au compteur)","OK"))))))))))))))))))</f>
        <v/>
      </c>
      <c r="S801" s="67">
        <f>IF(AND(ISNUMBER(B801),N(B801)&gt;0),INT(B801),0)</f>
        <v>0.0</v>
      </c>
      <c r="T801" s="67">
        <f>IF(AND(ISNUMBER(J801),N(J801)&gt;=0),N(J801),0)</f>
        <v>0.0</v>
      </c>
      <c r="U801" s="67">
        <f>IF(AND(ISNUMBER(K801),N(K801)&gt;0),N(K801),0)</f>
        <v>0.0</v>
      </c>
      <c r="V801" s="67">
        <f>IF(AND(ISNUMBER(L801),N(L801)&gt;0),N(L801),0)</f>
        <v>0.0</v>
      </c>
      <c r="W801" s="67">
        <f>IF(AND(I801="Terminée",S801&gt;0,C801&lt;&gt;"",ISNUMBER(MATCH(C801,eq_code,0))),1,0)</f>
        <v>0.0</v>
      </c>
      <c r="X801" s="67">
        <f>IF(AND(W801=1,E801="Préventif"),1,0)</f>
        <v>0.0</v>
      </c>
      <c r="Y801" s="67">
        <f>IF(AND(ISNUMBER(N801),N(N801)&gt;0),N(N801),0)</f>
        <v>0.0</v>
      </c>
      <c r="Z801" s="67">
        <f>IF(AND(ISNUMBER(P801),N(P801)&gt;0),N(P801),0)</f>
        <v>0.0</v>
      </c>
    </row>
    <row r="802">
      <c r="A802" s="79" t="str">
        <f>IF(COUNTA(B802:C802,E802:G802,I802)=0,"","BI-"&amp;RIGHT("0000"&amp;(ROW()-5),4))</f>
        <v/>
      </c>
      <c r="B802" s="72" t="n"/>
      <c r="C802" s="66" t="n"/>
      <c r="D802" s="67" t="str">
        <f>IF(C802="","",IFERROR(INDEX(eq_des,MATCH(C802,eq_code,0))&amp;"","Équipement inconnu"))</f>
        <v/>
      </c>
      <c r="E802" s="68" t="n"/>
      <c r="F802" s="68" t="n"/>
      <c r="G802" s="66" t="n"/>
      <c r="H802" s="66" t="n"/>
      <c r="I802" s="68" t="n"/>
      <c r="J802" s="73" t="n"/>
      <c r="K802" s="71" t="n"/>
      <c r="L802" s="71" t="n"/>
      <c r="M802" s="66" t="n"/>
      <c r="N802" s="80" t="n"/>
      <c r="O802" s="81" t="str">
        <f>IF(A802="","",ROUND(V802*IFERROR(N(INDEX(tech_rate,MATCH(M802,tech_name,0))),0),2))</f>
        <v/>
      </c>
      <c r="P802" s="80" t="n"/>
      <c r="Q802" s="81" t="str">
        <f>IF(A802="","",ROUND(Y802+O802+Z802,2))</f>
        <v/>
      </c>
      <c r="R802" s="79" t="str">
        <f>IF(A802="","",IF(S802=0,"Date manquante ou invalide",IF(C802="","Équipement manquant",IF(ISNA(MATCH(C802,eq_code,0)),"Équipement inconnu",IF(E802="","Type manquant",IF(AND(E802&lt;&gt;"Préventif",E802&lt;&gt;"Correctif",E802&lt;&gt;"Amélioratif"),"Type inconnu",IF(I802="","Statut manquant",IF(AND(I802&lt;&gt;"Terminée",I802&lt;&gt;"En cours",I802&lt;&gt;"À faire",I802&lt;&gt;"Annulée"),"Statut inconnu",IF(AND(E802="Préventif",F802=""),"Plan manquant (préventif)",IF(AND(F802&lt;&gt;"",ISNA(MATCH(F802,pl_num,0))),"Plan inconnu",IF(AND(F802&lt;&gt;"",IFERROR(INDEX(pl_eq,MATCH(F802,pl_num,0))&amp;"",C802)&lt;&gt;C802),"Plan d'un autre équipement",IF(AND(J802&lt;&gt;"",OR(NOT(ISNUMBER(J802)),N(J802)&lt;0)),"Compteur invalide",IF(OR(AND(K802&lt;&gt;"",OR(NOT(ISNUMBER(K802)),N(K802)&lt;0)),AND(L802&lt;&gt;"",OR(NOT(ISNUMBER(L802)),N(L802)&lt;0))),"Durée invalide",IF(OR(AND(N802&lt;&gt;"",OR(NOT(ISNUMBER(N802)),N(N802)&lt;0)),AND(P802&lt;&gt;"",OR(NOT(ISNUMBER(P802)),N(P802)&lt;0))),"Coût invalide",IF(AND(M802&lt;&gt;"",ISNA(MATCH(M802,tech_name,0))),"Technicien inconnu",IF(AND(I802="Terminée",S802&gt;p_today),"Terminée à une date future",IF(AND(I802="Terminée",V802=0),"Durée d'intervention manquante",IF(AND(I802="Terminée",E802="Préventif",T802=0,OR(IFERROR(INDEX(pl_trig,MATCH(F802,pl_num,0))&amp;"","")="Compteur",IFERROR(INDEX(pl_trig,MATCH(F802,pl_num,0))&amp;"","")="Au premier des deux")),"Compteur manquant (plan au compteur)","OK"))))))))))))))))))</f>
        <v/>
      </c>
      <c r="S802" s="67">
        <f>IF(AND(ISNUMBER(B802),N(B802)&gt;0),INT(B802),0)</f>
        <v>0.0</v>
      </c>
      <c r="T802" s="67">
        <f>IF(AND(ISNUMBER(J802),N(J802)&gt;=0),N(J802),0)</f>
        <v>0.0</v>
      </c>
      <c r="U802" s="67">
        <f>IF(AND(ISNUMBER(K802),N(K802)&gt;0),N(K802),0)</f>
        <v>0.0</v>
      </c>
      <c r="V802" s="67">
        <f>IF(AND(ISNUMBER(L802),N(L802)&gt;0),N(L802),0)</f>
        <v>0.0</v>
      </c>
      <c r="W802" s="67">
        <f>IF(AND(I802="Terminée",S802&gt;0,C802&lt;&gt;"",ISNUMBER(MATCH(C802,eq_code,0))),1,0)</f>
        <v>0.0</v>
      </c>
      <c r="X802" s="67">
        <f>IF(AND(W802=1,E802="Préventif"),1,0)</f>
        <v>0.0</v>
      </c>
      <c r="Y802" s="67">
        <f>IF(AND(ISNUMBER(N802),N(N802)&gt;0),N(N802),0)</f>
        <v>0.0</v>
      </c>
      <c r="Z802" s="67">
        <f>IF(AND(ISNUMBER(P802),N(P802)&gt;0),N(P802),0)</f>
        <v>0.0</v>
      </c>
    </row>
    <row r="803">
      <c r="A803" s="79" t="str">
        <f>IF(COUNTA(B803:C803,E803:G803,I803)=0,"","BI-"&amp;RIGHT("0000"&amp;(ROW()-5),4))</f>
        <v/>
      </c>
      <c r="B803" s="72" t="n"/>
      <c r="C803" s="66" t="n"/>
      <c r="D803" s="67" t="str">
        <f>IF(C803="","",IFERROR(INDEX(eq_des,MATCH(C803,eq_code,0))&amp;"","Équipement inconnu"))</f>
        <v/>
      </c>
      <c r="E803" s="68" t="n"/>
      <c r="F803" s="68" t="n"/>
      <c r="G803" s="66" t="n"/>
      <c r="H803" s="66" t="n"/>
      <c r="I803" s="68" t="n"/>
      <c r="J803" s="73" t="n"/>
      <c r="K803" s="71" t="n"/>
      <c r="L803" s="71" t="n"/>
      <c r="M803" s="66" t="n"/>
      <c r="N803" s="80" t="n"/>
      <c r="O803" s="81" t="str">
        <f>IF(A803="","",ROUND(V803*IFERROR(N(INDEX(tech_rate,MATCH(M803,tech_name,0))),0),2))</f>
        <v/>
      </c>
      <c r="P803" s="80" t="n"/>
      <c r="Q803" s="81" t="str">
        <f>IF(A803="","",ROUND(Y803+O803+Z803,2))</f>
        <v/>
      </c>
      <c r="R803" s="79" t="str">
        <f>IF(A803="","",IF(S803=0,"Date manquante ou invalide",IF(C803="","Équipement manquant",IF(ISNA(MATCH(C803,eq_code,0)),"Équipement inconnu",IF(E803="","Type manquant",IF(AND(E803&lt;&gt;"Préventif",E803&lt;&gt;"Correctif",E803&lt;&gt;"Amélioratif"),"Type inconnu",IF(I803="","Statut manquant",IF(AND(I803&lt;&gt;"Terminée",I803&lt;&gt;"En cours",I803&lt;&gt;"À faire",I803&lt;&gt;"Annulée"),"Statut inconnu",IF(AND(E803="Préventif",F803=""),"Plan manquant (préventif)",IF(AND(F803&lt;&gt;"",ISNA(MATCH(F803,pl_num,0))),"Plan inconnu",IF(AND(F803&lt;&gt;"",IFERROR(INDEX(pl_eq,MATCH(F803,pl_num,0))&amp;"",C803)&lt;&gt;C803),"Plan d'un autre équipement",IF(AND(J803&lt;&gt;"",OR(NOT(ISNUMBER(J803)),N(J803)&lt;0)),"Compteur invalide",IF(OR(AND(K803&lt;&gt;"",OR(NOT(ISNUMBER(K803)),N(K803)&lt;0)),AND(L803&lt;&gt;"",OR(NOT(ISNUMBER(L803)),N(L803)&lt;0))),"Durée invalide",IF(OR(AND(N803&lt;&gt;"",OR(NOT(ISNUMBER(N803)),N(N803)&lt;0)),AND(P803&lt;&gt;"",OR(NOT(ISNUMBER(P803)),N(P803)&lt;0))),"Coût invalide",IF(AND(M803&lt;&gt;"",ISNA(MATCH(M803,tech_name,0))),"Technicien inconnu",IF(AND(I803="Terminée",S803&gt;p_today),"Terminée à une date future",IF(AND(I803="Terminée",V803=0),"Durée d'intervention manquante",IF(AND(I803="Terminée",E803="Préventif",T803=0,OR(IFERROR(INDEX(pl_trig,MATCH(F803,pl_num,0))&amp;"","")="Compteur",IFERROR(INDEX(pl_trig,MATCH(F803,pl_num,0))&amp;"","")="Au premier des deux")),"Compteur manquant (plan au compteur)","OK"))))))))))))))))))</f>
        <v/>
      </c>
      <c r="S803" s="67">
        <f>IF(AND(ISNUMBER(B803),N(B803)&gt;0),INT(B803),0)</f>
        <v>0.0</v>
      </c>
      <c r="T803" s="67">
        <f>IF(AND(ISNUMBER(J803),N(J803)&gt;=0),N(J803),0)</f>
        <v>0.0</v>
      </c>
      <c r="U803" s="67">
        <f>IF(AND(ISNUMBER(K803),N(K803)&gt;0),N(K803),0)</f>
        <v>0.0</v>
      </c>
      <c r="V803" s="67">
        <f>IF(AND(ISNUMBER(L803),N(L803)&gt;0),N(L803),0)</f>
        <v>0.0</v>
      </c>
      <c r="W803" s="67">
        <f>IF(AND(I803="Terminée",S803&gt;0,C803&lt;&gt;"",ISNUMBER(MATCH(C803,eq_code,0))),1,0)</f>
        <v>0.0</v>
      </c>
      <c r="X803" s="67">
        <f>IF(AND(W803=1,E803="Préventif"),1,0)</f>
        <v>0.0</v>
      </c>
      <c r="Y803" s="67">
        <f>IF(AND(ISNUMBER(N803),N(N803)&gt;0),N(N803),0)</f>
        <v>0.0</v>
      </c>
      <c r="Z803" s="67">
        <f>IF(AND(ISNUMBER(P803),N(P803)&gt;0),N(P803),0)</f>
        <v>0.0</v>
      </c>
    </row>
    <row r="804">
      <c r="A804" s="79" t="str">
        <f>IF(COUNTA(B804:C804,E804:G804,I804)=0,"","BI-"&amp;RIGHT("0000"&amp;(ROW()-5),4))</f>
        <v/>
      </c>
      <c r="B804" s="72" t="n"/>
      <c r="C804" s="66" t="n"/>
      <c r="D804" s="67" t="str">
        <f>IF(C804="","",IFERROR(INDEX(eq_des,MATCH(C804,eq_code,0))&amp;"","Équipement inconnu"))</f>
        <v/>
      </c>
      <c r="E804" s="68" t="n"/>
      <c r="F804" s="68" t="n"/>
      <c r="G804" s="66" t="n"/>
      <c r="H804" s="66" t="n"/>
      <c r="I804" s="68" t="n"/>
      <c r="J804" s="73" t="n"/>
      <c r="K804" s="71" t="n"/>
      <c r="L804" s="71" t="n"/>
      <c r="M804" s="66" t="n"/>
      <c r="N804" s="80" t="n"/>
      <c r="O804" s="81" t="str">
        <f>IF(A804="","",ROUND(V804*IFERROR(N(INDEX(tech_rate,MATCH(M804,tech_name,0))),0),2))</f>
        <v/>
      </c>
      <c r="P804" s="80" t="n"/>
      <c r="Q804" s="81" t="str">
        <f>IF(A804="","",ROUND(Y804+O804+Z804,2))</f>
        <v/>
      </c>
      <c r="R804" s="79" t="str">
        <f>IF(A804="","",IF(S804=0,"Date manquante ou invalide",IF(C804="","Équipement manquant",IF(ISNA(MATCH(C804,eq_code,0)),"Équipement inconnu",IF(E804="","Type manquant",IF(AND(E804&lt;&gt;"Préventif",E804&lt;&gt;"Correctif",E804&lt;&gt;"Amélioratif"),"Type inconnu",IF(I804="","Statut manquant",IF(AND(I804&lt;&gt;"Terminée",I804&lt;&gt;"En cours",I804&lt;&gt;"À faire",I804&lt;&gt;"Annulée"),"Statut inconnu",IF(AND(E804="Préventif",F804=""),"Plan manquant (préventif)",IF(AND(F804&lt;&gt;"",ISNA(MATCH(F804,pl_num,0))),"Plan inconnu",IF(AND(F804&lt;&gt;"",IFERROR(INDEX(pl_eq,MATCH(F804,pl_num,0))&amp;"",C804)&lt;&gt;C804),"Plan d'un autre équipement",IF(AND(J804&lt;&gt;"",OR(NOT(ISNUMBER(J804)),N(J804)&lt;0)),"Compteur invalide",IF(OR(AND(K804&lt;&gt;"",OR(NOT(ISNUMBER(K804)),N(K804)&lt;0)),AND(L804&lt;&gt;"",OR(NOT(ISNUMBER(L804)),N(L804)&lt;0))),"Durée invalide",IF(OR(AND(N804&lt;&gt;"",OR(NOT(ISNUMBER(N804)),N(N804)&lt;0)),AND(P804&lt;&gt;"",OR(NOT(ISNUMBER(P804)),N(P804)&lt;0))),"Coût invalide",IF(AND(M804&lt;&gt;"",ISNA(MATCH(M804,tech_name,0))),"Technicien inconnu",IF(AND(I804="Terminée",S804&gt;p_today),"Terminée à une date future",IF(AND(I804="Terminée",V804=0),"Durée d'intervention manquante",IF(AND(I804="Terminée",E804="Préventif",T804=0,OR(IFERROR(INDEX(pl_trig,MATCH(F804,pl_num,0))&amp;"","")="Compteur",IFERROR(INDEX(pl_trig,MATCH(F804,pl_num,0))&amp;"","")="Au premier des deux")),"Compteur manquant (plan au compteur)","OK"))))))))))))))))))</f>
        <v/>
      </c>
      <c r="S804" s="67">
        <f>IF(AND(ISNUMBER(B804),N(B804)&gt;0),INT(B804),0)</f>
        <v>0.0</v>
      </c>
      <c r="T804" s="67">
        <f>IF(AND(ISNUMBER(J804),N(J804)&gt;=0),N(J804),0)</f>
        <v>0.0</v>
      </c>
      <c r="U804" s="67">
        <f>IF(AND(ISNUMBER(K804),N(K804)&gt;0),N(K804),0)</f>
        <v>0.0</v>
      </c>
      <c r="V804" s="67">
        <f>IF(AND(ISNUMBER(L804),N(L804)&gt;0),N(L804),0)</f>
        <v>0.0</v>
      </c>
      <c r="W804" s="67">
        <f>IF(AND(I804="Terminée",S804&gt;0,C804&lt;&gt;"",ISNUMBER(MATCH(C804,eq_code,0))),1,0)</f>
        <v>0.0</v>
      </c>
      <c r="X804" s="67">
        <f>IF(AND(W804=1,E804="Préventif"),1,0)</f>
        <v>0.0</v>
      </c>
      <c r="Y804" s="67">
        <f>IF(AND(ISNUMBER(N804),N(N804)&gt;0),N(N804),0)</f>
        <v>0.0</v>
      </c>
      <c r="Z804" s="67">
        <f>IF(AND(ISNUMBER(P804),N(P804)&gt;0),N(P804),0)</f>
        <v>0.0</v>
      </c>
    </row>
    <row r="805">
      <c r="A805" s="79" t="str">
        <f>IF(COUNTA(B805:C805,E805:G805,I805)=0,"","BI-"&amp;RIGHT("0000"&amp;(ROW()-5),4))</f>
        <v/>
      </c>
      <c r="B805" s="72" t="n"/>
      <c r="C805" s="66" t="n"/>
      <c r="D805" s="67" t="str">
        <f>IF(C805="","",IFERROR(INDEX(eq_des,MATCH(C805,eq_code,0))&amp;"","Équipement inconnu"))</f>
        <v/>
      </c>
      <c r="E805" s="68" t="n"/>
      <c r="F805" s="68" t="n"/>
      <c r="G805" s="66" t="n"/>
      <c r="H805" s="66" t="n"/>
      <c r="I805" s="68" t="n"/>
      <c r="J805" s="73" t="n"/>
      <c r="K805" s="71" t="n"/>
      <c r="L805" s="71" t="n"/>
      <c r="M805" s="66" t="n"/>
      <c r="N805" s="80" t="n"/>
      <c r="O805" s="81" t="str">
        <f>IF(A805="","",ROUND(V805*IFERROR(N(INDEX(tech_rate,MATCH(M805,tech_name,0))),0),2))</f>
        <v/>
      </c>
      <c r="P805" s="80" t="n"/>
      <c r="Q805" s="81" t="str">
        <f>IF(A805="","",ROUND(Y805+O805+Z805,2))</f>
        <v/>
      </c>
      <c r="R805" s="79" t="str">
        <f>IF(A805="","",IF(S805=0,"Date manquante ou invalide",IF(C805="","Équipement manquant",IF(ISNA(MATCH(C805,eq_code,0)),"Équipement inconnu",IF(E805="","Type manquant",IF(AND(E805&lt;&gt;"Préventif",E805&lt;&gt;"Correctif",E805&lt;&gt;"Amélioratif"),"Type inconnu",IF(I805="","Statut manquant",IF(AND(I805&lt;&gt;"Terminée",I805&lt;&gt;"En cours",I805&lt;&gt;"À faire",I805&lt;&gt;"Annulée"),"Statut inconnu",IF(AND(E805="Préventif",F805=""),"Plan manquant (préventif)",IF(AND(F805&lt;&gt;"",ISNA(MATCH(F805,pl_num,0))),"Plan inconnu",IF(AND(F805&lt;&gt;"",IFERROR(INDEX(pl_eq,MATCH(F805,pl_num,0))&amp;"",C805)&lt;&gt;C805),"Plan d'un autre équipement",IF(AND(J805&lt;&gt;"",OR(NOT(ISNUMBER(J805)),N(J805)&lt;0)),"Compteur invalide",IF(OR(AND(K805&lt;&gt;"",OR(NOT(ISNUMBER(K805)),N(K805)&lt;0)),AND(L805&lt;&gt;"",OR(NOT(ISNUMBER(L805)),N(L805)&lt;0))),"Durée invalide",IF(OR(AND(N805&lt;&gt;"",OR(NOT(ISNUMBER(N805)),N(N805)&lt;0)),AND(P805&lt;&gt;"",OR(NOT(ISNUMBER(P805)),N(P805)&lt;0))),"Coût invalide",IF(AND(M805&lt;&gt;"",ISNA(MATCH(M805,tech_name,0))),"Technicien inconnu",IF(AND(I805="Terminée",S805&gt;p_today),"Terminée à une date future",IF(AND(I805="Terminée",V805=0),"Durée d'intervention manquante",IF(AND(I805="Terminée",E805="Préventif",T805=0,OR(IFERROR(INDEX(pl_trig,MATCH(F805,pl_num,0))&amp;"","")="Compteur",IFERROR(INDEX(pl_trig,MATCH(F805,pl_num,0))&amp;"","")="Au premier des deux")),"Compteur manquant (plan au compteur)","OK"))))))))))))))))))</f>
        <v/>
      </c>
      <c r="S805" s="67">
        <f>IF(AND(ISNUMBER(B805),N(B805)&gt;0),INT(B805),0)</f>
        <v>0.0</v>
      </c>
      <c r="T805" s="67">
        <f>IF(AND(ISNUMBER(J805),N(J805)&gt;=0),N(J805),0)</f>
        <v>0.0</v>
      </c>
      <c r="U805" s="67">
        <f>IF(AND(ISNUMBER(K805),N(K805)&gt;0),N(K805),0)</f>
        <v>0.0</v>
      </c>
      <c r="V805" s="67">
        <f>IF(AND(ISNUMBER(L805),N(L805)&gt;0),N(L805),0)</f>
        <v>0.0</v>
      </c>
      <c r="W805" s="67">
        <f>IF(AND(I805="Terminée",S805&gt;0,C805&lt;&gt;"",ISNUMBER(MATCH(C805,eq_code,0))),1,0)</f>
        <v>0.0</v>
      </c>
      <c r="X805" s="67">
        <f>IF(AND(W805=1,E805="Préventif"),1,0)</f>
        <v>0.0</v>
      </c>
      <c r="Y805" s="67">
        <f>IF(AND(ISNUMBER(N805),N(N805)&gt;0),N(N805),0)</f>
        <v>0.0</v>
      </c>
      <c r="Z805" s="67">
        <f>IF(AND(ISNUMBER(P805),N(P805)&gt;0),N(P805),0)</f>
        <v>0.0</v>
      </c>
    </row>
    <row r="806">
      <c r="A806" s="79" t="str">
        <f>IF(COUNTA(B806:C806,E806:G806,I806)=0,"","BI-"&amp;RIGHT("0000"&amp;(ROW()-5),4))</f>
        <v/>
      </c>
      <c r="B806" s="72" t="n"/>
      <c r="C806" s="66" t="n"/>
      <c r="D806" s="67" t="str">
        <f>IF(C806="","",IFERROR(INDEX(eq_des,MATCH(C806,eq_code,0))&amp;"","Équipement inconnu"))</f>
        <v/>
      </c>
      <c r="E806" s="68" t="n"/>
      <c r="F806" s="68" t="n"/>
      <c r="G806" s="66" t="n"/>
      <c r="H806" s="66" t="n"/>
      <c r="I806" s="68" t="n"/>
      <c r="J806" s="73" t="n"/>
      <c r="K806" s="71" t="n"/>
      <c r="L806" s="71" t="n"/>
      <c r="M806" s="66" t="n"/>
      <c r="N806" s="80" t="n"/>
      <c r="O806" s="81" t="str">
        <f>IF(A806="","",ROUND(V806*IFERROR(N(INDEX(tech_rate,MATCH(M806,tech_name,0))),0),2))</f>
        <v/>
      </c>
      <c r="P806" s="80" t="n"/>
      <c r="Q806" s="81" t="str">
        <f>IF(A806="","",ROUND(Y806+O806+Z806,2))</f>
        <v/>
      </c>
      <c r="R806" s="79" t="str">
        <f>IF(A806="","",IF(S806=0,"Date manquante ou invalide",IF(C806="","Équipement manquant",IF(ISNA(MATCH(C806,eq_code,0)),"Équipement inconnu",IF(E806="","Type manquant",IF(AND(E806&lt;&gt;"Préventif",E806&lt;&gt;"Correctif",E806&lt;&gt;"Amélioratif"),"Type inconnu",IF(I806="","Statut manquant",IF(AND(I806&lt;&gt;"Terminée",I806&lt;&gt;"En cours",I806&lt;&gt;"À faire",I806&lt;&gt;"Annulée"),"Statut inconnu",IF(AND(E806="Préventif",F806=""),"Plan manquant (préventif)",IF(AND(F806&lt;&gt;"",ISNA(MATCH(F806,pl_num,0))),"Plan inconnu",IF(AND(F806&lt;&gt;"",IFERROR(INDEX(pl_eq,MATCH(F806,pl_num,0))&amp;"",C806)&lt;&gt;C806),"Plan d'un autre équipement",IF(AND(J806&lt;&gt;"",OR(NOT(ISNUMBER(J806)),N(J806)&lt;0)),"Compteur invalide",IF(OR(AND(K806&lt;&gt;"",OR(NOT(ISNUMBER(K806)),N(K806)&lt;0)),AND(L806&lt;&gt;"",OR(NOT(ISNUMBER(L806)),N(L806)&lt;0))),"Durée invalide",IF(OR(AND(N806&lt;&gt;"",OR(NOT(ISNUMBER(N806)),N(N806)&lt;0)),AND(P806&lt;&gt;"",OR(NOT(ISNUMBER(P806)),N(P806)&lt;0))),"Coût invalide",IF(AND(M806&lt;&gt;"",ISNA(MATCH(M806,tech_name,0))),"Technicien inconnu",IF(AND(I806="Terminée",S806&gt;p_today),"Terminée à une date future",IF(AND(I806="Terminée",V806=0),"Durée d'intervention manquante",IF(AND(I806="Terminée",E806="Préventif",T806=0,OR(IFERROR(INDEX(pl_trig,MATCH(F806,pl_num,0))&amp;"","")="Compteur",IFERROR(INDEX(pl_trig,MATCH(F806,pl_num,0))&amp;"","")="Au premier des deux")),"Compteur manquant (plan au compteur)","OK"))))))))))))))))))</f>
        <v/>
      </c>
      <c r="S806" s="67">
        <f>IF(AND(ISNUMBER(B806),N(B806)&gt;0),INT(B806),0)</f>
        <v>0.0</v>
      </c>
      <c r="T806" s="67">
        <f>IF(AND(ISNUMBER(J806),N(J806)&gt;=0),N(J806),0)</f>
        <v>0.0</v>
      </c>
      <c r="U806" s="67">
        <f>IF(AND(ISNUMBER(K806),N(K806)&gt;0),N(K806),0)</f>
        <v>0.0</v>
      </c>
      <c r="V806" s="67">
        <f>IF(AND(ISNUMBER(L806),N(L806)&gt;0),N(L806),0)</f>
        <v>0.0</v>
      </c>
      <c r="W806" s="67">
        <f>IF(AND(I806="Terminée",S806&gt;0,C806&lt;&gt;"",ISNUMBER(MATCH(C806,eq_code,0))),1,0)</f>
        <v>0.0</v>
      </c>
      <c r="X806" s="67">
        <f>IF(AND(W806=1,E806="Préventif"),1,0)</f>
        <v>0.0</v>
      </c>
      <c r="Y806" s="67">
        <f>IF(AND(ISNUMBER(N806),N(N806)&gt;0),N(N806),0)</f>
        <v>0.0</v>
      </c>
      <c r="Z806" s="67">
        <f>IF(AND(ISNUMBER(P806),N(P806)&gt;0),N(P806),0)</f>
        <v>0.0</v>
      </c>
    </row>
    <row r="807">
      <c r="A807" s="79" t="str">
        <f>IF(COUNTA(B807:C807,E807:G807,I807)=0,"","BI-"&amp;RIGHT("0000"&amp;(ROW()-5),4))</f>
        <v/>
      </c>
      <c r="B807" s="72" t="n"/>
      <c r="C807" s="66" t="n"/>
      <c r="D807" s="67" t="str">
        <f>IF(C807="","",IFERROR(INDEX(eq_des,MATCH(C807,eq_code,0))&amp;"","Équipement inconnu"))</f>
        <v/>
      </c>
      <c r="E807" s="68" t="n"/>
      <c r="F807" s="68" t="n"/>
      <c r="G807" s="66" t="n"/>
      <c r="H807" s="66" t="n"/>
      <c r="I807" s="68" t="n"/>
      <c r="J807" s="73" t="n"/>
      <c r="K807" s="71" t="n"/>
      <c r="L807" s="71" t="n"/>
      <c r="M807" s="66" t="n"/>
      <c r="N807" s="80" t="n"/>
      <c r="O807" s="81" t="str">
        <f>IF(A807="","",ROUND(V807*IFERROR(N(INDEX(tech_rate,MATCH(M807,tech_name,0))),0),2))</f>
        <v/>
      </c>
      <c r="P807" s="80" t="n"/>
      <c r="Q807" s="81" t="str">
        <f>IF(A807="","",ROUND(Y807+O807+Z807,2))</f>
        <v/>
      </c>
      <c r="R807" s="79" t="str">
        <f>IF(A807="","",IF(S807=0,"Date manquante ou invalide",IF(C807="","Équipement manquant",IF(ISNA(MATCH(C807,eq_code,0)),"Équipement inconnu",IF(E807="","Type manquant",IF(AND(E807&lt;&gt;"Préventif",E807&lt;&gt;"Correctif",E807&lt;&gt;"Amélioratif"),"Type inconnu",IF(I807="","Statut manquant",IF(AND(I807&lt;&gt;"Terminée",I807&lt;&gt;"En cours",I807&lt;&gt;"À faire",I807&lt;&gt;"Annulée"),"Statut inconnu",IF(AND(E807="Préventif",F807=""),"Plan manquant (préventif)",IF(AND(F807&lt;&gt;"",ISNA(MATCH(F807,pl_num,0))),"Plan inconnu",IF(AND(F807&lt;&gt;"",IFERROR(INDEX(pl_eq,MATCH(F807,pl_num,0))&amp;"",C807)&lt;&gt;C807),"Plan d'un autre équipement",IF(AND(J807&lt;&gt;"",OR(NOT(ISNUMBER(J807)),N(J807)&lt;0)),"Compteur invalide",IF(OR(AND(K807&lt;&gt;"",OR(NOT(ISNUMBER(K807)),N(K807)&lt;0)),AND(L807&lt;&gt;"",OR(NOT(ISNUMBER(L807)),N(L807)&lt;0))),"Durée invalide",IF(OR(AND(N807&lt;&gt;"",OR(NOT(ISNUMBER(N807)),N(N807)&lt;0)),AND(P807&lt;&gt;"",OR(NOT(ISNUMBER(P807)),N(P807)&lt;0))),"Coût invalide",IF(AND(M807&lt;&gt;"",ISNA(MATCH(M807,tech_name,0))),"Technicien inconnu",IF(AND(I807="Terminée",S807&gt;p_today),"Terminée à une date future",IF(AND(I807="Terminée",V807=0),"Durée d'intervention manquante",IF(AND(I807="Terminée",E807="Préventif",T807=0,OR(IFERROR(INDEX(pl_trig,MATCH(F807,pl_num,0))&amp;"","")="Compteur",IFERROR(INDEX(pl_trig,MATCH(F807,pl_num,0))&amp;"","")="Au premier des deux")),"Compteur manquant (plan au compteur)","OK"))))))))))))))))))</f>
        <v/>
      </c>
      <c r="S807" s="67">
        <f>IF(AND(ISNUMBER(B807),N(B807)&gt;0),INT(B807),0)</f>
        <v>0.0</v>
      </c>
      <c r="T807" s="67">
        <f>IF(AND(ISNUMBER(J807),N(J807)&gt;=0),N(J807),0)</f>
        <v>0.0</v>
      </c>
      <c r="U807" s="67">
        <f>IF(AND(ISNUMBER(K807),N(K807)&gt;0),N(K807),0)</f>
        <v>0.0</v>
      </c>
      <c r="V807" s="67">
        <f>IF(AND(ISNUMBER(L807),N(L807)&gt;0),N(L807),0)</f>
        <v>0.0</v>
      </c>
      <c r="W807" s="67">
        <f>IF(AND(I807="Terminée",S807&gt;0,C807&lt;&gt;"",ISNUMBER(MATCH(C807,eq_code,0))),1,0)</f>
        <v>0.0</v>
      </c>
      <c r="X807" s="67">
        <f>IF(AND(W807=1,E807="Préventif"),1,0)</f>
        <v>0.0</v>
      </c>
      <c r="Y807" s="67">
        <f>IF(AND(ISNUMBER(N807),N(N807)&gt;0),N(N807),0)</f>
        <v>0.0</v>
      </c>
      <c r="Z807" s="67">
        <f>IF(AND(ISNUMBER(P807),N(P807)&gt;0),N(P807),0)</f>
        <v>0.0</v>
      </c>
    </row>
    <row r="808">
      <c r="A808" s="79" t="str">
        <f>IF(COUNTA(B808:C808,E808:G808,I808)=0,"","BI-"&amp;RIGHT("0000"&amp;(ROW()-5),4))</f>
        <v/>
      </c>
      <c r="B808" s="72" t="n"/>
      <c r="C808" s="66" t="n"/>
      <c r="D808" s="67" t="str">
        <f>IF(C808="","",IFERROR(INDEX(eq_des,MATCH(C808,eq_code,0))&amp;"","Équipement inconnu"))</f>
        <v/>
      </c>
      <c r="E808" s="68" t="n"/>
      <c r="F808" s="68" t="n"/>
      <c r="G808" s="66" t="n"/>
      <c r="H808" s="66" t="n"/>
      <c r="I808" s="68" t="n"/>
      <c r="J808" s="73" t="n"/>
      <c r="K808" s="71" t="n"/>
      <c r="L808" s="71" t="n"/>
      <c r="M808" s="66" t="n"/>
      <c r="N808" s="80" t="n"/>
      <c r="O808" s="81" t="str">
        <f>IF(A808="","",ROUND(V808*IFERROR(N(INDEX(tech_rate,MATCH(M808,tech_name,0))),0),2))</f>
        <v/>
      </c>
      <c r="P808" s="80" t="n"/>
      <c r="Q808" s="81" t="str">
        <f>IF(A808="","",ROUND(Y808+O808+Z808,2))</f>
        <v/>
      </c>
      <c r="R808" s="79" t="str">
        <f>IF(A808="","",IF(S808=0,"Date manquante ou invalide",IF(C808="","Équipement manquant",IF(ISNA(MATCH(C808,eq_code,0)),"Équipement inconnu",IF(E808="","Type manquant",IF(AND(E808&lt;&gt;"Préventif",E808&lt;&gt;"Correctif",E808&lt;&gt;"Amélioratif"),"Type inconnu",IF(I808="","Statut manquant",IF(AND(I808&lt;&gt;"Terminée",I808&lt;&gt;"En cours",I808&lt;&gt;"À faire",I808&lt;&gt;"Annulée"),"Statut inconnu",IF(AND(E808="Préventif",F808=""),"Plan manquant (préventif)",IF(AND(F808&lt;&gt;"",ISNA(MATCH(F808,pl_num,0))),"Plan inconnu",IF(AND(F808&lt;&gt;"",IFERROR(INDEX(pl_eq,MATCH(F808,pl_num,0))&amp;"",C808)&lt;&gt;C808),"Plan d'un autre équipement",IF(AND(J808&lt;&gt;"",OR(NOT(ISNUMBER(J808)),N(J808)&lt;0)),"Compteur invalide",IF(OR(AND(K808&lt;&gt;"",OR(NOT(ISNUMBER(K808)),N(K808)&lt;0)),AND(L808&lt;&gt;"",OR(NOT(ISNUMBER(L808)),N(L808)&lt;0))),"Durée invalide",IF(OR(AND(N808&lt;&gt;"",OR(NOT(ISNUMBER(N808)),N(N808)&lt;0)),AND(P808&lt;&gt;"",OR(NOT(ISNUMBER(P808)),N(P808)&lt;0))),"Coût invalide",IF(AND(M808&lt;&gt;"",ISNA(MATCH(M808,tech_name,0))),"Technicien inconnu",IF(AND(I808="Terminée",S808&gt;p_today),"Terminée à une date future",IF(AND(I808="Terminée",V808=0),"Durée d'intervention manquante",IF(AND(I808="Terminée",E808="Préventif",T808=0,OR(IFERROR(INDEX(pl_trig,MATCH(F808,pl_num,0))&amp;"","")="Compteur",IFERROR(INDEX(pl_trig,MATCH(F808,pl_num,0))&amp;"","")="Au premier des deux")),"Compteur manquant (plan au compteur)","OK"))))))))))))))))))</f>
        <v/>
      </c>
      <c r="S808" s="67">
        <f>IF(AND(ISNUMBER(B808),N(B808)&gt;0),INT(B808),0)</f>
        <v>0.0</v>
      </c>
      <c r="T808" s="67">
        <f>IF(AND(ISNUMBER(J808),N(J808)&gt;=0),N(J808),0)</f>
        <v>0.0</v>
      </c>
      <c r="U808" s="67">
        <f>IF(AND(ISNUMBER(K808),N(K808)&gt;0),N(K808),0)</f>
        <v>0.0</v>
      </c>
      <c r="V808" s="67">
        <f>IF(AND(ISNUMBER(L808),N(L808)&gt;0),N(L808),0)</f>
        <v>0.0</v>
      </c>
      <c r="W808" s="67">
        <f>IF(AND(I808="Terminée",S808&gt;0,C808&lt;&gt;"",ISNUMBER(MATCH(C808,eq_code,0))),1,0)</f>
        <v>0.0</v>
      </c>
      <c r="X808" s="67">
        <f>IF(AND(W808=1,E808="Préventif"),1,0)</f>
        <v>0.0</v>
      </c>
      <c r="Y808" s="67">
        <f>IF(AND(ISNUMBER(N808),N(N808)&gt;0),N(N808),0)</f>
        <v>0.0</v>
      </c>
      <c r="Z808" s="67">
        <f>IF(AND(ISNUMBER(P808),N(P808)&gt;0),N(P808),0)</f>
        <v>0.0</v>
      </c>
    </row>
    <row r="809">
      <c r="A809" s="79" t="str">
        <f>IF(COUNTA(B809:C809,E809:G809,I809)=0,"","BI-"&amp;RIGHT("0000"&amp;(ROW()-5),4))</f>
        <v/>
      </c>
      <c r="B809" s="72" t="n"/>
      <c r="C809" s="66" t="n"/>
      <c r="D809" s="67" t="str">
        <f>IF(C809="","",IFERROR(INDEX(eq_des,MATCH(C809,eq_code,0))&amp;"","Équipement inconnu"))</f>
        <v/>
      </c>
      <c r="E809" s="68" t="n"/>
      <c r="F809" s="68" t="n"/>
      <c r="G809" s="66" t="n"/>
      <c r="H809" s="66" t="n"/>
      <c r="I809" s="68" t="n"/>
      <c r="J809" s="73" t="n"/>
      <c r="K809" s="71" t="n"/>
      <c r="L809" s="71" t="n"/>
      <c r="M809" s="66" t="n"/>
      <c r="N809" s="80" t="n"/>
      <c r="O809" s="81" t="str">
        <f>IF(A809="","",ROUND(V809*IFERROR(N(INDEX(tech_rate,MATCH(M809,tech_name,0))),0),2))</f>
        <v/>
      </c>
      <c r="P809" s="80" t="n"/>
      <c r="Q809" s="81" t="str">
        <f>IF(A809="","",ROUND(Y809+O809+Z809,2))</f>
        <v/>
      </c>
      <c r="R809" s="79" t="str">
        <f>IF(A809="","",IF(S809=0,"Date manquante ou invalide",IF(C809="","Équipement manquant",IF(ISNA(MATCH(C809,eq_code,0)),"Équipement inconnu",IF(E809="","Type manquant",IF(AND(E809&lt;&gt;"Préventif",E809&lt;&gt;"Correctif",E809&lt;&gt;"Amélioratif"),"Type inconnu",IF(I809="","Statut manquant",IF(AND(I809&lt;&gt;"Terminée",I809&lt;&gt;"En cours",I809&lt;&gt;"À faire",I809&lt;&gt;"Annulée"),"Statut inconnu",IF(AND(E809="Préventif",F809=""),"Plan manquant (préventif)",IF(AND(F809&lt;&gt;"",ISNA(MATCH(F809,pl_num,0))),"Plan inconnu",IF(AND(F809&lt;&gt;"",IFERROR(INDEX(pl_eq,MATCH(F809,pl_num,0))&amp;"",C809)&lt;&gt;C809),"Plan d'un autre équipement",IF(AND(J809&lt;&gt;"",OR(NOT(ISNUMBER(J809)),N(J809)&lt;0)),"Compteur invalide",IF(OR(AND(K809&lt;&gt;"",OR(NOT(ISNUMBER(K809)),N(K809)&lt;0)),AND(L809&lt;&gt;"",OR(NOT(ISNUMBER(L809)),N(L809)&lt;0))),"Durée invalide",IF(OR(AND(N809&lt;&gt;"",OR(NOT(ISNUMBER(N809)),N(N809)&lt;0)),AND(P809&lt;&gt;"",OR(NOT(ISNUMBER(P809)),N(P809)&lt;0))),"Coût invalide",IF(AND(M809&lt;&gt;"",ISNA(MATCH(M809,tech_name,0))),"Technicien inconnu",IF(AND(I809="Terminée",S809&gt;p_today),"Terminée à une date future",IF(AND(I809="Terminée",V809=0),"Durée d'intervention manquante",IF(AND(I809="Terminée",E809="Préventif",T809=0,OR(IFERROR(INDEX(pl_trig,MATCH(F809,pl_num,0))&amp;"","")="Compteur",IFERROR(INDEX(pl_trig,MATCH(F809,pl_num,0))&amp;"","")="Au premier des deux")),"Compteur manquant (plan au compteur)","OK"))))))))))))))))))</f>
        <v/>
      </c>
      <c r="S809" s="67">
        <f>IF(AND(ISNUMBER(B809),N(B809)&gt;0),INT(B809),0)</f>
        <v>0.0</v>
      </c>
      <c r="T809" s="67">
        <f>IF(AND(ISNUMBER(J809),N(J809)&gt;=0),N(J809),0)</f>
        <v>0.0</v>
      </c>
      <c r="U809" s="67">
        <f>IF(AND(ISNUMBER(K809),N(K809)&gt;0),N(K809),0)</f>
        <v>0.0</v>
      </c>
      <c r="V809" s="67">
        <f>IF(AND(ISNUMBER(L809),N(L809)&gt;0),N(L809),0)</f>
        <v>0.0</v>
      </c>
      <c r="W809" s="67">
        <f>IF(AND(I809="Terminée",S809&gt;0,C809&lt;&gt;"",ISNUMBER(MATCH(C809,eq_code,0))),1,0)</f>
        <v>0.0</v>
      </c>
      <c r="X809" s="67">
        <f>IF(AND(W809=1,E809="Préventif"),1,0)</f>
        <v>0.0</v>
      </c>
      <c r="Y809" s="67">
        <f>IF(AND(ISNUMBER(N809),N(N809)&gt;0),N(N809),0)</f>
        <v>0.0</v>
      </c>
      <c r="Z809" s="67">
        <f>IF(AND(ISNUMBER(P809),N(P809)&gt;0),N(P809),0)</f>
        <v>0.0</v>
      </c>
    </row>
    <row r="810">
      <c r="A810" s="79" t="str">
        <f>IF(COUNTA(B810:C810,E810:G810,I810)=0,"","BI-"&amp;RIGHT("0000"&amp;(ROW()-5),4))</f>
        <v/>
      </c>
      <c r="B810" s="72" t="n"/>
      <c r="C810" s="66" t="n"/>
      <c r="D810" s="67" t="str">
        <f>IF(C810="","",IFERROR(INDEX(eq_des,MATCH(C810,eq_code,0))&amp;"","Équipement inconnu"))</f>
        <v/>
      </c>
      <c r="E810" s="68" t="n"/>
      <c r="F810" s="68" t="n"/>
      <c r="G810" s="66" t="n"/>
      <c r="H810" s="66" t="n"/>
      <c r="I810" s="68" t="n"/>
      <c r="J810" s="73" t="n"/>
      <c r="K810" s="71" t="n"/>
      <c r="L810" s="71" t="n"/>
      <c r="M810" s="66" t="n"/>
      <c r="N810" s="80" t="n"/>
      <c r="O810" s="81" t="str">
        <f>IF(A810="","",ROUND(V810*IFERROR(N(INDEX(tech_rate,MATCH(M810,tech_name,0))),0),2))</f>
        <v/>
      </c>
      <c r="P810" s="80" t="n"/>
      <c r="Q810" s="81" t="str">
        <f>IF(A810="","",ROUND(Y810+O810+Z810,2))</f>
        <v/>
      </c>
      <c r="R810" s="79" t="str">
        <f>IF(A810="","",IF(S810=0,"Date manquante ou invalide",IF(C810="","Équipement manquant",IF(ISNA(MATCH(C810,eq_code,0)),"Équipement inconnu",IF(E810="","Type manquant",IF(AND(E810&lt;&gt;"Préventif",E810&lt;&gt;"Correctif",E810&lt;&gt;"Amélioratif"),"Type inconnu",IF(I810="","Statut manquant",IF(AND(I810&lt;&gt;"Terminée",I810&lt;&gt;"En cours",I810&lt;&gt;"À faire",I810&lt;&gt;"Annulée"),"Statut inconnu",IF(AND(E810="Préventif",F810=""),"Plan manquant (préventif)",IF(AND(F810&lt;&gt;"",ISNA(MATCH(F810,pl_num,0))),"Plan inconnu",IF(AND(F810&lt;&gt;"",IFERROR(INDEX(pl_eq,MATCH(F810,pl_num,0))&amp;"",C810)&lt;&gt;C810),"Plan d'un autre équipement",IF(AND(J810&lt;&gt;"",OR(NOT(ISNUMBER(J810)),N(J810)&lt;0)),"Compteur invalide",IF(OR(AND(K810&lt;&gt;"",OR(NOT(ISNUMBER(K810)),N(K810)&lt;0)),AND(L810&lt;&gt;"",OR(NOT(ISNUMBER(L810)),N(L810)&lt;0))),"Durée invalide",IF(OR(AND(N810&lt;&gt;"",OR(NOT(ISNUMBER(N810)),N(N810)&lt;0)),AND(P810&lt;&gt;"",OR(NOT(ISNUMBER(P810)),N(P810)&lt;0))),"Coût invalide",IF(AND(M810&lt;&gt;"",ISNA(MATCH(M810,tech_name,0))),"Technicien inconnu",IF(AND(I810="Terminée",S810&gt;p_today),"Terminée à une date future",IF(AND(I810="Terminée",V810=0),"Durée d'intervention manquante",IF(AND(I810="Terminée",E810="Préventif",T810=0,OR(IFERROR(INDEX(pl_trig,MATCH(F810,pl_num,0))&amp;"","")="Compteur",IFERROR(INDEX(pl_trig,MATCH(F810,pl_num,0))&amp;"","")="Au premier des deux")),"Compteur manquant (plan au compteur)","OK"))))))))))))))))))</f>
        <v/>
      </c>
      <c r="S810" s="67">
        <f>IF(AND(ISNUMBER(B810),N(B810)&gt;0),INT(B810),0)</f>
        <v>0.0</v>
      </c>
      <c r="T810" s="67">
        <f>IF(AND(ISNUMBER(J810),N(J810)&gt;=0),N(J810),0)</f>
        <v>0.0</v>
      </c>
      <c r="U810" s="67">
        <f>IF(AND(ISNUMBER(K810),N(K810)&gt;0),N(K810),0)</f>
        <v>0.0</v>
      </c>
      <c r="V810" s="67">
        <f>IF(AND(ISNUMBER(L810),N(L810)&gt;0),N(L810),0)</f>
        <v>0.0</v>
      </c>
      <c r="W810" s="67">
        <f>IF(AND(I810="Terminée",S810&gt;0,C810&lt;&gt;"",ISNUMBER(MATCH(C810,eq_code,0))),1,0)</f>
        <v>0.0</v>
      </c>
      <c r="X810" s="67">
        <f>IF(AND(W810=1,E810="Préventif"),1,0)</f>
        <v>0.0</v>
      </c>
      <c r="Y810" s="67">
        <f>IF(AND(ISNUMBER(N810),N(N810)&gt;0),N(N810),0)</f>
        <v>0.0</v>
      </c>
      <c r="Z810" s="67">
        <f>IF(AND(ISNUMBER(P810),N(P810)&gt;0),N(P810),0)</f>
        <v>0.0</v>
      </c>
    </row>
    <row r="811">
      <c r="A811" s="79" t="str">
        <f>IF(COUNTA(B811:C811,E811:G811,I811)=0,"","BI-"&amp;RIGHT("0000"&amp;(ROW()-5),4))</f>
        <v/>
      </c>
      <c r="B811" s="72" t="n"/>
      <c r="C811" s="66" t="n"/>
      <c r="D811" s="67" t="str">
        <f>IF(C811="","",IFERROR(INDEX(eq_des,MATCH(C811,eq_code,0))&amp;"","Équipement inconnu"))</f>
        <v/>
      </c>
      <c r="E811" s="68" t="n"/>
      <c r="F811" s="68" t="n"/>
      <c r="G811" s="66" t="n"/>
      <c r="H811" s="66" t="n"/>
      <c r="I811" s="68" t="n"/>
      <c r="J811" s="73" t="n"/>
      <c r="K811" s="71" t="n"/>
      <c r="L811" s="71" t="n"/>
      <c r="M811" s="66" t="n"/>
      <c r="N811" s="80" t="n"/>
      <c r="O811" s="81" t="str">
        <f>IF(A811="","",ROUND(V811*IFERROR(N(INDEX(tech_rate,MATCH(M811,tech_name,0))),0),2))</f>
        <v/>
      </c>
      <c r="P811" s="80" t="n"/>
      <c r="Q811" s="81" t="str">
        <f>IF(A811="","",ROUND(Y811+O811+Z811,2))</f>
        <v/>
      </c>
      <c r="R811" s="79" t="str">
        <f>IF(A811="","",IF(S811=0,"Date manquante ou invalide",IF(C811="","Équipement manquant",IF(ISNA(MATCH(C811,eq_code,0)),"Équipement inconnu",IF(E811="","Type manquant",IF(AND(E811&lt;&gt;"Préventif",E811&lt;&gt;"Correctif",E811&lt;&gt;"Amélioratif"),"Type inconnu",IF(I811="","Statut manquant",IF(AND(I811&lt;&gt;"Terminée",I811&lt;&gt;"En cours",I811&lt;&gt;"À faire",I811&lt;&gt;"Annulée"),"Statut inconnu",IF(AND(E811="Préventif",F811=""),"Plan manquant (préventif)",IF(AND(F811&lt;&gt;"",ISNA(MATCH(F811,pl_num,0))),"Plan inconnu",IF(AND(F811&lt;&gt;"",IFERROR(INDEX(pl_eq,MATCH(F811,pl_num,0))&amp;"",C811)&lt;&gt;C811),"Plan d'un autre équipement",IF(AND(J811&lt;&gt;"",OR(NOT(ISNUMBER(J811)),N(J811)&lt;0)),"Compteur invalide",IF(OR(AND(K811&lt;&gt;"",OR(NOT(ISNUMBER(K811)),N(K811)&lt;0)),AND(L811&lt;&gt;"",OR(NOT(ISNUMBER(L811)),N(L811)&lt;0))),"Durée invalide",IF(OR(AND(N811&lt;&gt;"",OR(NOT(ISNUMBER(N811)),N(N811)&lt;0)),AND(P811&lt;&gt;"",OR(NOT(ISNUMBER(P811)),N(P811)&lt;0))),"Coût invalide",IF(AND(M811&lt;&gt;"",ISNA(MATCH(M811,tech_name,0))),"Technicien inconnu",IF(AND(I811="Terminée",S811&gt;p_today),"Terminée à une date future",IF(AND(I811="Terminée",V811=0),"Durée d'intervention manquante",IF(AND(I811="Terminée",E811="Préventif",T811=0,OR(IFERROR(INDEX(pl_trig,MATCH(F811,pl_num,0))&amp;"","")="Compteur",IFERROR(INDEX(pl_trig,MATCH(F811,pl_num,0))&amp;"","")="Au premier des deux")),"Compteur manquant (plan au compteur)","OK"))))))))))))))))))</f>
        <v/>
      </c>
      <c r="S811" s="67">
        <f>IF(AND(ISNUMBER(B811),N(B811)&gt;0),INT(B811),0)</f>
        <v>0.0</v>
      </c>
      <c r="T811" s="67">
        <f>IF(AND(ISNUMBER(J811),N(J811)&gt;=0),N(J811),0)</f>
        <v>0.0</v>
      </c>
      <c r="U811" s="67">
        <f>IF(AND(ISNUMBER(K811),N(K811)&gt;0),N(K811),0)</f>
        <v>0.0</v>
      </c>
      <c r="V811" s="67">
        <f>IF(AND(ISNUMBER(L811),N(L811)&gt;0),N(L811),0)</f>
        <v>0.0</v>
      </c>
      <c r="W811" s="67">
        <f>IF(AND(I811="Terminée",S811&gt;0,C811&lt;&gt;"",ISNUMBER(MATCH(C811,eq_code,0))),1,0)</f>
        <v>0.0</v>
      </c>
      <c r="X811" s="67">
        <f>IF(AND(W811=1,E811="Préventif"),1,0)</f>
        <v>0.0</v>
      </c>
      <c r="Y811" s="67">
        <f>IF(AND(ISNUMBER(N811),N(N811)&gt;0),N(N811),0)</f>
        <v>0.0</v>
      </c>
      <c r="Z811" s="67">
        <f>IF(AND(ISNUMBER(P811),N(P811)&gt;0),N(P811),0)</f>
        <v>0.0</v>
      </c>
    </row>
    <row r="812">
      <c r="A812" s="79" t="str">
        <f>IF(COUNTA(B812:C812,E812:G812,I812)=0,"","BI-"&amp;RIGHT("0000"&amp;(ROW()-5),4))</f>
        <v/>
      </c>
      <c r="B812" s="72" t="n"/>
      <c r="C812" s="66" t="n"/>
      <c r="D812" s="67" t="str">
        <f>IF(C812="","",IFERROR(INDEX(eq_des,MATCH(C812,eq_code,0))&amp;"","Équipement inconnu"))</f>
        <v/>
      </c>
      <c r="E812" s="68" t="n"/>
      <c r="F812" s="68" t="n"/>
      <c r="G812" s="66" t="n"/>
      <c r="H812" s="66" t="n"/>
      <c r="I812" s="68" t="n"/>
      <c r="J812" s="73" t="n"/>
      <c r="K812" s="71" t="n"/>
      <c r="L812" s="71" t="n"/>
      <c r="M812" s="66" t="n"/>
      <c r="N812" s="80" t="n"/>
      <c r="O812" s="81" t="str">
        <f>IF(A812="","",ROUND(V812*IFERROR(N(INDEX(tech_rate,MATCH(M812,tech_name,0))),0),2))</f>
        <v/>
      </c>
      <c r="P812" s="80" t="n"/>
      <c r="Q812" s="81" t="str">
        <f>IF(A812="","",ROUND(Y812+O812+Z812,2))</f>
        <v/>
      </c>
      <c r="R812" s="79" t="str">
        <f>IF(A812="","",IF(S812=0,"Date manquante ou invalide",IF(C812="","Équipement manquant",IF(ISNA(MATCH(C812,eq_code,0)),"Équipement inconnu",IF(E812="","Type manquant",IF(AND(E812&lt;&gt;"Préventif",E812&lt;&gt;"Correctif",E812&lt;&gt;"Amélioratif"),"Type inconnu",IF(I812="","Statut manquant",IF(AND(I812&lt;&gt;"Terminée",I812&lt;&gt;"En cours",I812&lt;&gt;"À faire",I812&lt;&gt;"Annulée"),"Statut inconnu",IF(AND(E812="Préventif",F812=""),"Plan manquant (préventif)",IF(AND(F812&lt;&gt;"",ISNA(MATCH(F812,pl_num,0))),"Plan inconnu",IF(AND(F812&lt;&gt;"",IFERROR(INDEX(pl_eq,MATCH(F812,pl_num,0))&amp;"",C812)&lt;&gt;C812),"Plan d'un autre équipement",IF(AND(J812&lt;&gt;"",OR(NOT(ISNUMBER(J812)),N(J812)&lt;0)),"Compteur invalide",IF(OR(AND(K812&lt;&gt;"",OR(NOT(ISNUMBER(K812)),N(K812)&lt;0)),AND(L812&lt;&gt;"",OR(NOT(ISNUMBER(L812)),N(L812)&lt;0))),"Durée invalide",IF(OR(AND(N812&lt;&gt;"",OR(NOT(ISNUMBER(N812)),N(N812)&lt;0)),AND(P812&lt;&gt;"",OR(NOT(ISNUMBER(P812)),N(P812)&lt;0))),"Coût invalide",IF(AND(M812&lt;&gt;"",ISNA(MATCH(M812,tech_name,0))),"Technicien inconnu",IF(AND(I812="Terminée",S812&gt;p_today),"Terminée à une date future",IF(AND(I812="Terminée",V812=0),"Durée d'intervention manquante",IF(AND(I812="Terminée",E812="Préventif",T812=0,OR(IFERROR(INDEX(pl_trig,MATCH(F812,pl_num,0))&amp;"","")="Compteur",IFERROR(INDEX(pl_trig,MATCH(F812,pl_num,0))&amp;"","")="Au premier des deux")),"Compteur manquant (plan au compteur)","OK"))))))))))))))))))</f>
        <v/>
      </c>
      <c r="S812" s="67">
        <f>IF(AND(ISNUMBER(B812),N(B812)&gt;0),INT(B812),0)</f>
        <v>0.0</v>
      </c>
      <c r="T812" s="67">
        <f>IF(AND(ISNUMBER(J812),N(J812)&gt;=0),N(J812),0)</f>
        <v>0.0</v>
      </c>
      <c r="U812" s="67">
        <f>IF(AND(ISNUMBER(K812),N(K812)&gt;0),N(K812),0)</f>
        <v>0.0</v>
      </c>
      <c r="V812" s="67">
        <f>IF(AND(ISNUMBER(L812),N(L812)&gt;0),N(L812),0)</f>
        <v>0.0</v>
      </c>
      <c r="W812" s="67">
        <f>IF(AND(I812="Terminée",S812&gt;0,C812&lt;&gt;"",ISNUMBER(MATCH(C812,eq_code,0))),1,0)</f>
        <v>0.0</v>
      </c>
      <c r="X812" s="67">
        <f>IF(AND(W812=1,E812="Préventif"),1,0)</f>
        <v>0.0</v>
      </c>
      <c r="Y812" s="67">
        <f>IF(AND(ISNUMBER(N812),N(N812)&gt;0),N(N812),0)</f>
        <v>0.0</v>
      </c>
      <c r="Z812" s="67">
        <f>IF(AND(ISNUMBER(P812),N(P812)&gt;0),N(P812),0)</f>
        <v>0.0</v>
      </c>
    </row>
    <row r="813">
      <c r="A813" s="79" t="str">
        <f>IF(COUNTA(B813:C813,E813:G813,I813)=0,"","BI-"&amp;RIGHT("0000"&amp;(ROW()-5),4))</f>
        <v/>
      </c>
      <c r="B813" s="72" t="n"/>
      <c r="C813" s="66" t="n"/>
      <c r="D813" s="67" t="str">
        <f>IF(C813="","",IFERROR(INDEX(eq_des,MATCH(C813,eq_code,0))&amp;"","Équipement inconnu"))</f>
        <v/>
      </c>
      <c r="E813" s="68" t="n"/>
      <c r="F813" s="68" t="n"/>
      <c r="G813" s="66" t="n"/>
      <c r="H813" s="66" t="n"/>
      <c r="I813" s="68" t="n"/>
      <c r="J813" s="73" t="n"/>
      <c r="K813" s="71" t="n"/>
      <c r="L813" s="71" t="n"/>
      <c r="M813" s="66" t="n"/>
      <c r="N813" s="80" t="n"/>
      <c r="O813" s="81" t="str">
        <f>IF(A813="","",ROUND(V813*IFERROR(N(INDEX(tech_rate,MATCH(M813,tech_name,0))),0),2))</f>
        <v/>
      </c>
      <c r="P813" s="80" t="n"/>
      <c r="Q813" s="81" t="str">
        <f>IF(A813="","",ROUND(Y813+O813+Z813,2))</f>
        <v/>
      </c>
      <c r="R813" s="79" t="str">
        <f>IF(A813="","",IF(S813=0,"Date manquante ou invalide",IF(C813="","Équipement manquant",IF(ISNA(MATCH(C813,eq_code,0)),"Équipement inconnu",IF(E813="","Type manquant",IF(AND(E813&lt;&gt;"Préventif",E813&lt;&gt;"Correctif",E813&lt;&gt;"Amélioratif"),"Type inconnu",IF(I813="","Statut manquant",IF(AND(I813&lt;&gt;"Terminée",I813&lt;&gt;"En cours",I813&lt;&gt;"À faire",I813&lt;&gt;"Annulée"),"Statut inconnu",IF(AND(E813="Préventif",F813=""),"Plan manquant (préventif)",IF(AND(F813&lt;&gt;"",ISNA(MATCH(F813,pl_num,0))),"Plan inconnu",IF(AND(F813&lt;&gt;"",IFERROR(INDEX(pl_eq,MATCH(F813,pl_num,0))&amp;"",C813)&lt;&gt;C813),"Plan d'un autre équipement",IF(AND(J813&lt;&gt;"",OR(NOT(ISNUMBER(J813)),N(J813)&lt;0)),"Compteur invalide",IF(OR(AND(K813&lt;&gt;"",OR(NOT(ISNUMBER(K813)),N(K813)&lt;0)),AND(L813&lt;&gt;"",OR(NOT(ISNUMBER(L813)),N(L813)&lt;0))),"Durée invalide",IF(OR(AND(N813&lt;&gt;"",OR(NOT(ISNUMBER(N813)),N(N813)&lt;0)),AND(P813&lt;&gt;"",OR(NOT(ISNUMBER(P813)),N(P813)&lt;0))),"Coût invalide",IF(AND(M813&lt;&gt;"",ISNA(MATCH(M813,tech_name,0))),"Technicien inconnu",IF(AND(I813="Terminée",S813&gt;p_today),"Terminée à une date future",IF(AND(I813="Terminée",V813=0),"Durée d'intervention manquante",IF(AND(I813="Terminée",E813="Préventif",T813=0,OR(IFERROR(INDEX(pl_trig,MATCH(F813,pl_num,0))&amp;"","")="Compteur",IFERROR(INDEX(pl_trig,MATCH(F813,pl_num,0))&amp;"","")="Au premier des deux")),"Compteur manquant (plan au compteur)","OK"))))))))))))))))))</f>
        <v/>
      </c>
      <c r="S813" s="67">
        <f>IF(AND(ISNUMBER(B813),N(B813)&gt;0),INT(B813),0)</f>
        <v>0.0</v>
      </c>
      <c r="T813" s="67">
        <f>IF(AND(ISNUMBER(J813),N(J813)&gt;=0),N(J813),0)</f>
        <v>0.0</v>
      </c>
      <c r="U813" s="67">
        <f>IF(AND(ISNUMBER(K813),N(K813)&gt;0),N(K813),0)</f>
        <v>0.0</v>
      </c>
      <c r="V813" s="67">
        <f>IF(AND(ISNUMBER(L813),N(L813)&gt;0),N(L813),0)</f>
        <v>0.0</v>
      </c>
      <c r="W813" s="67">
        <f>IF(AND(I813="Terminée",S813&gt;0,C813&lt;&gt;"",ISNUMBER(MATCH(C813,eq_code,0))),1,0)</f>
        <v>0.0</v>
      </c>
      <c r="X813" s="67">
        <f>IF(AND(W813=1,E813="Préventif"),1,0)</f>
        <v>0.0</v>
      </c>
      <c r="Y813" s="67">
        <f>IF(AND(ISNUMBER(N813),N(N813)&gt;0),N(N813),0)</f>
        <v>0.0</v>
      </c>
      <c r="Z813" s="67">
        <f>IF(AND(ISNUMBER(P813),N(P813)&gt;0),N(P813),0)</f>
        <v>0.0</v>
      </c>
    </row>
    <row r="814">
      <c r="A814" s="79" t="str">
        <f>IF(COUNTA(B814:C814,E814:G814,I814)=0,"","BI-"&amp;RIGHT("0000"&amp;(ROW()-5),4))</f>
        <v/>
      </c>
      <c r="B814" s="72" t="n"/>
      <c r="C814" s="66" t="n"/>
      <c r="D814" s="67" t="str">
        <f>IF(C814="","",IFERROR(INDEX(eq_des,MATCH(C814,eq_code,0))&amp;"","Équipement inconnu"))</f>
        <v/>
      </c>
      <c r="E814" s="68" t="n"/>
      <c r="F814" s="68" t="n"/>
      <c r="G814" s="66" t="n"/>
      <c r="H814" s="66" t="n"/>
      <c r="I814" s="68" t="n"/>
      <c r="J814" s="73" t="n"/>
      <c r="K814" s="71" t="n"/>
      <c r="L814" s="71" t="n"/>
      <c r="M814" s="66" t="n"/>
      <c r="N814" s="80" t="n"/>
      <c r="O814" s="81" t="str">
        <f>IF(A814="","",ROUND(V814*IFERROR(N(INDEX(tech_rate,MATCH(M814,tech_name,0))),0),2))</f>
        <v/>
      </c>
      <c r="P814" s="80" t="n"/>
      <c r="Q814" s="81" t="str">
        <f>IF(A814="","",ROUND(Y814+O814+Z814,2))</f>
        <v/>
      </c>
      <c r="R814" s="79" t="str">
        <f>IF(A814="","",IF(S814=0,"Date manquante ou invalide",IF(C814="","Équipement manquant",IF(ISNA(MATCH(C814,eq_code,0)),"Équipement inconnu",IF(E814="","Type manquant",IF(AND(E814&lt;&gt;"Préventif",E814&lt;&gt;"Correctif",E814&lt;&gt;"Amélioratif"),"Type inconnu",IF(I814="","Statut manquant",IF(AND(I814&lt;&gt;"Terminée",I814&lt;&gt;"En cours",I814&lt;&gt;"À faire",I814&lt;&gt;"Annulée"),"Statut inconnu",IF(AND(E814="Préventif",F814=""),"Plan manquant (préventif)",IF(AND(F814&lt;&gt;"",ISNA(MATCH(F814,pl_num,0))),"Plan inconnu",IF(AND(F814&lt;&gt;"",IFERROR(INDEX(pl_eq,MATCH(F814,pl_num,0))&amp;"",C814)&lt;&gt;C814),"Plan d'un autre équipement",IF(AND(J814&lt;&gt;"",OR(NOT(ISNUMBER(J814)),N(J814)&lt;0)),"Compteur invalide",IF(OR(AND(K814&lt;&gt;"",OR(NOT(ISNUMBER(K814)),N(K814)&lt;0)),AND(L814&lt;&gt;"",OR(NOT(ISNUMBER(L814)),N(L814)&lt;0))),"Durée invalide",IF(OR(AND(N814&lt;&gt;"",OR(NOT(ISNUMBER(N814)),N(N814)&lt;0)),AND(P814&lt;&gt;"",OR(NOT(ISNUMBER(P814)),N(P814)&lt;0))),"Coût invalide",IF(AND(M814&lt;&gt;"",ISNA(MATCH(M814,tech_name,0))),"Technicien inconnu",IF(AND(I814="Terminée",S814&gt;p_today),"Terminée à une date future",IF(AND(I814="Terminée",V814=0),"Durée d'intervention manquante",IF(AND(I814="Terminée",E814="Préventif",T814=0,OR(IFERROR(INDEX(pl_trig,MATCH(F814,pl_num,0))&amp;"","")="Compteur",IFERROR(INDEX(pl_trig,MATCH(F814,pl_num,0))&amp;"","")="Au premier des deux")),"Compteur manquant (plan au compteur)","OK"))))))))))))))))))</f>
        <v/>
      </c>
      <c r="S814" s="67">
        <f>IF(AND(ISNUMBER(B814),N(B814)&gt;0),INT(B814),0)</f>
        <v>0.0</v>
      </c>
      <c r="T814" s="67">
        <f>IF(AND(ISNUMBER(J814),N(J814)&gt;=0),N(J814),0)</f>
        <v>0.0</v>
      </c>
      <c r="U814" s="67">
        <f>IF(AND(ISNUMBER(K814),N(K814)&gt;0),N(K814),0)</f>
        <v>0.0</v>
      </c>
      <c r="V814" s="67">
        <f>IF(AND(ISNUMBER(L814),N(L814)&gt;0),N(L814),0)</f>
        <v>0.0</v>
      </c>
      <c r="W814" s="67">
        <f>IF(AND(I814="Terminée",S814&gt;0,C814&lt;&gt;"",ISNUMBER(MATCH(C814,eq_code,0))),1,0)</f>
        <v>0.0</v>
      </c>
      <c r="X814" s="67">
        <f>IF(AND(W814=1,E814="Préventif"),1,0)</f>
        <v>0.0</v>
      </c>
      <c r="Y814" s="67">
        <f>IF(AND(ISNUMBER(N814),N(N814)&gt;0),N(N814),0)</f>
        <v>0.0</v>
      </c>
      <c r="Z814" s="67">
        <f>IF(AND(ISNUMBER(P814),N(P814)&gt;0),N(P814),0)</f>
        <v>0.0</v>
      </c>
    </row>
    <row r="815">
      <c r="A815" s="79" t="str">
        <f>IF(COUNTA(B815:C815,E815:G815,I815)=0,"","BI-"&amp;RIGHT("0000"&amp;(ROW()-5),4))</f>
        <v/>
      </c>
      <c r="B815" s="72" t="n"/>
      <c r="C815" s="66" t="n"/>
      <c r="D815" s="67" t="str">
        <f>IF(C815="","",IFERROR(INDEX(eq_des,MATCH(C815,eq_code,0))&amp;"","Équipement inconnu"))</f>
        <v/>
      </c>
      <c r="E815" s="68" t="n"/>
      <c r="F815" s="68" t="n"/>
      <c r="G815" s="66" t="n"/>
      <c r="H815" s="66" t="n"/>
      <c r="I815" s="68" t="n"/>
      <c r="J815" s="73" t="n"/>
      <c r="K815" s="71" t="n"/>
      <c r="L815" s="71" t="n"/>
      <c r="M815" s="66" t="n"/>
      <c r="N815" s="80" t="n"/>
      <c r="O815" s="81" t="str">
        <f>IF(A815="","",ROUND(V815*IFERROR(N(INDEX(tech_rate,MATCH(M815,tech_name,0))),0),2))</f>
        <v/>
      </c>
      <c r="P815" s="80" t="n"/>
      <c r="Q815" s="81" t="str">
        <f>IF(A815="","",ROUND(Y815+O815+Z815,2))</f>
        <v/>
      </c>
      <c r="R815" s="79" t="str">
        <f>IF(A815="","",IF(S815=0,"Date manquante ou invalide",IF(C815="","Équipement manquant",IF(ISNA(MATCH(C815,eq_code,0)),"Équipement inconnu",IF(E815="","Type manquant",IF(AND(E815&lt;&gt;"Préventif",E815&lt;&gt;"Correctif",E815&lt;&gt;"Amélioratif"),"Type inconnu",IF(I815="","Statut manquant",IF(AND(I815&lt;&gt;"Terminée",I815&lt;&gt;"En cours",I815&lt;&gt;"À faire",I815&lt;&gt;"Annulée"),"Statut inconnu",IF(AND(E815="Préventif",F815=""),"Plan manquant (préventif)",IF(AND(F815&lt;&gt;"",ISNA(MATCH(F815,pl_num,0))),"Plan inconnu",IF(AND(F815&lt;&gt;"",IFERROR(INDEX(pl_eq,MATCH(F815,pl_num,0))&amp;"",C815)&lt;&gt;C815),"Plan d'un autre équipement",IF(AND(J815&lt;&gt;"",OR(NOT(ISNUMBER(J815)),N(J815)&lt;0)),"Compteur invalide",IF(OR(AND(K815&lt;&gt;"",OR(NOT(ISNUMBER(K815)),N(K815)&lt;0)),AND(L815&lt;&gt;"",OR(NOT(ISNUMBER(L815)),N(L815)&lt;0))),"Durée invalide",IF(OR(AND(N815&lt;&gt;"",OR(NOT(ISNUMBER(N815)),N(N815)&lt;0)),AND(P815&lt;&gt;"",OR(NOT(ISNUMBER(P815)),N(P815)&lt;0))),"Coût invalide",IF(AND(M815&lt;&gt;"",ISNA(MATCH(M815,tech_name,0))),"Technicien inconnu",IF(AND(I815="Terminée",S815&gt;p_today),"Terminée à une date future",IF(AND(I815="Terminée",V815=0),"Durée d'intervention manquante",IF(AND(I815="Terminée",E815="Préventif",T815=0,OR(IFERROR(INDEX(pl_trig,MATCH(F815,pl_num,0))&amp;"","")="Compteur",IFERROR(INDEX(pl_trig,MATCH(F815,pl_num,0))&amp;"","")="Au premier des deux")),"Compteur manquant (plan au compteur)","OK"))))))))))))))))))</f>
        <v/>
      </c>
      <c r="S815" s="67">
        <f>IF(AND(ISNUMBER(B815),N(B815)&gt;0),INT(B815),0)</f>
        <v>0.0</v>
      </c>
      <c r="T815" s="67">
        <f>IF(AND(ISNUMBER(J815),N(J815)&gt;=0),N(J815),0)</f>
        <v>0.0</v>
      </c>
      <c r="U815" s="67">
        <f>IF(AND(ISNUMBER(K815),N(K815)&gt;0),N(K815),0)</f>
        <v>0.0</v>
      </c>
      <c r="V815" s="67">
        <f>IF(AND(ISNUMBER(L815),N(L815)&gt;0),N(L815),0)</f>
        <v>0.0</v>
      </c>
      <c r="W815" s="67">
        <f>IF(AND(I815="Terminée",S815&gt;0,C815&lt;&gt;"",ISNUMBER(MATCH(C815,eq_code,0))),1,0)</f>
        <v>0.0</v>
      </c>
      <c r="X815" s="67">
        <f>IF(AND(W815=1,E815="Préventif"),1,0)</f>
        <v>0.0</v>
      </c>
      <c r="Y815" s="67">
        <f>IF(AND(ISNUMBER(N815),N(N815)&gt;0),N(N815),0)</f>
        <v>0.0</v>
      </c>
      <c r="Z815" s="67">
        <f>IF(AND(ISNUMBER(P815),N(P815)&gt;0),N(P815),0)</f>
        <v>0.0</v>
      </c>
    </row>
    <row r="816">
      <c r="A816" s="79" t="str">
        <f>IF(COUNTA(B816:C816,E816:G816,I816)=0,"","BI-"&amp;RIGHT("0000"&amp;(ROW()-5),4))</f>
        <v/>
      </c>
      <c r="B816" s="72" t="n"/>
      <c r="C816" s="66" t="n"/>
      <c r="D816" s="67" t="str">
        <f>IF(C816="","",IFERROR(INDEX(eq_des,MATCH(C816,eq_code,0))&amp;"","Équipement inconnu"))</f>
        <v/>
      </c>
      <c r="E816" s="68" t="n"/>
      <c r="F816" s="68" t="n"/>
      <c r="G816" s="66" t="n"/>
      <c r="H816" s="66" t="n"/>
      <c r="I816" s="68" t="n"/>
      <c r="J816" s="73" t="n"/>
      <c r="K816" s="71" t="n"/>
      <c r="L816" s="71" t="n"/>
      <c r="M816" s="66" t="n"/>
      <c r="N816" s="80" t="n"/>
      <c r="O816" s="81" t="str">
        <f>IF(A816="","",ROUND(V816*IFERROR(N(INDEX(tech_rate,MATCH(M816,tech_name,0))),0),2))</f>
        <v/>
      </c>
      <c r="P816" s="80" t="n"/>
      <c r="Q816" s="81" t="str">
        <f>IF(A816="","",ROUND(Y816+O816+Z816,2))</f>
        <v/>
      </c>
      <c r="R816" s="79" t="str">
        <f>IF(A816="","",IF(S816=0,"Date manquante ou invalide",IF(C816="","Équipement manquant",IF(ISNA(MATCH(C816,eq_code,0)),"Équipement inconnu",IF(E816="","Type manquant",IF(AND(E816&lt;&gt;"Préventif",E816&lt;&gt;"Correctif",E816&lt;&gt;"Amélioratif"),"Type inconnu",IF(I816="","Statut manquant",IF(AND(I816&lt;&gt;"Terminée",I816&lt;&gt;"En cours",I816&lt;&gt;"À faire",I816&lt;&gt;"Annulée"),"Statut inconnu",IF(AND(E816="Préventif",F816=""),"Plan manquant (préventif)",IF(AND(F816&lt;&gt;"",ISNA(MATCH(F816,pl_num,0))),"Plan inconnu",IF(AND(F816&lt;&gt;"",IFERROR(INDEX(pl_eq,MATCH(F816,pl_num,0))&amp;"",C816)&lt;&gt;C816),"Plan d'un autre équipement",IF(AND(J816&lt;&gt;"",OR(NOT(ISNUMBER(J816)),N(J816)&lt;0)),"Compteur invalide",IF(OR(AND(K816&lt;&gt;"",OR(NOT(ISNUMBER(K816)),N(K816)&lt;0)),AND(L816&lt;&gt;"",OR(NOT(ISNUMBER(L816)),N(L816)&lt;0))),"Durée invalide",IF(OR(AND(N816&lt;&gt;"",OR(NOT(ISNUMBER(N816)),N(N816)&lt;0)),AND(P816&lt;&gt;"",OR(NOT(ISNUMBER(P816)),N(P816)&lt;0))),"Coût invalide",IF(AND(M816&lt;&gt;"",ISNA(MATCH(M816,tech_name,0))),"Technicien inconnu",IF(AND(I816="Terminée",S816&gt;p_today),"Terminée à une date future",IF(AND(I816="Terminée",V816=0),"Durée d'intervention manquante",IF(AND(I816="Terminée",E816="Préventif",T816=0,OR(IFERROR(INDEX(pl_trig,MATCH(F816,pl_num,0))&amp;"","")="Compteur",IFERROR(INDEX(pl_trig,MATCH(F816,pl_num,0))&amp;"","")="Au premier des deux")),"Compteur manquant (plan au compteur)","OK"))))))))))))))))))</f>
        <v/>
      </c>
      <c r="S816" s="67">
        <f>IF(AND(ISNUMBER(B816),N(B816)&gt;0),INT(B816),0)</f>
        <v>0.0</v>
      </c>
      <c r="T816" s="67">
        <f>IF(AND(ISNUMBER(J816),N(J816)&gt;=0),N(J816),0)</f>
        <v>0.0</v>
      </c>
      <c r="U816" s="67">
        <f>IF(AND(ISNUMBER(K816),N(K816)&gt;0),N(K816),0)</f>
        <v>0.0</v>
      </c>
      <c r="V816" s="67">
        <f>IF(AND(ISNUMBER(L816),N(L816)&gt;0),N(L816),0)</f>
        <v>0.0</v>
      </c>
      <c r="W816" s="67">
        <f>IF(AND(I816="Terminée",S816&gt;0,C816&lt;&gt;"",ISNUMBER(MATCH(C816,eq_code,0))),1,0)</f>
        <v>0.0</v>
      </c>
      <c r="X816" s="67">
        <f>IF(AND(W816=1,E816="Préventif"),1,0)</f>
        <v>0.0</v>
      </c>
      <c r="Y816" s="67">
        <f>IF(AND(ISNUMBER(N816),N(N816)&gt;0),N(N816),0)</f>
        <v>0.0</v>
      </c>
      <c r="Z816" s="67">
        <f>IF(AND(ISNUMBER(P816),N(P816)&gt;0),N(P816),0)</f>
        <v>0.0</v>
      </c>
    </row>
    <row r="817">
      <c r="A817" s="79" t="str">
        <f>IF(COUNTA(B817:C817,E817:G817,I817)=0,"","BI-"&amp;RIGHT("0000"&amp;(ROW()-5),4))</f>
        <v/>
      </c>
      <c r="B817" s="72" t="n"/>
      <c r="C817" s="66" t="n"/>
      <c r="D817" s="67" t="str">
        <f>IF(C817="","",IFERROR(INDEX(eq_des,MATCH(C817,eq_code,0))&amp;"","Équipement inconnu"))</f>
        <v/>
      </c>
      <c r="E817" s="68" t="n"/>
      <c r="F817" s="68" t="n"/>
      <c r="G817" s="66" t="n"/>
      <c r="H817" s="66" t="n"/>
      <c r="I817" s="68" t="n"/>
      <c r="J817" s="73" t="n"/>
      <c r="K817" s="71" t="n"/>
      <c r="L817" s="71" t="n"/>
      <c r="M817" s="66" t="n"/>
      <c r="N817" s="80" t="n"/>
      <c r="O817" s="81" t="str">
        <f>IF(A817="","",ROUND(V817*IFERROR(N(INDEX(tech_rate,MATCH(M817,tech_name,0))),0),2))</f>
        <v/>
      </c>
      <c r="P817" s="80" t="n"/>
      <c r="Q817" s="81" t="str">
        <f>IF(A817="","",ROUND(Y817+O817+Z817,2))</f>
        <v/>
      </c>
      <c r="R817" s="79" t="str">
        <f>IF(A817="","",IF(S817=0,"Date manquante ou invalide",IF(C817="","Équipement manquant",IF(ISNA(MATCH(C817,eq_code,0)),"Équipement inconnu",IF(E817="","Type manquant",IF(AND(E817&lt;&gt;"Préventif",E817&lt;&gt;"Correctif",E817&lt;&gt;"Amélioratif"),"Type inconnu",IF(I817="","Statut manquant",IF(AND(I817&lt;&gt;"Terminée",I817&lt;&gt;"En cours",I817&lt;&gt;"À faire",I817&lt;&gt;"Annulée"),"Statut inconnu",IF(AND(E817="Préventif",F817=""),"Plan manquant (préventif)",IF(AND(F817&lt;&gt;"",ISNA(MATCH(F817,pl_num,0))),"Plan inconnu",IF(AND(F817&lt;&gt;"",IFERROR(INDEX(pl_eq,MATCH(F817,pl_num,0))&amp;"",C817)&lt;&gt;C817),"Plan d'un autre équipement",IF(AND(J817&lt;&gt;"",OR(NOT(ISNUMBER(J817)),N(J817)&lt;0)),"Compteur invalide",IF(OR(AND(K817&lt;&gt;"",OR(NOT(ISNUMBER(K817)),N(K817)&lt;0)),AND(L817&lt;&gt;"",OR(NOT(ISNUMBER(L817)),N(L817)&lt;0))),"Durée invalide",IF(OR(AND(N817&lt;&gt;"",OR(NOT(ISNUMBER(N817)),N(N817)&lt;0)),AND(P817&lt;&gt;"",OR(NOT(ISNUMBER(P817)),N(P817)&lt;0))),"Coût invalide",IF(AND(M817&lt;&gt;"",ISNA(MATCH(M817,tech_name,0))),"Technicien inconnu",IF(AND(I817="Terminée",S817&gt;p_today),"Terminée à une date future",IF(AND(I817="Terminée",V817=0),"Durée d'intervention manquante",IF(AND(I817="Terminée",E817="Préventif",T817=0,OR(IFERROR(INDEX(pl_trig,MATCH(F817,pl_num,0))&amp;"","")="Compteur",IFERROR(INDEX(pl_trig,MATCH(F817,pl_num,0))&amp;"","")="Au premier des deux")),"Compteur manquant (plan au compteur)","OK"))))))))))))))))))</f>
        <v/>
      </c>
      <c r="S817" s="67">
        <f>IF(AND(ISNUMBER(B817),N(B817)&gt;0),INT(B817),0)</f>
        <v>0.0</v>
      </c>
      <c r="T817" s="67">
        <f>IF(AND(ISNUMBER(J817),N(J817)&gt;=0),N(J817),0)</f>
        <v>0.0</v>
      </c>
      <c r="U817" s="67">
        <f>IF(AND(ISNUMBER(K817),N(K817)&gt;0),N(K817),0)</f>
        <v>0.0</v>
      </c>
      <c r="V817" s="67">
        <f>IF(AND(ISNUMBER(L817),N(L817)&gt;0),N(L817),0)</f>
        <v>0.0</v>
      </c>
      <c r="W817" s="67">
        <f>IF(AND(I817="Terminée",S817&gt;0,C817&lt;&gt;"",ISNUMBER(MATCH(C817,eq_code,0))),1,0)</f>
        <v>0.0</v>
      </c>
      <c r="X817" s="67">
        <f>IF(AND(W817=1,E817="Préventif"),1,0)</f>
        <v>0.0</v>
      </c>
      <c r="Y817" s="67">
        <f>IF(AND(ISNUMBER(N817),N(N817)&gt;0),N(N817),0)</f>
        <v>0.0</v>
      </c>
      <c r="Z817" s="67">
        <f>IF(AND(ISNUMBER(P817),N(P817)&gt;0),N(P817),0)</f>
        <v>0.0</v>
      </c>
    </row>
    <row r="818">
      <c r="A818" s="79" t="str">
        <f>IF(COUNTA(B818:C818,E818:G818,I818)=0,"","BI-"&amp;RIGHT("0000"&amp;(ROW()-5),4))</f>
        <v/>
      </c>
      <c r="B818" s="72" t="n"/>
      <c r="C818" s="66" t="n"/>
      <c r="D818" s="67" t="str">
        <f>IF(C818="","",IFERROR(INDEX(eq_des,MATCH(C818,eq_code,0))&amp;"","Équipement inconnu"))</f>
        <v/>
      </c>
      <c r="E818" s="68" t="n"/>
      <c r="F818" s="68" t="n"/>
      <c r="G818" s="66" t="n"/>
      <c r="H818" s="66" t="n"/>
      <c r="I818" s="68" t="n"/>
      <c r="J818" s="73" t="n"/>
      <c r="K818" s="71" t="n"/>
      <c r="L818" s="71" t="n"/>
      <c r="M818" s="66" t="n"/>
      <c r="N818" s="80" t="n"/>
      <c r="O818" s="81" t="str">
        <f>IF(A818="","",ROUND(V818*IFERROR(N(INDEX(tech_rate,MATCH(M818,tech_name,0))),0),2))</f>
        <v/>
      </c>
      <c r="P818" s="80" t="n"/>
      <c r="Q818" s="81" t="str">
        <f>IF(A818="","",ROUND(Y818+O818+Z818,2))</f>
        <v/>
      </c>
      <c r="R818" s="79" t="str">
        <f>IF(A818="","",IF(S818=0,"Date manquante ou invalide",IF(C818="","Équipement manquant",IF(ISNA(MATCH(C818,eq_code,0)),"Équipement inconnu",IF(E818="","Type manquant",IF(AND(E818&lt;&gt;"Préventif",E818&lt;&gt;"Correctif",E818&lt;&gt;"Amélioratif"),"Type inconnu",IF(I818="","Statut manquant",IF(AND(I818&lt;&gt;"Terminée",I818&lt;&gt;"En cours",I818&lt;&gt;"À faire",I818&lt;&gt;"Annulée"),"Statut inconnu",IF(AND(E818="Préventif",F818=""),"Plan manquant (préventif)",IF(AND(F818&lt;&gt;"",ISNA(MATCH(F818,pl_num,0))),"Plan inconnu",IF(AND(F818&lt;&gt;"",IFERROR(INDEX(pl_eq,MATCH(F818,pl_num,0))&amp;"",C818)&lt;&gt;C818),"Plan d'un autre équipement",IF(AND(J818&lt;&gt;"",OR(NOT(ISNUMBER(J818)),N(J818)&lt;0)),"Compteur invalide",IF(OR(AND(K818&lt;&gt;"",OR(NOT(ISNUMBER(K818)),N(K818)&lt;0)),AND(L818&lt;&gt;"",OR(NOT(ISNUMBER(L818)),N(L818)&lt;0))),"Durée invalide",IF(OR(AND(N818&lt;&gt;"",OR(NOT(ISNUMBER(N818)),N(N818)&lt;0)),AND(P818&lt;&gt;"",OR(NOT(ISNUMBER(P818)),N(P818)&lt;0))),"Coût invalide",IF(AND(M818&lt;&gt;"",ISNA(MATCH(M818,tech_name,0))),"Technicien inconnu",IF(AND(I818="Terminée",S818&gt;p_today),"Terminée à une date future",IF(AND(I818="Terminée",V818=0),"Durée d'intervention manquante",IF(AND(I818="Terminée",E818="Préventif",T818=0,OR(IFERROR(INDEX(pl_trig,MATCH(F818,pl_num,0))&amp;"","")="Compteur",IFERROR(INDEX(pl_trig,MATCH(F818,pl_num,0))&amp;"","")="Au premier des deux")),"Compteur manquant (plan au compteur)","OK"))))))))))))))))))</f>
        <v/>
      </c>
      <c r="S818" s="67">
        <f>IF(AND(ISNUMBER(B818),N(B818)&gt;0),INT(B818),0)</f>
        <v>0.0</v>
      </c>
      <c r="T818" s="67">
        <f>IF(AND(ISNUMBER(J818),N(J818)&gt;=0),N(J818),0)</f>
        <v>0.0</v>
      </c>
      <c r="U818" s="67">
        <f>IF(AND(ISNUMBER(K818),N(K818)&gt;0),N(K818),0)</f>
        <v>0.0</v>
      </c>
      <c r="V818" s="67">
        <f>IF(AND(ISNUMBER(L818),N(L818)&gt;0),N(L818),0)</f>
        <v>0.0</v>
      </c>
      <c r="W818" s="67">
        <f>IF(AND(I818="Terminée",S818&gt;0,C818&lt;&gt;"",ISNUMBER(MATCH(C818,eq_code,0))),1,0)</f>
        <v>0.0</v>
      </c>
      <c r="X818" s="67">
        <f>IF(AND(W818=1,E818="Préventif"),1,0)</f>
        <v>0.0</v>
      </c>
      <c r="Y818" s="67">
        <f>IF(AND(ISNUMBER(N818),N(N818)&gt;0),N(N818),0)</f>
        <v>0.0</v>
      </c>
      <c r="Z818" s="67">
        <f>IF(AND(ISNUMBER(P818),N(P818)&gt;0),N(P818),0)</f>
        <v>0.0</v>
      </c>
    </row>
    <row r="819">
      <c r="A819" s="79" t="str">
        <f>IF(COUNTA(B819:C819,E819:G819,I819)=0,"","BI-"&amp;RIGHT("0000"&amp;(ROW()-5),4))</f>
        <v/>
      </c>
      <c r="B819" s="72" t="n"/>
      <c r="C819" s="66" t="n"/>
      <c r="D819" s="67" t="str">
        <f>IF(C819="","",IFERROR(INDEX(eq_des,MATCH(C819,eq_code,0))&amp;"","Équipement inconnu"))</f>
        <v/>
      </c>
      <c r="E819" s="68" t="n"/>
      <c r="F819" s="68" t="n"/>
      <c r="G819" s="66" t="n"/>
      <c r="H819" s="66" t="n"/>
      <c r="I819" s="68" t="n"/>
      <c r="J819" s="73" t="n"/>
      <c r="K819" s="71" t="n"/>
      <c r="L819" s="71" t="n"/>
      <c r="M819" s="66" t="n"/>
      <c r="N819" s="80" t="n"/>
      <c r="O819" s="81" t="str">
        <f>IF(A819="","",ROUND(V819*IFERROR(N(INDEX(tech_rate,MATCH(M819,tech_name,0))),0),2))</f>
        <v/>
      </c>
      <c r="P819" s="80" t="n"/>
      <c r="Q819" s="81" t="str">
        <f>IF(A819="","",ROUND(Y819+O819+Z819,2))</f>
        <v/>
      </c>
      <c r="R819" s="79" t="str">
        <f>IF(A819="","",IF(S819=0,"Date manquante ou invalide",IF(C819="","Équipement manquant",IF(ISNA(MATCH(C819,eq_code,0)),"Équipement inconnu",IF(E819="","Type manquant",IF(AND(E819&lt;&gt;"Préventif",E819&lt;&gt;"Correctif",E819&lt;&gt;"Amélioratif"),"Type inconnu",IF(I819="","Statut manquant",IF(AND(I819&lt;&gt;"Terminée",I819&lt;&gt;"En cours",I819&lt;&gt;"À faire",I819&lt;&gt;"Annulée"),"Statut inconnu",IF(AND(E819="Préventif",F819=""),"Plan manquant (préventif)",IF(AND(F819&lt;&gt;"",ISNA(MATCH(F819,pl_num,0))),"Plan inconnu",IF(AND(F819&lt;&gt;"",IFERROR(INDEX(pl_eq,MATCH(F819,pl_num,0))&amp;"",C819)&lt;&gt;C819),"Plan d'un autre équipement",IF(AND(J819&lt;&gt;"",OR(NOT(ISNUMBER(J819)),N(J819)&lt;0)),"Compteur invalide",IF(OR(AND(K819&lt;&gt;"",OR(NOT(ISNUMBER(K819)),N(K819)&lt;0)),AND(L819&lt;&gt;"",OR(NOT(ISNUMBER(L819)),N(L819)&lt;0))),"Durée invalide",IF(OR(AND(N819&lt;&gt;"",OR(NOT(ISNUMBER(N819)),N(N819)&lt;0)),AND(P819&lt;&gt;"",OR(NOT(ISNUMBER(P819)),N(P819)&lt;0))),"Coût invalide",IF(AND(M819&lt;&gt;"",ISNA(MATCH(M819,tech_name,0))),"Technicien inconnu",IF(AND(I819="Terminée",S819&gt;p_today),"Terminée à une date future",IF(AND(I819="Terminée",V819=0),"Durée d'intervention manquante",IF(AND(I819="Terminée",E819="Préventif",T819=0,OR(IFERROR(INDEX(pl_trig,MATCH(F819,pl_num,0))&amp;"","")="Compteur",IFERROR(INDEX(pl_trig,MATCH(F819,pl_num,0))&amp;"","")="Au premier des deux")),"Compteur manquant (plan au compteur)","OK"))))))))))))))))))</f>
        <v/>
      </c>
      <c r="S819" s="67">
        <f>IF(AND(ISNUMBER(B819),N(B819)&gt;0),INT(B819),0)</f>
        <v>0.0</v>
      </c>
      <c r="T819" s="67">
        <f>IF(AND(ISNUMBER(J819),N(J819)&gt;=0),N(J819),0)</f>
        <v>0.0</v>
      </c>
      <c r="U819" s="67">
        <f>IF(AND(ISNUMBER(K819),N(K819)&gt;0),N(K819),0)</f>
        <v>0.0</v>
      </c>
      <c r="V819" s="67">
        <f>IF(AND(ISNUMBER(L819),N(L819)&gt;0),N(L819),0)</f>
        <v>0.0</v>
      </c>
      <c r="W819" s="67">
        <f>IF(AND(I819="Terminée",S819&gt;0,C819&lt;&gt;"",ISNUMBER(MATCH(C819,eq_code,0))),1,0)</f>
        <v>0.0</v>
      </c>
      <c r="X819" s="67">
        <f>IF(AND(W819=1,E819="Préventif"),1,0)</f>
        <v>0.0</v>
      </c>
      <c r="Y819" s="67">
        <f>IF(AND(ISNUMBER(N819),N(N819)&gt;0),N(N819),0)</f>
        <v>0.0</v>
      </c>
      <c r="Z819" s="67">
        <f>IF(AND(ISNUMBER(P819),N(P819)&gt;0),N(P819),0)</f>
        <v>0.0</v>
      </c>
    </row>
    <row r="820">
      <c r="A820" s="79" t="str">
        <f>IF(COUNTA(B820:C820,E820:G820,I820)=0,"","BI-"&amp;RIGHT("0000"&amp;(ROW()-5),4))</f>
        <v/>
      </c>
      <c r="B820" s="72" t="n"/>
      <c r="C820" s="66" t="n"/>
      <c r="D820" s="67" t="str">
        <f>IF(C820="","",IFERROR(INDEX(eq_des,MATCH(C820,eq_code,0))&amp;"","Équipement inconnu"))</f>
        <v/>
      </c>
      <c r="E820" s="68" t="n"/>
      <c r="F820" s="68" t="n"/>
      <c r="G820" s="66" t="n"/>
      <c r="H820" s="66" t="n"/>
      <c r="I820" s="68" t="n"/>
      <c r="J820" s="73" t="n"/>
      <c r="K820" s="71" t="n"/>
      <c r="L820" s="71" t="n"/>
      <c r="M820" s="66" t="n"/>
      <c r="N820" s="80" t="n"/>
      <c r="O820" s="81" t="str">
        <f>IF(A820="","",ROUND(V820*IFERROR(N(INDEX(tech_rate,MATCH(M820,tech_name,0))),0),2))</f>
        <v/>
      </c>
      <c r="P820" s="80" t="n"/>
      <c r="Q820" s="81" t="str">
        <f>IF(A820="","",ROUND(Y820+O820+Z820,2))</f>
        <v/>
      </c>
      <c r="R820" s="79" t="str">
        <f>IF(A820="","",IF(S820=0,"Date manquante ou invalide",IF(C820="","Équipement manquant",IF(ISNA(MATCH(C820,eq_code,0)),"Équipement inconnu",IF(E820="","Type manquant",IF(AND(E820&lt;&gt;"Préventif",E820&lt;&gt;"Correctif",E820&lt;&gt;"Amélioratif"),"Type inconnu",IF(I820="","Statut manquant",IF(AND(I820&lt;&gt;"Terminée",I820&lt;&gt;"En cours",I820&lt;&gt;"À faire",I820&lt;&gt;"Annulée"),"Statut inconnu",IF(AND(E820="Préventif",F820=""),"Plan manquant (préventif)",IF(AND(F820&lt;&gt;"",ISNA(MATCH(F820,pl_num,0))),"Plan inconnu",IF(AND(F820&lt;&gt;"",IFERROR(INDEX(pl_eq,MATCH(F820,pl_num,0))&amp;"",C820)&lt;&gt;C820),"Plan d'un autre équipement",IF(AND(J820&lt;&gt;"",OR(NOT(ISNUMBER(J820)),N(J820)&lt;0)),"Compteur invalide",IF(OR(AND(K820&lt;&gt;"",OR(NOT(ISNUMBER(K820)),N(K820)&lt;0)),AND(L820&lt;&gt;"",OR(NOT(ISNUMBER(L820)),N(L820)&lt;0))),"Durée invalide",IF(OR(AND(N820&lt;&gt;"",OR(NOT(ISNUMBER(N820)),N(N820)&lt;0)),AND(P820&lt;&gt;"",OR(NOT(ISNUMBER(P820)),N(P820)&lt;0))),"Coût invalide",IF(AND(M820&lt;&gt;"",ISNA(MATCH(M820,tech_name,0))),"Technicien inconnu",IF(AND(I820="Terminée",S820&gt;p_today),"Terminée à une date future",IF(AND(I820="Terminée",V820=0),"Durée d'intervention manquante",IF(AND(I820="Terminée",E820="Préventif",T820=0,OR(IFERROR(INDEX(pl_trig,MATCH(F820,pl_num,0))&amp;"","")="Compteur",IFERROR(INDEX(pl_trig,MATCH(F820,pl_num,0))&amp;"","")="Au premier des deux")),"Compteur manquant (plan au compteur)","OK"))))))))))))))))))</f>
        <v/>
      </c>
      <c r="S820" s="67">
        <f>IF(AND(ISNUMBER(B820),N(B820)&gt;0),INT(B820),0)</f>
        <v>0.0</v>
      </c>
      <c r="T820" s="67">
        <f>IF(AND(ISNUMBER(J820),N(J820)&gt;=0),N(J820),0)</f>
        <v>0.0</v>
      </c>
      <c r="U820" s="67">
        <f>IF(AND(ISNUMBER(K820),N(K820)&gt;0),N(K820),0)</f>
        <v>0.0</v>
      </c>
      <c r="V820" s="67">
        <f>IF(AND(ISNUMBER(L820),N(L820)&gt;0),N(L820),0)</f>
        <v>0.0</v>
      </c>
      <c r="W820" s="67">
        <f>IF(AND(I820="Terminée",S820&gt;0,C820&lt;&gt;"",ISNUMBER(MATCH(C820,eq_code,0))),1,0)</f>
        <v>0.0</v>
      </c>
      <c r="X820" s="67">
        <f>IF(AND(W820=1,E820="Préventif"),1,0)</f>
        <v>0.0</v>
      </c>
      <c r="Y820" s="67">
        <f>IF(AND(ISNUMBER(N820),N(N820)&gt;0),N(N820),0)</f>
        <v>0.0</v>
      </c>
      <c r="Z820" s="67">
        <f>IF(AND(ISNUMBER(P820),N(P820)&gt;0),N(P820),0)</f>
        <v>0.0</v>
      </c>
    </row>
    <row r="821">
      <c r="A821" s="79" t="str">
        <f>IF(COUNTA(B821:C821,E821:G821,I821)=0,"","BI-"&amp;RIGHT("0000"&amp;(ROW()-5),4))</f>
        <v/>
      </c>
      <c r="B821" s="72" t="n"/>
      <c r="C821" s="66" t="n"/>
      <c r="D821" s="67" t="str">
        <f>IF(C821="","",IFERROR(INDEX(eq_des,MATCH(C821,eq_code,0))&amp;"","Équipement inconnu"))</f>
        <v/>
      </c>
      <c r="E821" s="68" t="n"/>
      <c r="F821" s="68" t="n"/>
      <c r="G821" s="66" t="n"/>
      <c r="H821" s="66" t="n"/>
      <c r="I821" s="68" t="n"/>
      <c r="J821" s="73" t="n"/>
      <c r="K821" s="71" t="n"/>
      <c r="L821" s="71" t="n"/>
      <c r="M821" s="66" t="n"/>
      <c r="N821" s="80" t="n"/>
      <c r="O821" s="81" t="str">
        <f>IF(A821="","",ROUND(V821*IFERROR(N(INDEX(tech_rate,MATCH(M821,tech_name,0))),0),2))</f>
        <v/>
      </c>
      <c r="P821" s="80" t="n"/>
      <c r="Q821" s="81" t="str">
        <f>IF(A821="","",ROUND(Y821+O821+Z821,2))</f>
        <v/>
      </c>
      <c r="R821" s="79" t="str">
        <f>IF(A821="","",IF(S821=0,"Date manquante ou invalide",IF(C821="","Équipement manquant",IF(ISNA(MATCH(C821,eq_code,0)),"Équipement inconnu",IF(E821="","Type manquant",IF(AND(E821&lt;&gt;"Préventif",E821&lt;&gt;"Correctif",E821&lt;&gt;"Amélioratif"),"Type inconnu",IF(I821="","Statut manquant",IF(AND(I821&lt;&gt;"Terminée",I821&lt;&gt;"En cours",I821&lt;&gt;"À faire",I821&lt;&gt;"Annulée"),"Statut inconnu",IF(AND(E821="Préventif",F821=""),"Plan manquant (préventif)",IF(AND(F821&lt;&gt;"",ISNA(MATCH(F821,pl_num,0))),"Plan inconnu",IF(AND(F821&lt;&gt;"",IFERROR(INDEX(pl_eq,MATCH(F821,pl_num,0))&amp;"",C821)&lt;&gt;C821),"Plan d'un autre équipement",IF(AND(J821&lt;&gt;"",OR(NOT(ISNUMBER(J821)),N(J821)&lt;0)),"Compteur invalide",IF(OR(AND(K821&lt;&gt;"",OR(NOT(ISNUMBER(K821)),N(K821)&lt;0)),AND(L821&lt;&gt;"",OR(NOT(ISNUMBER(L821)),N(L821)&lt;0))),"Durée invalide",IF(OR(AND(N821&lt;&gt;"",OR(NOT(ISNUMBER(N821)),N(N821)&lt;0)),AND(P821&lt;&gt;"",OR(NOT(ISNUMBER(P821)),N(P821)&lt;0))),"Coût invalide",IF(AND(M821&lt;&gt;"",ISNA(MATCH(M821,tech_name,0))),"Technicien inconnu",IF(AND(I821="Terminée",S821&gt;p_today),"Terminée à une date future",IF(AND(I821="Terminée",V821=0),"Durée d'intervention manquante",IF(AND(I821="Terminée",E821="Préventif",T821=0,OR(IFERROR(INDEX(pl_trig,MATCH(F821,pl_num,0))&amp;"","")="Compteur",IFERROR(INDEX(pl_trig,MATCH(F821,pl_num,0))&amp;"","")="Au premier des deux")),"Compteur manquant (plan au compteur)","OK"))))))))))))))))))</f>
        <v/>
      </c>
      <c r="S821" s="67">
        <f>IF(AND(ISNUMBER(B821),N(B821)&gt;0),INT(B821),0)</f>
        <v>0.0</v>
      </c>
      <c r="T821" s="67">
        <f>IF(AND(ISNUMBER(J821),N(J821)&gt;=0),N(J821),0)</f>
        <v>0.0</v>
      </c>
      <c r="U821" s="67">
        <f>IF(AND(ISNUMBER(K821),N(K821)&gt;0),N(K821),0)</f>
        <v>0.0</v>
      </c>
      <c r="V821" s="67">
        <f>IF(AND(ISNUMBER(L821),N(L821)&gt;0),N(L821),0)</f>
        <v>0.0</v>
      </c>
      <c r="W821" s="67">
        <f>IF(AND(I821="Terminée",S821&gt;0,C821&lt;&gt;"",ISNUMBER(MATCH(C821,eq_code,0))),1,0)</f>
        <v>0.0</v>
      </c>
      <c r="X821" s="67">
        <f>IF(AND(W821=1,E821="Préventif"),1,0)</f>
        <v>0.0</v>
      </c>
      <c r="Y821" s="67">
        <f>IF(AND(ISNUMBER(N821),N(N821)&gt;0),N(N821),0)</f>
        <v>0.0</v>
      </c>
      <c r="Z821" s="67">
        <f>IF(AND(ISNUMBER(P821),N(P821)&gt;0),N(P821),0)</f>
        <v>0.0</v>
      </c>
    </row>
    <row r="822">
      <c r="A822" s="79" t="str">
        <f>IF(COUNTA(B822:C822,E822:G822,I822)=0,"","BI-"&amp;RIGHT("0000"&amp;(ROW()-5),4))</f>
        <v/>
      </c>
      <c r="B822" s="72" t="n"/>
      <c r="C822" s="66" t="n"/>
      <c r="D822" s="67" t="str">
        <f>IF(C822="","",IFERROR(INDEX(eq_des,MATCH(C822,eq_code,0))&amp;"","Équipement inconnu"))</f>
        <v/>
      </c>
      <c r="E822" s="68" t="n"/>
      <c r="F822" s="68" t="n"/>
      <c r="G822" s="66" t="n"/>
      <c r="H822" s="66" t="n"/>
      <c r="I822" s="68" t="n"/>
      <c r="J822" s="73" t="n"/>
      <c r="K822" s="71" t="n"/>
      <c r="L822" s="71" t="n"/>
      <c r="M822" s="66" t="n"/>
      <c r="N822" s="80" t="n"/>
      <c r="O822" s="81" t="str">
        <f>IF(A822="","",ROUND(V822*IFERROR(N(INDEX(tech_rate,MATCH(M822,tech_name,0))),0),2))</f>
        <v/>
      </c>
      <c r="P822" s="80" t="n"/>
      <c r="Q822" s="81" t="str">
        <f>IF(A822="","",ROUND(Y822+O822+Z822,2))</f>
        <v/>
      </c>
      <c r="R822" s="79" t="str">
        <f>IF(A822="","",IF(S822=0,"Date manquante ou invalide",IF(C822="","Équipement manquant",IF(ISNA(MATCH(C822,eq_code,0)),"Équipement inconnu",IF(E822="","Type manquant",IF(AND(E822&lt;&gt;"Préventif",E822&lt;&gt;"Correctif",E822&lt;&gt;"Amélioratif"),"Type inconnu",IF(I822="","Statut manquant",IF(AND(I822&lt;&gt;"Terminée",I822&lt;&gt;"En cours",I822&lt;&gt;"À faire",I822&lt;&gt;"Annulée"),"Statut inconnu",IF(AND(E822="Préventif",F822=""),"Plan manquant (préventif)",IF(AND(F822&lt;&gt;"",ISNA(MATCH(F822,pl_num,0))),"Plan inconnu",IF(AND(F822&lt;&gt;"",IFERROR(INDEX(pl_eq,MATCH(F822,pl_num,0))&amp;"",C822)&lt;&gt;C822),"Plan d'un autre équipement",IF(AND(J822&lt;&gt;"",OR(NOT(ISNUMBER(J822)),N(J822)&lt;0)),"Compteur invalide",IF(OR(AND(K822&lt;&gt;"",OR(NOT(ISNUMBER(K822)),N(K822)&lt;0)),AND(L822&lt;&gt;"",OR(NOT(ISNUMBER(L822)),N(L822)&lt;0))),"Durée invalide",IF(OR(AND(N822&lt;&gt;"",OR(NOT(ISNUMBER(N822)),N(N822)&lt;0)),AND(P822&lt;&gt;"",OR(NOT(ISNUMBER(P822)),N(P822)&lt;0))),"Coût invalide",IF(AND(M822&lt;&gt;"",ISNA(MATCH(M822,tech_name,0))),"Technicien inconnu",IF(AND(I822="Terminée",S822&gt;p_today),"Terminée à une date future",IF(AND(I822="Terminée",V822=0),"Durée d'intervention manquante",IF(AND(I822="Terminée",E822="Préventif",T822=0,OR(IFERROR(INDEX(pl_trig,MATCH(F822,pl_num,0))&amp;"","")="Compteur",IFERROR(INDEX(pl_trig,MATCH(F822,pl_num,0))&amp;"","")="Au premier des deux")),"Compteur manquant (plan au compteur)","OK"))))))))))))))))))</f>
        <v/>
      </c>
      <c r="S822" s="67">
        <f>IF(AND(ISNUMBER(B822),N(B822)&gt;0),INT(B822),0)</f>
        <v>0.0</v>
      </c>
      <c r="T822" s="67">
        <f>IF(AND(ISNUMBER(J822),N(J822)&gt;=0),N(J822),0)</f>
        <v>0.0</v>
      </c>
      <c r="U822" s="67">
        <f>IF(AND(ISNUMBER(K822),N(K822)&gt;0),N(K822),0)</f>
        <v>0.0</v>
      </c>
      <c r="V822" s="67">
        <f>IF(AND(ISNUMBER(L822),N(L822)&gt;0),N(L822),0)</f>
        <v>0.0</v>
      </c>
      <c r="W822" s="67">
        <f>IF(AND(I822="Terminée",S822&gt;0,C822&lt;&gt;"",ISNUMBER(MATCH(C822,eq_code,0))),1,0)</f>
        <v>0.0</v>
      </c>
      <c r="X822" s="67">
        <f>IF(AND(W822=1,E822="Préventif"),1,0)</f>
        <v>0.0</v>
      </c>
      <c r="Y822" s="67">
        <f>IF(AND(ISNUMBER(N822),N(N822)&gt;0),N(N822),0)</f>
        <v>0.0</v>
      </c>
      <c r="Z822" s="67">
        <f>IF(AND(ISNUMBER(P822),N(P822)&gt;0),N(P822),0)</f>
        <v>0.0</v>
      </c>
    </row>
    <row r="823">
      <c r="A823" s="79" t="str">
        <f>IF(COUNTA(B823:C823,E823:G823,I823)=0,"","BI-"&amp;RIGHT("0000"&amp;(ROW()-5),4))</f>
        <v/>
      </c>
      <c r="B823" s="72" t="n"/>
      <c r="C823" s="66" t="n"/>
      <c r="D823" s="67" t="str">
        <f>IF(C823="","",IFERROR(INDEX(eq_des,MATCH(C823,eq_code,0))&amp;"","Équipement inconnu"))</f>
        <v/>
      </c>
      <c r="E823" s="68" t="n"/>
      <c r="F823" s="68" t="n"/>
      <c r="G823" s="66" t="n"/>
      <c r="H823" s="66" t="n"/>
      <c r="I823" s="68" t="n"/>
      <c r="J823" s="73" t="n"/>
      <c r="K823" s="71" t="n"/>
      <c r="L823" s="71" t="n"/>
      <c r="M823" s="66" t="n"/>
      <c r="N823" s="80" t="n"/>
      <c r="O823" s="81" t="str">
        <f>IF(A823="","",ROUND(V823*IFERROR(N(INDEX(tech_rate,MATCH(M823,tech_name,0))),0),2))</f>
        <v/>
      </c>
      <c r="P823" s="80" t="n"/>
      <c r="Q823" s="81" t="str">
        <f>IF(A823="","",ROUND(Y823+O823+Z823,2))</f>
        <v/>
      </c>
      <c r="R823" s="79" t="str">
        <f>IF(A823="","",IF(S823=0,"Date manquante ou invalide",IF(C823="","Équipement manquant",IF(ISNA(MATCH(C823,eq_code,0)),"Équipement inconnu",IF(E823="","Type manquant",IF(AND(E823&lt;&gt;"Préventif",E823&lt;&gt;"Correctif",E823&lt;&gt;"Amélioratif"),"Type inconnu",IF(I823="","Statut manquant",IF(AND(I823&lt;&gt;"Terminée",I823&lt;&gt;"En cours",I823&lt;&gt;"À faire",I823&lt;&gt;"Annulée"),"Statut inconnu",IF(AND(E823="Préventif",F823=""),"Plan manquant (préventif)",IF(AND(F823&lt;&gt;"",ISNA(MATCH(F823,pl_num,0))),"Plan inconnu",IF(AND(F823&lt;&gt;"",IFERROR(INDEX(pl_eq,MATCH(F823,pl_num,0))&amp;"",C823)&lt;&gt;C823),"Plan d'un autre équipement",IF(AND(J823&lt;&gt;"",OR(NOT(ISNUMBER(J823)),N(J823)&lt;0)),"Compteur invalide",IF(OR(AND(K823&lt;&gt;"",OR(NOT(ISNUMBER(K823)),N(K823)&lt;0)),AND(L823&lt;&gt;"",OR(NOT(ISNUMBER(L823)),N(L823)&lt;0))),"Durée invalide",IF(OR(AND(N823&lt;&gt;"",OR(NOT(ISNUMBER(N823)),N(N823)&lt;0)),AND(P823&lt;&gt;"",OR(NOT(ISNUMBER(P823)),N(P823)&lt;0))),"Coût invalide",IF(AND(M823&lt;&gt;"",ISNA(MATCH(M823,tech_name,0))),"Technicien inconnu",IF(AND(I823="Terminée",S823&gt;p_today),"Terminée à une date future",IF(AND(I823="Terminée",V823=0),"Durée d'intervention manquante",IF(AND(I823="Terminée",E823="Préventif",T823=0,OR(IFERROR(INDEX(pl_trig,MATCH(F823,pl_num,0))&amp;"","")="Compteur",IFERROR(INDEX(pl_trig,MATCH(F823,pl_num,0))&amp;"","")="Au premier des deux")),"Compteur manquant (plan au compteur)","OK"))))))))))))))))))</f>
        <v/>
      </c>
      <c r="S823" s="67">
        <f>IF(AND(ISNUMBER(B823),N(B823)&gt;0),INT(B823),0)</f>
        <v>0.0</v>
      </c>
      <c r="T823" s="67">
        <f>IF(AND(ISNUMBER(J823),N(J823)&gt;=0),N(J823),0)</f>
        <v>0.0</v>
      </c>
      <c r="U823" s="67">
        <f>IF(AND(ISNUMBER(K823),N(K823)&gt;0),N(K823),0)</f>
        <v>0.0</v>
      </c>
      <c r="V823" s="67">
        <f>IF(AND(ISNUMBER(L823),N(L823)&gt;0),N(L823),0)</f>
        <v>0.0</v>
      </c>
      <c r="W823" s="67">
        <f>IF(AND(I823="Terminée",S823&gt;0,C823&lt;&gt;"",ISNUMBER(MATCH(C823,eq_code,0))),1,0)</f>
        <v>0.0</v>
      </c>
      <c r="X823" s="67">
        <f>IF(AND(W823=1,E823="Préventif"),1,0)</f>
        <v>0.0</v>
      </c>
      <c r="Y823" s="67">
        <f>IF(AND(ISNUMBER(N823),N(N823)&gt;0),N(N823),0)</f>
        <v>0.0</v>
      </c>
      <c r="Z823" s="67">
        <f>IF(AND(ISNUMBER(P823),N(P823)&gt;0),N(P823),0)</f>
        <v>0.0</v>
      </c>
    </row>
    <row r="824">
      <c r="A824" s="79" t="str">
        <f>IF(COUNTA(B824:C824,E824:G824,I824)=0,"","BI-"&amp;RIGHT("0000"&amp;(ROW()-5),4))</f>
        <v/>
      </c>
      <c r="B824" s="72" t="n"/>
      <c r="C824" s="66" t="n"/>
      <c r="D824" s="67" t="str">
        <f>IF(C824="","",IFERROR(INDEX(eq_des,MATCH(C824,eq_code,0))&amp;"","Équipement inconnu"))</f>
        <v/>
      </c>
      <c r="E824" s="68" t="n"/>
      <c r="F824" s="68" t="n"/>
      <c r="G824" s="66" t="n"/>
      <c r="H824" s="66" t="n"/>
      <c r="I824" s="68" t="n"/>
      <c r="J824" s="73" t="n"/>
      <c r="K824" s="71" t="n"/>
      <c r="L824" s="71" t="n"/>
      <c r="M824" s="66" t="n"/>
      <c r="N824" s="80" t="n"/>
      <c r="O824" s="81" t="str">
        <f>IF(A824="","",ROUND(V824*IFERROR(N(INDEX(tech_rate,MATCH(M824,tech_name,0))),0),2))</f>
        <v/>
      </c>
      <c r="P824" s="80" t="n"/>
      <c r="Q824" s="81" t="str">
        <f>IF(A824="","",ROUND(Y824+O824+Z824,2))</f>
        <v/>
      </c>
      <c r="R824" s="79" t="str">
        <f>IF(A824="","",IF(S824=0,"Date manquante ou invalide",IF(C824="","Équipement manquant",IF(ISNA(MATCH(C824,eq_code,0)),"Équipement inconnu",IF(E824="","Type manquant",IF(AND(E824&lt;&gt;"Préventif",E824&lt;&gt;"Correctif",E824&lt;&gt;"Amélioratif"),"Type inconnu",IF(I824="","Statut manquant",IF(AND(I824&lt;&gt;"Terminée",I824&lt;&gt;"En cours",I824&lt;&gt;"À faire",I824&lt;&gt;"Annulée"),"Statut inconnu",IF(AND(E824="Préventif",F824=""),"Plan manquant (préventif)",IF(AND(F824&lt;&gt;"",ISNA(MATCH(F824,pl_num,0))),"Plan inconnu",IF(AND(F824&lt;&gt;"",IFERROR(INDEX(pl_eq,MATCH(F824,pl_num,0))&amp;"",C824)&lt;&gt;C824),"Plan d'un autre équipement",IF(AND(J824&lt;&gt;"",OR(NOT(ISNUMBER(J824)),N(J824)&lt;0)),"Compteur invalide",IF(OR(AND(K824&lt;&gt;"",OR(NOT(ISNUMBER(K824)),N(K824)&lt;0)),AND(L824&lt;&gt;"",OR(NOT(ISNUMBER(L824)),N(L824)&lt;0))),"Durée invalide",IF(OR(AND(N824&lt;&gt;"",OR(NOT(ISNUMBER(N824)),N(N824)&lt;0)),AND(P824&lt;&gt;"",OR(NOT(ISNUMBER(P824)),N(P824)&lt;0))),"Coût invalide",IF(AND(M824&lt;&gt;"",ISNA(MATCH(M824,tech_name,0))),"Technicien inconnu",IF(AND(I824="Terminée",S824&gt;p_today),"Terminée à une date future",IF(AND(I824="Terminée",V824=0),"Durée d'intervention manquante",IF(AND(I824="Terminée",E824="Préventif",T824=0,OR(IFERROR(INDEX(pl_trig,MATCH(F824,pl_num,0))&amp;"","")="Compteur",IFERROR(INDEX(pl_trig,MATCH(F824,pl_num,0))&amp;"","")="Au premier des deux")),"Compteur manquant (plan au compteur)","OK"))))))))))))))))))</f>
        <v/>
      </c>
      <c r="S824" s="67">
        <f>IF(AND(ISNUMBER(B824),N(B824)&gt;0),INT(B824),0)</f>
        <v>0.0</v>
      </c>
      <c r="T824" s="67">
        <f>IF(AND(ISNUMBER(J824),N(J824)&gt;=0),N(J824),0)</f>
        <v>0.0</v>
      </c>
      <c r="U824" s="67">
        <f>IF(AND(ISNUMBER(K824),N(K824)&gt;0),N(K824),0)</f>
        <v>0.0</v>
      </c>
      <c r="V824" s="67">
        <f>IF(AND(ISNUMBER(L824),N(L824)&gt;0),N(L824),0)</f>
        <v>0.0</v>
      </c>
      <c r="W824" s="67">
        <f>IF(AND(I824="Terminée",S824&gt;0,C824&lt;&gt;"",ISNUMBER(MATCH(C824,eq_code,0))),1,0)</f>
        <v>0.0</v>
      </c>
      <c r="X824" s="67">
        <f>IF(AND(W824=1,E824="Préventif"),1,0)</f>
        <v>0.0</v>
      </c>
      <c r="Y824" s="67">
        <f>IF(AND(ISNUMBER(N824),N(N824)&gt;0),N(N824),0)</f>
        <v>0.0</v>
      </c>
      <c r="Z824" s="67">
        <f>IF(AND(ISNUMBER(P824),N(P824)&gt;0),N(P824),0)</f>
        <v>0.0</v>
      </c>
    </row>
    <row r="825">
      <c r="A825" s="79" t="str">
        <f>IF(COUNTA(B825:C825,E825:G825,I825)=0,"","BI-"&amp;RIGHT("0000"&amp;(ROW()-5),4))</f>
        <v/>
      </c>
      <c r="B825" s="72" t="n"/>
      <c r="C825" s="66" t="n"/>
      <c r="D825" s="67" t="str">
        <f>IF(C825="","",IFERROR(INDEX(eq_des,MATCH(C825,eq_code,0))&amp;"","Équipement inconnu"))</f>
        <v/>
      </c>
      <c r="E825" s="68" t="n"/>
      <c r="F825" s="68" t="n"/>
      <c r="G825" s="66" t="n"/>
      <c r="H825" s="66" t="n"/>
      <c r="I825" s="68" t="n"/>
      <c r="J825" s="73" t="n"/>
      <c r="K825" s="71" t="n"/>
      <c r="L825" s="71" t="n"/>
      <c r="M825" s="66" t="n"/>
      <c r="N825" s="80" t="n"/>
      <c r="O825" s="81" t="str">
        <f>IF(A825="","",ROUND(V825*IFERROR(N(INDEX(tech_rate,MATCH(M825,tech_name,0))),0),2))</f>
        <v/>
      </c>
      <c r="P825" s="80" t="n"/>
      <c r="Q825" s="81" t="str">
        <f>IF(A825="","",ROUND(Y825+O825+Z825,2))</f>
        <v/>
      </c>
      <c r="R825" s="79" t="str">
        <f>IF(A825="","",IF(S825=0,"Date manquante ou invalide",IF(C825="","Équipement manquant",IF(ISNA(MATCH(C825,eq_code,0)),"Équipement inconnu",IF(E825="","Type manquant",IF(AND(E825&lt;&gt;"Préventif",E825&lt;&gt;"Correctif",E825&lt;&gt;"Amélioratif"),"Type inconnu",IF(I825="","Statut manquant",IF(AND(I825&lt;&gt;"Terminée",I825&lt;&gt;"En cours",I825&lt;&gt;"À faire",I825&lt;&gt;"Annulée"),"Statut inconnu",IF(AND(E825="Préventif",F825=""),"Plan manquant (préventif)",IF(AND(F825&lt;&gt;"",ISNA(MATCH(F825,pl_num,0))),"Plan inconnu",IF(AND(F825&lt;&gt;"",IFERROR(INDEX(pl_eq,MATCH(F825,pl_num,0))&amp;"",C825)&lt;&gt;C825),"Plan d'un autre équipement",IF(AND(J825&lt;&gt;"",OR(NOT(ISNUMBER(J825)),N(J825)&lt;0)),"Compteur invalide",IF(OR(AND(K825&lt;&gt;"",OR(NOT(ISNUMBER(K825)),N(K825)&lt;0)),AND(L825&lt;&gt;"",OR(NOT(ISNUMBER(L825)),N(L825)&lt;0))),"Durée invalide",IF(OR(AND(N825&lt;&gt;"",OR(NOT(ISNUMBER(N825)),N(N825)&lt;0)),AND(P825&lt;&gt;"",OR(NOT(ISNUMBER(P825)),N(P825)&lt;0))),"Coût invalide",IF(AND(M825&lt;&gt;"",ISNA(MATCH(M825,tech_name,0))),"Technicien inconnu",IF(AND(I825="Terminée",S825&gt;p_today),"Terminée à une date future",IF(AND(I825="Terminée",V825=0),"Durée d'intervention manquante",IF(AND(I825="Terminée",E825="Préventif",T825=0,OR(IFERROR(INDEX(pl_trig,MATCH(F825,pl_num,0))&amp;"","")="Compteur",IFERROR(INDEX(pl_trig,MATCH(F825,pl_num,0))&amp;"","")="Au premier des deux")),"Compteur manquant (plan au compteur)","OK"))))))))))))))))))</f>
        <v/>
      </c>
      <c r="S825" s="67">
        <f>IF(AND(ISNUMBER(B825),N(B825)&gt;0),INT(B825),0)</f>
        <v>0.0</v>
      </c>
      <c r="T825" s="67">
        <f>IF(AND(ISNUMBER(J825),N(J825)&gt;=0),N(J825),0)</f>
        <v>0.0</v>
      </c>
      <c r="U825" s="67">
        <f>IF(AND(ISNUMBER(K825),N(K825)&gt;0),N(K825),0)</f>
        <v>0.0</v>
      </c>
      <c r="V825" s="67">
        <f>IF(AND(ISNUMBER(L825),N(L825)&gt;0),N(L825),0)</f>
        <v>0.0</v>
      </c>
      <c r="W825" s="67">
        <f>IF(AND(I825="Terminée",S825&gt;0,C825&lt;&gt;"",ISNUMBER(MATCH(C825,eq_code,0))),1,0)</f>
        <v>0.0</v>
      </c>
      <c r="X825" s="67">
        <f>IF(AND(W825=1,E825="Préventif"),1,0)</f>
        <v>0.0</v>
      </c>
      <c r="Y825" s="67">
        <f>IF(AND(ISNUMBER(N825),N(N825)&gt;0),N(N825),0)</f>
        <v>0.0</v>
      </c>
      <c r="Z825" s="67">
        <f>IF(AND(ISNUMBER(P825),N(P825)&gt;0),N(P825),0)</f>
        <v>0.0</v>
      </c>
    </row>
    <row r="826">
      <c r="A826" s="79" t="str">
        <f>IF(COUNTA(B826:C826,E826:G826,I826)=0,"","BI-"&amp;RIGHT("0000"&amp;(ROW()-5),4))</f>
        <v/>
      </c>
      <c r="B826" s="72" t="n"/>
      <c r="C826" s="66" t="n"/>
      <c r="D826" s="67" t="str">
        <f>IF(C826="","",IFERROR(INDEX(eq_des,MATCH(C826,eq_code,0))&amp;"","Équipement inconnu"))</f>
        <v/>
      </c>
      <c r="E826" s="68" t="n"/>
      <c r="F826" s="68" t="n"/>
      <c r="G826" s="66" t="n"/>
      <c r="H826" s="66" t="n"/>
      <c r="I826" s="68" t="n"/>
      <c r="J826" s="73" t="n"/>
      <c r="K826" s="71" t="n"/>
      <c r="L826" s="71" t="n"/>
      <c r="M826" s="66" t="n"/>
      <c r="N826" s="80" t="n"/>
      <c r="O826" s="81" t="str">
        <f>IF(A826="","",ROUND(V826*IFERROR(N(INDEX(tech_rate,MATCH(M826,tech_name,0))),0),2))</f>
        <v/>
      </c>
      <c r="P826" s="80" t="n"/>
      <c r="Q826" s="81" t="str">
        <f>IF(A826="","",ROUND(Y826+O826+Z826,2))</f>
        <v/>
      </c>
      <c r="R826" s="79" t="str">
        <f>IF(A826="","",IF(S826=0,"Date manquante ou invalide",IF(C826="","Équipement manquant",IF(ISNA(MATCH(C826,eq_code,0)),"Équipement inconnu",IF(E826="","Type manquant",IF(AND(E826&lt;&gt;"Préventif",E826&lt;&gt;"Correctif",E826&lt;&gt;"Amélioratif"),"Type inconnu",IF(I826="","Statut manquant",IF(AND(I826&lt;&gt;"Terminée",I826&lt;&gt;"En cours",I826&lt;&gt;"À faire",I826&lt;&gt;"Annulée"),"Statut inconnu",IF(AND(E826="Préventif",F826=""),"Plan manquant (préventif)",IF(AND(F826&lt;&gt;"",ISNA(MATCH(F826,pl_num,0))),"Plan inconnu",IF(AND(F826&lt;&gt;"",IFERROR(INDEX(pl_eq,MATCH(F826,pl_num,0))&amp;"",C826)&lt;&gt;C826),"Plan d'un autre équipement",IF(AND(J826&lt;&gt;"",OR(NOT(ISNUMBER(J826)),N(J826)&lt;0)),"Compteur invalide",IF(OR(AND(K826&lt;&gt;"",OR(NOT(ISNUMBER(K826)),N(K826)&lt;0)),AND(L826&lt;&gt;"",OR(NOT(ISNUMBER(L826)),N(L826)&lt;0))),"Durée invalide",IF(OR(AND(N826&lt;&gt;"",OR(NOT(ISNUMBER(N826)),N(N826)&lt;0)),AND(P826&lt;&gt;"",OR(NOT(ISNUMBER(P826)),N(P826)&lt;0))),"Coût invalide",IF(AND(M826&lt;&gt;"",ISNA(MATCH(M826,tech_name,0))),"Technicien inconnu",IF(AND(I826="Terminée",S826&gt;p_today),"Terminée à une date future",IF(AND(I826="Terminée",V826=0),"Durée d'intervention manquante",IF(AND(I826="Terminée",E826="Préventif",T826=0,OR(IFERROR(INDEX(pl_trig,MATCH(F826,pl_num,0))&amp;"","")="Compteur",IFERROR(INDEX(pl_trig,MATCH(F826,pl_num,0))&amp;"","")="Au premier des deux")),"Compteur manquant (plan au compteur)","OK"))))))))))))))))))</f>
        <v/>
      </c>
      <c r="S826" s="67">
        <f>IF(AND(ISNUMBER(B826),N(B826)&gt;0),INT(B826),0)</f>
        <v>0.0</v>
      </c>
      <c r="T826" s="67">
        <f>IF(AND(ISNUMBER(J826),N(J826)&gt;=0),N(J826),0)</f>
        <v>0.0</v>
      </c>
      <c r="U826" s="67">
        <f>IF(AND(ISNUMBER(K826),N(K826)&gt;0),N(K826),0)</f>
        <v>0.0</v>
      </c>
      <c r="V826" s="67">
        <f>IF(AND(ISNUMBER(L826),N(L826)&gt;0),N(L826),0)</f>
        <v>0.0</v>
      </c>
      <c r="W826" s="67">
        <f>IF(AND(I826="Terminée",S826&gt;0,C826&lt;&gt;"",ISNUMBER(MATCH(C826,eq_code,0))),1,0)</f>
        <v>0.0</v>
      </c>
      <c r="X826" s="67">
        <f>IF(AND(W826=1,E826="Préventif"),1,0)</f>
        <v>0.0</v>
      </c>
      <c r="Y826" s="67">
        <f>IF(AND(ISNUMBER(N826),N(N826)&gt;0),N(N826),0)</f>
        <v>0.0</v>
      </c>
      <c r="Z826" s="67">
        <f>IF(AND(ISNUMBER(P826),N(P826)&gt;0),N(P826),0)</f>
        <v>0.0</v>
      </c>
    </row>
    <row r="827">
      <c r="A827" s="79" t="str">
        <f>IF(COUNTA(B827:C827,E827:G827,I827)=0,"","BI-"&amp;RIGHT("0000"&amp;(ROW()-5),4))</f>
        <v/>
      </c>
      <c r="B827" s="72" t="n"/>
      <c r="C827" s="66" t="n"/>
      <c r="D827" s="67" t="str">
        <f>IF(C827="","",IFERROR(INDEX(eq_des,MATCH(C827,eq_code,0))&amp;"","Équipement inconnu"))</f>
        <v/>
      </c>
      <c r="E827" s="68" t="n"/>
      <c r="F827" s="68" t="n"/>
      <c r="G827" s="66" t="n"/>
      <c r="H827" s="66" t="n"/>
      <c r="I827" s="68" t="n"/>
      <c r="J827" s="73" t="n"/>
      <c r="K827" s="71" t="n"/>
      <c r="L827" s="71" t="n"/>
      <c r="M827" s="66" t="n"/>
      <c r="N827" s="80" t="n"/>
      <c r="O827" s="81" t="str">
        <f>IF(A827="","",ROUND(V827*IFERROR(N(INDEX(tech_rate,MATCH(M827,tech_name,0))),0),2))</f>
        <v/>
      </c>
      <c r="P827" s="80" t="n"/>
      <c r="Q827" s="81" t="str">
        <f>IF(A827="","",ROUND(Y827+O827+Z827,2))</f>
        <v/>
      </c>
      <c r="R827" s="79" t="str">
        <f>IF(A827="","",IF(S827=0,"Date manquante ou invalide",IF(C827="","Équipement manquant",IF(ISNA(MATCH(C827,eq_code,0)),"Équipement inconnu",IF(E827="","Type manquant",IF(AND(E827&lt;&gt;"Préventif",E827&lt;&gt;"Correctif",E827&lt;&gt;"Amélioratif"),"Type inconnu",IF(I827="","Statut manquant",IF(AND(I827&lt;&gt;"Terminée",I827&lt;&gt;"En cours",I827&lt;&gt;"À faire",I827&lt;&gt;"Annulée"),"Statut inconnu",IF(AND(E827="Préventif",F827=""),"Plan manquant (préventif)",IF(AND(F827&lt;&gt;"",ISNA(MATCH(F827,pl_num,0))),"Plan inconnu",IF(AND(F827&lt;&gt;"",IFERROR(INDEX(pl_eq,MATCH(F827,pl_num,0))&amp;"",C827)&lt;&gt;C827),"Plan d'un autre équipement",IF(AND(J827&lt;&gt;"",OR(NOT(ISNUMBER(J827)),N(J827)&lt;0)),"Compteur invalide",IF(OR(AND(K827&lt;&gt;"",OR(NOT(ISNUMBER(K827)),N(K827)&lt;0)),AND(L827&lt;&gt;"",OR(NOT(ISNUMBER(L827)),N(L827)&lt;0))),"Durée invalide",IF(OR(AND(N827&lt;&gt;"",OR(NOT(ISNUMBER(N827)),N(N827)&lt;0)),AND(P827&lt;&gt;"",OR(NOT(ISNUMBER(P827)),N(P827)&lt;0))),"Coût invalide",IF(AND(M827&lt;&gt;"",ISNA(MATCH(M827,tech_name,0))),"Technicien inconnu",IF(AND(I827="Terminée",S827&gt;p_today),"Terminée à une date future",IF(AND(I827="Terminée",V827=0),"Durée d'intervention manquante",IF(AND(I827="Terminée",E827="Préventif",T827=0,OR(IFERROR(INDEX(pl_trig,MATCH(F827,pl_num,0))&amp;"","")="Compteur",IFERROR(INDEX(pl_trig,MATCH(F827,pl_num,0))&amp;"","")="Au premier des deux")),"Compteur manquant (plan au compteur)","OK"))))))))))))))))))</f>
        <v/>
      </c>
      <c r="S827" s="67">
        <f>IF(AND(ISNUMBER(B827),N(B827)&gt;0),INT(B827),0)</f>
        <v>0.0</v>
      </c>
      <c r="T827" s="67">
        <f>IF(AND(ISNUMBER(J827),N(J827)&gt;=0),N(J827),0)</f>
        <v>0.0</v>
      </c>
      <c r="U827" s="67">
        <f>IF(AND(ISNUMBER(K827),N(K827)&gt;0),N(K827),0)</f>
        <v>0.0</v>
      </c>
      <c r="V827" s="67">
        <f>IF(AND(ISNUMBER(L827),N(L827)&gt;0),N(L827),0)</f>
        <v>0.0</v>
      </c>
      <c r="W827" s="67">
        <f>IF(AND(I827="Terminée",S827&gt;0,C827&lt;&gt;"",ISNUMBER(MATCH(C827,eq_code,0))),1,0)</f>
        <v>0.0</v>
      </c>
      <c r="X827" s="67">
        <f>IF(AND(W827=1,E827="Préventif"),1,0)</f>
        <v>0.0</v>
      </c>
      <c r="Y827" s="67">
        <f>IF(AND(ISNUMBER(N827),N(N827)&gt;0),N(N827),0)</f>
        <v>0.0</v>
      </c>
      <c r="Z827" s="67">
        <f>IF(AND(ISNUMBER(P827),N(P827)&gt;0),N(P827),0)</f>
        <v>0.0</v>
      </c>
    </row>
    <row r="828">
      <c r="A828" s="79" t="str">
        <f>IF(COUNTA(B828:C828,E828:G828,I828)=0,"","BI-"&amp;RIGHT("0000"&amp;(ROW()-5),4))</f>
        <v/>
      </c>
      <c r="B828" s="72" t="n"/>
      <c r="C828" s="66" t="n"/>
      <c r="D828" s="67" t="str">
        <f>IF(C828="","",IFERROR(INDEX(eq_des,MATCH(C828,eq_code,0))&amp;"","Équipement inconnu"))</f>
        <v/>
      </c>
      <c r="E828" s="68" t="n"/>
      <c r="F828" s="68" t="n"/>
      <c r="G828" s="66" t="n"/>
      <c r="H828" s="66" t="n"/>
      <c r="I828" s="68" t="n"/>
      <c r="J828" s="73" t="n"/>
      <c r="K828" s="71" t="n"/>
      <c r="L828" s="71" t="n"/>
      <c r="M828" s="66" t="n"/>
      <c r="N828" s="80" t="n"/>
      <c r="O828" s="81" t="str">
        <f>IF(A828="","",ROUND(V828*IFERROR(N(INDEX(tech_rate,MATCH(M828,tech_name,0))),0),2))</f>
        <v/>
      </c>
      <c r="P828" s="80" t="n"/>
      <c r="Q828" s="81" t="str">
        <f>IF(A828="","",ROUND(Y828+O828+Z828,2))</f>
        <v/>
      </c>
      <c r="R828" s="79" t="str">
        <f>IF(A828="","",IF(S828=0,"Date manquante ou invalide",IF(C828="","Équipement manquant",IF(ISNA(MATCH(C828,eq_code,0)),"Équipement inconnu",IF(E828="","Type manquant",IF(AND(E828&lt;&gt;"Préventif",E828&lt;&gt;"Correctif",E828&lt;&gt;"Amélioratif"),"Type inconnu",IF(I828="","Statut manquant",IF(AND(I828&lt;&gt;"Terminée",I828&lt;&gt;"En cours",I828&lt;&gt;"À faire",I828&lt;&gt;"Annulée"),"Statut inconnu",IF(AND(E828="Préventif",F828=""),"Plan manquant (préventif)",IF(AND(F828&lt;&gt;"",ISNA(MATCH(F828,pl_num,0))),"Plan inconnu",IF(AND(F828&lt;&gt;"",IFERROR(INDEX(pl_eq,MATCH(F828,pl_num,0))&amp;"",C828)&lt;&gt;C828),"Plan d'un autre équipement",IF(AND(J828&lt;&gt;"",OR(NOT(ISNUMBER(J828)),N(J828)&lt;0)),"Compteur invalide",IF(OR(AND(K828&lt;&gt;"",OR(NOT(ISNUMBER(K828)),N(K828)&lt;0)),AND(L828&lt;&gt;"",OR(NOT(ISNUMBER(L828)),N(L828)&lt;0))),"Durée invalide",IF(OR(AND(N828&lt;&gt;"",OR(NOT(ISNUMBER(N828)),N(N828)&lt;0)),AND(P828&lt;&gt;"",OR(NOT(ISNUMBER(P828)),N(P828)&lt;0))),"Coût invalide",IF(AND(M828&lt;&gt;"",ISNA(MATCH(M828,tech_name,0))),"Technicien inconnu",IF(AND(I828="Terminée",S828&gt;p_today),"Terminée à une date future",IF(AND(I828="Terminée",V828=0),"Durée d'intervention manquante",IF(AND(I828="Terminée",E828="Préventif",T828=0,OR(IFERROR(INDEX(pl_trig,MATCH(F828,pl_num,0))&amp;"","")="Compteur",IFERROR(INDEX(pl_trig,MATCH(F828,pl_num,0))&amp;"","")="Au premier des deux")),"Compteur manquant (plan au compteur)","OK"))))))))))))))))))</f>
        <v/>
      </c>
      <c r="S828" s="67">
        <f>IF(AND(ISNUMBER(B828),N(B828)&gt;0),INT(B828),0)</f>
        <v>0.0</v>
      </c>
      <c r="T828" s="67">
        <f>IF(AND(ISNUMBER(J828),N(J828)&gt;=0),N(J828),0)</f>
        <v>0.0</v>
      </c>
      <c r="U828" s="67">
        <f>IF(AND(ISNUMBER(K828),N(K828)&gt;0),N(K828),0)</f>
        <v>0.0</v>
      </c>
      <c r="V828" s="67">
        <f>IF(AND(ISNUMBER(L828),N(L828)&gt;0),N(L828),0)</f>
        <v>0.0</v>
      </c>
      <c r="W828" s="67">
        <f>IF(AND(I828="Terminée",S828&gt;0,C828&lt;&gt;"",ISNUMBER(MATCH(C828,eq_code,0))),1,0)</f>
        <v>0.0</v>
      </c>
      <c r="X828" s="67">
        <f>IF(AND(W828=1,E828="Préventif"),1,0)</f>
        <v>0.0</v>
      </c>
      <c r="Y828" s="67">
        <f>IF(AND(ISNUMBER(N828),N(N828)&gt;0),N(N828),0)</f>
        <v>0.0</v>
      </c>
      <c r="Z828" s="67">
        <f>IF(AND(ISNUMBER(P828),N(P828)&gt;0),N(P828),0)</f>
        <v>0.0</v>
      </c>
    </row>
    <row r="829">
      <c r="A829" s="79" t="str">
        <f>IF(COUNTA(B829:C829,E829:G829,I829)=0,"","BI-"&amp;RIGHT("0000"&amp;(ROW()-5),4))</f>
        <v/>
      </c>
      <c r="B829" s="72" t="n"/>
      <c r="C829" s="66" t="n"/>
      <c r="D829" s="67" t="str">
        <f>IF(C829="","",IFERROR(INDEX(eq_des,MATCH(C829,eq_code,0))&amp;"","Équipement inconnu"))</f>
        <v/>
      </c>
      <c r="E829" s="68" t="n"/>
      <c r="F829" s="68" t="n"/>
      <c r="G829" s="66" t="n"/>
      <c r="H829" s="66" t="n"/>
      <c r="I829" s="68" t="n"/>
      <c r="J829" s="73" t="n"/>
      <c r="K829" s="71" t="n"/>
      <c r="L829" s="71" t="n"/>
      <c r="M829" s="66" t="n"/>
      <c r="N829" s="80" t="n"/>
      <c r="O829" s="81" t="str">
        <f>IF(A829="","",ROUND(V829*IFERROR(N(INDEX(tech_rate,MATCH(M829,tech_name,0))),0),2))</f>
        <v/>
      </c>
      <c r="P829" s="80" t="n"/>
      <c r="Q829" s="81" t="str">
        <f>IF(A829="","",ROUND(Y829+O829+Z829,2))</f>
        <v/>
      </c>
      <c r="R829" s="79" t="str">
        <f>IF(A829="","",IF(S829=0,"Date manquante ou invalide",IF(C829="","Équipement manquant",IF(ISNA(MATCH(C829,eq_code,0)),"Équipement inconnu",IF(E829="","Type manquant",IF(AND(E829&lt;&gt;"Préventif",E829&lt;&gt;"Correctif",E829&lt;&gt;"Amélioratif"),"Type inconnu",IF(I829="","Statut manquant",IF(AND(I829&lt;&gt;"Terminée",I829&lt;&gt;"En cours",I829&lt;&gt;"À faire",I829&lt;&gt;"Annulée"),"Statut inconnu",IF(AND(E829="Préventif",F829=""),"Plan manquant (préventif)",IF(AND(F829&lt;&gt;"",ISNA(MATCH(F829,pl_num,0))),"Plan inconnu",IF(AND(F829&lt;&gt;"",IFERROR(INDEX(pl_eq,MATCH(F829,pl_num,0))&amp;"",C829)&lt;&gt;C829),"Plan d'un autre équipement",IF(AND(J829&lt;&gt;"",OR(NOT(ISNUMBER(J829)),N(J829)&lt;0)),"Compteur invalide",IF(OR(AND(K829&lt;&gt;"",OR(NOT(ISNUMBER(K829)),N(K829)&lt;0)),AND(L829&lt;&gt;"",OR(NOT(ISNUMBER(L829)),N(L829)&lt;0))),"Durée invalide",IF(OR(AND(N829&lt;&gt;"",OR(NOT(ISNUMBER(N829)),N(N829)&lt;0)),AND(P829&lt;&gt;"",OR(NOT(ISNUMBER(P829)),N(P829)&lt;0))),"Coût invalide",IF(AND(M829&lt;&gt;"",ISNA(MATCH(M829,tech_name,0))),"Technicien inconnu",IF(AND(I829="Terminée",S829&gt;p_today),"Terminée à une date future",IF(AND(I829="Terminée",V829=0),"Durée d'intervention manquante",IF(AND(I829="Terminée",E829="Préventif",T829=0,OR(IFERROR(INDEX(pl_trig,MATCH(F829,pl_num,0))&amp;"","")="Compteur",IFERROR(INDEX(pl_trig,MATCH(F829,pl_num,0))&amp;"","")="Au premier des deux")),"Compteur manquant (plan au compteur)","OK"))))))))))))))))))</f>
        <v/>
      </c>
      <c r="S829" s="67">
        <f>IF(AND(ISNUMBER(B829),N(B829)&gt;0),INT(B829),0)</f>
        <v>0.0</v>
      </c>
      <c r="T829" s="67">
        <f>IF(AND(ISNUMBER(J829),N(J829)&gt;=0),N(J829),0)</f>
        <v>0.0</v>
      </c>
      <c r="U829" s="67">
        <f>IF(AND(ISNUMBER(K829),N(K829)&gt;0),N(K829),0)</f>
        <v>0.0</v>
      </c>
      <c r="V829" s="67">
        <f>IF(AND(ISNUMBER(L829),N(L829)&gt;0),N(L829),0)</f>
        <v>0.0</v>
      </c>
      <c r="W829" s="67">
        <f>IF(AND(I829="Terminée",S829&gt;0,C829&lt;&gt;"",ISNUMBER(MATCH(C829,eq_code,0))),1,0)</f>
        <v>0.0</v>
      </c>
      <c r="X829" s="67">
        <f>IF(AND(W829=1,E829="Préventif"),1,0)</f>
        <v>0.0</v>
      </c>
      <c r="Y829" s="67">
        <f>IF(AND(ISNUMBER(N829),N(N829)&gt;0),N(N829),0)</f>
        <v>0.0</v>
      </c>
      <c r="Z829" s="67">
        <f>IF(AND(ISNUMBER(P829),N(P829)&gt;0),N(P829),0)</f>
        <v>0.0</v>
      </c>
    </row>
    <row r="830">
      <c r="A830" s="79" t="str">
        <f>IF(COUNTA(B830:C830,E830:G830,I830)=0,"","BI-"&amp;RIGHT("0000"&amp;(ROW()-5),4))</f>
        <v/>
      </c>
      <c r="B830" s="72" t="n"/>
      <c r="C830" s="66" t="n"/>
      <c r="D830" s="67" t="str">
        <f>IF(C830="","",IFERROR(INDEX(eq_des,MATCH(C830,eq_code,0))&amp;"","Équipement inconnu"))</f>
        <v/>
      </c>
      <c r="E830" s="68" t="n"/>
      <c r="F830" s="68" t="n"/>
      <c r="G830" s="66" t="n"/>
      <c r="H830" s="66" t="n"/>
      <c r="I830" s="68" t="n"/>
      <c r="J830" s="73" t="n"/>
      <c r="K830" s="71" t="n"/>
      <c r="L830" s="71" t="n"/>
      <c r="M830" s="66" t="n"/>
      <c r="N830" s="80" t="n"/>
      <c r="O830" s="81" t="str">
        <f>IF(A830="","",ROUND(V830*IFERROR(N(INDEX(tech_rate,MATCH(M830,tech_name,0))),0),2))</f>
        <v/>
      </c>
      <c r="P830" s="80" t="n"/>
      <c r="Q830" s="81" t="str">
        <f>IF(A830="","",ROUND(Y830+O830+Z830,2))</f>
        <v/>
      </c>
      <c r="R830" s="79" t="str">
        <f>IF(A830="","",IF(S830=0,"Date manquante ou invalide",IF(C830="","Équipement manquant",IF(ISNA(MATCH(C830,eq_code,0)),"Équipement inconnu",IF(E830="","Type manquant",IF(AND(E830&lt;&gt;"Préventif",E830&lt;&gt;"Correctif",E830&lt;&gt;"Amélioratif"),"Type inconnu",IF(I830="","Statut manquant",IF(AND(I830&lt;&gt;"Terminée",I830&lt;&gt;"En cours",I830&lt;&gt;"À faire",I830&lt;&gt;"Annulée"),"Statut inconnu",IF(AND(E830="Préventif",F830=""),"Plan manquant (préventif)",IF(AND(F830&lt;&gt;"",ISNA(MATCH(F830,pl_num,0))),"Plan inconnu",IF(AND(F830&lt;&gt;"",IFERROR(INDEX(pl_eq,MATCH(F830,pl_num,0))&amp;"",C830)&lt;&gt;C830),"Plan d'un autre équipement",IF(AND(J830&lt;&gt;"",OR(NOT(ISNUMBER(J830)),N(J830)&lt;0)),"Compteur invalide",IF(OR(AND(K830&lt;&gt;"",OR(NOT(ISNUMBER(K830)),N(K830)&lt;0)),AND(L830&lt;&gt;"",OR(NOT(ISNUMBER(L830)),N(L830)&lt;0))),"Durée invalide",IF(OR(AND(N830&lt;&gt;"",OR(NOT(ISNUMBER(N830)),N(N830)&lt;0)),AND(P830&lt;&gt;"",OR(NOT(ISNUMBER(P830)),N(P830)&lt;0))),"Coût invalide",IF(AND(M830&lt;&gt;"",ISNA(MATCH(M830,tech_name,0))),"Technicien inconnu",IF(AND(I830="Terminée",S830&gt;p_today),"Terminée à une date future",IF(AND(I830="Terminée",V830=0),"Durée d'intervention manquante",IF(AND(I830="Terminée",E830="Préventif",T830=0,OR(IFERROR(INDEX(pl_trig,MATCH(F830,pl_num,0))&amp;"","")="Compteur",IFERROR(INDEX(pl_trig,MATCH(F830,pl_num,0))&amp;"","")="Au premier des deux")),"Compteur manquant (plan au compteur)","OK"))))))))))))))))))</f>
        <v/>
      </c>
      <c r="S830" s="67">
        <f>IF(AND(ISNUMBER(B830),N(B830)&gt;0),INT(B830),0)</f>
        <v>0.0</v>
      </c>
      <c r="T830" s="67">
        <f>IF(AND(ISNUMBER(J830),N(J830)&gt;=0),N(J830),0)</f>
        <v>0.0</v>
      </c>
      <c r="U830" s="67">
        <f>IF(AND(ISNUMBER(K830),N(K830)&gt;0),N(K830),0)</f>
        <v>0.0</v>
      </c>
      <c r="V830" s="67">
        <f>IF(AND(ISNUMBER(L830),N(L830)&gt;0),N(L830),0)</f>
        <v>0.0</v>
      </c>
      <c r="W830" s="67">
        <f>IF(AND(I830="Terminée",S830&gt;0,C830&lt;&gt;"",ISNUMBER(MATCH(C830,eq_code,0))),1,0)</f>
        <v>0.0</v>
      </c>
      <c r="X830" s="67">
        <f>IF(AND(W830=1,E830="Préventif"),1,0)</f>
        <v>0.0</v>
      </c>
      <c r="Y830" s="67">
        <f>IF(AND(ISNUMBER(N830),N(N830)&gt;0),N(N830),0)</f>
        <v>0.0</v>
      </c>
      <c r="Z830" s="67">
        <f>IF(AND(ISNUMBER(P830),N(P830)&gt;0),N(P830),0)</f>
        <v>0.0</v>
      </c>
    </row>
    <row r="831">
      <c r="A831" s="79" t="str">
        <f>IF(COUNTA(B831:C831,E831:G831,I831)=0,"","BI-"&amp;RIGHT("0000"&amp;(ROW()-5),4))</f>
        <v/>
      </c>
      <c r="B831" s="72" t="n"/>
      <c r="C831" s="66" t="n"/>
      <c r="D831" s="67" t="str">
        <f>IF(C831="","",IFERROR(INDEX(eq_des,MATCH(C831,eq_code,0))&amp;"","Équipement inconnu"))</f>
        <v/>
      </c>
      <c r="E831" s="68" t="n"/>
      <c r="F831" s="68" t="n"/>
      <c r="G831" s="66" t="n"/>
      <c r="H831" s="66" t="n"/>
      <c r="I831" s="68" t="n"/>
      <c r="J831" s="73" t="n"/>
      <c r="K831" s="71" t="n"/>
      <c r="L831" s="71" t="n"/>
      <c r="M831" s="66" t="n"/>
      <c r="N831" s="80" t="n"/>
      <c r="O831" s="81" t="str">
        <f>IF(A831="","",ROUND(V831*IFERROR(N(INDEX(tech_rate,MATCH(M831,tech_name,0))),0),2))</f>
        <v/>
      </c>
      <c r="P831" s="80" t="n"/>
      <c r="Q831" s="81" t="str">
        <f>IF(A831="","",ROUND(Y831+O831+Z831,2))</f>
        <v/>
      </c>
      <c r="R831" s="79" t="str">
        <f>IF(A831="","",IF(S831=0,"Date manquante ou invalide",IF(C831="","Équipement manquant",IF(ISNA(MATCH(C831,eq_code,0)),"Équipement inconnu",IF(E831="","Type manquant",IF(AND(E831&lt;&gt;"Préventif",E831&lt;&gt;"Correctif",E831&lt;&gt;"Amélioratif"),"Type inconnu",IF(I831="","Statut manquant",IF(AND(I831&lt;&gt;"Terminée",I831&lt;&gt;"En cours",I831&lt;&gt;"À faire",I831&lt;&gt;"Annulée"),"Statut inconnu",IF(AND(E831="Préventif",F831=""),"Plan manquant (préventif)",IF(AND(F831&lt;&gt;"",ISNA(MATCH(F831,pl_num,0))),"Plan inconnu",IF(AND(F831&lt;&gt;"",IFERROR(INDEX(pl_eq,MATCH(F831,pl_num,0))&amp;"",C831)&lt;&gt;C831),"Plan d'un autre équipement",IF(AND(J831&lt;&gt;"",OR(NOT(ISNUMBER(J831)),N(J831)&lt;0)),"Compteur invalide",IF(OR(AND(K831&lt;&gt;"",OR(NOT(ISNUMBER(K831)),N(K831)&lt;0)),AND(L831&lt;&gt;"",OR(NOT(ISNUMBER(L831)),N(L831)&lt;0))),"Durée invalide",IF(OR(AND(N831&lt;&gt;"",OR(NOT(ISNUMBER(N831)),N(N831)&lt;0)),AND(P831&lt;&gt;"",OR(NOT(ISNUMBER(P831)),N(P831)&lt;0))),"Coût invalide",IF(AND(M831&lt;&gt;"",ISNA(MATCH(M831,tech_name,0))),"Technicien inconnu",IF(AND(I831="Terminée",S831&gt;p_today),"Terminée à une date future",IF(AND(I831="Terminée",V831=0),"Durée d'intervention manquante",IF(AND(I831="Terminée",E831="Préventif",T831=0,OR(IFERROR(INDEX(pl_trig,MATCH(F831,pl_num,0))&amp;"","")="Compteur",IFERROR(INDEX(pl_trig,MATCH(F831,pl_num,0))&amp;"","")="Au premier des deux")),"Compteur manquant (plan au compteur)","OK"))))))))))))))))))</f>
        <v/>
      </c>
      <c r="S831" s="67">
        <f>IF(AND(ISNUMBER(B831),N(B831)&gt;0),INT(B831),0)</f>
        <v>0.0</v>
      </c>
      <c r="T831" s="67">
        <f>IF(AND(ISNUMBER(J831),N(J831)&gt;=0),N(J831),0)</f>
        <v>0.0</v>
      </c>
      <c r="U831" s="67">
        <f>IF(AND(ISNUMBER(K831),N(K831)&gt;0),N(K831),0)</f>
        <v>0.0</v>
      </c>
      <c r="V831" s="67">
        <f>IF(AND(ISNUMBER(L831),N(L831)&gt;0),N(L831),0)</f>
        <v>0.0</v>
      </c>
      <c r="W831" s="67">
        <f>IF(AND(I831="Terminée",S831&gt;0,C831&lt;&gt;"",ISNUMBER(MATCH(C831,eq_code,0))),1,0)</f>
        <v>0.0</v>
      </c>
      <c r="X831" s="67">
        <f>IF(AND(W831=1,E831="Préventif"),1,0)</f>
        <v>0.0</v>
      </c>
      <c r="Y831" s="67">
        <f>IF(AND(ISNUMBER(N831),N(N831)&gt;0),N(N831),0)</f>
        <v>0.0</v>
      </c>
      <c r="Z831" s="67">
        <f>IF(AND(ISNUMBER(P831),N(P831)&gt;0),N(P831),0)</f>
        <v>0.0</v>
      </c>
    </row>
    <row r="832">
      <c r="A832" s="79" t="str">
        <f>IF(COUNTA(B832:C832,E832:G832,I832)=0,"","BI-"&amp;RIGHT("0000"&amp;(ROW()-5),4))</f>
        <v/>
      </c>
      <c r="B832" s="72" t="n"/>
      <c r="C832" s="66" t="n"/>
      <c r="D832" s="67" t="str">
        <f>IF(C832="","",IFERROR(INDEX(eq_des,MATCH(C832,eq_code,0))&amp;"","Équipement inconnu"))</f>
        <v/>
      </c>
      <c r="E832" s="68" t="n"/>
      <c r="F832" s="68" t="n"/>
      <c r="G832" s="66" t="n"/>
      <c r="H832" s="66" t="n"/>
      <c r="I832" s="68" t="n"/>
      <c r="J832" s="73" t="n"/>
      <c r="K832" s="71" t="n"/>
      <c r="L832" s="71" t="n"/>
      <c r="M832" s="66" t="n"/>
      <c r="N832" s="80" t="n"/>
      <c r="O832" s="81" t="str">
        <f>IF(A832="","",ROUND(V832*IFERROR(N(INDEX(tech_rate,MATCH(M832,tech_name,0))),0),2))</f>
        <v/>
      </c>
      <c r="P832" s="80" t="n"/>
      <c r="Q832" s="81" t="str">
        <f>IF(A832="","",ROUND(Y832+O832+Z832,2))</f>
        <v/>
      </c>
      <c r="R832" s="79" t="str">
        <f>IF(A832="","",IF(S832=0,"Date manquante ou invalide",IF(C832="","Équipement manquant",IF(ISNA(MATCH(C832,eq_code,0)),"Équipement inconnu",IF(E832="","Type manquant",IF(AND(E832&lt;&gt;"Préventif",E832&lt;&gt;"Correctif",E832&lt;&gt;"Amélioratif"),"Type inconnu",IF(I832="","Statut manquant",IF(AND(I832&lt;&gt;"Terminée",I832&lt;&gt;"En cours",I832&lt;&gt;"À faire",I832&lt;&gt;"Annulée"),"Statut inconnu",IF(AND(E832="Préventif",F832=""),"Plan manquant (préventif)",IF(AND(F832&lt;&gt;"",ISNA(MATCH(F832,pl_num,0))),"Plan inconnu",IF(AND(F832&lt;&gt;"",IFERROR(INDEX(pl_eq,MATCH(F832,pl_num,0))&amp;"",C832)&lt;&gt;C832),"Plan d'un autre équipement",IF(AND(J832&lt;&gt;"",OR(NOT(ISNUMBER(J832)),N(J832)&lt;0)),"Compteur invalide",IF(OR(AND(K832&lt;&gt;"",OR(NOT(ISNUMBER(K832)),N(K832)&lt;0)),AND(L832&lt;&gt;"",OR(NOT(ISNUMBER(L832)),N(L832)&lt;0))),"Durée invalide",IF(OR(AND(N832&lt;&gt;"",OR(NOT(ISNUMBER(N832)),N(N832)&lt;0)),AND(P832&lt;&gt;"",OR(NOT(ISNUMBER(P832)),N(P832)&lt;0))),"Coût invalide",IF(AND(M832&lt;&gt;"",ISNA(MATCH(M832,tech_name,0))),"Technicien inconnu",IF(AND(I832="Terminée",S832&gt;p_today),"Terminée à une date future",IF(AND(I832="Terminée",V832=0),"Durée d'intervention manquante",IF(AND(I832="Terminée",E832="Préventif",T832=0,OR(IFERROR(INDEX(pl_trig,MATCH(F832,pl_num,0))&amp;"","")="Compteur",IFERROR(INDEX(pl_trig,MATCH(F832,pl_num,0))&amp;"","")="Au premier des deux")),"Compteur manquant (plan au compteur)","OK"))))))))))))))))))</f>
        <v/>
      </c>
      <c r="S832" s="67">
        <f>IF(AND(ISNUMBER(B832),N(B832)&gt;0),INT(B832),0)</f>
        <v>0.0</v>
      </c>
      <c r="T832" s="67">
        <f>IF(AND(ISNUMBER(J832),N(J832)&gt;=0),N(J832),0)</f>
        <v>0.0</v>
      </c>
      <c r="U832" s="67">
        <f>IF(AND(ISNUMBER(K832),N(K832)&gt;0),N(K832),0)</f>
        <v>0.0</v>
      </c>
      <c r="V832" s="67">
        <f>IF(AND(ISNUMBER(L832),N(L832)&gt;0),N(L832),0)</f>
        <v>0.0</v>
      </c>
      <c r="W832" s="67">
        <f>IF(AND(I832="Terminée",S832&gt;0,C832&lt;&gt;"",ISNUMBER(MATCH(C832,eq_code,0))),1,0)</f>
        <v>0.0</v>
      </c>
      <c r="X832" s="67">
        <f>IF(AND(W832=1,E832="Préventif"),1,0)</f>
        <v>0.0</v>
      </c>
      <c r="Y832" s="67">
        <f>IF(AND(ISNUMBER(N832),N(N832)&gt;0),N(N832),0)</f>
        <v>0.0</v>
      </c>
      <c r="Z832" s="67">
        <f>IF(AND(ISNUMBER(P832),N(P832)&gt;0),N(P832),0)</f>
        <v>0.0</v>
      </c>
    </row>
    <row r="833">
      <c r="A833" s="79" t="str">
        <f>IF(COUNTA(B833:C833,E833:G833,I833)=0,"","BI-"&amp;RIGHT("0000"&amp;(ROW()-5),4))</f>
        <v/>
      </c>
      <c r="B833" s="72" t="n"/>
      <c r="C833" s="66" t="n"/>
      <c r="D833" s="67" t="str">
        <f>IF(C833="","",IFERROR(INDEX(eq_des,MATCH(C833,eq_code,0))&amp;"","Équipement inconnu"))</f>
        <v/>
      </c>
      <c r="E833" s="68" t="n"/>
      <c r="F833" s="68" t="n"/>
      <c r="G833" s="66" t="n"/>
      <c r="H833" s="66" t="n"/>
      <c r="I833" s="68" t="n"/>
      <c r="J833" s="73" t="n"/>
      <c r="K833" s="71" t="n"/>
      <c r="L833" s="71" t="n"/>
      <c r="M833" s="66" t="n"/>
      <c r="N833" s="80" t="n"/>
      <c r="O833" s="81" t="str">
        <f>IF(A833="","",ROUND(V833*IFERROR(N(INDEX(tech_rate,MATCH(M833,tech_name,0))),0),2))</f>
        <v/>
      </c>
      <c r="P833" s="80" t="n"/>
      <c r="Q833" s="81" t="str">
        <f>IF(A833="","",ROUND(Y833+O833+Z833,2))</f>
        <v/>
      </c>
      <c r="R833" s="79" t="str">
        <f>IF(A833="","",IF(S833=0,"Date manquante ou invalide",IF(C833="","Équipement manquant",IF(ISNA(MATCH(C833,eq_code,0)),"Équipement inconnu",IF(E833="","Type manquant",IF(AND(E833&lt;&gt;"Préventif",E833&lt;&gt;"Correctif",E833&lt;&gt;"Amélioratif"),"Type inconnu",IF(I833="","Statut manquant",IF(AND(I833&lt;&gt;"Terminée",I833&lt;&gt;"En cours",I833&lt;&gt;"À faire",I833&lt;&gt;"Annulée"),"Statut inconnu",IF(AND(E833="Préventif",F833=""),"Plan manquant (préventif)",IF(AND(F833&lt;&gt;"",ISNA(MATCH(F833,pl_num,0))),"Plan inconnu",IF(AND(F833&lt;&gt;"",IFERROR(INDEX(pl_eq,MATCH(F833,pl_num,0))&amp;"",C833)&lt;&gt;C833),"Plan d'un autre équipement",IF(AND(J833&lt;&gt;"",OR(NOT(ISNUMBER(J833)),N(J833)&lt;0)),"Compteur invalide",IF(OR(AND(K833&lt;&gt;"",OR(NOT(ISNUMBER(K833)),N(K833)&lt;0)),AND(L833&lt;&gt;"",OR(NOT(ISNUMBER(L833)),N(L833)&lt;0))),"Durée invalide",IF(OR(AND(N833&lt;&gt;"",OR(NOT(ISNUMBER(N833)),N(N833)&lt;0)),AND(P833&lt;&gt;"",OR(NOT(ISNUMBER(P833)),N(P833)&lt;0))),"Coût invalide",IF(AND(M833&lt;&gt;"",ISNA(MATCH(M833,tech_name,0))),"Technicien inconnu",IF(AND(I833="Terminée",S833&gt;p_today),"Terminée à une date future",IF(AND(I833="Terminée",V833=0),"Durée d'intervention manquante",IF(AND(I833="Terminée",E833="Préventif",T833=0,OR(IFERROR(INDEX(pl_trig,MATCH(F833,pl_num,0))&amp;"","")="Compteur",IFERROR(INDEX(pl_trig,MATCH(F833,pl_num,0))&amp;"","")="Au premier des deux")),"Compteur manquant (plan au compteur)","OK"))))))))))))))))))</f>
        <v/>
      </c>
      <c r="S833" s="67">
        <f>IF(AND(ISNUMBER(B833),N(B833)&gt;0),INT(B833),0)</f>
        <v>0.0</v>
      </c>
      <c r="T833" s="67">
        <f>IF(AND(ISNUMBER(J833),N(J833)&gt;=0),N(J833),0)</f>
        <v>0.0</v>
      </c>
      <c r="U833" s="67">
        <f>IF(AND(ISNUMBER(K833),N(K833)&gt;0),N(K833),0)</f>
        <v>0.0</v>
      </c>
      <c r="V833" s="67">
        <f>IF(AND(ISNUMBER(L833),N(L833)&gt;0),N(L833),0)</f>
        <v>0.0</v>
      </c>
      <c r="W833" s="67">
        <f>IF(AND(I833="Terminée",S833&gt;0,C833&lt;&gt;"",ISNUMBER(MATCH(C833,eq_code,0))),1,0)</f>
        <v>0.0</v>
      </c>
      <c r="X833" s="67">
        <f>IF(AND(W833=1,E833="Préventif"),1,0)</f>
        <v>0.0</v>
      </c>
      <c r="Y833" s="67">
        <f>IF(AND(ISNUMBER(N833),N(N833)&gt;0),N(N833),0)</f>
        <v>0.0</v>
      </c>
      <c r="Z833" s="67">
        <f>IF(AND(ISNUMBER(P833),N(P833)&gt;0),N(P833),0)</f>
        <v>0.0</v>
      </c>
    </row>
    <row r="834">
      <c r="A834" s="79" t="str">
        <f>IF(COUNTA(B834:C834,E834:G834,I834)=0,"","BI-"&amp;RIGHT("0000"&amp;(ROW()-5),4))</f>
        <v/>
      </c>
      <c r="B834" s="72" t="n"/>
      <c r="C834" s="66" t="n"/>
      <c r="D834" s="67" t="str">
        <f>IF(C834="","",IFERROR(INDEX(eq_des,MATCH(C834,eq_code,0))&amp;"","Équipement inconnu"))</f>
        <v/>
      </c>
      <c r="E834" s="68" t="n"/>
      <c r="F834" s="68" t="n"/>
      <c r="G834" s="66" t="n"/>
      <c r="H834" s="66" t="n"/>
      <c r="I834" s="68" t="n"/>
      <c r="J834" s="73" t="n"/>
      <c r="K834" s="71" t="n"/>
      <c r="L834" s="71" t="n"/>
      <c r="M834" s="66" t="n"/>
      <c r="N834" s="80" t="n"/>
      <c r="O834" s="81" t="str">
        <f>IF(A834="","",ROUND(V834*IFERROR(N(INDEX(tech_rate,MATCH(M834,tech_name,0))),0),2))</f>
        <v/>
      </c>
      <c r="P834" s="80" t="n"/>
      <c r="Q834" s="81" t="str">
        <f>IF(A834="","",ROUND(Y834+O834+Z834,2))</f>
        <v/>
      </c>
      <c r="R834" s="79" t="str">
        <f>IF(A834="","",IF(S834=0,"Date manquante ou invalide",IF(C834="","Équipement manquant",IF(ISNA(MATCH(C834,eq_code,0)),"Équipement inconnu",IF(E834="","Type manquant",IF(AND(E834&lt;&gt;"Préventif",E834&lt;&gt;"Correctif",E834&lt;&gt;"Amélioratif"),"Type inconnu",IF(I834="","Statut manquant",IF(AND(I834&lt;&gt;"Terminée",I834&lt;&gt;"En cours",I834&lt;&gt;"À faire",I834&lt;&gt;"Annulée"),"Statut inconnu",IF(AND(E834="Préventif",F834=""),"Plan manquant (préventif)",IF(AND(F834&lt;&gt;"",ISNA(MATCH(F834,pl_num,0))),"Plan inconnu",IF(AND(F834&lt;&gt;"",IFERROR(INDEX(pl_eq,MATCH(F834,pl_num,0))&amp;"",C834)&lt;&gt;C834),"Plan d'un autre équipement",IF(AND(J834&lt;&gt;"",OR(NOT(ISNUMBER(J834)),N(J834)&lt;0)),"Compteur invalide",IF(OR(AND(K834&lt;&gt;"",OR(NOT(ISNUMBER(K834)),N(K834)&lt;0)),AND(L834&lt;&gt;"",OR(NOT(ISNUMBER(L834)),N(L834)&lt;0))),"Durée invalide",IF(OR(AND(N834&lt;&gt;"",OR(NOT(ISNUMBER(N834)),N(N834)&lt;0)),AND(P834&lt;&gt;"",OR(NOT(ISNUMBER(P834)),N(P834)&lt;0))),"Coût invalide",IF(AND(M834&lt;&gt;"",ISNA(MATCH(M834,tech_name,0))),"Technicien inconnu",IF(AND(I834="Terminée",S834&gt;p_today),"Terminée à une date future",IF(AND(I834="Terminée",V834=0),"Durée d'intervention manquante",IF(AND(I834="Terminée",E834="Préventif",T834=0,OR(IFERROR(INDEX(pl_trig,MATCH(F834,pl_num,0))&amp;"","")="Compteur",IFERROR(INDEX(pl_trig,MATCH(F834,pl_num,0))&amp;"","")="Au premier des deux")),"Compteur manquant (plan au compteur)","OK"))))))))))))))))))</f>
        <v/>
      </c>
      <c r="S834" s="67">
        <f>IF(AND(ISNUMBER(B834),N(B834)&gt;0),INT(B834),0)</f>
        <v>0.0</v>
      </c>
      <c r="T834" s="67">
        <f>IF(AND(ISNUMBER(J834),N(J834)&gt;=0),N(J834),0)</f>
        <v>0.0</v>
      </c>
      <c r="U834" s="67">
        <f>IF(AND(ISNUMBER(K834),N(K834)&gt;0),N(K834),0)</f>
        <v>0.0</v>
      </c>
      <c r="V834" s="67">
        <f>IF(AND(ISNUMBER(L834),N(L834)&gt;0),N(L834),0)</f>
        <v>0.0</v>
      </c>
      <c r="W834" s="67">
        <f>IF(AND(I834="Terminée",S834&gt;0,C834&lt;&gt;"",ISNUMBER(MATCH(C834,eq_code,0))),1,0)</f>
        <v>0.0</v>
      </c>
      <c r="X834" s="67">
        <f>IF(AND(W834=1,E834="Préventif"),1,0)</f>
        <v>0.0</v>
      </c>
      <c r="Y834" s="67">
        <f>IF(AND(ISNUMBER(N834),N(N834)&gt;0),N(N834),0)</f>
        <v>0.0</v>
      </c>
      <c r="Z834" s="67">
        <f>IF(AND(ISNUMBER(P834),N(P834)&gt;0),N(P834),0)</f>
        <v>0.0</v>
      </c>
    </row>
    <row r="835">
      <c r="A835" s="79" t="str">
        <f>IF(COUNTA(B835:C835,E835:G835,I835)=0,"","BI-"&amp;RIGHT("0000"&amp;(ROW()-5),4))</f>
        <v/>
      </c>
      <c r="B835" s="72" t="n"/>
      <c r="C835" s="66" t="n"/>
      <c r="D835" s="67" t="str">
        <f>IF(C835="","",IFERROR(INDEX(eq_des,MATCH(C835,eq_code,0))&amp;"","Équipement inconnu"))</f>
        <v/>
      </c>
      <c r="E835" s="68" t="n"/>
      <c r="F835" s="68" t="n"/>
      <c r="G835" s="66" t="n"/>
      <c r="H835" s="66" t="n"/>
      <c r="I835" s="68" t="n"/>
      <c r="J835" s="73" t="n"/>
      <c r="K835" s="71" t="n"/>
      <c r="L835" s="71" t="n"/>
      <c r="M835" s="66" t="n"/>
      <c r="N835" s="80" t="n"/>
      <c r="O835" s="81" t="str">
        <f>IF(A835="","",ROUND(V835*IFERROR(N(INDEX(tech_rate,MATCH(M835,tech_name,0))),0),2))</f>
        <v/>
      </c>
      <c r="P835" s="80" t="n"/>
      <c r="Q835" s="81" t="str">
        <f>IF(A835="","",ROUND(Y835+O835+Z835,2))</f>
        <v/>
      </c>
      <c r="R835" s="79" t="str">
        <f>IF(A835="","",IF(S835=0,"Date manquante ou invalide",IF(C835="","Équipement manquant",IF(ISNA(MATCH(C835,eq_code,0)),"Équipement inconnu",IF(E835="","Type manquant",IF(AND(E835&lt;&gt;"Préventif",E835&lt;&gt;"Correctif",E835&lt;&gt;"Amélioratif"),"Type inconnu",IF(I835="","Statut manquant",IF(AND(I835&lt;&gt;"Terminée",I835&lt;&gt;"En cours",I835&lt;&gt;"À faire",I835&lt;&gt;"Annulée"),"Statut inconnu",IF(AND(E835="Préventif",F835=""),"Plan manquant (préventif)",IF(AND(F835&lt;&gt;"",ISNA(MATCH(F835,pl_num,0))),"Plan inconnu",IF(AND(F835&lt;&gt;"",IFERROR(INDEX(pl_eq,MATCH(F835,pl_num,0))&amp;"",C835)&lt;&gt;C835),"Plan d'un autre équipement",IF(AND(J835&lt;&gt;"",OR(NOT(ISNUMBER(J835)),N(J835)&lt;0)),"Compteur invalide",IF(OR(AND(K835&lt;&gt;"",OR(NOT(ISNUMBER(K835)),N(K835)&lt;0)),AND(L835&lt;&gt;"",OR(NOT(ISNUMBER(L835)),N(L835)&lt;0))),"Durée invalide",IF(OR(AND(N835&lt;&gt;"",OR(NOT(ISNUMBER(N835)),N(N835)&lt;0)),AND(P835&lt;&gt;"",OR(NOT(ISNUMBER(P835)),N(P835)&lt;0))),"Coût invalide",IF(AND(M835&lt;&gt;"",ISNA(MATCH(M835,tech_name,0))),"Technicien inconnu",IF(AND(I835="Terminée",S835&gt;p_today),"Terminée à une date future",IF(AND(I835="Terminée",V835=0),"Durée d'intervention manquante",IF(AND(I835="Terminée",E835="Préventif",T835=0,OR(IFERROR(INDEX(pl_trig,MATCH(F835,pl_num,0))&amp;"","")="Compteur",IFERROR(INDEX(pl_trig,MATCH(F835,pl_num,0))&amp;"","")="Au premier des deux")),"Compteur manquant (plan au compteur)","OK"))))))))))))))))))</f>
        <v/>
      </c>
      <c r="S835" s="67">
        <f>IF(AND(ISNUMBER(B835),N(B835)&gt;0),INT(B835),0)</f>
        <v>0.0</v>
      </c>
      <c r="T835" s="67">
        <f>IF(AND(ISNUMBER(J835),N(J835)&gt;=0),N(J835),0)</f>
        <v>0.0</v>
      </c>
      <c r="U835" s="67">
        <f>IF(AND(ISNUMBER(K835),N(K835)&gt;0),N(K835),0)</f>
        <v>0.0</v>
      </c>
      <c r="V835" s="67">
        <f>IF(AND(ISNUMBER(L835),N(L835)&gt;0),N(L835),0)</f>
        <v>0.0</v>
      </c>
      <c r="W835" s="67">
        <f>IF(AND(I835="Terminée",S835&gt;0,C835&lt;&gt;"",ISNUMBER(MATCH(C835,eq_code,0))),1,0)</f>
        <v>0.0</v>
      </c>
      <c r="X835" s="67">
        <f>IF(AND(W835=1,E835="Préventif"),1,0)</f>
        <v>0.0</v>
      </c>
      <c r="Y835" s="67">
        <f>IF(AND(ISNUMBER(N835),N(N835)&gt;0),N(N835),0)</f>
        <v>0.0</v>
      </c>
      <c r="Z835" s="67">
        <f>IF(AND(ISNUMBER(P835),N(P835)&gt;0),N(P835),0)</f>
        <v>0.0</v>
      </c>
    </row>
    <row r="836">
      <c r="A836" s="79" t="str">
        <f>IF(COUNTA(B836:C836,E836:G836,I836)=0,"","BI-"&amp;RIGHT("0000"&amp;(ROW()-5),4))</f>
        <v/>
      </c>
      <c r="B836" s="72" t="n"/>
      <c r="C836" s="66" t="n"/>
      <c r="D836" s="67" t="str">
        <f>IF(C836="","",IFERROR(INDEX(eq_des,MATCH(C836,eq_code,0))&amp;"","Équipement inconnu"))</f>
        <v/>
      </c>
      <c r="E836" s="68" t="n"/>
      <c r="F836" s="68" t="n"/>
      <c r="G836" s="66" t="n"/>
      <c r="H836" s="66" t="n"/>
      <c r="I836" s="68" t="n"/>
      <c r="J836" s="73" t="n"/>
      <c r="K836" s="71" t="n"/>
      <c r="L836" s="71" t="n"/>
      <c r="M836" s="66" t="n"/>
      <c r="N836" s="80" t="n"/>
      <c r="O836" s="81" t="str">
        <f>IF(A836="","",ROUND(V836*IFERROR(N(INDEX(tech_rate,MATCH(M836,tech_name,0))),0),2))</f>
        <v/>
      </c>
      <c r="P836" s="80" t="n"/>
      <c r="Q836" s="81" t="str">
        <f>IF(A836="","",ROUND(Y836+O836+Z836,2))</f>
        <v/>
      </c>
      <c r="R836" s="79" t="str">
        <f>IF(A836="","",IF(S836=0,"Date manquante ou invalide",IF(C836="","Équipement manquant",IF(ISNA(MATCH(C836,eq_code,0)),"Équipement inconnu",IF(E836="","Type manquant",IF(AND(E836&lt;&gt;"Préventif",E836&lt;&gt;"Correctif",E836&lt;&gt;"Amélioratif"),"Type inconnu",IF(I836="","Statut manquant",IF(AND(I836&lt;&gt;"Terminée",I836&lt;&gt;"En cours",I836&lt;&gt;"À faire",I836&lt;&gt;"Annulée"),"Statut inconnu",IF(AND(E836="Préventif",F836=""),"Plan manquant (préventif)",IF(AND(F836&lt;&gt;"",ISNA(MATCH(F836,pl_num,0))),"Plan inconnu",IF(AND(F836&lt;&gt;"",IFERROR(INDEX(pl_eq,MATCH(F836,pl_num,0))&amp;"",C836)&lt;&gt;C836),"Plan d'un autre équipement",IF(AND(J836&lt;&gt;"",OR(NOT(ISNUMBER(J836)),N(J836)&lt;0)),"Compteur invalide",IF(OR(AND(K836&lt;&gt;"",OR(NOT(ISNUMBER(K836)),N(K836)&lt;0)),AND(L836&lt;&gt;"",OR(NOT(ISNUMBER(L836)),N(L836)&lt;0))),"Durée invalide",IF(OR(AND(N836&lt;&gt;"",OR(NOT(ISNUMBER(N836)),N(N836)&lt;0)),AND(P836&lt;&gt;"",OR(NOT(ISNUMBER(P836)),N(P836)&lt;0))),"Coût invalide",IF(AND(M836&lt;&gt;"",ISNA(MATCH(M836,tech_name,0))),"Technicien inconnu",IF(AND(I836="Terminée",S836&gt;p_today),"Terminée à une date future",IF(AND(I836="Terminée",V836=0),"Durée d'intervention manquante",IF(AND(I836="Terminée",E836="Préventif",T836=0,OR(IFERROR(INDEX(pl_trig,MATCH(F836,pl_num,0))&amp;"","")="Compteur",IFERROR(INDEX(pl_trig,MATCH(F836,pl_num,0))&amp;"","")="Au premier des deux")),"Compteur manquant (plan au compteur)","OK"))))))))))))))))))</f>
        <v/>
      </c>
      <c r="S836" s="67">
        <f>IF(AND(ISNUMBER(B836),N(B836)&gt;0),INT(B836),0)</f>
        <v>0.0</v>
      </c>
      <c r="T836" s="67">
        <f>IF(AND(ISNUMBER(J836),N(J836)&gt;=0),N(J836),0)</f>
        <v>0.0</v>
      </c>
      <c r="U836" s="67">
        <f>IF(AND(ISNUMBER(K836),N(K836)&gt;0),N(K836),0)</f>
        <v>0.0</v>
      </c>
      <c r="V836" s="67">
        <f>IF(AND(ISNUMBER(L836),N(L836)&gt;0),N(L836),0)</f>
        <v>0.0</v>
      </c>
      <c r="W836" s="67">
        <f>IF(AND(I836="Terminée",S836&gt;0,C836&lt;&gt;"",ISNUMBER(MATCH(C836,eq_code,0))),1,0)</f>
        <v>0.0</v>
      </c>
      <c r="X836" s="67">
        <f>IF(AND(W836=1,E836="Préventif"),1,0)</f>
        <v>0.0</v>
      </c>
      <c r="Y836" s="67">
        <f>IF(AND(ISNUMBER(N836),N(N836)&gt;0),N(N836),0)</f>
        <v>0.0</v>
      </c>
      <c r="Z836" s="67">
        <f>IF(AND(ISNUMBER(P836),N(P836)&gt;0),N(P836),0)</f>
        <v>0.0</v>
      </c>
    </row>
    <row r="837">
      <c r="A837" s="79" t="str">
        <f>IF(COUNTA(B837:C837,E837:G837,I837)=0,"","BI-"&amp;RIGHT("0000"&amp;(ROW()-5),4))</f>
        <v/>
      </c>
      <c r="B837" s="72" t="n"/>
      <c r="C837" s="66" t="n"/>
      <c r="D837" s="67" t="str">
        <f>IF(C837="","",IFERROR(INDEX(eq_des,MATCH(C837,eq_code,0))&amp;"","Équipement inconnu"))</f>
        <v/>
      </c>
      <c r="E837" s="68" t="n"/>
      <c r="F837" s="68" t="n"/>
      <c r="G837" s="66" t="n"/>
      <c r="H837" s="66" t="n"/>
      <c r="I837" s="68" t="n"/>
      <c r="J837" s="73" t="n"/>
      <c r="K837" s="71" t="n"/>
      <c r="L837" s="71" t="n"/>
      <c r="M837" s="66" t="n"/>
      <c r="N837" s="80" t="n"/>
      <c r="O837" s="81" t="str">
        <f>IF(A837="","",ROUND(V837*IFERROR(N(INDEX(tech_rate,MATCH(M837,tech_name,0))),0),2))</f>
        <v/>
      </c>
      <c r="P837" s="80" t="n"/>
      <c r="Q837" s="81" t="str">
        <f>IF(A837="","",ROUND(Y837+O837+Z837,2))</f>
        <v/>
      </c>
      <c r="R837" s="79" t="str">
        <f>IF(A837="","",IF(S837=0,"Date manquante ou invalide",IF(C837="","Équipement manquant",IF(ISNA(MATCH(C837,eq_code,0)),"Équipement inconnu",IF(E837="","Type manquant",IF(AND(E837&lt;&gt;"Préventif",E837&lt;&gt;"Correctif",E837&lt;&gt;"Amélioratif"),"Type inconnu",IF(I837="","Statut manquant",IF(AND(I837&lt;&gt;"Terminée",I837&lt;&gt;"En cours",I837&lt;&gt;"À faire",I837&lt;&gt;"Annulée"),"Statut inconnu",IF(AND(E837="Préventif",F837=""),"Plan manquant (préventif)",IF(AND(F837&lt;&gt;"",ISNA(MATCH(F837,pl_num,0))),"Plan inconnu",IF(AND(F837&lt;&gt;"",IFERROR(INDEX(pl_eq,MATCH(F837,pl_num,0))&amp;"",C837)&lt;&gt;C837),"Plan d'un autre équipement",IF(AND(J837&lt;&gt;"",OR(NOT(ISNUMBER(J837)),N(J837)&lt;0)),"Compteur invalide",IF(OR(AND(K837&lt;&gt;"",OR(NOT(ISNUMBER(K837)),N(K837)&lt;0)),AND(L837&lt;&gt;"",OR(NOT(ISNUMBER(L837)),N(L837)&lt;0))),"Durée invalide",IF(OR(AND(N837&lt;&gt;"",OR(NOT(ISNUMBER(N837)),N(N837)&lt;0)),AND(P837&lt;&gt;"",OR(NOT(ISNUMBER(P837)),N(P837)&lt;0))),"Coût invalide",IF(AND(M837&lt;&gt;"",ISNA(MATCH(M837,tech_name,0))),"Technicien inconnu",IF(AND(I837="Terminée",S837&gt;p_today),"Terminée à une date future",IF(AND(I837="Terminée",V837=0),"Durée d'intervention manquante",IF(AND(I837="Terminée",E837="Préventif",T837=0,OR(IFERROR(INDEX(pl_trig,MATCH(F837,pl_num,0))&amp;"","")="Compteur",IFERROR(INDEX(pl_trig,MATCH(F837,pl_num,0))&amp;"","")="Au premier des deux")),"Compteur manquant (plan au compteur)","OK"))))))))))))))))))</f>
        <v/>
      </c>
      <c r="S837" s="67">
        <f>IF(AND(ISNUMBER(B837),N(B837)&gt;0),INT(B837),0)</f>
        <v>0.0</v>
      </c>
      <c r="T837" s="67">
        <f>IF(AND(ISNUMBER(J837),N(J837)&gt;=0),N(J837),0)</f>
        <v>0.0</v>
      </c>
      <c r="U837" s="67">
        <f>IF(AND(ISNUMBER(K837),N(K837)&gt;0),N(K837),0)</f>
        <v>0.0</v>
      </c>
      <c r="V837" s="67">
        <f>IF(AND(ISNUMBER(L837),N(L837)&gt;0),N(L837),0)</f>
        <v>0.0</v>
      </c>
      <c r="W837" s="67">
        <f>IF(AND(I837="Terminée",S837&gt;0,C837&lt;&gt;"",ISNUMBER(MATCH(C837,eq_code,0))),1,0)</f>
        <v>0.0</v>
      </c>
      <c r="X837" s="67">
        <f>IF(AND(W837=1,E837="Préventif"),1,0)</f>
        <v>0.0</v>
      </c>
      <c r="Y837" s="67">
        <f>IF(AND(ISNUMBER(N837),N(N837)&gt;0),N(N837),0)</f>
        <v>0.0</v>
      </c>
      <c r="Z837" s="67">
        <f>IF(AND(ISNUMBER(P837),N(P837)&gt;0),N(P837),0)</f>
        <v>0.0</v>
      </c>
    </row>
    <row r="838">
      <c r="A838" s="79" t="str">
        <f>IF(COUNTA(B838:C838,E838:G838,I838)=0,"","BI-"&amp;RIGHT("0000"&amp;(ROW()-5),4))</f>
        <v/>
      </c>
      <c r="B838" s="72" t="n"/>
      <c r="C838" s="66" t="n"/>
      <c r="D838" s="67" t="str">
        <f>IF(C838="","",IFERROR(INDEX(eq_des,MATCH(C838,eq_code,0))&amp;"","Équipement inconnu"))</f>
        <v/>
      </c>
      <c r="E838" s="68" t="n"/>
      <c r="F838" s="68" t="n"/>
      <c r="G838" s="66" t="n"/>
      <c r="H838" s="66" t="n"/>
      <c r="I838" s="68" t="n"/>
      <c r="J838" s="73" t="n"/>
      <c r="K838" s="71" t="n"/>
      <c r="L838" s="71" t="n"/>
      <c r="M838" s="66" t="n"/>
      <c r="N838" s="80" t="n"/>
      <c r="O838" s="81" t="str">
        <f>IF(A838="","",ROUND(V838*IFERROR(N(INDEX(tech_rate,MATCH(M838,tech_name,0))),0),2))</f>
        <v/>
      </c>
      <c r="P838" s="80" t="n"/>
      <c r="Q838" s="81" t="str">
        <f>IF(A838="","",ROUND(Y838+O838+Z838,2))</f>
        <v/>
      </c>
      <c r="R838" s="79" t="str">
        <f>IF(A838="","",IF(S838=0,"Date manquante ou invalide",IF(C838="","Équipement manquant",IF(ISNA(MATCH(C838,eq_code,0)),"Équipement inconnu",IF(E838="","Type manquant",IF(AND(E838&lt;&gt;"Préventif",E838&lt;&gt;"Correctif",E838&lt;&gt;"Amélioratif"),"Type inconnu",IF(I838="","Statut manquant",IF(AND(I838&lt;&gt;"Terminée",I838&lt;&gt;"En cours",I838&lt;&gt;"À faire",I838&lt;&gt;"Annulée"),"Statut inconnu",IF(AND(E838="Préventif",F838=""),"Plan manquant (préventif)",IF(AND(F838&lt;&gt;"",ISNA(MATCH(F838,pl_num,0))),"Plan inconnu",IF(AND(F838&lt;&gt;"",IFERROR(INDEX(pl_eq,MATCH(F838,pl_num,0))&amp;"",C838)&lt;&gt;C838),"Plan d'un autre équipement",IF(AND(J838&lt;&gt;"",OR(NOT(ISNUMBER(J838)),N(J838)&lt;0)),"Compteur invalide",IF(OR(AND(K838&lt;&gt;"",OR(NOT(ISNUMBER(K838)),N(K838)&lt;0)),AND(L838&lt;&gt;"",OR(NOT(ISNUMBER(L838)),N(L838)&lt;0))),"Durée invalide",IF(OR(AND(N838&lt;&gt;"",OR(NOT(ISNUMBER(N838)),N(N838)&lt;0)),AND(P838&lt;&gt;"",OR(NOT(ISNUMBER(P838)),N(P838)&lt;0))),"Coût invalide",IF(AND(M838&lt;&gt;"",ISNA(MATCH(M838,tech_name,0))),"Technicien inconnu",IF(AND(I838="Terminée",S838&gt;p_today),"Terminée à une date future",IF(AND(I838="Terminée",V838=0),"Durée d'intervention manquante",IF(AND(I838="Terminée",E838="Préventif",T838=0,OR(IFERROR(INDEX(pl_trig,MATCH(F838,pl_num,0))&amp;"","")="Compteur",IFERROR(INDEX(pl_trig,MATCH(F838,pl_num,0))&amp;"","")="Au premier des deux")),"Compteur manquant (plan au compteur)","OK"))))))))))))))))))</f>
        <v/>
      </c>
      <c r="S838" s="67">
        <f>IF(AND(ISNUMBER(B838),N(B838)&gt;0),INT(B838),0)</f>
        <v>0.0</v>
      </c>
      <c r="T838" s="67">
        <f>IF(AND(ISNUMBER(J838),N(J838)&gt;=0),N(J838),0)</f>
        <v>0.0</v>
      </c>
      <c r="U838" s="67">
        <f>IF(AND(ISNUMBER(K838),N(K838)&gt;0),N(K838),0)</f>
        <v>0.0</v>
      </c>
      <c r="V838" s="67">
        <f>IF(AND(ISNUMBER(L838),N(L838)&gt;0),N(L838),0)</f>
        <v>0.0</v>
      </c>
      <c r="W838" s="67">
        <f>IF(AND(I838="Terminée",S838&gt;0,C838&lt;&gt;"",ISNUMBER(MATCH(C838,eq_code,0))),1,0)</f>
        <v>0.0</v>
      </c>
      <c r="X838" s="67">
        <f>IF(AND(W838=1,E838="Préventif"),1,0)</f>
        <v>0.0</v>
      </c>
      <c r="Y838" s="67">
        <f>IF(AND(ISNUMBER(N838),N(N838)&gt;0),N(N838),0)</f>
        <v>0.0</v>
      </c>
      <c r="Z838" s="67">
        <f>IF(AND(ISNUMBER(P838),N(P838)&gt;0),N(P838),0)</f>
        <v>0.0</v>
      </c>
    </row>
    <row r="839">
      <c r="A839" s="79" t="str">
        <f>IF(COUNTA(B839:C839,E839:G839,I839)=0,"","BI-"&amp;RIGHT("0000"&amp;(ROW()-5),4))</f>
        <v/>
      </c>
      <c r="B839" s="72" t="n"/>
      <c r="C839" s="66" t="n"/>
      <c r="D839" s="67" t="str">
        <f>IF(C839="","",IFERROR(INDEX(eq_des,MATCH(C839,eq_code,0))&amp;"","Équipement inconnu"))</f>
        <v/>
      </c>
      <c r="E839" s="68" t="n"/>
      <c r="F839" s="68" t="n"/>
      <c r="G839" s="66" t="n"/>
      <c r="H839" s="66" t="n"/>
      <c r="I839" s="68" t="n"/>
      <c r="J839" s="73" t="n"/>
      <c r="K839" s="71" t="n"/>
      <c r="L839" s="71" t="n"/>
      <c r="M839" s="66" t="n"/>
      <c r="N839" s="80" t="n"/>
      <c r="O839" s="81" t="str">
        <f>IF(A839="","",ROUND(V839*IFERROR(N(INDEX(tech_rate,MATCH(M839,tech_name,0))),0),2))</f>
        <v/>
      </c>
      <c r="P839" s="80" t="n"/>
      <c r="Q839" s="81" t="str">
        <f>IF(A839="","",ROUND(Y839+O839+Z839,2))</f>
        <v/>
      </c>
      <c r="R839" s="79" t="str">
        <f>IF(A839="","",IF(S839=0,"Date manquante ou invalide",IF(C839="","Équipement manquant",IF(ISNA(MATCH(C839,eq_code,0)),"Équipement inconnu",IF(E839="","Type manquant",IF(AND(E839&lt;&gt;"Préventif",E839&lt;&gt;"Correctif",E839&lt;&gt;"Amélioratif"),"Type inconnu",IF(I839="","Statut manquant",IF(AND(I839&lt;&gt;"Terminée",I839&lt;&gt;"En cours",I839&lt;&gt;"À faire",I839&lt;&gt;"Annulée"),"Statut inconnu",IF(AND(E839="Préventif",F839=""),"Plan manquant (préventif)",IF(AND(F839&lt;&gt;"",ISNA(MATCH(F839,pl_num,0))),"Plan inconnu",IF(AND(F839&lt;&gt;"",IFERROR(INDEX(pl_eq,MATCH(F839,pl_num,0))&amp;"",C839)&lt;&gt;C839),"Plan d'un autre équipement",IF(AND(J839&lt;&gt;"",OR(NOT(ISNUMBER(J839)),N(J839)&lt;0)),"Compteur invalide",IF(OR(AND(K839&lt;&gt;"",OR(NOT(ISNUMBER(K839)),N(K839)&lt;0)),AND(L839&lt;&gt;"",OR(NOT(ISNUMBER(L839)),N(L839)&lt;0))),"Durée invalide",IF(OR(AND(N839&lt;&gt;"",OR(NOT(ISNUMBER(N839)),N(N839)&lt;0)),AND(P839&lt;&gt;"",OR(NOT(ISNUMBER(P839)),N(P839)&lt;0))),"Coût invalide",IF(AND(M839&lt;&gt;"",ISNA(MATCH(M839,tech_name,0))),"Technicien inconnu",IF(AND(I839="Terminée",S839&gt;p_today),"Terminée à une date future",IF(AND(I839="Terminée",V839=0),"Durée d'intervention manquante",IF(AND(I839="Terminée",E839="Préventif",T839=0,OR(IFERROR(INDEX(pl_trig,MATCH(F839,pl_num,0))&amp;"","")="Compteur",IFERROR(INDEX(pl_trig,MATCH(F839,pl_num,0))&amp;"","")="Au premier des deux")),"Compteur manquant (plan au compteur)","OK"))))))))))))))))))</f>
        <v/>
      </c>
      <c r="S839" s="67">
        <f>IF(AND(ISNUMBER(B839),N(B839)&gt;0),INT(B839),0)</f>
        <v>0.0</v>
      </c>
      <c r="T839" s="67">
        <f>IF(AND(ISNUMBER(J839),N(J839)&gt;=0),N(J839),0)</f>
        <v>0.0</v>
      </c>
      <c r="U839" s="67">
        <f>IF(AND(ISNUMBER(K839),N(K839)&gt;0),N(K839),0)</f>
        <v>0.0</v>
      </c>
      <c r="V839" s="67">
        <f>IF(AND(ISNUMBER(L839),N(L839)&gt;0),N(L839),0)</f>
        <v>0.0</v>
      </c>
      <c r="W839" s="67">
        <f>IF(AND(I839="Terminée",S839&gt;0,C839&lt;&gt;"",ISNUMBER(MATCH(C839,eq_code,0))),1,0)</f>
        <v>0.0</v>
      </c>
      <c r="X839" s="67">
        <f>IF(AND(W839=1,E839="Préventif"),1,0)</f>
        <v>0.0</v>
      </c>
      <c r="Y839" s="67">
        <f>IF(AND(ISNUMBER(N839),N(N839)&gt;0),N(N839),0)</f>
        <v>0.0</v>
      </c>
      <c r="Z839" s="67">
        <f>IF(AND(ISNUMBER(P839),N(P839)&gt;0),N(P839),0)</f>
        <v>0.0</v>
      </c>
    </row>
    <row r="840">
      <c r="A840" s="79" t="str">
        <f>IF(COUNTA(B840:C840,E840:G840,I840)=0,"","BI-"&amp;RIGHT("0000"&amp;(ROW()-5),4))</f>
        <v/>
      </c>
      <c r="B840" s="72" t="n"/>
      <c r="C840" s="66" t="n"/>
      <c r="D840" s="67" t="str">
        <f>IF(C840="","",IFERROR(INDEX(eq_des,MATCH(C840,eq_code,0))&amp;"","Équipement inconnu"))</f>
        <v/>
      </c>
      <c r="E840" s="68" t="n"/>
      <c r="F840" s="68" t="n"/>
      <c r="G840" s="66" t="n"/>
      <c r="H840" s="66" t="n"/>
      <c r="I840" s="68" t="n"/>
      <c r="J840" s="73" t="n"/>
      <c r="K840" s="71" t="n"/>
      <c r="L840" s="71" t="n"/>
      <c r="M840" s="66" t="n"/>
      <c r="N840" s="80" t="n"/>
      <c r="O840" s="81" t="str">
        <f>IF(A840="","",ROUND(V840*IFERROR(N(INDEX(tech_rate,MATCH(M840,tech_name,0))),0),2))</f>
        <v/>
      </c>
      <c r="P840" s="80" t="n"/>
      <c r="Q840" s="81" t="str">
        <f>IF(A840="","",ROUND(Y840+O840+Z840,2))</f>
        <v/>
      </c>
      <c r="R840" s="79" t="str">
        <f>IF(A840="","",IF(S840=0,"Date manquante ou invalide",IF(C840="","Équipement manquant",IF(ISNA(MATCH(C840,eq_code,0)),"Équipement inconnu",IF(E840="","Type manquant",IF(AND(E840&lt;&gt;"Préventif",E840&lt;&gt;"Correctif",E840&lt;&gt;"Amélioratif"),"Type inconnu",IF(I840="","Statut manquant",IF(AND(I840&lt;&gt;"Terminée",I840&lt;&gt;"En cours",I840&lt;&gt;"À faire",I840&lt;&gt;"Annulée"),"Statut inconnu",IF(AND(E840="Préventif",F840=""),"Plan manquant (préventif)",IF(AND(F840&lt;&gt;"",ISNA(MATCH(F840,pl_num,0))),"Plan inconnu",IF(AND(F840&lt;&gt;"",IFERROR(INDEX(pl_eq,MATCH(F840,pl_num,0))&amp;"",C840)&lt;&gt;C840),"Plan d'un autre équipement",IF(AND(J840&lt;&gt;"",OR(NOT(ISNUMBER(J840)),N(J840)&lt;0)),"Compteur invalide",IF(OR(AND(K840&lt;&gt;"",OR(NOT(ISNUMBER(K840)),N(K840)&lt;0)),AND(L840&lt;&gt;"",OR(NOT(ISNUMBER(L840)),N(L840)&lt;0))),"Durée invalide",IF(OR(AND(N840&lt;&gt;"",OR(NOT(ISNUMBER(N840)),N(N840)&lt;0)),AND(P840&lt;&gt;"",OR(NOT(ISNUMBER(P840)),N(P840)&lt;0))),"Coût invalide",IF(AND(M840&lt;&gt;"",ISNA(MATCH(M840,tech_name,0))),"Technicien inconnu",IF(AND(I840="Terminée",S840&gt;p_today),"Terminée à une date future",IF(AND(I840="Terminée",V840=0),"Durée d'intervention manquante",IF(AND(I840="Terminée",E840="Préventif",T840=0,OR(IFERROR(INDEX(pl_trig,MATCH(F840,pl_num,0))&amp;"","")="Compteur",IFERROR(INDEX(pl_trig,MATCH(F840,pl_num,0))&amp;"","")="Au premier des deux")),"Compteur manquant (plan au compteur)","OK"))))))))))))))))))</f>
        <v/>
      </c>
      <c r="S840" s="67">
        <f>IF(AND(ISNUMBER(B840),N(B840)&gt;0),INT(B840),0)</f>
        <v>0.0</v>
      </c>
      <c r="T840" s="67">
        <f>IF(AND(ISNUMBER(J840),N(J840)&gt;=0),N(J840),0)</f>
        <v>0.0</v>
      </c>
      <c r="U840" s="67">
        <f>IF(AND(ISNUMBER(K840),N(K840)&gt;0),N(K840),0)</f>
        <v>0.0</v>
      </c>
      <c r="V840" s="67">
        <f>IF(AND(ISNUMBER(L840),N(L840)&gt;0),N(L840),0)</f>
        <v>0.0</v>
      </c>
      <c r="W840" s="67">
        <f>IF(AND(I840="Terminée",S840&gt;0,C840&lt;&gt;"",ISNUMBER(MATCH(C840,eq_code,0))),1,0)</f>
        <v>0.0</v>
      </c>
      <c r="X840" s="67">
        <f>IF(AND(W840=1,E840="Préventif"),1,0)</f>
        <v>0.0</v>
      </c>
      <c r="Y840" s="67">
        <f>IF(AND(ISNUMBER(N840),N(N840)&gt;0),N(N840),0)</f>
        <v>0.0</v>
      </c>
      <c r="Z840" s="67">
        <f>IF(AND(ISNUMBER(P840),N(P840)&gt;0),N(P840),0)</f>
        <v>0.0</v>
      </c>
    </row>
    <row r="841">
      <c r="A841" s="79" t="str">
        <f>IF(COUNTA(B841:C841,E841:G841,I841)=0,"","BI-"&amp;RIGHT("0000"&amp;(ROW()-5),4))</f>
        <v/>
      </c>
      <c r="B841" s="72" t="n"/>
      <c r="C841" s="66" t="n"/>
      <c r="D841" s="67" t="str">
        <f>IF(C841="","",IFERROR(INDEX(eq_des,MATCH(C841,eq_code,0))&amp;"","Équipement inconnu"))</f>
        <v/>
      </c>
      <c r="E841" s="68" t="n"/>
      <c r="F841" s="68" t="n"/>
      <c r="G841" s="66" t="n"/>
      <c r="H841" s="66" t="n"/>
      <c r="I841" s="68" t="n"/>
      <c r="J841" s="73" t="n"/>
      <c r="K841" s="71" t="n"/>
      <c r="L841" s="71" t="n"/>
      <c r="M841" s="66" t="n"/>
      <c r="N841" s="80" t="n"/>
      <c r="O841" s="81" t="str">
        <f>IF(A841="","",ROUND(V841*IFERROR(N(INDEX(tech_rate,MATCH(M841,tech_name,0))),0),2))</f>
        <v/>
      </c>
      <c r="P841" s="80" t="n"/>
      <c r="Q841" s="81" t="str">
        <f>IF(A841="","",ROUND(Y841+O841+Z841,2))</f>
        <v/>
      </c>
      <c r="R841" s="79" t="str">
        <f>IF(A841="","",IF(S841=0,"Date manquante ou invalide",IF(C841="","Équipement manquant",IF(ISNA(MATCH(C841,eq_code,0)),"Équipement inconnu",IF(E841="","Type manquant",IF(AND(E841&lt;&gt;"Préventif",E841&lt;&gt;"Correctif",E841&lt;&gt;"Amélioratif"),"Type inconnu",IF(I841="","Statut manquant",IF(AND(I841&lt;&gt;"Terminée",I841&lt;&gt;"En cours",I841&lt;&gt;"À faire",I841&lt;&gt;"Annulée"),"Statut inconnu",IF(AND(E841="Préventif",F841=""),"Plan manquant (préventif)",IF(AND(F841&lt;&gt;"",ISNA(MATCH(F841,pl_num,0))),"Plan inconnu",IF(AND(F841&lt;&gt;"",IFERROR(INDEX(pl_eq,MATCH(F841,pl_num,0))&amp;"",C841)&lt;&gt;C841),"Plan d'un autre équipement",IF(AND(J841&lt;&gt;"",OR(NOT(ISNUMBER(J841)),N(J841)&lt;0)),"Compteur invalide",IF(OR(AND(K841&lt;&gt;"",OR(NOT(ISNUMBER(K841)),N(K841)&lt;0)),AND(L841&lt;&gt;"",OR(NOT(ISNUMBER(L841)),N(L841)&lt;0))),"Durée invalide",IF(OR(AND(N841&lt;&gt;"",OR(NOT(ISNUMBER(N841)),N(N841)&lt;0)),AND(P841&lt;&gt;"",OR(NOT(ISNUMBER(P841)),N(P841)&lt;0))),"Coût invalide",IF(AND(M841&lt;&gt;"",ISNA(MATCH(M841,tech_name,0))),"Technicien inconnu",IF(AND(I841="Terminée",S841&gt;p_today),"Terminée à une date future",IF(AND(I841="Terminée",V841=0),"Durée d'intervention manquante",IF(AND(I841="Terminée",E841="Préventif",T841=0,OR(IFERROR(INDEX(pl_trig,MATCH(F841,pl_num,0))&amp;"","")="Compteur",IFERROR(INDEX(pl_trig,MATCH(F841,pl_num,0))&amp;"","")="Au premier des deux")),"Compteur manquant (plan au compteur)","OK"))))))))))))))))))</f>
        <v/>
      </c>
      <c r="S841" s="67">
        <f>IF(AND(ISNUMBER(B841),N(B841)&gt;0),INT(B841),0)</f>
        <v>0.0</v>
      </c>
      <c r="T841" s="67">
        <f>IF(AND(ISNUMBER(J841),N(J841)&gt;=0),N(J841),0)</f>
        <v>0.0</v>
      </c>
      <c r="U841" s="67">
        <f>IF(AND(ISNUMBER(K841),N(K841)&gt;0),N(K841),0)</f>
        <v>0.0</v>
      </c>
      <c r="V841" s="67">
        <f>IF(AND(ISNUMBER(L841),N(L841)&gt;0),N(L841),0)</f>
        <v>0.0</v>
      </c>
      <c r="W841" s="67">
        <f>IF(AND(I841="Terminée",S841&gt;0,C841&lt;&gt;"",ISNUMBER(MATCH(C841,eq_code,0))),1,0)</f>
        <v>0.0</v>
      </c>
      <c r="X841" s="67">
        <f>IF(AND(W841=1,E841="Préventif"),1,0)</f>
        <v>0.0</v>
      </c>
      <c r="Y841" s="67">
        <f>IF(AND(ISNUMBER(N841),N(N841)&gt;0),N(N841),0)</f>
        <v>0.0</v>
      </c>
      <c r="Z841" s="67">
        <f>IF(AND(ISNUMBER(P841),N(P841)&gt;0),N(P841),0)</f>
        <v>0.0</v>
      </c>
    </row>
    <row r="842">
      <c r="A842" s="79" t="str">
        <f>IF(COUNTA(B842:C842,E842:G842,I842)=0,"","BI-"&amp;RIGHT("0000"&amp;(ROW()-5),4))</f>
        <v/>
      </c>
      <c r="B842" s="72" t="n"/>
      <c r="C842" s="66" t="n"/>
      <c r="D842" s="67" t="str">
        <f>IF(C842="","",IFERROR(INDEX(eq_des,MATCH(C842,eq_code,0))&amp;"","Équipement inconnu"))</f>
        <v/>
      </c>
      <c r="E842" s="68" t="n"/>
      <c r="F842" s="68" t="n"/>
      <c r="G842" s="66" t="n"/>
      <c r="H842" s="66" t="n"/>
      <c r="I842" s="68" t="n"/>
      <c r="J842" s="73" t="n"/>
      <c r="K842" s="71" t="n"/>
      <c r="L842" s="71" t="n"/>
      <c r="M842" s="66" t="n"/>
      <c r="N842" s="80" t="n"/>
      <c r="O842" s="81" t="str">
        <f>IF(A842="","",ROUND(V842*IFERROR(N(INDEX(tech_rate,MATCH(M842,tech_name,0))),0),2))</f>
        <v/>
      </c>
      <c r="P842" s="80" t="n"/>
      <c r="Q842" s="81" t="str">
        <f>IF(A842="","",ROUND(Y842+O842+Z842,2))</f>
        <v/>
      </c>
      <c r="R842" s="79" t="str">
        <f>IF(A842="","",IF(S842=0,"Date manquante ou invalide",IF(C842="","Équipement manquant",IF(ISNA(MATCH(C842,eq_code,0)),"Équipement inconnu",IF(E842="","Type manquant",IF(AND(E842&lt;&gt;"Préventif",E842&lt;&gt;"Correctif",E842&lt;&gt;"Amélioratif"),"Type inconnu",IF(I842="","Statut manquant",IF(AND(I842&lt;&gt;"Terminée",I842&lt;&gt;"En cours",I842&lt;&gt;"À faire",I842&lt;&gt;"Annulée"),"Statut inconnu",IF(AND(E842="Préventif",F842=""),"Plan manquant (préventif)",IF(AND(F842&lt;&gt;"",ISNA(MATCH(F842,pl_num,0))),"Plan inconnu",IF(AND(F842&lt;&gt;"",IFERROR(INDEX(pl_eq,MATCH(F842,pl_num,0))&amp;"",C842)&lt;&gt;C842),"Plan d'un autre équipement",IF(AND(J842&lt;&gt;"",OR(NOT(ISNUMBER(J842)),N(J842)&lt;0)),"Compteur invalide",IF(OR(AND(K842&lt;&gt;"",OR(NOT(ISNUMBER(K842)),N(K842)&lt;0)),AND(L842&lt;&gt;"",OR(NOT(ISNUMBER(L842)),N(L842)&lt;0))),"Durée invalide",IF(OR(AND(N842&lt;&gt;"",OR(NOT(ISNUMBER(N842)),N(N842)&lt;0)),AND(P842&lt;&gt;"",OR(NOT(ISNUMBER(P842)),N(P842)&lt;0))),"Coût invalide",IF(AND(M842&lt;&gt;"",ISNA(MATCH(M842,tech_name,0))),"Technicien inconnu",IF(AND(I842="Terminée",S842&gt;p_today),"Terminée à une date future",IF(AND(I842="Terminée",V842=0),"Durée d'intervention manquante",IF(AND(I842="Terminée",E842="Préventif",T842=0,OR(IFERROR(INDEX(pl_trig,MATCH(F842,pl_num,0))&amp;"","")="Compteur",IFERROR(INDEX(pl_trig,MATCH(F842,pl_num,0))&amp;"","")="Au premier des deux")),"Compteur manquant (plan au compteur)","OK"))))))))))))))))))</f>
        <v/>
      </c>
      <c r="S842" s="67">
        <f>IF(AND(ISNUMBER(B842),N(B842)&gt;0),INT(B842),0)</f>
        <v>0.0</v>
      </c>
      <c r="T842" s="67">
        <f>IF(AND(ISNUMBER(J842),N(J842)&gt;=0),N(J842),0)</f>
        <v>0.0</v>
      </c>
      <c r="U842" s="67">
        <f>IF(AND(ISNUMBER(K842),N(K842)&gt;0),N(K842),0)</f>
        <v>0.0</v>
      </c>
      <c r="V842" s="67">
        <f>IF(AND(ISNUMBER(L842),N(L842)&gt;0),N(L842),0)</f>
        <v>0.0</v>
      </c>
      <c r="W842" s="67">
        <f>IF(AND(I842="Terminée",S842&gt;0,C842&lt;&gt;"",ISNUMBER(MATCH(C842,eq_code,0))),1,0)</f>
        <v>0.0</v>
      </c>
      <c r="X842" s="67">
        <f>IF(AND(W842=1,E842="Préventif"),1,0)</f>
        <v>0.0</v>
      </c>
      <c r="Y842" s="67">
        <f>IF(AND(ISNUMBER(N842),N(N842)&gt;0),N(N842),0)</f>
        <v>0.0</v>
      </c>
      <c r="Z842" s="67">
        <f>IF(AND(ISNUMBER(P842),N(P842)&gt;0),N(P842),0)</f>
        <v>0.0</v>
      </c>
    </row>
    <row r="843">
      <c r="A843" s="79" t="str">
        <f>IF(COUNTA(B843:C843,E843:G843,I843)=0,"","BI-"&amp;RIGHT("0000"&amp;(ROW()-5),4))</f>
        <v/>
      </c>
      <c r="B843" s="72" t="n"/>
      <c r="C843" s="66" t="n"/>
      <c r="D843" s="67" t="str">
        <f>IF(C843="","",IFERROR(INDEX(eq_des,MATCH(C843,eq_code,0))&amp;"","Équipement inconnu"))</f>
        <v/>
      </c>
      <c r="E843" s="68" t="n"/>
      <c r="F843" s="68" t="n"/>
      <c r="G843" s="66" t="n"/>
      <c r="H843" s="66" t="n"/>
      <c r="I843" s="68" t="n"/>
      <c r="J843" s="73" t="n"/>
      <c r="K843" s="71" t="n"/>
      <c r="L843" s="71" t="n"/>
      <c r="M843" s="66" t="n"/>
      <c r="N843" s="80" t="n"/>
      <c r="O843" s="81" t="str">
        <f>IF(A843="","",ROUND(V843*IFERROR(N(INDEX(tech_rate,MATCH(M843,tech_name,0))),0),2))</f>
        <v/>
      </c>
      <c r="P843" s="80" t="n"/>
      <c r="Q843" s="81" t="str">
        <f>IF(A843="","",ROUND(Y843+O843+Z843,2))</f>
        <v/>
      </c>
      <c r="R843" s="79" t="str">
        <f>IF(A843="","",IF(S843=0,"Date manquante ou invalide",IF(C843="","Équipement manquant",IF(ISNA(MATCH(C843,eq_code,0)),"Équipement inconnu",IF(E843="","Type manquant",IF(AND(E843&lt;&gt;"Préventif",E843&lt;&gt;"Correctif",E843&lt;&gt;"Amélioratif"),"Type inconnu",IF(I843="","Statut manquant",IF(AND(I843&lt;&gt;"Terminée",I843&lt;&gt;"En cours",I843&lt;&gt;"À faire",I843&lt;&gt;"Annulée"),"Statut inconnu",IF(AND(E843="Préventif",F843=""),"Plan manquant (préventif)",IF(AND(F843&lt;&gt;"",ISNA(MATCH(F843,pl_num,0))),"Plan inconnu",IF(AND(F843&lt;&gt;"",IFERROR(INDEX(pl_eq,MATCH(F843,pl_num,0))&amp;"",C843)&lt;&gt;C843),"Plan d'un autre équipement",IF(AND(J843&lt;&gt;"",OR(NOT(ISNUMBER(J843)),N(J843)&lt;0)),"Compteur invalide",IF(OR(AND(K843&lt;&gt;"",OR(NOT(ISNUMBER(K843)),N(K843)&lt;0)),AND(L843&lt;&gt;"",OR(NOT(ISNUMBER(L843)),N(L843)&lt;0))),"Durée invalide",IF(OR(AND(N843&lt;&gt;"",OR(NOT(ISNUMBER(N843)),N(N843)&lt;0)),AND(P843&lt;&gt;"",OR(NOT(ISNUMBER(P843)),N(P843)&lt;0))),"Coût invalide",IF(AND(M843&lt;&gt;"",ISNA(MATCH(M843,tech_name,0))),"Technicien inconnu",IF(AND(I843="Terminée",S843&gt;p_today),"Terminée à une date future",IF(AND(I843="Terminée",V843=0),"Durée d'intervention manquante",IF(AND(I843="Terminée",E843="Préventif",T843=0,OR(IFERROR(INDEX(pl_trig,MATCH(F843,pl_num,0))&amp;"","")="Compteur",IFERROR(INDEX(pl_trig,MATCH(F843,pl_num,0))&amp;"","")="Au premier des deux")),"Compteur manquant (plan au compteur)","OK"))))))))))))))))))</f>
        <v/>
      </c>
      <c r="S843" s="67">
        <f>IF(AND(ISNUMBER(B843),N(B843)&gt;0),INT(B843),0)</f>
        <v>0.0</v>
      </c>
      <c r="T843" s="67">
        <f>IF(AND(ISNUMBER(J843),N(J843)&gt;=0),N(J843),0)</f>
        <v>0.0</v>
      </c>
      <c r="U843" s="67">
        <f>IF(AND(ISNUMBER(K843),N(K843)&gt;0),N(K843),0)</f>
        <v>0.0</v>
      </c>
      <c r="V843" s="67">
        <f>IF(AND(ISNUMBER(L843),N(L843)&gt;0),N(L843),0)</f>
        <v>0.0</v>
      </c>
      <c r="W843" s="67">
        <f>IF(AND(I843="Terminée",S843&gt;0,C843&lt;&gt;"",ISNUMBER(MATCH(C843,eq_code,0))),1,0)</f>
        <v>0.0</v>
      </c>
      <c r="X843" s="67">
        <f>IF(AND(W843=1,E843="Préventif"),1,0)</f>
        <v>0.0</v>
      </c>
      <c r="Y843" s="67">
        <f>IF(AND(ISNUMBER(N843),N(N843)&gt;0),N(N843),0)</f>
        <v>0.0</v>
      </c>
      <c r="Z843" s="67">
        <f>IF(AND(ISNUMBER(P843),N(P843)&gt;0),N(P843),0)</f>
        <v>0.0</v>
      </c>
    </row>
    <row r="844">
      <c r="A844" s="79" t="str">
        <f>IF(COUNTA(B844:C844,E844:G844,I844)=0,"","BI-"&amp;RIGHT("0000"&amp;(ROW()-5),4))</f>
        <v/>
      </c>
      <c r="B844" s="72" t="n"/>
      <c r="C844" s="66" t="n"/>
      <c r="D844" s="67" t="str">
        <f>IF(C844="","",IFERROR(INDEX(eq_des,MATCH(C844,eq_code,0))&amp;"","Équipement inconnu"))</f>
        <v/>
      </c>
      <c r="E844" s="68" t="n"/>
      <c r="F844" s="68" t="n"/>
      <c r="G844" s="66" t="n"/>
      <c r="H844" s="66" t="n"/>
      <c r="I844" s="68" t="n"/>
      <c r="J844" s="73" t="n"/>
      <c r="K844" s="71" t="n"/>
      <c r="L844" s="71" t="n"/>
      <c r="M844" s="66" t="n"/>
      <c r="N844" s="80" t="n"/>
      <c r="O844" s="81" t="str">
        <f>IF(A844="","",ROUND(V844*IFERROR(N(INDEX(tech_rate,MATCH(M844,tech_name,0))),0),2))</f>
        <v/>
      </c>
      <c r="P844" s="80" t="n"/>
      <c r="Q844" s="81" t="str">
        <f>IF(A844="","",ROUND(Y844+O844+Z844,2))</f>
        <v/>
      </c>
      <c r="R844" s="79" t="str">
        <f>IF(A844="","",IF(S844=0,"Date manquante ou invalide",IF(C844="","Équipement manquant",IF(ISNA(MATCH(C844,eq_code,0)),"Équipement inconnu",IF(E844="","Type manquant",IF(AND(E844&lt;&gt;"Préventif",E844&lt;&gt;"Correctif",E844&lt;&gt;"Amélioratif"),"Type inconnu",IF(I844="","Statut manquant",IF(AND(I844&lt;&gt;"Terminée",I844&lt;&gt;"En cours",I844&lt;&gt;"À faire",I844&lt;&gt;"Annulée"),"Statut inconnu",IF(AND(E844="Préventif",F844=""),"Plan manquant (préventif)",IF(AND(F844&lt;&gt;"",ISNA(MATCH(F844,pl_num,0))),"Plan inconnu",IF(AND(F844&lt;&gt;"",IFERROR(INDEX(pl_eq,MATCH(F844,pl_num,0))&amp;"",C844)&lt;&gt;C844),"Plan d'un autre équipement",IF(AND(J844&lt;&gt;"",OR(NOT(ISNUMBER(J844)),N(J844)&lt;0)),"Compteur invalide",IF(OR(AND(K844&lt;&gt;"",OR(NOT(ISNUMBER(K844)),N(K844)&lt;0)),AND(L844&lt;&gt;"",OR(NOT(ISNUMBER(L844)),N(L844)&lt;0))),"Durée invalide",IF(OR(AND(N844&lt;&gt;"",OR(NOT(ISNUMBER(N844)),N(N844)&lt;0)),AND(P844&lt;&gt;"",OR(NOT(ISNUMBER(P844)),N(P844)&lt;0))),"Coût invalide",IF(AND(M844&lt;&gt;"",ISNA(MATCH(M844,tech_name,0))),"Technicien inconnu",IF(AND(I844="Terminée",S844&gt;p_today),"Terminée à une date future",IF(AND(I844="Terminée",V844=0),"Durée d'intervention manquante",IF(AND(I844="Terminée",E844="Préventif",T844=0,OR(IFERROR(INDEX(pl_trig,MATCH(F844,pl_num,0))&amp;"","")="Compteur",IFERROR(INDEX(pl_trig,MATCH(F844,pl_num,0))&amp;"","")="Au premier des deux")),"Compteur manquant (plan au compteur)","OK"))))))))))))))))))</f>
        <v/>
      </c>
      <c r="S844" s="67">
        <f>IF(AND(ISNUMBER(B844),N(B844)&gt;0),INT(B844),0)</f>
        <v>0.0</v>
      </c>
      <c r="T844" s="67">
        <f>IF(AND(ISNUMBER(J844),N(J844)&gt;=0),N(J844),0)</f>
        <v>0.0</v>
      </c>
      <c r="U844" s="67">
        <f>IF(AND(ISNUMBER(K844),N(K844)&gt;0),N(K844),0)</f>
        <v>0.0</v>
      </c>
      <c r="V844" s="67">
        <f>IF(AND(ISNUMBER(L844),N(L844)&gt;0),N(L844),0)</f>
        <v>0.0</v>
      </c>
      <c r="W844" s="67">
        <f>IF(AND(I844="Terminée",S844&gt;0,C844&lt;&gt;"",ISNUMBER(MATCH(C844,eq_code,0))),1,0)</f>
        <v>0.0</v>
      </c>
      <c r="X844" s="67">
        <f>IF(AND(W844=1,E844="Préventif"),1,0)</f>
        <v>0.0</v>
      </c>
      <c r="Y844" s="67">
        <f>IF(AND(ISNUMBER(N844),N(N844)&gt;0),N(N844),0)</f>
        <v>0.0</v>
      </c>
      <c r="Z844" s="67">
        <f>IF(AND(ISNUMBER(P844),N(P844)&gt;0),N(P844),0)</f>
        <v>0.0</v>
      </c>
    </row>
    <row r="845">
      <c r="A845" s="79" t="str">
        <f>IF(COUNTA(B845:C845,E845:G845,I845)=0,"","BI-"&amp;RIGHT("0000"&amp;(ROW()-5),4))</f>
        <v/>
      </c>
      <c r="B845" s="72" t="n"/>
      <c r="C845" s="66" t="n"/>
      <c r="D845" s="67" t="str">
        <f>IF(C845="","",IFERROR(INDEX(eq_des,MATCH(C845,eq_code,0))&amp;"","Équipement inconnu"))</f>
        <v/>
      </c>
      <c r="E845" s="68" t="n"/>
      <c r="F845" s="68" t="n"/>
      <c r="G845" s="66" t="n"/>
      <c r="H845" s="66" t="n"/>
      <c r="I845" s="68" t="n"/>
      <c r="J845" s="73" t="n"/>
      <c r="K845" s="71" t="n"/>
      <c r="L845" s="71" t="n"/>
      <c r="M845" s="66" t="n"/>
      <c r="N845" s="80" t="n"/>
      <c r="O845" s="81" t="str">
        <f>IF(A845="","",ROUND(V845*IFERROR(N(INDEX(tech_rate,MATCH(M845,tech_name,0))),0),2))</f>
        <v/>
      </c>
      <c r="P845" s="80" t="n"/>
      <c r="Q845" s="81" t="str">
        <f>IF(A845="","",ROUND(Y845+O845+Z845,2))</f>
        <v/>
      </c>
      <c r="R845" s="79" t="str">
        <f>IF(A845="","",IF(S845=0,"Date manquante ou invalide",IF(C845="","Équipement manquant",IF(ISNA(MATCH(C845,eq_code,0)),"Équipement inconnu",IF(E845="","Type manquant",IF(AND(E845&lt;&gt;"Préventif",E845&lt;&gt;"Correctif",E845&lt;&gt;"Amélioratif"),"Type inconnu",IF(I845="","Statut manquant",IF(AND(I845&lt;&gt;"Terminée",I845&lt;&gt;"En cours",I845&lt;&gt;"À faire",I845&lt;&gt;"Annulée"),"Statut inconnu",IF(AND(E845="Préventif",F845=""),"Plan manquant (préventif)",IF(AND(F845&lt;&gt;"",ISNA(MATCH(F845,pl_num,0))),"Plan inconnu",IF(AND(F845&lt;&gt;"",IFERROR(INDEX(pl_eq,MATCH(F845,pl_num,0))&amp;"",C845)&lt;&gt;C845),"Plan d'un autre équipement",IF(AND(J845&lt;&gt;"",OR(NOT(ISNUMBER(J845)),N(J845)&lt;0)),"Compteur invalide",IF(OR(AND(K845&lt;&gt;"",OR(NOT(ISNUMBER(K845)),N(K845)&lt;0)),AND(L845&lt;&gt;"",OR(NOT(ISNUMBER(L845)),N(L845)&lt;0))),"Durée invalide",IF(OR(AND(N845&lt;&gt;"",OR(NOT(ISNUMBER(N845)),N(N845)&lt;0)),AND(P845&lt;&gt;"",OR(NOT(ISNUMBER(P845)),N(P845)&lt;0))),"Coût invalide",IF(AND(M845&lt;&gt;"",ISNA(MATCH(M845,tech_name,0))),"Technicien inconnu",IF(AND(I845="Terminée",S845&gt;p_today),"Terminée à une date future",IF(AND(I845="Terminée",V845=0),"Durée d'intervention manquante",IF(AND(I845="Terminée",E845="Préventif",T845=0,OR(IFERROR(INDEX(pl_trig,MATCH(F845,pl_num,0))&amp;"","")="Compteur",IFERROR(INDEX(pl_trig,MATCH(F845,pl_num,0))&amp;"","")="Au premier des deux")),"Compteur manquant (plan au compteur)","OK"))))))))))))))))))</f>
        <v/>
      </c>
      <c r="S845" s="67">
        <f>IF(AND(ISNUMBER(B845),N(B845)&gt;0),INT(B845),0)</f>
        <v>0.0</v>
      </c>
      <c r="T845" s="67">
        <f>IF(AND(ISNUMBER(J845),N(J845)&gt;=0),N(J845),0)</f>
        <v>0.0</v>
      </c>
      <c r="U845" s="67">
        <f>IF(AND(ISNUMBER(K845),N(K845)&gt;0),N(K845),0)</f>
        <v>0.0</v>
      </c>
      <c r="V845" s="67">
        <f>IF(AND(ISNUMBER(L845),N(L845)&gt;0),N(L845),0)</f>
        <v>0.0</v>
      </c>
      <c r="W845" s="67">
        <f>IF(AND(I845="Terminée",S845&gt;0,C845&lt;&gt;"",ISNUMBER(MATCH(C845,eq_code,0))),1,0)</f>
        <v>0.0</v>
      </c>
      <c r="X845" s="67">
        <f>IF(AND(W845=1,E845="Préventif"),1,0)</f>
        <v>0.0</v>
      </c>
      <c r="Y845" s="67">
        <f>IF(AND(ISNUMBER(N845),N(N845)&gt;0),N(N845),0)</f>
        <v>0.0</v>
      </c>
      <c r="Z845" s="67">
        <f>IF(AND(ISNUMBER(P845),N(P845)&gt;0),N(P845),0)</f>
        <v>0.0</v>
      </c>
    </row>
    <row r="846">
      <c r="A846" s="79" t="str">
        <f>IF(COUNTA(B846:C846,E846:G846,I846)=0,"","BI-"&amp;RIGHT("0000"&amp;(ROW()-5),4))</f>
        <v/>
      </c>
      <c r="B846" s="72" t="n"/>
      <c r="C846" s="66" t="n"/>
      <c r="D846" s="67" t="str">
        <f>IF(C846="","",IFERROR(INDEX(eq_des,MATCH(C846,eq_code,0))&amp;"","Équipement inconnu"))</f>
        <v/>
      </c>
      <c r="E846" s="68" t="n"/>
      <c r="F846" s="68" t="n"/>
      <c r="G846" s="66" t="n"/>
      <c r="H846" s="66" t="n"/>
      <c r="I846" s="68" t="n"/>
      <c r="J846" s="73" t="n"/>
      <c r="K846" s="71" t="n"/>
      <c r="L846" s="71" t="n"/>
      <c r="M846" s="66" t="n"/>
      <c r="N846" s="80" t="n"/>
      <c r="O846" s="81" t="str">
        <f>IF(A846="","",ROUND(V846*IFERROR(N(INDEX(tech_rate,MATCH(M846,tech_name,0))),0),2))</f>
        <v/>
      </c>
      <c r="P846" s="80" t="n"/>
      <c r="Q846" s="81" t="str">
        <f>IF(A846="","",ROUND(Y846+O846+Z846,2))</f>
        <v/>
      </c>
      <c r="R846" s="79" t="str">
        <f>IF(A846="","",IF(S846=0,"Date manquante ou invalide",IF(C846="","Équipement manquant",IF(ISNA(MATCH(C846,eq_code,0)),"Équipement inconnu",IF(E846="","Type manquant",IF(AND(E846&lt;&gt;"Préventif",E846&lt;&gt;"Correctif",E846&lt;&gt;"Amélioratif"),"Type inconnu",IF(I846="","Statut manquant",IF(AND(I846&lt;&gt;"Terminée",I846&lt;&gt;"En cours",I846&lt;&gt;"À faire",I846&lt;&gt;"Annulée"),"Statut inconnu",IF(AND(E846="Préventif",F846=""),"Plan manquant (préventif)",IF(AND(F846&lt;&gt;"",ISNA(MATCH(F846,pl_num,0))),"Plan inconnu",IF(AND(F846&lt;&gt;"",IFERROR(INDEX(pl_eq,MATCH(F846,pl_num,0))&amp;"",C846)&lt;&gt;C846),"Plan d'un autre équipement",IF(AND(J846&lt;&gt;"",OR(NOT(ISNUMBER(J846)),N(J846)&lt;0)),"Compteur invalide",IF(OR(AND(K846&lt;&gt;"",OR(NOT(ISNUMBER(K846)),N(K846)&lt;0)),AND(L846&lt;&gt;"",OR(NOT(ISNUMBER(L846)),N(L846)&lt;0))),"Durée invalide",IF(OR(AND(N846&lt;&gt;"",OR(NOT(ISNUMBER(N846)),N(N846)&lt;0)),AND(P846&lt;&gt;"",OR(NOT(ISNUMBER(P846)),N(P846)&lt;0))),"Coût invalide",IF(AND(M846&lt;&gt;"",ISNA(MATCH(M846,tech_name,0))),"Technicien inconnu",IF(AND(I846="Terminée",S846&gt;p_today),"Terminée à une date future",IF(AND(I846="Terminée",V846=0),"Durée d'intervention manquante",IF(AND(I846="Terminée",E846="Préventif",T846=0,OR(IFERROR(INDEX(pl_trig,MATCH(F846,pl_num,0))&amp;"","")="Compteur",IFERROR(INDEX(pl_trig,MATCH(F846,pl_num,0))&amp;"","")="Au premier des deux")),"Compteur manquant (plan au compteur)","OK"))))))))))))))))))</f>
        <v/>
      </c>
      <c r="S846" s="67">
        <f>IF(AND(ISNUMBER(B846),N(B846)&gt;0),INT(B846),0)</f>
        <v>0.0</v>
      </c>
      <c r="T846" s="67">
        <f>IF(AND(ISNUMBER(J846),N(J846)&gt;=0),N(J846),0)</f>
        <v>0.0</v>
      </c>
      <c r="U846" s="67">
        <f>IF(AND(ISNUMBER(K846),N(K846)&gt;0),N(K846),0)</f>
        <v>0.0</v>
      </c>
      <c r="V846" s="67">
        <f>IF(AND(ISNUMBER(L846),N(L846)&gt;0),N(L846),0)</f>
        <v>0.0</v>
      </c>
      <c r="W846" s="67">
        <f>IF(AND(I846="Terminée",S846&gt;0,C846&lt;&gt;"",ISNUMBER(MATCH(C846,eq_code,0))),1,0)</f>
        <v>0.0</v>
      </c>
      <c r="X846" s="67">
        <f>IF(AND(W846=1,E846="Préventif"),1,0)</f>
        <v>0.0</v>
      </c>
      <c r="Y846" s="67">
        <f>IF(AND(ISNUMBER(N846),N(N846)&gt;0),N(N846),0)</f>
        <v>0.0</v>
      </c>
      <c r="Z846" s="67">
        <f>IF(AND(ISNUMBER(P846),N(P846)&gt;0),N(P846),0)</f>
        <v>0.0</v>
      </c>
    </row>
    <row r="847">
      <c r="A847" s="79" t="str">
        <f>IF(COUNTA(B847:C847,E847:G847,I847)=0,"","BI-"&amp;RIGHT("0000"&amp;(ROW()-5),4))</f>
        <v/>
      </c>
      <c r="B847" s="72" t="n"/>
      <c r="C847" s="66" t="n"/>
      <c r="D847" s="67" t="str">
        <f>IF(C847="","",IFERROR(INDEX(eq_des,MATCH(C847,eq_code,0))&amp;"","Équipement inconnu"))</f>
        <v/>
      </c>
      <c r="E847" s="68" t="n"/>
      <c r="F847" s="68" t="n"/>
      <c r="G847" s="66" t="n"/>
      <c r="H847" s="66" t="n"/>
      <c r="I847" s="68" t="n"/>
      <c r="J847" s="73" t="n"/>
      <c r="K847" s="71" t="n"/>
      <c r="L847" s="71" t="n"/>
      <c r="M847" s="66" t="n"/>
      <c r="N847" s="80" t="n"/>
      <c r="O847" s="81" t="str">
        <f>IF(A847="","",ROUND(V847*IFERROR(N(INDEX(tech_rate,MATCH(M847,tech_name,0))),0),2))</f>
        <v/>
      </c>
      <c r="P847" s="80" t="n"/>
      <c r="Q847" s="81" t="str">
        <f>IF(A847="","",ROUND(Y847+O847+Z847,2))</f>
        <v/>
      </c>
      <c r="R847" s="79" t="str">
        <f>IF(A847="","",IF(S847=0,"Date manquante ou invalide",IF(C847="","Équipement manquant",IF(ISNA(MATCH(C847,eq_code,0)),"Équipement inconnu",IF(E847="","Type manquant",IF(AND(E847&lt;&gt;"Préventif",E847&lt;&gt;"Correctif",E847&lt;&gt;"Amélioratif"),"Type inconnu",IF(I847="","Statut manquant",IF(AND(I847&lt;&gt;"Terminée",I847&lt;&gt;"En cours",I847&lt;&gt;"À faire",I847&lt;&gt;"Annulée"),"Statut inconnu",IF(AND(E847="Préventif",F847=""),"Plan manquant (préventif)",IF(AND(F847&lt;&gt;"",ISNA(MATCH(F847,pl_num,0))),"Plan inconnu",IF(AND(F847&lt;&gt;"",IFERROR(INDEX(pl_eq,MATCH(F847,pl_num,0))&amp;"",C847)&lt;&gt;C847),"Plan d'un autre équipement",IF(AND(J847&lt;&gt;"",OR(NOT(ISNUMBER(J847)),N(J847)&lt;0)),"Compteur invalide",IF(OR(AND(K847&lt;&gt;"",OR(NOT(ISNUMBER(K847)),N(K847)&lt;0)),AND(L847&lt;&gt;"",OR(NOT(ISNUMBER(L847)),N(L847)&lt;0))),"Durée invalide",IF(OR(AND(N847&lt;&gt;"",OR(NOT(ISNUMBER(N847)),N(N847)&lt;0)),AND(P847&lt;&gt;"",OR(NOT(ISNUMBER(P847)),N(P847)&lt;0))),"Coût invalide",IF(AND(M847&lt;&gt;"",ISNA(MATCH(M847,tech_name,0))),"Technicien inconnu",IF(AND(I847="Terminée",S847&gt;p_today),"Terminée à une date future",IF(AND(I847="Terminée",V847=0),"Durée d'intervention manquante",IF(AND(I847="Terminée",E847="Préventif",T847=0,OR(IFERROR(INDEX(pl_trig,MATCH(F847,pl_num,0))&amp;"","")="Compteur",IFERROR(INDEX(pl_trig,MATCH(F847,pl_num,0))&amp;"","")="Au premier des deux")),"Compteur manquant (plan au compteur)","OK"))))))))))))))))))</f>
        <v/>
      </c>
      <c r="S847" s="67">
        <f>IF(AND(ISNUMBER(B847),N(B847)&gt;0),INT(B847),0)</f>
        <v>0.0</v>
      </c>
      <c r="T847" s="67">
        <f>IF(AND(ISNUMBER(J847),N(J847)&gt;=0),N(J847),0)</f>
        <v>0.0</v>
      </c>
      <c r="U847" s="67">
        <f>IF(AND(ISNUMBER(K847),N(K847)&gt;0),N(K847),0)</f>
        <v>0.0</v>
      </c>
      <c r="V847" s="67">
        <f>IF(AND(ISNUMBER(L847),N(L847)&gt;0),N(L847),0)</f>
        <v>0.0</v>
      </c>
      <c r="W847" s="67">
        <f>IF(AND(I847="Terminée",S847&gt;0,C847&lt;&gt;"",ISNUMBER(MATCH(C847,eq_code,0))),1,0)</f>
        <v>0.0</v>
      </c>
      <c r="X847" s="67">
        <f>IF(AND(W847=1,E847="Préventif"),1,0)</f>
        <v>0.0</v>
      </c>
      <c r="Y847" s="67">
        <f>IF(AND(ISNUMBER(N847),N(N847)&gt;0),N(N847),0)</f>
        <v>0.0</v>
      </c>
      <c r="Z847" s="67">
        <f>IF(AND(ISNUMBER(P847),N(P847)&gt;0),N(P847),0)</f>
        <v>0.0</v>
      </c>
    </row>
    <row r="848">
      <c r="A848" s="79" t="str">
        <f>IF(COUNTA(B848:C848,E848:G848,I848)=0,"","BI-"&amp;RIGHT("0000"&amp;(ROW()-5),4))</f>
        <v/>
      </c>
      <c r="B848" s="72" t="n"/>
      <c r="C848" s="66" t="n"/>
      <c r="D848" s="67" t="str">
        <f>IF(C848="","",IFERROR(INDEX(eq_des,MATCH(C848,eq_code,0))&amp;"","Équipement inconnu"))</f>
        <v/>
      </c>
      <c r="E848" s="68" t="n"/>
      <c r="F848" s="68" t="n"/>
      <c r="G848" s="66" t="n"/>
      <c r="H848" s="66" t="n"/>
      <c r="I848" s="68" t="n"/>
      <c r="J848" s="73" t="n"/>
      <c r="K848" s="71" t="n"/>
      <c r="L848" s="71" t="n"/>
      <c r="M848" s="66" t="n"/>
      <c r="N848" s="80" t="n"/>
      <c r="O848" s="81" t="str">
        <f>IF(A848="","",ROUND(V848*IFERROR(N(INDEX(tech_rate,MATCH(M848,tech_name,0))),0),2))</f>
        <v/>
      </c>
      <c r="P848" s="80" t="n"/>
      <c r="Q848" s="81" t="str">
        <f>IF(A848="","",ROUND(Y848+O848+Z848,2))</f>
        <v/>
      </c>
      <c r="R848" s="79" t="str">
        <f>IF(A848="","",IF(S848=0,"Date manquante ou invalide",IF(C848="","Équipement manquant",IF(ISNA(MATCH(C848,eq_code,0)),"Équipement inconnu",IF(E848="","Type manquant",IF(AND(E848&lt;&gt;"Préventif",E848&lt;&gt;"Correctif",E848&lt;&gt;"Amélioratif"),"Type inconnu",IF(I848="","Statut manquant",IF(AND(I848&lt;&gt;"Terminée",I848&lt;&gt;"En cours",I848&lt;&gt;"À faire",I848&lt;&gt;"Annulée"),"Statut inconnu",IF(AND(E848="Préventif",F848=""),"Plan manquant (préventif)",IF(AND(F848&lt;&gt;"",ISNA(MATCH(F848,pl_num,0))),"Plan inconnu",IF(AND(F848&lt;&gt;"",IFERROR(INDEX(pl_eq,MATCH(F848,pl_num,0))&amp;"",C848)&lt;&gt;C848),"Plan d'un autre équipement",IF(AND(J848&lt;&gt;"",OR(NOT(ISNUMBER(J848)),N(J848)&lt;0)),"Compteur invalide",IF(OR(AND(K848&lt;&gt;"",OR(NOT(ISNUMBER(K848)),N(K848)&lt;0)),AND(L848&lt;&gt;"",OR(NOT(ISNUMBER(L848)),N(L848)&lt;0))),"Durée invalide",IF(OR(AND(N848&lt;&gt;"",OR(NOT(ISNUMBER(N848)),N(N848)&lt;0)),AND(P848&lt;&gt;"",OR(NOT(ISNUMBER(P848)),N(P848)&lt;0))),"Coût invalide",IF(AND(M848&lt;&gt;"",ISNA(MATCH(M848,tech_name,0))),"Technicien inconnu",IF(AND(I848="Terminée",S848&gt;p_today),"Terminée à une date future",IF(AND(I848="Terminée",V848=0),"Durée d'intervention manquante",IF(AND(I848="Terminée",E848="Préventif",T848=0,OR(IFERROR(INDEX(pl_trig,MATCH(F848,pl_num,0))&amp;"","")="Compteur",IFERROR(INDEX(pl_trig,MATCH(F848,pl_num,0))&amp;"","")="Au premier des deux")),"Compteur manquant (plan au compteur)","OK"))))))))))))))))))</f>
        <v/>
      </c>
      <c r="S848" s="67">
        <f>IF(AND(ISNUMBER(B848),N(B848)&gt;0),INT(B848),0)</f>
        <v>0.0</v>
      </c>
      <c r="T848" s="67">
        <f>IF(AND(ISNUMBER(J848),N(J848)&gt;=0),N(J848),0)</f>
        <v>0.0</v>
      </c>
      <c r="U848" s="67">
        <f>IF(AND(ISNUMBER(K848),N(K848)&gt;0),N(K848),0)</f>
        <v>0.0</v>
      </c>
      <c r="V848" s="67">
        <f>IF(AND(ISNUMBER(L848),N(L848)&gt;0),N(L848),0)</f>
        <v>0.0</v>
      </c>
      <c r="W848" s="67">
        <f>IF(AND(I848="Terminée",S848&gt;0,C848&lt;&gt;"",ISNUMBER(MATCH(C848,eq_code,0))),1,0)</f>
        <v>0.0</v>
      </c>
      <c r="X848" s="67">
        <f>IF(AND(W848=1,E848="Préventif"),1,0)</f>
        <v>0.0</v>
      </c>
      <c r="Y848" s="67">
        <f>IF(AND(ISNUMBER(N848),N(N848)&gt;0),N(N848),0)</f>
        <v>0.0</v>
      </c>
      <c r="Z848" s="67">
        <f>IF(AND(ISNUMBER(P848),N(P848)&gt;0),N(P848),0)</f>
        <v>0.0</v>
      </c>
    </row>
    <row r="849">
      <c r="A849" s="79" t="str">
        <f>IF(COUNTA(B849:C849,E849:G849,I849)=0,"","BI-"&amp;RIGHT("0000"&amp;(ROW()-5),4))</f>
        <v/>
      </c>
      <c r="B849" s="72" t="n"/>
      <c r="C849" s="66" t="n"/>
      <c r="D849" s="67" t="str">
        <f>IF(C849="","",IFERROR(INDEX(eq_des,MATCH(C849,eq_code,0))&amp;"","Équipement inconnu"))</f>
        <v/>
      </c>
      <c r="E849" s="68" t="n"/>
      <c r="F849" s="68" t="n"/>
      <c r="G849" s="66" t="n"/>
      <c r="H849" s="66" t="n"/>
      <c r="I849" s="68" t="n"/>
      <c r="J849" s="73" t="n"/>
      <c r="K849" s="71" t="n"/>
      <c r="L849" s="71" t="n"/>
      <c r="M849" s="66" t="n"/>
      <c r="N849" s="80" t="n"/>
      <c r="O849" s="81" t="str">
        <f>IF(A849="","",ROUND(V849*IFERROR(N(INDEX(tech_rate,MATCH(M849,tech_name,0))),0),2))</f>
        <v/>
      </c>
      <c r="P849" s="80" t="n"/>
      <c r="Q849" s="81" t="str">
        <f>IF(A849="","",ROUND(Y849+O849+Z849,2))</f>
        <v/>
      </c>
      <c r="R849" s="79" t="str">
        <f>IF(A849="","",IF(S849=0,"Date manquante ou invalide",IF(C849="","Équipement manquant",IF(ISNA(MATCH(C849,eq_code,0)),"Équipement inconnu",IF(E849="","Type manquant",IF(AND(E849&lt;&gt;"Préventif",E849&lt;&gt;"Correctif",E849&lt;&gt;"Amélioratif"),"Type inconnu",IF(I849="","Statut manquant",IF(AND(I849&lt;&gt;"Terminée",I849&lt;&gt;"En cours",I849&lt;&gt;"À faire",I849&lt;&gt;"Annulée"),"Statut inconnu",IF(AND(E849="Préventif",F849=""),"Plan manquant (préventif)",IF(AND(F849&lt;&gt;"",ISNA(MATCH(F849,pl_num,0))),"Plan inconnu",IF(AND(F849&lt;&gt;"",IFERROR(INDEX(pl_eq,MATCH(F849,pl_num,0))&amp;"",C849)&lt;&gt;C849),"Plan d'un autre équipement",IF(AND(J849&lt;&gt;"",OR(NOT(ISNUMBER(J849)),N(J849)&lt;0)),"Compteur invalide",IF(OR(AND(K849&lt;&gt;"",OR(NOT(ISNUMBER(K849)),N(K849)&lt;0)),AND(L849&lt;&gt;"",OR(NOT(ISNUMBER(L849)),N(L849)&lt;0))),"Durée invalide",IF(OR(AND(N849&lt;&gt;"",OR(NOT(ISNUMBER(N849)),N(N849)&lt;0)),AND(P849&lt;&gt;"",OR(NOT(ISNUMBER(P849)),N(P849)&lt;0))),"Coût invalide",IF(AND(M849&lt;&gt;"",ISNA(MATCH(M849,tech_name,0))),"Technicien inconnu",IF(AND(I849="Terminée",S849&gt;p_today),"Terminée à une date future",IF(AND(I849="Terminée",V849=0),"Durée d'intervention manquante",IF(AND(I849="Terminée",E849="Préventif",T849=0,OR(IFERROR(INDEX(pl_trig,MATCH(F849,pl_num,0))&amp;"","")="Compteur",IFERROR(INDEX(pl_trig,MATCH(F849,pl_num,0))&amp;"","")="Au premier des deux")),"Compteur manquant (plan au compteur)","OK"))))))))))))))))))</f>
        <v/>
      </c>
      <c r="S849" s="67">
        <f>IF(AND(ISNUMBER(B849),N(B849)&gt;0),INT(B849),0)</f>
        <v>0.0</v>
      </c>
      <c r="T849" s="67">
        <f>IF(AND(ISNUMBER(J849),N(J849)&gt;=0),N(J849),0)</f>
        <v>0.0</v>
      </c>
      <c r="U849" s="67">
        <f>IF(AND(ISNUMBER(K849),N(K849)&gt;0),N(K849),0)</f>
        <v>0.0</v>
      </c>
      <c r="V849" s="67">
        <f>IF(AND(ISNUMBER(L849),N(L849)&gt;0),N(L849),0)</f>
        <v>0.0</v>
      </c>
      <c r="W849" s="67">
        <f>IF(AND(I849="Terminée",S849&gt;0,C849&lt;&gt;"",ISNUMBER(MATCH(C849,eq_code,0))),1,0)</f>
        <v>0.0</v>
      </c>
      <c r="X849" s="67">
        <f>IF(AND(W849=1,E849="Préventif"),1,0)</f>
        <v>0.0</v>
      </c>
      <c r="Y849" s="67">
        <f>IF(AND(ISNUMBER(N849),N(N849)&gt;0),N(N849),0)</f>
        <v>0.0</v>
      </c>
      <c r="Z849" s="67">
        <f>IF(AND(ISNUMBER(P849),N(P849)&gt;0),N(P849),0)</f>
        <v>0.0</v>
      </c>
    </row>
    <row r="850">
      <c r="A850" s="79" t="str">
        <f>IF(COUNTA(B850:C850,E850:G850,I850)=0,"","BI-"&amp;RIGHT("0000"&amp;(ROW()-5),4))</f>
        <v/>
      </c>
      <c r="B850" s="72" t="n"/>
      <c r="C850" s="66" t="n"/>
      <c r="D850" s="67" t="str">
        <f>IF(C850="","",IFERROR(INDEX(eq_des,MATCH(C850,eq_code,0))&amp;"","Équipement inconnu"))</f>
        <v/>
      </c>
      <c r="E850" s="68" t="n"/>
      <c r="F850" s="68" t="n"/>
      <c r="G850" s="66" t="n"/>
      <c r="H850" s="66" t="n"/>
      <c r="I850" s="68" t="n"/>
      <c r="J850" s="73" t="n"/>
      <c r="K850" s="71" t="n"/>
      <c r="L850" s="71" t="n"/>
      <c r="M850" s="66" t="n"/>
      <c r="N850" s="80" t="n"/>
      <c r="O850" s="81" t="str">
        <f>IF(A850="","",ROUND(V850*IFERROR(N(INDEX(tech_rate,MATCH(M850,tech_name,0))),0),2))</f>
        <v/>
      </c>
      <c r="P850" s="80" t="n"/>
      <c r="Q850" s="81" t="str">
        <f>IF(A850="","",ROUND(Y850+O850+Z850,2))</f>
        <v/>
      </c>
      <c r="R850" s="79" t="str">
        <f>IF(A850="","",IF(S850=0,"Date manquante ou invalide",IF(C850="","Équipement manquant",IF(ISNA(MATCH(C850,eq_code,0)),"Équipement inconnu",IF(E850="","Type manquant",IF(AND(E850&lt;&gt;"Préventif",E850&lt;&gt;"Correctif",E850&lt;&gt;"Amélioratif"),"Type inconnu",IF(I850="","Statut manquant",IF(AND(I850&lt;&gt;"Terminée",I850&lt;&gt;"En cours",I850&lt;&gt;"À faire",I850&lt;&gt;"Annulée"),"Statut inconnu",IF(AND(E850="Préventif",F850=""),"Plan manquant (préventif)",IF(AND(F850&lt;&gt;"",ISNA(MATCH(F850,pl_num,0))),"Plan inconnu",IF(AND(F850&lt;&gt;"",IFERROR(INDEX(pl_eq,MATCH(F850,pl_num,0))&amp;"",C850)&lt;&gt;C850),"Plan d'un autre équipement",IF(AND(J850&lt;&gt;"",OR(NOT(ISNUMBER(J850)),N(J850)&lt;0)),"Compteur invalide",IF(OR(AND(K850&lt;&gt;"",OR(NOT(ISNUMBER(K850)),N(K850)&lt;0)),AND(L850&lt;&gt;"",OR(NOT(ISNUMBER(L850)),N(L850)&lt;0))),"Durée invalide",IF(OR(AND(N850&lt;&gt;"",OR(NOT(ISNUMBER(N850)),N(N850)&lt;0)),AND(P850&lt;&gt;"",OR(NOT(ISNUMBER(P850)),N(P850)&lt;0))),"Coût invalide",IF(AND(M850&lt;&gt;"",ISNA(MATCH(M850,tech_name,0))),"Technicien inconnu",IF(AND(I850="Terminée",S850&gt;p_today),"Terminée à une date future",IF(AND(I850="Terminée",V850=0),"Durée d'intervention manquante",IF(AND(I850="Terminée",E850="Préventif",T850=0,OR(IFERROR(INDEX(pl_trig,MATCH(F850,pl_num,0))&amp;"","")="Compteur",IFERROR(INDEX(pl_trig,MATCH(F850,pl_num,0))&amp;"","")="Au premier des deux")),"Compteur manquant (plan au compteur)","OK"))))))))))))))))))</f>
        <v/>
      </c>
      <c r="S850" s="67">
        <f>IF(AND(ISNUMBER(B850),N(B850)&gt;0),INT(B850),0)</f>
        <v>0.0</v>
      </c>
      <c r="T850" s="67">
        <f>IF(AND(ISNUMBER(J850),N(J850)&gt;=0),N(J850),0)</f>
        <v>0.0</v>
      </c>
      <c r="U850" s="67">
        <f>IF(AND(ISNUMBER(K850),N(K850)&gt;0),N(K850),0)</f>
        <v>0.0</v>
      </c>
      <c r="V850" s="67">
        <f>IF(AND(ISNUMBER(L850),N(L850)&gt;0),N(L850),0)</f>
        <v>0.0</v>
      </c>
      <c r="W850" s="67">
        <f>IF(AND(I850="Terminée",S850&gt;0,C850&lt;&gt;"",ISNUMBER(MATCH(C850,eq_code,0))),1,0)</f>
        <v>0.0</v>
      </c>
      <c r="X850" s="67">
        <f>IF(AND(W850=1,E850="Préventif"),1,0)</f>
        <v>0.0</v>
      </c>
      <c r="Y850" s="67">
        <f>IF(AND(ISNUMBER(N850),N(N850)&gt;0),N(N850),0)</f>
        <v>0.0</v>
      </c>
      <c r="Z850" s="67">
        <f>IF(AND(ISNUMBER(P850),N(P850)&gt;0),N(P850),0)</f>
        <v>0.0</v>
      </c>
    </row>
    <row r="851">
      <c r="A851" s="79" t="str">
        <f>IF(COUNTA(B851:C851,E851:G851,I851)=0,"","BI-"&amp;RIGHT("0000"&amp;(ROW()-5),4))</f>
        <v/>
      </c>
      <c r="B851" s="72" t="n"/>
      <c r="C851" s="66" t="n"/>
      <c r="D851" s="67" t="str">
        <f>IF(C851="","",IFERROR(INDEX(eq_des,MATCH(C851,eq_code,0))&amp;"","Équipement inconnu"))</f>
        <v/>
      </c>
      <c r="E851" s="68" t="n"/>
      <c r="F851" s="68" t="n"/>
      <c r="G851" s="66" t="n"/>
      <c r="H851" s="66" t="n"/>
      <c r="I851" s="68" t="n"/>
      <c r="J851" s="73" t="n"/>
      <c r="K851" s="71" t="n"/>
      <c r="L851" s="71" t="n"/>
      <c r="M851" s="66" t="n"/>
      <c r="N851" s="80" t="n"/>
      <c r="O851" s="81" t="str">
        <f>IF(A851="","",ROUND(V851*IFERROR(N(INDEX(tech_rate,MATCH(M851,tech_name,0))),0),2))</f>
        <v/>
      </c>
      <c r="P851" s="80" t="n"/>
      <c r="Q851" s="81" t="str">
        <f>IF(A851="","",ROUND(Y851+O851+Z851,2))</f>
        <v/>
      </c>
      <c r="R851" s="79" t="str">
        <f>IF(A851="","",IF(S851=0,"Date manquante ou invalide",IF(C851="","Équipement manquant",IF(ISNA(MATCH(C851,eq_code,0)),"Équipement inconnu",IF(E851="","Type manquant",IF(AND(E851&lt;&gt;"Préventif",E851&lt;&gt;"Correctif",E851&lt;&gt;"Amélioratif"),"Type inconnu",IF(I851="","Statut manquant",IF(AND(I851&lt;&gt;"Terminée",I851&lt;&gt;"En cours",I851&lt;&gt;"À faire",I851&lt;&gt;"Annulée"),"Statut inconnu",IF(AND(E851="Préventif",F851=""),"Plan manquant (préventif)",IF(AND(F851&lt;&gt;"",ISNA(MATCH(F851,pl_num,0))),"Plan inconnu",IF(AND(F851&lt;&gt;"",IFERROR(INDEX(pl_eq,MATCH(F851,pl_num,0))&amp;"",C851)&lt;&gt;C851),"Plan d'un autre équipement",IF(AND(J851&lt;&gt;"",OR(NOT(ISNUMBER(J851)),N(J851)&lt;0)),"Compteur invalide",IF(OR(AND(K851&lt;&gt;"",OR(NOT(ISNUMBER(K851)),N(K851)&lt;0)),AND(L851&lt;&gt;"",OR(NOT(ISNUMBER(L851)),N(L851)&lt;0))),"Durée invalide",IF(OR(AND(N851&lt;&gt;"",OR(NOT(ISNUMBER(N851)),N(N851)&lt;0)),AND(P851&lt;&gt;"",OR(NOT(ISNUMBER(P851)),N(P851)&lt;0))),"Coût invalide",IF(AND(M851&lt;&gt;"",ISNA(MATCH(M851,tech_name,0))),"Technicien inconnu",IF(AND(I851="Terminée",S851&gt;p_today),"Terminée à une date future",IF(AND(I851="Terminée",V851=0),"Durée d'intervention manquante",IF(AND(I851="Terminée",E851="Préventif",T851=0,OR(IFERROR(INDEX(pl_trig,MATCH(F851,pl_num,0))&amp;"","")="Compteur",IFERROR(INDEX(pl_trig,MATCH(F851,pl_num,0))&amp;"","")="Au premier des deux")),"Compteur manquant (plan au compteur)","OK"))))))))))))))))))</f>
        <v/>
      </c>
      <c r="S851" s="67">
        <f>IF(AND(ISNUMBER(B851),N(B851)&gt;0),INT(B851),0)</f>
        <v>0.0</v>
      </c>
      <c r="T851" s="67">
        <f>IF(AND(ISNUMBER(J851),N(J851)&gt;=0),N(J851),0)</f>
        <v>0.0</v>
      </c>
      <c r="U851" s="67">
        <f>IF(AND(ISNUMBER(K851),N(K851)&gt;0),N(K851),0)</f>
        <v>0.0</v>
      </c>
      <c r="V851" s="67">
        <f>IF(AND(ISNUMBER(L851),N(L851)&gt;0),N(L851),0)</f>
        <v>0.0</v>
      </c>
      <c r="W851" s="67">
        <f>IF(AND(I851="Terminée",S851&gt;0,C851&lt;&gt;"",ISNUMBER(MATCH(C851,eq_code,0))),1,0)</f>
        <v>0.0</v>
      </c>
      <c r="X851" s="67">
        <f>IF(AND(W851=1,E851="Préventif"),1,0)</f>
        <v>0.0</v>
      </c>
      <c r="Y851" s="67">
        <f>IF(AND(ISNUMBER(N851),N(N851)&gt;0),N(N851),0)</f>
        <v>0.0</v>
      </c>
      <c r="Z851" s="67">
        <f>IF(AND(ISNUMBER(P851),N(P851)&gt;0),N(P851),0)</f>
        <v>0.0</v>
      </c>
    </row>
    <row r="852">
      <c r="A852" s="79" t="str">
        <f>IF(COUNTA(B852:C852,E852:G852,I852)=0,"","BI-"&amp;RIGHT("0000"&amp;(ROW()-5),4))</f>
        <v/>
      </c>
      <c r="B852" s="72" t="n"/>
      <c r="C852" s="66" t="n"/>
      <c r="D852" s="67" t="str">
        <f>IF(C852="","",IFERROR(INDEX(eq_des,MATCH(C852,eq_code,0))&amp;"","Équipement inconnu"))</f>
        <v/>
      </c>
      <c r="E852" s="68" t="n"/>
      <c r="F852" s="68" t="n"/>
      <c r="G852" s="66" t="n"/>
      <c r="H852" s="66" t="n"/>
      <c r="I852" s="68" t="n"/>
      <c r="J852" s="73" t="n"/>
      <c r="K852" s="71" t="n"/>
      <c r="L852" s="71" t="n"/>
      <c r="M852" s="66" t="n"/>
      <c r="N852" s="80" t="n"/>
      <c r="O852" s="81" t="str">
        <f>IF(A852="","",ROUND(V852*IFERROR(N(INDEX(tech_rate,MATCH(M852,tech_name,0))),0),2))</f>
        <v/>
      </c>
      <c r="P852" s="80" t="n"/>
      <c r="Q852" s="81" t="str">
        <f>IF(A852="","",ROUND(Y852+O852+Z852,2))</f>
        <v/>
      </c>
      <c r="R852" s="79" t="str">
        <f>IF(A852="","",IF(S852=0,"Date manquante ou invalide",IF(C852="","Équipement manquant",IF(ISNA(MATCH(C852,eq_code,0)),"Équipement inconnu",IF(E852="","Type manquant",IF(AND(E852&lt;&gt;"Préventif",E852&lt;&gt;"Correctif",E852&lt;&gt;"Amélioratif"),"Type inconnu",IF(I852="","Statut manquant",IF(AND(I852&lt;&gt;"Terminée",I852&lt;&gt;"En cours",I852&lt;&gt;"À faire",I852&lt;&gt;"Annulée"),"Statut inconnu",IF(AND(E852="Préventif",F852=""),"Plan manquant (préventif)",IF(AND(F852&lt;&gt;"",ISNA(MATCH(F852,pl_num,0))),"Plan inconnu",IF(AND(F852&lt;&gt;"",IFERROR(INDEX(pl_eq,MATCH(F852,pl_num,0))&amp;"",C852)&lt;&gt;C852),"Plan d'un autre équipement",IF(AND(J852&lt;&gt;"",OR(NOT(ISNUMBER(J852)),N(J852)&lt;0)),"Compteur invalide",IF(OR(AND(K852&lt;&gt;"",OR(NOT(ISNUMBER(K852)),N(K852)&lt;0)),AND(L852&lt;&gt;"",OR(NOT(ISNUMBER(L852)),N(L852)&lt;0))),"Durée invalide",IF(OR(AND(N852&lt;&gt;"",OR(NOT(ISNUMBER(N852)),N(N852)&lt;0)),AND(P852&lt;&gt;"",OR(NOT(ISNUMBER(P852)),N(P852)&lt;0))),"Coût invalide",IF(AND(M852&lt;&gt;"",ISNA(MATCH(M852,tech_name,0))),"Technicien inconnu",IF(AND(I852="Terminée",S852&gt;p_today),"Terminée à une date future",IF(AND(I852="Terminée",V852=0),"Durée d'intervention manquante",IF(AND(I852="Terminée",E852="Préventif",T852=0,OR(IFERROR(INDEX(pl_trig,MATCH(F852,pl_num,0))&amp;"","")="Compteur",IFERROR(INDEX(pl_trig,MATCH(F852,pl_num,0))&amp;"","")="Au premier des deux")),"Compteur manquant (plan au compteur)","OK"))))))))))))))))))</f>
        <v/>
      </c>
      <c r="S852" s="67">
        <f>IF(AND(ISNUMBER(B852),N(B852)&gt;0),INT(B852),0)</f>
        <v>0.0</v>
      </c>
      <c r="T852" s="67">
        <f>IF(AND(ISNUMBER(J852),N(J852)&gt;=0),N(J852),0)</f>
        <v>0.0</v>
      </c>
      <c r="U852" s="67">
        <f>IF(AND(ISNUMBER(K852),N(K852)&gt;0),N(K852),0)</f>
        <v>0.0</v>
      </c>
      <c r="V852" s="67">
        <f>IF(AND(ISNUMBER(L852),N(L852)&gt;0),N(L852),0)</f>
        <v>0.0</v>
      </c>
      <c r="W852" s="67">
        <f>IF(AND(I852="Terminée",S852&gt;0,C852&lt;&gt;"",ISNUMBER(MATCH(C852,eq_code,0))),1,0)</f>
        <v>0.0</v>
      </c>
      <c r="X852" s="67">
        <f>IF(AND(W852=1,E852="Préventif"),1,0)</f>
        <v>0.0</v>
      </c>
      <c r="Y852" s="67">
        <f>IF(AND(ISNUMBER(N852),N(N852)&gt;0),N(N852),0)</f>
        <v>0.0</v>
      </c>
      <c r="Z852" s="67">
        <f>IF(AND(ISNUMBER(P852),N(P852)&gt;0),N(P852),0)</f>
        <v>0.0</v>
      </c>
    </row>
    <row r="853">
      <c r="A853" s="79" t="str">
        <f>IF(COUNTA(B853:C853,E853:G853,I853)=0,"","BI-"&amp;RIGHT("0000"&amp;(ROW()-5),4))</f>
        <v/>
      </c>
      <c r="B853" s="72" t="n"/>
      <c r="C853" s="66" t="n"/>
      <c r="D853" s="67" t="str">
        <f>IF(C853="","",IFERROR(INDEX(eq_des,MATCH(C853,eq_code,0))&amp;"","Équipement inconnu"))</f>
        <v/>
      </c>
      <c r="E853" s="68" t="n"/>
      <c r="F853" s="68" t="n"/>
      <c r="G853" s="66" t="n"/>
      <c r="H853" s="66" t="n"/>
      <c r="I853" s="68" t="n"/>
      <c r="J853" s="73" t="n"/>
      <c r="K853" s="71" t="n"/>
      <c r="L853" s="71" t="n"/>
      <c r="M853" s="66" t="n"/>
      <c r="N853" s="80" t="n"/>
      <c r="O853" s="81" t="str">
        <f>IF(A853="","",ROUND(V853*IFERROR(N(INDEX(tech_rate,MATCH(M853,tech_name,0))),0),2))</f>
        <v/>
      </c>
      <c r="P853" s="80" t="n"/>
      <c r="Q853" s="81" t="str">
        <f>IF(A853="","",ROUND(Y853+O853+Z853,2))</f>
        <v/>
      </c>
      <c r="R853" s="79" t="str">
        <f>IF(A853="","",IF(S853=0,"Date manquante ou invalide",IF(C853="","Équipement manquant",IF(ISNA(MATCH(C853,eq_code,0)),"Équipement inconnu",IF(E853="","Type manquant",IF(AND(E853&lt;&gt;"Préventif",E853&lt;&gt;"Correctif",E853&lt;&gt;"Amélioratif"),"Type inconnu",IF(I853="","Statut manquant",IF(AND(I853&lt;&gt;"Terminée",I853&lt;&gt;"En cours",I853&lt;&gt;"À faire",I853&lt;&gt;"Annulée"),"Statut inconnu",IF(AND(E853="Préventif",F853=""),"Plan manquant (préventif)",IF(AND(F853&lt;&gt;"",ISNA(MATCH(F853,pl_num,0))),"Plan inconnu",IF(AND(F853&lt;&gt;"",IFERROR(INDEX(pl_eq,MATCH(F853,pl_num,0))&amp;"",C853)&lt;&gt;C853),"Plan d'un autre équipement",IF(AND(J853&lt;&gt;"",OR(NOT(ISNUMBER(J853)),N(J853)&lt;0)),"Compteur invalide",IF(OR(AND(K853&lt;&gt;"",OR(NOT(ISNUMBER(K853)),N(K853)&lt;0)),AND(L853&lt;&gt;"",OR(NOT(ISNUMBER(L853)),N(L853)&lt;0))),"Durée invalide",IF(OR(AND(N853&lt;&gt;"",OR(NOT(ISNUMBER(N853)),N(N853)&lt;0)),AND(P853&lt;&gt;"",OR(NOT(ISNUMBER(P853)),N(P853)&lt;0))),"Coût invalide",IF(AND(M853&lt;&gt;"",ISNA(MATCH(M853,tech_name,0))),"Technicien inconnu",IF(AND(I853="Terminée",S853&gt;p_today),"Terminée à une date future",IF(AND(I853="Terminée",V853=0),"Durée d'intervention manquante",IF(AND(I853="Terminée",E853="Préventif",T853=0,OR(IFERROR(INDEX(pl_trig,MATCH(F853,pl_num,0))&amp;"","")="Compteur",IFERROR(INDEX(pl_trig,MATCH(F853,pl_num,0))&amp;"","")="Au premier des deux")),"Compteur manquant (plan au compteur)","OK"))))))))))))))))))</f>
        <v/>
      </c>
      <c r="S853" s="67">
        <f>IF(AND(ISNUMBER(B853),N(B853)&gt;0),INT(B853),0)</f>
        <v>0.0</v>
      </c>
      <c r="T853" s="67">
        <f>IF(AND(ISNUMBER(J853),N(J853)&gt;=0),N(J853),0)</f>
        <v>0.0</v>
      </c>
      <c r="U853" s="67">
        <f>IF(AND(ISNUMBER(K853),N(K853)&gt;0),N(K853),0)</f>
        <v>0.0</v>
      </c>
      <c r="V853" s="67">
        <f>IF(AND(ISNUMBER(L853),N(L853)&gt;0),N(L853),0)</f>
        <v>0.0</v>
      </c>
      <c r="W853" s="67">
        <f>IF(AND(I853="Terminée",S853&gt;0,C853&lt;&gt;"",ISNUMBER(MATCH(C853,eq_code,0))),1,0)</f>
        <v>0.0</v>
      </c>
      <c r="X853" s="67">
        <f>IF(AND(W853=1,E853="Préventif"),1,0)</f>
        <v>0.0</v>
      </c>
      <c r="Y853" s="67">
        <f>IF(AND(ISNUMBER(N853),N(N853)&gt;0),N(N853),0)</f>
        <v>0.0</v>
      </c>
      <c r="Z853" s="67">
        <f>IF(AND(ISNUMBER(P853),N(P853)&gt;0),N(P853),0)</f>
        <v>0.0</v>
      </c>
    </row>
    <row r="854">
      <c r="A854" s="79" t="str">
        <f>IF(COUNTA(B854:C854,E854:G854,I854)=0,"","BI-"&amp;RIGHT("0000"&amp;(ROW()-5),4))</f>
        <v/>
      </c>
      <c r="B854" s="72" t="n"/>
      <c r="C854" s="66" t="n"/>
      <c r="D854" s="67" t="str">
        <f>IF(C854="","",IFERROR(INDEX(eq_des,MATCH(C854,eq_code,0))&amp;"","Équipement inconnu"))</f>
        <v/>
      </c>
      <c r="E854" s="68" t="n"/>
      <c r="F854" s="68" t="n"/>
      <c r="G854" s="66" t="n"/>
      <c r="H854" s="66" t="n"/>
      <c r="I854" s="68" t="n"/>
      <c r="J854" s="73" t="n"/>
      <c r="K854" s="71" t="n"/>
      <c r="L854" s="71" t="n"/>
      <c r="M854" s="66" t="n"/>
      <c r="N854" s="80" t="n"/>
      <c r="O854" s="81" t="str">
        <f>IF(A854="","",ROUND(V854*IFERROR(N(INDEX(tech_rate,MATCH(M854,tech_name,0))),0),2))</f>
        <v/>
      </c>
      <c r="P854" s="80" t="n"/>
      <c r="Q854" s="81" t="str">
        <f>IF(A854="","",ROUND(Y854+O854+Z854,2))</f>
        <v/>
      </c>
      <c r="R854" s="79" t="str">
        <f>IF(A854="","",IF(S854=0,"Date manquante ou invalide",IF(C854="","Équipement manquant",IF(ISNA(MATCH(C854,eq_code,0)),"Équipement inconnu",IF(E854="","Type manquant",IF(AND(E854&lt;&gt;"Préventif",E854&lt;&gt;"Correctif",E854&lt;&gt;"Amélioratif"),"Type inconnu",IF(I854="","Statut manquant",IF(AND(I854&lt;&gt;"Terminée",I854&lt;&gt;"En cours",I854&lt;&gt;"À faire",I854&lt;&gt;"Annulée"),"Statut inconnu",IF(AND(E854="Préventif",F854=""),"Plan manquant (préventif)",IF(AND(F854&lt;&gt;"",ISNA(MATCH(F854,pl_num,0))),"Plan inconnu",IF(AND(F854&lt;&gt;"",IFERROR(INDEX(pl_eq,MATCH(F854,pl_num,0))&amp;"",C854)&lt;&gt;C854),"Plan d'un autre équipement",IF(AND(J854&lt;&gt;"",OR(NOT(ISNUMBER(J854)),N(J854)&lt;0)),"Compteur invalide",IF(OR(AND(K854&lt;&gt;"",OR(NOT(ISNUMBER(K854)),N(K854)&lt;0)),AND(L854&lt;&gt;"",OR(NOT(ISNUMBER(L854)),N(L854)&lt;0))),"Durée invalide",IF(OR(AND(N854&lt;&gt;"",OR(NOT(ISNUMBER(N854)),N(N854)&lt;0)),AND(P854&lt;&gt;"",OR(NOT(ISNUMBER(P854)),N(P854)&lt;0))),"Coût invalide",IF(AND(M854&lt;&gt;"",ISNA(MATCH(M854,tech_name,0))),"Technicien inconnu",IF(AND(I854="Terminée",S854&gt;p_today),"Terminée à une date future",IF(AND(I854="Terminée",V854=0),"Durée d'intervention manquante",IF(AND(I854="Terminée",E854="Préventif",T854=0,OR(IFERROR(INDEX(pl_trig,MATCH(F854,pl_num,0))&amp;"","")="Compteur",IFERROR(INDEX(pl_trig,MATCH(F854,pl_num,0))&amp;"","")="Au premier des deux")),"Compteur manquant (plan au compteur)","OK"))))))))))))))))))</f>
        <v/>
      </c>
      <c r="S854" s="67">
        <f>IF(AND(ISNUMBER(B854),N(B854)&gt;0),INT(B854),0)</f>
        <v>0.0</v>
      </c>
      <c r="T854" s="67">
        <f>IF(AND(ISNUMBER(J854),N(J854)&gt;=0),N(J854),0)</f>
        <v>0.0</v>
      </c>
      <c r="U854" s="67">
        <f>IF(AND(ISNUMBER(K854),N(K854)&gt;0),N(K854),0)</f>
        <v>0.0</v>
      </c>
      <c r="V854" s="67">
        <f>IF(AND(ISNUMBER(L854),N(L854)&gt;0),N(L854),0)</f>
        <v>0.0</v>
      </c>
      <c r="W854" s="67">
        <f>IF(AND(I854="Terminée",S854&gt;0,C854&lt;&gt;"",ISNUMBER(MATCH(C854,eq_code,0))),1,0)</f>
        <v>0.0</v>
      </c>
      <c r="X854" s="67">
        <f>IF(AND(W854=1,E854="Préventif"),1,0)</f>
        <v>0.0</v>
      </c>
      <c r="Y854" s="67">
        <f>IF(AND(ISNUMBER(N854),N(N854)&gt;0),N(N854),0)</f>
        <v>0.0</v>
      </c>
      <c r="Z854" s="67">
        <f>IF(AND(ISNUMBER(P854),N(P854)&gt;0),N(P854),0)</f>
        <v>0.0</v>
      </c>
    </row>
    <row r="855">
      <c r="A855" s="79" t="str">
        <f>IF(COUNTA(B855:C855,E855:G855,I855)=0,"","BI-"&amp;RIGHT("0000"&amp;(ROW()-5),4))</f>
        <v/>
      </c>
      <c r="B855" s="72" t="n"/>
      <c r="C855" s="66" t="n"/>
      <c r="D855" s="67" t="str">
        <f>IF(C855="","",IFERROR(INDEX(eq_des,MATCH(C855,eq_code,0))&amp;"","Équipement inconnu"))</f>
        <v/>
      </c>
      <c r="E855" s="68" t="n"/>
      <c r="F855" s="68" t="n"/>
      <c r="G855" s="66" t="n"/>
      <c r="H855" s="66" t="n"/>
      <c r="I855" s="68" t="n"/>
      <c r="J855" s="73" t="n"/>
      <c r="K855" s="71" t="n"/>
      <c r="L855" s="71" t="n"/>
      <c r="M855" s="66" t="n"/>
      <c r="N855" s="80" t="n"/>
      <c r="O855" s="81" t="str">
        <f>IF(A855="","",ROUND(V855*IFERROR(N(INDEX(tech_rate,MATCH(M855,tech_name,0))),0),2))</f>
        <v/>
      </c>
      <c r="P855" s="80" t="n"/>
      <c r="Q855" s="81" t="str">
        <f>IF(A855="","",ROUND(Y855+O855+Z855,2))</f>
        <v/>
      </c>
      <c r="R855" s="79" t="str">
        <f>IF(A855="","",IF(S855=0,"Date manquante ou invalide",IF(C855="","Équipement manquant",IF(ISNA(MATCH(C855,eq_code,0)),"Équipement inconnu",IF(E855="","Type manquant",IF(AND(E855&lt;&gt;"Préventif",E855&lt;&gt;"Correctif",E855&lt;&gt;"Amélioratif"),"Type inconnu",IF(I855="","Statut manquant",IF(AND(I855&lt;&gt;"Terminée",I855&lt;&gt;"En cours",I855&lt;&gt;"À faire",I855&lt;&gt;"Annulée"),"Statut inconnu",IF(AND(E855="Préventif",F855=""),"Plan manquant (préventif)",IF(AND(F855&lt;&gt;"",ISNA(MATCH(F855,pl_num,0))),"Plan inconnu",IF(AND(F855&lt;&gt;"",IFERROR(INDEX(pl_eq,MATCH(F855,pl_num,0))&amp;"",C855)&lt;&gt;C855),"Plan d'un autre équipement",IF(AND(J855&lt;&gt;"",OR(NOT(ISNUMBER(J855)),N(J855)&lt;0)),"Compteur invalide",IF(OR(AND(K855&lt;&gt;"",OR(NOT(ISNUMBER(K855)),N(K855)&lt;0)),AND(L855&lt;&gt;"",OR(NOT(ISNUMBER(L855)),N(L855)&lt;0))),"Durée invalide",IF(OR(AND(N855&lt;&gt;"",OR(NOT(ISNUMBER(N855)),N(N855)&lt;0)),AND(P855&lt;&gt;"",OR(NOT(ISNUMBER(P855)),N(P855)&lt;0))),"Coût invalide",IF(AND(M855&lt;&gt;"",ISNA(MATCH(M855,tech_name,0))),"Technicien inconnu",IF(AND(I855="Terminée",S855&gt;p_today),"Terminée à une date future",IF(AND(I855="Terminée",V855=0),"Durée d'intervention manquante",IF(AND(I855="Terminée",E855="Préventif",T855=0,OR(IFERROR(INDEX(pl_trig,MATCH(F855,pl_num,0))&amp;"","")="Compteur",IFERROR(INDEX(pl_trig,MATCH(F855,pl_num,0))&amp;"","")="Au premier des deux")),"Compteur manquant (plan au compteur)","OK"))))))))))))))))))</f>
        <v/>
      </c>
      <c r="S855" s="67">
        <f>IF(AND(ISNUMBER(B855),N(B855)&gt;0),INT(B855),0)</f>
        <v>0.0</v>
      </c>
      <c r="T855" s="67">
        <f>IF(AND(ISNUMBER(J855),N(J855)&gt;=0),N(J855),0)</f>
        <v>0.0</v>
      </c>
      <c r="U855" s="67">
        <f>IF(AND(ISNUMBER(K855),N(K855)&gt;0),N(K855),0)</f>
        <v>0.0</v>
      </c>
      <c r="V855" s="67">
        <f>IF(AND(ISNUMBER(L855),N(L855)&gt;0),N(L855),0)</f>
        <v>0.0</v>
      </c>
      <c r="W855" s="67">
        <f>IF(AND(I855="Terminée",S855&gt;0,C855&lt;&gt;"",ISNUMBER(MATCH(C855,eq_code,0))),1,0)</f>
        <v>0.0</v>
      </c>
      <c r="X855" s="67">
        <f>IF(AND(W855=1,E855="Préventif"),1,0)</f>
        <v>0.0</v>
      </c>
      <c r="Y855" s="67">
        <f>IF(AND(ISNUMBER(N855),N(N855)&gt;0),N(N855),0)</f>
        <v>0.0</v>
      </c>
      <c r="Z855" s="67">
        <f>IF(AND(ISNUMBER(P855),N(P855)&gt;0),N(P855),0)</f>
        <v>0.0</v>
      </c>
    </row>
    <row r="856">
      <c r="A856" s="79" t="str">
        <f>IF(COUNTA(B856:C856,E856:G856,I856)=0,"","BI-"&amp;RIGHT("0000"&amp;(ROW()-5),4))</f>
        <v/>
      </c>
      <c r="B856" s="72" t="n"/>
      <c r="C856" s="66" t="n"/>
      <c r="D856" s="67" t="str">
        <f>IF(C856="","",IFERROR(INDEX(eq_des,MATCH(C856,eq_code,0))&amp;"","Équipement inconnu"))</f>
        <v/>
      </c>
      <c r="E856" s="68" t="n"/>
      <c r="F856" s="68" t="n"/>
      <c r="G856" s="66" t="n"/>
      <c r="H856" s="66" t="n"/>
      <c r="I856" s="68" t="n"/>
      <c r="J856" s="73" t="n"/>
      <c r="K856" s="71" t="n"/>
      <c r="L856" s="71" t="n"/>
      <c r="M856" s="66" t="n"/>
      <c r="N856" s="80" t="n"/>
      <c r="O856" s="81" t="str">
        <f>IF(A856="","",ROUND(V856*IFERROR(N(INDEX(tech_rate,MATCH(M856,tech_name,0))),0),2))</f>
        <v/>
      </c>
      <c r="P856" s="80" t="n"/>
      <c r="Q856" s="81" t="str">
        <f>IF(A856="","",ROUND(Y856+O856+Z856,2))</f>
        <v/>
      </c>
      <c r="R856" s="79" t="str">
        <f>IF(A856="","",IF(S856=0,"Date manquante ou invalide",IF(C856="","Équipement manquant",IF(ISNA(MATCH(C856,eq_code,0)),"Équipement inconnu",IF(E856="","Type manquant",IF(AND(E856&lt;&gt;"Préventif",E856&lt;&gt;"Correctif",E856&lt;&gt;"Amélioratif"),"Type inconnu",IF(I856="","Statut manquant",IF(AND(I856&lt;&gt;"Terminée",I856&lt;&gt;"En cours",I856&lt;&gt;"À faire",I856&lt;&gt;"Annulée"),"Statut inconnu",IF(AND(E856="Préventif",F856=""),"Plan manquant (préventif)",IF(AND(F856&lt;&gt;"",ISNA(MATCH(F856,pl_num,0))),"Plan inconnu",IF(AND(F856&lt;&gt;"",IFERROR(INDEX(pl_eq,MATCH(F856,pl_num,0))&amp;"",C856)&lt;&gt;C856),"Plan d'un autre équipement",IF(AND(J856&lt;&gt;"",OR(NOT(ISNUMBER(J856)),N(J856)&lt;0)),"Compteur invalide",IF(OR(AND(K856&lt;&gt;"",OR(NOT(ISNUMBER(K856)),N(K856)&lt;0)),AND(L856&lt;&gt;"",OR(NOT(ISNUMBER(L856)),N(L856)&lt;0))),"Durée invalide",IF(OR(AND(N856&lt;&gt;"",OR(NOT(ISNUMBER(N856)),N(N856)&lt;0)),AND(P856&lt;&gt;"",OR(NOT(ISNUMBER(P856)),N(P856)&lt;0))),"Coût invalide",IF(AND(M856&lt;&gt;"",ISNA(MATCH(M856,tech_name,0))),"Technicien inconnu",IF(AND(I856="Terminée",S856&gt;p_today),"Terminée à une date future",IF(AND(I856="Terminée",V856=0),"Durée d'intervention manquante",IF(AND(I856="Terminée",E856="Préventif",T856=0,OR(IFERROR(INDEX(pl_trig,MATCH(F856,pl_num,0))&amp;"","")="Compteur",IFERROR(INDEX(pl_trig,MATCH(F856,pl_num,0))&amp;"","")="Au premier des deux")),"Compteur manquant (plan au compteur)","OK"))))))))))))))))))</f>
        <v/>
      </c>
      <c r="S856" s="67">
        <f>IF(AND(ISNUMBER(B856),N(B856)&gt;0),INT(B856),0)</f>
        <v>0.0</v>
      </c>
      <c r="T856" s="67">
        <f>IF(AND(ISNUMBER(J856),N(J856)&gt;=0),N(J856),0)</f>
        <v>0.0</v>
      </c>
      <c r="U856" s="67">
        <f>IF(AND(ISNUMBER(K856),N(K856)&gt;0),N(K856),0)</f>
        <v>0.0</v>
      </c>
      <c r="V856" s="67">
        <f>IF(AND(ISNUMBER(L856),N(L856)&gt;0),N(L856),0)</f>
        <v>0.0</v>
      </c>
      <c r="W856" s="67">
        <f>IF(AND(I856="Terminée",S856&gt;0,C856&lt;&gt;"",ISNUMBER(MATCH(C856,eq_code,0))),1,0)</f>
        <v>0.0</v>
      </c>
      <c r="X856" s="67">
        <f>IF(AND(W856=1,E856="Préventif"),1,0)</f>
        <v>0.0</v>
      </c>
      <c r="Y856" s="67">
        <f>IF(AND(ISNUMBER(N856),N(N856)&gt;0),N(N856),0)</f>
        <v>0.0</v>
      </c>
      <c r="Z856" s="67">
        <f>IF(AND(ISNUMBER(P856),N(P856)&gt;0),N(P856),0)</f>
        <v>0.0</v>
      </c>
    </row>
    <row r="857">
      <c r="A857" s="79" t="str">
        <f>IF(COUNTA(B857:C857,E857:G857,I857)=0,"","BI-"&amp;RIGHT("0000"&amp;(ROW()-5),4))</f>
        <v/>
      </c>
      <c r="B857" s="72" t="n"/>
      <c r="C857" s="66" t="n"/>
      <c r="D857" s="67" t="str">
        <f>IF(C857="","",IFERROR(INDEX(eq_des,MATCH(C857,eq_code,0))&amp;"","Équipement inconnu"))</f>
        <v/>
      </c>
      <c r="E857" s="68" t="n"/>
      <c r="F857" s="68" t="n"/>
      <c r="G857" s="66" t="n"/>
      <c r="H857" s="66" t="n"/>
      <c r="I857" s="68" t="n"/>
      <c r="J857" s="73" t="n"/>
      <c r="K857" s="71" t="n"/>
      <c r="L857" s="71" t="n"/>
      <c r="M857" s="66" t="n"/>
      <c r="N857" s="80" t="n"/>
      <c r="O857" s="81" t="str">
        <f>IF(A857="","",ROUND(V857*IFERROR(N(INDEX(tech_rate,MATCH(M857,tech_name,0))),0),2))</f>
        <v/>
      </c>
      <c r="P857" s="80" t="n"/>
      <c r="Q857" s="81" t="str">
        <f>IF(A857="","",ROUND(Y857+O857+Z857,2))</f>
        <v/>
      </c>
      <c r="R857" s="79" t="str">
        <f>IF(A857="","",IF(S857=0,"Date manquante ou invalide",IF(C857="","Équipement manquant",IF(ISNA(MATCH(C857,eq_code,0)),"Équipement inconnu",IF(E857="","Type manquant",IF(AND(E857&lt;&gt;"Préventif",E857&lt;&gt;"Correctif",E857&lt;&gt;"Amélioratif"),"Type inconnu",IF(I857="","Statut manquant",IF(AND(I857&lt;&gt;"Terminée",I857&lt;&gt;"En cours",I857&lt;&gt;"À faire",I857&lt;&gt;"Annulée"),"Statut inconnu",IF(AND(E857="Préventif",F857=""),"Plan manquant (préventif)",IF(AND(F857&lt;&gt;"",ISNA(MATCH(F857,pl_num,0))),"Plan inconnu",IF(AND(F857&lt;&gt;"",IFERROR(INDEX(pl_eq,MATCH(F857,pl_num,0))&amp;"",C857)&lt;&gt;C857),"Plan d'un autre équipement",IF(AND(J857&lt;&gt;"",OR(NOT(ISNUMBER(J857)),N(J857)&lt;0)),"Compteur invalide",IF(OR(AND(K857&lt;&gt;"",OR(NOT(ISNUMBER(K857)),N(K857)&lt;0)),AND(L857&lt;&gt;"",OR(NOT(ISNUMBER(L857)),N(L857)&lt;0))),"Durée invalide",IF(OR(AND(N857&lt;&gt;"",OR(NOT(ISNUMBER(N857)),N(N857)&lt;0)),AND(P857&lt;&gt;"",OR(NOT(ISNUMBER(P857)),N(P857)&lt;0))),"Coût invalide",IF(AND(M857&lt;&gt;"",ISNA(MATCH(M857,tech_name,0))),"Technicien inconnu",IF(AND(I857="Terminée",S857&gt;p_today),"Terminée à une date future",IF(AND(I857="Terminée",V857=0),"Durée d'intervention manquante",IF(AND(I857="Terminée",E857="Préventif",T857=0,OR(IFERROR(INDEX(pl_trig,MATCH(F857,pl_num,0))&amp;"","")="Compteur",IFERROR(INDEX(pl_trig,MATCH(F857,pl_num,0))&amp;"","")="Au premier des deux")),"Compteur manquant (plan au compteur)","OK"))))))))))))))))))</f>
        <v/>
      </c>
      <c r="S857" s="67">
        <f>IF(AND(ISNUMBER(B857),N(B857)&gt;0),INT(B857),0)</f>
        <v>0.0</v>
      </c>
      <c r="T857" s="67">
        <f>IF(AND(ISNUMBER(J857),N(J857)&gt;=0),N(J857),0)</f>
        <v>0.0</v>
      </c>
      <c r="U857" s="67">
        <f>IF(AND(ISNUMBER(K857),N(K857)&gt;0),N(K857),0)</f>
        <v>0.0</v>
      </c>
      <c r="V857" s="67">
        <f>IF(AND(ISNUMBER(L857),N(L857)&gt;0),N(L857),0)</f>
        <v>0.0</v>
      </c>
      <c r="W857" s="67">
        <f>IF(AND(I857="Terminée",S857&gt;0,C857&lt;&gt;"",ISNUMBER(MATCH(C857,eq_code,0))),1,0)</f>
        <v>0.0</v>
      </c>
      <c r="X857" s="67">
        <f>IF(AND(W857=1,E857="Préventif"),1,0)</f>
        <v>0.0</v>
      </c>
      <c r="Y857" s="67">
        <f>IF(AND(ISNUMBER(N857),N(N857)&gt;0),N(N857),0)</f>
        <v>0.0</v>
      </c>
      <c r="Z857" s="67">
        <f>IF(AND(ISNUMBER(P857),N(P857)&gt;0),N(P857),0)</f>
        <v>0.0</v>
      </c>
    </row>
    <row r="858">
      <c r="A858" s="79" t="str">
        <f>IF(COUNTA(B858:C858,E858:G858,I858)=0,"","BI-"&amp;RIGHT("0000"&amp;(ROW()-5),4))</f>
        <v/>
      </c>
      <c r="B858" s="72" t="n"/>
      <c r="C858" s="66" t="n"/>
      <c r="D858" s="67" t="str">
        <f>IF(C858="","",IFERROR(INDEX(eq_des,MATCH(C858,eq_code,0))&amp;"","Équipement inconnu"))</f>
        <v/>
      </c>
      <c r="E858" s="68" t="n"/>
      <c r="F858" s="68" t="n"/>
      <c r="G858" s="66" t="n"/>
      <c r="H858" s="66" t="n"/>
      <c r="I858" s="68" t="n"/>
      <c r="J858" s="73" t="n"/>
      <c r="K858" s="71" t="n"/>
      <c r="L858" s="71" t="n"/>
      <c r="M858" s="66" t="n"/>
      <c r="N858" s="80" t="n"/>
      <c r="O858" s="81" t="str">
        <f>IF(A858="","",ROUND(V858*IFERROR(N(INDEX(tech_rate,MATCH(M858,tech_name,0))),0),2))</f>
        <v/>
      </c>
      <c r="P858" s="80" t="n"/>
      <c r="Q858" s="81" t="str">
        <f>IF(A858="","",ROUND(Y858+O858+Z858,2))</f>
        <v/>
      </c>
      <c r="R858" s="79" t="str">
        <f>IF(A858="","",IF(S858=0,"Date manquante ou invalide",IF(C858="","Équipement manquant",IF(ISNA(MATCH(C858,eq_code,0)),"Équipement inconnu",IF(E858="","Type manquant",IF(AND(E858&lt;&gt;"Préventif",E858&lt;&gt;"Correctif",E858&lt;&gt;"Amélioratif"),"Type inconnu",IF(I858="","Statut manquant",IF(AND(I858&lt;&gt;"Terminée",I858&lt;&gt;"En cours",I858&lt;&gt;"À faire",I858&lt;&gt;"Annulée"),"Statut inconnu",IF(AND(E858="Préventif",F858=""),"Plan manquant (préventif)",IF(AND(F858&lt;&gt;"",ISNA(MATCH(F858,pl_num,0))),"Plan inconnu",IF(AND(F858&lt;&gt;"",IFERROR(INDEX(pl_eq,MATCH(F858,pl_num,0))&amp;"",C858)&lt;&gt;C858),"Plan d'un autre équipement",IF(AND(J858&lt;&gt;"",OR(NOT(ISNUMBER(J858)),N(J858)&lt;0)),"Compteur invalide",IF(OR(AND(K858&lt;&gt;"",OR(NOT(ISNUMBER(K858)),N(K858)&lt;0)),AND(L858&lt;&gt;"",OR(NOT(ISNUMBER(L858)),N(L858)&lt;0))),"Durée invalide",IF(OR(AND(N858&lt;&gt;"",OR(NOT(ISNUMBER(N858)),N(N858)&lt;0)),AND(P858&lt;&gt;"",OR(NOT(ISNUMBER(P858)),N(P858)&lt;0))),"Coût invalide",IF(AND(M858&lt;&gt;"",ISNA(MATCH(M858,tech_name,0))),"Technicien inconnu",IF(AND(I858="Terminée",S858&gt;p_today),"Terminée à une date future",IF(AND(I858="Terminée",V858=0),"Durée d'intervention manquante",IF(AND(I858="Terminée",E858="Préventif",T858=0,OR(IFERROR(INDEX(pl_trig,MATCH(F858,pl_num,0))&amp;"","")="Compteur",IFERROR(INDEX(pl_trig,MATCH(F858,pl_num,0))&amp;"","")="Au premier des deux")),"Compteur manquant (plan au compteur)","OK"))))))))))))))))))</f>
        <v/>
      </c>
      <c r="S858" s="67">
        <f>IF(AND(ISNUMBER(B858),N(B858)&gt;0),INT(B858),0)</f>
        <v>0.0</v>
      </c>
      <c r="T858" s="67">
        <f>IF(AND(ISNUMBER(J858),N(J858)&gt;=0),N(J858),0)</f>
        <v>0.0</v>
      </c>
      <c r="U858" s="67">
        <f>IF(AND(ISNUMBER(K858),N(K858)&gt;0),N(K858),0)</f>
        <v>0.0</v>
      </c>
      <c r="V858" s="67">
        <f>IF(AND(ISNUMBER(L858),N(L858)&gt;0),N(L858),0)</f>
        <v>0.0</v>
      </c>
      <c r="W858" s="67">
        <f>IF(AND(I858="Terminée",S858&gt;0,C858&lt;&gt;"",ISNUMBER(MATCH(C858,eq_code,0))),1,0)</f>
        <v>0.0</v>
      </c>
      <c r="X858" s="67">
        <f>IF(AND(W858=1,E858="Préventif"),1,0)</f>
        <v>0.0</v>
      </c>
      <c r="Y858" s="67">
        <f>IF(AND(ISNUMBER(N858),N(N858)&gt;0),N(N858),0)</f>
        <v>0.0</v>
      </c>
      <c r="Z858" s="67">
        <f>IF(AND(ISNUMBER(P858),N(P858)&gt;0),N(P858),0)</f>
        <v>0.0</v>
      </c>
    </row>
    <row r="859">
      <c r="A859" s="79" t="str">
        <f>IF(COUNTA(B859:C859,E859:G859,I859)=0,"","BI-"&amp;RIGHT("0000"&amp;(ROW()-5),4))</f>
        <v/>
      </c>
      <c r="B859" s="72" t="n"/>
      <c r="C859" s="66" t="n"/>
      <c r="D859" s="67" t="str">
        <f>IF(C859="","",IFERROR(INDEX(eq_des,MATCH(C859,eq_code,0))&amp;"","Équipement inconnu"))</f>
        <v/>
      </c>
      <c r="E859" s="68" t="n"/>
      <c r="F859" s="68" t="n"/>
      <c r="G859" s="66" t="n"/>
      <c r="H859" s="66" t="n"/>
      <c r="I859" s="68" t="n"/>
      <c r="J859" s="73" t="n"/>
      <c r="K859" s="71" t="n"/>
      <c r="L859" s="71" t="n"/>
      <c r="M859" s="66" t="n"/>
      <c r="N859" s="80" t="n"/>
      <c r="O859" s="81" t="str">
        <f>IF(A859="","",ROUND(V859*IFERROR(N(INDEX(tech_rate,MATCH(M859,tech_name,0))),0),2))</f>
        <v/>
      </c>
      <c r="P859" s="80" t="n"/>
      <c r="Q859" s="81" t="str">
        <f>IF(A859="","",ROUND(Y859+O859+Z859,2))</f>
        <v/>
      </c>
      <c r="R859" s="79" t="str">
        <f>IF(A859="","",IF(S859=0,"Date manquante ou invalide",IF(C859="","Équipement manquant",IF(ISNA(MATCH(C859,eq_code,0)),"Équipement inconnu",IF(E859="","Type manquant",IF(AND(E859&lt;&gt;"Préventif",E859&lt;&gt;"Correctif",E859&lt;&gt;"Amélioratif"),"Type inconnu",IF(I859="","Statut manquant",IF(AND(I859&lt;&gt;"Terminée",I859&lt;&gt;"En cours",I859&lt;&gt;"À faire",I859&lt;&gt;"Annulée"),"Statut inconnu",IF(AND(E859="Préventif",F859=""),"Plan manquant (préventif)",IF(AND(F859&lt;&gt;"",ISNA(MATCH(F859,pl_num,0))),"Plan inconnu",IF(AND(F859&lt;&gt;"",IFERROR(INDEX(pl_eq,MATCH(F859,pl_num,0))&amp;"",C859)&lt;&gt;C859),"Plan d'un autre équipement",IF(AND(J859&lt;&gt;"",OR(NOT(ISNUMBER(J859)),N(J859)&lt;0)),"Compteur invalide",IF(OR(AND(K859&lt;&gt;"",OR(NOT(ISNUMBER(K859)),N(K859)&lt;0)),AND(L859&lt;&gt;"",OR(NOT(ISNUMBER(L859)),N(L859)&lt;0))),"Durée invalide",IF(OR(AND(N859&lt;&gt;"",OR(NOT(ISNUMBER(N859)),N(N859)&lt;0)),AND(P859&lt;&gt;"",OR(NOT(ISNUMBER(P859)),N(P859)&lt;0))),"Coût invalide",IF(AND(M859&lt;&gt;"",ISNA(MATCH(M859,tech_name,0))),"Technicien inconnu",IF(AND(I859="Terminée",S859&gt;p_today),"Terminée à une date future",IF(AND(I859="Terminée",V859=0),"Durée d'intervention manquante",IF(AND(I859="Terminée",E859="Préventif",T859=0,OR(IFERROR(INDEX(pl_trig,MATCH(F859,pl_num,0))&amp;"","")="Compteur",IFERROR(INDEX(pl_trig,MATCH(F859,pl_num,0))&amp;"","")="Au premier des deux")),"Compteur manquant (plan au compteur)","OK"))))))))))))))))))</f>
        <v/>
      </c>
      <c r="S859" s="67">
        <f>IF(AND(ISNUMBER(B859),N(B859)&gt;0),INT(B859),0)</f>
        <v>0.0</v>
      </c>
      <c r="T859" s="67">
        <f>IF(AND(ISNUMBER(J859),N(J859)&gt;=0),N(J859),0)</f>
        <v>0.0</v>
      </c>
      <c r="U859" s="67">
        <f>IF(AND(ISNUMBER(K859),N(K859)&gt;0),N(K859),0)</f>
        <v>0.0</v>
      </c>
      <c r="V859" s="67">
        <f>IF(AND(ISNUMBER(L859),N(L859)&gt;0),N(L859),0)</f>
        <v>0.0</v>
      </c>
      <c r="W859" s="67">
        <f>IF(AND(I859="Terminée",S859&gt;0,C859&lt;&gt;"",ISNUMBER(MATCH(C859,eq_code,0))),1,0)</f>
        <v>0.0</v>
      </c>
      <c r="X859" s="67">
        <f>IF(AND(W859=1,E859="Préventif"),1,0)</f>
        <v>0.0</v>
      </c>
      <c r="Y859" s="67">
        <f>IF(AND(ISNUMBER(N859),N(N859)&gt;0),N(N859),0)</f>
        <v>0.0</v>
      </c>
      <c r="Z859" s="67">
        <f>IF(AND(ISNUMBER(P859),N(P859)&gt;0),N(P859),0)</f>
        <v>0.0</v>
      </c>
    </row>
    <row r="860">
      <c r="A860" s="79" t="str">
        <f>IF(COUNTA(B860:C860,E860:G860,I860)=0,"","BI-"&amp;RIGHT("0000"&amp;(ROW()-5),4))</f>
        <v/>
      </c>
      <c r="B860" s="72" t="n"/>
      <c r="C860" s="66" t="n"/>
      <c r="D860" s="67" t="str">
        <f>IF(C860="","",IFERROR(INDEX(eq_des,MATCH(C860,eq_code,0))&amp;"","Équipement inconnu"))</f>
        <v/>
      </c>
      <c r="E860" s="68" t="n"/>
      <c r="F860" s="68" t="n"/>
      <c r="G860" s="66" t="n"/>
      <c r="H860" s="66" t="n"/>
      <c r="I860" s="68" t="n"/>
      <c r="J860" s="73" t="n"/>
      <c r="K860" s="71" t="n"/>
      <c r="L860" s="71" t="n"/>
      <c r="M860" s="66" t="n"/>
      <c r="N860" s="80" t="n"/>
      <c r="O860" s="81" t="str">
        <f>IF(A860="","",ROUND(V860*IFERROR(N(INDEX(tech_rate,MATCH(M860,tech_name,0))),0),2))</f>
        <v/>
      </c>
      <c r="P860" s="80" t="n"/>
      <c r="Q860" s="81" t="str">
        <f>IF(A860="","",ROUND(Y860+O860+Z860,2))</f>
        <v/>
      </c>
      <c r="R860" s="79" t="str">
        <f>IF(A860="","",IF(S860=0,"Date manquante ou invalide",IF(C860="","Équipement manquant",IF(ISNA(MATCH(C860,eq_code,0)),"Équipement inconnu",IF(E860="","Type manquant",IF(AND(E860&lt;&gt;"Préventif",E860&lt;&gt;"Correctif",E860&lt;&gt;"Amélioratif"),"Type inconnu",IF(I860="","Statut manquant",IF(AND(I860&lt;&gt;"Terminée",I860&lt;&gt;"En cours",I860&lt;&gt;"À faire",I860&lt;&gt;"Annulée"),"Statut inconnu",IF(AND(E860="Préventif",F860=""),"Plan manquant (préventif)",IF(AND(F860&lt;&gt;"",ISNA(MATCH(F860,pl_num,0))),"Plan inconnu",IF(AND(F860&lt;&gt;"",IFERROR(INDEX(pl_eq,MATCH(F860,pl_num,0))&amp;"",C860)&lt;&gt;C860),"Plan d'un autre équipement",IF(AND(J860&lt;&gt;"",OR(NOT(ISNUMBER(J860)),N(J860)&lt;0)),"Compteur invalide",IF(OR(AND(K860&lt;&gt;"",OR(NOT(ISNUMBER(K860)),N(K860)&lt;0)),AND(L860&lt;&gt;"",OR(NOT(ISNUMBER(L860)),N(L860)&lt;0))),"Durée invalide",IF(OR(AND(N860&lt;&gt;"",OR(NOT(ISNUMBER(N860)),N(N860)&lt;0)),AND(P860&lt;&gt;"",OR(NOT(ISNUMBER(P860)),N(P860)&lt;0))),"Coût invalide",IF(AND(M860&lt;&gt;"",ISNA(MATCH(M860,tech_name,0))),"Technicien inconnu",IF(AND(I860="Terminée",S860&gt;p_today),"Terminée à une date future",IF(AND(I860="Terminée",V860=0),"Durée d'intervention manquante",IF(AND(I860="Terminée",E860="Préventif",T860=0,OR(IFERROR(INDEX(pl_trig,MATCH(F860,pl_num,0))&amp;"","")="Compteur",IFERROR(INDEX(pl_trig,MATCH(F860,pl_num,0))&amp;"","")="Au premier des deux")),"Compteur manquant (plan au compteur)","OK"))))))))))))))))))</f>
        <v/>
      </c>
      <c r="S860" s="67">
        <f>IF(AND(ISNUMBER(B860),N(B860)&gt;0),INT(B860),0)</f>
        <v>0.0</v>
      </c>
      <c r="T860" s="67">
        <f>IF(AND(ISNUMBER(J860),N(J860)&gt;=0),N(J860),0)</f>
        <v>0.0</v>
      </c>
      <c r="U860" s="67">
        <f>IF(AND(ISNUMBER(K860),N(K860)&gt;0),N(K860),0)</f>
        <v>0.0</v>
      </c>
      <c r="V860" s="67">
        <f>IF(AND(ISNUMBER(L860),N(L860)&gt;0),N(L860),0)</f>
        <v>0.0</v>
      </c>
      <c r="W860" s="67">
        <f>IF(AND(I860="Terminée",S860&gt;0,C860&lt;&gt;"",ISNUMBER(MATCH(C860,eq_code,0))),1,0)</f>
        <v>0.0</v>
      </c>
      <c r="X860" s="67">
        <f>IF(AND(W860=1,E860="Préventif"),1,0)</f>
        <v>0.0</v>
      </c>
      <c r="Y860" s="67">
        <f>IF(AND(ISNUMBER(N860),N(N860)&gt;0),N(N860),0)</f>
        <v>0.0</v>
      </c>
      <c r="Z860" s="67">
        <f>IF(AND(ISNUMBER(P860),N(P860)&gt;0),N(P860),0)</f>
        <v>0.0</v>
      </c>
    </row>
    <row r="861">
      <c r="A861" s="79" t="str">
        <f>IF(COUNTA(B861:C861,E861:G861,I861)=0,"","BI-"&amp;RIGHT("0000"&amp;(ROW()-5),4))</f>
        <v/>
      </c>
      <c r="B861" s="72" t="n"/>
      <c r="C861" s="66" t="n"/>
      <c r="D861" s="67" t="str">
        <f>IF(C861="","",IFERROR(INDEX(eq_des,MATCH(C861,eq_code,0))&amp;"","Équipement inconnu"))</f>
        <v/>
      </c>
      <c r="E861" s="68" t="n"/>
      <c r="F861" s="68" t="n"/>
      <c r="G861" s="66" t="n"/>
      <c r="H861" s="66" t="n"/>
      <c r="I861" s="68" t="n"/>
      <c r="J861" s="73" t="n"/>
      <c r="K861" s="71" t="n"/>
      <c r="L861" s="71" t="n"/>
      <c r="M861" s="66" t="n"/>
      <c r="N861" s="80" t="n"/>
      <c r="O861" s="81" t="str">
        <f>IF(A861="","",ROUND(V861*IFERROR(N(INDEX(tech_rate,MATCH(M861,tech_name,0))),0),2))</f>
        <v/>
      </c>
      <c r="P861" s="80" t="n"/>
      <c r="Q861" s="81" t="str">
        <f>IF(A861="","",ROUND(Y861+O861+Z861,2))</f>
        <v/>
      </c>
      <c r="R861" s="79" t="str">
        <f>IF(A861="","",IF(S861=0,"Date manquante ou invalide",IF(C861="","Équipement manquant",IF(ISNA(MATCH(C861,eq_code,0)),"Équipement inconnu",IF(E861="","Type manquant",IF(AND(E861&lt;&gt;"Préventif",E861&lt;&gt;"Correctif",E861&lt;&gt;"Amélioratif"),"Type inconnu",IF(I861="","Statut manquant",IF(AND(I861&lt;&gt;"Terminée",I861&lt;&gt;"En cours",I861&lt;&gt;"À faire",I861&lt;&gt;"Annulée"),"Statut inconnu",IF(AND(E861="Préventif",F861=""),"Plan manquant (préventif)",IF(AND(F861&lt;&gt;"",ISNA(MATCH(F861,pl_num,0))),"Plan inconnu",IF(AND(F861&lt;&gt;"",IFERROR(INDEX(pl_eq,MATCH(F861,pl_num,0))&amp;"",C861)&lt;&gt;C861),"Plan d'un autre équipement",IF(AND(J861&lt;&gt;"",OR(NOT(ISNUMBER(J861)),N(J861)&lt;0)),"Compteur invalide",IF(OR(AND(K861&lt;&gt;"",OR(NOT(ISNUMBER(K861)),N(K861)&lt;0)),AND(L861&lt;&gt;"",OR(NOT(ISNUMBER(L861)),N(L861)&lt;0))),"Durée invalide",IF(OR(AND(N861&lt;&gt;"",OR(NOT(ISNUMBER(N861)),N(N861)&lt;0)),AND(P861&lt;&gt;"",OR(NOT(ISNUMBER(P861)),N(P861)&lt;0))),"Coût invalide",IF(AND(M861&lt;&gt;"",ISNA(MATCH(M861,tech_name,0))),"Technicien inconnu",IF(AND(I861="Terminée",S861&gt;p_today),"Terminée à une date future",IF(AND(I861="Terminée",V861=0),"Durée d'intervention manquante",IF(AND(I861="Terminée",E861="Préventif",T861=0,OR(IFERROR(INDEX(pl_trig,MATCH(F861,pl_num,0))&amp;"","")="Compteur",IFERROR(INDEX(pl_trig,MATCH(F861,pl_num,0))&amp;"","")="Au premier des deux")),"Compteur manquant (plan au compteur)","OK"))))))))))))))))))</f>
        <v/>
      </c>
      <c r="S861" s="67">
        <f>IF(AND(ISNUMBER(B861),N(B861)&gt;0),INT(B861),0)</f>
        <v>0.0</v>
      </c>
      <c r="T861" s="67">
        <f>IF(AND(ISNUMBER(J861),N(J861)&gt;=0),N(J861),0)</f>
        <v>0.0</v>
      </c>
      <c r="U861" s="67">
        <f>IF(AND(ISNUMBER(K861),N(K861)&gt;0),N(K861),0)</f>
        <v>0.0</v>
      </c>
      <c r="V861" s="67">
        <f>IF(AND(ISNUMBER(L861),N(L861)&gt;0),N(L861),0)</f>
        <v>0.0</v>
      </c>
      <c r="W861" s="67">
        <f>IF(AND(I861="Terminée",S861&gt;0,C861&lt;&gt;"",ISNUMBER(MATCH(C861,eq_code,0))),1,0)</f>
        <v>0.0</v>
      </c>
      <c r="X861" s="67">
        <f>IF(AND(W861=1,E861="Préventif"),1,0)</f>
        <v>0.0</v>
      </c>
      <c r="Y861" s="67">
        <f>IF(AND(ISNUMBER(N861),N(N861)&gt;0),N(N861),0)</f>
        <v>0.0</v>
      </c>
      <c r="Z861" s="67">
        <f>IF(AND(ISNUMBER(P861),N(P861)&gt;0),N(P861),0)</f>
        <v>0.0</v>
      </c>
    </row>
    <row r="862">
      <c r="A862" s="79" t="str">
        <f>IF(COUNTA(B862:C862,E862:G862,I862)=0,"","BI-"&amp;RIGHT("0000"&amp;(ROW()-5),4))</f>
        <v/>
      </c>
      <c r="B862" s="72" t="n"/>
      <c r="C862" s="66" t="n"/>
      <c r="D862" s="67" t="str">
        <f>IF(C862="","",IFERROR(INDEX(eq_des,MATCH(C862,eq_code,0))&amp;"","Équipement inconnu"))</f>
        <v/>
      </c>
      <c r="E862" s="68" t="n"/>
      <c r="F862" s="68" t="n"/>
      <c r="G862" s="66" t="n"/>
      <c r="H862" s="66" t="n"/>
      <c r="I862" s="68" t="n"/>
      <c r="J862" s="73" t="n"/>
      <c r="K862" s="71" t="n"/>
      <c r="L862" s="71" t="n"/>
      <c r="M862" s="66" t="n"/>
      <c r="N862" s="80" t="n"/>
      <c r="O862" s="81" t="str">
        <f>IF(A862="","",ROUND(V862*IFERROR(N(INDEX(tech_rate,MATCH(M862,tech_name,0))),0),2))</f>
        <v/>
      </c>
      <c r="P862" s="80" t="n"/>
      <c r="Q862" s="81" t="str">
        <f>IF(A862="","",ROUND(Y862+O862+Z862,2))</f>
        <v/>
      </c>
      <c r="R862" s="79" t="str">
        <f>IF(A862="","",IF(S862=0,"Date manquante ou invalide",IF(C862="","Équipement manquant",IF(ISNA(MATCH(C862,eq_code,0)),"Équipement inconnu",IF(E862="","Type manquant",IF(AND(E862&lt;&gt;"Préventif",E862&lt;&gt;"Correctif",E862&lt;&gt;"Amélioratif"),"Type inconnu",IF(I862="","Statut manquant",IF(AND(I862&lt;&gt;"Terminée",I862&lt;&gt;"En cours",I862&lt;&gt;"À faire",I862&lt;&gt;"Annulée"),"Statut inconnu",IF(AND(E862="Préventif",F862=""),"Plan manquant (préventif)",IF(AND(F862&lt;&gt;"",ISNA(MATCH(F862,pl_num,0))),"Plan inconnu",IF(AND(F862&lt;&gt;"",IFERROR(INDEX(pl_eq,MATCH(F862,pl_num,0))&amp;"",C862)&lt;&gt;C862),"Plan d'un autre équipement",IF(AND(J862&lt;&gt;"",OR(NOT(ISNUMBER(J862)),N(J862)&lt;0)),"Compteur invalide",IF(OR(AND(K862&lt;&gt;"",OR(NOT(ISNUMBER(K862)),N(K862)&lt;0)),AND(L862&lt;&gt;"",OR(NOT(ISNUMBER(L862)),N(L862)&lt;0))),"Durée invalide",IF(OR(AND(N862&lt;&gt;"",OR(NOT(ISNUMBER(N862)),N(N862)&lt;0)),AND(P862&lt;&gt;"",OR(NOT(ISNUMBER(P862)),N(P862)&lt;0))),"Coût invalide",IF(AND(M862&lt;&gt;"",ISNA(MATCH(M862,tech_name,0))),"Technicien inconnu",IF(AND(I862="Terminée",S862&gt;p_today),"Terminée à une date future",IF(AND(I862="Terminée",V862=0),"Durée d'intervention manquante",IF(AND(I862="Terminée",E862="Préventif",T862=0,OR(IFERROR(INDEX(pl_trig,MATCH(F862,pl_num,0))&amp;"","")="Compteur",IFERROR(INDEX(pl_trig,MATCH(F862,pl_num,0))&amp;"","")="Au premier des deux")),"Compteur manquant (plan au compteur)","OK"))))))))))))))))))</f>
        <v/>
      </c>
      <c r="S862" s="67">
        <f>IF(AND(ISNUMBER(B862),N(B862)&gt;0),INT(B862),0)</f>
        <v>0.0</v>
      </c>
      <c r="T862" s="67">
        <f>IF(AND(ISNUMBER(J862),N(J862)&gt;=0),N(J862),0)</f>
        <v>0.0</v>
      </c>
      <c r="U862" s="67">
        <f>IF(AND(ISNUMBER(K862),N(K862)&gt;0),N(K862),0)</f>
        <v>0.0</v>
      </c>
      <c r="V862" s="67">
        <f>IF(AND(ISNUMBER(L862),N(L862)&gt;0),N(L862),0)</f>
        <v>0.0</v>
      </c>
      <c r="W862" s="67">
        <f>IF(AND(I862="Terminée",S862&gt;0,C862&lt;&gt;"",ISNUMBER(MATCH(C862,eq_code,0))),1,0)</f>
        <v>0.0</v>
      </c>
      <c r="X862" s="67">
        <f>IF(AND(W862=1,E862="Préventif"),1,0)</f>
        <v>0.0</v>
      </c>
      <c r="Y862" s="67">
        <f>IF(AND(ISNUMBER(N862),N(N862)&gt;0),N(N862),0)</f>
        <v>0.0</v>
      </c>
      <c r="Z862" s="67">
        <f>IF(AND(ISNUMBER(P862),N(P862)&gt;0),N(P862),0)</f>
        <v>0.0</v>
      </c>
    </row>
    <row r="863">
      <c r="A863" s="79" t="str">
        <f>IF(COUNTA(B863:C863,E863:G863,I863)=0,"","BI-"&amp;RIGHT("0000"&amp;(ROW()-5),4))</f>
        <v/>
      </c>
      <c r="B863" s="72" t="n"/>
      <c r="C863" s="66" t="n"/>
      <c r="D863" s="67" t="str">
        <f>IF(C863="","",IFERROR(INDEX(eq_des,MATCH(C863,eq_code,0))&amp;"","Équipement inconnu"))</f>
        <v/>
      </c>
      <c r="E863" s="68" t="n"/>
      <c r="F863" s="68" t="n"/>
      <c r="G863" s="66" t="n"/>
      <c r="H863" s="66" t="n"/>
      <c r="I863" s="68" t="n"/>
      <c r="J863" s="73" t="n"/>
      <c r="K863" s="71" t="n"/>
      <c r="L863" s="71" t="n"/>
      <c r="M863" s="66" t="n"/>
      <c r="N863" s="80" t="n"/>
      <c r="O863" s="81" t="str">
        <f>IF(A863="","",ROUND(V863*IFERROR(N(INDEX(tech_rate,MATCH(M863,tech_name,0))),0),2))</f>
        <v/>
      </c>
      <c r="P863" s="80" t="n"/>
      <c r="Q863" s="81" t="str">
        <f>IF(A863="","",ROUND(Y863+O863+Z863,2))</f>
        <v/>
      </c>
      <c r="R863" s="79" t="str">
        <f>IF(A863="","",IF(S863=0,"Date manquante ou invalide",IF(C863="","Équipement manquant",IF(ISNA(MATCH(C863,eq_code,0)),"Équipement inconnu",IF(E863="","Type manquant",IF(AND(E863&lt;&gt;"Préventif",E863&lt;&gt;"Correctif",E863&lt;&gt;"Amélioratif"),"Type inconnu",IF(I863="","Statut manquant",IF(AND(I863&lt;&gt;"Terminée",I863&lt;&gt;"En cours",I863&lt;&gt;"À faire",I863&lt;&gt;"Annulée"),"Statut inconnu",IF(AND(E863="Préventif",F863=""),"Plan manquant (préventif)",IF(AND(F863&lt;&gt;"",ISNA(MATCH(F863,pl_num,0))),"Plan inconnu",IF(AND(F863&lt;&gt;"",IFERROR(INDEX(pl_eq,MATCH(F863,pl_num,0))&amp;"",C863)&lt;&gt;C863),"Plan d'un autre équipement",IF(AND(J863&lt;&gt;"",OR(NOT(ISNUMBER(J863)),N(J863)&lt;0)),"Compteur invalide",IF(OR(AND(K863&lt;&gt;"",OR(NOT(ISNUMBER(K863)),N(K863)&lt;0)),AND(L863&lt;&gt;"",OR(NOT(ISNUMBER(L863)),N(L863)&lt;0))),"Durée invalide",IF(OR(AND(N863&lt;&gt;"",OR(NOT(ISNUMBER(N863)),N(N863)&lt;0)),AND(P863&lt;&gt;"",OR(NOT(ISNUMBER(P863)),N(P863)&lt;0))),"Coût invalide",IF(AND(M863&lt;&gt;"",ISNA(MATCH(M863,tech_name,0))),"Technicien inconnu",IF(AND(I863="Terminée",S863&gt;p_today),"Terminée à une date future",IF(AND(I863="Terminée",V863=0),"Durée d'intervention manquante",IF(AND(I863="Terminée",E863="Préventif",T863=0,OR(IFERROR(INDEX(pl_trig,MATCH(F863,pl_num,0))&amp;"","")="Compteur",IFERROR(INDEX(pl_trig,MATCH(F863,pl_num,0))&amp;"","")="Au premier des deux")),"Compteur manquant (plan au compteur)","OK"))))))))))))))))))</f>
        <v/>
      </c>
      <c r="S863" s="67">
        <f>IF(AND(ISNUMBER(B863),N(B863)&gt;0),INT(B863),0)</f>
        <v>0.0</v>
      </c>
      <c r="T863" s="67">
        <f>IF(AND(ISNUMBER(J863),N(J863)&gt;=0),N(J863),0)</f>
        <v>0.0</v>
      </c>
      <c r="U863" s="67">
        <f>IF(AND(ISNUMBER(K863),N(K863)&gt;0),N(K863),0)</f>
        <v>0.0</v>
      </c>
      <c r="V863" s="67">
        <f>IF(AND(ISNUMBER(L863),N(L863)&gt;0),N(L863),0)</f>
        <v>0.0</v>
      </c>
      <c r="W863" s="67">
        <f>IF(AND(I863="Terminée",S863&gt;0,C863&lt;&gt;"",ISNUMBER(MATCH(C863,eq_code,0))),1,0)</f>
        <v>0.0</v>
      </c>
      <c r="X863" s="67">
        <f>IF(AND(W863=1,E863="Préventif"),1,0)</f>
        <v>0.0</v>
      </c>
      <c r="Y863" s="67">
        <f>IF(AND(ISNUMBER(N863),N(N863)&gt;0),N(N863),0)</f>
        <v>0.0</v>
      </c>
      <c r="Z863" s="67">
        <f>IF(AND(ISNUMBER(P863),N(P863)&gt;0),N(P863),0)</f>
        <v>0.0</v>
      </c>
    </row>
    <row r="864">
      <c r="A864" s="79" t="str">
        <f>IF(COUNTA(B864:C864,E864:G864,I864)=0,"","BI-"&amp;RIGHT("0000"&amp;(ROW()-5),4))</f>
        <v/>
      </c>
      <c r="B864" s="72" t="n"/>
      <c r="C864" s="66" t="n"/>
      <c r="D864" s="67" t="str">
        <f>IF(C864="","",IFERROR(INDEX(eq_des,MATCH(C864,eq_code,0))&amp;"","Équipement inconnu"))</f>
        <v/>
      </c>
      <c r="E864" s="68" t="n"/>
      <c r="F864" s="68" t="n"/>
      <c r="G864" s="66" t="n"/>
      <c r="H864" s="66" t="n"/>
      <c r="I864" s="68" t="n"/>
      <c r="J864" s="73" t="n"/>
      <c r="K864" s="71" t="n"/>
      <c r="L864" s="71" t="n"/>
      <c r="M864" s="66" t="n"/>
      <c r="N864" s="80" t="n"/>
      <c r="O864" s="81" t="str">
        <f>IF(A864="","",ROUND(V864*IFERROR(N(INDEX(tech_rate,MATCH(M864,tech_name,0))),0),2))</f>
        <v/>
      </c>
      <c r="P864" s="80" t="n"/>
      <c r="Q864" s="81" t="str">
        <f>IF(A864="","",ROUND(Y864+O864+Z864,2))</f>
        <v/>
      </c>
      <c r="R864" s="79" t="str">
        <f>IF(A864="","",IF(S864=0,"Date manquante ou invalide",IF(C864="","Équipement manquant",IF(ISNA(MATCH(C864,eq_code,0)),"Équipement inconnu",IF(E864="","Type manquant",IF(AND(E864&lt;&gt;"Préventif",E864&lt;&gt;"Correctif",E864&lt;&gt;"Amélioratif"),"Type inconnu",IF(I864="","Statut manquant",IF(AND(I864&lt;&gt;"Terminée",I864&lt;&gt;"En cours",I864&lt;&gt;"À faire",I864&lt;&gt;"Annulée"),"Statut inconnu",IF(AND(E864="Préventif",F864=""),"Plan manquant (préventif)",IF(AND(F864&lt;&gt;"",ISNA(MATCH(F864,pl_num,0))),"Plan inconnu",IF(AND(F864&lt;&gt;"",IFERROR(INDEX(pl_eq,MATCH(F864,pl_num,0))&amp;"",C864)&lt;&gt;C864),"Plan d'un autre équipement",IF(AND(J864&lt;&gt;"",OR(NOT(ISNUMBER(J864)),N(J864)&lt;0)),"Compteur invalide",IF(OR(AND(K864&lt;&gt;"",OR(NOT(ISNUMBER(K864)),N(K864)&lt;0)),AND(L864&lt;&gt;"",OR(NOT(ISNUMBER(L864)),N(L864)&lt;0))),"Durée invalide",IF(OR(AND(N864&lt;&gt;"",OR(NOT(ISNUMBER(N864)),N(N864)&lt;0)),AND(P864&lt;&gt;"",OR(NOT(ISNUMBER(P864)),N(P864)&lt;0))),"Coût invalide",IF(AND(M864&lt;&gt;"",ISNA(MATCH(M864,tech_name,0))),"Technicien inconnu",IF(AND(I864="Terminée",S864&gt;p_today),"Terminée à une date future",IF(AND(I864="Terminée",V864=0),"Durée d'intervention manquante",IF(AND(I864="Terminée",E864="Préventif",T864=0,OR(IFERROR(INDEX(pl_trig,MATCH(F864,pl_num,0))&amp;"","")="Compteur",IFERROR(INDEX(pl_trig,MATCH(F864,pl_num,0))&amp;"","")="Au premier des deux")),"Compteur manquant (plan au compteur)","OK"))))))))))))))))))</f>
        <v/>
      </c>
      <c r="S864" s="67">
        <f>IF(AND(ISNUMBER(B864),N(B864)&gt;0),INT(B864),0)</f>
        <v>0.0</v>
      </c>
      <c r="T864" s="67">
        <f>IF(AND(ISNUMBER(J864),N(J864)&gt;=0),N(J864),0)</f>
        <v>0.0</v>
      </c>
      <c r="U864" s="67">
        <f>IF(AND(ISNUMBER(K864),N(K864)&gt;0),N(K864),0)</f>
        <v>0.0</v>
      </c>
      <c r="V864" s="67">
        <f>IF(AND(ISNUMBER(L864),N(L864)&gt;0),N(L864),0)</f>
        <v>0.0</v>
      </c>
      <c r="W864" s="67">
        <f>IF(AND(I864="Terminée",S864&gt;0,C864&lt;&gt;"",ISNUMBER(MATCH(C864,eq_code,0))),1,0)</f>
        <v>0.0</v>
      </c>
      <c r="X864" s="67">
        <f>IF(AND(W864=1,E864="Préventif"),1,0)</f>
        <v>0.0</v>
      </c>
      <c r="Y864" s="67">
        <f>IF(AND(ISNUMBER(N864),N(N864)&gt;0),N(N864),0)</f>
        <v>0.0</v>
      </c>
      <c r="Z864" s="67">
        <f>IF(AND(ISNUMBER(P864),N(P864)&gt;0),N(P864),0)</f>
        <v>0.0</v>
      </c>
    </row>
    <row r="865">
      <c r="A865" s="79" t="str">
        <f>IF(COUNTA(B865:C865,E865:G865,I865)=0,"","BI-"&amp;RIGHT("0000"&amp;(ROW()-5),4))</f>
        <v/>
      </c>
      <c r="B865" s="72" t="n"/>
      <c r="C865" s="66" t="n"/>
      <c r="D865" s="67" t="str">
        <f>IF(C865="","",IFERROR(INDEX(eq_des,MATCH(C865,eq_code,0))&amp;"","Équipement inconnu"))</f>
        <v/>
      </c>
      <c r="E865" s="68" t="n"/>
      <c r="F865" s="68" t="n"/>
      <c r="G865" s="66" t="n"/>
      <c r="H865" s="66" t="n"/>
      <c r="I865" s="68" t="n"/>
      <c r="J865" s="73" t="n"/>
      <c r="K865" s="71" t="n"/>
      <c r="L865" s="71" t="n"/>
      <c r="M865" s="66" t="n"/>
      <c r="N865" s="80" t="n"/>
      <c r="O865" s="81" t="str">
        <f>IF(A865="","",ROUND(V865*IFERROR(N(INDEX(tech_rate,MATCH(M865,tech_name,0))),0),2))</f>
        <v/>
      </c>
      <c r="P865" s="80" t="n"/>
      <c r="Q865" s="81" t="str">
        <f>IF(A865="","",ROUND(Y865+O865+Z865,2))</f>
        <v/>
      </c>
      <c r="R865" s="79" t="str">
        <f>IF(A865="","",IF(S865=0,"Date manquante ou invalide",IF(C865="","Équipement manquant",IF(ISNA(MATCH(C865,eq_code,0)),"Équipement inconnu",IF(E865="","Type manquant",IF(AND(E865&lt;&gt;"Préventif",E865&lt;&gt;"Correctif",E865&lt;&gt;"Amélioratif"),"Type inconnu",IF(I865="","Statut manquant",IF(AND(I865&lt;&gt;"Terminée",I865&lt;&gt;"En cours",I865&lt;&gt;"À faire",I865&lt;&gt;"Annulée"),"Statut inconnu",IF(AND(E865="Préventif",F865=""),"Plan manquant (préventif)",IF(AND(F865&lt;&gt;"",ISNA(MATCH(F865,pl_num,0))),"Plan inconnu",IF(AND(F865&lt;&gt;"",IFERROR(INDEX(pl_eq,MATCH(F865,pl_num,0))&amp;"",C865)&lt;&gt;C865),"Plan d'un autre équipement",IF(AND(J865&lt;&gt;"",OR(NOT(ISNUMBER(J865)),N(J865)&lt;0)),"Compteur invalide",IF(OR(AND(K865&lt;&gt;"",OR(NOT(ISNUMBER(K865)),N(K865)&lt;0)),AND(L865&lt;&gt;"",OR(NOT(ISNUMBER(L865)),N(L865)&lt;0))),"Durée invalide",IF(OR(AND(N865&lt;&gt;"",OR(NOT(ISNUMBER(N865)),N(N865)&lt;0)),AND(P865&lt;&gt;"",OR(NOT(ISNUMBER(P865)),N(P865)&lt;0))),"Coût invalide",IF(AND(M865&lt;&gt;"",ISNA(MATCH(M865,tech_name,0))),"Technicien inconnu",IF(AND(I865="Terminée",S865&gt;p_today),"Terminée à une date future",IF(AND(I865="Terminée",V865=0),"Durée d'intervention manquante",IF(AND(I865="Terminée",E865="Préventif",T865=0,OR(IFERROR(INDEX(pl_trig,MATCH(F865,pl_num,0))&amp;"","")="Compteur",IFERROR(INDEX(pl_trig,MATCH(F865,pl_num,0))&amp;"","")="Au premier des deux")),"Compteur manquant (plan au compteur)","OK"))))))))))))))))))</f>
        <v/>
      </c>
      <c r="S865" s="67">
        <f>IF(AND(ISNUMBER(B865),N(B865)&gt;0),INT(B865),0)</f>
        <v>0.0</v>
      </c>
      <c r="T865" s="67">
        <f>IF(AND(ISNUMBER(J865),N(J865)&gt;=0),N(J865),0)</f>
        <v>0.0</v>
      </c>
      <c r="U865" s="67">
        <f>IF(AND(ISNUMBER(K865),N(K865)&gt;0),N(K865),0)</f>
        <v>0.0</v>
      </c>
      <c r="V865" s="67">
        <f>IF(AND(ISNUMBER(L865),N(L865)&gt;0),N(L865),0)</f>
        <v>0.0</v>
      </c>
      <c r="W865" s="67">
        <f>IF(AND(I865="Terminée",S865&gt;0,C865&lt;&gt;"",ISNUMBER(MATCH(C865,eq_code,0))),1,0)</f>
        <v>0.0</v>
      </c>
      <c r="X865" s="67">
        <f>IF(AND(W865=1,E865="Préventif"),1,0)</f>
        <v>0.0</v>
      </c>
      <c r="Y865" s="67">
        <f>IF(AND(ISNUMBER(N865),N(N865)&gt;0),N(N865),0)</f>
        <v>0.0</v>
      </c>
      <c r="Z865" s="67">
        <f>IF(AND(ISNUMBER(P865),N(P865)&gt;0),N(P865),0)</f>
        <v>0.0</v>
      </c>
    </row>
    <row r="866">
      <c r="A866" s="79" t="str">
        <f>IF(COUNTA(B866:C866,E866:G866,I866)=0,"","BI-"&amp;RIGHT("0000"&amp;(ROW()-5),4))</f>
        <v/>
      </c>
      <c r="B866" s="72" t="n"/>
      <c r="C866" s="66" t="n"/>
      <c r="D866" s="67" t="str">
        <f>IF(C866="","",IFERROR(INDEX(eq_des,MATCH(C866,eq_code,0))&amp;"","Équipement inconnu"))</f>
        <v/>
      </c>
      <c r="E866" s="68" t="n"/>
      <c r="F866" s="68" t="n"/>
      <c r="G866" s="66" t="n"/>
      <c r="H866" s="66" t="n"/>
      <c r="I866" s="68" t="n"/>
      <c r="J866" s="73" t="n"/>
      <c r="K866" s="71" t="n"/>
      <c r="L866" s="71" t="n"/>
      <c r="M866" s="66" t="n"/>
      <c r="N866" s="80" t="n"/>
      <c r="O866" s="81" t="str">
        <f>IF(A866="","",ROUND(V866*IFERROR(N(INDEX(tech_rate,MATCH(M866,tech_name,0))),0),2))</f>
        <v/>
      </c>
      <c r="P866" s="80" t="n"/>
      <c r="Q866" s="81" t="str">
        <f>IF(A866="","",ROUND(Y866+O866+Z866,2))</f>
        <v/>
      </c>
      <c r="R866" s="79" t="str">
        <f>IF(A866="","",IF(S866=0,"Date manquante ou invalide",IF(C866="","Équipement manquant",IF(ISNA(MATCH(C866,eq_code,0)),"Équipement inconnu",IF(E866="","Type manquant",IF(AND(E866&lt;&gt;"Préventif",E866&lt;&gt;"Correctif",E866&lt;&gt;"Amélioratif"),"Type inconnu",IF(I866="","Statut manquant",IF(AND(I866&lt;&gt;"Terminée",I866&lt;&gt;"En cours",I866&lt;&gt;"À faire",I866&lt;&gt;"Annulée"),"Statut inconnu",IF(AND(E866="Préventif",F866=""),"Plan manquant (préventif)",IF(AND(F866&lt;&gt;"",ISNA(MATCH(F866,pl_num,0))),"Plan inconnu",IF(AND(F866&lt;&gt;"",IFERROR(INDEX(pl_eq,MATCH(F866,pl_num,0))&amp;"",C866)&lt;&gt;C866),"Plan d'un autre équipement",IF(AND(J866&lt;&gt;"",OR(NOT(ISNUMBER(J866)),N(J866)&lt;0)),"Compteur invalide",IF(OR(AND(K866&lt;&gt;"",OR(NOT(ISNUMBER(K866)),N(K866)&lt;0)),AND(L866&lt;&gt;"",OR(NOT(ISNUMBER(L866)),N(L866)&lt;0))),"Durée invalide",IF(OR(AND(N866&lt;&gt;"",OR(NOT(ISNUMBER(N866)),N(N866)&lt;0)),AND(P866&lt;&gt;"",OR(NOT(ISNUMBER(P866)),N(P866)&lt;0))),"Coût invalide",IF(AND(M866&lt;&gt;"",ISNA(MATCH(M866,tech_name,0))),"Technicien inconnu",IF(AND(I866="Terminée",S866&gt;p_today),"Terminée à une date future",IF(AND(I866="Terminée",V866=0),"Durée d'intervention manquante",IF(AND(I866="Terminée",E866="Préventif",T866=0,OR(IFERROR(INDEX(pl_trig,MATCH(F866,pl_num,0))&amp;"","")="Compteur",IFERROR(INDEX(pl_trig,MATCH(F866,pl_num,0))&amp;"","")="Au premier des deux")),"Compteur manquant (plan au compteur)","OK"))))))))))))))))))</f>
        <v/>
      </c>
      <c r="S866" s="67">
        <f>IF(AND(ISNUMBER(B866),N(B866)&gt;0),INT(B866),0)</f>
        <v>0.0</v>
      </c>
      <c r="T866" s="67">
        <f>IF(AND(ISNUMBER(J866),N(J866)&gt;=0),N(J866),0)</f>
        <v>0.0</v>
      </c>
      <c r="U866" s="67">
        <f>IF(AND(ISNUMBER(K866),N(K866)&gt;0),N(K866),0)</f>
        <v>0.0</v>
      </c>
      <c r="V866" s="67">
        <f>IF(AND(ISNUMBER(L866),N(L866)&gt;0),N(L866),0)</f>
        <v>0.0</v>
      </c>
      <c r="W866" s="67">
        <f>IF(AND(I866="Terminée",S866&gt;0,C866&lt;&gt;"",ISNUMBER(MATCH(C866,eq_code,0))),1,0)</f>
        <v>0.0</v>
      </c>
      <c r="X866" s="67">
        <f>IF(AND(W866=1,E866="Préventif"),1,0)</f>
        <v>0.0</v>
      </c>
      <c r="Y866" s="67">
        <f>IF(AND(ISNUMBER(N866),N(N866)&gt;0),N(N866),0)</f>
        <v>0.0</v>
      </c>
      <c r="Z866" s="67">
        <f>IF(AND(ISNUMBER(P866),N(P866)&gt;0),N(P866),0)</f>
        <v>0.0</v>
      </c>
    </row>
    <row r="867">
      <c r="A867" s="79" t="str">
        <f>IF(COUNTA(B867:C867,E867:G867,I867)=0,"","BI-"&amp;RIGHT("0000"&amp;(ROW()-5),4))</f>
        <v/>
      </c>
      <c r="B867" s="72" t="n"/>
      <c r="C867" s="66" t="n"/>
      <c r="D867" s="67" t="str">
        <f>IF(C867="","",IFERROR(INDEX(eq_des,MATCH(C867,eq_code,0))&amp;"","Équipement inconnu"))</f>
        <v/>
      </c>
      <c r="E867" s="68" t="n"/>
      <c r="F867" s="68" t="n"/>
      <c r="G867" s="66" t="n"/>
      <c r="H867" s="66" t="n"/>
      <c r="I867" s="68" t="n"/>
      <c r="J867" s="73" t="n"/>
      <c r="K867" s="71" t="n"/>
      <c r="L867" s="71" t="n"/>
      <c r="M867" s="66" t="n"/>
      <c r="N867" s="80" t="n"/>
      <c r="O867" s="81" t="str">
        <f>IF(A867="","",ROUND(V867*IFERROR(N(INDEX(tech_rate,MATCH(M867,tech_name,0))),0),2))</f>
        <v/>
      </c>
      <c r="P867" s="80" t="n"/>
      <c r="Q867" s="81" t="str">
        <f>IF(A867="","",ROUND(Y867+O867+Z867,2))</f>
        <v/>
      </c>
      <c r="R867" s="79" t="str">
        <f>IF(A867="","",IF(S867=0,"Date manquante ou invalide",IF(C867="","Équipement manquant",IF(ISNA(MATCH(C867,eq_code,0)),"Équipement inconnu",IF(E867="","Type manquant",IF(AND(E867&lt;&gt;"Préventif",E867&lt;&gt;"Correctif",E867&lt;&gt;"Amélioratif"),"Type inconnu",IF(I867="","Statut manquant",IF(AND(I867&lt;&gt;"Terminée",I867&lt;&gt;"En cours",I867&lt;&gt;"À faire",I867&lt;&gt;"Annulée"),"Statut inconnu",IF(AND(E867="Préventif",F867=""),"Plan manquant (préventif)",IF(AND(F867&lt;&gt;"",ISNA(MATCH(F867,pl_num,0))),"Plan inconnu",IF(AND(F867&lt;&gt;"",IFERROR(INDEX(pl_eq,MATCH(F867,pl_num,0))&amp;"",C867)&lt;&gt;C867),"Plan d'un autre équipement",IF(AND(J867&lt;&gt;"",OR(NOT(ISNUMBER(J867)),N(J867)&lt;0)),"Compteur invalide",IF(OR(AND(K867&lt;&gt;"",OR(NOT(ISNUMBER(K867)),N(K867)&lt;0)),AND(L867&lt;&gt;"",OR(NOT(ISNUMBER(L867)),N(L867)&lt;0))),"Durée invalide",IF(OR(AND(N867&lt;&gt;"",OR(NOT(ISNUMBER(N867)),N(N867)&lt;0)),AND(P867&lt;&gt;"",OR(NOT(ISNUMBER(P867)),N(P867)&lt;0))),"Coût invalide",IF(AND(M867&lt;&gt;"",ISNA(MATCH(M867,tech_name,0))),"Technicien inconnu",IF(AND(I867="Terminée",S867&gt;p_today),"Terminée à une date future",IF(AND(I867="Terminée",V867=0),"Durée d'intervention manquante",IF(AND(I867="Terminée",E867="Préventif",T867=0,OR(IFERROR(INDEX(pl_trig,MATCH(F867,pl_num,0))&amp;"","")="Compteur",IFERROR(INDEX(pl_trig,MATCH(F867,pl_num,0))&amp;"","")="Au premier des deux")),"Compteur manquant (plan au compteur)","OK"))))))))))))))))))</f>
        <v/>
      </c>
      <c r="S867" s="67">
        <f>IF(AND(ISNUMBER(B867),N(B867)&gt;0),INT(B867),0)</f>
        <v>0.0</v>
      </c>
      <c r="T867" s="67">
        <f>IF(AND(ISNUMBER(J867),N(J867)&gt;=0),N(J867),0)</f>
        <v>0.0</v>
      </c>
      <c r="U867" s="67">
        <f>IF(AND(ISNUMBER(K867),N(K867)&gt;0),N(K867),0)</f>
        <v>0.0</v>
      </c>
      <c r="V867" s="67">
        <f>IF(AND(ISNUMBER(L867),N(L867)&gt;0),N(L867),0)</f>
        <v>0.0</v>
      </c>
      <c r="W867" s="67">
        <f>IF(AND(I867="Terminée",S867&gt;0,C867&lt;&gt;"",ISNUMBER(MATCH(C867,eq_code,0))),1,0)</f>
        <v>0.0</v>
      </c>
      <c r="X867" s="67">
        <f>IF(AND(W867=1,E867="Préventif"),1,0)</f>
        <v>0.0</v>
      </c>
      <c r="Y867" s="67">
        <f>IF(AND(ISNUMBER(N867),N(N867)&gt;0),N(N867),0)</f>
        <v>0.0</v>
      </c>
      <c r="Z867" s="67">
        <f>IF(AND(ISNUMBER(P867),N(P867)&gt;0),N(P867),0)</f>
        <v>0.0</v>
      </c>
    </row>
    <row r="868">
      <c r="A868" s="79" t="str">
        <f>IF(COUNTA(B868:C868,E868:G868,I868)=0,"","BI-"&amp;RIGHT("0000"&amp;(ROW()-5),4))</f>
        <v/>
      </c>
      <c r="B868" s="72" t="n"/>
      <c r="C868" s="66" t="n"/>
      <c r="D868" s="67" t="str">
        <f>IF(C868="","",IFERROR(INDEX(eq_des,MATCH(C868,eq_code,0))&amp;"","Équipement inconnu"))</f>
        <v/>
      </c>
      <c r="E868" s="68" t="n"/>
      <c r="F868" s="68" t="n"/>
      <c r="G868" s="66" t="n"/>
      <c r="H868" s="66" t="n"/>
      <c r="I868" s="68" t="n"/>
      <c r="J868" s="73" t="n"/>
      <c r="K868" s="71" t="n"/>
      <c r="L868" s="71" t="n"/>
      <c r="M868" s="66" t="n"/>
      <c r="N868" s="80" t="n"/>
      <c r="O868" s="81" t="str">
        <f>IF(A868="","",ROUND(V868*IFERROR(N(INDEX(tech_rate,MATCH(M868,tech_name,0))),0),2))</f>
        <v/>
      </c>
      <c r="P868" s="80" t="n"/>
      <c r="Q868" s="81" t="str">
        <f>IF(A868="","",ROUND(Y868+O868+Z868,2))</f>
        <v/>
      </c>
      <c r="R868" s="79" t="str">
        <f>IF(A868="","",IF(S868=0,"Date manquante ou invalide",IF(C868="","Équipement manquant",IF(ISNA(MATCH(C868,eq_code,0)),"Équipement inconnu",IF(E868="","Type manquant",IF(AND(E868&lt;&gt;"Préventif",E868&lt;&gt;"Correctif",E868&lt;&gt;"Amélioratif"),"Type inconnu",IF(I868="","Statut manquant",IF(AND(I868&lt;&gt;"Terminée",I868&lt;&gt;"En cours",I868&lt;&gt;"À faire",I868&lt;&gt;"Annulée"),"Statut inconnu",IF(AND(E868="Préventif",F868=""),"Plan manquant (préventif)",IF(AND(F868&lt;&gt;"",ISNA(MATCH(F868,pl_num,0))),"Plan inconnu",IF(AND(F868&lt;&gt;"",IFERROR(INDEX(pl_eq,MATCH(F868,pl_num,0))&amp;"",C868)&lt;&gt;C868),"Plan d'un autre équipement",IF(AND(J868&lt;&gt;"",OR(NOT(ISNUMBER(J868)),N(J868)&lt;0)),"Compteur invalide",IF(OR(AND(K868&lt;&gt;"",OR(NOT(ISNUMBER(K868)),N(K868)&lt;0)),AND(L868&lt;&gt;"",OR(NOT(ISNUMBER(L868)),N(L868)&lt;0))),"Durée invalide",IF(OR(AND(N868&lt;&gt;"",OR(NOT(ISNUMBER(N868)),N(N868)&lt;0)),AND(P868&lt;&gt;"",OR(NOT(ISNUMBER(P868)),N(P868)&lt;0))),"Coût invalide",IF(AND(M868&lt;&gt;"",ISNA(MATCH(M868,tech_name,0))),"Technicien inconnu",IF(AND(I868="Terminée",S868&gt;p_today),"Terminée à une date future",IF(AND(I868="Terminée",V868=0),"Durée d'intervention manquante",IF(AND(I868="Terminée",E868="Préventif",T868=0,OR(IFERROR(INDEX(pl_trig,MATCH(F868,pl_num,0))&amp;"","")="Compteur",IFERROR(INDEX(pl_trig,MATCH(F868,pl_num,0))&amp;"","")="Au premier des deux")),"Compteur manquant (plan au compteur)","OK"))))))))))))))))))</f>
        <v/>
      </c>
      <c r="S868" s="67">
        <f>IF(AND(ISNUMBER(B868),N(B868)&gt;0),INT(B868),0)</f>
        <v>0.0</v>
      </c>
      <c r="T868" s="67">
        <f>IF(AND(ISNUMBER(J868),N(J868)&gt;=0),N(J868),0)</f>
        <v>0.0</v>
      </c>
      <c r="U868" s="67">
        <f>IF(AND(ISNUMBER(K868),N(K868)&gt;0),N(K868),0)</f>
        <v>0.0</v>
      </c>
      <c r="V868" s="67">
        <f>IF(AND(ISNUMBER(L868),N(L868)&gt;0),N(L868),0)</f>
        <v>0.0</v>
      </c>
      <c r="W868" s="67">
        <f>IF(AND(I868="Terminée",S868&gt;0,C868&lt;&gt;"",ISNUMBER(MATCH(C868,eq_code,0))),1,0)</f>
        <v>0.0</v>
      </c>
      <c r="X868" s="67">
        <f>IF(AND(W868=1,E868="Préventif"),1,0)</f>
        <v>0.0</v>
      </c>
      <c r="Y868" s="67">
        <f>IF(AND(ISNUMBER(N868),N(N868)&gt;0),N(N868),0)</f>
        <v>0.0</v>
      </c>
      <c r="Z868" s="67">
        <f>IF(AND(ISNUMBER(P868),N(P868)&gt;0),N(P868),0)</f>
        <v>0.0</v>
      </c>
    </row>
    <row r="869">
      <c r="A869" s="79" t="str">
        <f>IF(COUNTA(B869:C869,E869:G869,I869)=0,"","BI-"&amp;RIGHT("0000"&amp;(ROW()-5),4))</f>
        <v/>
      </c>
      <c r="B869" s="72" t="n"/>
      <c r="C869" s="66" t="n"/>
      <c r="D869" s="67" t="str">
        <f>IF(C869="","",IFERROR(INDEX(eq_des,MATCH(C869,eq_code,0))&amp;"","Équipement inconnu"))</f>
        <v/>
      </c>
      <c r="E869" s="68" t="n"/>
      <c r="F869" s="68" t="n"/>
      <c r="G869" s="66" t="n"/>
      <c r="H869" s="66" t="n"/>
      <c r="I869" s="68" t="n"/>
      <c r="J869" s="73" t="n"/>
      <c r="K869" s="71" t="n"/>
      <c r="L869" s="71" t="n"/>
      <c r="M869" s="66" t="n"/>
      <c r="N869" s="80" t="n"/>
      <c r="O869" s="81" t="str">
        <f>IF(A869="","",ROUND(V869*IFERROR(N(INDEX(tech_rate,MATCH(M869,tech_name,0))),0),2))</f>
        <v/>
      </c>
      <c r="P869" s="80" t="n"/>
      <c r="Q869" s="81" t="str">
        <f>IF(A869="","",ROUND(Y869+O869+Z869,2))</f>
        <v/>
      </c>
      <c r="R869" s="79" t="str">
        <f>IF(A869="","",IF(S869=0,"Date manquante ou invalide",IF(C869="","Équipement manquant",IF(ISNA(MATCH(C869,eq_code,0)),"Équipement inconnu",IF(E869="","Type manquant",IF(AND(E869&lt;&gt;"Préventif",E869&lt;&gt;"Correctif",E869&lt;&gt;"Amélioratif"),"Type inconnu",IF(I869="","Statut manquant",IF(AND(I869&lt;&gt;"Terminée",I869&lt;&gt;"En cours",I869&lt;&gt;"À faire",I869&lt;&gt;"Annulée"),"Statut inconnu",IF(AND(E869="Préventif",F869=""),"Plan manquant (préventif)",IF(AND(F869&lt;&gt;"",ISNA(MATCH(F869,pl_num,0))),"Plan inconnu",IF(AND(F869&lt;&gt;"",IFERROR(INDEX(pl_eq,MATCH(F869,pl_num,0))&amp;"",C869)&lt;&gt;C869),"Plan d'un autre équipement",IF(AND(J869&lt;&gt;"",OR(NOT(ISNUMBER(J869)),N(J869)&lt;0)),"Compteur invalide",IF(OR(AND(K869&lt;&gt;"",OR(NOT(ISNUMBER(K869)),N(K869)&lt;0)),AND(L869&lt;&gt;"",OR(NOT(ISNUMBER(L869)),N(L869)&lt;0))),"Durée invalide",IF(OR(AND(N869&lt;&gt;"",OR(NOT(ISNUMBER(N869)),N(N869)&lt;0)),AND(P869&lt;&gt;"",OR(NOT(ISNUMBER(P869)),N(P869)&lt;0))),"Coût invalide",IF(AND(M869&lt;&gt;"",ISNA(MATCH(M869,tech_name,0))),"Technicien inconnu",IF(AND(I869="Terminée",S869&gt;p_today),"Terminée à une date future",IF(AND(I869="Terminée",V869=0),"Durée d'intervention manquante",IF(AND(I869="Terminée",E869="Préventif",T869=0,OR(IFERROR(INDEX(pl_trig,MATCH(F869,pl_num,0))&amp;"","")="Compteur",IFERROR(INDEX(pl_trig,MATCH(F869,pl_num,0))&amp;"","")="Au premier des deux")),"Compteur manquant (plan au compteur)","OK"))))))))))))))))))</f>
        <v/>
      </c>
      <c r="S869" s="67">
        <f>IF(AND(ISNUMBER(B869),N(B869)&gt;0),INT(B869),0)</f>
        <v>0.0</v>
      </c>
      <c r="T869" s="67">
        <f>IF(AND(ISNUMBER(J869),N(J869)&gt;=0),N(J869),0)</f>
        <v>0.0</v>
      </c>
      <c r="U869" s="67">
        <f>IF(AND(ISNUMBER(K869),N(K869)&gt;0),N(K869),0)</f>
        <v>0.0</v>
      </c>
      <c r="V869" s="67">
        <f>IF(AND(ISNUMBER(L869),N(L869)&gt;0),N(L869),0)</f>
        <v>0.0</v>
      </c>
      <c r="W869" s="67">
        <f>IF(AND(I869="Terminée",S869&gt;0,C869&lt;&gt;"",ISNUMBER(MATCH(C869,eq_code,0))),1,0)</f>
        <v>0.0</v>
      </c>
      <c r="X869" s="67">
        <f>IF(AND(W869=1,E869="Préventif"),1,0)</f>
        <v>0.0</v>
      </c>
      <c r="Y869" s="67">
        <f>IF(AND(ISNUMBER(N869),N(N869)&gt;0),N(N869),0)</f>
        <v>0.0</v>
      </c>
      <c r="Z869" s="67">
        <f>IF(AND(ISNUMBER(P869),N(P869)&gt;0),N(P869),0)</f>
        <v>0.0</v>
      </c>
    </row>
    <row r="870">
      <c r="A870" s="79" t="str">
        <f>IF(COUNTA(B870:C870,E870:G870,I870)=0,"","BI-"&amp;RIGHT("0000"&amp;(ROW()-5),4))</f>
        <v/>
      </c>
      <c r="B870" s="72" t="n"/>
      <c r="C870" s="66" t="n"/>
      <c r="D870" s="67" t="str">
        <f>IF(C870="","",IFERROR(INDEX(eq_des,MATCH(C870,eq_code,0))&amp;"","Équipement inconnu"))</f>
        <v/>
      </c>
      <c r="E870" s="68" t="n"/>
      <c r="F870" s="68" t="n"/>
      <c r="G870" s="66" t="n"/>
      <c r="H870" s="66" t="n"/>
      <c r="I870" s="68" t="n"/>
      <c r="J870" s="73" t="n"/>
      <c r="K870" s="71" t="n"/>
      <c r="L870" s="71" t="n"/>
      <c r="M870" s="66" t="n"/>
      <c r="N870" s="80" t="n"/>
      <c r="O870" s="81" t="str">
        <f>IF(A870="","",ROUND(V870*IFERROR(N(INDEX(tech_rate,MATCH(M870,tech_name,0))),0),2))</f>
        <v/>
      </c>
      <c r="P870" s="80" t="n"/>
      <c r="Q870" s="81" t="str">
        <f>IF(A870="","",ROUND(Y870+O870+Z870,2))</f>
        <v/>
      </c>
      <c r="R870" s="79" t="str">
        <f>IF(A870="","",IF(S870=0,"Date manquante ou invalide",IF(C870="","Équipement manquant",IF(ISNA(MATCH(C870,eq_code,0)),"Équipement inconnu",IF(E870="","Type manquant",IF(AND(E870&lt;&gt;"Préventif",E870&lt;&gt;"Correctif",E870&lt;&gt;"Amélioratif"),"Type inconnu",IF(I870="","Statut manquant",IF(AND(I870&lt;&gt;"Terminée",I870&lt;&gt;"En cours",I870&lt;&gt;"À faire",I870&lt;&gt;"Annulée"),"Statut inconnu",IF(AND(E870="Préventif",F870=""),"Plan manquant (préventif)",IF(AND(F870&lt;&gt;"",ISNA(MATCH(F870,pl_num,0))),"Plan inconnu",IF(AND(F870&lt;&gt;"",IFERROR(INDEX(pl_eq,MATCH(F870,pl_num,0))&amp;"",C870)&lt;&gt;C870),"Plan d'un autre équipement",IF(AND(J870&lt;&gt;"",OR(NOT(ISNUMBER(J870)),N(J870)&lt;0)),"Compteur invalide",IF(OR(AND(K870&lt;&gt;"",OR(NOT(ISNUMBER(K870)),N(K870)&lt;0)),AND(L870&lt;&gt;"",OR(NOT(ISNUMBER(L870)),N(L870)&lt;0))),"Durée invalide",IF(OR(AND(N870&lt;&gt;"",OR(NOT(ISNUMBER(N870)),N(N870)&lt;0)),AND(P870&lt;&gt;"",OR(NOT(ISNUMBER(P870)),N(P870)&lt;0))),"Coût invalide",IF(AND(M870&lt;&gt;"",ISNA(MATCH(M870,tech_name,0))),"Technicien inconnu",IF(AND(I870="Terminée",S870&gt;p_today),"Terminée à une date future",IF(AND(I870="Terminée",V870=0),"Durée d'intervention manquante",IF(AND(I870="Terminée",E870="Préventif",T870=0,OR(IFERROR(INDEX(pl_trig,MATCH(F870,pl_num,0))&amp;"","")="Compteur",IFERROR(INDEX(pl_trig,MATCH(F870,pl_num,0))&amp;"","")="Au premier des deux")),"Compteur manquant (plan au compteur)","OK"))))))))))))))))))</f>
        <v/>
      </c>
      <c r="S870" s="67">
        <f>IF(AND(ISNUMBER(B870),N(B870)&gt;0),INT(B870),0)</f>
        <v>0.0</v>
      </c>
      <c r="T870" s="67">
        <f>IF(AND(ISNUMBER(J870),N(J870)&gt;=0),N(J870),0)</f>
        <v>0.0</v>
      </c>
      <c r="U870" s="67">
        <f>IF(AND(ISNUMBER(K870),N(K870)&gt;0),N(K870),0)</f>
        <v>0.0</v>
      </c>
      <c r="V870" s="67">
        <f>IF(AND(ISNUMBER(L870),N(L870)&gt;0),N(L870),0)</f>
        <v>0.0</v>
      </c>
      <c r="W870" s="67">
        <f>IF(AND(I870="Terminée",S870&gt;0,C870&lt;&gt;"",ISNUMBER(MATCH(C870,eq_code,0))),1,0)</f>
        <v>0.0</v>
      </c>
      <c r="X870" s="67">
        <f>IF(AND(W870=1,E870="Préventif"),1,0)</f>
        <v>0.0</v>
      </c>
      <c r="Y870" s="67">
        <f>IF(AND(ISNUMBER(N870),N(N870)&gt;0),N(N870),0)</f>
        <v>0.0</v>
      </c>
      <c r="Z870" s="67">
        <f>IF(AND(ISNUMBER(P870),N(P870)&gt;0),N(P870),0)</f>
        <v>0.0</v>
      </c>
    </row>
    <row r="871">
      <c r="A871" s="79" t="str">
        <f>IF(COUNTA(B871:C871,E871:G871,I871)=0,"","BI-"&amp;RIGHT("0000"&amp;(ROW()-5),4))</f>
        <v/>
      </c>
      <c r="B871" s="72" t="n"/>
      <c r="C871" s="66" t="n"/>
      <c r="D871" s="67" t="str">
        <f>IF(C871="","",IFERROR(INDEX(eq_des,MATCH(C871,eq_code,0))&amp;"","Équipement inconnu"))</f>
        <v/>
      </c>
      <c r="E871" s="68" t="n"/>
      <c r="F871" s="68" t="n"/>
      <c r="G871" s="66" t="n"/>
      <c r="H871" s="66" t="n"/>
      <c r="I871" s="68" t="n"/>
      <c r="J871" s="73" t="n"/>
      <c r="K871" s="71" t="n"/>
      <c r="L871" s="71" t="n"/>
      <c r="M871" s="66" t="n"/>
      <c r="N871" s="80" t="n"/>
      <c r="O871" s="81" t="str">
        <f>IF(A871="","",ROUND(V871*IFERROR(N(INDEX(tech_rate,MATCH(M871,tech_name,0))),0),2))</f>
        <v/>
      </c>
      <c r="P871" s="80" t="n"/>
      <c r="Q871" s="81" t="str">
        <f>IF(A871="","",ROUND(Y871+O871+Z871,2))</f>
        <v/>
      </c>
      <c r="R871" s="79" t="str">
        <f>IF(A871="","",IF(S871=0,"Date manquante ou invalide",IF(C871="","Équipement manquant",IF(ISNA(MATCH(C871,eq_code,0)),"Équipement inconnu",IF(E871="","Type manquant",IF(AND(E871&lt;&gt;"Préventif",E871&lt;&gt;"Correctif",E871&lt;&gt;"Amélioratif"),"Type inconnu",IF(I871="","Statut manquant",IF(AND(I871&lt;&gt;"Terminée",I871&lt;&gt;"En cours",I871&lt;&gt;"À faire",I871&lt;&gt;"Annulée"),"Statut inconnu",IF(AND(E871="Préventif",F871=""),"Plan manquant (préventif)",IF(AND(F871&lt;&gt;"",ISNA(MATCH(F871,pl_num,0))),"Plan inconnu",IF(AND(F871&lt;&gt;"",IFERROR(INDEX(pl_eq,MATCH(F871,pl_num,0))&amp;"",C871)&lt;&gt;C871),"Plan d'un autre équipement",IF(AND(J871&lt;&gt;"",OR(NOT(ISNUMBER(J871)),N(J871)&lt;0)),"Compteur invalide",IF(OR(AND(K871&lt;&gt;"",OR(NOT(ISNUMBER(K871)),N(K871)&lt;0)),AND(L871&lt;&gt;"",OR(NOT(ISNUMBER(L871)),N(L871)&lt;0))),"Durée invalide",IF(OR(AND(N871&lt;&gt;"",OR(NOT(ISNUMBER(N871)),N(N871)&lt;0)),AND(P871&lt;&gt;"",OR(NOT(ISNUMBER(P871)),N(P871)&lt;0))),"Coût invalide",IF(AND(M871&lt;&gt;"",ISNA(MATCH(M871,tech_name,0))),"Technicien inconnu",IF(AND(I871="Terminée",S871&gt;p_today),"Terminée à une date future",IF(AND(I871="Terminée",V871=0),"Durée d'intervention manquante",IF(AND(I871="Terminée",E871="Préventif",T871=0,OR(IFERROR(INDEX(pl_trig,MATCH(F871,pl_num,0))&amp;"","")="Compteur",IFERROR(INDEX(pl_trig,MATCH(F871,pl_num,0))&amp;"","")="Au premier des deux")),"Compteur manquant (plan au compteur)","OK"))))))))))))))))))</f>
        <v/>
      </c>
      <c r="S871" s="67">
        <f>IF(AND(ISNUMBER(B871),N(B871)&gt;0),INT(B871),0)</f>
        <v>0.0</v>
      </c>
      <c r="T871" s="67">
        <f>IF(AND(ISNUMBER(J871),N(J871)&gt;=0),N(J871),0)</f>
        <v>0.0</v>
      </c>
      <c r="U871" s="67">
        <f>IF(AND(ISNUMBER(K871),N(K871)&gt;0),N(K871),0)</f>
        <v>0.0</v>
      </c>
      <c r="V871" s="67">
        <f>IF(AND(ISNUMBER(L871),N(L871)&gt;0),N(L871),0)</f>
        <v>0.0</v>
      </c>
      <c r="W871" s="67">
        <f>IF(AND(I871="Terminée",S871&gt;0,C871&lt;&gt;"",ISNUMBER(MATCH(C871,eq_code,0))),1,0)</f>
        <v>0.0</v>
      </c>
      <c r="X871" s="67">
        <f>IF(AND(W871=1,E871="Préventif"),1,0)</f>
        <v>0.0</v>
      </c>
      <c r="Y871" s="67">
        <f>IF(AND(ISNUMBER(N871),N(N871)&gt;0),N(N871),0)</f>
        <v>0.0</v>
      </c>
      <c r="Z871" s="67">
        <f>IF(AND(ISNUMBER(P871),N(P871)&gt;0),N(P871),0)</f>
        <v>0.0</v>
      </c>
    </row>
    <row r="872">
      <c r="A872" s="79" t="str">
        <f>IF(COUNTA(B872:C872,E872:G872,I872)=0,"","BI-"&amp;RIGHT("0000"&amp;(ROW()-5),4))</f>
        <v/>
      </c>
      <c r="B872" s="72" t="n"/>
      <c r="C872" s="66" t="n"/>
      <c r="D872" s="67" t="str">
        <f>IF(C872="","",IFERROR(INDEX(eq_des,MATCH(C872,eq_code,0))&amp;"","Équipement inconnu"))</f>
        <v/>
      </c>
      <c r="E872" s="68" t="n"/>
      <c r="F872" s="68" t="n"/>
      <c r="G872" s="66" t="n"/>
      <c r="H872" s="66" t="n"/>
      <c r="I872" s="68" t="n"/>
      <c r="J872" s="73" t="n"/>
      <c r="K872" s="71" t="n"/>
      <c r="L872" s="71" t="n"/>
      <c r="M872" s="66" t="n"/>
      <c r="N872" s="80" t="n"/>
      <c r="O872" s="81" t="str">
        <f>IF(A872="","",ROUND(V872*IFERROR(N(INDEX(tech_rate,MATCH(M872,tech_name,0))),0),2))</f>
        <v/>
      </c>
      <c r="P872" s="80" t="n"/>
      <c r="Q872" s="81" t="str">
        <f>IF(A872="","",ROUND(Y872+O872+Z872,2))</f>
        <v/>
      </c>
      <c r="R872" s="79" t="str">
        <f>IF(A872="","",IF(S872=0,"Date manquante ou invalide",IF(C872="","Équipement manquant",IF(ISNA(MATCH(C872,eq_code,0)),"Équipement inconnu",IF(E872="","Type manquant",IF(AND(E872&lt;&gt;"Préventif",E872&lt;&gt;"Correctif",E872&lt;&gt;"Amélioratif"),"Type inconnu",IF(I872="","Statut manquant",IF(AND(I872&lt;&gt;"Terminée",I872&lt;&gt;"En cours",I872&lt;&gt;"À faire",I872&lt;&gt;"Annulée"),"Statut inconnu",IF(AND(E872="Préventif",F872=""),"Plan manquant (préventif)",IF(AND(F872&lt;&gt;"",ISNA(MATCH(F872,pl_num,0))),"Plan inconnu",IF(AND(F872&lt;&gt;"",IFERROR(INDEX(pl_eq,MATCH(F872,pl_num,0))&amp;"",C872)&lt;&gt;C872),"Plan d'un autre équipement",IF(AND(J872&lt;&gt;"",OR(NOT(ISNUMBER(J872)),N(J872)&lt;0)),"Compteur invalide",IF(OR(AND(K872&lt;&gt;"",OR(NOT(ISNUMBER(K872)),N(K872)&lt;0)),AND(L872&lt;&gt;"",OR(NOT(ISNUMBER(L872)),N(L872)&lt;0))),"Durée invalide",IF(OR(AND(N872&lt;&gt;"",OR(NOT(ISNUMBER(N872)),N(N872)&lt;0)),AND(P872&lt;&gt;"",OR(NOT(ISNUMBER(P872)),N(P872)&lt;0))),"Coût invalide",IF(AND(M872&lt;&gt;"",ISNA(MATCH(M872,tech_name,0))),"Technicien inconnu",IF(AND(I872="Terminée",S872&gt;p_today),"Terminée à une date future",IF(AND(I872="Terminée",V872=0),"Durée d'intervention manquante",IF(AND(I872="Terminée",E872="Préventif",T872=0,OR(IFERROR(INDEX(pl_trig,MATCH(F872,pl_num,0))&amp;"","")="Compteur",IFERROR(INDEX(pl_trig,MATCH(F872,pl_num,0))&amp;"","")="Au premier des deux")),"Compteur manquant (plan au compteur)","OK"))))))))))))))))))</f>
        <v/>
      </c>
      <c r="S872" s="67">
        <f>IF(AND(ISNUMBER(B872),N(B872)&gt;0),INT(B872),0)</f>
        <v>0.0</v>
      </c>
      <c r="T872" s="67">
        <f>IF(AND(ISNUMBER(J872),N(J872)&gt;=0),N(J872),0)</f>
        <v>0.0</v>
      </c>
      <c r="U872" s="67">
        <f>IF(AND(ISNUMBER(K872),N(K872)&gt;0),N(K872),0)</f>
        <v>0.0</v>
      </c>
      <c r="V872" s="67">
        <f>IF(AND(ISNUMBER(L872),N(L872)&gt;0),N(L872),0)</f>
        <v>0.0</v>
      </c>
      <c r="W872" s="67">
        <f>IF(AND(I872="Terminée",S872&gt;0,C872&lt;&gt;"",ISNUMBER(MATCH(C872,eq_code,0))),1,0)</f>
        <v>0.0</v>
      </c>
      <c r="X872" s="67">
        <f>IF(AND(W872=1,E872="Préventif"),1,0)</f>
        <v>0.0</v>
      </c>
      <c r="Y872" s="67">
        <f>IF(AND(ISNUMBER(N872),N(N872)&gt;0),N(N872),0)</f>
        <v>0.0</v>
      </c>
      <c r="Z872" s="67">
        <f>IF(AND(ISNUMBER(P872),N(P872)&gt;0),N(P872),0)</f>
        <v>0.0</v>
      </c>
    </row>
    <row r="873">
      <c r="A873" s="79" t="str">
        <f>IF(COUNTA(B873:C873,E873:G873,I873)=0,"","BI-"&amp;RIGHT("0000"&amp;(ROW()-5),4))</f>
        <v/>
      </c>
      <c r="B873" s="72" t="n"/>
      <c r="C873" s="66" t="n"/>
      <c r="D873" s="67" t="str">
        <f>IF(C873="","",IFERROR(INDEX(eq_des,MATCH(C873,eq_code,0))&amp;"","Équipement inconnu"))</f>
        <v/>
      </c>
      <c r="E873" s="68" t="n"/>
      <c r="F873" s="68" t="n"/>
      <c r="G873" s="66" t="n"/>
      <c r="H873" s="66" t="n"/>
      <c r="I873" s="68" t="n"/>
      <c r="J873" s="73" t="n"/>
      <c r="K873" s="71" t="n"/>
      <c r="L873" s="71" t="n"/>
      <c r="M873" s="66" t="n"/>
      <c r="N873" s="80" t="n"/>
      <c r="O873" s="81" t="str">
        <f>IF(A873="","",ROUND(V873*IFERROR(N(INDEX(tech_rate,MATCH(M873,tech_name,0))),0),2))</f>
        <v/>
      </c>
      <c r="P873" s="80" t="n"/>
      <c r="Q873" s="81" t="str">
        <f>IF(A873="","",ROUND(Y873+O873+Z873,2))</f>
        <v/>
      </c>
      <c r="R873" s="79" t="str">
        <f>IF(A873="","",IF(S873=0,"Date manquante ou invalide",IF(C873="","Équipement manquant",IF(ISNA(MATCH(C873,eq_code,0)),"Équipement inconnu",IF(E873="","Type manquant",IF(AND(E873&lt;&gt;"Préventif",E873&lt;&gt;"Correctif",E873&lt;&gt;"Amélioratif"),"Type inconnu",IF(I873="","Statut manquant",IF(AND(I873&lt;&gt;"Terminée",I873&lt;&gt;"En cours",I873&lt;&gt;"À faire",I873&lt;&gt;"Annulée"),"Statut inconnu",IF(AND(E873="Préventif",F873=""),"Plan manquant (préventif)",IF(AND(F873&lt;&gt;"",ISNA(MATCH(F873,pl_num,0))),"Plan inconnu",IF(AND(F873&lt;&gt;"",IFERROR(INDEX(pl_eq,MATCH(F873,pl_num,0))&amp;"",C873)&lt;&gt;C873),"Plan d'un autre équipement",IF(AND(J873&lt;&gt;"",OR(NOT(ISNUMBER(J873)),N(J873)&lt;0)),"Compteur invalide",IF(OR(AND(K873&lt;&gt;"",OR(NOT(ISNUMBER(K873)),N(K873)&lt;0)),AND(L873&lt;&gt;"",OR(NOT(ISNUMBER(L873)),N(L873)&lt;0))),"Durée invalide",IF(OR(AND(N873&lt;&gt;"",OR(NOT(ISNUMBER(N873)),N(N873)&lt;0)),AND(P873&lt;&gt;"",OR(NOT(ISNUMBER(P873)),N(P873)&lt;0))),"Coût invalide",IF(AND(M873&lt;&gt;"",ISNA(MATCH(M873,tech_name,0))),"Technicien inconnu",IF(AND(I873="Terminée",S873&gt;p_today),"Terminée à une date future",IF(AND(I873="Terminée",V873=0),"Durée d'intervention manquante",IF(AND(I873="Terminée",E873="Préventif",T873=0,OR(IFERROR(INDEX(pl_trig,MATCH(F873,pl_num,0))&amp;"","")="Compteur",IFERROR(INDEX(pl_trig,MATCH(F873,pl_num,0))&amp;"","")="Au premier des deux")),"Compteur manquant (plan au compteur)","OK"))))))))))))))))))</f>
        <v/>
      </c>
      <c r="S873" s="67">
        <f>IF(AND(ISNUMBER(B873),N(B873)&gt;0),INT(B873),0)</f>
        <v>0.0</v>
      </c>
      <c r="T873" s="67">
        <f>IF(AND(ISNUMBER(J873),N(J873)&gt;=0),N(J873),0)</f>
        <v>0.0</v>
      </c>
      <c r="U873" s="67">
        <f>IF(AND(ISNUMBER(K873),N(K873)&gt;0),N(K873),0)</f>
        <v>0.0</v>
      </c>
      <c r="V873" s="67">
        <f>IF(AND(ISNUMBER(L873),N(L873)&gt;0),N(L873),0)</f>
        <v>0.0</v>
      </c>
      <c r="W873" s="67">
        <f>IF(AND(I873="Terminée",S873&gt;0,C873&lt;&gt;"",ISNUMBER(MATCH(C873,eq_code,0))),1,0)</f>
        <v>0.0</v>
      </c>
      <c r="X873" s="67">
        <f>IF(AND(W873=1,E873="Préventif"),1,0)</f>
        <v>0.0</v>
      </c>
      <c r="Y873" s="67">
        <f>IF(AND(ISNUMBER(N873),N(N873)&gt;0),N(N873),0)</f>
        <v>0.0</v>
      </c>
      <c r="Z873" s="67">
        <f>IF(AND(ISNUMBER(P873),N(P873)&gt;0),N(P873),0)</f>
        <v>0.0</v>
      </c>
    </row>
    <row r="874">
      <c r="A874" s="79" t="str">
        <f>IF(COUNTA(B874:C874,E874:G874,I874)=0,"","BI-"&amp;RIGHT("0000"&amp;(ROW()-5),4))</f>
        <v/>
      </c>
      <c r="B874" s="72" t="n"/>
      <c r="C874" s="66" t="n"/>
      <c r="D874" s="67" t="str">
        <f>IF(C874="","",IFERROR(INDEX(eq_des,MATCH(C874,eq_code,0))&amp;"","Équipement inconnu"))</f>
        <v/>
      </c>
      <c r="E874" s="68" t="n"/>
      <c r="F874" s="68" t="n"/>
      <c r="G874" s="66" t="n"/>
      <c r="H874" s="66" t="n"/>
      <c r="I874" s="68" t="n"/>
      <c r="J874" s="73" t="n"/>
      <c r="K874" s="71" t="n"/>
      <c r="L874" s="71" t="n"/>
      <c r="M874" s="66" t="n"/>
      <c r="N874" s="80" t="n"/>
      <c r="O874" s="81" t="str">
        <f>IF(A874="","",ROUND(V874*IFERROR(N(INDEX(tech_rate,MATCH(M874,tech_name,0))),0),2))</f>
        <v/>
      </c>
      <c r="P874" s="80" t="n"/>
      <c r="Q874" s="81" t="str">
        <f>IF(A874="","",ROUND(Y874+O874+Z874,2))</f>
        <v/>
      </c>
      <c r="R874" s="79" t="str">
        <f>IF(A874="","",IF(S874=0,"Date manquante ou invalide",IF(C874="","Équipement manquant",IF(ISNA(MATCH(C874,eq_code,0)),"Équipement inconnu",IF(E874="","Type manquant",IF(AND(E874&lt;&gt;"Préventif",E874&lt;&gt;"Correctif",E874&lt;&gt;"Amélioratif"),"Type inconnu",IF(I874="","Statut manquant",IF(AND(I874&lt;&gt;"Terminée",I874&lt;&gt;"En cours",I874&lt;&gt;"À faire",I874&lt;&gt;"Annulée"),"Statut inconnu",IF(AND(E874="Préventif",F874=""),"Plan manquant (préventif)",IF(AND(F874&lt;&gt;"",ISNA(MATCH(F874,pl_num,0))),"Plan inconnu",IF(AND(F874&lt;&gt;"",IFERROR(INDEX(pl_eq,MATCH(F874,pl_num,0))&amp;"",C874)&lt;&gt;C874),"Plan d'un autre équipement",IF(AND(J874&lt;&gt;"",OR(NOT(ISNUMBER(J874)),N(J874)&lt;0)),"Compteur invalide",IF(OR(AND(K874&lt;&gt;"",OR(NOT(ISNUMBER(K874)),N(K874)&lt;0)),AND(L874&lt;&gt;"",OR(NOT(ISNUMBER(L874)),N(L874)&lt;0))),"Durée invalide",IF(OR(AND(N874&lt;&gt;"",OR(NOT(ISNUMBER(N874)),N(N874)&lt;0)),AND(P874&lt;&gt;"",OR(NOT(ISNUMBER(P874)),N(P874)&lt;0))),"Coût invalide",IF(AND(M874&lt;&gt;"",ISNA(MATCH(M874,tech_name,0))),"Technicien inconnu",IF(AND(I874="Terminée",S874&gt;p_today),"Terminée à une date future",IF(AND(I874="Terminée",V874=0),"Durée d'intervention manquante",IF(AND(I874="Terminée",E874="Préventif",T874=0,OR(IFERROR(INDEX(pl_trig,MATCH(F874,pl_num,0))&amp;"","")="Compteur",IFERROR(INDEX(pl_trig,MATCH(F874,pl_num,0))&amp;"","")="Au premier des deux")),"Compteur manquant (plan au compteur)","OK"))))))))))))))))))</f>
        <v/>
      </c>
      <c r="S874" s="67">
        <f>IF(AND(ISNUMBER(B874),N(B874)&gt;0),INT(B874),0)</f>
        <v>0.0</v>
      </c>
      <c r="T874" s="67">
        <f>IF(AND(ISNUMBER(J874),N(J874)&gt;=0),N(J874),0)</f>
        <v>0.0</v>
      </c>
      <c r="U874" s="67">
        <f>IF(AND(ISNUMBER(K874),N(K874)&gt;0),N(K874),0)</f>
        <v>0.0</v>
      </c>
      <c r="V874" s="67">
        <f>IF(AND(ISNUMBER(L874),N(L874)&gt;0),N(L874),0)</f>
        <v>0.0</v>
      </c>
      <c r="W874" s="67">
        <f>IF(AND(I874="Terminée",S874&gt;0,C874&lt;&gt;"",ISNUMBER(MATCH(C874,eq_code,0))),1,0)</f>
        <v>0.0</v>
      </c>
      <c r="X874" s="67">
        <f>IF(AND(W874=1,E874="Préventif"),1,0)</f>
        <v>0.0</v>
      </c>
      <c r="Y874" s="67">
        <f>IF(AND(ISNUMBER(N874),N(N874)&gt;0),N(N874),0)</f>
        <v>0.0</v>
      </c>
      <c r="Z874" s="67">
        <f>IF(AND(ISNUMBER(P874),N(P874)&gt;0),N(P874),0)</f>
        <v>0.0</v>
      </c>
    </row>
    <row r="875">
      <c r="A875" s="79" t="str">
        <f>IF(COUNTA(B875:C875,E875:G875,I875)=0,"","BI-"&amp;RIGHT("0000"&amp;(ROW()-5),4))</f>
        <v/>
      </c>
      <c r="B875" s="72" t="n"/>
      <c r="C875" s="66" t="n"/>
      <c r="D875" s="67" t="str">
        <f>IF(C875="","",IFERROR(INDEX(eq_des,MATCH(C875,eq_code,0))&amp;"","Équipement inconnu"))</f>
        <v/>
      </c>
      <c r="E875" s="68" t="n"/>
      <c r="F875" s="68" t="n"/>
      <c r="G875" s="66" t="n"/>
      <c r="H875" s="66" t="n"/>
      <c r="I875" s="68" t="n"/>
      <c r="J875" s="73" t="n"/>
      <c r="K875" s="71" t="n"/>
      <c r="L875" s="71" t="n"/>
      <c r="M875" s="66" t="n"/>
      <c r="N875" s="80" t="n"/>
      <c r="O875" s="81" t="str">
        <f>IF(A875="","",ROUND(V875*IFERROR(N(INDEX(tech_rate,MATCH(M875,tech_name,0))),0),2))</f>
        <v/>
      </c>
      <c r="P875" s="80" t="n"/>
      <c r="Q875" s="81" t="str">
        <f>IF(A875="","",ROUND(Y875+O875+Z875,2))</f>
        <v/>
      </c>
      <c r="R875" s="79" t="str">
        <f>IF(A875="","",IF(S875=0,"Date manquante ou invalide",IF(C875="","Équipement manquant",IF(ISNA(MATCH(C875,eq_code,0)),"Équipement inconnu",IF(E875="","Type manquant",IF(AND(E875&lt;&gt;"Préventif",E875&lt;&gt;"Correctif",E875&lt;&gt;"Amélioratif"),"Type inconnu",IF(I875="","Statut manquant",IF(AND(I875&lt;&gt;"Terminée",I875&lt;&gt;"En cours",I875&lt;&gt;"À faire",I875&lt;&gt;"Annulée"),"Statut inconnu",IF(AND(E875="Préventif",F875=""),"Plan manquant (préventif)",IF(AND(F875&lt;&gt;"",ISNA(MATCH(F875,pl_num,0))),"Plan inconnu",IF(AND(F875&lt;&gt;"",IFERROR(INDEX(pl_eq,MATCH(F875,pl_num,0))&amp;"",C875)&lt;&gt;C875),"Plan d'un autre équipement",IF(AND(J875&lt;&gt;"",OR(NOT(ISNUMBER(J875)),N(J875)&lt;0)),"Compteur invalide",IF(OR(AND(K875&lt;&gt;"",OR(NOT(ISNUMBER(K875)),N(K875)&lt;0)),AND(L875&lt;&gt;"",OR(NOT(ISNUMBER(L875)),N(L875)&lt;0))),"Durée invalide",IF(OR(AND(N875&lt;&gt;"",OR(NOT(ISNUMBER(N875)),N(N875)&lt;0)),AND(P875&lt;&gt;"",OR(NOT(ISNUMBER(P875)),N(P875)&lt;0))),"Coût invalide",IF(AND(M875&lt;&gt;"",ISNA(MATCH(M875,tech_name,0))),"Technicien inconnu",IF(AND(I875="Terminée",S875&gt;p_today),"Terminée à une date future",IF(AND(I875="Terminée",V875=0),"Durée d'intervention manquante",IF(AND(I875="Terminée",E875="Préventif",T875=0,OR(IFERROR(INDEX(pl_trig,MATCH(F875,pl_num,0))&amp;"","")="Compteur",IFERROR(INDEX(pl_trig,MATCH(F875,pl_num,0))&amp;"","")="Au premier des deux")),"Compteur manquant (plan au compteur)","OK"))))))))))))))))))</f>
        <v/>
      </c>
      <c r="S875" s="67">
        <f>IF(AND(ISNUMBER(B875),N(B875)&gt;0),INT(B875),0)</f>
        <v>0.0</v>
      </c>
      <c r="T875" s="67">
        <f>IF(AND(ISNUMBER(J875),N(J875)&gt;=0),N(J875),0)</f>
        <v>0.0</v>
      </c>
      <c r="U875" s="67">
        <f>IF(AND(ISNUMBER(K875),N(K875)&gt;0),N(K875),0)</f>
        <v>0.0</v>
      </c>
      <c r="V875" s="67">
        <f>IF(AND(ISNUMBER(L875),N(L875)&gt;0),N(L875),0)</f>
        <v>0.0</v>
      </c>
      <c r="W875" s="67">
        <f>IF(AND(I875="Terminée",S875&gt;0,C875&lt;&gt;"",ISNUMBER(MATCH(C875,eq_code,0))),1,0)</f>
        <v>0.0</v>
      </c>
      <c r="X875" s="67">
        <f>IF(AND(W875=1,E875="Préventif"),1,0)</f>
        <v>0.0</v>
      </c>
      <c r="Y875" s="67">
        <f>IF(AND(ISNUMBER(N875),N(N875)&gt;0),N(N875),0)</f>
        <v>0.0</v>
      </c>
      <c r="Z875" s="67">
        <f>IF(AND(ISNUMBER(P875),N(P875)&gt;0),N(P875),0)</f>
        <v>0.0</v>
      </c>
    </row>
    <row r="876">
      <c r="A876" s="79" t="str">
        <f>IF(COUNTA(B876:C876,E876:G876,I876)=0,"","BI-"&amp;RIGHT("0000"&amp;(ROW()-5),4))</f>
        <v/>
      </c>
      <c r="B876" s="72" t="n"/>
      <c r="C876" s="66" t="n"/>
      <c r="D876" s="67" t="str">
        <f>IF(C876="","",IFERROR(INDEX(eq_des,MATCH(C876,eq_code,0))&amp;"","Équipement inconnu"))</f>
        <v/>
      </c>
      <c r="E876" s="68" t="n"/>
      <c r="F876" s="68" t="n"/>
      <c r="G876" s="66" t="n"/>
      <c r="H876" s="66" t="n"/>
      <c r="I876" s="68" t="n"/>
      <c r="J876" s="73" t="n"/>
      <c r="K876" s="71" t="n"/>
      <c r="L876" s="71" t="n"/>
      <c r="M876" s="66" t="n"/>
      <c r="N876" s="80" t="n"/>
      <c r="O876" s="81" t="str">
        <f>IF(A876="","",ROUND(V876*IFERROR(N(INDEX(tech_rate,MATCH(M876,tech_name,0))),0),2))</f>
        <v/>
      </c>
      <c r="P876" s="80" t="n"/>
      <c r="Q876" s="81" t="str">
        <f>IF(A876="","",ROUND(Y876+O876+Z876,2))</f>
        <v/>
      </c>
      <c r="R876" s="79" t="str">
        <f>IF(A876="","",IF(S876=0,"Date manquante ou invalide",IF(C876="","Équipement manquant",IF(ISNA(MATCH(C876,eq_code,0)),"Équipement inconnu",IF(E876="","Type manquant",IF(AND(E876&lt;&gt;"Préventif",E876&lt;&gt;"Correctif",E876&lt;&gt;"Amélioratif"),"Type inconnu",IF(I876="","Statut manquant",IF(AND(I876&lt;&gt;"Terminée",I876&lt;&gt;"En cours",I876&lt;&gt;"À faire",I876&lt;&gt;"Annulée"),"Statut inconnu",IF(AND(E876="Préventif",F876=""),"Plan manquant (préventif)",IF(AND(F876&lt;&gt;"",ISNA(MATCH(F876,pl_num,0))),"Plan inconnu",IF(AND(F876&lt;&gt;"",IFERROR(INDEX(pl_eq,MATCH(F876,pl_num,0))&amp;"",C876)&lt;&gt;C876),"Plan d'un autre équipement",IF(AND(J876&lt;&gt;"",OR(NOT(ISNUMBER(J876)),N(J876)&lt;0)),"Compteur invalide",IF(OR(AND(K876&lt;&gt;"",OR(NOT(ISNUMBER(K876)),N(K876)&lt;0)),AND(L876&lt;&gt;"",OR(NOT(ISNUMBER(L876)),N(L876)&lt;0))),"Durée invalide",IF(OR(AND(N876&lt;&gt;"",OR(NOT(ISNUMBER(N876)),N(N876)&lt;0)),AND(P876&lt;&gt;"",OR(NOT(ISNUMBER(P876)),N(P876)&lt;0))),"Coût invalide",IF(AND(M876&lt;&gt;"",ISNA(MATCH(M876,tech_name,0))),"Technicien inconnu",IF(AND(I876="Terminée",S876&gt;p_today),"Terminée à une date future",IF(AND(I876="Terminée",V876=0),"Durée d'intervention manquante",IF(AND(I876="Terminée",E876="Préventif",T876=0,OR(IFERROR(INDEX(pl_trig,MATCH(F876,pl_num,0))&amp;"","")="Compteur",IFERROR(INDEX(pl_trig,MATCH(F876,pl_num,0))&amp;"","")="Au premier des deux")),"Compteur manquant (plan au compteur)","OK"))))))))))))))))))</f>
        <v/>
      </c>
      <c r="S876" s="67">
        <f>IF(AND(ISNUMBER(B876),N(B876)&gt;0),INT(B876),0)</f>
        <v>0.0</v>
      </c>
      <c r="T876" s="67">
        <f>IF(AND(ISNUMBER(J876),N(J876)&gt;=0),N(J876),0)</f>
        <v>0.0</v>
      </c>
      <c r="U876" s="67">
        <f>IF(AND(ISNUMBER(K876),N(K876)&gt;0),N(K876),0)</f>
        <v>0.0</v>
      </c>
      <c r="V876" s="67">
        <f>IF(AND(ISNUMBER(L876),N(L876)&gt;0),N(L876),0)</f>
        <v>0.0</v>
      </c>
      <c r="W876" s="67">
        <f>IF(AND(I876="Terminée",S876&gt;0,C876&lt;&gt;"",ISNUMBER(MATCH(C876,eq_code,0))),1,0)</f>
        <v>0.0</v>
      </c>
      <c r="X876" s="67">
        <f>IF(AND(W876=1,E876="Préventif"),1,0)</f>
        <v>0.0</v>
      </c>
      <c r="Y876" s="67">
        <f>IF(AND(ISNUMBER(N876),N(N876)&gt;0),N(N876),0)</f>
        <v>0.0</v>
      </c>
      <c r="Z876" s="67">
        <f>IF(AND(ISNUMBER(P876),N(P876)&gt;0),N(P876),0)</f>
        <v>0.0</v>
      </c>
    </row>
    <row r="877">
      <c r="A877" s="79" t="str">
        <f>IF(COUNTA(B877:C877,E877:G877,I877)=0,"","BI-"&amp;RIGHT("0000"&amp;(ROW()-5),4))</f>
        <v/>
      </c>
      <c r="B877" s="72" t="n"/>
      <c r="C877" s="66" t="n"/>
      <c r="D877" s="67" t="str">
        <f>IF(C877="","",IFERROR(INDEX(eq_des,MATCH(C877,eq_code,0))&amp;"","Équipement inconnu"))</f>
        <v/>
      </c>
      <c r="E877" s="68" t="n"/>
      <c r="F877" s="68" t="n"/>
      <c r="G877" s="66" t="n"/>
      <c r="H877" s="66" t="n"/>
      <c r="I877" s="68" t="n"/>
      <c r="J877" s="73" t="n"/>
      <c r="K877" s="71" t="n"/>
      <c r="L877" s="71" t="n"/>
      <c r="M877" s="66" t="n"/>
      <c r="N877" s="80" t="n"/>
      <c r="O877" s="81" t="str">
        <f>IF(A877="","",ROUND(V877*IFERROR(N(INDEX(tech_rate,MATCH(M877,tech_name,0))),0),2))</f>
        <v/>
      </c>
      <c r="P877" s="80" t="n"/>
      <c r="Q877" s="81" t="str">
        <f>IF(A877="","",ROUND(Y877+O877+Z877,2))</f>
        <v/>
      </c>
      <c r="R877" s="79" t="str">
        <f>IF(A877="","",IF(S877=0,"Date manquante ou invalide",IF(C877="","Équipement manquant",IF(ISNA(MATCH(C877,eq_code,0)),"Équipement inconnu",IF(E877="","Type manquant",IF(AND(E877&lt;&gt;"Préventif",E877&lt;&gt;"Correctif",E877&lt;&gt;"Amélioratif"),"Type inconnu",IF(I877="","Statut manquant",IF(AND(I877&lt;&gt;"Terminée",I877&lt;&gt;"En cours",I877&lt;&gt;"À faire",I877&lt;&gt;"Annulée"),"Statut inconnu",IF(AND(E877="Préventif",F877=""),"Plan manquant (préventif)",IF(AND(F877&lt;&gt;"",ISNA(MATCH(F877,pl_num,0))),"Plan inconnu",IF(AND(F877&lt;&gt;"",IFERROR(INDEX(pl_eq,MATCH(F877,pl_num,0))&amp;"",C877)&lt;&gt;C877),"Plan d'un autre équipement",IF(AND(J877&lt;&gt;"",OR(NOT(ISNUMBER(J877)),N(J877)&lt;0)),"Compteur invalide",IF(OR(AND(K877&lt;&gt;"",OR(NOT(ISNUMBER(K877)),N(K877)&lt;0)),AND(L877&lt;&gt;"",OR(NOT(ISNUMBER(L877)),N(L877)&lt;0))),"Durée invalide",IF(OR(AND(N877&lt;&gt;"",OR(NOT(ISNUMBER(N877)),N(N877)&lt;0)),AND(P877&lt;&gt;"",OR(NOT(ISNUMBER(P877)),N(P877)&lt;0))),"Coût invalide",IF(AND(M877&lt;&gt;"",ISNA(MATCH(M877,tech_name,0))),"Technicien inconnu",IF(AND(I877="Terminée",S877&gt;p_today),"Terminée à une date future",IF(AND(I877="Terminée",V877=0),"Durée d'intervention manquante",IF(AND(I877="Terminée",E877="Préventif",T877=0,OR(IFERROR(INDEX(pl_trig,MATCH(F877,pl_num,0))&amp;"","")="Compteur",IFERROR(INDEX(pl_trig,MATCH(F877,pl_num,0))&amp;"","")="Au premier des deux")),"Compteur manquant (plan au compteur)","OK"))))))))))))))))))</f>
        <v/>
      </c>
      <c r="S877" s="67">
        <f>IF(AND(ISNUMBER(B877),N(B877)&gt;0),INT(B877),0)</f>
        <v>0.0</v>
      </c>
      <c r="T877" s="67">
        <f>IF(AND(ISNUMBER(J877),N(J877)&gt;=0),N(J877),0)</f>
        <v>0.0</v>
      </c>
      <c r="U877" s="67">
        <f>IF(AND(ISNUMBER(K877),N(K877)&gt;0),N(K877),0)</f>
        <v>0.0</v>
      </c>
      <c r="V877" s="67">
        <f>IF(AND(ISNUMBER(L877),N(L877)&gt;0),N(L877),0)</f>
        <v>0.0</v>
      </c>
      <c r="W877" s="67">
        <f>IF(AND(I877="Terminée",S877&gt;0,C877&lt;&gt;"",ISNUMBER(MATCH(C877,eq_code,0))),1,0)</f>
        <v>0.0</v>
      </c>
      <c r="X877" s="67">
        <f>IF(AND(W877=1,E877="Préventif"),1,0)</f>
        <v>0.0</v>
      </c>
      <c r="Y877" s="67">
        <f>IF(AND(ISNUMBER(N877),N(N877)&gt;0),N(N877),0)</f>
        <v>0.0</v>
      </c>
      <c r="Z877" s="67">
        <f>IF(AND(ISNUMBER(P877),N(P877)&gt;0),N(P877),0)</f>
        <v>0.0</v>
      </c>
    </row>
    <row r="878">
      <c r="A878" s="79" t="str">
        <f>IF(COUNTA(B878:C878,E878:G878,I878)=0,"","BI-"&amp;RIGHT("0000"&amp;(ROW()-5),4))</f>
        <v/>
      </c>
      <c r="B878" s="72" t="n"/>
      <c r="C878" s="66" t="n"/>
      <c r="D878" s="67" t="str">
        <f>IF(C878="","",IFERROR(INDEX(eq_des,MATCH(C878,eq_code,0))&amp;"","Équipement inconnu"))</f>
        <v/>
      </c>
      <c r="E878" s="68" t="n"/>
      <c r="F878" s="68" t="n"/>
      <c r="G878" s="66" t="n"/>
      <c r="H878" s="66" t="n"/>
      <c r="I878" s="68" t="n"/>
      <c r="J878" s="73" t="n"/>
      <c r="K878" s="71" t="n"/>
      <c r="L878" s="71" t="n"/>
      <c r="M878" s="66" t="n"/>
      <c r="N878" s="80" t="n"/>
      <c r="O878" s="81" t="str">
        <f>IF(A878="","",ROUND(V878*IFERROR(N(INDEX(tech_rate,MATCH(M878,tech_name,0))),0),2))</f>
        <v/>
      </c>
      <c r="P878" s="80" t="n"/>
      <c r="Q878" s="81" t="str">
        <f>IF(A878="","",ROUND(Y878+O878+Z878,2))</f>
        <v/>
      </c>
      <c r="R878" s="79" t="str">
        <f>IF(A878="","",IF(S878=0,"Date manquante ou invalide",IF(C878="","Équipement manquant",IF(ISNA(MATCH(C878,eq_code,0)),"Équipement inconnu",IF(E878="","Type manquant",IF(AND(E878&lt;&gt;"Préventif",E878&lt;&gt;"Correctif",E878&lt;&gt;"Amélioratif"),"Type inconnu",IF(I878="","Statut manquant",IF(AND(I878&lt;&gt;"Terminée",I878&lt;&gt;"En cours",I878&lt;&gt;"À faire",I878&lt;&gt;"Annulée"),"Statut inconnu",IF(AND(E878="Préventif",F878=""),"Plan manquant (préventif)",IF(AND(F878&lt;&gt;"",ISNA(MATCH(F878,pl_num,0))),"Plan inconnu",IF(AND(F878&lt;&gt;"",IFERROR(INDEX(pl_eq,MATCH(F878,pl_num,0))&amp;"",C878)&lt;&gt;C878),"Plan d'un autre équipement",IF(AND(J878&lt;&gt;"",OR(NOT(ISNUMBER(J878)),N(J878)&lt;0)),"Compteur invalide",IF(OR(AND(K878&lt;&gt;"",OR(NOT(ISNUMBER(K878)),N(K878)&lt;0)),AND(L878&lt;&gt;"",OR(NOT(ISNUMBER(L878)),N(L878)&lt;0))),"Durée invalide",IF(OR(AND(N878&lt;&gt;"",OR(NOT(ISNUMBER(N878)),N(N878)&lt;0)),AND(P878&lt;&gt;"",OR(NOT(ISNUMBER(P878)),N(P878)&lt;0))),"Coût invalide",IF(AND(M878&lt;&gt;"",ISNA(MATCH(M878,tech_name,0))),"Technicien inconnu",IF(AND(I878="Terminée",S878&gt;p_today),"Terminée à une date future",IF(AND(I878="Terminée",V878=0),"Durée d'intervention manquante",IF(AND(I878="Terminée",E878="Préventif",T878=0,OR(IFERROR(INDEX(pl_trig,MATCH(F878,pl_num,0))&amp;"","")="Compteur",IFERROR(INDEX(pl_trig,MATCH(F878,pl_num,0))&amp;"","")="Au premier des deux")),"Compteur manquant (plan au compteur)","OK"))))))))))))))))))</f>
        <v/>
      </c>
      <c r="S878" s="67">
        <f>IF(AND(ISNUMBER(B878),N(B878)&gt;0),INT(B878),0)</f>
        <v>0.0</v>
      </c>
      <c r="T878" s="67">
        <f>IF(AND(ISNUMBER(J878),N(J878)&gt;=0),N(J878),0)</f>
        <v>0.0</v>
      </c>
      <c r="U878" s="67">
        <f>IF(AND(ISNUMBER(K878),N(K878)&gt;0),N(K878),0)</f>
        <v>0.0</v>
      </c>
      <c r="V878" s="67">
        <f>IF(AND(ISNUMBER(L878),N(L878)&gt;0),N(L878),0)</f>
        <v>0.0</v>
      </c>
      <c r="W878" s="67">
        <f>IF(AND(I878="Terminée",S878&gt;0,C878&lt;&gt;"",ISNUMBER(MATCH(C878,eq_code,0))),1,0)</f>
        <v>0.0</v>
      </c>
      <c r="X878" s="67">
        <f>IF(AND(W878=1,E878="Préventif"),1,0)</f>
        <v>0.0</v>
      </c>
      <c r="Y878" s="67">
        <f>IF(AND(ISNUMBER(N878),N(N878)&gt;0),N(N878),0)</f>
        <v>0.0</v>
      </c>
      <c r="Z878" s="67">
        <f>IF(AND(ISNUMBER(P878),N(P878)&gt;0),N(P878),0)</f>
        <v>0.0</v>
      </c>
    </row>
    <row r="879">
      <c r="A879" s="79" t="str">
        <f>IF(COUNTA(B879:C879,E879:G879,I879)=0,"","BI-"&amp;RIGHT("0000"&amp;(ROW()-5),4))</f>
        <v/>
      </c>
      <c r="B879" s="72" t="n"/>
      <c r="C879" s="66" t="n"/>
      <c r="D879" s="67" t="str">
        <f>IF(C879="","",IFERROR(INDEX(eq_des,MATCH(C879,eq_code,0))&amp;"","Équipement inconnu"))</f>
        <v/>
      </c>
      <c r="E879" s="68" t="n"/>
      <c r="F879" s="68" t="n"/>
      <c r="G879" s="66" t="n"/>
      <c r="H879" s="66" t="n"/>
      <c r="I879" s="68" t="n"/>
      <c r="J879" s="73" t="n"/>
      <c r="K879" s="71" t="n"/>
      <c r="L879" s="71" t="n"/>
      <c r="M879" s="66" t="n"/>
      <c r="N879" s="80" t="n"/>
      <c r="O879" s="81" t="str">
        <f>IF(A879="","",ROUND(V879*IFERROR(N(INDEX(tech_rate,MATCH(M879,tech_name,0))),0),2))</f>
        <v/>
      </c>
      <c r="P879" s="80" t="n"/>
      <c r="Q879" s="81" t="str">
        <f>IF(A879="","",ROUND(Y879+O879+Z879,2))</f>
        <v/>
      </c>
      <c r="R879" s="79" t="str">
        <f>IF(A879="","",IF(S879=0,"Date manquante ou invalide",IF(C879="","Équipement manquant",IF(ISNA(MATCH(C879,eq_code,0)),"Équipement inconnu",IF(E879="","Type manquant",IF(AND(E879&lt;&gt;"Préventif",E879&lt;&gt;"Correctif",E879&lt;&gt;"Amélioratif"),"Type inconnu",IF(I879="","Statut manquant",IF(AND(I879&lt;&gt;"Terminée",I879&lt;&gt;"En cours",I879&lt;&gt;"À faire",I879&lt;&gt;"Annulée"),"Statut inconnu",IF(AND(E879="Préventif",F879=""),"Plan manquant (préventif)",IF(AND(F879&lt;&gt;"",ISNA(MATCH(F879,pl_num,0))),"Plan inconnu",IF(AND(F879&lt;&gt;"",IFERROR(INDEX(pl_eq,MATCH(F879,pl_num,0))&amp;"",C879)&lt;&gt;C879),"Plan d'un autre équipement",IF(AND(J879&lt;&gt;"",OR(NOT(ISNUMBER(J879)),N(J879)&lt;0)),"Compteur invalide",IF(OR(AND(K879&lt;&gt;"",OR(NOT(ISNUMBER(K879)),N(K879)&lt;0)),AND(L879&lt;&gt;"",OR(NOT(ISNUMBER(L879)),N(L879)&lt;0))),"Durée invalide",IF(OR(AND(N879&lt;&gt;"",OR(NOT(ISNUMBER(N879)),N(N879)&lt;0)),AND(P879&lt;&gt;"",OR(NOT(ISNUMBER(P879)),N(P879)&lt;0))),"Coût invalide",IF(AND(M879&lt;&gt;"",ISNA(MATCH(M879,tech_name,0))),"Technicien inconnu",IF(AND(I879="Terminée",S879&gt;p_today),"Terminée à une date future",IF(AND(I879="Terminée",V879=0),"Durée d'intervention manquante",IF(AND(I879="Terminée",E879="Préventif",T879=0,OR(IFERROR(INDEX(pl_trig,MATCH(F879,pl_num,0))&amp;"","")="Compteur",IFERROR(INDEX(pl_trig,MATCH(F879,pl_num,0))&amp;"","")="Au premier des deux")),"Compteur manquant (plan au compteur)","OK"))))))))))))))))))</f>
        <v/>
      </c>
      <c r="S879" s="67">
        <f>IF(AND(ISNUMBER(B879),N(B879)&gt;0),INT(B879),0)</f>
        <v>0.0</v>
      </c>
      <c r="T879" s="67">
        <f>IF(AND(ISNUMBER(J879),N(J879)&gt;=0),N(J879),0)</f>
        <v>0.0</v>
      </c>
      <c r="U879" s="67">
        <f>IF(AND(ISNUMBER(K879),N(K879)&gt;0),N(K879),0)</f>
        <v>0.0</v>
      </c>
      <c r="V879" s="67">
        <f>IF(AND(ISNUMBER(L879),N(L879)&gt;0),N(L879),0)</f>
        <v>0.0</v>
      </c>
      <c r="W879" s="67">
        <f>IF(AND(I879="Terminée",S879&gt;0,C879&lt;&gt;"",ISNUMBER(MATCH(C879,eq_code,0))),1,0)</f>
        <v>0.0</v>
      </c>
      <c r="X879" s="67">
        <f>IF(AND(W879=1,E879="Préventif"),1,0)</f>
        <v>0.0</v>
      </c>
      <c r="Y879" s="67">
        <f>IF(AND(ISNUMBER(N879),N(N879)&gt;0),N(N879),0)</f>
        <v>0.0</v>
      </c>
      <c r="Z879" s="67">
        <f>IF(AND(ISNUMBER(P879),N(P879)&gt;0),N(P879),0)</f>
        <v>0.0</v>
      </c>
    </row>
    <row r="880">
      <c r="A880" s="79" t="str">
        <f>IF(COUNTA(B880:C880,E880:G880,I880)=0,"","BI-"&amp;RIGHT("0000"&amp;(ROW()-5),4))</f>
        <v/>
      </c>
      <c r="B880" s="72" t="n"/>
      <c r="C880" s="66" t="n"/>
      <c r="D880" s="67" t="str">
        <f>IF(C880="","",IFERROR(INDEX(eq_des,MATCH(C880,eq_code,0))&amp;"","Équipement inconnu"))</f>
        <v/>
      </c>
      <c r="E880" s="68" t="n"/>
      <c r="F880" s="68" t="n"/>
      <c r="G880" s="66" t="n"/>
      <c r="H880" s="66" t="n"/>
      <c r="I880" s="68" t="n"/>
      <c r="J880" s="73" t="n"/>
      <c r="K880" s="71" t="n"/>
      <c r="L880" s="71" t="n"/>
      <c r="M880" s="66" t="n"/>
      <c r="N880" s="80" t="n"/>
      <c r="O880" s="81" t="str">
        <f>IF(A880="","",ROUND(V880*IFERROR(N(INDEX(tech_rate,MATCH(M880,tech_name,0))),0),2))</f>
        <v/>
      </c>
      <c r="P880" s="80" t="n"/>
      <c r="Q880" s="81" t="str">
        <f>IF(A880="","",ROUND(Y880+O880+Z880,2))</f>
        <v/>
      </c>
      <c r="R880" s="79" t="str">
        <f>IF(A880="","",IF(S880=0,"Date manquante ou invalide",IF(C880="","Équipement manquant",IF(ISNA(MATCH(C880,eq_code,0)),"Équipement inconnu",IF(E880="","Type manquant",IF(AND(E880&lt;&gt;"Préventif",E880&lt;&gt;"Correctif",E880&lt;&gt;"Amélioratif"),"Type inconnu",IF(I880="","Statut manquant",IF(AND(I880&lt;&gt;"Terminée",I880&lt;&gt;"En cours",I880&lt;&gt;"À faire",I880&lt;&gt;"Annulée"),"Statut inconnu",IF(AND(E880="Préventif",F880=""),"Plan manquant (préventif)",IF(AND(F880&lt;&gt;"",ISNA(MATCH(F880,pl_num,0))),"Plan inconnu",IF(AND(F880&lt;&gt;"",IFERROR(INDEX(pl_eq,MATCH(F880,pl_num,0))&amp;"",C880)&lt;&gt;C880),"Plan d'un autre équipement",IF(AND(J880&lt;&gt;"",OR(NOT(ISNUMBER(J880)),N(J880)&lt;0)),"Compteur invalide",IF(OR(AND(K880&lt;&gt;"",OR(NOT(ISNUMBER(K880)),N(K880)&lt;0)),AND(L880&lt;&gt;"",OR(NOT(ISNUMBER(L880)),N(L880)&lt;0))),"Durée invalide",IF(OR(AND(N880&lt;&gt;"",OR(NOT(ISNUMBER(N880)),N(N880)&lt;0)),AND(P880&lt;&gt;"",OR(NOT(ISNUMBER(P880)),N(P880)&lt;0))),"Coût invalide",IF(AND(M880&lt;&gt;"",ISNA(MATCH(M880,tech_name,0))),"Technicien inconnu",IF(AND(I880="Terminée",S880&gt;p_today),"Terminée à une date future",IF(AND(I880="Terminée",V880=0),"Durée d'intervention manquante",IF(AND(I880="Terminée",E880="Préventif",T880=0,OR(IFERROR(INDEX(pl_trig,MATCH(F880,pl_num,0))&amp;"","")="Compteur",IFERROR(INDEX(pl_trig,MATCH(F880,pl_num,0))&amp;"","")="Au premier des deux")),"Compteur manquant (plan au compteur)","OK"))))))))))))))))))</f>
        <v/>
      </c>
      <c r="S880" s="67">
        <f>IF(AND(ISNUMBER(B880),N(B880)&gt;0),INT(B880),0)</f>
        <v>0.0</v>
      </c>
      <c r="T880" s="67">
        <f>IF(AND(ISNUMBER(J880),N(J880)&gt;=0),N(J880),0)</f>
        <v>0.0</v>
      </c>
      <c r="U880" s="67">
        <f>IF(AND(ISNUMBER(K880),N(K880)&gt;0),N(K880),0)</f>
        <v>0.0</v>
      </c>
      <c r="V880" s="67">
        <f>IF(AND(ISNUMBER(L880),N(L880)&gt;0),N(L880),0)</f>
        <v>0.0</v>
      </c>
      <c r="W880" s="67">
        <f>IF(AND(I880="Terminée",S880&gt;0,C880&lt;&gt;"",ISNUMBER(MATCH(C880,eq_code,0))),1,0)</f>
        <v>0.0</v>
      </c>
      <c r="X880" s="67">
        <f>IF(AND(W880=1,E880="Préventif"),1,0)</f>
        <v>0.0</v>
      </c>
      <c r="Y880" s="67">
        <f>IF(AND(ISNUMBER(N880),N(N880)&gt;0),N(N880),0)</f>
        <v>0.0</v>
      </c>
      <c r="Z880" s="67">
        <f>IF(AND(ISNUMBER(P880),N(P880)&gt;0),N(P880),0)</f>
        <v>0.0</v>
      </c>
    </row>
    <row r="881">
      <c r="A881" s="79" t="str">
        <f>IF(COUNTA(B881:C881,E881:G881,I881)=0,"","BI-"&amp;RIGHT("0000"&amp;(ROW()-5),4))</f>
        <v/>
      </c>
      <c r="B881" s="72" t="n"/>
      <c r="C881" s="66" t="n"/>
      <c r="D881" s="67" t="str">
        <f>IF(C881="","",IFERROR(INDEX(eq_des,MATCH(C881,eq_code,0))&amp;"","Équipement inconnu"))</f>
        <v/>
      </c>
      <c r="E881" s="68" t="n"/>
      <c r="F881" s="68" t="n"/>
      <c r="G881" s="66" t="n"/>
      <c r="H881" s="66" t="n"/>
      <c r="I881" s="68" t="n"/>
      <c r="J881" s="73" t="n"/>
      <c r="K881" s="71" t="n"/>
      <c r="L881" s="71" t="n"/>
      <c r="M881" s="66" t="n"/>
      <c r="N881" s="80" t="n"/>
      <c r="O881" s="81" t="str">
        <f>IF(A881="","",ROUND(V881*IFERROR(N(INDEX(tech_rate,MATCH(M881,tech_name,0))),0),2))</f>
        <v/>
      </c>
      <c r="P881" s="80" t="n"/>
      <c r="Q881" s="81" t="str">
        <f>IF(A881="","",ROUND(Y881+O881+Z881,2))</f>
        <v/>
      </c>
      <c r="R881" s="79" t="str">
        <f>IF(A881="","",IF(S881=0,"Date manquante ou invalide",IF(C881="","Équipement manquant",IF(ISNA(MATCH(C881,eq_code,0)),"Équipement inconnu",IF(E881="","Type manquant",IF(AND(E881&lt;&gt;"Préventif",E881&lt;&gt;"Correctif",E881&lt;&gt;"Amélioratif"),"Type inconnu",IF(I881="","Statut manquant",IF(AND(I881&lt;&gt;"Terminée",I881&lt;&gt;"En cours",I881&lt;&gt;"À faire",I881&lt;&gt;"Annulée"),"Statut inconnu",IF(AND(E881="Préventif",F881=""),"Plan manquant (préventif)",IF(AND(F881&lt;&gt;"",ISNA(MATCH(F881,pl_num,0))),"Plan inconnu",IF(AND(F881&lt;&gt;"",IFERROR(INDEX(pl_eq,MATCH(F881,pl_num,0))&amp;"",C881)&lt;&gt;C881),"Plan d'un autre équipement",IF(AND(J881&lt;&gt;"",OR(NOT(ISNUMBER(J881)),N(J881)&lt;0)),"Compteur invalide",IF(OR(AND(K881&lt;&gt;"",OR(NOT(ISNUMBER(K881)),N(K881)&lt;0)),AND(L881&lt;&gt;"",OR(NOT(ISNUMBER(L881)),N(L881)&lt;0))),"Durée invalide",IF(OR(AND(N881&lt;&gt;"",OR(NOT(ISNUMBER(N881)),N(N881)&lt;0)),AND(P881&lt;&gt;"",OR(NOT(ISNUMBER(P881)),N(P881)&lt;0))),"Coût invalide",IF(AND(M881&lt;&gt;"",ISNA(MATCH(M881,tech_name,0))),"Technicien inconnu",IF(AND(I881="Terminée",S881&gt;p_today),"Terminée à une date future",IF(AND(I881="Terminée",V881=0),"Durée d'intervention manquante",IF(AND(I881="Terminée",E881="Préventif",T881=0,OR(IFERROR(INDEX(pl_trig,MATCH(F881,pl_num,0))&amp;"","")="Compteur",IFERROR(INDEX(pl_trig,MATCH(F881,pl_num,0))&amp;"","")="Au premier des deux")),"Compteur manquant (plan au compteur)","OK"))))))))))))))))))</f>
        <v/>
      </c>
      <c r="S881" s="67">
        <f>IF(AND(ISNUMBER(B881),N(B881)&gt;0),INT(B881),0)</f>
        <v>0.0</v>
      </c>
      <c r="T881" s="67">
        <f>IF(AND(ISNUMBER(J881),N(J881)&gt;=0),N(J881),0)</f>
        <v>0.0</v>
      </c>
      <c r="U881" s="67">
        <f>IF(AND(ISNUMBER(K881),N(K881)&gt;0),N(K881),0)</f>
        <v>0.0</v>
      </c>
      <c r="V881" s="67">
        <f>IF(AND(ISNUMBER(L881),N(L881)&gt;0),N(L881),0)</f>
        <v>0.0</v>
      </c>
      <c r="W881" s="67">
        <f>IF(AND(I881="Terminée",S881&gt;0,C881&lt;&gt;"",ISNUMBER(MATCH(C881,eq_code,0))),1,0)</f>
        <v>0.0</v>
      </c>
      <c r="X881" s="67">
        <f>IF(AND(W881=1,E881="Préventif"),1,0)</f>
        <v>0.0</v>
      </c>
      <c r="Y881" s="67">
        <f>IF(AND(ISNUMBER(N881),N(N881)&gt;0),N(N881),0)</f>
        <v>0.0</v>
      </c>
      <c r="Z881" s="67">
        <f>IF(AND(ISNUMBER(P881),N(P881)&gt;0),N(P881),0)</f>
        <v>0.0</v>
      </c>
    </row>
    <row r="882">
      <c r="A882" s="79" t="str">
        <f>IF(COUNTA(B882:C882,E882:G882,I882)=0,"","BI-"&amp;RIGHT("0000"&amp;(ROW()-5),4))</f>
        <v/>
      </c>
      <c r="B882" s="72" t="n"/>
      <c r="C882" s="66" t="n"/>
      <c r="D882" s="67" t="str">
        <f>IF(C882="","",IFERROR(INDEX(eq_des,MATCH(C882,eq_code,0))&amp;"","Équipement inconnu"))</f>
        <v/>
      </c>
      <c r="E882" s="68" t="n"/>
      <c r="F882" s="68" t="n"/>
      <c r="G882" s="66" t="n"/>
      <c r="H882" s="66" t="n"/>
      <c r="I882" s="68" t="n"/>
      <c r="J882" s="73" t="n"/>
      <c r="K882" s="71" t="n"/>
      <c r="L882" s="71" t="n"/>
      <c r="M882" s="66" t="n"/>
      <c r="N882" s="80" t="n"/>
      <c r="O882" s="81" t="str">
        <f>IF(A882="","",ROUND(V882*IFERROR(N(INDEX(tech_rate,MATCH(M882,tech_name,0))),0),2))</f>
        <v/>
      </c>
      <c r="P882" s="80" t="n"/>
      <c r="Q882" s="81" t="str">
        <f>IF(A882="","",ROUND(Y882+O882+Z882,2))</f>
        <v/>
      </c>
      <c r="R882" s="79" t="str">
        <f>IF(A882="","",IF(S882=0,"Date manquante ou invalide",IF(C882="","Équipement manquant",IF(ISNA(MATCH(C882,eq_code,0)),"Équipement inconnu",IF(E882="","Type manquant",IF(AND(E882&lt;&gt;"Préventif",E882&lt;&gt;"Correctif",E882&lt;&gt;"Amélioratif"),"Type inconnu",IF(I882="","Statut manquant",IF(AND(I882&lt;&gt;"Terminée",I882&lt;&gt;"En cours",I882&lt;&gt;"À faire",I882&lt;&gt;"Annulée"),"Statut inconnu",IF(AND(E882="Préventif",F882=""),"Plan manquant (préventif)",IF(AND(F882&lt;&gt;"",ISNA(MATCH(F882,pl_num,0))),"Plan inconnu",IF(AND(F882&lt;&gt;"",IFERROR(INDEX(pl_eq,MATCH(F882,pl_num,0))&amp;"",C882)&lt;&gt;C882),"Plan d'un autre équipement",IF(AND(J882&lt;&gt;"",OR(NOT(ISNUMBER(J882)),N(J882)&lt;0)),"Compteur invalide",IF(OR(AND(K882&lt;&gt;"",OR(NOT(ISNUMBER(K882)),N(K882)&lt;0)),AND(L882&lt;&gt;"",OR(NOT(ISNUMBER(L882)),N(L882)&lt;0))),"Durée invalide",IF(OR(AND(N882&lt;&gt;"",OR(NOT(ISNUMBER(N882)),N(N882)&lt;0)),AND(P882&lt;&gt;"",OR(NOT(ISNUMBER(P882)),N(P882)&lt;0))),"Coût invalide",IF(AND(M882&lt;&gt;"",ISNA(MATCH(M882,tech_name,0))),"Technicien inconnu",IF(AND(I882="Terminée",S882&gt;p_today),"Terminée à une date future",IF(AND(I882="Terminée",V882=0),"Durée d'intervention manquante",IF(AND(I882="Terminée",E882="Préventif",T882=0,OR(IFERROR(INDEX(pl_trig,MATCH(F882,pl_num,0))&amp;"","")="Compteur",IFERROR(INDEX(pl_trig,MATCH(F882,pl_num,0))&amp;"","")="Au premier des deux")),"Compteur manquant (plan au compteur)","OK"))))))))))))))))))</f>
        <v/>
      </c>
      <c r="S882" s="67">
        <f>IF(AND(ISNUMBER(B882),N(B882)&gt;0),INT(B882),0)</f>
        <v>0.0</v>
      </c>
      <c r="T882" s="67">
        <f>IF(AND(ISNUMBER(J882),N(J882)&gt;=0),N(J882),0)</f>
        <v>0.0</v>
      </c>
      <c r="U882" s="67">
        <f>IF(AND(ISNUMBER(K882),N(K882)&gt;0),N(K882),0)</f>
        <v>0.0</v>
      </c>
      <c r="V882" s="67">
        <f>IF(AND(ISNUMBER(L882),N(L882)&gt;0),N(L882),0)</f>
        <v>0.0</v>
      </c>
      <c r="W882" s="67">
        <f>IF(AND(I882="Terminée",S882&gt;0,C882&lt;&gt;"",ISNUMBER(MATCH(C882,eq_code,0))),1,0)</f>
        <v>0.0</v>
      </c>
      <c r="X882" s="67">
        <f>IF(AND(W882=1,E882="Préventif"),1,0)</f>
        <v>0.0</v>
      </c>
      <c r="Y882" s="67">
        <f>IF(AND(ISNUMBER(N882),N(N882)&gt;0),N(N882),0)</f>
        <v>0.0</v>
      </c>
      <c r="Z882" s="67">
        <f>IF(AND(ISNUMBER(P882),N(P882)&gt;0),N(P882),0)</f>
        <v>0.0</v>
      </c>
    </row>
    <row r="883">
      <c r="A883" s="79" t="str">
        <f>IF(COUNTA(B883:C883,E883:G883,I883)=0,"","BI-"&amp;RIGHT("0000"&amp;(ROW()-5),4))</f>
        <v/>
      </c>
      <c r="B883" s="72" t="n"/>
      <c r="C883" s="66" t="n"/>
      <c r="D883" s="67" t="str">
        <f>IF(C883="","",IFERROR(INDEX(eq_des,MATCH(C883,eq_code,0))&amp;"","Équipement inconnu"))</f>
        <v/>
      </c>
      <c r="E883" s="68" t="n"/>
      <c r="F883" s="68" t="n"/>
      <c r="G883" s="66" t="n"/>
      <c r="H883" s="66" t="n"/>
      <c r="I883" s="68" t="n"/>
      <c r="J883" s="73" t="n"/>
      <c r="K883" s="71" t="n"/>
      <c r="L883" s="71" t="n"/>
      <c r="M883" s="66" t="n"/>
      <c r="N883" s="80" t="n"/>
      <c r="O883" s="81" t="str">
        <f>IF(A883="","",ROUND(V883*IFERROR(N(INDEX(tech_rate,MATCH(M883,tech_name,0))),0),2))</f>
        <v/>
      </c>
      <c r="P883" s="80" t="n"/>
      <c r="Q883" s="81" t="str">
        <f>IF(A883="","",ROUND(Y883+O883+Z883,2))</f>
        <v/>
      </c>
      <c r="R883" s="79" t="str">
        <f>IF(A883="","",IF(S883=0,"Date manquante ou invalide",IF(C883="","Équipement manquant",IF(ISNA(MATCH(C883,eq_code,0)),"Équipement inconnu",IF(E883="","Type manquant",IF(AND(E883&lt;&gt;"Préventif",E883&lt;&gt;"Correctif",E883&lt;&gt;"Amélioratif"),"Type inconnu",IF(I883="","Statut manquant",IF(AND(I883&lt;&gt;"Terminée",I883&lt;&gt;"En cours",I883&lt;&gt;"À faire",I883&lt;&gt;"Annulée"),"Statut inconnu",IF(AND(E883="Préventif",F883=""),"Plan manquant (préventif)",IF(AND(F883&lt;&gt;"",ISNA(MATCH(F883,pl_num,0))),"Plan inconnu",IF(AND(F883&lt;&gt;"",IFERROR(INDEX(pl_eq,MATCH(F883,pl_num,0))&amp;"",C883)&lt;&gt;C883),"Plan d'un autre équipement",IF(AND(J883&lt;&gt;"",OR(NOT(ISNUMBER(J883)),N(J883)&lt;0)),"Compteur invalide",IF(OR(AND(K883&lt;&gt;"",OR(NOT(ISNUMBER(K883)),N(K883)&lt;0)),AND(L883&lt;&gt;"",OR(NOT(ISNUMBER(L883)),N(L883)&lt;0))),"Durée invalide",IF(OR(AND(N883&lt;&gt;"",OR(NOT(ISNUMBER(N883)),N(N883)&lt;0)),AND(P883&lt;&gt;"",OR(NOT(ISNUMBER(P883)),N(P883)&lt;0))),"Coût invalide",IF(AND(M883&lt;&gt;"",ISNA(MATCH(M883,tech_name,0))),"Technicien inconnu",IF(AND(I883="Terminée",S883&gt;p_today),"Terminée à une date future",IF(AND(I883="Terminée",V883=0),"Durée d'intervention manquante",IF(AND(I883="Terminée",E883="Préventif",T883=0,OR(IFERROR(INDEX(pl_trig,MATCH(F883,pl_num,0))&amp;"","")="Compteur",IFERROR(INDEX(pl_trig,MATCH(F883,pl_num,0))&amp;"","")="Au premier des deux")),"Compteur manquant (plan au compteur)","OK"))))))))))))))))))</f>
        <v/>
      </c>
      <c r="S883" s="67">
        <f>IF(AND(ISNUMBER(B883),N(B883)&gt;0),INT(B883),0)</f>
        <v>0.0</v>
      </c>
      <c r="T883" s="67">
        <f>IF(AND(ISNUMBER(J883),N(J883)&gt;=0),N(J883),0)</f>
        <v>0.0</v>
      </c>
      <c r="U883" s="67">
        <f>IF(AND(ISNUMBER(K883),N(K883)&gt;0),N(K883),0)</f>
        <v>0.0</v>
      </c>
      <c r="V883" s="67">
        <f>IF(AND(ISNUMBER(L883),N(L883)&gt;0),N(L883),0)</f>
        <v>0.0</v>
      </c>
      <c r="W883" s="67">
        <f>IF(AND(I883="Terminée",S883&gt;0,C883&lt;&gt;"",ISNUMBER(MATCH(C883,eq_code,0))),1,0)</f>
        <v>0.0</v>
      </c>
      <c r="X883" s="67">
        <f>IF(AND(W883=1,E883="Préventif"),1,0)</f>
        <v>0.0</v>
      </c>
      <c r="Y883" s="67">
        <f>IF(AND(ISNUMBER(N883),N(N883)&gt;0),N(N883),0)</f>
        <v>0.0</v>
      </c>
      <c r="Z883" s="67">
        <f>IF(AND(ISNUMBER(P883),N(P883)&gt;0),N(P883),0)</f>
        <v>0.0</v>
      </c>
    </row>
    <row r="884">
      <c r="A884" s="79" t="str">
        <f>IF(COUNTA(B884:C884,E884:G884,I884)=0,"","BI-"&amp;RIGHT("0000"&amp;(ROW()-5),4))</f>
        <v/>
      </c>
      <c r="B884" s="72" t="n"/>
      <c r="C884" s="66" t="n"/>
      <c r="D884" s="67" t="str">
        <f>IF(C884="","",IFERROR(INDEX(eq_des,MATCH(C884,eq_code,0))&amp;"","Équipement inconnu"))</f>
        <v/>
      </c>
      <c r="E884" s="68" t="n"/>
      <c r="F884" s="68" t="n"/>
      <c r="G884" s="66" t="n"/>
      <c r="H884" s="66" t="n"/>
      <c r="I884" s="68" t="n"/>
      <c r="J884" s="73" t="n"/>
      <c r="K884" s="71" t="n"/>
      <c r="L884" s="71" t="n"/>
      <c r="M884" s="66" t="n"/>
      <c r="N884" s="80" t="n"/>
      <c r="O884" s="81" t="str">
        <f>IF(A884="","",ROUND(V884*IFERROR(N(INDEX(tech_rate,MATCH(M884,tech_name,0))),0),2))</f>
        <v/>
      </c>
      <c r="P884" s="80" t="n"/>
      <c r="Q884" s="81" t="str">
        <f>IF(A884="","",ROUND(Y884+O884+Z884,2))</f>
        <v/>
      </c>
      <c r="R884" s="79" t="str">
        <f>IF(A884="","",IF(S884=0,"Date manquante ou invalide",IF(C884="","Équipement manquant",IF(ISNA(MATCH(C884,eq_code,0)),"Équipement inconnu",IF(E884="","Type manquant",IF(AND(E884&lt;&gt;"Préventif",E884&lt;&gt;"Correctif",E884&lt;&gt;"Amélioratif"),"Type inconnu",IF(I884="","Statut manquant",IF(AND(I884&lt;&gt;"Terminée",I884&lt;&gt;"En cours",I884&lt;&gt;"À faire",I884&lt;&gt;"Annulée"),"Statut inconnu",IF(AND(E884="Préventif",F884=""),"Plan manquant (préventif)",IF(AND(F884&lt;&gt;"",ISNA(MATCH(F884,pl_num,0))),"Plan inconnu",IF(AND(F884&lt;&gt;"",IFERROR(INDEX(pl_eq,MATCH(F884,pl_num,0))&amp;"",C884)&lt;&gt;C884),"Plan d'un autre équipement",IF(AND(J884&lt;&gt;"",OR(NOT(ISNUMBER(J884)),N(J884)&lt;0)),"Compteur invalide",IF(OR(AND(K884&lt;&gt;"",OR(NOT(ISNUMBER(K884)),N(K884)&lt;0)),AND(L884&lt;&gt;"",OR(NOT(ISNUMBER(L884)),N(L884)&lt;0))),"Durée invalide",IF(OR(AND(N884&lt;&gt;"",OR(NOT(ISNUMBER(N884)),N(N884)&lt;0)),AND(P884&lt;&gt;"",OR(NOT(ISNUMBER(P884)),N(P884)&lt;0))),"Coût invalide",IF(AND(M884&lt;&gt;"",ISNA(MATCH(M884,tech_name,0))),"Technicien inconnu",IF(AND(I884="Terminée",S884&gt;p_today),"Terminée à une date future",IF(AND(I884="Terminée",V884=0),"Durée d'intervention manquante",IF(AND(I884="Terminée",E884="Préventif",T884=0,OR(IFERROR(INDEX(pl_trig,MATCH(F884,pl_num,0))&amp;"","")="Compteur",IFERROR(INDEX(pl_trig,MATCH(F884,pl_num,0))&amp;"","")="Au premier des deux")),"Compteur manquant (plan au compteur)","OK"))))))))))))))))))</f>
        <v/>
      </c>
      <c r="S884" s="67">
        <f>IF(AND(ISNUMBER(B884),N(B884)&gt;0),INT(B884),0)</f>
        <v>0.0</v>
      </c>
      <c r="T884" s="67">
        <f>IF(AND(ISNUMBER(J884),N(J884)&gt;=0),N(J884),0)</f>
        <v>0.0</v>
      </c>
      <c r="U884" s="67">
        <f>IF(AND(ISNUMBER(K884),N(K884)&gt;0),N(K884),0)</f>
        <v>0.0</v>
      </c>
      <c r="V884" s="67">
        <f>IF(AND(ISNUMBER(L884),N(L884)&gt;0),N(L884),0)</f>
        <v>0.0</v>
      </c>
      <c r="W884" s="67">
        <f>IF(AND(I884="Terminée",S884&gt;0,C884&lt;&gt;"",ISNUMBER(MATCH(C884,eq_code,0))),1,0)</f>
        <v>0.0</v>
      </c>
      <c r="X884" s="67">
        <f>IF(AND(W884=1,E884="Préventif"),1,0)</f>
        <v>0.0</v>
      </c>
      <c r="Y884" s="67">
        <f>IF(AND(ISNUMBER(N884),N(N884)&gt;0),N(N884),0)</f>
        <v>0.0</v>
      </c>
      <c r="Z884" s="67">
        <f>IF(AND(ISNUMBER(P884),N(P884)&gt;0),N(P884),0)</f>
        <v>0.0</v>
      </c>
    </row>
    <row r="885">
      <c r="A885" s="79" t="str">
        <f>IF(COUNTA(B885:C885,E885:G885,I885)=0,"","BI-"&amp;RIGHT("0000"&amp;(ROW()-5),4))</f>
        <v/>
      </c>
      <c r="B885" s="72" t="n"/>
      <c r="C885" s="66" t="n"/>
      <c r="D885" s="67" t="str">
        <f>IF(C885="","",IFERROR(INDEX(eq_des,MATCH(C885,eq_code,0))&amp;"","Équipement inconnu"))</f>
        <v/>
      </c>
      <c r="E885" s="68" t="n"/>
      <c r="F885" s="68" t="n"/>
      <c r="G885" s="66" t="n"/>
      <c r="H885" s="66" t="n"/>
      <c r="I885" s="68" t="n"/>
      <c r="J885" s="73" t="n"/>
      <c r="K885" s="71" t="n"/>
      <c r="L885" s="71" t="n"/>
      <c r="M885" s="66" t="n"/>
      <c r="N885" s="80" t="n"/>
      <c r="O885" s="81" t="str">
        <f>IF(A885="","",ROUND(V885*IFERROR(N(INDEX(tech_rate,MATCH(M885,tech_name,0))),0),2))</f>
        <v/>
      </c>
      <c r="P885" s="80" t="n"/>
      <c r="Q885" s="81" t="str">
        <f>IF(A885="","",ROUND(Y885+O885+Z885,2))</f>
        <v/>
      </c>
      <c r="R885" s="79" t="str">
        <f>IF(A885="","",IF(S885=0,"Date manquante ou invalide",IF(C885="","Équipement manquant",IF(ISNA(MATCH(C885,eq_code,0)),"Équipement inconnu",IF(E885="","Type manquant",IF(AND(E885&lt;&gt;"Préventif",E885&lt;&gt;"Correctif",E885&lt;&gt;"Amélioratif"),"Type inconnu",IF(I885="","Statut manquant",IF(AND(I885&lt;&gt;"Terminée",I885&lt;&gt;"En cours",I885&lt;&gt;"À faire",I885&lt;&gt;"Annulée"),"Statut inconnu",IF(AND(E885="Préventif",F885=""),"Plan manquant (préventif)",IF(AND(F885&lt;&gt;"",ISNA(MATCH(F885,pl_num,0))),"Plan inconnu",IF(AND(F885&lt;&gt;"",IFERROR(INDEX(pl_eq,MATCH(F885,pl_num,0))&amp;"",C885)&lt;&gt;C885),"Plan d'un autre équipement",IF(AND(J885&lt;&gt;"",OR(NOT(ISNUMBER(J885)),N(J885)&lt;0)),"Compteur invalide",IF(OR(AND(K885&lt;&gt;"",OR(NOT(ISNUMBER(K885)),N(K885)&lt;0)),AND(L885&lt;&gt;"",OR(NOT(ISNUMBER(L885)),N(L885)&lt;0))),"Durée invalide",IF(OR(AND(N885&lt;&gt;"",OR(NOT(ISNUMBER(N885)),N(N885)&lt;0)),AND(P885&lt;&gt;"",OR(NOT(ISNUMBER(P885)),N(P885)&lt;0))),"Coût invalide",IF(AND(M885&lt;&gt;"",ISNA(MATCH(M885,tech_name,0))),"Technicien inconnu",IF(AND(I885="Terminée",S885&gt;p_today),"Terminée à une date future",IF(AND(I885="Terminée",V885=0),"Durée d'intervention manquante",IF(AND(I885="Terminée",E885="Préventif",T885=0,OR(IFERROR(INDEX(pl_trig,MATCH(F885,pl_num,0))&amp;"","")="Compteur",IFERROR(INDEX(pl_trig,MATCH(F885,pl_num,0))&amp;"","")="Au premier des deux")),"Compteur manquant (plan au compteur)","OK"))))))))))))))))))</f>
        <v/>
      </c>
      <c r="S885" s="67">
        <f>IF(AND(ISNUMBER(B885),N(B885)&gt;0),INT(B885),0)</f>
        <v>0.0</v>
      </c>
      <c r="T885" s="67">
        <f>IF(AND(ISNUMBER(J885),N(J885)&gt;=0),N(J885),0)</f>
        <v>0.0</v>
      </c>
      <c r="U885" s="67">
        <f>IF(AND(ISNUMBER(K885),N(K885)&gt;0),N(K885),0)</f>
        <v>0.0</v>
      </c>
      <c r="V885" s="67">
        <f>IF(AND(ISNUMBER(L885),N(L885)&gt;0),N(L885),0)</f>
        <v>0.0</v>
      </c>
      <c r="W885" s="67">
        <f>IF(AND(I885="Terminée",S885&gt;0,C885&lt;&gt;"",ISNUMBER(MATCH(C885,eq_code,0))),1,0)</f>
        <v>0.0</v>
      </c>
      <c r="X885" s="67">
        <f>IF(AND(W885=1,E885="Préventif"),1,0)</f>
        <v>0.0</v>
      </c>
      <c r="Y885" s="67">
        <f>IF(AND(ISNUMBER(N885),N(N885)&gt;0),N(N885),0)</f>
        <v>0.0</v>
      </c>
      <c r="Z885" s="67">
        <f>IF(AND(ISNUMBER(P885),N(P885)&gt;0),N(P885),0)</f>
        <v>0.0</v>
      </c>
    </row>
    <row r="886">
      <c r="A886" s="79" t="str">
        <f>IF(COUNTA(B886:C886,E886:G886,I886)=0,"","BI-"&amp;RIGHT("0000"&amp;(ROW()-5),4))</f>
        <v/>
      </c>
      <c r="B886" s="72" t="n"/>
      <c r="C886" s="66" t="n"/>
      <c r="D886" s="67" t="str">
        <f>IF(C886="","",IFERROR(INDEX(eq_des,MATCH(C886,eq_code,0))&amp;"","Équipement inconnu"))</f>
        <v/>
      </c>
      <c r="E886" s="68" t="n"/>
      <c r="F886" s="68" t="n"/>
      <c r="G886" s="66" t="n"/>
      <c r="H886" s="66" t="n"/>
      <c r="I886" s="68" t="n"/>
      <c r="J886" s="73" t="n"/>
      <c r="K886" s="71" t="n"/>
      <c r="L886" s="71" t="n"/>
      <c r="M886" s="66" t="n"/>
      <c r="N886" s="80" t="n"/>
      <c r="O886" s="81" t="str">
        <f>IF(A886="","",ROUND(V886*IFERROR(N(INDEX(tech_rate,MATCH(M886,tech_name,0))),0),2))</f>
        <v/>
      </c>
      <c r="P886" s="80" t="n"/>
      <c r="Q886" s="81" t="str">
        <f>IF(A886="","",ROUND(Y886+O886+Z886,2))</f>
        <v/>
      </c>
      <c r="R886" s="79" t="str">
        <f>IF(A886="","",IF(S886=0,"Date manquante ou invalide",IF(C886="","Équipement manquant",IF(ISNA(MATCH(C886,eq_code,0)),"Équipement inconnu",IF(E886="","Type manquant",IF(AND(E886&lt;&gt;"Préventif",E886&lt;&gt;"Correctif",E886&lt;&gt;"Amélioratif"),"Type inconnu",IF(I886="","Statut manquant",IF(AND(I886&lt;&gt;"Terminée",I886&lt;&gt;"En cours",I886&lt;&gt;"À faire",I886&lt;&gt;"Annulée"),"Statut inconnu",IF(AND(E886="Préventif",F886=""),"Plan manquant (préventif)",IF(AND(F886&lt;&gt;"",ISNA(MATCH(F886,pl_num,0))),"Plan inconnu",IF(AND(F886&lt;&gt;"",IFERROR(INDEX(pl_eq,MATCH(F886,pl_num,0))&amp;"",C886)&lt;&gt;C886),"Plan d'un autre équipement",IF(AND(J886&lt;&gt;"",OR(NOT(ISNUMBER(J886)),N(J886)&lt;0)),"Compteur invalide",IF(OR(AND(K886&lt;&gt;"",OR(NOT(ISNUMBER(K886)),N(K886)&lt;0)),AND(L886&lt;&gt;"",OR(NOT(ISNUMBER(L886)),N(L886)&lt;0))),"Durée invalide",IF(OR(AND(N886&lt;&gt;"",OR(NOT(ISNUMBER(N886)),N(N886)&lt;0)),AND(P886&lt;&gt;"",OR(NOT(ISNUMBER(P886)),N(P886)&lt;0))),"Coût invalide",IF(AND(M886&lt;&gt;"",ISNA(MATCH(M886,tech_name,0))),"Technicien inconnu",IF(AND(I886="Terminée",S886&gt;p_today),"Terminée à une date future",IF(AND(I886="Terminée",V886=0),"Durée d'intervention manquante",IF(AND(I886="Terminée",E886="Préventif",T886=0,OR(IFERROR(INDEX(pl_trig,MATCH(F886,pl_num,0))&amp;"","")="Compteur",IFERROR(INDEX(pl_trig,MATCH(F886,pl_num,0))&amp;"","")="Au premier des deux")),"Compteur manquant (plan au compteur)","OK"))))))))))))))))))</f>
        <v/>
      </c>
      <c r="S886" s="67">
        <f>IF(AND(ISNUMBER(B886),N(B886)&gt;0),INT(B886),0)</f>
        <v>0.0</v>
      </c>
      <c r="T886" s="67">
        <f>IF(AND(ISNUMBER(J886),N(J886)&gt;=0),N(J886),0)</f>
        <v>0.0</v>
      </c>
      <c r="U886" s="67">
        <f>IF(AND(ISNUMBER(K886),N(K886)&gt;0),N(K886),0)</f>
        <v>0.0</v>
      </c>
      <c r="V886" s="67">
        <f>IF(AND(ISNUMBER(L886),N(L886)&gt;0),N(L886),0)</f>
        <v>0.0</v>
      </c>
      <c r="W886" s="67">
        <f>IF(AND(I886="Terminée",S886&gt;0,C886&lt;&gt;"",ISNUMBER(MATCH(C886,eq_code,0))),1,0)</f>
        <v>0.0</v>
      </c>
      <c r="X886" s="67">
        <f>IF(AND(W886=1,E886="Préventif"),1,0)</f>
        <v>0.0</v>
      </c>
      <c r="Y886" s="67">
        <f>IF(AND(ISNUMBER(N886),N(N886)&gt;0),N(N886),0)</f>
        <v>0.0</v>
      </c>
      <c r="Z886" s="67">
        <f>IF(AND(ISNUMBER(P886),N(P886)&gt;0),N(P886),0)</f>
        <v>0.0</v>
      </c>
    </row>
    <row r="887">
      <c r="A887" s="79" t="str">
        <f>IF(COUNTA(B887:C887,E887:G887,I887)=0,"","BI-"&amp;RIGHT("0000"&amp;(ROW()-5),4))</f>
        <v/>
      </c>
      <c r="B887" s="72" t="n"/>
      <c r="C887" s="66" t="n"/>
      <c r="D887" s="67" t="str">
        <f>IF(C887="","",IFERROR(INDEX(eq_des,MATCH(C887,eq_code,0))&amp;"","Équipement inconnu"))</f>
        <v/>
      </c>
      <c r="E887" s="68" t="n"/>
      <c r="F887" s="68" t="n"/>
      <c r="G887" s="66" t="n"/>
      <c r="H887" s="66" t="n"/>
      <c r="I887" s="68" t="n"/>
      <c r="J887" s="73" t="n"/>
      <c r="K887" s="71" t="n"/>
      <c r="L887" s="71" t="n"/>
      <c r="M887" s="66" t="n"/>
      <c r="N887" s="80" t="n"/>
      <c r="O887" s="81" t="str">
        <f>IF(A887="","",ROUND(V887*IFERROR(N(INDEX(tech_rate,MATCH(M887,tech_name,0))),0),2))</f>
        <v/>
      </c>
      <c r="P887" s="80" t="n"/>
      <c r="Q887" s="81" t="str">
        <f>IF(A887="","",ROUND(Y887+O887+Z887,2))</f>
        <v/>
      </c>
      <c r="R887" s="79" t="str">
        <f>IF(A887="","",IF(S887=0,"Date manquante ou invalide",IF(C887="","Équipement manquant",IF(ISNA(MATCH(C887,eq_code,0)),"Équipement inconnu",IF(E887="","Type manquant",IF(AND(E887&lt;&gt;"Préventif",E887&lt;&gt;"Correctif",E887&lt;&gt;"Amélioratif"),"Type inconnu",IF(I887="","Statut manquant",IF(AND(I887&lt;&gt;"Terminée",I887&lt;&gt;"En cours",I887&lt;&gt;"À faire",I887&lt;&gt;"Annulée"),"Statut inconnu",IF(AND(E887="Préventif",F887=""),"Plan manquant (préventif)",IF(AND(F887&lt;&gt;"",ISNA(MATCH(F887,pl_num,0))),"Plan inconnu",IF(AND(F887&lt;&gt;"",IFERROR(INDEX(pl_eq,MATCH(F887,pl_num,0))&amp;"",C887)&lt;&gt;C887),"Plan d'un autre équipement",IF(AND(J887&lt;&gt;"",OR(NOT(ISNUMBER(J887)),N(J887)&lt;0)),"Compteur invalide",IF(OR(AND(K887&lt;&gt;"",OR(NOT(ISNUMBER(K887)),N(K887)&lt;0)),AND(L887&lt;&gt;"",OR(NOT(ISNUMBER(L887)),N(L887)&lt;0))),"Durée invalide",IF(OR(AND(N887&lt;&gt;"",OR(NOT(ISNUMBER(N887)),N(N887)&lt;0)),AND(P887&lt;&gt;"",OR(NOT(ISNUMBER(P887)),N(P887)&lt;0))),"Coût invalide",IF(AND(M887&lt;&gt;"",ISNA(MATCH(M887,tech_name,0))),"Technicien inconnu",IF(AND(I887="Terminée",S887&gt;p_today),"Terminée à une date future",IF(AND(I887="Terminée",V887=0),"Durée d'intervention manquante",IF(AND(I887="Terminée",E887="Préventif",T887=0,OR(IFERROR(INDEX(pl_trig,MATCH(F887,pl_num,0))&amp;"","")="Compteur",IFERROR(INDEX(pl_trig,MATCH(F887,pl_num,0))&amp;"","")="Au premier des deux")),"Compteur manquant (plan au compteur)","OK"))))))))))))))))))</f>
        <v/>
      </c>
      <c r="S887" s="67">
        <f>IF(AND(ISNUMBER(B887),N(B887)&gt;0),INT(B887),0)</f>
        <v>0.0</v>
      </c>
      <c r="T887" s="67">
        <f>IF(AND(ISNUMBER(J887),N(J887)&gt;=0),N(J887),0)</f>
        <v>0.0</v>
      </c>
      <c r="U887" s="67">
        <f>IF(AND(ISNUMBER(K887),N(K887)&gt;0),N(K887),0)</f>
        <v>0.0</v>
      </c>
      <c r="V887" s="67">
        <f>IF(AND(ISNUMBER(L887),N(L887)&gt;0),N(L887),0)</f>
        <v>0.0</v>
      </c>
      <c r="W887" s="67">
        <f>IF(AND(I887="Terminée",S887&gt;0,C887&lt;&gt;"",ISNUMBER(MATCH(C887,eq_code,0))),1,0)</f>
        <v>0.0</v>
      </c>
      <c r="X887" s="67">
        <f>IF(AND(W887=1,E887="Préventif"),1,0)</f>
        <v>0.0</v>
      </c>
      <c r="Y887" s="67">
        <f>IF(AND(ISNUMBER(N887),N(N887)&gt;0),N(N887),0)</f>
        <v>0.0</v>
      </c>
      <c r="Z887" s="67">
        <f>IF(AND(ISNUMBER(P887),N(P887)&gt;0),N(P887),0)</f>
        <v>0.0</v>
      </c>
    </row>
    <row r="888">
      <c r="A888" s="79" t="str">
        <f>IF(COUNTA(B888:C888,E888:G888,I888)=0,"","BI-"&amp;RIGHT("0000"&amp;(ROW()-5),4))</f>
        <v/>
      </c>
      <c r="B888" s="72" t="n"/>
      <c r="C888" s="66" t="n"/>
      <c r="D888" s="67" t="str">
        <f>IF(C888="","",IFERROR(INDEX(eq_des,MATCH(C888,eq_code,0))&amp;"","Équipement inconnu"))</f>
        <v/>
      </c>
      <c r="E888" s="68" t="n"/>
      <c r="F888" s="68" t="n"/>
      <c r="G888" s="66" t="n"/>
      <c r="H888" s="66" t="n"/>
      <c r="I888" s="68" t="n"/>
      <c r="J888" s="73" t="n"/>
      <c r="K888" s="71" t="n"/>
      <c r="L888" s="71" t="n"/>
      <c r="M888" s="66" t="n"/>
      <c r="N888" s="80" t="n"/>
      <c r="O888" s="81" t="str">
        <f>IF(A888="","",ROUND(V888*IFERROR(N(INDEX(tech_rate,MATCH(M888,tech_name,0))),0),2))</f>
        <v/>
      </c>
      <c r="P888" s="80" t="n"/>
      <c r="Q888" s="81" t="str">
        <f>IF(A888="","",ROUND(Y888+O888+Z888,2))</f>
        <v/>
      </c>
      <c r="R888" s="79" t="str">
        <f>IF(A888="","",IF(S888=0,"Date manquante ou invalide",IF(C888="","Équipement manquant",IF(ISNA(MATCH(C888,eq_code,0)),"Équipement inconnu",IF(E888="","Type manquant",IF(AND(E888&lt;&gt;"Préventif",E888&lt;&gt;"Correctif",E888&lt;&gt;"Amélioratif"),"Type inconnu",IF(I888="","Statut manquant",IF(AND(I888&lt;&gt;"Terminée",I888&lt;&gt;"En cours",I888&lt;&gt;"À faire",I888&lt;&gt;"Annulée"),"Statut inconnu",IF(AND(E888="Préventif",F888=""),"Plan manquant (préventif)",IF(AND(F888&lt;&gt;"",ISNA(MATCH(F888,pl_num,0))),"Plan inconnu",IF(AND(F888&lt;&gt;"",IFERROR(INDEX(pl_eq,MATCH(F888,pl_num,0))&amp;"",C888)&lt;&gt;C888),"Plan d'un autre équipement",IF(AND(J888&lt;&gt;"",OR(NOT(ISNUMBER(J888)),N(J888)&lt;0)),"Compteur invalide",IF(OR(AND(K888&lt;&gt;"",OR(NOT(ISNUMBER(K888)),N(K888)&lt;0)),AND(L888&lt;&gt;"",OR(NOT(ISNUMBER(L888)),N(L888)&lt;0))),"Durée invalide",IF(OR(AND(N888&lt;&gt;"",OR(NOT(ISNUMBER(N888)),N(N888)&lt;0)),AND(P888&lt;&gt;"",OR(NOT(ISNUMBER(P888)),N(P888)&lt;0))),"Coût invalide",IF(AND(M888&lt;&gt;"",ISNA(MATCH(M888,tech_name,0))),"Technicien inconnu",IF(AND(I888="Terminée",S888&gt;p_today),"Terminée à une date future",IF(AND(I888="Terminée",V888=0),"Durée d'intervention manquante",IF(AND(I888="Terminée",E888="Préventif",T888=0,OR(IFERROR(INDEX(pl_trig,MATCH(F888,pl_num,0))&amp;"","")="Compteur",IFERROR(INDEX(pl_trig,MATCH(F888,pl_num,0))&amp;"","")="Au premier des deux")),"Compteur manquant (plan au compteur)","OK"))))))))))))))))))</f>
        <v/>
      </c>
      <c r="S888" s="67">
        <f>IF(AND(ISNUMBER(B888),N(B888)&gt;0),INT(B888),0)</f>
        <v>0.0</v>
      </c>
      <c r="T888" s="67">
        <f>IF(AND(ISNUMBER(J888),N(J888)&gt;=0),N(J888),0)</f>
        <v>0.0</v>
      </c>
      <c r="U888" s="67">
        <f>IF(AND(ISNUMBER(K888),N(K888)&gt;0),N(K888),0)</f>
        <v>0.0</v>
      </c>
      <c r="V888" s="67">
        <f>IF(AND(ISNUMBER(L888),N(L888)&gt;0),N(L888),0)</f>
        <v>0.0</v>
      </c>
      <c r="W888" s="67">
        <f>IF(AND(I888="Terminée",S888&gt;0,C888&lt;&gt;"",ISNUMBER(MATCH(C888,eq_code,0))),1,0)</f>
        <v>0.0</v>
      </c>
      <c r="X888" s="67">
        <f>IF(AND(W888=1,E888="Préventif"),1,0)</f>
        <v>0.0</v>
      </c>
      <c r="Y888" s="67">
        <f>IF(AND(ISNUMBER(N888),N(N888)&gt;0),N(N888),0)</f>
        <v>0.0</v>
      </c>
      <c r="Z888" s="67">
        <f>IF(AND(ISNUMBER(P888),N(P888)&gt;0),N(P888),0)</f>
        <v>0.0</v>
      </c>
    </row>
    <row r="889">
      <c r="A889" s="79" t="str">
        <f>IF(COUNTA(B889:C889,E889:G889,I889)=0,"","BI-"&amp;RIGHT("0000"&amp;(ROW()-5),4))</f>
        <v/>
      </c>
      <c r="B889" s="72" t="n"/>
      <c r="C889" s="66" t="n"/>
      <c r="D889" s="67" t="str">
        <f>IF(C889="","",IFERROR(INDEX(eq_des,MATCH(C889,eq_code,0))&amp;"","Équipement inconnu"))</f>
        <v/>
      </c>
      <c r="E889" s="68" t="n"/>
      <c r="F889" s="68" t="n"/>
      <c r="G889" s="66" t="n"/>
      <c r="H889" s="66" t="n"/>
      <c r="I889" s="68" t="n"/>
      <c r="J889" s="73" t="n"/>
      <c r="K889" s="71" t="n"/>
      <c r="L889" s="71" t="n"/>
      <c r="M889" s="66" t="n"/>
      <c r="N889" s="80" t="n"/>
      <c r="O889" s="81" t="str">
        <f>IF(A889="","",ROUND(V889*IFERROR(N(INDEX(tech_rate,MATCH(M889,tech_name,0))),0),2))</f>
        <v/>
      </c>
      <c r="P889" s="80" t="n"/>
      <c r="Q889" s="81" t="str">
        <f>IF(A889="","",ROUND(Y889+O889+Z889,2))</f>
        <v/>
      </c>
      <c r="R889" s="79" t="str">
        <f>IF(A889="","",IF(S889=0,"Date manquante ou invalide",IF(C889="","Équipement manquant",IF(ISNA(MATCH(C889,eq_code,0)),"Équipement inconnu",IF(E889="","Type manquant",IF(AND(E889&lt;&gt;"Préventif",E889&lt;&gt;"Correctif",E889&lt;&gt;"Amélioratif"),"Type inconnu",IF(I889="","Statut manquant",IF(AND(I889&lt;&gt;"Terminée",I889&lt;&gt;"En cours",I889&lt;&gt;"À faire",I889&lt;&gt;"Annulée"),"Statut inconnu",IF(AND(E889="Préventif",F889=""),"Plan manquant (préventif)",IF(AND(F889&lt;&gt;"",ISNA(MATCH(F889,pl_num,0))),"Plan inconnu",IF(AND(F889&lt;&gt;"",IFERROR(INDEX(pl_eq,MATCH(F889,pl_num,0))&amp;"",C889)&lt;&gt;C889),"Plan d'un autre équipement",IF(AND(J889&lt;&gt;"",OR(NOT(ISNUMBER(J889)),N(J889)&lt;0)),"Compteur invalide",IF(OR(AND(K889&lt;&gt;"",OR(NOT(ISNUMBER(K889)),N(K889)&lt;0)),AND(L889&lt;&gt;"",OR(NOT(ISNUMBER(L889)),N(L889)&lt;0))),"Durée invalide",IF(OR(AND(N889&lt;&gt;"",OR(NOT(ISNUMBER(N889)),N(N889)&lt;0)),AND(P889&lt;&gt;"",OR(NOT(ISNUMBER(P889)),N(P889)&lt;0))),"Coût invalide",IF(AND(M889&lt;&gt;"",ISNA(MATCH(M889,tech_name,0))),"Technicien inconnu",IF(AND(I889="Terminée",S889&gt;p_today),"Terminée à une date future",IF(AND(I889="Terminée",V889=0),"Durée d'intervention manquante",IF(AND(I889="Terminée",E889="Préventif",T889=0,OR(IFERROR(INDEX(pl_trig,MATCH(F889,pl_num,0))&amp;"","")="Compteur",IFERROR(INDEX(pl_trig,MATCH(F889,pl_num,0))&amp;"","")="Au premier des deux")),"Compteur manquant (plan au compteur)","OK"))))))))))))))))))</f>
        <v/>
      </c>
      <c r="S889" s="67">
        <f>IF(AND(ISNUMBER(B889),N(B889)&gt;0),INT(B889),0)</f>
        <v>0.0</v>
      </c>
      <c r="T889" s="67">
        <f>IF(AND(ISNUMBER(J889),N(J889)&gt;=0),N(J889),0)</f>
        <v>0.0</v>
      </c>
      <c r="U889" s="67">
        <f>IF(AND(ISNUMBER(K889),N(K889)&gt;0),N(K889),0)</f>
        <v>0.0</v>
      </c>
      <c r="V889" s="67">
        <f>IF(AND(ISNUMBER(L889),N(L889)&gt;0),N(L889),0)</f>
        <v>0.0</v>
      </c>
      <c r="W889" s="67">
        <f>IF(AND(I889="Terminée",S889&gt;0,C889&lt;&gt;"",ISNUMBER(MATCH(C889,eq_code,0))),1,0)</f>
        <v>0.0</v>
      </c>
      <c r="X889" s="67">
        <f>IF(AND(W889=1,E889="Préventif"),1,0)</f>
        <v>0.0</v>
      </c>
      <c r="Y889" s="67">
        <f>IF(AND(ISNUMBER(N889),N(N889)&gt;0),N(N889),0)</f>
        <v>0.0</v>
      </c>
      <c r="Z889" s="67">
        <f>IF(AND(ISNUMBER(P889),N(P889)&gt;0),N(P889),0)</f>
        <v>0.0</v>
      </c>
    </row>
    <row r="890">
      <c r="A890" s="79" t="str">
        <f>IF(COUNTA(B890:C890,E890:G890,I890)=0,"","BI-"&amp;RIGHT("0000"&amp;(ROW()-5),4))</f>
        <v/>
      </c>
      <c r="B890" s="72" t="n"/>
      <c r="C890" s="66" t="n"/>
      <c r="D890" s="67" t="str">
        <f>IF(C890="","",IFERROR(INDEX(eq_des,MATCH(C890,eq_code,0))&amp;"","Équipement inconnu"))</f>
        <v/>
      </c>
      <c r="E890" s="68" t="n"/>
      <c r="F890" s="68" t="n"/>
      <c r="G890" s="66" t="n"/>
      <c r="H890" s="66" t="n"/>
      <c r="I890" s="68" t="n"/>
      <c r="J890" s="73" t="n"/>
      <c r="K890" s="71" t="n"/>
      <c r="L890" s="71" t="n"/>
      <c r="M890" s="66" t="n"/>
      <c r="N890" s="80" t="n"/>
      <c r="O890" s="81" t="str">
        <f>IF(A890="","",ROUND(V890*IFERROR(N(INDEX(tech_rate,MATCH(M890,tech_name,0))),0),2))</f>
        <v/>
      </c>
      <c r="P890" s="80" t="n"/>
      <c r="Q890" s="81" t="str">
        <f>IF(A890="","",ROUND(Y890+O890+Z890,2))</f>
        <v/>
      </c>
      <c r="R890" s="79" t="str">
        <f>IF(A890="","",IF(S890=0,"Date manquante ou invalide",IF(C890="","Équipement manquant",IF(ISNA(MATCH(C890,eq_code,0)),"Équipement inconnu",IF(E890="","Type manquant",IF(AND(E890&lt;&gt;"Préventif",E890&lt;&gt;"Correctif",E890&lt;&gt;"Amélioratif"),"Type inconnu",IF(I890="","Statut manquant",IF(AND(I890&lt;&gt;"Terminée",I890&lt;&gt;"En cours",I890&lt;&gt;"À faire",I890&lt;&gt;"Annulée"),"Statut inconnu",IF(AND(E890="Préventif",F890=""),"Plan manquant (préventif)",IF(AND(F890&lt;&gt;"",ISNA(MATCH(F890,pl_num,0))),"Plan inconnu",IF(AND(F890&lt;&gt;"",IFERROR(INDEX(pl_eq,MATCH(F890,pl_num,0))&amp;"",C890)&lt;&gt;C890),"Plan d'un autre équipement",IF(AND(J890&lt;&gt;"",OR(NOT(ISNUMBER(J890)),N(J890)&lt;0)),"Compteur invalide",IF(OR(AND(K890&lt;&gt;"",OR(NOT(ISNUMBER(K890)),N(K890)&lt;0)),AND(L890&lt;&gt;"",OR(NOT(ISNUMBER(L890)),N(L890)&lt;0))),"Durée invalide",IF(OR(AND(N890&lt;&gt;"",OR(NOT(ISNUMBER(N890)),N(N890)&lt;0)),AND(P890&lt;&gt;"",OR(NOT(ISNUMBER(P890)),N(P890)&lt;0))),"Coût invalide",IF(AND(M890&lt;&gt;"",ISNA(MATCH(M890,tech_name,0))),"Technicien inconnu",IF(AND(I890="Terminée",S890&gt;p_today),"Terminée à une date future",IF(AND(I890="Terminée",V890=0),"Durée d'intervention manquante",IF(AND(I890="Terminée",E890="Préventif",T890=0,OR(IFERROR(INDEX(pl_trig,MATCH(F890,pl_num,0))&amp;"","")="Compteur",IFERROR(INDEX(pl_trig,MATCH(F890,pl_num,0))&amp;"","")="Au premier des deux")),"Compteur manquant (plan au compteur)","OK"))))))))))))))))))</f>
        <v/>
      </c>
      <c r="S890" s="67">
        <f>IF(AND(ISNUMBER(B890),N(B890)&gt;0),INT(B890),0)</f>
        <v>0.0</v>
      </c>
      <c r="T890" s="67">
        <f>IF(AND(ISNUMBER(J890),N(J890)&gt;=0),N(J890),0)</f>
        <v>0.0</v>
      </c>
      <c r="U890" s="67">
        <f>IF(AND(ISNUMBER(K890),N(K890)&gt;0),N(K890),0)</f>
        <v>0.0</v>
      </c>
      <c r="V890" s="67">
        <f>IF(AND(ISNUMBER(L890),N(L890)&gt;0),N(L890),0)</f>
        <v>0.0</v>
      </c>
      <c r="W890" s="67">
        <f>IF(AND(I890="Terminée",S890&gt;0,C890&lt;&gt;"",ISNUMBER(MATCH(C890,eq_code,0))),1,0)</f>
        <v>0.0</v>
      </c>
      <c r="X890" s="67">
        <f>IF(AND(W890=1,E890="Préventif"),1,0)</f>
        <v>0.0</v>
      </c>
      <c r="Y890" s="67">
        <f>IF(AND(ISNUMBER(N890),N(N890)&gt;0),N(N890),0)</f>
        <v>0.0</v>
      </c>
      <c r="Z890" s="67">
        <f>IF(AND(ISNUMBER(P890),N(P890)&gt;0),N(P890),0)</f>
        <v>0.0</v>
      </c>
    </row>
    <row r="891">
      <c r="A891" s="79" t="str">
        <f>IF(COUNTA(B891:C891,E891:G891,I891)=0,"","BI-"&amp;RIGHT("0000"&amp;(ROW()-5),4))</f>
        <v/>
      </c>
      <c r="B891" s="72" t="n"/>
      <c r="C891" s="66" t="n"/>
      <c r="D891" s="67" t="str">
        <f>IF(C891="","",IFERROR(INDEX(eq_des,MATCH(C891,eq_code,0))&amp;"","Équipement inconnu"))</f>
        <v/>
      </c>
      <c r="E891" s="68" t="n"/>
      <c r="F891" s="68" t="n"/>
      <c r="G891" s="66" t="n"/>
      <c r="H891" s="66" t="n"/>
      <c r="I891" s="68" t="n"/>
      <c r="J891" s="73" t="n"/>
      <c r="K891" s="71" t="n"/>
      <c r="L891" s="71" t="n"/>
      <c r="M891" s="66" t="n"/>
      <c r="N891" s="80" t="n"/>
      <c r="O891" s="81" t="str">
        <f>IF(A891="","",ROUND(V891*IFERROR(N(INDEX(tech_rate,MATCH(M891,tech_name,0))),0),2))</f>
        <v/>
      </c>
      <c r="P891" s="80" t="n"/>
      <c r="Q891" s="81" t="str">
        <f>IF(A891="","",ROUND(Y891+O891+Z891,2))</f>
        <v/>
      </c>
      <c r="R891" s="79" t="str">
        <f>IF(A891="","",IF(S891=0,"Date manquante ou invalide",IF(C891="","Équipement manquant",IF(ISNA(MATCH(C891,eq_code,0)),"Équipement inconnu",IF(E891="","Type manquant",IF(AND(E891&lt;&gt;"Préventif",E891&lt;&gt;"Correctif",E891&lt;&gt;"Amélioratif"),"Type inconnu",IF(I891="","Statut manquant",IF(AND(I891&lt;&gt;"Terminée",I891&lt;&gt;"En cours",I891&lt;&gt;"À faire",I891&lt;&gt;"Annulée"),"Statut inconnu",IF(AND(E891="Préventif",F891=""),"Plan manquant (préventif)",IF(AND(F891&lt;&gt;"",ISNA(MATCH(F891,pl_num,0))),"Plan inconnu",IF(AND(F891&lt;&gt;"",IFERROR(INDEX(pl_eq,MATCH(F891,pl_num,0))&amp;"",C891)&lt;&gt;C891),"Plan d'un autre équipement",IF(AND(J891&lt;&gt;"",OR(NOT(ISNUMBER(J891)),N(J891)&lt;0)),"Compteur invalide",IF(OR(AND(K891&lt;&gt;"",OR(NOT(ISNUMBER(K891)),N(K891)&lt;0)),AND(L891&lt;&gt;"",OR(NOT(ISNUMBER(L891)),N(L891)&lt;0))),"Durée invalide",IF(OR(AND(N891&lt;&gt;"",OR(NOT(ISNUMBER(N891)),N(N891)&lt;0)),AND(P891&lt;&gt;"",OR(NOT(ISNUMBER(P891)),N(P891)&lt;0))),"Coût invalide",IF(AND(M891&lt;&gt;"",ISNA(MATCH(M891,tech_name,0))),"Technicien inconnu",IF(AND(I891="Terminée",S891&gt;p_today),"Terminée à une date future",IF(AND(I891="Terminée",V891=0),"Durée d'intervention manquante",IF(AND(I891="Terminée",E891="Préventif",T891=0,OR(IFERROR(INDEX(pl_trig,MATCH(F891,pl_num,0))&amp;"","")="Compteur",IFERROR(INDEX(pl_trig,MATCH(F891,pl_num,0))&amp;"","")="Au premier des deux")),"Compteur manquant (plan au compteur)","OK"))))))))))))))))))</f>
        <v/>
      </c>
      <c r="S891" s="67">
        <f>IF(AND(ISNUMBER(B891),N(B891)&gt;0),INT(B891),0)</f>
        <v>0.0</v>
      </c>
      <c r="T891" s="67">
        <f>IF(AND(ISNUMBER(J891),N(J891)&gt;=0),N(J891),0)</f>
        <v>0.0</v>
      </c>
      <c r="U891" s="67">
        <f>IF(AND(ISNUMBER(K891),N(K891)&gt;0),N(K891),0)</f>
        <v>0.0</v>
      </c>
      <c r="V891" s="67">
        <f>IF(AND(ISNUMBER(L891),N(L891)&gt;0),N(L891),0)</f>
        <v>0.0</v>
      </c>
      <c r="W891" s="67">
        <f>IF(AND(I891="Terminée",S891&gt;0,C891&lt;&gt;"",ISNUMBER(MATCH(C891,eq_code,0))),1,0)</f>
        <v>0.0</v>
      </c>
      <c r="X891" s="67">
        <f>IF(AND(W891=1,E891="Préventif"),1,0)</f>
        <v>0.0</v>
      </c>
      <c r="Y891" s="67">
        <f>IF(AND(ISNUMBER(N891),N(N891)&gt;0),N(N891),0)</f>
        <v>0.0</v>
      </c>
      <c r="Z891" s="67">
        <f>IF(AND(ISNUMBER(P891),N(P891)&gt;0),N(P891),0)</f>
        <v>0.0</v>
      </c>
    </row>
    <row r="892">
      <c r="A892" s="79" t="str">
        <f>IF(COUNTA(B892:C892,E892:G892,I892)=0,"","BI-"&amp;RIGHT("0000"&amp;(ROW()-5),4))</f>
        <v/>
      </c>
      <c r="B892" s="72" t="n"/>
      <c r="C892" s="66" t="n"/>
      <c r="D892" s="67" t="str">
        <f>IF(C892="","",IFERROR(INDEX(eq_des,MATCH(C892,eq_code,0))&amp;"","Équipement inconnu"))</f>
        <v/>
      </c>
      <c r="E892" s="68" t="n"/>
      <c r="F892" s="68" t="n"/>
      <c r="G892" s="66" t="n"/>
      <c r="H892" s="66" t="n"/>
      <c r="I892" s="68" t="n"/>
      <c r="J892" s="73" t="n"/>
      <c r="K892" s="71" t="n"/>
      <c r="L892" s="71" t="n"/>
      <c r="M892" s="66" t="n"/>
      <c r="N892" s="80" t="n"/>
      <c r="O892" s="81" t="str">
        <f>IF(A892="","",ROUND(V892*IFERROR(N(INDEX(tech_rate,MATCH(M892,tech_name,0))),0),2))</f>
        <v/>
      </c>
      <c r="P892" s="80" t="n"/>
      <c r="Q892" s="81" t="str">
        <f>IF(A892="","",ROUND(Y892+O892+Z892,2))</f>
        <v/>
      </c>
      <c r="R892" s="79" t="str">
        <f>IF(A892="","",IF(S892=0,"Date manquante ou invalide",IF(C892="","Équipement manquant",IF(ISNA(MATCH(C892,eq_code,0)),"Équipement inconnu",IF(E892="","Type manquant",IF(AND(E892&lt;&gt;"Préventif",E892&lt;&gt;"Correctif",E892&lt;&gt;"Amélioratif"),"Type inconnu",IF(I892="","Statut manquant",IF(AND(I892&lt;&gt;"Terminée",I892&lt;&gt;"En cours",I892&lt;&gt;"À faire",I892&lt;&gt;"Annulée"),"Statut inconnu",IF(AND(E892="Préventif",F892=""),"Plan manquant (préventif)",IF(AND(F892&lt;&gt;"",ISNA(MATCH(F892,pl_num,0))),"Plan inconnu",IF(AND(F892&lt;&gt;"",IFERROR(INDEX(pl_eq,MATCH(F892,pl_num,0))&amp;"",C892)&lt;&gt;C892),"Plan d'un autre équipement",IF(AND(J892&lt;&gt;"",OR(NOT(ISNUMBER(J892)),N(J892)&lt;0)),"Compteur invalide",IF(OR(AND(K892&lt;&gt;"",OR(NOT(ISNUMBER(K892)),N(K892)&lt;0)),AND(L892&lt;&gt;"",OR(NOT(ISNUMBER(L892)),N(L892)&lt;0))),"Durée invalide",IF(OR(AND(N892&lt;&gt;"",OR(NOT(ISNUMBER(N892)),N(N892)&lt;0)),AND(P892&lt;&gt;"",OR(NOT(ISNUMBER(P892)),N(P892)&lt;0))),"Coût invalide",IF(AND(M892&lt;&gt;"",ISNA(MATCH(M892,tech_name,0))),"Technicien inconnu",IF(AND(I892="Terminée",S892&gt;p_today),"Terminée à une date future",IF(AND(I892="Terminée",V892=0),"Durée d'intervention manquante",IF(AND(I892="Terminée",E892="Préventif",T892=0,OR(IFERROR(INDEX(pl_trig,MATCH(F892,pl_num,0))&amp;"","")="Compteur",IFERROR(INDEX(pl_trig,MATCH(F892,pl_num,0))&amp;"","")="Au premier des deux")),"Compteur manquant (plan au compteur)","OK"))))))))))))))))))</f>
        <v/>
      </c>
      <c r="S892" s="67">
        <f>IF(AND(ISNUMBER(B892),N(B892)&gt;0),INT(B892),0)</f>
        <v>0.0</v>
      </c>
      <c r="T892" s="67">
        <f>IF(AND(ISNUMBER(J892),N(J892)&gt;=0),N(J892),0)</f>
        <v>0.0</v>
      </c>
      <c r="U892" s="67">
        <f>IF(AND(ISNUMBER(K892),N(K892)&gt;0),N(K892),0)</f>
        <v>0.0</v>
      </c>
      <c r="V892" s="67">
        <f>IF(AND(ISNUMBER(L892),N(L892)&gt;0),N(L892),0)</f>
        <v>0.0</v>
      </c>
      <c r="W892" s="67">
        <f>IF(AND(I892="Terminée",S892&gt;0,C892&lt;&gt;"",ISNUMBER(MATCH(C892,eq_code,0))),1,0)</f>
        <v>0.0</v>
      </c>
      <c r="X892" s="67">
        <f>IF(AND(W892=1,E892="Préventif"),1,0)</f>
        <v>0.0</v>
      </c>
      <c r="Y892" s="67">
        <f>IF(AND(ISNUMBER(N892),N(N892)&gt;0),N(N892),0)</f>
        <v>0.0</v>
      </c>
      <c r="Z892" s="67">
        <f>IF(AND(ISNUMBER(P892),N(P892)&gt;0),N(P892),0)</f>
        <v>0.0</v>
      </c>
    </row>
    <row r="893">
      <c r="A893" s="79" t="str">
        <f>IF(COUNTA(B893:C893,E893:G893,I893)=0,"","BI-"&amp;RIGHT("0000"&amp;(ROW()-5),4))</f>
        <v/>
      </c>
      <c r="B893" s="72" t="n"/>
      <c r="C893" s="66" t="n"/>
      <c r="D893" s="67" t="str">
        <f>IF(C893="","",IFERROR(INDEX(eq_des,MATCH(C893,eq_code,0))&amp;"","Équipement inconnu"))</f>
        <v/>
      </c>
      <c r="E893" s="68" t="n"/>
      <c r="F893" s="68" t="n"/>
      <c r="G893" s="66" t="n"/>
      <c r="H893" s="66" t="n"/>
      <c r="I893" s="68" t="n"/>
      <c r="J893" s="73" t="n"/>
      <c r="K893" s="71" t="n"/>
      <c r="L893" s="71" t="n"/>
      <c r="M893" s="66" t="n"/>
      <c r="N893" s="80" t="n"/>
      <c r="O893" s="81" t="str">
        <f>IF(A893="","",ROUND(V893*IFERROR(N(INDEX(tech_rate,MATCH(M893,tech_name,0))),0),2))</f>
        <v/>
      </c>
      <c r="P893" s="80" t="n"/>
      <c r="Q893" s="81" t="str">
        <f>IF(A893="","",ROUND(Y893+O893+Z893,2))</f>
        <v/>
      </c>
      <c r="R893" s="79" t="str">
        <f>IF(A893="","",IF(S893=0,"Date manquante ou invalide",IF(C893="","Équipement manquant",IF(ISNA(MATCH(C893,eq_code,0)),"Équipement inconnu",IF(E893="","Type manquant",IF(AND(E893&lt;&gt;"Préventif",E893&lt;&gt;"Correctif",E893&lt;&gt;"Amélioratif"),"Type inconnu",IF(I893="","Statut manquant",IF(AND(I893&lt;&gt;"Terminée",I893&lt;&gt;"En cours",I893&lt;&gt;"À faire",I893&lt;&gt;"Annulée"),"Statut inconnu",IF(AND(E893="Préventif",F893=""),"Plan manquant (préventif)",IF(AND(F893&lt;&gt;"",ISNA(MATCH(F893,pl_num,0))),"Plan inconnu",IF(AND(F893&lt;&gt;"",IFERROR(INDEX(pl_eq,MATCH(F893,pl_num,0))&amp;"",C893)&lt;&gt;C893),"Plan d'un autre équipement",IF(AND(J893&lt;&gt;"",OR(NOT(ISNUMBER(J893)),N(J893)&lt;0)),"Compteur invalide",IF(OR(AND(K893&lt;&gt;"",OR(NOT(ISNUMBER(K893)),N(K893)&lt;0)),AND(L893&lt;&gt;"",OR(NOT(ISNUMBER(L893)),N(L893)&lt;0))),"Durée invalide",IF(OR(AND(N893&lt;&gt;"",OR(NOT(ISNUMBER(N893)),N(N893)&lt;0)),AND(P893&lt;&gt;"",OR(NOT(ISNUMBER(P893)),N(P893)&lt;0))),"Coût invalide",IF(AND(M893&lt;&gt;"",ISNA(MATCH(M893,tech_name,0))),"Technicien inconnu",IF(AND(I893="Terminée",S893&gt;p_today),"Terminée à une date future",IF(AND(I893="Terminée",V893=0),"Durée d'intervention manquante",IF(AND(I893="Terminée",E893="Préventif",T893=0,OR(IFERROR(INDEX(pl_trig,MATCH(F893,pl_num,0))&amp;"","")="Compteur",IFERROR(INDEX(pl_trig,MATCH(F893,pl_num,0))&amp;"","")="Au premier des deux")),"Compteur manquant (plan au compteur)","OK"))))))))))))))))))</f>
        <v/>
      </c>
      <c r="S893" s="67">
        <f>IF(AND(ISNUMBER(B893),N(B893)&gt;0),INT(B893),0)</f>
        <v>0.0</v>
      </c>
      <c r="T893" s="67">
        <f>IF(AND(ISNUMBER(J893),N(J893)&gt;=0),N(J893),0)</f>
        <v>0.0</v>
      </c>
      <c r="U893" s="67">
        <f>IF(AND(ISNUMBER(K893),N(K893)&gt;0),N(K893),0)</f>
        <v>0.0</v>
      </c>
      <c r="V893" s="67">
        <f>IF(AND(ISNUMBER(L893),N(L893)&gt;0),N(L893),0)</f>
        <v>0.0</v>
      </c>
      <c r="W893" s="67">
        <f>IF(AND(I893="Terminée",S893&gt;0,C893&lt;&gt;"",ISNUMBER(MATCH(C893,eq_code,0))),1,0)</f>
        <v>0.0</v>
      </c>
      <c r="X893" s="67">
        <f>IF(AND(W893=1,E893="Préventif"),1,0)</f>
        <v>0.0</v>
      </c>
      <c r="Y893" s="67">
        <f>IF(AND(ISNUMBER(N893),N(N893)&gt;0),N(N893),0)</f>
        <v>0.0</v>
      </c>
      <c r="Z893" s="67">
        <f>IF(AND(ISNUMBER(P893),N(P893)&gt;0),N(P893),0)</f>
        <v>0.0</v>
      </c>
    </row>
    <row r="894">
      <c r="A894" s="79" t="str">
        <f>IF(COUNTA(B894:C894,E894:G894,I894)=0,"","BI-"&amp;RIGHT("0000"&amp;(ROW()-5),4))</f>
        <v/>
      </c>
      <c r="B894" s="72" t="n"/>
      <c r="C894" s="66" t="n"/>
      <c r="D894" s="67" t="str">
        <f>IF(C894="","",IFERROR(INDEX(eq_des,MATCH(C894,eq_code,0))&amp;"","Équipement inconnu"))</f>
        <v/>
      </c>
      <c r="E894" s="68" t="n"/>
      <c r="F894" s="68" t="n"/>
      <c r="G894" s="66" t="n"/>
      <c r="H894" s="66" t="n"/>
      <c r="I894" s="68" t="n"/>
      <c r="J894" s="73" t="n"/>
      <c r="K894" s="71" t="n"/>
      <c r="L894" s="71" t="n"/>
      <c r="M894" s="66" t="n"/>
      <c r="N894" s="80" t="n"/>
      <c r="O894" s="81" t="str">
        <f>IF(A894="","",ROUND(V894*IFERROR(N(INDEX(tech_rate,MATCH(M894,tech_name,0))),0),2))</f>
        <v/>
      </c>
      <c r="P894" s="80" t="n"/>
      <c r="Q894" s="81" t="str">
        <f>IF(A894="","",ROUND(Y894+O894+Z894,2))</f>
        <v/>
      </c>
      <c r="R894" s="79" t="str">
        <f>IF(A894="","",IF(S894=0,"Date manquante ou invalide",IF(C894="","Équipement manquant",IF(ISNA(MATCH(C894,eq_code,0)),"Équipement inconnu",IF(E894="","Type manquant",IF(AND(E894&lt;&gt;"Préventif",E894&lt;&gt;"Correctif",E894&lt;&gt;"Amélioratif"),"Type inconnu",IF(I894="","Statut manquant",IF(AND(I894&lt;&gt;"Terminée",I894&lt;&gt;"En cours",I894&lt;&gt;"À faire",I894&lt;&gt;"Annulée"),"Statut inconnu",IF(AND(E894="Préventif",F894=""),"Plan manquant (préventif)",IF(AND(F894&lt;&gt;"",ISNA(MATCH(F894,pl_num,0))),"Plan inconnu",IF(AND(F894&lt;&gt;"",IFERROR(INDEX(pl_eq,MATCH(F894,pl_num,0))&amp;"",C894)&lt;&gt;C894),"Plan d'un autre équipement",IF(AND(J894&lt;&gt;"",OR(NOT(ISNUMBER(J894)),N(J894)&lt;0)),"Compteur invalide",IF(OR(AND(K894&lt;&gt;"",OR(NOT(ISNUMBER(K894)),N(K894)&lt;0)),AND(L894&lt;&gt;"",OR(NOT(ISNUMBER(L894)),N(L894)&lt;0))),"Durée invalide",IF(OR(AND(N894&lt;&gt;"",OR(NOT(ISNUMBER(N894)),N(N894)&lt;0)),AND(P894&lt;&gt;"",OR(NOT(ISNUMBER(P894)),N(P894)&lt;0))),"Coût invalide",IF(AND(M894&lt;&gt;"",ISNA(MATCH(M894,tech_name,0))),"Technicien inconnu",IF(AND(I894="Terminée",S894&gt;p_today),"Terminée à une date future",IF(AND(I894="Terminée",V894=0),"Durée d'intervention manquante",IF(AND(I894="Terminée",E894="Préventif",T894=0,OR(IFERROR(INDEX(pl_trig,MATCH(F894,pl_num,0))&amp;"","")="Compteur",IFERROR(INDEX(pl_trig,MATCH(F894,pl_num,0))&amp;"","")="Au premier des deux")),"Compteur manquant (plan au compteur)","OK"))))))))))))))))))</f>
        <v/>
      </c>
      <c r="S894" s="67">
        <f>IF(AND(ISNUMBER(B894),N(B894)&gt;0),INT(B894),0)</f>
        <v>0.0</v>
      </c>
      <c r="T894" s="67">
        <f>IF(AND(ISNUMBER(J894),N(J894)&gt;=0),N(J894),0)</f>
        <v>0.0</v>
      </c>
      <c r="U894" s="67">
        <f>IF(AND(ISNUMBER(K894),N(K894)&gt;0),N(K894),0)</f>
        <v>0.0</v>
      </c>
      <c r="V894" s="67">
        <f>IF(AND(ISNUMBER(L894),N(L894)&gt;0),N(L894),0)</f>
        <v>0.0</v>
      </c>
      <c r="W894" s="67">
        <f>IF(AND(I894="Terminée",S894&gt;0,C894&lt;&gt;"",ISNUMBER(MATCH(C894,eq_code,0))),1,0)</f>
        <v>0.0</v>
      </c>
      <c r="X894" s="67">
        <f>IF(AND(W894=1,E894="Préventif"),1,0)</f>
        <v>0.0</v>
      </c>
      <c r="Y894" s="67">
        <f>IF(AND(ISNUMBER(N894),N(N894)&gt;0),N(N894),0)</f>
        <v>0.0</v>
      </c>
      <c r="Z894" s="67">
        <f>IF(AND(ISNUMBER(P894),N(P894)&gt;0),N(P894),0)</f>
        <v>0.0</v>
      </c>
    </row>
    <row r="895">
      <c r="A895" s="79" t="str">
        <f>IF(COUNTA(B895:C895,E895:G895,I895)=0,"","BI-"&amp;RIGHT("0000"&amp;(ROW()-5),4))</f>
        <v/>
      </c>
      <c r="B895" s="72" t="n"/>
      <c r="C895" s="66" t="n"/>
      <c r="D895" s="67" t="str">
        <f>IF(C895="","",IFERROR(INDEX(eq_des,MATCH(C895,eq_code,0))&amp;"","Équipement inconnu"))</f>
        <v/>
      </c>
      <c r="E895" s="68" t="n"/>
      <c r="F895" s="68" t="n"/>
      <c r="G895" s="66" t="n"/>
      <c r="H895" s="66" t="n"/>
      <c r="I895" s="68" t="n"/>
      <c r="J895" s="73" t="n"/>
      <c r="K895" s="71" t="n"/>
      <c r="L895" s="71" t="n"/>
      <c r="M895" s="66" t="n"/>
      <c r="N895" s="80" t="n"/>
      <c r="O895" s="81" t="str">
        <f>IF(A895="","",ROUND(V895*IFERROR(N(INDEX(tech_rate,MATCH(M895,tech_name,0))),0),2))</f>
        <v/>
      </c>
      <c r="P895" s="80" t="n"/>
      <c r="Q895" s="81" t="str">
        <f>IF(A895="","",ROUND(Y895+O895+Z895,2))</f>
        <v/>
      </c>
      <c r="R895" s="79" t="str">
        <f>IF(A895="","",IF(S895=0,"Date manquante ou invalide",IF(C895="","Équipement manquant",IF(ISNA(MATCH(C895,eq_code,0)),"Équipement inconnu",IF(E895="","Type manquant",IF(AND(E895&lt;&gt;"Préventif",E895&lt;&gt;"Correctif",E895&lt;&gt;"Amélioratif"),"Type inconnu",IF(I895="","Statut manquant",IF(AND(I895&lt;&gt;"Terminée",I895&lt;&gt;"En cours",I895&lt;&gt;"À faire",I895&lt;&gt;"Annulée"),"Statut inconnu",IF(AND(E895="Préventif",F895=""),"Plan manquant (préventif)",IF(AND(F895&lt;&gt;"",ISNA(MATCH(F895,pl_num,0))),"Plan inconnu",IF(AND(F895&lt;&gt;"",IFERROR(INDEX(pl_eq,MATCH(F895,pl_num,0))&amp;"",C895)&lt;&gt;C895),"Plan d'un autre équipement",IF(AND(J895&lt;&gt;"",OR(NOT(ISNUMBER(J895)),N(J895)&lt;0)),"Compteur invalide",IF(OR(AND(K895&lt;&gt;"",OR(NOT(ISNUMBER(K895)),N(K895)&lt;0)),AND(L895&lt;&gt;"",OR(NOT(ISNUMBER(L895)),N(L895)&lt;0))),"Durée invalide",IF(OR(AND(N895&lt;&gt;"",OR(NOT(ISNUMBER(N895)),N(N895)&lt;0)),AND(P895&lt;&gt;"",OR(NOT(ISNUMBER(P895)),N(P895)&lt;0))),"Coût invalide",IF(AND(M895&lt;&gt;"",ISNA(MATCH(M895,tech_name,0))),"Technicien inconnu",IF(AND(I895="Terminée",S895&gt;p_today),"Terminée à une date future",IF(AND(I895="Terminée",V895=0),"Durée d'intervention manquante",IF(AND(I895="Terminée",E895="Préventif",T895=0,OR(IFERROR(INDEX(pl_trig,MATCH(F895,pl_num,0))&amp;"","")="Compteur",IFERROR(INDEX(pl_trig,MATCH(F895,pl_num,0))&amp;"","")="Au premier des deux")),"Compteur manquant (plan au compteur)","OK"))))))))))))))))))</f>
        <v/>
      </c>
      <c r="S895" s="67">
        <f>IF(AND(ISNUMBER(B895),N(B895)&gt;0),INT(B895),0)</f>
        <v>0.0</v>
      </c>
      <c r="T895" s="67">
        <f>IF(AND(ISNUMBER(J895),N(J895)&gt;=0),N(J895),0)</f>
        <v>0.0</v>
      </c>
      <c r="U895" s="67">
        <f>IF(AND(ISNUMBER(K895),N(K895)&gt;0),N(K895),0)</f>
        <v>0.0</v>
      </c>
      <c r="V895" s="67">
        <f>IF(AND(ISNUMBER(L895),N(L895)&gt;0),N(L895),0)</f>
        <v>0.0</v>
      </c>
      <c r="W895" s="67">
        <f>IF(AND(I895="Terminée",S895&gt;0,C895&lt;&gt;"",ISNUMBER(MATCH(C895,eq_code,0))),1,0)</f>
        <v>0.0</v>
      </c>
      <c r="X895" s="67">
        <f>IF(AND(W895=1,E895="Préventif"),1,0)</f>
        <v>0.0</v>
      </c>
      <c r="Y895" s="67">
        <f>IF(AND(ISNUMBER(N895),N(N895)&gt;0),N(N895),0)</f>
        <v>0.0</v>
      </c>
      <c r="Z895" s="67">
        <f>IF(AND(ISNUMBER(P895),N(P895)&gt;0),N(P895),0)</f>
        <v>0.0</v>
      </c>
    </row>
    <row r="896">
      <c r="A896" s="79" t="str">
        <f>IF(COUNTA(B896:C896,E896:G896,I896)=0,"","BI-"&amp;RIGHT("0000"&amp;(ROW()-5),4))</f>
        <v/>
      </c>
      <c r="B896" s="72" t="n"/>
      <c r="C896" s="66" t="n"/>
      <c r="D896" s="67" t="str">
        <f>IF(C896="","",IFERROR(INDEX(eq_des,MATCH(C896,eq_code,0))&amp;"","Équipement inconnu"))</f>
        <v/>
      </c>
      <c r="E896" s="68" t="n"/>
      <c r="F896" s="68" t="n"/>
      <c r="G896" s="66" t="n"/>
      <c r="H896" s="66" t="n"/>
      <c r="I896" s="68" t="n"/>
      <c r="J896" s="73" t="n"/>
      <c r="K896" s="71" t="n"/>
      <c r="L896" s="71" t="n"/>
      <c r="M896" s="66" t="n"/>
      <c r="N896" s="80" t="n"/>
      <c r="O896" s="81" t="str">
        <f>IF(A896="","",ROUND(V896*IFERROR(N(INDEX(tech_rate,MATCH(M896,tech_name,0))),0),2))</f>
        <v/>
      </c>
      <c r="P896" s="80" t="n"/>
      <c r="Q896" s="81" t="str">
        <f>IF(A896="","",ROUND(Y896+O896+Z896,2))</f>
        <v/>
      </c>
      <c r="R896" s="79" t="str">
        <f>IF(A896="","",IF(S896=0,"Date manquante ou invalide",IF(C896="","Équipement manquant",IF(ISNA(MATCH(C896,eq_code,0)),"Équipement inconnu",IF(E896="","Type manquant",IF(AND(E896&lt;&gt;"Préventif",E896&lt;&gt;"Correctif",E896&lt;&gt;"Amélioratif"),"Type inconnu",IF(I896="","Statut manquant",IF(AND(I896&lt;&gt;"Terminée",I896&lt;&gt;"En cours",I896&lt;&gt;"À faire",I896&lt;&gt;"Annulée"),"Statut inconnu",IF(AND(E896="Préventif",F896=""),"Plan manquant (préventif)",IF(AND(F896&lt;&gt;"",ISNA(MATCH(F896,pl_num,0))),"Plan inconnu",IF(AND(F896&lt;&gt;"",IFERROR(INDEX(pl_eq,MATCH(F896,pl_num,0))&amp;"",C896)&lt;&gt;C896),"Plan d'un autre équipement",IF(AND(J896&lt;&gt;"",OR(NOT(ISNUMBER(J896)),N(J896)&lt;0)),"Compteur invalide",IF(OR(AND(K896&lt;&gt;"",OR(NOT(ISNUMBER(K896)),N(K896)&lt;0)),AND(L896&lt;&gt;"",OR(NOT(ISNUMBER(L896)),N(L896)&lt;0))),"Durée invalide",IF(OR(AND(N896&lt;&gt;"",OR(NOT(ISNUMBER(N896)),N(N896)&lt;0)),AND(P896&lt;&gt;"",OR(NOT(ISNUMBER(P896)),N(P896)&lt;0))),"Coût invalide",IF(AND(M896&lt;&gt;"",ISNA(MATCH(M896,tech_name,0))),"Technicien inconnu",IF(AND(I896="Terminée",S896&gt;p_today),"Terminée à une date future",IF(AND(I896="Terminée",V896=0),"Durée d'intervention manquante",IF(AND(I896="Terminée",E896="Préventif",T896=0,OR(IFERROR(INDEX(pl_trig,MATCH(F896,pl_num,0))&amp;"","")="Compteur",IFERROR(INDEX(pl_trig,MATCH(F896,pl_num,0))&amp;"","")="Au premier des deux")),"Compteur manquant (plan au compteur)","OK"))))))))))))))))))</f>
        <v/>
      </c>
      <c r="S896" s="67">
        <f>IF(AND(ISNUMBER(B896),N(B896)&gt;0),INT(B896),0)</f>
        <v>0.0</v>
      </c>
      <c r="T896" s="67">
        <f>IF(AND(ISNUMBER(J896),N(J896)&gt;=0),N(J896),0)</f>
        <v>0.0</v>
      </c>
      <c r="U896" s="67">
        <f>IF(AND(ISNUMBER(K896),N(K896)&gt;0),N(K896),0)</f>
        <v>0.0</v>
      </c>
      <c r="V896" s="67">
        <f>IF(AND(ISNUMBER(L896),N(L896)&gt;0),N(L896),0)</f>
        <v>0.0</v>
      </c>
      <c r="W896" s="67">
        <f>IF(AND(I896="Terminée",S896&gt;0,C896&lt;&gt;"",ISNUMBER(MATCH(C896,eq_code,0))),1,0)</f>
        <v>0.0</v>
      </c>
      <c r="X896" s="67">
        <f>IF(AND(W896=1,E896="Préventif"),1,0)</f>
        <v>0.0</v>
      </c>
      <c r="Y896" s="67">
        <f>IF(AND(ISNUMBER(N896),N(N896)&gt;0),N(N896),0)</f>
        <v>0.0</v>
      </c>
      <c r="Z896" s="67">
        <f>IF(AND(ISNUMBER(P896),N(P896)&gt;0),N(P896),0)</f>
        <v>0.0</v>
      </c>
    </row>
    <row r="897">
      <c r="A897" s="79" t="str">
        <f>IF(COUNTA(B897:C897,E897:G897,I897)=0,"","BI-"&amp;RIGHT("0000"&amp;(ROW()-5),4))</f>
        <v/>
      </c>
      <c r="B897" s="72" t="n"/>
      <c r="C897" s="66" t="n"/>
      <c r="D897" s="67" t="str">
        <f>IF(C897="","",IFERROR(INDEX(eq_des,MATCH(C897,eq_code,0))&amp;"","Équipement inconnu"))</f>
        <v/>
      </c>
      <c r="E897" s="68" t="n"/>
      <c r="F897" s="68" t="n"/>
      <c r="G897" s="66" t="n"/>
      <c r="H897" s="66" t="n"/>
      <c r="I897" s="68" t="n"/>
      <c r="J897" s="73" t="n"/>
      <c r="K897" s="71" t="n"/>
      <c r="L897" s="71" t="n"/>
      <c r="M897" s="66" t="n"/>
      <c r="N897" s="80" t="n"/>
      <c r="O897" s="81" t="str">
        <f>IF(A897="","",ROUND(V897*IFERROR(N(INDEX(tech_rate,MATCH(M897,tech_name,0))),0),2))</f>
        <v/>
      </c>
      <c r="P897" s="80" t="n"/>
      <c r="Q897" s="81" t="str">
        <f>IF(A897="","",ROUND(Y897+O897+Z897,2))</f>
        <v/>
      </c>
      <c r="R897" s="79" t="str">
        <f>IF(A897="","",IF(S897=0,"Date manquante ou invalide",IF(C897="","Équipement manquant",IF(ISNA(MATCH(C897,eq_code,0)),"Équipement inconnu",IF(E897="","Type manquant",IF(AND(E897&lt;&gt;"Préventif",E897&lt;&gt;"Correctif",E897&lt;&gt;"Amélioratif"),"Type inconnu",IF(I897="","Statut manquant",IF(AND(I897&lt;&gt;"Terminée",I897&lt;&gt;"En cours",I897&lt;&gt;"À faire",I897&lt;&gt;"Annulée"),"Statut inconnu",IF(AND(E897="Préventif",F897=""),"Plan manquant (préventif)",IF(AND(F897&lt;&gt;"",ISNA(MATCH(F897,pl_num,0))),"Plan inconnu",IF(AND(F897&lt;&gt;"",IFERROR(INDEX(pl_eq,MATCH(F897,pl_num,0))&amp;"",C897)&lt;&gt;C897),"Plan d'un autre équipement",IF(AND(J897&lt;&gt;"",OR(NOT(ISNUMBER(J897)),N(J897)&lt;0)),"Compteur invalide",IF(OR(AND(K897&lt;&gt;"",OR(NOT(ISNUMBER(K897)),N(K897)&lt;0)),AND(L897&lt;&gt;"",OR(NOT(ISNUMBER(L897)),N(L897)&lt;0))),"Durée invalide",IF(OR(AND(N897&lt;&gt;"",OR(NOT(ISNUMBER(N897)),N(N897)&lt;0)),AND(P897&lt;&gt;"",OR(NOT(ISNUMBER(P897)),N(P897)&lt;0))),"Coût invalide",IF(AND(M897&lt;&gt;"",ISNA(MATCH(M897,tech_name,0))),"Technicien inconnu",IF(AND(I897="Terminée",S897&gt;p_today),"Terminée à une date future",IF(AND(I897="Terminée",V897=0),"Durée d'intervention manquante",IF(AND(I897="Terminée",E897="Préventif",T897=0,OR(IFERROR(INDEX(pl_trig,MATCH(F897,pl_num,0))&amp;"","")="Compteur",IFERROR(INDEX(pl_trig,MATCH(F897,pl_num,0))&amp;"","")="Au premier des deux")),"Compteur manquant (plan au compteur)","OK"))))))))))))))))))</f>
        <v/>
      </c>
      <c r="S897" s="67">
        <f>IF(AND(ISNUMBER(B897),N(B897)&gt;0),INT(B897),0)</f>
        <v>0.0</v>
      </c>
      <c r="T897" s="67">
        <f>IF(AND(ISNUMBER(J897),N(J897)&gt;=0),N(J897),0)</f>
        <v>0.0</v>
      </c>
      <c r="U897" s="67">
        <f>IF(AND(ISNUMBER(K897),N(K897)&gt;0),N(K897),0)</f>
        <v>0.0</v>
      </c>
      <c r="V897" s="67">
        <f>IF(AND(ISNUMBER(L897),N(L897)&gt;0),N(L897),0)</f>
        <v>0.0</v>
      </c>
      <c r="W897" s="67">
        <f>IF(AND(I897="Terminée",S897&gt;0,C897&lt;&gt;"",ISNUMBER(MATCH(C897,eq_code,0))),1,0)</f>
        <v>0.0</v>
      </c>
      <c r="X897" s="67">
        <f>IF(AND(W897=1,E897="Préventif"),1,0)</f>
        <v>0.0</v>
      </c>
      <c r="Y897" s="67">
        <f>IF(AND(ISNUMBER(N897),N(N897)&gt;0),N(N897),0)</f>
        <v>0.0</v>
      </c>
      <c r="Z897" s="67">
        <f>IF(AND(ISNUMBER(P897),N(P897)&gt;0),N(P897),0)</f>
        <v>0.0</v>
      </c>
    </row>
    <row r="898">
      <c r="A898" s="79" t="str">
        <f>IF(COUNTA(B898:C898,E898:G898,I898)=0,"","BI-"&amp;RIGHT("0000"&amp;(ROW()-5),4))</f>
        <v/>
      </c>
      <c r="B898" s="72" t="n"/>
      <c r="C898" s="66" t="n"/>
      <c r="D898" s="67" t="str">
        <f>IF(C898="","",IFERROR(INDEX(eq_des,MATCH(C898,eq_code,0))&amp;"","Équipement inconnu"))</f>
        <v/>
      </c>
      <c r="E898" s="68" t="n"/>
      <c r="F898" s="68" t="n"/>
      <c r="G898" s="66" t="n"/>
      <c r="H898" s="66" t="n"/>
      <c r="I898" s="68" t="n"/>
      <c r="J898" s="73" t="n"/>
      <c r="K898" s="71" t="n"/>
      <c r="L898" s="71" t="n"/>
      <c r="M898" s="66" t="n"/>
      <c r="N898" s="80" t="n"/>
      <c r="O898" s="81" t="str">
        <f>IF(A898="","",ROUND(V898*IFERROR(N(INDEX(tech_rate,MATCH(M898,tech_name,0))),0),2))</f>
        <v/>
      </c>
      <c r="P898" s="80" t="n"/>
      <c r="Q898" s="81" t="str">
        <f>IF(A898="","",ROUND(Y898+O898+Z898,2))</f>
        <v/>
      </c>
      <c r="R898" s="79" t="str">
        <f>IF(A898="","",IF(S898=0,"Date manquante ou invalide",IF(C898="","Équipement manquant",IF(ISNA(MATCH(C898,eq_code,0)),"Équipement inconnu",IF(E898="","Type manquant",IF(AND(E898&lt;&gt;"Préventif",E898&lt;&gt;"Correctif",E898&lt;&gt;"Amélioratif"),"Type inconnu",IF(I898="","Statut manquant",IF(AND(I898&lt;&gt;"Terminée",I898&lt;&gt;"En cours",I898&lt;&gt;"À faire",I898&lt;&gt;"Annulée"),"Statut inconnu",IF(AND(E898="Préventif",F898=""),"Plan manquant (préventif)",IF(AND(F898&lt;&gt;"",ISNA(MATCH(F898,pl_num,0))),"Plan inconnu",IF(AND(F898&lt;&gt;"",IFERROR(INDEX(pl_eq,MATCH(F898,pl_num,0))&amp;"",C898)&lt;&gt;C898),"Plan d'un autre équipement",IF(AND(J898&lt;&gt;"",OR(NOT(ISNUMBER(J898)),N(J898)&lt;0)),"Compteur invalide",IF(OR(AND(K898&lt;&gt;"",OR(NOT(ISNUMBER(K898)),N(K898)&lt;0)),AND(L898&lt;&gt;"",OR(NOT(ISNUMBER(L898)),N(L898)&lt;0))),"Durée invalide",IF(OR(AND(N898&lt;&gt;"",OR(NOT(ISNUMBER(N898)),N(N898)&lt;0)),AND(P898&lt;&gt;"",OR(NOT(ISNUMBER(P898)),N(P898)&lt;0))),"Coût invalide",IF(AND(M898&lt;&gt;"",ISNA(MATCH(M898,tech_name,0))),"Technicien inconnu",IF(AND(I898="Terminée",S898&gt;p_today),"Terminée à une date future",IF(AND(I898="Terminée",V898=0),"Durée d'intervention manquante",IF(AND(I898="Terminée",E898="Préventif",T898=0,OR(IFERROR(INDEX(pl_trig,MATCH(F898,pl_num,0))&amp;"","")="Compteur",IFERROR(INDEX(pl_trig,MATCH(F898,pl_num,0))&amp;"","")="Au premier des deux")),"Compteur manquant (plan au compteur)","OK"))))))))))))))))))</f>
        <v/>
      </c>
      <c r="S898" s="67">
        <f>IF(AND(ISNUMBER(B898),N(B898)&gt;0),INT(B898),0)</f>
        <v>0.0</v>
      </c>
      <c r="T898" s="67">
        <f>IF(AND(ISNUMBER(J898),N(J898)&gt;=0),N(J898),0)</f>
        <v>0.0</v>
      </c>
      <c r="U898" s="67">
        <f>IF(AND(ISNUMBER(K898),N(K898)&gt;0),N(K898),0)</f>
        <v>0.0</v>
      </c>
      <c r="V898" s="67">
        <f>IF(AND(ISNUMBER(L898),N(L898)&gt;0),N(L898),0)</f>
        <v>0.0</v>
      </c>
      <c r="W898" s="67">
        <f>IF(AND(I898="Terminée",S898&gt;0,C898&lt;&gt;"",ISNUMBER(MATCH(C898,eq_code,0))),1,0)</f>
        <v>0.0</v>
      </c>
      <c r="X898" s="67">
        <f>IF(AND(W898=1,E898="Préventif"),1,0)</f>
        <v>0.0</v>
      </c>
      <c r="Y898" s="67">
        <f>IF(AND(ISNUMBER(N898),N(N898)&gt;0),N(N898),0)</f>
        <v>0.0</v>
      </c>
      <c r="Z898" s="67">
        <f>IF(AND(ISNUMBER(P898),N(P898)&gt;0),N(P898),0)</f>
        <v>0.0</v>
      </c>
    </row>
    <row r="899">
      <c r="A899" s="79" t="str">
        <f>IF(COUNTA(B899:C899,E899:G899,I899)=0,"","BI-"&amp;RIGHT("0000"&amp;(ROW()-5),4))</f>
        <v/>
      </c>
      <c r="B899" s="72" t="n"/>
      <c r="C899" s="66" t="n"/>
      <c r="D899" s="67" t="str">
        <f>IF(C899="","",IFERROR(INDEX(eq_des,MATCH(C899,eq_code,0))&amp;"","Équipement inconnu"))</f>
        <v/>
      </c>
      <c r="E899" s="68" t="n"/>
      <c r="F899" s="68" t="n"/>
      <c r="G899" s="66" t="n"/>
      <c r="H899" s="66" t="n"/>
      <c r="I899" s="68" t="n"/>
      <c r="J899" s="73" t="n"/>
      <c r="K899" s="71" t="n"/>
      <c r="L899" s="71" t="n"/>
      <c r="M899" s="66" t="n"/>
      <c r="N899" s="80" t="n"/>
      <c r="O899" s="81" t="str">
        <f>IF(A899="","",ROUND(V899*IFERROR(N(INDEX(tech_rate,MATCH(M899,tech_name,0))),0),2))</f>
        <v/>
      </c>
      <c r="P899" s="80" t="n"/>
      <c r="Q899" s="81" t="str">
        <f>IF(A899="","",ROUND(Y899+O899+Z899,2))</f>
        <v/>
      </c>
      <c r="R899" s="79" t="str">
        <f>IF(A899="","",IF(S899=0,"Date manquante ou invalide",IF(C899="","Équipement manquant",IF(ISNA(MATCH(C899,eq_code,0)),"Équipement inconnu",IF(E899="","Type manquant",IF(AND(E899&lt;&gt;"Préventif",E899&lt;&gt;"Correctif",E899&lt;&gt;"Amélioratif"),"Type inconnu",IF(I899="","Statut manquant",IF(AND(I899&lt;&gt;"Terminée",I899&lt;&gt;"En cours",I899&lt;&gt;"À faire",I899&lt;&gt;"Annulée"),"Statut inconnu",IF(AND(E899="Préventif",F899=""),"Plan manquant (préventif)",IF(AND(F899&lt;&gt;"",ISNA(MATCH(F899,pl_num,0))),"Plan inconnu",IF(AND(F899&lt;&gt;"",IFERROR(INDEX(pl_eq,MATCH(F899,pl_num,0))&amp;"",C899)&lt;&gt;C899),"Plan d'un autre équipement",IF(AND(J899&lt;&gt;"",OR(NOT(ISNUMBER(J899)),N(J899)&lt;0)),"Compteur invalide",IF(OR(AND(K899&lt;&gt;"",OR(NOT(ISNUMBER(K899)),N(K899)&lt;0)),AND(L899&lt;&gt;"",OR(NOT(ISNUMBER(L899)),N(L899)&lt;0))),"Durée invalide",IF(OR(AND(N899&lt;&gt;"",OR(NOT(ISNUMBER(N899)),N(N899)&lt;0)),AND(P899&lt;&gt;"",OR(NOT(ISNUMBER(P899)),N(P899)&lt;0))),"Coût invalide",IF(AND(M899&lt;&gt;"",ISNA(MATCH(M899,tech_name,0))),"Technicien inconnu",IF(AND(I899="Terminée",S899&gt;p_today),"Terminée à une date future",IF(AND(I899="Terminée",V899=0),"Durée d'intervention manquante",IF(AND(I899="Terminée",E899="Préventif",T899=0,OR(IFERROR(INDEX(pl_trig,MATCH(F899,pl_num,0))&amp;"","")="Compteur",IFERROR(INDEX(pl_trig,MATCH(F899,pl_num,0))&amp;"","")="Au premier des deux")),"Compteur manquant (plan au compteur)","OK"))))))))))))))))))</f>
        <v/>
      </c>
      <c r="S899" s="67">
        <f>IF(AND(ISNUMBER(B899),N(B899)&gt;0),INT(B899),0)</f>
        <v>0.0</v>
      </c>
      <c r="T899" s="67">
        <f>IF(AND(ISNUMBER(J899),N(J899)&gt;=0),N(J899),0)</f>
        <v>0.0</v>
      </c>
      <c r="U899" s="67">
        <f>IF(AND(ISNUMBER(K899),N(K899)&gt;0),N(K899),0)</f>
        <v>0.0</v>
      </c>
      <c r="V899" s="67">
        <f>IF(AND(ISNUMBER(L899),N(L899)&gt;0),N(L899),0)</f>
        <v>0.0</v>
      </c>
      <c r="W899" s="67">
        <f>IF(AND(I899="Terminée",S899&gt;0,C899&lt;&gt;"",ISNUMBER(MATCH(C899,eq_code,0))),1,0)</f>
        <v>0.0</v>
      </c>
      <c r="X899" s="67">
        <f>IF(AND(W899=1,E899="Préventif"),1,0)</f>
        <v>0.0</v>
      </c>
      <c r="Y899" s="67">
        <f>IF(AND(ISNUMBER(N899),N(N899)&gt;0),N(N899),0)</f>
        <v>0.0</v>
      </c>
      <c r="Z899" s="67">
        <f>IF(AND(ISNUMBER(P899),N(P899)&gt;0),N(P899),0)</f>
        <v>0.0</v>
      </c>
    </row>
    <row r="900">
      <c r="A900" s="79" t="str">
        <f>IF(COUNTA(B900:C900,E900:G900,I900)=0,"","BI-"&amp;RIGHT("0000"&amp;(ROW()-5),4))</f>
        <v/>
      </c>
      <c r="B900" s="72" t="n"/>
      <c r="C900" s="66" t="n"/>
      <c r="D900" s="67" t="str">
        <f>IF(C900="","",IFERROR(INDEX(eq_des,MATCH(C900,eq_code,0))&amp;"","Équipement inconnu"))</f>
        <v/>
      </c>
      <c r="E900" s="68" t="n"/>
      <c r="F900" s="68" t="n"/>
      <c r="G900" s="66" t="n"/>
      <c r="H900" s="66" t="n"/>
      <c r="I900" s="68" t="n"/>
      <c r="J900" s="73" t="n"/>
      <c r="K900" s="71" t="n"/>
      <c r="L900" s="71" t="n"/>
      <c r="M900" s="66" t="n"/>
      <c r="N900" s="80" t="n"/>
      <c r="O900" s="81" t="str">
        <f>IF(A900="","",ROUND(V900*IFERROR(N(INDEX(tech_rate,MATCH(M900,tech_name,0))),0),2))</f>
        <v/>
      </c>
      <c r="P900" s="80" t="n"/>
      <c r="Q900" s="81" t="str">
        <f>IF(A900="","",ROUND(Y900+O900+Z900,2))</f>
        <v/>
      </c>
      <c r="R900" s="79" t="str">
        <f>IF(A900="","",IF(S900=0,"Date manquante ou invalide",IF(C900="","Équipement manquant",IF(ISNA(MATCH(C900,eq_code,0)),"Équipement inconnu",IF(E900="","Type manquant",IF(AND(E900&lt;&gt;"Préventif",E900&lt;&gt;"Correctif",E900&lt;&gt;"Amélioratif"),"Type inconnu",IF(I900="","Statut manquant",IF(AND(I900&lt;&gt;"Terminée",I900&lt;&gt;"En cours",I900&lt;&gt;"À faire",I900&lt;&gt;"Annulée"),"Statut inconnu",IF(AND(E900="Préventif",F900=""),"Plan manquant (préventif)",IF(AND(F900&lt;&gt;"",ISNA(MATCH(F900,pl_num,0))),"Plan inconnu",IF(AND(F900&lt;&gt;"",IFERROR(INDEX(pl_eq,MATCH(F900,pl_num,0))&amp;"",C900)&lt;&gt;C900),"Plan d'un autre équipement",IF(AND(J900&lt;&gt;"",OR(NOT(ISNUMBER(J900)),N(J900)&lt;0)),"Compteur invalide",IF(OR(AND(K900&lt;&gt;"",OR(NOT(ISNUMBER(K900)),N(K900)&lt;0)),AND(L900&lt;&gt;"",OR(NOT(ISNUMBER(L900)),N(L900)&lt;0))),"Durée invalide",IF(OR(AND(N900&lt;&gt;"",OR(NOT(ISNUMBER(N900)),N(N900)&lt;0)),AND(P900&lt;&gt;"",OR(NOT(ISNUMBER(P900)),N(P900)&lt;0))),"Coût invalide",IF(AND(M900&lt;&gt;"",ISNA(MATCH(M900,tech_name,0))),"Technicien inconnu",IF(AND(I900="Terminée",S900&gt;p_today),"Terminée à une date future",IF(AND(I900="Terminée",V900=0),"Durée d'intervention manquante",IF(AND(I900="Terminée",E900="Préventif",T900=0,OR(IFERROR(INDEX(pl_trig,MATCH(F900,pl_num,0))&amp;"","")="Compteur",IFERROR(INDEX(pl_trig,MATCH(F900,pl_num,0))&amp;"","")="Au premier des deux")),"Compteur manquant (plan au compteur)","OK"))))))))))))))))))</f>
        <v/>
      </c>
      <c r="S900" s="67">
        <f>IF(AND(ISNUMBER(B900),N(B900)&gt;0),INT(B900),0)</f>
        <v>0.0</v>
      </c>
      <c r="T900" s="67">
        <f>IF(AND(ISNUMBER(J900),N(J900)&gt;=0),N(J900),0)</f>
        <v>0.0</v>
      </c>
      <c r="U900" s="67">
        <f>IF(AND(ISNUMBER(K900),N(K900)&gt;0),N(K900),0)</f>
        <v>0.0</v>
      </c>
      <c r="V900" s="67">
        <f>IF(AND(ISNUMBER(L900),N(L900)&gt;0),N(L900),0)</f>
        <v>0.0</v>
      </c>
      <c r="W900" s="67">
        <f>IF(AND(I900="Terminée",S900&gt;0,C900&lt;&gt;"",ISNUMBER(MATCH(C900,eq_code,0))),1,0)</f>
        <v>0.0</v>
      </c>
      <c r="X900" s="67">
        <f>IF(AND(W900=1,E900="Préventif"),1,0)</f>
        <v>0.0</v>
      </c>
      <c r="Y900" s="67">
        <f>IF(AND(ISNUMBER(N900),N(N900)&gt;0),N(N900),0)</f>
        <v>0.0</v>
      </c>
      <c r="Z900" s="67">
        <f>IF(AND(ISNUMBER(P900),N(P900)&gt;0),N(P900),0)</f>
        <v>0.0</v>
      </c>
    </row>
    <row r="901">
      <c r="A901" s="79" t="str">
        <f>IF(COUNTA(B901:C901,E901:G901,I901)=0,"","BI-"&amp;RIGHT("0000"&amp;(ROW()-5),4))</f>
        <v/>
      </c>
      <c r="B901" s="72" t="n"/>
      <c r="C901" s="66" t="n"/>
      <c r="D901" s="67" t="str">
        <f>IF(C901="","",IFERROR(INDEX(eq_des,MATCH(C901,eq_code,0))&amp;"","Équipement inconnu"))</f>
        <v/>
      </c>
      <c r="E901" s="68" t="n"/>
      <c r="F901" s="68" t="n"/>
      <c r="G901" s="66" t="n"/>
      <c r="H901" s="66" t="n"/>
      <c r="I901" s="68" t="n"/>
      <c r="J901" s="73" t="n"/>
      <c r="K901" s="71" t="n"/>
      <c r="L901" s="71" t="n"/>
      <c r="M901" s="66" t="n"/>
      <c r="N901" s="80" t="n"/>
      <c r="O901" s="81" t="str">
        <f>IF(A901="","",ROUND(V901*IFERROR(N(INDEX(tech_rate,MATCH(M901,tech_name,0))),0),2))</f>
        <v/>
      </c>
      <c r="P901" s="80" t="n"/>
      <c r="Q901" s="81" t="str">
        <f>IF(A901="","",ROUND(Y901+O901+Z901,2))</f>
        <v/>
      </c>
      <c r="R901" s="79" t="str">
        <f>IF(A901="","",IF(S901=0,"Date manquante ou invalide",IF(C901="","Équipement manquant",IF(ISNA(MATCH(C901,eq_code,0)),"Équipement inconnu",IF(E901="","Type manquant",IF(AND(E901&lt;&gt;"Préventif",E901&lt;&gt;"Correctif",E901&lt;&gt;"Amélioratif"),"Type inconnu",IF(I901="","Statut manquant",IF(AND(I901&lt;&gt;"Terminée",I901&lt;&gt;"En cours",I901&lt;&gt;"À faire",I901&lt;&gt;"Annulée"),"Statut inconnu",IF(AND(E901="Préventif",F901=""),"Plan manquant (préventif)",IF(AND(F901&lt;&gt;"",ISNA(MATCH(F901,pl_num,0))),"Plan inconnu",IF(AND(F901&lt;&gt;"",IFERROR(INDEX(pl_eq,MATCH(F901,pl_num,0))&amp;"",C901)&lt;&gt;C901),"Plan d'un autre équipement",IF(AND(J901&lt;&gt;"",OR(NOT(ISNUMBER(J901)),N(J901)&lt;0)),"Compteur invalide",IF(OR(AND(K901&lt;&gt;"",OR(NOT(ISNUMBER(K901)),N(K901)&lt;0)),AND(L901&lt;&gt;"",OR(NOT(ISNUMBER(L901)),N(L901)&lt;0))),"Durée invalide",IF(OR(AND(N901&lt;&gt;"",OR(NOT(ISNUMBER(N901)),N(N901)&lt;0)),AND(P901&lt;&gt;"",OR(NOT(ISNUMBER(P901)),N(P901)&lt;0))),"Coût invalide",IF(AND(M901&lt;&gt;"",ISNA(MATCH(M901,tech_name,0))),"Technicien inconnu",IF(AND(I901="Terminée",S901&gt;p_today),"Terminée à une date future",IF(AND(I901="Terminée",V901=0),"Durée d'intervention manquante",IF(AND(I901="Terminée",E901="Préventif",T901=0,OR(IFERROR(INDEX(pl_trig,MATCH(F901,pl_num,0))&amp;"","")="Compteur",IFERROR(INDEX(pl_trig,MATCH(F901,pl_num,0))&amp;"","")="Au premier des deux")),"Compteur manquant (plan au compteur)","OK"))))))))))))))))))</f>
        <v/>
      </c>
      <c r="S901" s="67">
        <f>IF(AND(ISNUMBER(B901),N(B901)&gt;0),INT(B901),0)</f>
        <v>0.0</v>
      </c>
      <c r="T901" s="67">
        <f>IF(AND(ISNUMBER(J901),N(J901)&gt;=0),N(J901),0)</f>
        <v>0.0</v>
      </c>
      <c r="U901" s="67">
        <f>IF(AND(ISNUMBER(K901),N(K901)&gt;0),N(K901),0)</f>
        <v>0.0</v>
      </c>
      <c r="V901" s="67">
        <f>IF(AND(ISNUMBER(L901),N(L901)&gt;0),N(L901),0)</f>
        <v>0.0</v>
      </c>
      <c r="W901" s="67">
        <f>IF(AND(I901="Terminée",S901&gt;0,C901&lt;&gt;"",ISNUMBER(MATCH(C901,eq_code,0))),1,0)</f>
        <v>0.0</v>
      </c>
      <c r="X901" s="67">
        <f>IF(AND(W901=1,E901="Préventif"),1,0)</f>
        <v>0.0</v>
      </c>
      <c r="Y901" s="67">
        <f>IF(AND(ISNUMBER(N901),N(N901)&gt;0),N(N901),0)</f>
        <v>0.0</v>
      </c>
      <c r="Z901" s="67">
        <f>IF(AND(ISNUMBER(P901),N(P901)&gt;0),N(P901),0)</f>
        <v>0.0</v>
      </c>
    </row>
    <row r="902">
      <c r="A902" s="79" t="str">
        <f>IF(COUNTA(B902:C902,E902:G902,I902)=0,"","BI-"&amp;RIGHT("0000"&amp;(ROW()-5),4))</f>
        <v/>
      </c>
      <c r="B902" s="72" t="n"/>
      <c r="C902" s="66" t="n"/>
      <c r="D902" s="67" t="str">
        <f>IF(C902="","",IFERROR(INDEX(eq_des,MATCH(C902,eq_code,0))&amp;"","Équipement inconnu"))</f>
        <v/>
      </c>
      <c r="E902" s="68" t="n"/>
      <c r="F902" s="68" t="n"/>
      <c r="G902" s="66" t="n"/>
      <c r="H902" s="66" t="n"/>
      <c r="I902" s="68" t="n"/>
      <c r="J902" s="73" t="n"/>
      <c r="K902" s="71" t="n"/>
      <c r="L902" s="71" t="n"/>
      <c r="M902" s="66" t="n"/>
      <c r="N902" s="80" t="n"/>
      <c r="O902" s="81" t="str">
        <f>IF(A902="","",ROUND(V902*IFERROR(N(INDEX(tech_rate,MATCH(M902,tech_name,0))),0),2))</f>
        <v/>
      </c>
      <c r="P902" s="80" t="n"/>
      <c r="Q902" s="81" t="str">
        <f>IF(A902="","",ROUND(Y902+O902+Z902,2))</f>
        <v/>
      </c>
      <c r="R902" s="79" t="str">
        <f>IF(A902="","",IF(S902=0,"Date manquante ou invalide",IF(C902="","Équipement manquant",IF(ISNA(MATCH(C902,eq_code,0)),"Équipement inconnu",IF(E902="","Type manquant",IF(AND(E902&lt;&gt;"Préventif",E902&lt;&gt;"Correctif",E902&lt;&gt;"Amélioratif"),"Type inconnu",IF(I902="","Statut manquant",IF(AND(I902&lt;&gt;"Terminée",I902&lt;&gt;"En cours",I902&lt;&gt;"À faire",I902&lt;&gt;"Annulée"),"Statut inconnu",IF(AND(E902="Préventif",F902=""),"Plan manquant (préventif)",IF(AND(F902&lt;&gt;"",ISNA(MATCH(F902,pl_num,0))),"Plan inconnu",IF(AND(F902&lt;&gt;"",IFERROR(INDEX(pl_eq,MATCH(F902,pl_num,0))&amp;"",C902)&lt;&gt;C902),"Plan d'un autre équipement",IF(AND(J902&lt;&gt;"",OR(NOT(ISNUMBER(J902)),N(J902)&lt;0)),"Compteur invalide",IF(OR(AND(K902&lt;&gt;"",OR(NOT(ISNUMBER(K902)),N(K902)&lt;0)),AND(L902&lt;&gt;"",OR(NOT(ISNUMBER(L902)),N(L902)&lt;0))),"Durée invalide",IF(OR(AND(N902&lt;&gt;"",OR(NOT(ISNUMBER(N902)),N(N902)&lt;0)),AND(P902&lt;&gt;"",OR(NOT(ISNUMBER(P902)),N(P902)&lt;0))),"Coût invalide",IF(AND(M902&lt;&gt;"",ISNA(MATCH(M902,tech_name,0))),"Technicien inconnu",IF(AND(I902="Terminée",S902&gt;p_today),"Terminée à une date future",IF(AND(I902="Terminée",V902=0),"Durée d'intervention manquante",IF(AND(I902="Terminée",E902="Préventif",T902=0,OR(IFERROR(INDEX(pl_trig,MATCH(F902,pl_num,0))&amp;"","")="Compteur",IFERROR(INDEX(pl_trig,MATCH(F902,pl_num,0))&amp;"","")="Au premier des deux")),"Compteur manquant (plan au compteur)","OK"))))))))))))))))))</f>
        <v/>
      </c>
      <c r="S902" s="67">
        <f>IF(AND(ISNUMBER(B902),N(B902)&gt;0),INT(B902),0)</f>
        <v>0.0</v>
      </c>
      <c r="T902" s="67">
        <f>IF(AND(ISNUMBER(J902),N(J902)&gt;=0),N(J902),0)</f>
        <v>0.0</v>
      </c>
      <c r="U902" s="67">
        <f>IF(AND(ISNUMBER(K902),N(K902)&gt;0),N(K902),0)</f>
        <v>0.0</v>
      </c>
      <c r="V902" s="67">
        <f>IF(AND(ISNUMBER(L902),N(L902)&gt;0),N(L902),0)</f>
        <v>0.0</v>
      </c>
      <c r="W902" s="67">
        <f>IF(AND(I902="Terminée",S902&gt;0,C902&lt;&gt;"",ISNUMBER(MATCH(C902,eq_code,0))),1,0)</f>
        <v>0.0</v>
      </c>
      <c r="X902" s="67">
        <f>IF(AND(W902=1,E902="Préventif"),1,0)</f>
        <v>0.0</v>
      </c>
      <c r="Y902" s="67">
        <f>IF(AND(ISNUMBER(N902),N(N902)&gt;0),N(N902),0)</f>
        <v>0.0</v>
      </c>
      <c r="Z902" s="67">
        <f>IF(AND(ISNUMBER(P902),N(P902)&gt;0),N(P902),0)</f>
        <v>0.0</v>
      </c>
    </row>
    <row r="903">
      <c r="A903" s="79" t="str">
        <f>IF(COUNTA(B903:C903,E903:G903,I903)=0,"","BI-"&amp;RIGHT("0000"&amp;(ROW()-5),4))</f>
        <v/>
      </c>
      <c r="B903" s="72" t="n"/>
      <c r="C903" s="66" t="n"/>
      <c r="D903" s="67" t="str">
        <f>IF(C903="","",IFERROR(INDEX(eq_des,MATCH(C903,eq_code,0))&amp;"","Équipement inconnu"))</f>
        <v/>
      </c>
      <c r="E903" s="68" t="n"/>
      <c r="F903" s="68" t="n"/>
      <c r="G903" s="66" t="n"/>
      <c r="H903" s="66" t="n"/>
      <c r="I903" s="68" t="n"/>
      <c r="J903" s="73" t="n"/>
      <c r="K903" s="71" t="n"/>
      <c r="L903" s="71" t="n"/>
      <c r="M903" s="66" t="n"/>
      <c r="N903" s="80" t="n"/>
      <c r="O903" s="81" t="str">
        <f>IF(A903="","",ROUND(V903*IFERROR(N(INDEX(tech_rate,MATCH(M903,tech_name,0))),0),2))</f>
        <v/>
      </c>
      <c r="P903" s="80" t="n"/>
      <c r="Q903" s="81" t="str">
        <f>IF(A903="","",ROUND(Y903+O903+Z903,2))</f>
        <v/>
      </c>
      <c r="R903" s="79" t="str">
        <f>IF(A903="","",IF(S903=0,"Date manquante ou invalide",IF(C903="","Équipement manquant",IF(ISNA(MATCH(C903,eq_code,0)),"Équipement inconnu",IF(E903="","Type manquant",IF(AND(E903&lt;&gt;"Préventif",E903&lt;&gt;"Correctif",E903&lt;&gt;"Amélioratif"),"Type inconnu",IF(I903="","Statut manquant",IF(AND(I903&lt;&gt;"Terminée",I903&lt;&gt;"En cours",I903&lt;&gt;"À faire",I903&lt;&gt;"Annulée"),"Statut inconnu",IF(AND(E903="Préventif",F903=""),"Plan manquant (préventif)",IF(AND(F903&lt;&gt;"",ISNA(MATCH(F903,pl_num,0))),"Plan inconnu",IF(AND(F903&lt;&gt;"",IFERROR(INDEX(pl_eq,MATCH(F903,pl_num,0))&amp;"",C903)&lt;&gt;C903),"Plan d'un autre équipement",IF(AND(J903&lt;&gt;"",OR(NOT(ISNUMBER(J903)),N(J903)&lt;0)),"Compteur invalide",IF(OR(AND(K903&lt;&gt;"",OR(NOT(ISNUMBER(K903)),N(K903)&lt;0)),AND(L903&lt;&gt;"",OR(NOT(ISNUMBER(L903)),N(L903)&lt;0))),"Durée invalide",IF(OR(AND(N903&lt;&gt;"",OR(NOT(ISNUMBER(N903)),N(N903)&lt;0)),AND(P903&lt;&gt;"",OR(NOT(ISNUMBER(P903)),N(P903)&lt;0))),"Coût invalide",IF(AND(M903&lt;&gt;"",ISNA(MATCH(M903,tech_name,0))),"Technicien inconnu",IF(AND(I903="Terminée",S903&gt;p_today),"Terminée à une date future",IF(AND(I903="Terminée",V903=0),"Durée d'intervention manquante",IF(AND(I903="Terminée",E903="Préventif",T903=0,OR(IFERROR(INDEX(pl_trig,MATCH(F903,pl_num,0))&amp;"","")="Compteur",IFERROR(INDEX(pl_trig,MATCH(F903,pl_num,0))&amp;"","")="Au premier des deux")),"Compteur manquant (plan au compteur)","OK"))))))))))))))))))</f>
        <v/>
      </c>
      <c r="S903" s="67">
        <f>IF(AND(ISNUMBER(B903),N(B903)&gt;0),INT(B903),0)</f>
        <v>0.0</v>
      </c>
      <c r="T903" s="67">
        <f>IF(AND(ISNUMBER(J903),N(J903)&gt;=0),N(J903),0)</f>
        <v>0.0</v>
      </c>
      <c r="U903" s="67">
        <f>IF(AND(ISNUMBER(K903),N(K903)&gt;0),N(K903),0)</f>
        <v>0.0</v>
      </c>
      <c r="V903" s="67">
        <f>IF(AND(ISNUMBER(L903),N(L903)&gt;0),N(L903),0)</f>
        <v>0.0</v>
      </c>
      <c r="W903" s="67">
        <f>IF(AND(I903="Terminée",S903&gt;0,C903&lt;&gt;"",ISNUMBER(MATCH(C903,eq_code,0))),1,0)</f>
        <v>0.0</v>
      </c>
      <c r="X903" s="67">
        <f>IF(AND(W903=1,E903="Préventif"),1,0)</f>
        <v>0.0</v>
      </c>
      <c r="Y903" s="67">
        <f>IF(AND(ISNUMBER(N903),N(N903)&gt;0),N(N903),0)</f>
        <v>0.0</v>
      </c>
      <c r="Z903" s="67">
        <f>IF(AND(ISNUMBER(P903),N(P903)&gt;0),N(P903),0)</f>
        <v>0.0</v>
      </c>
    </row>
    <row r="904">
      <c r="A904" s="79" t="str">
        <f>IF(COUNTA(B904:C904,E904:G904,I904)=0,"","BI-"&amp;RIGHT("0000"&amp;(ROW()-5),4))</f>
        <v/>
      </c>
      <c r="B904" s="72" t="n"/>
      <c r="C904" s="66" t="n"/>
      <c r="D904" s="67" t="str">
        <f>IF(C904="","",IFERROR(INDEX(eq_des,MATCH(C904,eq_code,0))&amp;"","Équipement inconnu"))</f>
        <v/>
      </c>
      <c r="E904" s="68" t="n"/>
      <c r="F904" s="68" t="n"/>
      <c r="G904" s="66" t="n"/>
      <c r="H904" s="66" t="n"/>
      <c r="I904" s="68" t="n"/>
      <c r="J904" s="73" t="n"/>
      <c r="K904" s="71" t="n"/>
      <c r="L904" s="71" t="n"/>
      <c r="M904" s="66" t="n"/>
      <c r="N904" s="80" t="n"/>
      <c r="O904" s="81" t="str">
        <f>IF(A904="","",ROUND(V904*IFERROR(N(INDEX(tech_rate,MATCH(M904,tech_name,0))),0),2))</f>
        <v/>
      </c>
      <c r="P904" s="80" t="n"/>
      <c r="Q904" s="81" t="str">
        <f>IF(A904="","",ROUND(Y904+O904+Z904,2))</f>
        <v/>
      </c>
      <c r="R904" s="79" t="str">
        <f>IF(A904="","",IF(S904=0,"Date manquante ou invalide",IF(C904="","Équipement manquant",IF(ISNA(MATCH(C904,eq_code,0)),"Équipement inconnu",IF(E904="","Type manquant",IF(AND(E904&lt;&gt;"Préventif",E904&lt;&gt;"Correctif",E904&lt;&gt;"Amélioratif"),"Type inconnu",IF(I904="","Statut manquant",IF(AND(I904&lt;&gt;"Terminée",I904&lt;&gt;"En cours",I904&lt;&gt;"À faire",I904&lt;&gt;"Annulée"),"Statut inconnu",IF(AND(E904="Préventif",F904=""),"Plan manquant (préventif)",IF(AND(F904&lt;&gt;"",ISNA(MATCH(F904,pl_num,0))),"Plan inconnu",IF(AND(F904&lt;&gt;"",IFERROR(INDEX(pl_eq,MATCH(F904,pl_num,0))&amp;"",C904)&lt;&gt;C904),"Plan d'un autre équipement",IF(AND(J904&lt;&gt;"",OR(NOT(ISNUMBER(J904)),N(J904)&lt;0)),"Compteur invalide",IF(OR(AND(K904&lt;&gt;"",OR(NOT(ISNUMBER(K904)),N(K904)&lt;0)),AND(L904&lt;&gt;"",OR(NOT(ISNUMBER(L904)),N(L904)&lt;0))),"Durée invalide",IF(OR(AND(N904&lt;&gt;"",OR(NOT(ISNUMBER(N904)),N(N904)&lt;0)),AND(P904&lt;&gt;"",OR(NOT(ISNUMBER(P904)),N(P904)&lt;0))),"Coût invalide",IF(AND(M904&lt;&gt;"",ISNA(MATCH(M904,tech_name,0))),"Technicien inconnu",IF(AND(I904="Terminée",S904&gt;p_today),"Terminée à une date future",IF(AND(I904="Terminée",V904=0),"Durée d'intervention manquante",IF(AND(I904="Terminée",E904="Préventif",T904=0,OR(IFERROR(INDEX(pl_trig,MATCH(F904,pl_num,0))&amp;"","")="Compteur",IFERROR(INDEX(pl_trig,MATCH(F904,pl_num,0))&amp;"","")="Au premier des deux")),"Compteur manquant (plan au compteur)","OK"))))))))))))))))))</f>
        <v/>
      </c>
      <c r="S904" s="67">
        <f>IF(AND(ISNUMBER(B904),N(B904)&gt;0),INT(B904),0)</f>
        <v>0.0</v>
      </c>
      <c r="T904" s="67">
        <f>IF(AND(ISNUMBER(J904),N(J904)&gt;=0),N(J904),0)</f>
        <v>0.0</v>
      </c>
      <c r="U904" s="67">
        <f>IF(AND(ISNUMBER(K904),N(K904)&gt;0),N(K904),0)</f>
        <v>0.0</v>
      </c>
      <c r="V904" s="67">
        <f>IF(AND(ISNUMBER(L904),N(L904)&gt;0),N(L904),0)</f>
        <v>0.0</v>
      </c>
      <c r="W904" s="67">
        <f>IF(AND(I904="Terminée",S904&gt;0,C904&lt;&gt;"",ISNUMBER(MATCH(C904,eq_code,0))),1,0)</f>
        <v>0.0</v>
      </c>
      <c r="X904" s="67">
        <f>IF(AND(W904=1,E904="Préventif"),1,0)</f>
        <v>0.0</v>
      </c>
      <c r="Y904" s="67">
        <f>IF(AND(ISNUMBER(N904),N(N904)&gt;0),N(N904),0)</f>
        <v>0.0</v>
      </c>
      <c r="Z904" s="67">
        <f>IF(AND(ISNUMBER(P904),N(P904)&gt;0),N(P904),0)</f>
        <v>0.0</v>
      </c>
    </row>
    <row r="905">
      <c r="A905" s="79" t="str">
        <f>IF(COUNTA(B905:C905,E905:G905,I905)=0,"","BI-"&amp;RIGHT("0000"&amp;(ROW()-5),4))</f>
        <v/>
      </c>
      <c r="B905" s="72" t="n"/>
      <c r="C905" s="66" t="n"/>
      <c r="D905" s="67" t="str">
        <f>IF(C905="","",IFERROR(INDEX(eq_des,MATCH(C905,eq_code,0))&amp;"","Équipement inconnu"))</f>
        <v/>
      </c>
      <c r="E905" s="68" t="n"/>
      <c r="F905" s="68" t="n"/>
      <c r="G905" s="66" t="n"/>
      <c r="H905" s="66" t="n"/>
      <c r="I905" s="68" t="n"/>
      <c r="J905" s="73" t="n"/>
      <c r="K905" s="71" t="n"/>
      <c r="L905" s="71" t="n"/>
      <c r="M905" s="66" t="n"/>
      <c r="N905" s="80" t="n"/>
      <c r="O905" s="81" t="str">
        <f>IF(A905="","",ROUND(V905*IFERROR(N(INDEX(tech_rate,MATCH(M905,tech_name,0))),0),2))</f>
        <v/>
      </c>
      <c r="P905" s="80" t="n"/>
      <c r="Q905" s="81" t="str">
        <f>IF(A905="","",ROUND(Y905+O905+Z905,2))</f>
        <v/>
      </c>
      <c r="R905" s="79" t="str">
        <f>IF(A905="","",IF(S905=0,"Date manquante ou invalide",IF(C905="","Équipement manquant",IF(ISNA(MATCH(C905,eq_code,0)),"Équipement inconnu",IF(E905="","Type manquant",IF(AND(E905&lt;&gt;"Préventif",E905&lt;&gt;"Correctif",E905&lt;&gt;"Amélioratif"),"Type inconnu",IF(I905="","Statut manquant",IF(AND(I905&lt;&gt;"Terminée",I905&lt;&gt;"En cours",I905&lt;&gt;"À faire",I905&lt;&gt;"Annulée"),"Statut inconnu",IF(AND(E905="Préventif",F905=""),"Plan manquant (préventif)",IF(AND(F905&lt;&gt;"",ISNA(MATCH(F905,pl_num,0))),"Plan inconnu",IF(AND(F905&lt;&gt;"",IFERROR(INDEX(pl_eq,MATCH(F905,pl_num,0))&amp;"",C905)&lt;&gt;C905),"Plan d'un autre équipement",IF(AND(J905&lt;&gt;"",OR(NOT(ISNUMBER(J905)),N(J905)&lt;0)),"Compteur invalide",IF(OR(AND(K905&lt;&gt;"",OR(NOT(ISNUMBER(K905)),N(K905)&lt;0)),AND(L905&lt;&gt;"",OR(NOT(ISNUMBER(L905)),N(L905)&lt;0))),"Durée invalide",IF(OR(AND(N905&lt;&gt;"",OR(NOT(ISNUMBER(N905)),N(N905)&lt;0)),AND(P905&lt;&gt;"",OR(NOT(ISNUMBER(P905)),N(P905)&lt;0))),"Coût invalide",IF(AND(M905&lt;&gt;"",ISNA(MATCH(M905,tech_name,0))),"Technicien inconnu",IF(AND(I905="Terminée",S905&gt;p_today),"Terminée à une date future",IF(AND(I905="Terminée",V905=0),"Durée d'intervention manquante",IF(AND(I905="Terminée",E905="Préventif",T905=0,OR(IFERROR(INDEX(pl_trig,MATCH(F905,pl_num,0))&amp;"","")="Compteur",IFERROR(INDEX(pl_trig,MATCH(F905,pl_num,0))&amp;"","")="Au premier des deux")),"Compteur manquant (plan au compteur)","OK"))))))))))))))))))</f>
        <v/>
      </c>
      <c r="S905" s="67">
        <f>IF(AND(ISNUMBER(B905),N(B905)&gt;0),INT(B905),0)</f>
        <v>0.0</v>
      </c>
      <c r="T905" s="67">
        <f>IF(AND(ISNUMBER(J905),N(J905)&gt;=0),N(J905),0)</f>
        <v>0.0</v>
      </c>
      <c r="U905" s="67">
        <f>IF(AND(ISNUMBER(K905),N(K905)&gt;0),N(K905),0)</f>
        <v>0.0</v>
      </c>
      <c r="V905" s="67">
        <f>IF(AND(ISNUMBER(L905),N(L905)&gt;0),N(L905),0)</f>
        <v>0.0</v>
      </c>
      <c r="W905" s="67">
        <f>IF(AND(I905="Terminée",S905&gt;0,C905&lt;&gt;"",ISNUMBER(MATCH(C905,eq_code,0))),1,0)</f>
        <v>0.0</v>
      </c>
      <c r="X905" s="67">
        <f>IF(AND(W905=1,E905="Préventif"),1,0)</f>
        <v>0.0</v>
      </c>
      <c r="Y905" s="67">
        <f>IF(AND(ISNUMBER(N905),N(N905)&gt;0),N(N905),0)</f>
        <v>0.0</v>
      </c>
      <c r="Z905" s="67">
        <f>IF(AND(ISNUMBER(P905),N(P905)&gt;0),N(P905),0)</f>
        <v>0.0</v>
      </c>
    </row>
    <row r="906">
      <c r="A906" s="79" t="str">
        <f>IF(COUNTA(B906:C906,E906:G906,I906)=0,"","BI-"&amp;RIGHT("0000"&amp;(ROW()-5),4))</f>
        <v/>
      </c>
      <c r="B906" s="72" t="n"/>
      <c r="C906" s="66" t="n"/>
      <c r="D906" s="67" t="str">
        <f>IF(C906="","",IFERROR(INDEX(eq_des,MATCH(C906,eq_code,0))&amp;"","Équipement inconnu"))</f>
        <v/>
      </c>
      <c r="E906" s="68" t="n"/>
      <c r="F906" s="68" t="n"/>
      <c r="G906" s="66" t="n"/>
      <c r="H906" s="66" t="n"/>
      <c r="I906" s="68" t="n"/>
      <c r="J906" s="73" t="n"/>
      <c r="K906" s="71" t="n"/>
      <c r="L906" s="71" t="n"/>
      <c r="M906" s="66" t="n"/>
      <c r="N906" s="80" t="n"/>
      <c r="O906" s="81" t="str">
        <f>IF(A906="","",ROUND(V906*IFERROR(N(INDEX(tech_rate,MATCH(M906,tech_name,0))),0),2))</f>
        <v/>
      </c>
      <c r="P906" s="80" t="n"/>
      <c r="Q906" s="81" t="str">
        <f>IF(A906="","",ROUND(Y906+O906+Z906,2))</f>
        <v/>
      </c>
      <c r="R906" s="79" t="str">
        <f>IF(A906="","",IF(S906=0,"Date manquante ou invalide",IF(C906="","Équipement manquant",IF(ISNA(MATCH(C906,eq_code,0)),"Équipement inconnu",IF(E906="","Type manquant",IF(AND(E906&lt;&gt;"Préventif",E906&lt;&gt;"Correctif",E906&lt;&gt;"Amélioratif"),"Type inconnu",IF(I906="","Statut manquant",IF(AND(I906&lt;&gt;"Terminée",I906&lt;&gt;"En cours",I906&lt;&gt;"À faire",I906&lt;&gt;"Annulée"),"Statut inconnu",IF(AND(E906="Préventif",F906=""),"Plan manquant (préventif)",IF(AND(F906&lt;&gt;"",ISNA(MATCH(F906,pl_num,0))),"Plan inconnu",IF(AND(F906&lt;&gt;"",IFERROR(INDEX(pl_eq,MATCH(F906,pl_num,0))&amp;"",C906)&lt;&gt;C906),"Plan d'un autre équipement",IF(AND(J906&lt;&gt;"",OR(NOT(ISNUMBER(J906)),N(J906)&lt;0)),"Compteur invalide",IF(OR(AND(K906&lt;&gt;"",OR(NOT(ISNUMBER(K906)),N(K906)&lt;0)),AND(L906&lt;&gt;"",OR(NOT(ISNUMBER(L906)),N(L906)&lt;0))),"Durée invalide",IF(OR(AND(N906&lt;&gt;"",OR(NOT(ISNUMBER(N906)),N(N906)&lt;0)),AND(P906&lt;&gt;"",OR(NOT(ISNUMBER(P906)),N(P906)&lt;0))),"Coût invalide",IF(AND(M906&lt;&gt;"",ISNA(MATCH(M906,tech_name,0))),"Technicien inconnu",IF(AND(I906="Terminée",S906&gt;p_today),"Terminée à une date future",IF(AND(I906="Terminée",V906=0),"Durée d'intervention manquante",IF(AND(I906="Terminée",E906="Préventif",T906=0,OR(IFERROR(INDEX(pl_trig,MATCH(F906,pl_num,0))&amp;"","")="Compteur",IFERROR(INDEX(pl_trig,MATCH(F906,pl_num,0))&amp;"","")="Au premier des deux")),"Compteur manquant (plan au compteur)","OK"))))))))))))))))))</f>
        <v/>
      </c>
      <c r="S906" s="67">
        <f>IF(AND(ISNUMBER(B906),N(B906)&gt;0),INT(B906),0)</f>
        <v>0.0</v>
      </c>
      <c r="T906" s="67">
        <f>IF(AND(ISNUMBER(J906),N(J906)&gt;=0),N(J906),0)</f>
        <v>0.0</v>
      </c>
      <c r="U906" s="67">
        <f>IF(AND(ISNUMBER(K906),N(K906)&gt;0),N(K906),0)</f>
        <v>0.0</v>
      </c>
      <c r="V906" s="67">
        <f>IF(AND(ISNUMBER(L906),N(L906)&gt;0),N(L906),0)</f>
        <v>0.0</v>
      </c>
      <c r="W906" s="67">
        <f>IF(AND(I906="Terminée",S906&gt;0,C906&lt;&gt;"",ISNUMBER(MATCH(C906,eq_code,0))),1,0)</f>
        <v>0.0</v>
      </c>
      <c r="X906" s="67">
        <f>IF(AND(W906=1,E906="Préventif"),1,0)</f>
        <v>0.0</v>
      </c>
      <c r="Y906" s="67">
        <f>IF(AND(ISNUMBER(N906),N(N906)&gt;0),N(N906),0)</f>
        <v>0.0</v>
      </c>
      <c r="Z906" s="67">
        <f>IF(AND(ISNUMBER(P906),N(P906)&gt;0),N(P906),0)</f>
        <v>0.0</v>
      </c>
    </row>
    <row r="907">
      <c r="A907" s="79" t="str">
        <f>IF(COUNTA(B907:C907,E907:G907,I907)=0,"","BI-"&amp;RIGHT("0000"&amp;(ROW()-5),4))</f>
        <v/>
      </c>
      <c r="B907" s="72" t="n"/>
      <c r="C907" s="66" t="n"/>
      <c r="D907" s="67" t="str">
        <f>IF(C907="","",IFERROR(INDEX(eq_des,MATCH(C907,eq_code,0))&amp;"","Équipement inconnu"))</f>
        <v/>
      </c>
      <c r="E907" s="68" t="n"/>
      <c r="F907" s="68" t="n"/>
      <c r="G907" s="66" t="n"/>
      <c r="H907" s="66" t="n"/>
      <c r="I907" s="68" t="n"/>
      <c r="J907" s="73" t="n"/>
      <c r="K907" s="71" t="n"/>
      <c r="L907" s="71" t="n"/>
      <c r="M907" s="66" t="n"/>
      <c r="N907" s="80" t="n"/>
      <c r="O907" s="81" t="str">
        <f>IF(A907="","",ROUND(V907*IFERROR(N(INDEX(tech_rate,MATCH(M907,tech_name,0))),0),2))</f>
        <v/>
      </c>
      <c r="P907" s="80" t="n"/>
      <c r="Q907" s="81" t="str">
        <f>IF(A907="","",ROUND(Y907+O907+Z907,2))</f>
        <v/>
      </c>
      <c r="R907" s="79" t="str">
        <f>IF(A907="","",IF(S907=0,"Date manquante ou invalide",IF(C907="","Équipement manquant",IF(ISNA(MATCH(C907,eq_code,0)),"Équipement inconnu",IF(E907="","Type manquant",IF(AND(E907&lt;&gt;"Préventif",E907&lt;&gt;"Correctif",E907&lt;&gt;"Amélioratif"),"Type inconnu",IF(I907="","Statut manquant",IF(AND(I907&lt;&gt;"Terminée",I907&lt;&gt;"En cours",I907&lt;&gt;"À faire",I907&lt;&gt;"Annulée"),"Statut inconnu",IF(AND(E907="Préventif",F907=""),"Plan manquant (préventif)",IF(AND(F907&lt;&gt;"",ISNA(MATCH(F907,pl_num,0))),"Plan inconnu",IF(AND(F907&lt;&gt;"",IFERROR(INDEX(pl_eq,MATCH(F907,pl_num,0))&amp;"",C907)&lt;&gt;C907),"Plan d'un autre équipement",IF(AND(J907&lt;&gt;"",OR(NOT(ISNUMBER(J907)),N(J907)&lt;0)),"Compteur invalide",IF(OR(AND(K907&lt;&gt;"",OR(NOT(ISNUMBER(K907)),N(K907)&lt;0)),AND(L907&lt;&gt;"",OR(NOT(ISNUMBER(L907)),N(L907)&lt;0))),"Durée invalide",IF(OR(AND(N907&lt;&gt;"",OR(NOT(ISNUMBER(N907)),N(N907)&lt;0)),AND(P907&lt;&gt;"",OR(NOT(ISNUMBER(P907)),N(P907)&lt;0))),"Coût invalide",IF(AND(M907&lt;&gt;"",ISNA(MATCH(M907,tech_name,0))),"Technicien inconnu",IF(AND(I907="Terminée",S907&gt;p_today),"Terminée à une date future",IF(AND(I907="Terminée",V907=0),"Durée d'intervention manquante",IF(AND(I907="Terminée",E907="Préventif",T907=0,OR(IFERROR(INDEX(pl_trig,MATCH(F907,pl_num,0))&amp;"","")="Compteur",IFERROR(INDEX(pl_trig,MATCH(F907,pl_num,0))&amp;"","")="Au premier des deux")),"Compteur manquant (plan au compteur)","OK"))))))))))))))))))</f>
        <v/>
      </c>
      <c r="S907" s="67">
        <f>IF(AND(ISNUMBER(B907),N(B907)&gt;0),INT(B907),0)</f>
        <v>0.0</v>
      </c>
      <c r="T907" s="67">
        <f>IF(AND(ISNUMBER(J907),N(J907)&gt;=0),N(J907),0)</f>
        <v>0.0</v>
      </c>
      <c r="U907" s="67">
        <f>IF(AND(ISNUMBER(K907),N(K907)&gt;0),N(K907),0)</f>
        <v>0.0</v>
      </c>
      <c r="V907" s="67">
        <f>IF(AND(ISNUMBER(L907),N(L907)&gt;0),N(L907),0)</f>
        <v>0.0</v>
      </c>
      <c r="W907" s="67">
        <f>IF(AND(I907="Terminée",S907&gt;0,C907&lt;&gt;"",ISNUMBER(MATCH(C907,eq_code,0))),1,0)</f>
        <v>0.0</v>
      </c>
      <c r="X907" s="67">
        <f>IF(AND(W907=1,E907="Préventif"),1,0)</f>
        <v>0.0</v>
      </c>
      <c r="Y907" s="67">
        <f>IF(AND(ISNUMBER(N907),N(N907)&gt;0),N(N907),0)</f>
        <v>0.0</v>
      </c>
      <c r="Z907" s="67">
        <f>IF(AND(ISNUMBER(P907),N(P907)&gt;0),N(P907),0)</f>
        <v>0.0</v>
      </c>
    </row>
    <row r="908">
      <c r="A908" s="79" t="str">
        <f>IF(COUNTA(B908:C908,E908:G908,I908)=0,"","BI-"&amp;RIGHT("0000"&amp;(ROW()-5),4))</f>
        <v/>
      </c>
      <c r="B908" s="72" t="n"/>
      <c r="C908" s="66" t="n"/>
      <c r="D908" s="67" t="str">
        <f>IF(C908="","",IFERROR(INDEX(eq_des,MATCH(C908,eq_code,0))&amp;"","Équipement inconnu"))</f>
        <v/>
      </c>
      <c r="E908" s="68" t="n"/>
      <c r="F908" s="68" t="n"/>
      <c r="G908" s="66" t="n"/>
      <c r="H908" s="66" t="n"/>
      <c r="I908" s="68" t="n"/>
      <c r="J908" s="73" t="n"/>
      <c r="K908" s="71" t="n"/>
      <c r="L908" s="71" t="n"/>
      <c r="M908" s="66" t="n"/>
      <c r="N908" s="80" t="n"/>
      <c r="O908" s="81" t="str">
        <f>IF(A908="","",ROUND(V908*IFERROR(N(INDEX(tech_rate,MATCH(M908,tech_name,0))),0),2))</f>
        <v/>
      </c>
      <c r="P908" s="80" t="n"/>
      <c r="Q908" s="81" t="str">
        <f>IF(A908="","",ROUND(Y908+O908+Z908,2))</f>
        <v/>
      </c>
      <c r="R908" s="79" t="str">
        <f>IF(A908="","",IF(S908=0,"Date manquante ou invalide",IF(C908="","Équipement manquant",IF(ISNA(MATCH(C908,eq_code,0)),"Équipement inconnu",IF(E908="","Type manquant",IF(AND(E908&lt;&gt;"Préventif",E908&lt;&gt;"Correctif",E908&lt;&gt;"Amélioratif"),"Type inconnu",IF(I908="","Statut manquant",IF(AND(I908&lt;&gt;"Terminée",I908&lt;&gt;"En cours",I908&lt;&gt;"À faire",I908&lt;&gt;"Annulée"),"Statut inconnu",IF(AND(E908="Préventif",F908=""),"Plan manquant (préventif)",IF(AND(F908&lt;&gt;"",ISNA(MATCH(F908,pl_num,0))),"Plan inconnu",IF(AND(F908&lt;&gt;"",IFERROR(INDEX(pl_eq,MATCH(F908,pl_num,0))&amp;"",C908)&lt;&gt;C908),"Plan d'un autre équipement",IF(AND(J908&lt;&gt;"",OR(NOT(ISNUMBER(J908)),N(J908)&lt;0)),"Compteur invalide",IF(OR(AND(K908&lt;&gt;"",OR(NOT(ISNUMBER(K908)),N(K908)&lt;0)),AND(L908&lt;&gt;"",OR(NOT(ISNUMBER(L908)),N(L908)&lt;0))),"Durée invalide",IF(OR(AND(N908&lt;&gt;"",OR(NOT(ISNUMBER(N908)),N(N908)&lt;0)),AND(P908&lt;&gt;"",OR(NOT(ISNUMBER(P908)),N(P908)&lt;0))),"Coût invalide",IF(AND(M908&lt;&gt;"",ISNA(MATCH(M908,tech_name,0))),"Technicien inconnu",IF(AND(I908="Terminée",S908&gt;p_today),"Terminée à une date future",IF(AND(I908="Terminée",V908=0),"Durée d'intervention manquante",IF(AND(I908="Terminée",E908="Préventif",T908=0,OR(IFERROR(INDEX(pl_trig,MATCH(F908,pl_num,0))&amp;"","")="Compteur",IFERROR(INDEX(pl_trig,MATCH(F908,pl_num,0))&amp;"","")="Au premier des deux")),"Compteur manquant (plan au compteur)","OK"))))))))))))))))))</f>
        <v/>
      </c>
      <c r="S908" s="67">
        <f>IF(AND(ISNUMBER(B908),N(B908)&gt;0),INT(B908),0)</f>
        <v>0.0</v>
      </c>
      <c r="T908" s="67">
        <f>IF(AND(ISNUMBER(J908),N(J908)&gt;=0),N(J908),0)</f>
        <v>0.0</v>
      </c>
      <c r="U908" s="67">
        <f>IF(AND(ISNUMBER(K908),N(K908)&gt;0),N(K908),0)</f>
        <v>0.0</v>
      </c>
      <c r="V908" s="67">
        <f>IF(AND(ISNUMBER(L908),N(L908)&gt;0),N(L908),0)</f>
        <v>0.0</v>
      </c>
      <c r="W908" s="67">
        <f>IF(AND(I908="Terminée",S908&gt;0,C908&lt;&gt;"",ISNUMBER(MATCH(C908,eq_code,0))),1,0)</f>
        <v>0.0</v>
      </c>
      <c r="X908" s="67">
        <f>IF(AND(W908=1,E908="Préventif"),1,0)</f>
        <v>0.0</v>
      </c>
      <c r="Y908" s="67">
        <f>IF(AND(ISNUMBER(N908),N(N908)&gt;0),N(N908),0)</f>
        <v>0.0</v>
      </c>
      <c r="Z908" s="67">
        <f>IF(AND(ISNUMBER(P908),N(P908)&gt;0),N(P908),0)</f>
        <v>0.0</v>
      </c>
    </row>
    <row r="909">
      <c r="A909" s="79" t="str">
        <f>IF(COUNTA(B909:C909,E909:G909,I909)=0,"","BI-"&amp;RIGHT("0000"&amp;(ROW()-5),4))</f>
        <v/>
      </c>
      <c r="B909" s="72" t="n"/>
      <c r="C909" s="66" t="n"/>
      <c r="D909" s="67" t="str">
        <f>IF(C909="","",IFERROR(INDEX(eq_des,MATCH(C909,eq_code,0))&amp;"","Équipement inconnu"))</f>
        <v/>
      </c>
      <c r="E909" s="68" t="n"/>
      <c r="F909" s="68" t="n"/>
      <c r="G909" s="66" t="n"/>
      <c r="H909" s="66" t="n"/>
      <c r="I909" s="68" t="n"/>
      <c r="J909" s="73" t="n"/>
      <c r="K909" s="71" t="n"/>
      <c r="L909" s="71" t="n"/>
      <c r="M909" s="66" t="n"/>
      <c r="N909" s="80" t="n"/>
      <c r="O909" s="81" t="str">
        <f>IF(A909="","",ROUND(V909*IFERROR(N(INDEX(tech_rate,MATCH(M909,tech_name,0))),0),2))</f>
        <v/>
      </c>
      <c r="P909" s="80" t="n"/>
      <c r="Q909" s="81" t="str">
        <f>IF(A909="","",ROUND(Y909+O909+Z909,2))</f>
        <v/>
      </c>
      <c r="R909" s="79" t="str">
        <f>IF(A909="","",IF(S909=0,"Date manquante ou invalide",IF(C909="","Équipement manquant",IF(ISNA(MATCH(C909,eq_code,0)),"Équipement inconnu",IF(E909="","Type manquant",IF(AND(E909&lt;&gt;"Préventif",E909&lt;&gt;"Correctif",E909&lt;&gt;"Amélioratif"),"Type inconnu",IF(I909="","Statut manquant",IF(AND(I909&lt;&gt;"Terminée",I909&lt;&gt;"En cours",I909&lt;&gt;"À faire",I909&lt;&gt;"Annulée"),"Statut inconnu",IF(AND(E909="Préventif",F909=""),"Plan manquant (préventif)",IF(AND(F909&lt;&gt;"",ISNA(MATCH(F909,pl_num,0))),"Plan inconnu",IF(AND(F909&lt;&gt;"",IFERROR(INDEX(pl_eq,MATCH(F909,pl_num,0))&amp;"",C909)&lt;&gt;C909),"Plan d'un autre équipement",IF(AND(J909&lt;&gt;"",OR(NOT(ISNUMBER(J909)),N(J909)&lt;0)),"Compteur invalide",IF(OR(AND(K909&lt;&gt;"",OR(NOT(ISNUMBER(K909)),N(K909)&lt;0)),AND(L909&lt;&gt;"",OR(NOT(ISNUMBER(L909)),N(L909)&lt;0))),"Durée invalide",IF(OR(AND(N909&lt;&gt;"",OR(NOT(ISNUMBER(N909)),N(N909)&lt;0)),AND(P909&lt;&gt;"",OR(NOT(ISNUMBER(P909)),N(P909)&lt;0))),"Coût invalide",IF(AND(M909&lt;&gt;"",ISNA(MATCH(M909,tech_name,0))),"Technicien inconnu",IF(AND(I909="Terminée",S909&gt;p_today),"Terminée à une date future",IF(AND(I909="Terminée",V909=0),"Durée d'intervention manquante",IF(AND(I909="Terminée",E909="Préventif",T909=0,OR(IFERROR(INDEX(pl_trig,MATCH(F909,pl_num,0))&amp;"","")="Compteur",IFERROR(INDEX(pl_trig,MATCH(F909,pl_num,0))&amp;"","")="Au premier des deux")),"Compteur manquant (plan au compteur)","OK"))))))))))))))))))</f>
        <v/>
      </c>
      <c r="S909" s="67">
        <f>IF(AND(ISNUMBER(B909),N(B909)&gt;0),INT(B909),0)</f>
        <v>0.0</v>
      </c>
      <c r="T909" s="67">
        <f>IF(AND(ISNUMBER(J909),N(J909)&gt;=0),N(J909),0)</f>
        <v>0.0</v>
      </c>
      <c r="U909" s="67">
        <f>IF(AND(ISNUMBER(K909),N(K909)&gt;0),N(K909),0)</f>
        <v>0.0</v>
      </c>
      <c r="V909" s="67">
        <f>IF(AND(ISNUMBER(L909),N(L909)&gt;0),N(L909),0)</f>
        <v>0.0</v>
      </c>
      <c r="W909" s="67">
        <f>IF(AND(I909="Terminée",S909&gt;0,C909&lt;&gt;"",ISNUMBER(MATCH(C909,eq_code,0))),1,0)</f>
        <v>0.0</v>
      </c>
      <c r="X909" s="67">
        <f>IF(AND(W909=1,E909="Préventif"),1,0)</f>
        <v>0.0</v>
      </c>
      <c r="Y909" s="67">
        <f>IF(AND(ISNUMBER(N909),N(N909)&gt;0),N(N909),0)</f>
        <v>0.0</v>
      </c>
      <c r="Z909" s="67">
        <f>IF(AND(ISNUMBER(P909),N(P909)&gt;0),N(P909),0)</f>
        <v>0.0</v>
      </c>
    </row>
    <row r="910">
      <c r="A910" s="79" t="str">
        <f>IF(COUNTA(B910:C910,E910:G910,I910)=0,"","BI-"&amp;RIGHT("0000"&amp;(ROW()-5),4))</f>
        <v/>
      </c>
      <c r="B910" s="72" t="n"/>
      <c r="C910" s="66" t="n"/>
      <c r="D910" s="67" t="str">
        <f>IF(C910="","",IFERROR(INDEX(eq_des,MATCH(C910,eq_code,0))&amp;"","Équipement inconnu"))</f>
        <v/>
      </c>
      <c r="E910" s="68" t="n"/>
      <c r="F910" s="68" t="n"/>
      <c r="G910" s="66" t="n"/>
      <c r="H910" s="66" t="n"/>
      <c r="I910" s="68" t="n"/>
      <c r="J910" s="73" t="n"/>
      <c r="K910" s="71" t="n"/>
      <c r="L910" s="71" t="n"/>
      <c r="M910" s="66" t="n"/>
      <c r="N910" s="80" t="n"/>
      <c r="O910" s="81" t="str">
        <f>IF(A910="","",ROUND(V910*IFERROR(N(INDEX(tech_rate,MATCH(M910,tech_name,0))),0),2))</f>
        <v/>
      </c>
      <c r="P910" s="80" t="n"/>
      <c r="Q910" s="81" t="str">
        <f>IF(A910="","",ROUND(Y910+O910+Z910,2))</f>
        <v/>
      </c>
      <c r="R910" s="79" t="str">
        <f>IF(A910="","",IF(S910=0,"Date manquante ou invalide",IF(C910="","Équipement manquant",IF(ISNA(MATCH(C910,eq_code,0)),"Équipement inconnu",IF(E910="","Type manquant",IF(AND(E910&lt;&gt;"Préventif",E910&lt;&gt;"Correctif",E910&lt;&gt;"Amélioratif"),"Type inconnu",IF(I910="","Statut manquant",IF(AND(I910&lt;&gt;"Terminée",I910&lt;&gt;"En cours",I910&lt;&gt;"À faire",I910&lt;&gt;"Annulée"),"Statut inconnu",IF(AND(E910="Préventif",F910=""),"Plan manquant (préventif)",IF(AND(F910&lt;&gt;"",ISNA(MATCH(F910,pl_num,0))),"Plan inconnu",IF(AND(F910&lt;&gt;"",IFERROR(INDEX(pl_eq,MATCH(F910,pl_num,0))&amp;"",C910)&lt;&gt;C910),"Plan d'un autre équipement",IF(AND(J910&lt;&gt;"",OR(NOT(ISNUMBER(J910)),N(J910)&lt;0)),"Compteur invalide",IF(OR(AND(K910&lt;&gt;"",OR(NOT(ISNUMBER(K910)),N(K910)&lt;0)),AND(L910&lt;&gt;"",OR(NOT(ISNUMBER(L910)),N(L910)&lt;0))),"Durée invalide",IF(OR(AND(N910&lt;&gt;"",OR(NOT(ISNUMBER(N910)),N(N910)&lt;0)),AND(P910&lt;&gt;"",OR(NOT(ISNUMBER(P910)),N(P910)&lt;0))),"Coût invalide",IF(AND(M910&lt;&gt;"",ISNA(MATCH(M910,tech_name,0))),"Technicien inconnu",IF(AND(I910="Terminée",S910&gt;p_today),"Terminée à une date future",IF(AND(I910="Terminée",V910=0),"Durée d'intervention manquante",IF(AND(I910="Terminée",E910="Préventif",T910=0,OR(IFERROR(INDEX(pl_trig,MATCH(F910,pl_num,0))&amp;"","")="Compteur",IFERROR(INDEX(pl_trig,MATCH(F910,pl_num,0))&amp;"","")="Au premier des deux")),"Compteur manquant (plan au compteur)","OK"))))))))))))))))))</f>
        <v/>
      </c>
      <c r="S910" s="67">
        <f>IF(AND(ISNUMBER(B910),N(B910)&gt;0),INT(B910),0)</f>
        <v>0.0</v>
      </c>
      <c r="T910" s="67">
        <f>IF(AND(ISNUMBER(J910),N(J910)&gt;=0),N(J910),0)</f>
        <v>0.0</v>
      </c>
      <c r="U910" s="67">
        <f>IF(AND(ISNUMBER(K910),N(K910)&gt;0),N(K910),0)</f>
        <v>0.0</v>
      </c>
      <c r="V910" s="67">
        <f>IF(AND(ISNUMBER(L910),N(L910)&gt;0),N(L910),0)</f>
        <v>0.0</v>
      </c>
      <c r="W910" s="67">
        <f>IF(AND(I910="Terminée",S910&gt;0,C910&lt;&gt;"",ISNUMBER(MATCH(C910,eq_code,0))),1,0)</f>
        <v>0.0</v>
      </c>
      <c r="X910" s="67">
        <f>IF(AND(W910=1,E910="Préventif"),1,0)</f>
        <v>0.0</v>
      </c>
      <c r="Y910" s="67">
        <f>IF(AND(ISNUMBER(N910),N(N910)&gt;0),N(N910),0)</f>
        <v>0.0</v>
      </c>
      <c r="Z910" s="67">
        <f>IF(AND(ISNUMBER(P910),N(P910)&gt;0),N(P910),0)</f>
        <v>0.0</v>
      </c>
    </row>
    <row r="911">
      <c r="A911" s="79" t="str">
        <f>IF(COUNTA(B911:C911,E911:G911,I911)=0,"","BI-"&amp;RIGHT("0000"&amp;(ROW()-5),4))</f>
        <v/>
      </c>
      <c r="B911" s="72" t="n"/>
      <c r="C911" s="66" t="n"/>
      <c r="D911" s="67" t="str">
        <f>IF(C911="","",IFERROR(INDEX(eq_des,MATCH(C911,eq_code,0))&amp;"","Équipement inconnu"))</f>
        <v/>
      </c>
      <c r="E911" s="68" t="n"/>
      <c r="F911" s="68" t="n"/>
      <c r="G911" s="66" t="n"/>
      <c r="H911" s="66" t="n"/>
      <c r="I911" s="68" t="n"/>
      <c r="J911" s="73" t="n"/>
      <c r="K911" s="71" t="n"/>
      <c r="L911" s="71" t="n"/>
      <c r="M911" s="66" t="n"/>
      <c r="N911" s="80" t="n"/>
      <c r="O911" s="81" t="str">
        <f>IF(A911="","",ROUND(V911*IFERROR(N(INDEX(tech_rate,MATCH(M911,tech_name,0))),0),2))</f>
        <v/>
      </c>
      <c r="P911" s="80" t="n"/>
      <c r="Q911" s="81" t="str">
        <f>IF(A911="","",ROUND(Y911+O911+Z911,2))</f>
        <v/>
      </c>
      <c r="R911" s="79" t="str">
        <f>IF(A911="","",IF(S911=0,"Date manquante ou invalide",IF(C911="","Équipement manquant",IF(ISNA(MATCH(C911,eq_code,0)),"Équipement inconnu",IF(E911="","Type manquant",IF(AND(E911&lt;&gt;"Préventif",E911&lt;&gt;"Correctif",E911&lt;&gt;"Amélioratif"),"Type inconnu",IF(I911="","Statut manquant",IF(AND(I911&lt;&gt;"Terminée",I911&lt;&gt;"En cours",I911&lt;&gt;"À faire",I911&lt;&gt;"Annulée"),"Statut inconnu",IF(AND(E911="Préventif",F911=""),"Plan manquant (préventif)",IF(AND(F911&lt;&gt;"",ISNA(MATCH(F911,pl_num,0))),"Plan inconnu",IF(AND(F911&lt;&gt;"",IFERROR(INDEX(pl_eq,MATCH(F911,pl_num,0))&amp;"",C911)&lt;&gt;C911),"Plan d'un autre équipement",IF(AND(J911&lt;&gt;"",OR(NOT(ISNUMBER(J911)),N(J911)&lt;0)),"Compteur invalide",IF(OR(AND(K911&lt;&gt;"",OR(NOT(ISNUMBER(K911)),N(K911)&lt;0)),AND(L911&lt;&gt;"",OR(NOT(ISNUMBER(L911)),N(L911)&lt;0))),"Durée invalide",IF(OR(AND(N911&lt;&gt;"",OR(NOT(ISNUMBER(N911)),N(N911)&lt;0)),AND(P911&lt;&gt;"",OR(NOT(ISNUMBER(P911)),N(P911)&lt;0))),"Coût invalide",IF(AND(M911&lt;&gt;"",ISNA(MATCH(M911,tech_name,0))),"Technicien inconnu",IF(AND(I911="Terminée",S911&gt;p_today),"Terminée à une date future",IF(AND(I911="Terminée",V911=0),"Durée d'intervention manquante",IF(AND(I911="Terminée",E911="Préventif",T911=0,OR(IFERROR(INDEX(pl_trig,MATCH(F911,pl_num,0))&amp;"","")="Compteur",IFERROR(INDEX(pl_trig,MATCH(F911,pl_num,0))&amp;"","")="Au premier des deux")),"Compteur manquant (plan au compteur)","OK"))))))))))))))))))</f>
        <v/>
      </c>
      <c r="S911" s="67">
        <f>IF(AND(ISNUMBER(B911),N(B911)&gt;0),INT(B911),0)</f>
        <v>0.0</v>
      </c>
      <c r="T911" s="67">
        <f>IF(AND(ISNUMBER(J911),N(J911)&gt;=0),N(J911),0)</f>
        <v>0.0</v>
      </c>
      <c r="U911" s="67">
        <f>IF(AND(ISNUMBER(K911),N(K911)&gt;0),N(K911),0)</f>
        <v>0.0</v>
      </c>
      <c r="V911" s="67">
        <f>IF(AND(ISNUMBER(L911),N(L911)&gt;0),N(L911),0)</f>
        <v>0.0</v>
      </c>
      <c r="W911" s="67">
        <f>IF(AND(I911="Terminée",S911&gt;0,C911&lt;&gt;"",ISNUMBER(MATCH(C911,eq_code,0))),1,0)</f>
        <v>0.0</v>
      </c>
      <c r="X911" s="67">
        <f>IF(AND(W911=1,E911="Préventif"),1,0)</f>
        <v>0.0</v>
      </c>
      <c r="Y911" s="67">
        <f>IF(AND(ISNUMBER(N911),N(N911)&gt;0),N(N911),0)</f>
        <v>0.0</v>
      </c>
      <c r="Z911" s="67">
        <f>IF(AND(ISNUMBER(P911),N(P911)&gt;0),N(P911),0)</f>
        <v>0.0</v>
      </c>
    </row>
    <row r="912">
      <c r="A912" s="79" t="str">
        <f>IF(COUNTA(B912:C912,E912:G912,I912)=0,"","BI-"&amp;RIGHT("0000"&amp;(ROW()-5),4))</f>
        <v/>
      </c>
      <c r="B912" s="72" t="n"/>
      <c r="C912" s="66" t="n"/>
      <c r="D912" s="67" t="str">
        <f>IF(C912="","",IFERROR(INDEX(eq_des,MATCH(C912,eq_code,0))&amp;"","Équipement inconnu"))</f>
        <v/>
      </c>
      <c r="E912" s="68" t="n"/>
      <c r="F912" s="68" t="n"/>
      <c r="G912" s="66" t="n"/>
      <c r="H912" s="66" t="n"/>
      <c r="I912" s="68" t="n"/>
      <c r="J912" s="73" t="n"/>
      <c r="K912" s="71" t="n"/>
      <c r="L912" s="71" t="n"/>
      <c r="M912" s="66" t="n"/>
      <c r="N912" s="80" t="n"/>
      <c r="O912" s="81" t="str">
        <f>IF(A912="","",ROUND(V912*IFERROR(N(INDEX(tech_rate,MATCH(M912,tech_name,0))),0),2))</f>
        <v/>
      </c>
      <c r="P912" s="80" t="n"/>
      <c r="Q912" s="81" t="str">
        <f>IF(A912="","",ROUND(Y912+O912+Z912,2))</f>
        <v/>
      </c>
      <c r="R912" s="79" t="str">
        <f>IF(A912="","",IF(S912=0,"Date manquante ou invalide",IF(C912="","Équipement manquant",IF(ISNA(MATCH(C912,eq_code,0)),"Équipement inconnu",IF(E912="","Type manquant",IF(AND(E912&lt;&gt;"Préventif",E912&lt;&gt;"Correctif",E912&lt;&gt;"Amélioratif"),"Type inconnu",IF(I912="","Statut manquant",IF(AND(I912&lt;&gt;"Terminée",I912&lt;&gt;"En cours",I912&lt;&gt;"À faire",I912&lt;&gt;"Annulée"),"Statut inconnu",IF(AND(E912="Préventif",F912=""),"Plan manquant (préventif)",IF(AND(F912&lt;&gt;"",ISNA(MATCH(F912,pl_num,0))),"Plan inconnu",IF(AND(F912&lt;&gt;"",IFERROR(INDEX(pl_eq,MATCH(F912,pl_num,0))&amp;"",C912)&lt;&gt;C912),"Plan d'un autre équipement",IF(AND(J912&lt;&gt;"",OR(NOT(ISNUMBER(J912)),N(J912)&lt;0)),"Compteur invalide",IF(OR(AND(K912&lt;&gt;"",OR(NOT(ISNUMBER(K912)),N(K912)&lt;0)),AND(L912&lt;&gt;"",OR(NOT(ISNUMBER(L912)),N(L912)&lt;0))),"Durée invalide",IF(OR(AND(N912&lt;&gt;"",OR(NOT(ISNUMBER(N912)),N(N912)&lt;0)),AND(P912&lt;&gt;"",OR(NOT(ISNUMBER(P912)),N(P912)&lt;0))),"Coût invalide",IF(AND(M912&lt;&gt;"",ISNA(MATCH(M912,tech_name,0))),"Technicien inconnu",IF(AND(I912="Terminée",S912&gt;p_today),"Terminée à une date future",IF(AND(I912="Terminée",V912=0),"Durée d'intervention manquante",IF(AND(I912="Terminée",E912="Préventif",T912=0,OR(IFERROR(INDEX(pl_trig,MATCH(F912,pl_num,0))&amp;"","")="Compteur",IFERROR(INDEX(pl_trig,MATCH(F912,pl_num,0))&amp;"","")="Au premier des deux")),"Compteur manquant (plan au compteur)","OK"))))))))))))))))))</f>
        <v/>
      </c>
      <c r="S912" s="67">
        <f>IF(AND(ISNUMBER(B912),N(B912)&gt;0),INT(B912),0)</f>
        <v>0.0</v>
      </c>
      <c r="T912" s="67">
        <f>IF(AND(ISNUMBER(J912),N(J912)&gt;=0),N(J912),0)</f>
        <v>0.0</v>
      </c>
      <c r="U912" s="67">
        <f>IF(AND(ISNUMBER(K912),N(K912)&gt;0),N(K912),0)</f>
        <v>0.0</v>
      </c>
      <c r="V912" s="67">
        <f>IF(AND(ISNUMBER(L912),N(L912)&gt;0),N(L912),0)</f>
        <v>0.0</v>
      </c>
      <c r="W912" s="67">
        <f>IF(AND(I912="Terminée",S912&gt;0,C912&lt;&gt;"",ISNUMBER(MATCH(C912,eq_code,0))),1,0)</f>
        <v>0.0</v>
      </c>
      <c r="X912" s="67">
        <f>IF(AND(W912=1,E912="Préventif"),1,0)</f>
        <v>0.0</v>
      </c>
      <c r="Y912" s="67">
        <f>IF(AND(ISNUMBER(N912),N(N912)&gt;0),N(N912),0)</f>
        <v>0.0</v>
      </c>
      <c r="Z912" s="67">
        <f>IF(AND(ISNUMBER(P912),N(P912)&gt;0),N(P912),0)</f>
        <v>0.0</v>
      </c>
    </row>
    <row r="913">
      <c r="A913" s="79" t="str">
        <f>IF(COUNTA(B913:C913,E913:G913,I913)=0,"","BI-"&amp;RIGHT("0000"&amp;(ROW()-5),4))</f>
        <v/>
      </c>
      <c r="B913" s="72" t="n"/>
      <c r="C913" s="66" t="n"/>
      <c r="D913" s="67" t="str">
        <f>IF(C913="","",IFERROR(INDEX(eq_des,MATCH(C913,eq_code,0))&amp;"","Équipement inconnu"))</f>
        <v/>
      </c>
      <c r="E913" s="68" t="n"/>
      <c r="F913" s="68" t="n"/>
      <c r="G913" s="66" t="n"/>
      <c r="H913" s="66" t="n"/>
      <c r="I913" s="68" t="n"/>
      <c r="J913" s="73" t="n"/>
      <c r="K913" s="71" t="n"/>
      <c r="L913" s="71" t="n"/>
      <c r="M913" s="66" t="n"/>
      <c r="N913" s="80" t="n"/>
      <c r="O913" s="81" t="str">
        <f>IF(A913="","",ROUND(V913*IFERROR(N(INDEX(tech_rate,MATCH(M913,tech_name,0))),0),2))</f>
        <v/>
      </c>
      <c r="P913" s="80" t="n"/>
      <c r="Q913" s="81" t="str">
        <f>IF(A913="","",ROUND(Y913+O913+Z913,2))</f>
        <v/>
      </c>
      <c r="R913" s="79" t="str">
        <f>IF(A913="","",IF(S913=0,"Date manquante ou invalide",IF(C913="","Équipement manquant",IF(ISNA(MATCH(C913,eq_code,0)),"Équipement inconnu",IF(E913="","Type manquant",IF(AND(E913&lt;&gt;"Préventif",E913&lt;&gt;"Correctif",E913&lt;&gt;"Amélioratif"),"Type inconnu",IF(I913="","Statut manquant",IF(AND(I913&lt;&gt;"Terminée",I913&lt;&gt;"En cours",I913&lt;&gt;"À faire",I913&lt;&gt;"Annulée"),"Statut inconnu",IF(AND(E913="Préventif",F913=""),"Plan manquant (préventif)",IF(AND(F913&lt;&gt;"",ISNA(MATCH(F913,pl_num,0))),"Plan inconnu",IF(AND(F913&lt;&gt;"",IFERROR(INDEX(pl_eq,MATCH(F913,pl_num,0))&amp;"",C913)&lt;&gt;C913),"Plan d'un autre équipement",IF(AND(J913&lt;&gt;"",OR(NOT(ISNUMBER(J913)),N(J913)&lt;0)),"Compteur invalide",IF(OR(AND(K913&lt;&gt;"",OR(NOT(ISNUMBER(K913)),N(K913)&lt;0)),AND(L913&lt;&gt;"",OR(NOT(ISNUMBER(L913)),N(L913)&lt;0))),"Durée invalide",IF(OR(AND(N913&lt;&gt;"",OR(NOT(ISNUMBER(N913)),N(N913)&lt;0)),AND(P913&lt;&gt;"",OR(NOT(ISNUMBER(P913)),N(P913)&lt;0))),"Coût invalide",IF(AND(M913&lt;&gt;"",ISNA(MATCH(M913,tech_name,0))),"Technicien inconnu",IF(AND(I913="Terminée",S913&gt;p_today),"Terminée à une date future",IF(AND(I913="Terminée",V913=0),"Durée d'intervention manquante",IF(AND(I913="Terminée",E913="Préventif",T913=0,OR(IFERROR(INDEX(pl_trig,MATCH(F913,pl_num,0))&amp;"","")="Compteur",IFERROR(INDEX(pl_trig,MATCH(F913,pl_num,0))&amp;"","")="Au premier des deux")),"Compteur manquant (plan au compteur)","OK"))))))))))))))))))</f>
        <v/>
      </c>
      <c r="S913" s="67">
        <f>IF(AND(ISNUMBER(B913),N(B913)&gt;0),INT(B913),0)</f>
        <v>0.0</v>
      </c>
      <c r="T913" s="67">
        <f>IF(AND(ISNUMBER(J913),N(J913)&gt;=0),N(J913),0)</f>
        <v>0.0</v>
      </c>
      <c r="U913" s="67">
        <f>IF(AND(ISNUMBER(K913),N(K913)&gt;0),N(K913),0)</f>
        <v>0.0</v>
      </c>
      <c r="V913" s="67">
        <f>IF(AND(ISNUMBER(L913),N(L913)&gt;0),N(L913),0)</f>
        <v>0.0</v>
      </c>
      <c r="W913" s="67">
        <f>IF(AND(I913="Terminée",S913&gt;0,C913&lt;&gt;"",ISNUMBER(MATCH(C913,eq_code,0))),1,0)</f>
        <v>0.0</v>
      </c>
      <c r="X913" s="67">
        <f>IF(AND(W913=1,E913="Préventif"),1,0)</f>
        <v>0.0</v>
      </c>
      <c r="Y913" s="67">
        <f>IF(AND(ISNUMBER(N913),N(N913)&gt;0),N(N913),0)</f>
        <v>0.0</v>
      </c>
      <c r="Z913" s="67">
        <f>IF(AND(ISNUMBER(P913),N(P913)&gt;0),N(P913),0)</f>
        <v>0.0</v>
      </c>
    </row>
    <row r="914">
      <c r="A914" s="79" t="str">
        <f>IF(COUNTA(B914:C914,E914:G914,I914)=0,"","BI-"&amp;RIGHT("0000"&amp;(ROW()-5),4))</f>
        <v/>
      </c>
      <c r="B914" s="72" t="n"/>
      <c r="C914" s="66" t="n"/>
      <c r="D914" s="67" t="str">
        <f>IF(C914="","",IFERROR(INDEX(eq_des,MATCH(C914,eq_code,0))&amp;"","Équipement inconnu"))</f>
        <v/>
      </c>
      <c r="E914" s="68" t="n"/>
      <c r="F914" s="68" t="n"/>
      <c r="G914" s="66" t="n"/>
      <c r="H914" s="66" t="n"/>
      <c r="I914" s="68" t="n"/>
      <c r="J914" s="73" t="n"/>
      <c r="K914" s="71" t="n"/>
      <c r="L914" s="71" t="n"/>
      <c r="M914" s="66" t="n"/>
      <c r="N914" s="80" t="n"/>
      <c r="O914" s="81" t="str">
        <f>IF(A914="","",ROUND(V914*IFERROR(N(INDEX(tech_rate,MATCH(M914,tech_name,0))),0),2))</f>
        <v/>
      </c>
      <c r="P914" s="80" t="n"/>
      <c r="Q914" s="81" t="str">
        <f>IF(A914="","",ROUND(Y914+O914+Z914,2))</f>
        <v/>
      </c>
      <c r="R914" s="79" t="str">
        <f>IF(A914="","",IF(S914=0,"Date manquante ou invalide",IF(C914="","Équipement manquant",IF(ISNA(MATCH(C914,eq_code,0)),"Équipement inconnu",IF(E914="","Type manquant",IF(AND(E914&lt;&gt;"Préventif",E914&lt;&gt;"Correctif",E914&lt;&gt;"Amélioratif"),"Type inconnu",IF(I914="","Statut manquant",IF(AND(I914&lt;&gt;"Terminée",I914&lt;&gt;"En cours",I914&lt;&gt;"À faire",I914&lt;&gt;"Annulée"),"Statut inconnu",IF(AND(E914="Préventif",F914=""),"Plan manquant (préventif)",IF(AND(F914&lt;&gt;"",ISNA(MATCH(F914,pl_num,0))),"Plan inconnu",IF(AND(F914&lt;&gt;"",IFERROR(INDEX(pl_eq,MATCH(F914,pl_num,0))&amp;"",C914)&lt;&gt;C914),"Plan d'un autre équipement",IF(AND(J914&lt;&gt;"",OR(NOT(ISNUMBER(J914)),N(J914)&lt;0)),"Compteur invalide",IF(OR(AND(K914&lt;&gt;"",OR(NOT(ISNUMBER(K914)),N(K914)&lt;0)),AND(L914&lt;&gt;"",OR(NOT(ISNUMBER(L914)),N(L914)&lt;0))),"Durée invalide",IF(OR(AND(N914&lt;&gt;"",OR(NOT(ISNUMBER(N914)),N(N914)&lt;0)),AND(P914&lt;&gt;"",OR(NOT(ISNUMBER(P914)),N(P914)&lt;0))),"Coût invalide",IF(AND(M914&lt;&gt;"",ISNA(MATCH(M914,tech_name,0))),"Technicien inconnu",IF(AND(I914="Terminée",S914&gt;p_today),"Terminée à une date future",IF(AND(I914="Terminée",V914=0),"Durée d'intervention manquante",IF(AND(I914="Terminée",E914="Préventif",T914=0,OR(IFERROR(INDEX(pl_trig,MATCH(F914,pl_num,0))&amp;"","")="Compteur",IFERROR(INDEX(pl_trig,MATCH(F914,pl_num,0))&amp;"","")="Au premier des deux")),"Compteur manquant (plan au compteur)","OK"))))))))))))))))))</f>
        <v/>
      </c>
      <c r="S914" s="67">
        <f>IF(AND(ISNUMBER(B914),N(B914)&gt;0),INT(B914),0)</f>
        <v>0.0</v>
      </c>
      <c r="T914" s="67">
        <f>IF(AND(ISNUMBER(J914),N(J914)&gt;=0),N(J914),0)</f>
        <v>0.0</v>
      </c>
      <c r="U914" s="67">
        <f>IF(AND(ISNUMBER(K914),N(K914)&gt;0),N(K914),0)</f>
        <v>0.0</v>
      </c>
      <c r="V914" s="67">
        <f>IF(AND(ISNUMBER(L914),N(L914)&gt;0),N(L914),0)</f>
        <v>0.0</v>
      </c>
      <c r="W914" s="67">
        <f>IF(AND(I914="Terminée",S914&gt;0,C914&lt;&gt;"",ISNUMBER(MATCH(C914,eq_code,0))),1,0)</f>
        <v>0.0</v>
      </c>
      <c r="X914" s="67">
        <f>IF(AND(W914=1,E914="Préventif"),1,0)</f>
        <v>0.0</v>
      </c>
      <c r="Y914" s="67">
        <f>IF(AND(ISNUMBER(N914),N(N914)&gt;0),N(N914),0)</f>
        <v>0.0</v>
      </c>
      <c r="Z914" s="67">
        <f>IF(AND(ISNUMBER(P914),N(P914)&gt;0),N(P914),0)</f>
        <v>0.0</v>
      </c>
    </row>
    <row r="915">
      <c r="A915" s="79" t="str">
        <f>IF(COUNTA(B915:C915,E915:G915,I915)=0,"","BI-"&amp;RIGHT("0000"&amp;(ROW()-5),4))</f>
        <v/>
      </c>
      <c r="B915" s="72" t="n"/>
      <c r="C915" s="66" t="n"/>
      <c r="D915" s="67" t="str">
        <f>IF(C915="","",IFERROR(INDEX(eq_des,MATCH(C915,eq_code,0))&amp;"","Équipement inconnu"))</f>
        <v/>
      </c>
      <c r="E915" s="68" t="n"/>
      <c r="F915" s="68" t="n"/>
      <c r="G915" s="66" t="n"/>
      <c r="H915" s="66" t="n"/>
      <c r="I915" s="68" t="n"/>
      <c r="J915" s="73" t="n"/>
      <c r="K915" s="71" t="n"/>
      <c r="L915" s="71" t="n"/>
      <c r="M915" s="66" t="n"/>
      <c r="N915" s="80" t="n"/>
      <c r="O915" s="81" t="str">
        <f>IF(A915="","",ROUND(V915*IFERROR(N(INDEX(tech_rate,MATCH(M915,tech_name,0))),0),2))</f>
        <v/>
      </c>
      <c r="P915" s="80" t="n"/>
      <c r="Q915" s="81" t="str">
        <f>IF(A915="","",ROUND(Y915+O915+Z915,2))</f>
        <v/>
      </c>
      <c r="R915" s="79" t="str">
        <f>IF(A915="","",IF(S915=0,"Date manquante ou invalide",IF(C915="","Équipement manquant",IF(ISNA(MATCH(C915,eq_code,0)),"Équipement inconnu",IF(E915="","Type manquant",IF(AND(E915&lt;&gt;"Préventif",E915&lt;&gt;"Correctif",E915&lt;&gt;"Amélioratif"),"Type inconnu",IF(I915="","Statut manquant",IF(AND(I915&lt;&gt;"Terminée",I915&lt;&gt;"En cours",I915&lt;&gt;"À faire",I915&lt;&gt;"Annulée"),"Statut inconnu",IF(AND(E915="Préventif",F915=""),"Plan manquant (préventif)",IF(AND(F915&lt;&gt;"",ISNA(MATCH(F915,pl_num,0))),"Plan inconnu",IF(AND(F915&lt;&gt;"",IFERROR(INDEX(pl_eq,MATCH(F915,pl_num,0))&amp;"",C915)&lt;&gt;C915),"Plan d'un autre équipement",IF(AND(J915&lt;&gt;"",OR(NOT(ISNUMBER(J915)),N(J915)&lt;0)),"Compteur invalide",IF(OR(AND(K915&lt;&gt;"",OR(NOT(ISNUMBER(K915)),N(K915)&lt;0)),AND(L915&lt;&gt;"",OR(NOT(ISNUMBER(L915)),N(L915)&lt;0))),"Durée invalide",IF(OR(AND(N915&lt;&gt;"",OR(NOT(ISNUMBER(N915)),N(N915)&lt;0)),AND(P915&lt;&gt;"",OR(NOT(ISNUMBER(P915)),N(P915)&lt;0))),"Coût invalide",IF(AND(M915&lt;&gt;"",ISNA(MATCH(M915,tech_name,0))),"Technicien inconnu",IF(AND(I915="Terminée",S915&gt;p_today),"Terminée à une date future",IF(AND(I915="Terminée",V915=0),"Durée d'intervention manquante",IF(AND(I915="Terminée",E915="Préventif",T915=0,OR(IFERROR(INDEX(pl_trig,MATCH(F915,pl_num,0))&amp;"","")="Compteur",IFERROR(INDEX(pl_trig,MATCH(F915,pl_num,0))&amp;"","")="Au premier des deux")),"Compteur manquant (plan au compteur)","OK"))))))))))))))))))</f>
        <v/>
      </c>
      <c r="S915" s="67">
        <f>IF(AND(ISNUMBER(B915),N(B915)&gt;0),INT(B915),0)</f>
        <v>0.0</v>
      </c>
      <c r="T915" s="67">
        <f>IF(AND(ISNUMBER(J915),N(J915)&gt;=0),N(J915),0)</f>
        <v>0.0</v>
      </c>
      <c r="U915" s="67">
        <f>IF(AND(ISNUMBER(K915),N(K915)&gt;0),N(K915),0)</f>
        <v>0.0</v>
      </c>
      <c r="V915" s="67">
        <f>IF(AND(ISNUMBER(L915),N(L915)&gt;0),N(L915),0)</f>
        <v>0.0</v>
      </c>
      <c r="W915" s="67">
        <f>IF(AND(I915="Terminée",S915&gt;0,C915&lt;&gt;"",ISNUMBER(MATCH(C915,eq_code,0))),1,0)</f>
        <v>0.0</v>
      </c>
      <c r="X915" s="67">
        <f>IF(AND(W915=1,E915="Préventif"),1,0)</f>
        <v>0.0</v>
      </c>
      <c r="Y915" s="67">
        <f>IF(AND(ISNUMBER(N915),N(N915)&gt;0),N(N915),0)</f>
        <v>0.0</v>
      </c>
      <c r="Z915" s="67">
        <f>IF(AND(ISNUMBER(P915),N(P915)&gt;0),N(P915),0)</f>
        <v>0.0</v>
      </c>
    </row>
    <row r="916">
      <c r="A916" s="79" t="str">
        <f>IF(COUNTA(B916:C916,E916:G916,I916)=0,"","BI-"&amp;RIGHT("0000"&amp;(ROW()-5),4))</f>
        <v/>
      </c>
      <c r="B916" s="72" t="n"/>
      <c r="C916" s="66" t="n"/>
      <c r="D916" s="67" t="str">
        <f>IF(C916="","",IFERROR(INDEX(eq_des,MATCH(C916,eq_code,0))&amp;"","Équipement inconnu"))</f>
        <v/>
      </c>
      <c r="E916" s="68" t="n"/>
      <c r="F916" s="68" t="n"/>
      <c r="G916" s="66" t="n"/>
      <c r="H916" s="66" t="n"/>
      <c r="I916" s="68" t="n"/>
      <c r="J916" s="73" t="n"/>
      <c r="K916" s="71" t="n"/>
      <c r="L916" s="71" t="n"/>
      <c r="M916" s="66" t="n"/>
      <c r="N916" s="80" t="n"/>
      <c r="O916" s="81" t="str">
        <f>IF(A916="","",ROUND(V916*IFERROR(N(INDEX(tech_rate,MATCH(M916,tech_name,0))),0),2))</f>
        <v/>
      </c>
      <c r="P916" s="80" t="n"/>
      <c r="Q916" s="81" t="str">
        <f>IF(A916="","",ROUND(Y916+O916+Z916,2))</f>
        <v/>
      </c>
      <c r="R916" s="79" t="str">
        <f>IF(A916="","",IF(S916=0,"Date manquante ou invalide",IF(C916="","Équipement manquant",IF(ISNA(MATCH(C916,eq_code,0)),"Équipement inconnu",IF(E916="","Type manquant",IF(AND(E916&lt;&gt;"Préventif",E916&lt;&gt;"Correctif",E916&lt;&gt;"Amélioratif"),"Type inconnu",IF(I916="","Statut manquant",IF(AND(I916&lt;&gt;"Terminée",I916&lt;&gt;"En cours",I916&lt;&gt;"À faire",I916&lt;&gt;"Annulée"),"Statut inconnu",IF(AND(E916="Préventif",F916=""),"Plan manquant (préventif)",IF(AND(F916&lt;&gt;"",ISNA(MATCH(F916,pl_num,0))),"Plan inconnu",IF(AND(F916&lt;&gt;"",IFERROR(INDEX(pl_eq,MATCH(F916,pl_num,0))&amp;"",C916)&lt;&gt;C916),"Plan d'un autre équipement",IF(AND(J916&lt;&gt;"",OR(NOT(ISNUMBER(J916)),N(J916)&lt;0)),"Compteur invalide",IF(OR(AND(K916&lt;&gt;"",OR(NOT(ISNUMBER(K916)),N(K916)&lt;0)),AND(L916&lt;&gt;"",OR(NOT(ISNUMBER(L916)),N(L916)&lt;0))),"Durée invalide",IF(OR(AND(N916&lt;&gt;"",OR(NOT(ISNUMBER(N916)),N(N916)&lt;0)),AND(P916&lt;&gt;"",OR(NOT(ISNUMBER(P916)),N(P916)&lt;0))),"Coût invalide",IF(AND(M916&lt;&gt;"",ISNA(MATCH(M916,tech_name,0))),"Technicien inconnu",IF(AND(I916="Terminée",S916&gt;p_today),"Terminée à une date future",IF(AND(I916="Terminée",V916=0),"Durée d'intervention manquante",IF(AND(I916="Terminée",E916="Préventif",T916=0,OR(IFERROR(INDEX(pl_trig,MATCH(F916,pl_num,0))&amp;"","")="Compteur",IFERROR(INDEX(pl_trig,MATCH(F916,pl_num,0))&amp;"","")="Au premier des deux")),"Compteur manquant (plan au compteur)","OK"))))))))))))))))))</f>
        <v/>
      </c>
      <c r="S916" s="67">
        <f>IF(AND(ISNUMBER(B916),N(B916)&gt;0),INT(B916),0)</f>
        <v>0.0</v>
      </c>
      <c r="T916" s="67">
        <f>IF(AND(ISNUMBER(J916),N(J916)&gt;=0),N(J916),0)</f>
        <v>0.0</v>
      </c>
      <c r="U916" s="67">
        <f>IF(AND(ISNUMBER(K916),N(K916)&gt;0),N(K916),0)</f>
        <v>0.0</v>
      </c>
      <c r="V916" s="67">
        <f>IF(AND(ISNUMBER(L916),N(L916)&gt;0),N(L916),0)</f>
        <v>0.0</v>
      </c>
      <c r="W916" s="67">
        <f>IF(AND(I916="Terminée",S916&gt;0,C916&lt;&gt;"",ISNUMBER(MATCH(C916,eq_code,0))),1,0)</f>
        <v>0.0</v>
      </c>
      <c r="X916" s="67">
        <f>IF(AND(W916=1,E916="Préventif"),1,0)</f>
        <v>0.0</v>
      </c>
      <c r="Y916" s="67">
        <f>IF(AND(ISNUMBER(N916),N(N916)&gt;0),N(N916),0)</f>
        <v>0.0</v>
      </c>
      <c r="Z916" s="67">
        <f>IF(AND(ISNUMBER(P916),N(P916)&gt;0),N(P916),0)</f>
        <v>0.0</v>
      </c>
    </row>
    <row r="917">
      <c r="A917" s="79" t="str">
        <f>IF(COUNTA(B917:C917,E917:G917,I917)=0,"","BI-"&amp;RIGHT("0000"&amp;(ROW()-5),4))</f>
        <v/>
      </c>
      <c r="B917" s="72" t="n"/>
      <c r="C917" s="66" t="n"/>
      <c r="D917" s="67" t="str">
        <f>IF(C917="","",IFERROR(INDEX(eq_des,MATCH(C917,eq_code,0))&amp;"","Équipement inconnu"))</f>
        <v/>
      </c>
      <c r="E917" s="68" t="n"/>
      <c r="F917" s="68" t="n"/>
      <c r="G917" s="66" t="n"/>
      <c r="H917" s="66" t="n"/>
      <c r="I917" s="68" t="n"/>
      <c r="J917" s="73" t="n"/>
      <c r="K917" s="71" t="n"/>
      <c r="L917" s="71" t="n"/>
      <c r="M917" s="66" t="n"/>
      <c r="N917" s="80" t="n"/>
      <c r="O917" s="81" t="str">
        <f>IF(A917="","",ROUND(V917*IFERROR(N(INDEX(tech_rate,MATCH(M917,tech_name,0))),0),2))</f>
        <v/>
      </c>
      <c r="P917" s="80" t="n"/>
      <c r="Q917" s="81" t="str">
        <f>IF(A917="","",ROUND(Y917+O917+Z917,2))</f>
        <v/>
      </c>
      <c r="R917" s="79" t="str">
        <f>IF(A917="","",IF(S917=0,"Date manquante ou invalide",IF(C917="","Équipement manquant",IF(ISNA(MATCH(C917,eq_code,0)),"Équipement inconnu",IF(E917="","Type manquant",IF(AND(E917&lt;&gt;"Préventif",E917&lt;&gt;"Correctif",E917&lt;&gt;"Amélioratif"),"Type inconnu",IF(I917="","Statut manquant",IF(AND(I917&lt;&gt;"Terminée",I917&lt;&gt;"En cours",I917&lt;&gt;"À faire",I917&lt;&gt;"Annulée"),"Statut inconnu",IF(AND(E917="Préventif",F917=""),"Plan manquant (préventif)",IF(AND(F917&lt;&gt;"",ISNA(MATCH(F917,pl_num,0))),"Plan inconnu",IF(AND(F917&lt;&gt;"",IFERROR(INDEX(pl_eq,MATCH(F917,pl_num,0))&amp;"",C917)&lt;&gt;C917),"Plan d'un autre équipement",IF(AND(J917&lt;&gt;"",OR(NOT(ISNUMBER(J917)),N(J917)&lt;0)),"Compteur invalide",IF(OR(AND(K917&lt;&gt;"",OR(NOT(ISNUMBER(K917)),N(K917)&lt;0)),AND(L917&lt;&gt;"",OR(NOT(ISNUMBER(L917)),N(L917)&lt;0))),"Durée invalide",IF(OR(AND(N917&lt;&gt;"",OR(NOT(ISNUMBER(N917)),N(N917)&lt;0)),AND(P917&lt;&gt;"",OR(NOT(ISNUMBER(P917)),N(P917)&lt;0))),"Coût invalide",IF(AND(M917&lt;&gt;"",ISNA(MATCH(M917,tech_name,0))),"Technicien inconnu",IF(AND(I917="Terminée",S917&gt;p_today),"Terminée à une date future",IF(AND(I917="Terminée",V917=0),"Durée d'intervention manquante",IF(AND(I917="Terminée",E917="Préventif",T917=0,OR(IFERROR(INDEX(pl_trig,MATCH(F917,pl_num,0))&amp;"","")="Compteur",IFERROR(INDEX(pl_trig,MATCH(F917,pl_num,0))&amp;"","")="Au premier des deux")),"Compteur manquant (plan au compteur)","OK"))))))))))))))))))</f>
        <v/>
      </c>
      <c r="S917" s="67">
        <f>IF(AND(ISNUMBER(B917),N(B917)&gt;0),INT(B917),0)</f>
        <v>0.0</v>
      </c>
      <c r="T917" s="67">
        <f>IF(AND(ISNUMBER(J917),N(J917)&gt;=0),N(J917),0)</f>
        <v>0.0</v>
      </c>
      <c r="U917" s="67">
        <f>IF(AND(ISNUMBER(K917),N(K917)&gt;0),N(K917),0)</f>
        <v>0.0</v>
      </c>
      <c r="V917" s="67">
        <f>IF(AND(ISNUMBER(L917),N(L917)&gt;0),N(L917),0)</f>
        <v>0.0</v>
      </c>
      <c r="W917" s="67">
        <f>IF(AND(I917="Terminée",S917&gt;0,C917&lt;&gt;"",ISNUMBER(MATCH(C917,eq_code,0))),1,0)</f>
        <v>0.0</v>
      </c>
      <c r="X917" s="67">
        <f>IF(AND(W917=1,E917="Préventif"),1,0)</f>
        <v>0.0</v>
      </c>
      <c r="Y917" s="67">
        <f>IF(AND(ISNUMBER(N917),N(N917)&gt;0),N(N917),0)</f>
        <v>0.0</v>
      </c>
      <c r="Z917" s="67">
        <f>IF(AND(ISNUMBER(P917),N(P917)&gt;0),N(P917),0)</f>
        <v>0.0</v>
      </c>
    </row>
    <row r="918">
      <c r="A918" s="79" t="str">
        <f>IF(COUNTA(B918:C918,E918:G918,I918)=0,"","BI-"&amp;RIGHT("0000"&amp;(ROW()-5),4))</f>
        <v/>
      </c>
      <c r="B918" s="72" t="n"/>
      <c r="C918" s="66" t="n"/>
      <c r="D918" s="67" t="str">
        <f>IF(C918="","",IFERROR(INDEX(eq_des,MATCH(C918,eq_code,0))&amp;"","Équipement inconnu"))</f>
        <v/>
      </c>
      <c r="E918" s="68" t="n"/>
      <c r="F918" s="68" t="n"/>
      <c r="G918" s="66" t="n"/>
      <c r="H918" s="66" t="n"/>
      <c r="I918" s="68" t="n"/>
      <c r="J918" s="73" t="n"/>
      <c r="K918" s="71" t="n"/>
      <c r="L918" s="71" t="n"/>
      <c r="M918" s="66" t="n"/>
      <c r="N918" s="80" t="n"/>
      <c r="O918" s="81" t="str">
        <f>IF(A918="","",ROUND(V918*IFERROR(N(INDEX(tech_rate,MATCH(M918,tech_name,0))),0),2))</f>
        <v/>
      </c>
      <c r="P918" s="80" t="n"/>
      <c r="Q918" s="81" t="str">
        <f>IF(A918="","",ROUND(Y918+O918+Z918,2))</f>
        <v/>
      </c>
      <c r="R918" s="79" t="str">
        <f>IF(A918="","",IF(S918=0,"Date manquante ou invalide",IF(C918="","Équipement manquant",IF(ISNA(MATCH(C918,eq_code,0)),"Équipement inconnu",IF(E918="","Type manquant",IF(AND(E918&lt;&gt;"Préventif",E918&lt;&gt;"Correctif",E918&lt;&gt;"Amélioratif"),"Type inconnu",IF(I918="","Statut manquant",IF(AND(I918&lt;&gt;"Terminée",I918&lt;&gt;"En cours",I918&lt;&gt;"À faire",I918&lt;&gt;"Annulée"),"Statut inconnu",IF(AND(E918="Préventif",F918=""),"Plan manquant (préventif)",IF(AND(F918&lt;&gt;"",ISNA(MATCH(F918,pl_num,0))),"Plan inconnu",IF(AND(F918&lt;&gt;"",IFERROR(INDEX(pl_eq,MATCH(F918,pl_num,0))&amp;"",C918)&lt;&gt;C918),"Plan d'un autre équipement",IF(AND(J918&lt;&gt;"",OR(NOT(ISNUMBER(J918)),N(J918)&lt;0)),"Compteur invalide",IF(OR(AND(K918&lt;&gt;"",OR(NOT(ISNUMBER(K918)),N(K918)&lt;0)),AND(L918&lt;&gt;"",OR(NOT(ISNUMBER(L918)),N(L918)&lt;0))),"Durée invalide",IF(OR(AND(N918&lt;&gt;"",OR(NOT(ISNUMBER(N918)),N(N918)&lt;0)),AND(P918&lt;&gt;"",OR(NOT(ISNUMBER(P918)),N(P918)&lt;0))),"Coût invalide",IF(AND(M918&lt;&gt;"",ISNA(MATCH(M918,tech_name,0))),"Technicien inconnu",IF(AND(I918="Terminée",S918&gt;p_today),"Terminée à une date future",IF(AND(I918="Terminée",V918=0),"Durée d'intervention manquante",IF(AND(I918="Terminée",E918="Préventif",T918=0,OR(IFERROR(INDEX(pl_trig,MATCH(F918,pl_num,0))&amp;"","")="Compteur",IFERROR(INDEX(pl_trig,MATCH(F918,pl_num,0))&amp;"","")="Au premier des deux")),"Compteur manquant (plan au compteur)","OK"))))))))))))))))))</f>
        <v/>
      </c>
      <c r="S918" s="67">
        <f>IF(AND(ISNUMBER(B918),N(B918)&gt;0),INT(B918),0)</f>
        <v>0.0</v>
      </c>
      <c r="T918" s="67">
        <f>IF(AND(ISNUMBER(J918),N(J918)&gt;=0),N(J918),0)</f>
        <v>0.0</v>
      </c>
      <c r="U918" s="67">
        <f>IF(AND(ISNUMBER(K918),N(K918)&gt;0),N(K918),0)</f>
        <v>0.0</v>
      </c>
      <c r="V918" s="67">
        <f>IF(AND(ISNUMBER(L918),N(L918)&gt;0),N(L918),0)</f>
        <v>0.0</v>
      </c>
      <c r="W918" s="67">
        <f>IF(AND(I918="Terminée",S918&gt;0,C918&lt;&gt;"",ISNUMBER(MATCH(C918,eq_code,0))),1,0)</f>
        <v>0.0</v>
      </c>
      <c r="X918" s="67">
        <f>IF(AND(W918=1,E918="Préventif"),1,0)</f>
        <v>0.0</v>
      </c>
      <c r="Y918" s="67">
        <f>IF(AND(ISNUMBER(N918),N(N918)&gt;0),N(N918),0)</f>
        <v>0.0</v>
      </c>
      <c r="Z918" s="67">
        <f>IF(AND(ISNUMBER(P918),N(P918)&gt;0),N(P918),0)</f>
        <v>0.0</v>
      </c>
    </row>
    <row r="919">
      <c r="A919" s="79" t="str">
        <f>IF(COUNTA(B919:C919,E919:G919,I919)=0,"","BI-"&amp;RIGHT("0000"&amp;(ROW()-5),4))</f>
        <v/>
      </c>
      <c r="B919" s="72" t="n"/>
      <c r="C919" s="66" t="n"/>
      <c r="D919" s="67" t="str">
        <f>IF(C919="","",IFERROR(INDEX(eq_des,MATCH(C919,eq_code,0))&amp;"","Équipement inconnu"))</f>
        <v/>
      </c>
      <c r="E919" s="68" t="n"/>
      <c r="F919" s="68" t="n"/>
      <c r="G919" s="66" t="n"/>
      <c r="H919" s="66" t="n"/>
      <c r="I919" s="68" t="n"/>
      <c r="J919" s="73" t="n"/>
      <c r="K919" s="71" t="n"/>
      <c r="L919" s="71" t="n"/>
      <c r="M919" s="66" t="n"/>
      <c r="N919" s="80" t="n"/>
      <c r="O919" s="81" t="str">
        <f>IF(A919="","",ROUND(V919*IFERROR(N(INDEX(tech_rate,MATCH(M919,tech_name,0))),0),2))</f>
        <v/>
      </c>
      <c r="P919" s="80" t="n"/>
      <c r="Q919" s="81" t="str">
        <f>IF(A919="","",ROUND(Y919+O919+Z919,2))</f>
        <v/>
      </c>
      <c r="R919" s="79" t="str">
        <f>IF(A919="","",IF(S919=0,"Date manquante ou invalide",IF(C919="","Équipement manquant",IF(ISNA(MATCH(C919,eq_code,0)),"Équipement inconnu",IF(E919="","Type manquant",IF(AND(E919&lt;&gt;"Préventif",E919&lt;&gt;"Correctif",E919&lt;&gt;"Amélioratif"),"Type inconnu",IF(I919="","Statut manquant",IF(AND(I919&lt;&gt;"Terminée",I919&lt;&gt;"En cours",I919&lt;&gt;"À faire",I919&lt;&gt;"Annulée"),"Statut inconnu",IF(AND(E919="Préventif",F919=""),"Plan manquant (préventif)",IF(AND(F919&lt;&gt;"",ISNA(MATCH(F919,pl_num,0))),"Plan inconnu",IF(AND(F919&lt;&gt;"",IFERROR(INDEX(pl_eq,MATCH(F919,pl_num,0))&amp;"",C919)&lt;&gt;C919),"Plan d'un autre équipement",IF(AND(J919&lt;&gt;"",OR(NOT(ISNUMBER(J919)),N(J919)&lt;0)),"Compteur invalide",IF(OR(AND(K919&lt;&gt;"",OR(NOT(ISNUMBER(K919)),N(K919)&lt;0)),AND(L919&lt;&gt;"",OR(NOT(ISNUMBER(L919)),N(L919)&lt;0))),"Durée invalide",IF(OR(AND(N919&lt;&gt;"",OR(NOT(ISNUMBER(N919)),N(N919)&lt;0)),AND(P919&lt;&gt;"",OR(NOT(ISNUMBER(P919)),N(P919)&lt;0))),"Coût invalide",IF(AND(M919&lt;&gt;"",ISNA(MATCH(M919,tech_name,0))),"Technicien inconnu",IF(AND(I919="Terminée",S919&gt;p_today),"Terminée à une date future",IF(AND(I919="Terminée",V919=0),"Durée d'intervention manquante",IF(AND(I919="Terminée",E919="Préventif",T919=0,OR(IFERROR(INDEX(pl_trig,MATCH(F919,pl_num,0))&amp;"","")="Compteur",IFERROR(INDEX(pl_trig,MATCH(F919,pl_num,0))&amp;"","")="Au premier des deux")),"Compteur manquant (plan au compteur)","OK"))))))))))))))))))</f>
        <v/>
      </c>
      <c r="S919" s="67">
        <f>IF(AND(ISNUMBER(B919),N(B919)&gt;0),INT(B919),0)</f>
        <v>0.0</v>
      </c>
      <c r="T919" s="67">
        <f>IF(AND(ISNUMBER(J919),N(J919)&gt;=0),N(J919),0)</f>
        <v>0.0</v>
      </c>
      <c r="U919" s="67">
        <f>IF(AND(ISNUMBER(K919),N(K919)&gt;0),N(K919),0)</f>
        <v>0.0</v>
      </c>
      <c r="V919" s="67">
        <f>IF(AND(ISNUMBER(L919),N(L919)&gt;0),N(L919),0)</f>
        <v>0.0</v>
      </c>
      <c r="W919" s="67">
        <f>IF(AND(I919="Terminée",S919&gt;0,C919&lt;&gt;"",ISNUMBER(MATCH(C919,eq_code,0))),1,0)</f>
        <v>0.0</v>
      </c>
      <c r="X919" s="67">
        <f>IF(AND(W919=1,E919="Préventif"),1,0)</f>
        <v>0.0</v>
      </c>
      <c r="Y919" s="67">
        <f>IF(AND(ISNUMBER(N919),N(N919)&gt;0),N(N919),0)</f>
        <v>0.0</v>
      </c>
      <c r="Z919" s="67">
        <f>IF(AND(ISNUMBER(P919),N(P919)&gt;0),N(P919),0)</f>
        <v>0.0</v>
      </c>
    </row>
    <row r="920">
      <c r="A920" s="79" t="str">
        <f>IF(COUNTA(B920:C920,E920:G920,I920)=0,"","BI-"&amp;RIGHT("0000"&amp;(ROW()-5),4))</f>
        <v/>
      </c>
      <c r="B920" s="72" t="n"/>
      <c r="C920" s="66" t="n"/>
      <c r="D920" s="67" t="str">
        <f>IF(C920="","",IFERROR(INDEX(eq_des,MATCH(C920,eq_code,0))&amp;"","Équipement inconnu"))</f>
        <v/>
      </c>
      <c r="E920" s="68" t="n"/>
      <c r="F920" s="68" t="n"/>
      <c r="G920" s="66" t="n"/>
      <c r="H920" s="66" t="n"/>
      <c r="I920" s="68" t="n"/>
      <c r="J920" s="73" t="n"/>
      <c r="K920" s="71" t="n"/>
      <c r="L920" s="71" t="n"/>
      <c r="M920" s="66" t="n"/>
      <c r="N920" s="80" t="n"/>
      <c r="O920" s="81" t="str">
        <f>IF(A920="","",ROUND(V920*IFERROR(N(INDEX(tech_rate,MATCH(M920,tech_name,0))),0),2))</f>
        <v/>
      </c>
      <c r="P920" s="80" t="n"/>
      <c r="Q920" s="81" t="str">
        <f>IF(A920="","",ROUND(Y920+O920+Z920,2))</f>
        <v/>
      </c>
      <c r="R920" s="79" t="str">
        <f>IF(A920="","",IF(S920=0,"Date manquante ou invalide",IF(C920="","Équipement manquant",IF(ISNA(MATCH(C920,eq_code,0)),"Équipement inconnu",IF(E920="","Type manquant",IF(AND(E920&lt;&gt;"Préventif",E920&lt;&gt;"Correctif",E920&lt;&gt;"Amélioratif"),"Type inconnu",IF(I920="","Statut manquant",IF(AND(I920&lt;&gt;"Terminée",I920&lt;&gt;"En cours",I920&lt;&gt;"À faire",I920&lt;&gt;"Annulée"),"Statut inconnu",IF(AND(E920="Préventif",F920=""),"Plan manquant (préventif)",IF(AND(F920&lt;&gt;"",ISNA(MATCH(F920,pl_num,0))),"Plan inconnu",IF(AND(F920&lt;&gt;"",IFERROR(INDEX(pl_eq,MATCH(F920,pl_num,0))&amp;"",C920)&lt;&gt;C920),"Plan d'un autre équipement",IF(AND(J920&lt;&gt;"",OR(NOT(ISNUMBER(J920)),N(J920)&lt;0)),"Compteur invalide",IF(OR(AND(K920&lt;&gt;"",OR(NOT(ISNUMBER(K920)),N(K920)&lt;0)),AND(L920&lt;&gt;"",OR(NOT(ISNUMBER(L920)),N(L920)&lt;0))),"Durée invalide",IF(OR(AND(N920&lt;&gt;"",OR(NOT(ISNUMBER(N920)),N(N920)&lt;0)),AND(P920&lt;&gt;"",OR(NOT(ISNUMBER(P920)),N(P920)&lt;0))),"Coût invalide",IF(AND(M920&lt;&gt;"",ISNA(MATCH(M920,tech_name,0))),"Technicien inconnu",IF(AND(I920="Terminée",S920&gt;p_today),"Terminée à une date future",IF(AND(I920="Terminée",V920=0),"Durée d'intervention manquante",IF(AND(I920="Terminée",E920="Préventif",T920=0,OR(IFERROR(INDEX(pl_trig,MATCH(F920,pl_num,0))&amp;"","")="Compteur",IFERROR(INDEX(pl_trig,MATCH(F920,pl_num,0))&amp;"","")="Au premier des deux")),"Compteur manquant (plan au compteur)","OK"))))))))))))))))))</f>
        <v/>
      </c>
      <c r="S920" s="67">
        <f>IF(AND(ISNUMBER(B920),N(B920)&gt;0),INT(B920),0)</f>
        <v>0.0</v>
      </c>
      <c r="T920" s="67">
        <f>IF(AND(ISNUMBER(J920),N(J920)&gt;=0),N(J920),0)</f>
        <v>0.0</v>
      </c>
      <c r="U920" s="67">
        <f>IF(AND(ISNUMBER(K920),N(K920)&gt;0),N(K920),0)</f>
        <v>0.0</v>
      </c>
      <c r="V920" s="67">
        <f>IF(AND(ISNUMBER(L920),N(L920)&gt;0),N(L920),0)</f>
        <v>0.0</v>
      </c>
      <c r="W920" s="67">
        <f>IF(AND(I920="Terminée",S920&gt;0,C920&lt;&gt;"",ISNUMBER(MATCH(C920,eq_code,0))),1,0)</f>
        <v>0.0</v>
      </c>
      <c r="X920" s="67">
        <f>IF(AND(W920=1,E920="Préventif"),1,0)</f>
        <v>0.0</v>
      </c>
      <c r="Y920" s="67">
        <f>IF(AND(ISNUMBER(N920),N(N920)&gt;0),N(N920),0)</f>
        <v>0.0</v>
      </c>
      <c r="Z920" s="67">
        <f>IF(AND(ISNUMBER(P920),N(P920)&gt;0),N(P920),0)</f>
        <v>0.0</v>
      </c>
    </row>
    <row r="921">
      <c r="A921" s="79" t="str">
        <f>IF(COUNTA(B921:C921,E921:G921,I921)=0,"","BI-"&amp;RIGHT("0000"&amp;(ROW()-5),4))</f>
        <v/>
      </c>
      <c r="B921" s="72" t="n"/>
      <c r="C921" s="66" t="n"/>
      <c r="D921" s="67" t="str">
        <f>IF(C921="","",IFERROR(INDEX(eq_des,MATCH(C921,eq_code,0))&amp;"","Équipement inconnu"))</f>
        <v/>
      </c>
      <c r="E921" s="68" t="n"/>
      <c r="F921" s="68" t="n"/>
      <c r="G921" s="66" t="n"/>
      <c r="H921" s="66" t="n"/>
      <c r="I921" s="68" t="n"/>
      <c r="J921" s="73" t="n"/>
      <c r="K921" s="71" t="n"/>
      <c r="L921" s="71" t="n"/>
      <c r="M921" s="66" t="n"/>
      <c r="N921" s="80" t="n"/>
      <c r="O921" s="81" t="str">
        <f>IF(A921="","",ROUND(V921*IFERROR(N(INDEX(tech_rate,MATCH(M921,tech_name,0))),0),2))</f>
        <v/>
      </c>
      <c r="P921" s="80" t="n"/>
      <c r="Q921" s="81" t="str">
        <f>IF(A921="","",ROUND(Y921+O921+Z921,2))</f>
        <v/>
      </c>
      <c r="R921" s="79" t="str">
        <f>IF(A921="","",IF(S921=0,"Date manquante ou invalide",IF(C921="","Équipement manquant",IF(ISNA(MATCH(C921,eq_code,0)),"Équipement inconnu",IF(E921="","Type manquant",IF(AND(E921&lt;&gt;"Préventif",E921&lt;&gt;"Correctif",E921&lt;&gt;"Amélioratif"),"Type inconnu",IF(I921="","Statut manquant",IF(AND(I921&lt;&gt;"Terminée",I921&lt;&gt;"En cours",I921&lt;&gt;"À faire",I921&lt;&gt;"Annulée"),"Statut inconnu",IF(AND(E921="Préventif",F921=""),"Plan manquant (préventif)",IF(AND(F921&lt;&gt;"",ISNA(MATCH(F921,pl_num,0))),"Plan inconnu",IF(AND(F921&lt;&gt;"",IFERROR(INDEX(pl_eq,MATCH(F921,pl_num,0))&amp;"",C921)&lt;&gt;C921),"Plan d'un autre équipement",IF(AND(J921&lt;&gt;"",OR(NOT(ISNUMBER(J921)),N(J921)&lt;0)),"Compteur invalide",IF(OR(AND(K921&lt;&gt;"",OR(NOT(ISNUMBER(K921)),N(K921)&lt;0)),AND(L921&lt;&gt;"",OR(NOT(ISNUMBER(L921)),N(L921)&lt;0))),"Durée invalide",IF(OR(AND(N921&lt;&gt;"",OR(NOT(ISNUMBER(N921)),N(N921)&lt;0)),AND(P921&lt;&gt;"",OR(NOT(ISNUMBER(P921)),N(P921)&lt;0))),"Coût invalide",IF(AND(M921&lt;&gt;"",ISNA(MATCH(M921,tech_name,0))),"Technicien inconnu",IF(AND(I921="Terminée",S921&gt;p_today),"Terminée à une date future",IF(AND(I921="Terminée",V921=0),"Durée d'intervention manquante",IF(AND(I921="Terminée",E921="Préventif",T921=0,OR(IFERROR(INDEX(pl_trig,MATCH(F921,pl_num,0))&amp;"","")="Compteur",IFERROR(INDEX(pl_trig,MATCH(F921,pl_num,0))&amp;"","")="Au premier des deux")),"Compteur manquant (plan au compteur)","OK"))))))))))))))))))</f>
        <v/>
      </c>
      <c r="S921" s="67">
        <f>IF(AND(ISNUMBER(B921),N(B921)&gt;0),INT(B921),0)</f>
        <v>0.0</v>
      </c>
      <c r="T921" s="67">
        <f>IF(AND(ISNUMBER(J921),N(J921)&gt;=0),N(J921),0)</f>
        <v>0.0</v>
      </c>
      <c r="U921" s="67">
        <f>IF(AND(ISNUMBER(K921),N(K921)&gt;0),N(K921),0)</f>
        <v>0.0</v>
      </c>
      <c r="V921" s="67">
        <f>IF(AND(ISNUMBER(L921),N(L921)&gt;0),N(L921),0)</f>
        <v>0.0</v>
      </c>
      <c r="W921" s="67">
        <f>IF(AND(I921="Terminée",S921&gt;0,C921&lt;&gt;"",ISNUMBER(MATCH(C921,eq_code,0))),1,0)</f>
        <v>0.0</v>
      </c>
      <c r="X921" s="67">
        <f>IF(AND(W921=1,E921="Préventif"),1,0)</f>
        <v>0.0</v>
      </c>
      <c r="Y921" s="67">
        <f>IF(AND(ISNUMBER(N921),N(N921)&gt;0),N(N921),0)</f>
        <v>0.0</v>
      </c>
      <c r="Z921" s="67">
        <f>IF(AND(ISNUMBER(P921),N(P921)&gt;0),N(P921),0)</f>
        <v>0.0</v>
      </c>
    </row>
    <row r="922">
      <c r="A922" s="79" t="str">
        <f>IF(COUNTA(B922:C922,E922:G922,I922)=0,"","BI-"&amp;RIGHT("0000"&amp;(ROW()-5),4))</f>
        <v/>
      </c>
      <c r="B922" s="72" t="n"/>
      <c r="C922" s="66" t="n"/>
      <c r="D922" s="67" t="str">
        <f>IF(C922="","",IFERROR(INDEX(eq_des,MATCH(C922,eq_code,0))&amp;"","Équipement inconnu"))</f>
        <v/>
      </c>
      <c r="E922" s="68" t="n"/>
      <c r="F922" s="68" t="n"/>
      <c r="G922" s="66" t="n"/>
      <c r="H922" s="66" t="n"/>
      <c r="I922" s="68" t="n"/>
      <c r="J922" s="73" t="n"/>
      <c r="K922" s="71" t="n"/>
      <c r="L922" s="71" t="n"/>
      <c r="M922" s="66" t="n"/>
      <c r="N922" s="80" t="n"/>
      <c r="O922" s="81" t="str">
        <f>IF(A922="","",ROUND(V922*IFERROR(N(INDEX(tech_rate,MATCH(M922,tech_name,0))),0),2))</f>
        <v/>
      </c>
      <c r="P922" s="80" t="n"/>
      <c r="Q922" s="81" t="str">
        <f>IF(A922="","",ROUND(Y922+O922+Z922,2))</f>
        <v/>
      </c>
      <c r="R922" s="79" t="str">
        <f>IF(A922="","",IF(S922=0,"Date manquante ou invalide",IF(C922="","Équipement manquant",IF(ISNA(MATCH(C922,eq_code,0)),"Équipement inconnu",IF(E922="","Type manquant",IF(AND(E922&lt;&gt;"Préventif",E922&lt;&gt;"Correctif",E922&lt;&gt;"Amélioratif"),"Type inconnu",IF(I922="","Statut manquant",IF(AND(I922&lt;&gt;"Terminée",I922&lt;&gt;"En cours",I922&lt;&gt;"À faire",I922&lt;&gt;"Annulée"),"Statut inconnu",IF(AND(E922="Préventif",F922=""),"Plan manquant (préventif)",IF(AND(F922&lt;&gt;"",ISNA(MATCH(F922,pl_num,0))),"Plan inconnu",IF(AND(F922&lt;&gt;"",IFERROR(INDEX(pl_eq,MATCH(F922,pl_num,0))&amp;"",C922)&lt;&gt;C922),"Plan d'un autre équipement",IF(AND(J922&lt;&gt;"",OR(NOT(ISNUMBER(J922)),N(J922)&lt;0)),"Compteur invalide",IF(OR(AND(K922&lt;&gt;"",OR(NOT(ISNUMBER(K922)),N(K922)&lt;0)),AND(L922&lt;&gt;"",OR(NOT(ISNUMBER(L922)),N(L922)&lt;0))),"Durée invalide",IF(OR(AND(N922&lt;&gt;"",OR(NOT(ISNUMBER(N922)),N(N922)&lt;0)),AND(P922&lt;&gt;"",OR(NOT(ISNUMBER(P922)),N(P922)&lt;0))),"Coût invalide",IF(AND(M922&lt;&gt;"",ISNA(MATCH(M922,tech_name,0))),"Technicien inconnu",IF(AND(I922="Terminée",S922&gt;p_today),"Terminée à une date future",IF(AND(I922="Terminée",V922=0),"Durée d'intervention manquante",IF(AND(I922="Terminée",E922="Préventif",T922=0,OR(IFERROR(INDEX(pl_trig,MATCH(F922,pl_num,0))&amp;"","")="Compteur",IFERROR(INDEX(pl_trig,MATCH(F922,pl_num,0))&amp;"","")="Au premier des deux")),"Compteur manquant (plan au compteur)","OK"))))))))))))))))))</f>
        <v/>
      </c>
      <c r="S922" s="67">
        <f>IF(AND(ISNUMBER(B922),N(B922)&gt;0),INT(B922),0)</f>
        <v>0.0</v>
      </c>
      <c r="T922" s="67">
        <f>IF(AND(ISNUMBER(J922),N(J922)&gt;=0),N(J922),0)</f>
        <v>0.0</v>
      </c>
      <c r="U922" s="67">
        <f>IF(AND(ISNUMBER(K922),N(K922)&gt;0),N(K922),0)</f>
        <v>0.0</v>
      </c>
      <c r="V922" s="67">
        <f>IF(AND(ISNUMBER(L922),N(L922)&gt;0),N(L922),0)</f>
        <v>0.0</v>
      </c>
      <c r="W922" s="67">
        <f>IF(AND(I922="Terminée",S922&gt;0,C922&lt;&gt;"",ISNUMBER(MATCH(C922,eq_code,0))),1,0)</f>
        <v>0.0</v>
      </c>
      <c r="X922" s="67">
        <f>IF(AND(W922=1,E922="Préventif"),1,0)</f>
        <v>0.0</v>
      </c>
      <c r="Y922" s="67">
        <f>IF(AND(ISNUMBER(N922),N(N922)&gt;0),N(N922),0)</f>
        <v>0.0</v>
      </c>
      <c r="Z922" s="67">
        <f>IF(AND(ISNUMBER(P922),N(P922)&gt;0),N(P922),0)</f>
        <v>0.0</v>
      </c>
    </row>
    <row r="923">
      <c r="A923" s="79" t="str">
        <f>IF(COUNTA(B923:C923,E923:G923,I923)=0,"","BI-"&amp;RIGHT("0000"&amp;(ROW()-5),4))</f>
        <v/>
      </c>
      <c r="B923" s="72" t="n"/>
      <c r="C923" s="66" t="n"/>
      <c r="D923" s="67" t="str">
        <f>IF(C923="","",IFERROR(INDEX(eq_des,MATCH(C923,eq_code,0))&amp;"","Équipement inconnu"))</f>
        <v/>
      </c>
      <c r="E923" s="68" t="n"/>
      <c r="F923" s="68" t="n"/>
      <c r="G923" s="66" t="n"/>
      <c r="H923" s="66" t="n"/>
      <c r="I923" s="68" t="n"/>
      <c r="J923" s="73" t="n"/>
      <c r="K923" s="71" t="n"/>
      <c r="L923" s="71" t="n"/>
      <c r="M923" s="66" t="n"/>
      <c r="N923" s="80" t="n"/>
      <c r="O923" s="81" t="str">
        <f>IF(A923="","",ROUND(V923*IFERROR(N(INDEX(tech_rate,MATCH(M923,tech_name,0))),0),2))</f>
        <v/>
      </c>
      <c r="P923" s="80" t="n"/>
      <c r="Q923" s="81" t="str">
        <f>IF(A923="","",ROUND(Y923+O923+Z923,2))</f>
        <v/>
      </c>
      <c r="R923" s="79" t="str">
        <f>IF(A923="","",IF(S923=0,"Date manquante ou invalide",IF(C923="","Équipement manquant",IF(ISNA(MATCH(C923,eq_code,0)),"Équipement inconnu",IF(E923="","Type manquant",IF(AND(E923&lt;&gt;"Préventif",E923&lt;&gt;"Correctif",E923&lt;&gt;"Amélioratif"),"Type inconnu",IF(I923="","Statut manquant",IF(AND(I923&lt;&gt;"Terminée",I923&lt;&gt;"En cours",I923&lt;&gt;"À faire",I923&lt;&gt;"Annulée"),"Statut inconnu",IF(AND(E923="Préventif",F923=""),"Plan manquant (préventif)",IF(AND(F923&lt;&gt;"",ISNA(MATCH(F923,pl_num,0))),"Plan inconnu",IF(AND(F923&lt;&gt;"",IFERROR(INDEX(pl_eq,MATCH(F923,pl_num,0))&amp;"",C923)&lt;&gt;C923),"Plan d'un autre équipement",IF(AND(J923&lt;&gt;"",OR(NOT(ISNUMBER(J923)),N(J923)&lt;0)),"Compteur invalide",IF(OR(AND(K923&lt;&gt;"",OR(NOT(ISNUMBER(K923)),N(K923)&lt;0)),AND(L923&lt;&gt;"",OR(NOT(ISNUMBER(L923)),N(L923)&lt;0))),"Durée invalide",IF(OR(AND(N923&lt;&gt;"",OR(NOT(ISNUMBER(N923)),N(N923)&lt;0)),AND(P923&lt;&gt;"",OR(NOT(ISNUMBER(P923)),N(P923)&lt;0))),"Coût invalide",IF(AND(M923&lt;&gt;"",ISNA(MATCH(M923,tech_name,0))),"Technicien inconnu",IF(AND(I923="Terminée",S923&gt;p_today),"Terminée à une date future",IF(AND(I923="Terminée",V923=0),"Durée d'intervention manquante",IF(AND(I923="Terminée",E923="Préventif",T923=0,OR(IFERROR(INDEX(pl_trig,MATCH(F923,pl_num,0))&amp;"","")="Compteur",IFERROR(INDEX(pl_trig,MATCH(F923,pl_num,0))&amp;"","")="Au premier des deux")),"Compteur manquant (plan au compteur)","OK"))))))))))))))))))</f>
        <v/>
      </c>
      <c r="S923" s="67">
        <f>IF(AND(ISNUMBER(B923),N(B923)&gt;0),INT(B923),0)</f>
        <v>0.0</v>
      </c>
      <c r="T923" s="67">
        <f>IF(AND(ISNUMBER(J923),N(J923)&gt;=0),N(J923),0)</f>
        <v>0.0</v>
      </c>
      <c r="U923" s="67">
        <f>IF(AND(ISNUMBER(K923),N(K923)&gt;0),N(K923),0)</f>
        <v>0.0</v>
      </c>
      <c r="V923" s="67">
        <f>IF(AND(ISNUMBER(L923),N(L923)&gt;0),N(L923),0)</f>
        <v>0.0</v>
      </c>
      <c r="W923" s="67">
        <f>IF(AND(I923="Terminée",S923&gt;0,C923&lt;&gt;"",ISNUMBER(MATCH(C923,eq_code,0))),1,0)</f>
        <v>0.0</v>
      </c>
      <c r="X923" s="67">
        <f>IF(AND(W923=1,E923="Préventif"),1,0)</f>
        <v>0.0</v>
      </c>
      <c r="Y923" s="67">
        <f>IF(AND(ISNUMBER(N923),N(N923)&gt;0),N(N923),0)</f>
        <v>0.0</v>
      </c>
      <c r="Z923" s="67">
        <f>IF(AND(ISNUMBER(P923),N(P923)&gt;0),N(P923),0)</f>
        <v>0.0</v>
      </c>
    </row>
    <row r="924">
      <c r="A924" s="79" t="str">
        <f>IF(COUNTA(B924:C924,E924:G924,I924)=0,"","BI-"&amp;RIGHT("0000"&amp;(ROW()-5),4))</f>
        <v/>
      </c>
      <c r="B924" s="72" t="n"/>
      <c r="C924" s="66" t="n"/>
      <c r="D924" s="67" t="str">
        <f>IF(C924="","",IFERROR(INDEX(eq_des,MATCH(C924,eq_code,0))&amp;"","Équipement inconnu"))</f>
        <v/>
      </c>
      <c r="E924" s="68" t="n"/>
      <c r="F924" s="68" t="n"/>
      <c r="G924" s="66" t="n"/>
      <c r="H924" s="66" t="n"/>
      <c r="I924" s="68" t="n"/>
      <c r="J924" s="73" t="n"/>
      <c r="K924" s="71" t="n"/>
      <c r="L924" s="71" t="n"/>
      <c r="M924" s="66" t="n"/>
      <c r="N924" s="80" t="n"/>
      <c r="O924" s="81" t="str">
        <f>IF(A924="","",ROUND(V924*IFERROR(N(INDEX(tech_rate,MATCH(M924,tech_name,0))),0),2))</f>
        <v/>
      </c>
      <c r="P924" s="80" t="n"/>
      <c r="Q924" s="81" t="str">
        <f>IF(A924="","",ROUND(Y924+O924+Z924,2))</f>
        <v/>
      </c>
      <c r="R924" s="79" t="str">
        <f>IF(A924="","",IF(S924=0,"Date manquante ou invalide",IF(C924="","Équipement manquant",IF(ISNA(MATCH(C924,eq_code,0)),"Équipement inconnu",IF(E924="","Type manquant",IF(AND(E924&lt;&gt;"Préventif",E924&lt;&gt;"Correctif",E924&lt;&gt;"Amélioratif"),"Type inconnu",IF(I924="","Statut manquant",IF(AND(I924&lt;&gt;"Terminée",I924&lt;&gt;"En cours",I924&lt;&gt;"À faire",I924&lt;&gt;"Annulée"),"Statut inconnu",IF(AND(E924="Préventif",F924=""),"Plan manquant (préventif)",IF(AND(F924&lt;&gt;"",ISNA(MATCH(F924,pl_num,0))),"Plan inconnu",IF(AND(F924&lt;&gt;"",IFERROR(INDEX(pl_eq,MATCH(F924,pl_num,0))&amp;"",C924)&lt;&gt;C924),"Plan d'un autre équipement",IF(AND(J924&lt;&gt;"",OR(NOT(ISNUMBER(J924)),N(J924)&lt;0)),"Compteur invalide",IF(OR(AND(K924&lt;&gt;"",OR(NOT(ISNUMBER(K924)),N(K924)&lt;0)),AND(L924&lt;&gt;"",OR(NOT(ISNUMBER(L924)),N(L924)&lt;0))),"Durée invalide",IF(OR(AND(N924&lt;&gt;"",OR(NOT(ISNUMBER(N924)),N(N924)&lt;0)),AND(P924&lt;&gt;"",OR(NOT(ISNUMBER(P924)),N(P924)&lt;0))),"Coût invalide",IF(AND(M924&lt;&gt;"",ISNA(MATCH(M924,tech_name,0))),"Technicien inconnu",IF(AND(I924="Terminée",S924&gt;p_today),"Terminée à une date future",IF(AND(I924="Terminée",V924=0),"Durée d'intervention manquante",IF(AND(I924="Terminée",E924="Préventif",T924=0,OR(IFERROR(INDEX(pl_trig,MATCH(F924,pl_num,0))&amp;"","")="Compteur",IFERROR(INDEX(pl_trig,MATCH(F924,pl_num,0))&amp;"","")="Au premier des deux")),"Compteur manquant (plan au compteur)","OK"))))))))))))))))))</f>
        <v/>
      </c>
      <c r="S924" s="67">
        <f>IF(AND(ISNUMBER(B924),N(B924)&gt;0),INT(B924),0)</f>
        <v>0.0</v>
      </c>
      <c r="T924" s="67">
        <f>IF(AND(ISNUMBER(J924),N(J924)&gt;=0),N(J924),0)</f>
        <v>0.0</v>
      </c>
      <c r="U924" s="67">
        <f>IF(AND(ISNUMBER(K924),N(K924)&gt;0),N(K924),0)</f>
        <v>0.0</v>
      </c>
      <c r="V924" s="67">
        <f>IF(AND(ISNUMBER(L924),N(L924)&gt;0),N(L924),0)</f>
        <v>0.0</v>
      </c>
      <c r="W924" s="67">
        <f>IF(AND(I924="Terminée",S924&gt;0,C924&lt;&gt;"",ISNUMBER(MATCH(C924,eq_code,0))),1,0)</f>
        <v>0.0</v>
      </c>
      <c r="X924" s="67">
        <f>IF(AND(W924=1,E924="Préventif"),1,0)</f>
        <v>0.0</v>
      </c>
      <c r="Y924" s="67">
        <f>IF(AND(ISNUMBER(N924),N(N924)&gt;0),N(N924),0)</f>
        <v>0.0</v>
      </c>
      <c r="Z924" s="67">
        <f>IF(AND(ISNUMBER(P924),N(P924)&gt;0),N(P924),0)</f>
        <v>0.0</v>
      </c>
    </row>
    <row r="925">
      <c r="A925" s="79" t="str">
        <f>IF(COUNTA(B925:C925,E925:G925,I925)=0,"","BI-"&amp;RIGHT("0000"&amp;(ROW()-5),4))</f>
        <v/>
      </c>
      <c r="B925" s="72" t="n"/>
      <c r="C925" s="66" t="n"/>
      <c r="D925" s="67" t="str">
        <f>IF(C925="","",IFERROR(INDEX(eq_des,MATCH(C925,eq_code,0))&amp;"","Équipement inconnu"))</f>
        <v/>
      </c>
      <c r="E925" s="68" t="n"/>
      <c r="F925" s="68" t="n"/>
      <c r="G925" s="66" t="n"/>
      <c r="H925" s="66" t="n"/>
      <c r="I925" s="68" t="n"/>
      <c r="J925" s="73" t="n"/>
      <c r="K925" s="71" t="n"/>
      <c r="L925" s="71" t="n"/>
      <c r="M925" s="66" t="n"/>
      <c r="N925" s="80" t="n"/>
      <c r="O925" s="81" t="str">
        <f>IF(A925="","",ROUND(V925*IFERROR(N(INDEX(tech_rate,MATCH(M925,tech_name,0))),0),2))</f>
        <v/>
      </c>
      <c r="P925" s="80" t="n"/>
      <c r="Q925" s="81" t="str">
        <f>IF(A925="","",ROUND(Y925+O925+Z925,2))</f>
        <v/>
      </c>
      <c r="R925" s="79" t="str">
        <f>IF(A925="","",IF(S925=0,"Date manquante ou invalide",IF(C925="","Équipement manquant",IF(ISNA(MATCH(C925,eq_code,0)),"Équipement inconnu",IF(E925="","Type manquant",IF(AND(E925&lt;&gt;"Préventif",E925&lt;&gt;"Correctif",E925&lt;&gt;"Amélioratif"),"Type inconnu",IF(I925="","Statut manquant",IF(AND(I925&lt;&gt;"Terminée",I925&lt;&gt;"En cours",I925&lt;&gt;"À faire",I925&lt;&gt;"Annulée"),"Statut inconnu",IF(AND(E925="Préventif",F925=""),"Plan manquant (préventif)",IF(AND(F925&lt;&gt;"",ISNA(MATCH(F925,pl_num,0))),"Plan inconnu",IF(AND(F925&lt;&gt;"",IFERROR(INDEX(pl_eq,MATCH(F925,pl_num,0))&amp;"",C925)&lt;&gt;C925),"Plan d'un autre équipement",IF(AND(J925&lt;&gt;"",OR(NOT(ISNUMBER(J925)),N(J925)&lt;0)),"Compteur invalide",IF(OR(AND(K925&lt;&gt;"",OR(NOT(ISNUMBER(K925)),N(K925)&lt;0)),AND(L925&lt;&gt;"",OR(NOT(ISNUMBER(L925)),N(L925)&lt;0))),"Durée invalide",IF(OR(AND(N925&lt;&gt;"",OR(NOT(ISNUMBER(N925)),N(N925)&lt;0)),AND(P925&lt;&gt;"",OR(NOT(ISNUMBER(P925)),N(P925)&lt;0))),"Coût invalide",IF(AND(M925&lt;&gt;"",ISNA(MATCH(M925,tech_name,0))),"Technicien inconnu",IF(AND(I925="Terminée",S925&gt;p_today),"Terminée à une date future",IF(AND(I925="Terminée",V925=0),"Durée d'intervention manquante",IF(AND(I925="Terminée",E925="Préventif",T925=0,OR(IFERROR(INDEX(pl_trig,MATCH(F925,pl_num,0))&amp;"","")="Compteur",IFERROR(INDEX(pl_trig,MATCH(F925,pl_num,0))&amp;"","")="Au premier des deux")),"Compteur manquant (plan au compteur)","OK"))))))))))))))))))</f>
        <v/>
      </c>
      <c r="S925" s="67">
        <f>IF(AND(ISNUMBER(B925),N(B925)&gt;0),INT(B925),0)</f>
        <v>0.0</v>
      </c>
      <c r="T925" s="67">
        <f>IF(AND(ISNUMBER(J925),N(J925)&gt;=0),N(J925),0)</f>
        <v>0.0</v>
      </c>
      <c r="U925" s="67">
        <f>IF(AND(ISNUMBER(K925),N(K925)&gt;0),N(K925),0)</f>
        <v>0.0</v>
      </c>
      <c r="V925" s="67">
        <f>IF(AND(ISNUMBER(L925),N(L925)&gt;0),N(L925),0)</f>
        <v>0.0</v>
      </c>
      <c r="W925" s="67">
        <f>IF(AND(I925="Terminée",S925&gt;0,C925&lt;&gt;"",ISNUMBER(MATCH(C925,eq_code,0))),1,0)</f>
        <v>0.0</v>
      </c>
      <c r="X925" s="67">
        <f>IF(AND(W925=1,E925="Préventif"),1,0)</f>
        <v>0.0</v>
      </c>
      <c r="Y925" s="67">
        <f>IF(AND(ISNUMBER(N925),N(N925)&gt;0),N(N925),0)</f>
        <v>0.0</v>
      </c>
      <c r="Z925" s="67">
        <f>IF(AND(ISNUMBER(P925),N(P925)&gt;0),N(P925),0)</f>
        <v>0.0</v>
      </c>
    </row>
    <row r="926">
      <c r="A926" s="79" t="str">
        <f>IF(COUNTA(B926:C926,E926:G926,I926)=0,"","BI-"&amp;RIGHT("0000"&amp;(ROW()-5),4))</f>
        <v/>
      </c>
      <c r="B926" s="72" t="n"/>
      <c r="C926" s="66" t="n"/>
      <c r="D926" s="67" t="str">
        <f>IF(C926="","",IFERROR(INDEX(eq_des,MATCH(C926,eq_code,0))&amp;"","Équipement inconnu"))</f>
        <v/>
      </c>
      <c r="E926" s="68" t="n"/>
      <c r="F926" s="68" t="n"/>
      <c r="G926" s="66" t="n"/>
      <c r="H926" s="66" t="n"/>
      <c r="I926" s="68" t="n"/>
      <c r="J926" s="73" t="n"/>
      <c r="K926" s="71" t="n"/>
      <c r="L926" s="71" t="n"/>
      <c r="M926" s="66" t="n"/>
      <c r="N926" s="80" t="n"/>
      <c r="O926" s="81" t="str">
        <f>IF(A926="","",ROUND(V926*IFERROR(N(INDEX(tech_rate,MATCH(M926,tech_name,0))),0),2))</f>
        <v/>
      </c>
      <c r="P926" s="80" t="n"/>
      <c r="Q926" s="81" t="str">
        <f>IF(A926="","",ROUND(Y926+O926+Z926,2))</f>
        <v/>
      </c>
      <c r="R926" s="79" t="str">
        <f>IF(A926="","",IF(S926=0,"Date manquante ou invalide",IF(C926="","Équipement manquant",IF(ISNA(MATCH(C926,eq_code,0)),"Équipement inconnu",IF(E926="","Type manquant",IF(AND(E926&lt;&gt;"Préventif",E926&lt;&gt;"Correctif",E926&lt;&gt;"Amélioratif"),"Type inconnu",IF(I926="","Statut manquant",IF(AND(I926&lt;&gt;"Terminée",I926&lt;&gt;"En cours",I926&lt;&gt;"À faire",I926&lt;&gt;"Annulée"),"Statut inconnu",IF(AND(E926="Préventif",F926=""),"Plan manquant (préventif)",IF(AND(F926&lt;&gt;"",ISNA(MATCH(F926,pl_num,0))),"Plan inconnu",IF(AND(F926&lt;&gt;"",IFERROR(INDEX(pl_eq,MATCH(F926,pl_num,0))&amp;"",C926)&lt;&gt;C926),"Plan d'un autre équipement",IF(AND(J926&lt;&gt;"",OR(NOT(ISNUMBER(J926)),N(J926)&lt;0)),"Compteur invalide",IF(OR(AND(K926&lt;&gt;"",OR(NOT(ISNUMBER(K926)),N(K926)&lt;0)),AND(L926&lt;&gt;"",OR(NOT(ISNUMBER(L926)),N(L926)&lt;0))),"Durée invalide",IF(OR(AND(N926&lt;&gt;"",OR(NOT(ISNUMBER(N926)),N(N926)&lt;0)),AND(P926&lt;&gt;"",OR(NOT(ISNUMBER(P926)),N(P926)&lt;0))),"Coût invalide",IF(AND(M926&lt;&gt;"",ISNA(MATCH(M926,tech_name,0))),"Technicien inconnu",IF(AND(I926="Terminée",S926&gt;p_today),"Terminée à une date future",IF(AND(I926="Terminée",V926=0),"Durée d'intervention manquante",IF(AND(I926="Terminée",E926="Préventif",T926=0,OR(IFERROR(INDEX(pl_trig,MATCH(F926,pl_num,0))&amp;"","")="Compteur",IFERROR(INDEX(pl_trig,MATCH(F926,pl_num,0))&amp;"","")="Au premier des deux")),"Compteur manquant (plan au compteur)","OK"))))))))))))))))))</f>
        <v/>
      </c>
      <c r="S926" s="67">
        <f>IF(AND(ISNUMBER(B926),N(B926)&gt;0),INT(B926),0)</f>
        <v>0.0</v>
      </c>
      <c r="T926" s="67">
        <f>IF(AND(ISNUMBER(J926),N(J926)&gt;=0),N(J926),0)</f>
        <v>0.0</v>
      </c>
      <c r="U926" s="67">
        <f>IF(AND(ISNUMBER(K926),N(K926)&gt;0),N(K926),0)</f>
        <v>0.0</v>
      </c>
      <c r="V926" s="67">
        <f>IF(AND(ISNUMBER(L926),N(L926)&gt;0),N(L926),0)</f>
        <v>0.0</v>
      </c>
      <c r="W926" s="67">
        <f>IF(AND(I926="Terminée",S926&gt;0,C926&lt;&gt;"",ISNUMBER(MATCH(C926,eq_code,0))),1,0)</f>
        <v>0.0</v>
      </c>
      <c r="X926" s="67">
        <f>IF(AND(W926=1,E926="Préventif"),1,0)</f>
        <v>0.0</v>
      </c>
      <c r="Y926" s="67">
        <f>IF(AND(ISNUMBER(N926),N(N926)&gt;0),N(N926),0)</f>
        <v>0.0</v>
      </c>
      <c r="Z926" s="67">
        <f>IF(AND(ISNUMBER(P926),N(P926)&gt;0),N(P926),0)</f>
        <v>0.0</v>
      </c>
    </row>
    <row r="927">
      <c r="A927" s="79" t="str">
        <f>IF(COUNTA(B927:C927,E927:G927,I927)=0,"","BI-"&amp;RIGHT("0000"&amp;(ROW()-5),4))</f>
        <v/>
      </c>
      <c r="B927" s="72" t="n"/>
      <c r="C927" s="66" t="n"/>
      <c r="D927" s="67" t="str">
        <f>IF(C927="","",IFERROR(INDEX(eq_des,MATCH(C927,eq_code,0))&amp;"","Équipement inconnu"))</f>
        <v/>
      </c>
      <c r="E927" s="68" t="n"/>
      <c r="F927" s="68" t="n"/>
      <c r="G927" s="66" t="n"/>
      <c r="H927" s="66" t="n"/>
      <c r="I927" s="68" t="n"/>
      <c r="J927" s="73" t="n"/>
      <c r="K927" s="71" t="n"/>
      <c r="L927" s="71" t="n"/>
      <c r="M927" s="66" t="n"/>
      <c r="N927" s="80" t="n"/>
      <c r="O927" s="81" t="str">
        <f>IF(A927="","",ROUND(V927*IFERROR(N(INDEX(tech_rate,MATCH(M927,tech_name,0))),0),2))</f>
        <v/>
      </c>
      <c r="P927" s="80" t="n"/>
      <c r="Q927" s="81" t="str">
        <f>IF(A927="","",ROUND(Y927+O927+Z927,2))</f>
        <v/>
      </c>
      <c r="R927" s="79" t="str">
        <f>IF(A927="","",IF(S927=0,"Date manquante ou invalide",IF(C927="","Équipement manquant",IF(ISNA(MATCH(C927,eq_code,0)),"Équipement inconnu",IF(E927="","Type manquant",IF(AND(E927&lt;&gt;"Préventif",E927&lt;&gt;"Correctif",E927&lt;&gt;"Amélioratif"),"Type inconnu",IF(I927="","Statut manquant",IF(AND(I927&lt;&gt;"Terminée",I927&lt;&gt;"En cours",I927&lt;&gt;"À faire",I927&lt;&gt;"Annulée"),"Statut inconnu",IF(AND(E927="Préventif",F927=""),"Plan manquant (préventif)",IF(AND(F927&lt;&gt;"",ISNA(MATCH(F927,pl_num,0))),"Plan inconnu",IF(AND(F927&lt;&gt;"",IFERROR(INDEX(pl_eq,MATCH(F927,pl_num,0))&amp;"",C927)&lt;&gt;C927),"Plan d'un autre équipement",IF(AND(J927&lt;&gt;"",OR(NOT(ISNUMBER(J927)),N(J927)&lt;0)),"Compteur invalide",IF(OR(AND(K927&lt;&gt;"",OR(NOT(ISNUMBER(K927)),N(K927)&lt;0)),AND(L927&lt;&gt;"",OR(NOT(ISNUMBER(L927)),N(L927)&lt;0))),"Durée invalide",IF(OR(AND(N927&lt;&gt;"",OR(NOT(ISNUMBER(N927)),N(N927)&lt;0)),AND(P927&lt;&gt;"",OR(NOT(ISNUMBER(P927)),N(P927)&lt;0))),"Coût invalide",IF(AND(M927&lt;&gt;"",ISNA(MATCH(M927,tech_name,0))),"Technicien inconnu",IF(AND(I927="Terminée",S927&gt;p_today),"Terminée à une date future",IF(AND(I927="Terminée",V927=0),"Durée d'intervention manquante",IF(AND(I927="Terminée",E927="Préventif",T927=0,OR(IFERROR(INDEX(pl_trig,MATCH(F927,pl_num,0))&amp;"","")="Compteur",IFERROR(INDEX(pl_trig,MATCH(F927,pl_num,0))&amp;"","")="Au premier des deux")),"Compteur manquant (plan au compteur)","OK"))))))))))))))))))</f>
        <v/>
      </c>
      <c r="S927" s="67">
        <f>IF(AND(ISNUMBER(B927),N(B927)&gt;0),INT(B927),0)</f>
        <v>0.0</v>
      </c>
      <c r="T927" s="67">
        <f>IF(AND(ISNUMBER(J927),N(J927)&gt;=0),N(J927),0)</f>
        <v>0.0</v>
      </c>
      <c r="U927" s="67">
        <f>IF(AND(ISNUMBER(K927),N(K927)&gt;0),N(K927),0)</f>
        <v>0.0</v>
      </c>
      <c r="V927" s="67">
        <f>IF(AND(ISNUMBER(L927),N(L927)&gt;0),N(L927),0)</f>
        <v>0.0</v>
      </c>
      <c r="W927" s="67">
        <f>IF(AND(I927="Terminée",S927&gt;0,C927&lt;&gt;"",ISNUMBER(MATCH(C927,eq_code,0))),1,0)</f>
        <v>0.0</v>
      </c>
      <c r="X927" s="67">
        <f>IF(AND(W927=1,E927="Préventif"),1,0)</f>
        <v>0.0</v>
      </c>
      <c r="Y927" s="67">
        <f>IF(AND(ISNUMBER(N927),N(N927)&gt;0),N(N927),0)</f>
        <v>0.0</v>
      </c>
      <c r="Z927" s="67">
        <f>IF(AND(ISNUMBER(P927),N(P927)&gt;0),N(P927),0)</f>
        <v>0.0</v>
      </c>
    </row>
    <row r="928">
      <c r="A928" s="79" t="str">
        <f>IF(COUNTA(B928:C928,E928:G928,I928)=0,"","BI-"&amp;RIGHT("0000"&amp;(ROW()-5),4))</f>
        <v/>
      </c>
      <c r="B928" s="72" t="n"/>
      <c r="C928" s="66" t="n"/>
      <c r="D928" s="67" t="str">
        <f>IF(C928="","",IFERROR(INDEX(eq_des,MATCH(C928,eq_code,0))&amp;"","Équipement inconnu"))</f>
        <v/>
      </c>
      <c r="E928" s="68" t="n"/>
      <c r="F928" s="68" t="n"/>
      <c r="G928" s="66" t="n"/>
      <c r="H928" s="66" t="n"/>
      <c r="I928" s="68" t="n"/>
      <c r="J928" s="73" t="n"/>
      <c r="K928" s="71" t="n"/>
      <c r="L928" s="71" t="n"/>
      <c r="M928" s="66" t="n"/>
      <c r="N928" s="80" t="n"/>
      <c r="O928" s="81" t="str">
        <f>IF(A928="","",ROUND(V928*IFERROR(N(INDEX(tech_rate,MATCH(M928,tech_name,0))),0),2))</f>
        <v/>
      </c>
      <c r="P928" s="80" t="n"/>
      <c r="Q928" s="81" t="str">
        <f>IF(A928="","",ROUND(Y928+O928+Z928,2))</f>
        <v/>
      </c>
      <c r="R928" s="79" t="str">
        <f>IF(A928="","",IF(S928=0,"Date manquante ou invalide",IF(C928="","Équipement manquant",IF(ISNA(MATCH(C928,eq_code,0)),"Équipement inconnu",IF(E928="","Type manquant",IF(AND(E928&lt;&gt;"Préventif",E928&lt;&gt;"Correctif",E928&lt;&gt;"Amélioratif"),"Type inconnu",IF(I928="","Statut manquant",IF(AND(I928&lt;&gt;"Terminée",I928&lt;&gt;"En cours",I928&lt;&gt;"À faire",I928&lt;&gt;"Annulée"),"Statut inconnu",IF(AND(E928="Préventif",F928=""),"Plan manquant (préventif)",IF(AND(F928&lt;&gt;"",ISNA(MATCH(F928,pl_num,0))),"Plan inconnu",IF(AND(F928&lt;&gt;"",IFERROR(INDEX(pl_eq,MATCH(F928,pl_num,0))&amp;"",C928)&lt;&gt;C928),"Plan d'un autre équipement",IF(AND(J928&lt;&gt;"",OR(NOT(ISNUMBER(J928)),N(J928)&lt;0)),"Compteur invalide",IF(OR(AND(K928&lt;&gt;"",OR(NOT(ISNUMBER(K928)),N(K928)&lt;0)),AND(L928&lt;&gt;"",OR(NOT(ISNUMBER(L928)),N(L928)&lt;0))),"Durée invalide",IF(OR(AND(N928&lt;&gt;"",OR(NOT(ISNUMBER(N928)),N(N928)&lt;0)),AND(P928&lt;&gt;"",OR(NOT(ISNUMBER(P928)),N(P928)&lt;0))),"Coût invalide",IF(AND(M928&lt;&gt;"",ISNA(MATCH(M928,tech_name,0))),"Technicien inconnu",IF(AND(I928="Terminée",S928&gt;p_today),"Terminée à une date future",IF(AND(I928="Terminée",V928=0),"Durée d'intervention manquante",IF(AND(I928="Terminée",E928="Préventif",T928=0,OR(IFERROR(INDEX(pl_trig,MATCH(F928,pl_num,0))&amp;"","")="Compteur",IFERROR(INDEX(pl_trig,MATCH(F928,pl_num,0))&amp;"","")="Au premier des deux")),"Compteur manquant (plan au compteur)","OK"))))))))))))))))))</f>
        <v/>
      </c>
      <c r="S928" s="67">
        <f>IF(AND(ISNUMBER(B928),N(B928)&gt;0),INT(B928),0)</f>
        <v>0.0</v>
      </c>
      <c r="T928" s="67">
        <f>IF(AND(ISNUMBER(J928),N(J928)&gt;=0),N(J928),0)</f>
        <v>0.0</v>
      </c>
      <c r="U928" s="67">
        <f>IF(AND(ISNUMBER(K928),N(K928)&gt;0),N(K928),0)</f>
        <v>0.0</v>
      </c>
      <c r="V928" s="67">
        <f>IF(AND(ISNUMBER(L928),N(L928)&gt;0),N(L928),0)</f>
        <v>0.0</v>
      </c>
      <c r="W928" s="67">
        <f>IF(AND(I928="Terminée",S928&gt;0,C928&lt;&gt;"",ISNUMBER(MATCH(C928,eq_code,0))),1,0)</f>
        <v>0.0</v>
      </c>
      <c r="X928" s="67">
        <f>IF(AND(W928=1,E928="Préventif"),1,0)</f>
        <v>0.0</v>
      </c>
      <c r="Y928" s="67">
        <f>IF(AND(ISNUMBER(N928),N(N928)&gt;0),N(N928),0)</f>
        <v>0.0</v>
      </c>
      <c r="Z928" s="67">
        <f>IF(AND(ISNUMBER(P928),N(P928)&gt;0),N(P928),0)</f>
        <v>0.0</v>
      </c>
    </row>
    <row r="929">
      <c r="A929" s="79" t="str">
        <f>IF(COUNTA(B929:C929,E929:G929,I929)=0,"","BI-"&amp;RIGHT("0000"&amp;(ROW()-5),4))</f>
        <v/>
      </c>
      <c r="B929" s="72" t="n"/>
      <c r="C929" s="66" t="n"/>
      <c r="D929" s="67" t="str">
        <f>IF(C929="","",IFERROR(INDEX(eq_des,MATCH(C929,eq_code,0))&amp;"","Équipement inconnu"))</f>
        <v/>
      </c>
      <c r="E929" s="68" t="n"/>
      <c r="F929" s="68" t="n"/>
      <c r="G929" s="66" t="n"/>
      <c r="H929" s="66" t="n"/>
      <c r="I929" s="68" t="n"/>
      <c r="J929" s="73" t="n"/>
      <c r="K929" s="71" t="n"/>
      <c r="L929" s="71" t="n"/>
      <c r="M929" s="66" t="n"/>
      <c r="N929" s="80" t="n"/>
      <c r="O929" s="81" t="str">
        <f>IF(A929="","",ROUND(V929*IFERROR(N(INDEX(tech_rate,MATCH(M929,tech_name,0))),0),2))</f>
        <v/>
      </c>
      <c r="P929" s="80" t="n"/>
      <c r="Q929" s="81" t="str">
        <f>IF(A929="","",ROUND(Y929+O929+Z929,2))</f>
        <v/>
      </c>
      <c r="R929" s="79" t="str">
        <f>IF(A929="","",IF(S929=0,"Date manquante ou invalide",IF(C929="","Équipement manquant",IF(ISNA(MATCH(C929,eq_code,0)),"Équipement inconnu",IF(E929="","Type manquant",IF(AND(E929&lt;&gt;"Préventif",E929&lt;&gt;"Correctif",E929&lt;&gt;"Amélioratif"),"Type inconnu",IF(I929="","Statut manquant",IF(AND(I929&lt;&gt;"Terminée",I929&lt;&gt;"En cours",I929&lt;&gt;"À faire",I929&lt;&gt;"Annulée"),"Statut inconnu",IF(AND(E929="Préventif",F929=""),"Plan manquant (préventif)",IF(AND(F929&lt;&gt;"",ISNA(MATCH(F929,pl_num,0))),"Plan inconnu",IF(AND(F929&lt;&gt;"",IFERROR(INDEX(pl_eq,MATCH(F929,pl_num,0))&amp;"",C929)&lt;&gt;C929),"Plan d'un autre équipement",IF(AND(J929&lt;&gt;"",OR(NOT(ISNUMBER(J929)),N(J929)&lt;0)),"Compteur invalide",IF(OR(AND(K929&lt;&gt;"",OR(NOT(ISNUMBER(K929)),N(K929)&lt;0)),AND(L929&lt;&gt;"",OR(NOT(ISNUMBER(L929)),N(L929)&lt;0))),"Durée invalide",IF(OR(AND(N929&lt;&gt;"",OR(NOT(ISNUMBER(N929)),N(N929)&lt;0)),AND(P929&lt;&gt;"",OR(NOT(ISNUMBER(P929)),N(P929)&lt;0))),"Coût invalide",IF(AND(M929&lt;&gt;"",ISNA(MATCH(M929,tech_name,0))),"Technicien inconnu",IF(AND(I929="Terminée",S929&gt;p_today),"Terminée à une date future",IF(AND(I929="Terminée",V929=0),"Durée d'intervention manquante",IF(AND(I929="Terminée",E929="Préventif",T929=0,OR(IFERROR(INDEX(pl_trig,MATCH(F929,pl_num,0))&amp;"","")="Compteur",IFERROR(INDEX(pl_trig,MATCH(F929,pl_num,0))&amp;"","")="Au premier des deux")),"Compteur manquant (plan au compteur)","OK"))))))))))))))))))</f>
        <v/>
      </c>
      <c r="S929" s="67">
        <f>IF(AND(ISNUMBER(B929),N(B929)&gt;0),INT(B929),0)</f>
        <v>0.0</v>
      </c>
      <c r="T929" s="67">
        <f>IF(AND(ISNUMBER(J929),N(J929)&gt;=0),N(J929),0)</f>
        <v>0.0</v>
      </c>
      <c r="U929" s="67">
        <f>IF(AND(ISNUMBER(K929),N(K929)&gt;0),N(K929),0)</f>
        <v>0.0</v>
      </c>
      <c r="V929" s="67">
        <f>IF(AND(ISNUMBER(L929),N(L929)&gt;0),N(L929),0)</f>
        <v>0.0</v>
      </c>
      <c r="W929" s="67">
        <f>IF(AND(I929="Terminée",S929&gt;0,C929&lt;&gt;"",ISNUMBER(MATCH(C929,eq_code,0))),1,0)</f>
        <v>0.0</v>
      </c>
      <c r="X929" s="67">
        <f>IF(AND(W929=1,E929="Préventif"),1,0)</f>
        <v>0.0</v>
      </c>
      <c r="Y929" s="67">
        <f>IF(AND(ISNUMBER(N929),N(N929)&gt;0),N(N929),0)</f>
        <v>0.0</v>
      </c>
      <c r="Z929" s="67">
        <f>IF(AND(ISNUMBER(P929),N(P929)&gt;0),N(P929),0)</f>
        <v>0.0</v>
      </c>
    </row>
    <row r="930">
      <c r="A930" s="79" t="str">
        <f>IF(COUNTA(B930:C930,E930:G930,I930)=0,"","BI-"&amp;RIGHT("0000"&amp;(ROW()-5),4))</f>
        <v/>
      </c>
      <c r="B930" s="72" t="n"/>
      <c r="C930" s="66" t="n"/>
      <c r="D930" s="67" t="str">
        <f>IF(C930="","",IFERROR(INDEX(eq_des,MATCH(C930,eq_code,0))&amp;"","Équipement inconnu"))</f>
        <v/>
      </c>
      <c r="E930" s="68" t="n"/>
      <c r="F930" s="68" t="n"/>
      <c r="G930" s="66" t="n"/>
      <c r="H930" s="66" t="n"/>
      <c r="I930" s="68" t="n"/>
      <c r="J930" s="73" t="n"/>
      <c r="K930" s="71" t="n"/>
      <c r="L930" s="71" t="n"/>
      <c r="M930" s="66" t="n"/>
      <c r="N930" s="80" t="n"/>
      <c r="O930" s="81" t="str">
        <f>IF(A930="","",ROUND(V930*IFERROR(N(INDEX(tech_rate,MATCH(M930,tech_name,0))),0),2))</f>
        <v/>
      </c>
      <c r="P930" s="80" t="n"/>
      <c r="Q930" s="81" t="str">
        <f>IF(A930="","",ROUND(Y930+O930+Z930,2))</f>
        <v/>
      </c>
      <c r="R930" s="79" t="str">
        <f>IF(A930="","",IF(S930=0,"Date manquante ou invalide",IF(C930="","Équipement manquant",IF(ISNA(MATCH(C930,eq_code,0)),"Équipement inconnu",IF(E930="","Type manquant",IF(AND(E930&lt;&gt;"Préventif",E930&lt;&gt;"Correctif",E930&lt;&gt;"Amélioratif"),"Type inconnu",IF(I930="","Statut manquant",IF(AND(I930&lt;&gt;"Terminée",I930&lt;&gt;"En cours",I930&lt;&gt;"À faire",I930&lt;&gt;"Annulée"),"Statut inconnu",IF(AND(E930="Préventif",F930=""),"Plan manquant (préventif)",IF(AND(F930&lt;&gt;"",ISNA(MATCH(F930,pl_num,0))),"Plan inconnu",IF(AND(F930&lt;&gt;"",IFERROR(INDEX(pl_eq,MATCH(F930,pl_num,0))&amp;"",C930)&lt;&gt;C930),"Plan d'un autre équipement",IF(AND(J930&lt;&gt;"",OR(NOT(ISNUMBER(J930)),N(J930)&lt;0)),"Compteur invalide",IF(OR(AND(K930&lt;&gt;"",OR(NOT(ISNUMBER(K930)),N(K930)&lt;0)),AND(L930&lt;&gt;"",OR(NOT(ISNUMBER(L930)),N(L930)&lt;0))),"Durée invalide",IF(OR(AND(N930&lt;&gt;"",OR(NOT(ISNUMBER(N930)),N(N930)&lt;0)),AND(P930&lt;&gt;"",OR(NOT(ISNUMBER(P930)),N(P930)&lt;0))),"Coût invalide",IF(AND(M930&lt;&gt;"",ISNA(MATCH(M930,tech_name,0))),"Technicien inconnu",IF(AND(I930="Terminée",S930&gt;p_today),"Terminée à une date future",IF(AND(I930="Terminée",V930=0),"Durée d'intervention manquante",IF(AND(I930="Terminée",E930="Préventif",T930=0,OR(IFERROR(INDEX(pl_trig,MATCH(F930,pl_num,0))&amp;"","")="Compteur",IFERROR(INDEX(pl_trig,MATCH(F930,pl_num,0))&amp;"","")="Au premier des deux")),"Compteur manquant (plan au compteur)","OK"))))))))))))))))))</f>
        <v/>
      </c>
      <c r="S930" s="67">
        <f>IF(AND(ISNUMBER(B930),N(B930)&gt;0),INT(B930),0)</f>
        <v>0.0</v>
      </c>
      <c r="T930" s="67">
        <f>IF(AND(ISNUMBER(J930),N(J930)&gt;=0),N(J930),0)</f>
        <v>0.0</v>
      </c>
      <c r="U930" s="67">
        <f>IF(AND(ISNUMBER(K930),N(K930)&gt;0),N(K930),0)</f>
        <v>0.0</v>
      </c>
      <c r="V930" s="67">
        <f>IF(AND(ISNUMBER(L930),N(L930)&gt;0),N(L930),0)</f>
        <v>0.0</v>
      </c>
      <c r="W930" s="67">
        <f>IF(AND(I930="Terminée",S930&gt;0,C930&lt;&gt;"",ISNUMBER(MATCH(C930,eq_code,0))),1,0)</f>
        <v>0.0</v>
      </c>
      <c r="X930" s="67">
        <f>IF(AND(W930=1,E930="Préventif"),1,0)</f>
        <v>0.0</v>
      </c>
      <c r="Y930" s="67">
        <f>IF(AND(ISNUMBER(N930),N(N930)&gt;0),N(N930),0)</f>
        <v>0.0</v>
      </c>
      <c r="Z930" s="67">
        <f>IF(AND(ISNUMBER(P930),N(P930)&gt;0),N(P930),0)</f>
        <v>0.0</v>
      </c>
    </row>
    <row r="931">
      <c r="A931" s="79" t="str">
        <f>IF(COUNTA(B931:C931,E931:G931,I931)=0,"","BI-"&amp;RIGHT("0000"&amp;(ROW()-5),4))</f>
        <v/>
      </c>
      <c r="B931" s="72" t="n"/>
      <c r="C931" s="66" t="n"/>
      <c r="D931" s="67" t="str">
        <f>IF(C931="","",IFERROR(INDEX(eq_des,MATCH(C931,eq_code,0))&amp;"","Équipement inconnu"))</f>
        <v/>
      </c>
      <c r="E931" s="68" t="n"/>
      <c r="F931" s="68" t="n"/>
      <c r="G931" s="66" t="n"/>
      <c r="H931" s="66" t="n"/>
      <c r="I931" s="68" t="n"/>
      <c r="J931" s="73" t="n"/>
      <c r="K931" s="71" t="n"/>
      <c r="L931" s="71" t="n"/>
      <c r="M931" s="66" t="n"/>
      <c r="N931" s="80" t="n"/>
      <c r="O931" s="81" t="str">
        <f>IF(A931="","",ROUND(V931*IFERROR(N(INDEX(tech_rate,MATCH(M931,tech_name,0))),0),2))</f>
        <v/>
      </c>
      <c r="P931" s="80" t="n"/>
      <c r="Q931" s="81" t="str">
        <f>IF(A931="","",ROUND(Y931+O931+Z931,2))</f>
        <v/>
      </c>
      <c r="R931" s="79" t="str">
        <f>IF(A931="","",IF(S931=0,"Date manquante ou invalide",IF(C931="","Équipement manquant",IF(ISNA(MATCH(C931,eq_code,0)),"Équipement inconnu",IF(E931="","Type manquant",IF(AND(E931&lt;&gt;"Préventif",E931&lt;&gt;"Correctif",E931&lt;&gt;"Amélioratif"),"Type inconnu",IF(I931="","Statut manquant",IF(AND(I931&lt;&gt;"Terminée",I931&lt;&gt;"En cours",I931&lt;&gt;"À faire",I931&lt;&gt;"Annulée"),"Statut inconnu",IF(AND(E931="Préventif",F931=""),"Plan manquant (préventif)",IF(AND(F931&lt;&gt;"",ISNA(MATCH(F931,pl_num,0))),"Plan inconnu",IF(AND(F931&lt;&gt;"",IFERROR(INDEX(pl_eq,MATCH(F931,pl_num,0))&amp;"",C931)&lt;&gt;C931),"Plan d'un autre équipement",IF(AND(J931&lt;&gt;"",OR(NOT(ISNUMBER(J931)),N(J931)&lt;0)),"Compteur invalide",IF(OR(AND(K931&lt;&gt;"",OR(NOT(ISNUMBER(K931)),N(K931)&lt;0)),AND(L931&lt;&gt;"",OR(NOT(ISNUMBER(L931)),N(L931)&lt;0))),"Durée invalide",IF(OR(AND(N931&lt;&gt;"",OR(NOT(ISNUMBER(N931)),N(N931)&lt;0)),AND(P931&lt;&gt;"",OR(NOT(ISNUMBER(P931)),N(P931)&lt;0))),"Coût invalide",IF(AND(M931&lt;&gt;"",ISNA(MATCH(M931,tech_name,0))),"Technicien inconnu",IF(AND(I931="Terminée",S931&gt;p_today),"Terminée à une date future",IF(AND(I931="Terminée",V931=0),"Durée d'intervention manquante",IF(AND(I931="Terminée",E931="Préventif",T931=0,OR(IFERROR(INDEX(pl_trig,MATCH(F931,pl_num,0))&amp;"","")="Compteur",IFERROR(INDEX(pl_trig,MATCH(F931,pl_num,0))&amp;"","")="Au premier des deux")),"Compteur manquant (plan au compteur)","OK"))))))))))))))))))</f>
        <v/>
      </c>
      <c r="S931" s="67">
        <f>IF(AND(ISNUMBER(B931),N(B931)&gt;0),INT(B931),0)</f>
        <v>0.0</v>
      </c>
      <c r="T931" s="67">
        <f>IF(AND(ISNUMBER(J931),N(J931)&gt;=0),N(J931),0)</f>
        <v>0.0</v>
      </c>
      <c r="U931" s="67">
        <f>IF(AND(ISNUMBER(K931),N(K931)&gt;0),N(K931),0)</f>
        <v>0.0</v>
      </c>
      <c r="V931" s="67">
        <f>IF(AND(ISNUMBER(L931),N(L931)&gt;0),N(L931),0)</f>
        <v>0.0</v>
      </c>
      <c r="W931" s="67">
        <f>IF(AND(I931="Terminée",S931&gt;0,C931&lt;&gt;"",ISNUMBER(MATCH(C931,eq_code,0))),1,0)</f>
        <v>0.0</v>
      </c>
      <c r="X931" s="67">
        <f>IF(AND(W931=1,E931="Préventif"),1,0)</f>
        <v>0.0</v>
      </c>
      <c r="Y931" s="67">
        <f>IF(AND(ISNUMBER(N931),N(N931)&gt;0),N(N931),0)</f>
        <v>0.0</v>
      </c>
      <c r="Z931" s="67">
        <f>IF(AND(ISNUMBER(P931),N(P931)&gt;0),N(P931),0)</f>
        <v>0.0</v>
      </c>
    </row>
    <row r="932">
      <c r="A932" s="79" t="str">
        <f>IF(COUNTA(B932:C932,E932:G932,I932)=0,"","BI-"&amp;RIGHT("0000"&amp;(ROW()-5),4))</f>
        <v/>
      </c>
      <c r="B932" s="72" t="n"/>
      <c r="C932" s="66" t="n"/>
      <c r="D932" s="67" t="str">
        <f>IF(C932="","",IFERROR(INDEX(eq_des,MATCH(C932,eq_code,0))&amp;"","Équipement inconnu"))</f>
        <v/>
      </c>
      <c r="E932" s="68" t="n"/>
      <c r="F932" s="68" t="n"/>
      <c r="G932" s="66" t="n"/>
      <c r="H932" s="66" t="n"/>
      <c r="I932" s="68" t="n"/>
      <c r="J932" s="73" t="n"/>
      <c r="K932" s="71" t="n"/>
      <c r="L932" s="71" t="n"/>
      <c r="M932" s="66" t="n"/>
      <c r="N932" s="80" t="n"/>
      <c r="O932" s="81" t="str">
        <f>IF(A932="","",ROUND(V932*IFERROR(N(INDEX(tech_rate,MATCH(M932,tech_name,0))),0),2))</f>
        <v/>
      </c>
      <c r="P932" s="80" t="n"/>
      <c r="Q932" s="81" t="str">
        <f>IF(A932="","",ROUND(Y932+O932+Z932,2))</f>
        <v/>
      </c>
      <c r="R932" s="79" t="str">
        <f>IF(A932="","",IF(S932=0,"Date manquante ou invalide",IF(C932="","Équipement manquant",IF(ISNA(MATCH(C932,eq_code,0)),"Équipement inconnu",IF(E932="","Type manquant",IF(AND(E932&lt;&gt;"Préventif",E932&lt;&gt;"Correctif",E932&lt;&gt;"Amélioratif"),"Type inconnu",IF(I932="","Statut manquant",IF(AND(I932&lt;&gt;"Terminée",I932&lt;&gt;"En cours",I932&lt;&gt;"À faire",I932&lt;&gt;"Annulée"),"Statut inconnu",IF(AND(E932="Préventif",F932=""),"Plan manquant (préventif)",IF(AND(F932&lt;&gt;"",ISNA(MATCH(F932,pl_num,0))),"Plan inconnu",IF(AND(F932&lt;&gt;"",IFERROR(INDEX(pl_eq,MATCH(F932,pl_num,0))&amp;"",C932)&lt;&gt;C932),"Plan d'un autre équipement",IF(AND(J932&lt;&gt;"",OR(NOT(ISNUMBER(J932)),N(J932)&lt;0)),"Compteur invalide",IF(OR(AND(K932&lt;&gt;"",OR(NOT(ISNUMBER(K932)),N(K932)&lt;0)),AND(L932&lt;&gt;"",OR(NOT(ISNUMBER(L932)),N(L932)&lt;0))),"Durée invalide",IF(OR(AND(N932&lt;&gt;"",OR(NOT(ISNUMBER(N932)),N(N932)&lt;0)),AND(P932&lt;&gt;"",OR(NOT(ISNUMBER(P932)),N(P932)&lt;0))),"Coût invalide",IF(AND(M932&lt;&gt;"",ISNA(MATCH(M932,tech_name,0))),"Technicien inconnu",IF(AND(I932="Terminée",S932&gt;p_today),"Terminée à une date future",IF(AND(I932="Terminée",V932=0),"Durée d'intervention manquante",IF(AND(I932="Terminée",E932="Préventif",T932=0,OR(IFERROR(INDEX(pl_trig,MATCH(F932,pl_num,0))&amp;"","")="Compteur",IFERROR(INDEX(pl_trig,MATCH(F932,pl_num,0))&amp;"","")="Au premier des deux")),"Compteur manquant (plan au compteur)","OK"))))))))))))))))))</f>
        <v/>
      </c>
      <c r="S932" s="67">
        <f>IF(AND(ISNUMBER(B932),N(B932)&gt;0),INT(B932),0)</f>
        <v>0.0</v>
      </c>
      <c r="T932" s="67">
        <f>IF(AND(ISNUMBER(J932),N(J932)&gt;=0),N(J932),0)</f>
        <v>0.0</v>
      </c>
      <c r="U932" s="67">
        <f>IF(AND(ISNUMBER(K932),N(K932)&gt;0),N(K932),0)</f>
        <v>0.0</v>
      </c>
      <c r="V932" s="67">
        <f>IF(AND(ISNUMBER(L932),N(L932)&gt;0),N(L932),0)</f>
        <v>0.0</v>
      </c>
      <c r="W932" s="67">
        <f>IF(AND(I932="Terminée",S932&gt;0,C932&lt;&gt;"",ISNUMBER(MATCH(C932,eq_code,0))),1,0)</f>
        <v>0.0</v>
      </c>
      <c r="X932" s="67">
        <f>IF(AND(W932=1,E932="Préventif"),1,0)</f>
        <v>0.0</v>
      </c>
      <c r="Y932" s="67">
        <f>IF(AND(ISNUMBER(N932),N(N932)&gt;0),N(N932),0)</f>
        <v>0.0</v>
      </c>
      <c r="Z932" s="67">
        <f>IF(AND(ISNUMBER(P932),N(P932)&gt;0),N(P932),0)</f>
        <v>0.0</v>
      </c>
    </row>
    <row r="933">
      <c r="A933" s="79" t="str">
        <f>IF(COUNTA(B933:C933,E933:G933,I933)=0,"","BI-"&amp;RIGHT("0000"&amp;(ROW()-5),4))</f>
        <v/>
      </c>
      <c r="B933" s="72" t="n"/>
      <c r="C933" s="66" t="n"/>
      <c r="D933" s="67" t="str">
        <f>IF(C933="","",IFERROR(INDEX(eq_des,MATCH(C933,eq_code,0))&amp;"","Équipement inconnu"))</f>
        <v/>
      </c>
      <c r="E933" s="68" t="n"/>
      <c r="F933" s="68" t="n"/>
      <c r="G933" s="66" t="n"/>
      <c r="H933" s="66" t="n"/>
      <c r="I933" s="68" t="n"/>
      <c r="J933" s="73" t="n"/>
      <c r="K933" s="71" t="n"/>
      <c r="L933" s="71" t="n"/>
      <c r="M933" s="66" t="n"/>
      <c r="N933" s="80" t="n"/>
      <c r="O933" s="81" t="str">
        <f>IF(A933="","",ROUND(V933*IFERROR(N(INDEX(tech_rate,MATCH(M933,tech_name,0))),0),2))</f>
        <v/>
      </c>
      <c r="P933" s="80" t="n"/>
      <c r="Q933" s="81" t="str">
        <f>IF(A933="","",ROUND(Y933+O933+Z933,2))</f>
        <v/>
      </c>
      <c r="R933" s="79" t="str">
        <f>IF(A933="","",IF(S933=0,"Date manquante ou invalide",IF(C933="","Équipement manquant",IF(ISNA(MATCH(C933,eq_code,0)),"Équipement inconnu",IF(E933="","Type manquant",IF(AND(E933&lt;&gt;"Préventif",E933&lt;&gt;"Correctif",E933&lt;&gt;"Amélioratif"),"Type inconnu",IF(I933="","Statut manquant",IF(AND(I933&lt;&gt;"Terminée",I933&lt;&gt;"En cours",I933&lt;&gt;"À faire",I933&lt;&gt;"Annulée"),"Statut inconnu",IF(AND(E933="Préventif",F933=""),"Plan manquant (préventif)",IF(AND(F933&lt;&gt;"",ISNA(MATCH(F933,pl_num,0))),"Plan inconnu",IF(AND(F933&lt;&gt;"",IFERROR(INDEX(pl_eq,MATCH(F933,pl_num,0))&amp;"",C933)&lt;&gt;C933),"Plan d'un autre équipement",IF(AND(J933&lt;&gt;"",OR(NOT(ISNUMBER(J933)),N(J933)&lt;0)),"Compteur invalide",IF(OR(AND(K933&lt;&gt;"",OR(NOT(ISNUMBER(K933)),N(K933)&lt;0)),AND(L933&lt;&gt;"",OR(NOT(ISNUMBER(L933)),N(L933)&lt;0))),"Durée invalide",IF(OR(AND(N933&lt;&gt;"",OR(NOT(ISNUMBER(N933)),N(N933)&lt;0)),AND(P933&lt;&gt;"",OR(NOT(ISNUMBER(P933)),N(P933)&lt;0))),"Coût invalide",IF(AND(M933&lt;&gt;"",ISNA(MATCH(M933,tech_name,0))),"Technicien inconnu",IF(AND(I933="Terminée",S933&gt;p_today),"Terminée à une date future",IF(AND(I933="Terminée",V933=0),"Durée d'intervention manquante",IF(AND(I933="Terminée",E933="Préventif",T933=0,OR(IFERROR(INDEX(pl_trig,MATCH(F933,pl_num,0))&amp;"","")="Compteur",IFERROR(INDEX(pl_trig,MATCH(F933,pl_num,0))&amp;"","")="Au premier des deux")),"Compteur manquant (plan au compteur)","OK"))))))))))))))))))</f>
        <v/>
      </c>
      <c r="S933" s="67">
        <f>IF(AND(ISNUMBER(B933),N(B933)&gt;0),INT(B933),0)</f>
        <v>0.0</v>
      </c>
      <c r="T933" s="67">
        <f>IF(AND(ISNUMBER(J933),N(J933)&gt;=0),N(J933),0)</f>
        <v>0.0</v>
      </c>
      <c r="U933" s="67">
        <f>IF(AND(ISNUMBER(K933),N(K933)&gt;0),N(K933),0)</f>
        <v>0.0</v>
      </c>
      <c r="V933" s="67">
        <f>IF(AND(ISNUMBER(L933),N(L933)&gt;0),N(L933),0)</f>
        <v>0.0</v>
      </c>
      <c r="W933" s="67">
        <f>IF(AND(I933="Terminée",S933&gt;0,C933&lt;&gt;"",ISNUMBER(MATCH(C933,eq_code,0))),1,0)</f>
        <v>0.0</v>
      </c>
      <c r="X933" s="67">
        <f>IF(AND(W933=1,E933="Préventif"),1,0)</f>
        <v>0.0</v>
      </c>
      <c r="Y933" s="67">
        <f>IF(AND(ISNUMBER(N933),N(N933)&gt;0),N(N933),0)</f>
        <v>0.0</v>
      </c>
      <c r="Z933" s="67">
        <f>IF(AND(ISNUMBER(P933),N(P933)&gt;0),N(P933),0)</f>
        <v>0.0</v>
      </c>
    </row>
    <row r="934">
      <c r="A934" s="79" t="str">
        <f>IF(COUNTA(B934:C934,E934:G934,I934)=0,"","BI-"&amp;RIGHT("0000"&amp;(ROW()-5),4))</f>
        <v/>
      </c>
      <c r="B934" s="72" t="n"/>
      <c r="C934" s="66" t="n"/>
      <c r="D934" s="67" t="str">
        <f>IF(C934="","",IFERROR(INDEX(eq_des,MATCH(C934,eq_code,0))&amp;"","Équipement inconnu"))</f>
        <v/>
      </c>
      <c r="E934" s="68" t="n"/>
      <c r="F934" s="68" t="n"/>
      <c r="G934" s="66" t="n"/>
      <c r="H934" s="66" t="n"/>
      <c r="I934" s="68" t="n"/>
      <c r="J934" s="73" t="n"/>
      <c r="K934" s="71" t="n"/>
      <c r="L934" s="71" t="n"/>
      <c r="M934" s="66" t="n"/>
      <c r="N934" s="80" t="n"/>
      <c r="O934" s="81" t="str">
        <f>IF(A934="","",ROUND(V934*IFERROR(N(INDEX(tech_rate,MATCH(M934,tech_name,0))),0),2))</f>
        <v/>
      </c>
      <c r="P934" s="80" t="n"/>
      <c r="Q934" s="81" t="str">
        <f>IF(A934="","",ROUND(Y934+O934+Z934,2))</f>
        <v/>
      </c>
      <c r="R934" s="79" t="str">
        <f>IF(A934="","",IF(S934=0,"Date manquante ou invalide",IF(C934="","Équipement manquant",IF(ISNA(MATCH(C934,eq_code,0)),"Équipement inconnu",IF(E934="","Type manquant",IF(AND(E934&lt;&gt;"Préventif",E934&lt;&gt;"Correctif",E934&lt;&gt;"Amélioratif"),"Type inconnu",IF(I934="","Statut manquant",IF(AND(I934&lt;&gt;"Terminée",I934&lt;&gt;"En cours",I934&lt;&gt;"À faire",I934&lt;&gt;"Annulée"),"Statut inconnu",IF(AND(E934="Préventif",F934=""),"Plan manquant (préventif)",IF(AND(F934&lt;&gt;"",ISNA(MATCH(F934,pl_num,0))),"Plan inconnu",IF(AND(F934&lt;&gt;"",IFERROR(INDEX(pl_eq,MATCH(F934,pl_num,0))&amp;"",C934)&lt;&gt;C934),"Plan d'un autre équipement",IF(AND(J934&lt;&gt;"",OR(NOT(ISNUMBER(J934)),N(J934)&lt;0)),"Compteur invalide",IF(OR(AND(K934&lt;&gt;"",OR(NOT(ISNUMBER(K934)),N(K934)&lt;0)),AND(L934&lt;&gt;"",OR(NOT(ISNUMBER(L934)),N(L934)&lt;0))),"Durée invalide",IF(OR(AND(N934&lt;&gt;"",OR(NOT(ISNUMBER(N934)),N(N934)&lt;0)),AND(P934&lt;&gt;"",OR(NOT(ISNUMBER(P934)),N(P934)&lt;0))),"Coût invalide",IF(AND(M934&lt;&gt;"",ISNA(MATCH(M934,tech_name,0))),"Technicien inconnu",IF(AND(I934="Terminée",S934&gt;p_today),"Terminée à une date future",IF(AND(I934="Terminée",V934=0),"Durée d'intervention manquante",IF(AND(I934="Terminée",E934="Préventif",T934=0,OR(IFERROR(INDEX(pl_trig,MATCH(F934,pl_num,0))&amp;"","")="Compteur",IFERROR(INDEX(pl_trig,MATCH(F934,pl_num,0))&amp;"","")="Au premier des deux")),"Compteur manquant (plan au compteur)","OK"))))))))))))))))))</f>
        <v/>
      </c>
      <c r="S934" s="67">
        <f>IF(AND(ISNUMBER(B934),N(B934)&gt;0),INT(B934),0)</f>
        <v>0.0</v>
      </c>
      <c r="T934" s="67">
        <f>IF(AND(ISNUMBER(J934),N(J934)&gt;=0),N(J934),0)</f>
        <v>0.0</v>
      </c>
      <c r="U934" s="67">
        <f>IF(AND(ISNUMBER(K934),N(K934)&gt;0),N(K934),0)</f>
        <v>0.0</v>
      </c>
      <c r="V934" s="67">
        <f>IF(AND(ISNUMBER(L934),N(L934)&gt;0),N(L934),0)</f>
        <v>0.0</v>
      </c>
      <c r="W934" s="67">
        <f>IF(AND(I934="Terminée",S934&gt;0,C934&lt;&gt;"",ISNUMBER(MATCH(C934,eq_code,0))),1,0)</f>
        <v>0.0</v>
      </c>
      <c r="X934" s="67">
        <f>IF(AND(W934=1,E934="Préventif"),1,0)</f>
        <v>0.0</v>
      </c>
      <c r="Y934" s="67">
        <f>IF(AND(ISNUMBER(N934),N(N934)&gt;0),N(N934),0)</f>
        <v>0.0</v>
      </c>
      <c r="Z934" s="67">
        <f>IF(AND(ISNUMBER(P934),N(P934)&gt;0),N(P934),0)</f>
        <v>0.0</v>
      </c>
    </row>
    <row r="935">
      <c r="A935" s="79" t="str">
        <f>IF(COUNTA(B935:C935,E935:G935,I935)=0,"","BI-"&amp;RIGHT("0000"&amp;(ROW()-5),4))</f>
        <v/>
      </c>
      <c r="B935" s="72" t="n"/>
      <c r="C935" s="66" t="n"/>
      <c r="D935" s="67" t="str">
        <f>IF(C935="","",IFERROR(INDEX(eq_des,MATCH(C935,eq_code,0))&amp;"","Équipement inconnu"))</f>
        <v/>
      </c>
      <c r="E935" s="68" t="n"/>
      <c r="F935" s="68" t="n"/>
      <c r="G935" s="66" t="n"/>
      <c r="H935" s="66" t="n"/>
      <c r="I935" s="68" t="n"/>
      <c r="J935" s="73" t="n"/>
      <c r="K935" s="71" t="n"/>
      <c r="L935" s="71" t="n"/>
      <c r="M935" s="66" t="n"/>
      <c r="N935" s="80" t="n"/>
      <c r="O935" s="81" t="str">
        <f>IF(A935="","",ROUND(V935*IFERROR(N(INDEX(tech_rate,MATCH(M935,tech_name,0))),0),2))</f>
        <v/>
      </c>
      <c r="P935" s="80" t="n"/>
      <c r="Q935" s="81" t="str">
        <f>IF(A935="","",ROUND(Y935+O935+Z935,2))</f>
        <v/>
      </c>
      <c r="R935" s="79" t="str">
        <f>IF(A935="","",IF(S935=0,"Date manquante ou invalide",IF(C935="","Équipement manquant",IF(ISNA(MATCH(C935,eq_code,0)),"Équipement inconnu",IF(E935="","Type manquant",IF(AND(E935&lt;&gt;"Préventif",E935&lt;&gt;"Correctif",E935&lt;&gt;"Amélioratif"),"Type inconnu",IF(I935="","Statut manquant",IF(AND(I935&lt;&gt;"Terminée",I935&lt;&gt;"En cours",I935&lt;&gt;"À faire",I935&lt;&gt;"Annulée"),"Statut inconnu",IF(AND(E935="Préventif",F935=""),"Plan manquant (préventif)",IF(AND(F935&lt;&gt;"",ISNA(MATCH(F935,pl_num,0))),"Plan inconnu",IF(AND(F935&lt;&gt;"",IFERROR(INDEX(pl_eq,MATCH(F935,pl_num,0))&amp;"",C935)&lt;&gt;C935),"Plan d'un autre équipement",IF(AND(J935&lt;&gt;"",OR(NOT(ISNUMBER(J935)),N(J935)&lt;0)),"Compteur invalide",IF(OR(AND(K935&lt;&gt;"",OR(NOT(ISNUMBER(K935)),N(K935)&lt;0)),AND(L935&lt;&gt;"",OR(NOT(ISNUMBER(L935)),N(L935)&lt;0))),"Durée invalide",IF(OR(AND(N935&lt;&gt;"",OR(NOT(ISNUMBER(N935)),N(N935)&lt;0)),AND(P935&lt;&gt;"",OR(NOT(ISNUMBER(P935)),N(P935)&lt;0))),"Coût invalide",IF(AND(M935&lt;&gt;"",ISNA(MATCH(M935,tech_name,0))),"Technicien inconnu",IF(AND(I935="Terminée",S935&gt;p_today),"Terminée à une date future",IF(AND(I935="Terminée",V935=0),"Durée d'intervention manquante",IF(AND(I935="Terminée",E935="Préventif",T935=0,OR(IFERROR(INDEX(pl_trig,MATCH(F935,pl_num,0))&amp;"","")="Compteur",IFERROR(INDEX(pl_trig,MATCH(F935,pl_num,0))&amp;"","")="Au premier des deux")),"Compteur manquant (plan au compteur)","OK"))))))))))))))))))</f>
        <v/>
      </c>
      <c r="S935" s="67">
        <f>IF(AND(ISNUMBER(B935),N(B935)&gt;0),INT(B935),0)</f>
        <v>0.0</v>
      </c>
      <c r="T935" s="67">
        <f>IF(AND(ISNUMBER(J935),N(J935)&gt;=0),N(J935),0)</f>
        <v>0.0</v>
      </c>
      <c r="U935" s="67">
        <f>IF(AND(ISNUMBER(K935),N(K935)&gt;0),N(K935),0)</f>
        <v>0.0</v>
      </c>
      <c r="V935" s="67">
        <f>IF(AND(ISNUMBER(L935),N(L935)&gt;0),N(L935),0)</f>
        <v>0.0</v>
      </c>
      <c r="W935" s="67">
        <f>IF(AND(I935="Terminée",S935&gt;0,C935&lt;&gt;"",ISNUMBER(MATCH(C935,eq_code,0))),1,0)</f>
        <v>0.0</v>
      </c>
      <c r="X935" s="67">
        <f>IF(AND(W935=1,E935="Préventif"),1,0)</f>
        <v>0.0</v>
      </c>
      <c r="Y935" s="67">
        <f>IF(AND(ISNUMBER(N935),N(N935)&gt;0),N(N935),0)</f>
        <v>0.0</v>
      </c>
      <c r="Z935" s="67">
        <f>IF(AND(ISNUMBER(P935),N(P935)&gt;0),N(P935),0)</f>
        <v>0.0</v>
      </c>
    </row>
    <row r="936">
      <c r="A936" s="79" t="str">
        <f>IF(COUNTA(B936:C936,E936:G936,I936)=0,"","BI-"&amp;RIGHT("0000"&amp;(ROW()-5),4))</f>
        <v/>
      </c>
      <c r="B936" s="72" t="n"/>
      <c r="C936" s="66" t="n"/>
      <c r="D936" s="67" t="str">
        <f>IF(C936="","",IFERROR(INDEX(eq_des,MATCH(C936,eq_code,0))&amp;"","Équipement inconnu"))</f>
        <v/>
      </c>
      <c r="E936" s="68" t="n"/>
      <c r="F936" s="68" t="n"/>
      <c r="G936" s="66" t="n"/>
      <c r="H936" s="66" t="n"/>
      <c r="I936" s="68" t="n"/>
      <c r="J936" s="73" t="n"/>
      <c r="K936" s="71" t="n"/>
      <c r="L936" s="71" t="n"/>
      <c r="M936" s="66" t="n"/>
      <c r="N936" s="80" t="n"/>
      <c r="O936" s="81" t="str">
        <f>IF(A936="","",ROUND(V936*IFERROR(N(INDEX(tech_rate,MATCH(M936,tech_name,0))),0),2))</f>
        <v/>
      </c>
      <c r="P936" s="80" t="n"/>
      <c r="Q936" s="81" t="str">
        <f>IF(A936="","",ROUND(Y936+O936+Z936,2))</f>
        <v/>
      </c>
      <c r="R936" s="79" t="str">
        <f>IF(A936="","",IF(S936=0,"Date manquante ou invalide",IF(C936="","Équipement manquant",IF(ISNA(MATCH(C936,eq_code,0)),"Équipement inconnu",IF(E936="","Type manquant",IF(AND(E936&lt;&gt;"Préventif",E936&lt;&gt;"Correctif",E936&lt;&gt;"Amélioratif"),"Type inconnu",IF(I936="","Statut manquant",IF(AND(I936&lt;&gt;"Terminée",I936&lt;&gt;"En cours",I936&lt;&gt;"À faire",I936&lt;&gt;"Annulée"),"Statut inconnu",IF(AND(E936="Préventif",F936=""),"Plan manquant (préventif)",IF(AND(F936&lt;&gt;"",ISNA(MATCH(F936,pl_num,0))),"Plan inconnu",IF(AND(F936&lt;&gt;"",IFERROR(INDEX(pl_eq,MATCH(F936,pl_num,0))&amp;"",C936)&lt;&gt;C936),"Plan d'un autre équipement",IF(AND(J936&lt;&gt;"",OR(NOT(ISNUMBER(J936)),N(J936)&lt;0)),"Compteur invalide",IF(OR(AND(K936&lt;&gt;"",OR(NOT(ISNUMBER(K936)),N(K936)&lt;0)),AND(L936&lt;&gt;"",OR(NOT(ISNUMBER(L936)),N(L936)&lt;0))),"Durée invalide",IF(OR(AND(N936&lt;&gt;"",OR(NOT(ISNUMBER(N936)),N(N936)&lt;0)),AND(P936&lt;&gt;"",OR(NOT(ISNUMBER(P936)),N(P936)&lt;0))),"Coût invalide",IF(AND(M936&lt;&gt;"",ISNA(MATCH(M936,tech_name,0))),"Technicien inconnu",IF(AND(I936="Terminée",S936&gt;p_today),"Terminée à une date future",IF(AND(I936="Terminée",V936=0),"Durée d'intervention manquante",IF(AND(I936="Terminée",E936="Préventif",T936=0,OR(IFERROR(INDEX(pl_trig,MATCH(F936,pl_num,0))&amp;"","")="Compteur",IFERROR(INDEX(pl_trig,MATCH(F936,pl_num,0))&amp;"","")="Au premier des deux")),"Compteur manquant (plan au compteur)","OK"))))))))))))))))))</f>
        <v/>
      </c>
      <c r="S936" s="67">
        <f>IF(AND(ISNUMBER(B936),N(B936)&gt;0),INT(B936),0)</f>
        <v>0.0</v>
      </c>
      <c r="T936" s="67">
        <f>IF(AND(ISNUMBER(J936),N(J936)&gt;=0),N(J936),0)</f>
        <v>0.0</v>
      </c>
      <c r="U936" s="67">
        <f>IF(AND(ISNUMBER(K936),N(K936)&gt;0),N(K936),0)</f>
        <v>0.0</v>
      </c>
      <c r="V936" s="67">
        <f>IF(AND(ISNUMBER(L936),N(L936)&gt;0),N(L936),0)</f>
        <v>0.0</v>
      </c>
      <c r="W936" s="67">
        <f>IF(AND(I936="Terminée",S936&gt;0,C936&lt;&gt;"",ISNUMBER(MATCH(C936,eq_code,0))),1,0)</f>
        <v>0.0</v>
      </c>
      <c r="X936" s="67">
        <f>IF(AND(W936=1,E936="Préventif"),1,0)</f>
        <v>0.0</v>
      </c>
      <c r="Y936" s="67">
        <f>IF(AND(ISNUMBER(N936),N(N936)&gt;0),N(N936),0)</f>
        <v>0.0</v>
      </c>
      <c r="Z936" s="67">
        <f>IF(AND(ISNUMBER(P936),N(P936)&gt;0),N(P936),0)</f>
        <v>0.0</v>
      </c>
    </row>
    <row r="937">
      <c r="A937" s="79" t="str">
        <f>IF(COUNTA(B937:C937,E937:G937,I937)=0,"","BI-"&amp;RIGHT("0000"&amp;(ROW()-5),4))</f>
        <v/>
      </c>
      <c r="B937" s="72" t="n"/>
      <c r="C937" s="66" t="n"/>
      <c r="D937" s="67" t="str">
        <f>IF(C937="","",IFERROR(INDEX(eq_des,MATCH(C937,eq_code,0))&amp;"","Équipement inconnu"))</f>
        <v/>
      </c>
      <c r="E937" s="68" t="n"/>
      <c r="F937" s="68" t="n"/>
      <c r="G937" s="66" t="n"/>
      <c r="H937" s="66" t="n"/>
      <c r="I937" s="68" t="n"/>
      <c r="J937" s="73" t="n"/>
      <c r="K937" s="71" t="n"/>
      <c r="L937" s="71" t="n"/>
      <c r="M937" s="66" t="n"/>
      <c r="N937" s="80" t="n"/>
      <c r="O937" s="81" t="str">
        <f>IF(A937="","",ROUND(V937*IFERROR(N(INDEX(tech_rate,MATCH(M937,tech_name,0))),0),2))</f>
        <v/>
      </c>
      <c r="P937" s="80" t="n"/>
      <c r="Q937" s="81" t="str">
        <f>IF(A937="","",ROUND(Y937+O937+Z937,2))</f>
        <v/>
      </c>
      <c r="R937" s="79" t="str">
        <f>IF(A937="","",IF(S937=0,"Date manquante ou invalide",IF(C937="","Équipement manquant",IF(ISNA(MATCH(C937,eq_code,0)),"Équipement inconnu",IF(E937="","Type manquant",IF(AND(E937&lt;&gt;"Préventif",E937&lt;&gt;"Correctif",E937&lt;&gt;"Amélioratif"),"Type inconnu",IF(I937="","Statut manquant",IF(AND(I937&lt;&gt;"Terminée",I937&lt;&gt;"En cours",I937&lt;&gt;"À faire",I937&lt;&gt;"Annulée"),"Statut inconnu",IF(AND(E937="Préventif",F937=""),"Plan manquant (préventif)",IF(AND(F937&lt;&gt;"",ISNA(MATCH(F937,pl_num,0))),"Plan inconnu",IF(AND(F937&lt;&gt;"",IFERROR(INDEX(pl_eq,MATCH(F937,pl_num,0))&amp;"",C937)&lt;&gt;C937),"Plan d'un autre équipement",IF(AND(J937&lt;&gt;"",OR(NOT(ISNUMBER(J937)),N(J937)&lt;0)),"Compteur invalide",IF(OR(AND(K937&lt;&gt;"",OR(NOT(ISNUMBER(K937)),N(K937)&lt;0)),AND(L937&lt;&gt;"",OR(NOT(ISNUMBER(L937)),N(L937)&lt;0))),"Durée invalide",IF(OR(AND(N937&lt;&gt;"",OR(NOT(ISNUMBER(N937)),N(N937)&lt;0)),AND(P937&lt;&gt;"",OR(NOT(ISNUMBER(P937)),N(P937)&lt;0))),"Coût invalide",IF(AND(M937&lt;&gt;"",ISNA(MATCH(M937,tech_name,0))),"Technicien inconnu",IF(AND(I937="Terminée",S937&gt;p_today),"Terminée à une date future",IF(AND(I937="Terminée",V937=0),"Durée d'intervention manquante",IF(AND(I937="Terminée",E937="Préventif",T937=0,OR(IFERROR(INDEX(pl_trig,MATCH(F937,pl_num,0))&amp;"","")="Compteur",IFERROR(INDEX(pl_trig,MATCH(F937,pl_num,0))&amp;"","")="Au premier des deux")),"Compteur manquant (plan au compteur)","OK"))))))))))))))))))</f>
        <v/>
      </c>
      <c r="S937" s="67">
        <f>IF(AND(ISNUMBER(B937),N(B937)&gt;0),INT(B937),0)</f>
        <v>0.0</v>
      </c>
      <c r="T937" s="67">
        <f>IF(AND(ISNUMBER(J937),N(J937)&gt;=0),N(J937),0)</f>
        <v>0.0</v>
      </c>
      <c r="U937" s="67">
        <f>IF(AND(ISNUMBER(K937),N(K937)&gt;0),N(K937),0)</f>
        <v>0.0</v>
      </c>
      <c r="V937" s="67">
        <f>IF(AND(ISNUMBER(L937),N(L937)&gt;0),N(L937),0)</f>
        <v>0.0</v>
      </c>
      <c r="W937" s="67">
        <f>IF(AND(I937="Terminée",S937&gt;0,C937&lt;&gt;"",ISNUMBER(MATCH(C937,eq_code,0))),1,0)</f>
        <v>0.0</v>
      </c>
      <c r="X937" s="67">
        <f>IF(AND(W937=1,E937="Préventif"),1,0)</f>
        <v>0.0</v>
      </c>
      <c r="Y937" s="67">
        <f>IF(AND(ISNUMBER(N937),N(N937)&gt;0),N(N937),0)</f>
        <v>0.0</v>
      </c>
      <c r="Z937" s="67">
        <f>IF(AND(ISNUMBER(P937),N(P937)&gt;0),N(P937),0)</f>
        <v>0.0</v>
      </c>
    </row>
    <row r="938">
      <c r="A938" s="79" t="str">
        <f>IF(COUNTA(B938:C938,E938:G938,I938)=0,"","BI-"&amp;RIGHT("0000"&amp;(ROW()-5),4))</f>
        <v/>
      </c>
      <c r="B938" s="72" t="n"/>
      <c r="C938" s="66" t="n"/>
      <c r="D938" s="67" t="str">
        <f>IF(C938="","",IFERROR(INDEX(eq_des,MATCH(C938,eq_code,0))&amp;"","Équipement inconnu"))</f>
        <v/>
      </c>
      <c r="E938" s="68" t="n"/>
      <c r="F938" s="68" t="n"/>
      <c r="G938" s="66" t="n"/>
      <c r="H938" s="66" t="n"/>
      <c r="I938" s="68" t="n"/>
      <c r="J938" s="73" t="n"/>
      <c r="K938" s="71" t="n"/>
      <c r="L938" s="71" t="n"/>
      <c r="M938" s="66" t="n"/>
      <c r="N938" s="80" t="n"/>
      <c r="O938" s="81" t="str">
        <f>IF(A938="","",ROUND(V938*IFERROR(N(INDEX(tech_rate,MATCH(M938,tech_name,0))),0),2))</f>
        <v/>
      </c>
      <c r="P938" s="80" t="n"/>
      <c r="Q938" s="81" t="str">
        <f>IF(A938="","",ROUND(Y938+O938+Z938,2))</f>
        <v/>
      </c>
      <c r="R938" s="79" t="str">
        <f>IF(A938="","",IF(S938=0,"Date manquante ou invalide",IF(C938="","Équipement manquant",IF(ISNA(MATCH(C938,eq_code,0)),"Équipement inconnu",IF(E938="","Type manquant",IF(AND(E938&lt;&gt;"Préventif",E938&lt;&gt;"Correctif",E938&lt;&gt;"Amélioratif"),"Type inconnu",IF(I938="","Statut manquant",IF(AND(I938&lt;&gt;"Terminée",I938&lt;&gt;"En cours",I938&lt;&gt;"À faire",I938&lt;&gt;"Annulée"),"Statut inconnu",IF(AND(E938="Préventif",F938=""),"Plan manquant (préventif)",IF(AND(F938&lt;&gt;"",ISNA(MATCH(F938,pl_num,0))),"Plan inconnu",IF(AND(F938&lt;&gt;"",IFERROR(INDEX(pl_eq,MATCH(F938,pl_num,0))&amp;"",C938)&lt;&gt;C938),"Plan d'un autre équipement",IF(AND(J938&lt;&gt;"",OR(NOT(ISNUMBER(J938)),N(J938)&lt;0)),"Compteur invalide",IF(OR(AND(K938&lt;&gt;"",OR(NOT(ISNUMBER(K938)),N(K938)&lt;0)),AND(L938&lt;&gt;"",OR(NOT(ISNUMBER(L938)),N(L938)&lt;0))),"Durée invalide",IF(OR(AND(N938&lt;&gt;"",OR(NOT(ISNUMBER(N938)),N(N938)&lt;0)),AND(P938&lt;&gt;"",OR(NOT(ISNUMBER(P938)),N(P938)&lt;0))),"Coût invalide",IF(AND(M938&lt;&gt;"",ISNA(MATCH(M938,tech_name,0))),"Technicien inconnu",IF(AND(I938="Terminée",S938&gt;p_today),"Terminée à une date future",IF(AND(I938="Terminée",V938=0),"Durée d'intervention manquante",IF(AND(I938="Terminée",E938="Préventif",T938=0,OR(IFERROR(INDEX(pl_trig,MATCH(F938,pl_num,0))&amp;"","")="Compteur",IFERROR(INDEX(pl_trig,MATCH(F938,pl_num,0))&amp;"","")="Au premier des deux")),"Compteur manquant (plan au compteur)","OK"))))))))))))))))))</f>
        <v/>
      </c>
      <c r="S938" s="67">
        <f>IF(AND(ISNUMBER(B938),N(B938)&gt;0),INT(B938),0)</f>
        <v>0.0</v>
      </c>
      <c r="T938" s="67">
        <f>IF(AND(ISNUMBER(J938),N(J938)&gt;=0),N(J938),0)</f>
        <v>0.0</v>
      </c>
      <c r="U938" s="67">
        <f>IF(AND(ISNUMBER(K938),N(K938)&gt;0),N(K938),0)</f>
        <v>0.0</v>
      </c>
      <c r="V938" s="67">
        <f>IF(AND(ISNUMBER(L938),N(L938)&gt;0),N(L938),0)</f>
        <v>0.0</v>
      </c>
      <c r="W938" s="67">
        <f>IF(AND(I938="Terminée",S938&gt;0,C938&lt;&gt;"",ISNUMBER(MATCH(C938,eq_code,0))),1,0)</f>
        <v>0.0</v>
      </c>
      <c r="X938" s="67">
        <f>IF(AND(W938=1,E938="Préventif"),1,0)</f>
        <v>0.0</v>
      </c>
      <c r="Y938" s="67">
        <f>IF(AND(ISNUMBER(N938),N(N938)&gt;0),N(N938),0)</f>
        <v>0.0</v>
      </c>
      <c r="Z938" s="67">
        <f>IF(AND(ISNUMBER(P938),N(P938)&gt;0),N(P938),0)</f>
        <v>0.0</v>
      </c>
    </row>
    <row r="939">
      <c r="A939" s="79" t="str">
        <f>IF(COUNTA(B939:C939,E939:G939,I939)=0,"","BI-"&amp;RIGHT("0000"&amp;(ROW()-5),4))</f>
        <v/>
      </c>
      <c r="B939" s="72" t="n"/>
      <c r="C939" s="66" t="n"/>
      <c r="D939" s="67" t="str">
        <f>IF(C939="","",IFERROR(INDEX(eq_des,MATCH(C939,eq_code,0))&amp;"","Équipement inconnu"))</f>
        <v/>
      </c>
      <c r="E939" s="68" t="n"/>
      <c r="F939" s="68" t="n"/>
      <c r="G939" s="66" t="n"/>
      <c r="H939" s="66" t="n"/>
      <c r="I939" s="68" t="n"/>
      <c r="J939" s="73" t="n"/>
      <c r="K939" s="71" t="n"/>
      <c r="L939" s="71" t="n"/>
      <c r="M939" s="66" t="n"/>
      <c r="N939" s="80" t="n"/>
      <c r="O939" s="81" t="str">
        <f>IF(A939="","",ROUND(V939*IFERROR(N(INDEX(tech_rate,MATCH(M939,tech_name,0))),0),2))</f>
        <v/>
      </c>
      <c r="P939" s="80" t="n"/>
      <c r="Q939" s="81" t="str">
        <f>IF(A939="","",ROUND(Y939+O939+Z939,2))</f>
        <v/>
      </c>
      <c r="R939" s="79" t="str">
        <f>IF(A939="","",IF(S939=0,"Date manquante ou invalide",IF(C939="","Équipement manquant",IF(ISNA(MATCH(C939,eq_code,0)),"Équipement inconnu",IF(E939="","Type manquant",IF(AND(E939&lt;&gt;"Préventif",E939&lt;&gt;"Correctif",E939&lt;&gt;"Amélioratif"),"Type inconnu",IF(I939="","Statut manquant",IF(AND(I939&lt;&gt;"Terminée",I939&lt;&gt;"En cours",I939&lt;&gt;"À faire",I939&lt;&gt;"Annulée"),"Statut inconnu",IF(AND(E939="Préventif",F939=""),"Plan manquant (préventif)",IF(AND(F939&lt;&gt;"",ISNA(MATCH(F939,pl_num,0))),"Plan inconnu",IF(AND(F939&lt;&gt;"",IFERROR(INDEX(pl_eq,MATCH(F939,pl_num,0))&amp;"",C939)&lt;&gt;C939),"Plan d'un autre équipement",IF(AND(J939&lt;&gt;"",OR(NOT(ISNUMBER(J939)),N(J939)&lt;0)),"Compteur invalide",IF(OR(AND(K939&lt;&gt;"",OR(NOT(ISNUMBER(K939)),N(K939)&lt;0)),AND(L939&lt;&gt;"",OR(NOT(ISNUMBER(L939)),N(L939)&lt;0))),"Durée invalide",IF(OR(AND(N939&lt;&gt;"",OR(NOT(ISNUMBER(N939)),N(N939)&lt;0)),AND(P939&lt;&gt;"",OR(NOT(ISNUMBER(P939)),N(P939)&lt;0))),"Coût invalide",IF(AND(M939&lt;&gt;"",ISNA(MATCH(M939,tech_name,0))),"Technicien inconnu",IF(AND(I939="Terminée",S939&gt;p_today),"Terminée à une date future",IF(AND(I939="Terminée",V939=0),"Durée d'intervention manquante",IF(AND(I939="Terminée",E939="Préventif",T939=0,OR(IFERROR(INDEX(pl_trig,MATCH(F939,pl_num,0))&amp;"","")="Compteur",IFERROR(INDEX(pl_trig,MATCH(F939,pl_num,0))&amp;"","")="Au premier des deux")),"Compteur manquant (plan au compteur)","OK"))))))))))))))))))</f>
        <v/>
      </c>
      <c r="S939" s="67">
        <f>IF(AND(ISNUMBER(B939),N(B939)&gt;0),INT(B939),0)</f>
        <v>0.0</v>
      </c>
      <c r="T939" s="67">
        <f>IF(AND(ISNUMBER(J939),N(J939)&gt;=0),N(J939),0)</f>
        <v>0.0</v>
      </c>
      <c r="U939" s="67">
        <f>IF(AND(ISNUMBER(K939),N(K939)&gt;0),N(K939),0)</f>
        <v>0.0</v>
      </c>
      <c r="V939" s="67">
        <f>IF(AND(ISNUMBER(L939),N(L939)&gt;0),N(L939),0)</f>
        <v>0.0</v>
      </c>
      <c r="W939" s="67">
        <f>IF(AND(I939="Terminée",S939&gt;0,C939&lt;&gt;"",ISNUMBER(MATCH(C939,eq_code,0))),1,0)</f>
        <v>0.0</v>
      </c>
      <c r="X939" s="67">
        <f>IF(AND(W939=1,E939="Préventif"),1,0)</f>
        <v>0.0</v>
      </c>
      <c r="Y939" s="67">
        <f>IF(AND(ISNUMBER(N939),N(N939)&gt;0),N(N939),0)</f>
        <v>0.0</v>
      </c>
      <c r="Z939" s="67">
        <f>IF(AND(ISNUMBER(P939),N(P939)&gt;0),N(P939),0)</f>
        <v>0.0</v>
      </c>
    </row>
    <row r="940">
      <c r="A940" s="79" t="str">
        <f>IF(COUNTA(B940:C940,E940:G940,I940)=0,"","BI-"&amp;RIGHT("0000"&amp;(ROW()-5),4))</f>
        <v/>
      </c>
      <c r="B940" s="72" t="n"/>
      <c r="C940" s="66" t="n"/>
      <c r="D940" s="67" t="str">
        <f>IF(C940="","",IFERROR(INDEX(eq_des,MATCH(C940,eq_code,0))&amp;"","Équipement inconnu"))</f>
        <v/>
      </c>
      <c r="E940" s="68" t="n"/>
      <c r="F940" s="68" t="n"/>
      <c r="G940" s="66" t="n"/>
      <c r="H940" s="66" t="n"/>
      <c r="I940" s="68" t="n"/>
      <c r="J940" s="73" t="n"/>
      <c r="K940" s="71" t="n"/>
      <c r="L940" s="71" t="n"/>
      <c r="M940" s="66" t="n"/>
      <c r="N940" s="80" t="n"/>
      <c r="O940" s="81" t="str">
        <f>IF(A940="","",ROUND(V940*IFERROR(N(INDEX(tech_rate,MATCH(M940,tech_name,0))),0),2))</f>
        <v/>
      </c>
      <c r="P940" s="80" t="n"/>
      <c r="Q940" s="81" t="str">
        <f>IF(A940="","",ROUND(Y940+O940+Z940,2))</f>
        <v/>
      </c>
      <c r="R940" s="79" t="str">
        <f>IF(A940="","",IF(S940=0,"Date manquante ou invalide",IF(C940="","Équipement manquant",IF(ISNA(MATCH(C940,eq_code,0)),"Équipement inconnu",IF(E940="","Type manquant",IF(AND(E940&lt;&gt;"Préventif",E940&lt;&gt;"Correctif",E940&lt;&gt;"Amélioratif"),"Type inconnu",IF(I940="","Statut manquant",IF(AND(I940&lt;&gt;"Terminée",I940&lt;&gt;"En cours",I940&lt;&gt;"À faire",I940&lt;&gt;"Annulée"),"Statut inconnu",IF(AND(E940="Préventif",F940=""),"Plan manquant (préventif)",IF(AND(F940&lt;&gt;"",ISNA(MATCH(F940,pl_num,0))),"Plan inconnu",IF(AND(F940&lt;&gt;"",IFERROR(INDEX(pl_eq,MATCH(F940,pl_num,0))&amp;"",C940)&lt;&gt;C940),"Plan d'un autre équipement",IF(AND(J940&lt;&gt;"",OR(NOT(ISNUMBER(J940)),N(J940)&lt;0)),"Compteur invalide",IF(OR(AND(K940&lt;&gt;"",OR(NOT(ISNUMBER(K940)),N(K940)&lt;0)),AND(L940&lt;&gt;"",OR(NOT(ISNUMBER(L940)),N(L940)&lt;0))),"Durée invalide",IF(OR(AND(N940&lt;&gt;"",OR(NOT(ISNUMBER(N940)),N(N940)&lt;0)),AND(P940&lt;&gt;"",OR(NOT(ISNUMBER(P940)),N(P940)&lt;0))),"Coût invalide",IF(AND(M940&lt;&gt;"",ISNA(MATCH(M940,tech_name,0))),"Technicien inconnu",IF(AND(I940="Terminée",S940&gt;p_today),"Terminée à une date future",IF(AND(I940="Terminée",V940=0),"Durée d'intervention manquante",IF(AND(I940="Terminée",E940="Préventif",T940=0,OR(IFERROR(INDEX(pl_trig,MATCH(F940,pl_num,0))&amp;"","")="Compteur",IFERROR(INDEX(pl_trig,MATCH(F940,pl_num,0))&amp;"","")="Au premier des deux")),"Compteur manquant (plan au compteur)","OK"))))))))))))))))))</f>
        <v/>
      </c>
      <c r="S940" s="67">
        <f>IF(AND(ISNUMBER(B940),N(B940)&gt;0),INT(B940),0)</f>
        <v>0.0</v>
      </c>
      <c r="T940" s="67">
        <f>IF(AND(ISNUMBER(J940),N(J940)&gt;=0),N(J940),0)</f>
        <v>0.0</v>
      </c>
      <c r="U940" s="67">
        <f>IF(AND(ISNUMBER(K940),N(K940)&gt;0),N(K940),0)</f>
        <v>0.0</v>
      </c>
      <c r="V940" s="67">
        <f>IF(AND(ISNUMBER(L940),N(L940)&gt;0),N(L940),0)</f>
        <v>0.0</v>
      </c>
      <c r="W940" s="67">
        <f>IF(AND(I940="Terminée",S940&gt;0,C940&lt;&gt;"",ISNUMBER(MATCH(C940,eq_code,0))),1,0)</f>
        <v>0.0</v>
      </c>
      <c r="X940" s="67">
        <f>IF(AND(W940=1,E940="Préventif"),1,0)</f>
        <v>0.0</v>
      </c>
      <c r="Y940" s="67">
        <f>IF(AND(ISNUMBER(N940),N(N940)&gt;0),N(N940),0)</f>
        <v>0.0</v>
      </c>
      <c r="Z940" s="67">
        <f>IF(AND(ISNUMBER(P940),N(P940)&gt;0),N(P940),0)</f>
        <v>0.0</v>
      </c>
    </row>
    <row r="941">
      <c r="A941" s="79" t="str">
        <f>IF(COUNTA(B941:C941,E941:G941,I941)=0,"","BI-"&amp;RIGHT("0000"&amp;(ROW()-5),4))</f>
        <v/>
      </c>
      <c r="B941" s="72" t="n"/>
      <c r="C941" s="66" t="n"/>
      <c r="D941" s="67" t="str">
        <f>IF(C941="","",IFERROR(INDEX(eq_des,MATCH(C941,eq_code,0))&amp;"","Équipement inconnu"))</f>
        <v/>
      </c>
      <c r="E941" s="68" t="n"/>
      <c r="F941" s="68" t="n"/>
      <c r="G941" s="66" t="n"/>
      <c r="H941" s="66" t="n"/>
      <c r="I941" s="68" t="n"/>
      <c r="J941" s="73" t="n"/>
      <c r="K941" s="71" t="n"/>
      <c r="L941" s="71" t="n"/>
      <c r="M941" s="66" t="n"/>
      <c r="N941" s="80" t="n"/>
      <c r="O941" s="81" t="str">
        <f>IF(A941="","",ROUND(V941*IFERROR(N(INDEX(tech_rate,MATCH(M941,tech_name,0))),0),2))</f>
        <v/>
      </c>
      <c r="P941" s="80" t="n"/>
      <c r="Q941" s="81" t="str">
        <f>IF(A941="","",ROUND(Y941+O941+Z941,2))</f>
        <v/>
      </c>
      <c r="R941" s="79" t="str">
        <f>IF(A941="","",IF(S941=0,"Date manquante ou invalide",IF(C941="","Équipement manquant",IF(ISNA(MATCH(C941,eq_code,0)),"Équipement inconnu",IF(E941="","Type manquant",IF(AND(E941&lt;&gt;"Préventif",E941&lt;&gt;"Correctif",E941&lt;&gt;"Amélioratif"),"Type inconnu",IF(I941="","Statut manquant",IF(AND(I941&lt;&gt;"Terminée",I941&lt;&gt;"En cours",I941&lt;&gt;"À faire",I941&lt;&gt;"Annulée"),"Statut inconnu",IF(AND(E941="Préventif",F941=""),"Plan manquant (préventif)",IF(AND(F941&lt;&gt;"",ISNA(MATCH(F941,pl_num,0))),"Plan inconnu",IF(AND(F941&lt;&gt;"",IFERROR(INDEX(pl_eq,MATCH(F941,pl_num,0))&amp;"",C941)&lt;&gt;C941),"Plan d'un autre équipement",IF(AND(J941&lt;&gt;"",OR(NOT(ISNUMBER(J941)),N(J941)&lt;0)),"Compteur invalide",IF(OR(AND(K941&lt;&gt;"",OR(NOT(ISNUMBER(K941)),N(K941)&lt;0)),AND(L941&lt;&gt;"",OR(NOT(ISNUMBER(L941)),N(L941)&lt;0))),"Durée invalide",IF(OR(AND(N941&lt;&gt;"",OR(NOT(ISNUMBER(N941)),N(N941)&lt;0)),AND(P941&lt;&gt;"",OR(NOT(ISNUMBER(P941)),N(P941)&lt;0))),"Coût invalide",IF(AND(M941&lt;&gt;"",ISNA(MATCH(M941,tech_name,0))),"Technicien inconnu",IF(AND(I941="Terminée",S941&gt;p_today),"Terminée à une date future",IF(AND(I941="Terminée",V941=0),"Durée d'intervention manquante",IF(AND(I941="Terminée",E941="Préventif",T941=0,OR(IFERROR(INDEX(pl_trig,MATCH(F941,pl_num,0))&amp;"","")="Compteur",IFERROR(INDEX(pl_trig,MATCH(F941,pl_num,0))&amp;"","")="Au premier des deux")),"Compteur manquant (plan au compteur)","OK"))))))))))))))))))</f>
        <v/>
      </c>
      <c r="S941" s="67">
        <f>IF(AND(ISNUMBER(B941),N(B941)&gt;0),INT(B941),0)</f>
        <v>0.0</v>
      </c>
      <c r="T941" s="67">
        <f>IF(AND(ISNUMBER(J941),N(J941)&gt;=0),N(J941),0)</f>
        <v>0.0</v>
      </c>
      <c r="U941" s="67">
        <f>IF(AND(ISNUMBER(K941),N(K941)&gt;0),N(K941),0)</f>
        <v>0.0</v>
      </c>
      <c r="V941" s="67">
        <f>IF(AND(ISNUMBER(L941),N(L941)&gt;0),N(L941),0)</f>
        <v>0.0</v>
      </c>
      <c r="W941" s="67">
        <f>IF(AND(I941="Terminée",S941&gt;0,C941&lt;&gt;"",ISNUMBER(MATCH(C941,eq_code,0))),1,0)</f>
        <v>0.0</v>
      </c>
      <c r="X941" s="67">
        <f>IF(AND(W941=1,E941="Préventif"),1,0)</f>
        <v>0.0</v>
      </c>
      <c r="Y941" s="67">
        <f>IF(AND(ISNUMBER(N941),N(N941)&gt;0),N(N941),0)</f>
        <v>0.0</v>
      </c>
      <c r="Z941" s="67">
        <f>IF(AND(ISNUMBER(P941),N(P941)&gt;0),N(P941),0)</f>
        <v>0.0</v>
      </c>
    </row>
    <row r="942">
      <c r="A942" s="79" t="str">
        <f>IF(COUNTA(B942:C942,E942:G942,I942)=0,"","BI-"&amp;RIGHT("0000"&amp;(ROW()-5),4))</f>
        <v/>
      </c>
      <c r="B942" s="72" t="n"/>
      <c r="C942" s="66" t="n"/>
      <c r="D942" s="67" t="str">
        <f>IF(C942="","",IFERROR(INDEX(eq_des,MATCH(C942,eq_code,0))&amp;"","Équipement inconnu"))</f>
        <v/>
      </c>
      <c r="E942" s="68" t="n"/>
      <c r="F942" s="68" t="n"/>
      <c r="G942" s="66" t="n"/>
      <c r="H942" s="66" t="n"/>
      <c r="I942" s="68" t="n"/>
      <c r="J942" s="73" t="n"/>
      <c r="K942" s="71" t="n"/>
      <c r="L942" s="71" t="n"/>
      <c r="M942" s="66" t="n"/>
      <c r="N942" s="80" t="n"/>
      <c r="O942" s="81" t="str">
        <f>IF(A942="","",ROUND(V942*IFERROR(N(INDEX(tech_rate,MATCH(M942,tech_name,0))),0),2))</f>
        <v/>
      </c>
      <c r="P942" s="80" t="n"/>
      <c r="Q942" s="81" t="str">
        <f>IF(A942="","",ROUND(Y942+O942+Z942,2))</f>
        <v/>
      </c>
      <c r="R942" s="79" t="str">
        <f>IF(A942="","",IF(S942=0,"Date manquante ou invalide",IF(C942="","Équipement manquant",IF(ISNA(MATCH(C942,eq_code,0)),"Équipement inconnu",IF(E942="","Type manquant",IF(AND(E942&lt;&gt;"Préventif",E942&lt;&gt;"Correctif",E942&lt;&gt;"Amélioratif"),"Type inconnu",IF(I942="","Statut manquant",IF(AND(I942&lt;&gt;"Terminée",I942&lt;&gt;"En cours",I942&lt;&gt;"À faire",I942&lt;&gt;"Annulée"),"Statut inconnu",IF(AND(E942="Préventif",F942=""),"Plan manquant (préventif)",IF(AND(F942&lt;&gt;"",ISNA(MATCH(F942,pl_num,0))),"Plan inconnu",IF(AND(F942&lt;&gt;"",IFERROR(INDEX(pl_eq,MATCH(F942,pl_num,0))&amp;"",C942)&lt;&gt;C942),"Plan d'un autre équipement",IF(AND(J942&lt;&gt;"",OR(NOT(ISNUMBER(J942)),N(J942)&lt;0)),"Compteur invalide",IF(OR(AND(K942&lt;&gt;"",OR(NOT(ISNUMBER(K942)),N(K942)&lt;0)),AND(L942&lt;&gt;"",OR(NOT(ISNUMBER(L942)),N(L942)&lt;0))),"Durée invalide",IF(OR(AND(N942&lt;&gt;"",OR(NOT(ISNUMBER(N942)),N(N942)&lt;0)),AND(P942&lt;&gt;"",OR(NOT(ISNUMBER(P942)),N(P942)&lt;0))),"Coût invalide",IF(AND(M942&lt;&gt;"",ISNA(MATCH(M942,tech_name,0))),"Technicien inconnu",IF(AND(I942="Terminée",S942&gt;p_today),"Terminée à une date future",IF(AND(I942="Terminée",V942=0),"Durée d'intervention manquante",IF(AND(I942="Terminée",E942="Préventif",T942=0,OR(IFERROR(INDEX(pl_trig,MATCH(F942,pl_num,0))&amp;"","")="Compteur",IFERROR(INDEX(pl_trig,MATCH(F942,pl_num,0))&amp;"","")="Au premier des deux")),"Compteur manquant (plan au compteur)","OK"))))))))))))))))))</f>
        <v/>
      </c>
      <c r="S942" s="67">
        <f>IF(AND(ISNUMBER(B942),N(B942)&gt;0),INT(B942),0)</f>
        <v>0.0</v>
      </c>
      <c r="T942" s="67">
        <f>IF(AND(ISNUMBER(J942),N(J942)&gt;=0),N(J942),0)</f>
        <v>0.0</v>
      </c>
      <c r="U942" s="67">
        <f>IF(AND(ISNUMBER(K942),N(K942)&gt;0),N(K942),0)</f>
        <v>0.0</v>
      </c>
      <c r="V942" s="67">
        <f>IF(AND(ISNUMBER(L942),N(L942)&gt;0),N(L942),0)</f>
        <v>0.0</v>
      </c>
      <c r="W942" s="67">
        <f>IF(AND(I942="Terminée",S942&gt;0,C942&lt;&gt;"",ISNUMBER(MATCH(C942,eq_code,0))),1,0)</f>
        <v>0.0</v>
      </c>
      <c r="X942" s="67">
        <f>IF(AND(W942=1,E942="Préventif"),1,0)</f>
        <v>0.0</v>
      </c>
      <c r="Y942" s="67">
        <f>IF(AND(ISNUMBER(N942),N(N942)&gt;0),N(N942),0)</f>
        <v>0.0</v>
      </c>
      <c r="Z942" s="67">
        <f>IF(AND(ISNUMBER(P942),N(P942)&gt;0),N(P942),0)</f>
        <v>0.0</v>
      </c>
    </row>
    <row r="943">
      <c r="A943" s="79" t="str">
        <f>IF(COUNTA(B943:C943,E943:G943,I943)=0,"","BI-"&amp;RIGHT("0000"&amp;(ROW()-5),4))</f>
        <v/>
      </c>
      <c r="B943" s="72" t="n"/>
      <c r="C943" s="66" t="n"/>
      <c r="D943" s="67" t="str">
        <f>IF(C943="","",IFERROR(INDEX(eq_des,MATCH(C943,eq_code,0))&amp;"","Équipement inconnu"))</f>
        <v/>
      </c>
      <c r="E943" s="68" t="n"/>
      <c r="F943" s="68" t="n"/>
      <c r="G943" s="66" t="n"/>
      <c r="H943" s="66" t="n"/>
      <c r="I943" s="68" t="n"/>
      <c r="J943" s="73" t="n"/>
      <c r="K943" s="71" t="n"/>
      <c r="L943" s="71" t="n"/>
      <c r="M943" s="66" t="n"/>
      <c r="N943" s="80" t="n"/>
      <c r="O943" s="81" t="str">
        <f>IF(A943="","",ROUND(V943*IFERROR(N(INDEX(tech_rate,MATCH(M943,tech_name,0))),0),2))</f>
        <v/>
      </c>
      <c r="P943" s="80" t="n"/>
      <c r="Q943" s="81" t="str">
        <f>IF(A943="","",ROUND(Y943+O943+Z943,2))</f>
        <v/>
      </c>
      <c r="R943" s="79" t="str">
        <f>IF(A943="","",IF(S943=0,"Date manquante ou invalide",IF(C943="","Équipement manquant",IF(ISNA(MATCH(C943,eq_code,0)),"Équipement inconnu",IF(E943="","Type manquant",IF(AND(E943&lt;&gt;"Préventif",E943&lt;&gt;"Correctif",E943&lt;&gt;"Amélioratif"),"Type inconnu",IF(I943="","Statut manquant",IF(AND(I943&lt;&gt;"Terminée",I943&lt;&gt;"En cours",I943&lt;&gt;"À faire",I943&lt;&gt;"Annulée"),"Statut inconnu",IF(AND(E943="Préventif",F943=""),"Plan manquant (préventif)",IF(AND(F943&lt;&gt;"",ISNA(MATCH(F943,pl_num,0))),"Plan inconnu",IF(AND(F943&lt;&gt;"",IFERROR(INDEX(pl_eq,MATCH(F943,pl_num,0))&amp;"",C943)&lt;&gt;C943),"Plan d'un autre équipement",IF(AND(J943&lt;&gt;"",OR(NOT(ISNUMBER(J943)),N(J943)&lt;0)),"Compteur invalide",IF(OR(AND(K943&lt;&gt;"",OR(NOT(ISNUMBER(K943)),N(K943)&lt;0)),AND(L943&lt;&gt;"",OR(NOT(ISNUMBER(L943)),N(L943)&lt;0))),"Durée invalide",IF(OR(AND(N943&lt;&gt;"",OR(NOT(ISNUMBER(N943)),N(N943)&lt;0)),AND(P943&lt;&gt;"",OR(NOT(ISNUMBER(P943)),N(P943)&lt;0))),"Coût invalide",IF(AND(M943&lt;&gt;"",ISNA(MATCH(M943,tech_name,0))),"Technicien inconnu",IF(AND(I943="Terminée",S943&gt;p_today),"Terminée à une date future",IF(AND(I943="Terminée",V943=0),"Durée d'intervention manquante",IF(AND(I943="Terminée",E943="Préventif",T943=0,OR(IFERROR(INDEX(pl_trig,MATCH(F943,pl_num,0))&amp;"","")="Compteur",IFERROR(INDEX(pl_trig,MATCH(F943,pl_num,0))&amp;"","")="Au premier des deux")),"Compteur manquant (plan au compteur)","OK"))))))))))))))))))</f>
        <v/>
      </c>
      <c r="S943" s="67">
        <f>IF(AND(ISNUMBER(B943),N(B943)&gt;0),INT(B943),0)</f>
        <v>0.0</v>
      </c>
      <c r="T943" s="67">
        <f>IF(AND(ISNUMBER(J943),N(J943)&gt;=0),N(J943),0)</f>
        <v>0.0</v>
      </c>
      <c r="U943" s="67">
        <f>IF(AND(ISNUMBER(K943),N(K943)&gt;0),N(K943),0)</f>
        <v>0.0</v>
      </c>
      <c r="V943" s="67">
        <f>IF(AND(ISNUMBER(L943),N(L943)&gt;0),N(L943),0)</f>
        <v>0.0</v>
      </c>
      <c r="W943" s="67">
        <f>IF(AND(I943="Terminée",S943&gt;0,C943&lt;&gt;"",ISNUMBER(MATCH(C943,eq_code,0))),1,0)</f>
        <v>0.0</v>
      </c>
      <c r="X943" s="67">
        <f>IF(AND(W943=1,E943="Préventif"),1,0)</f>
        <v>0.0</v>
      </c>
      <c r="Y943" s="67">
        <f>IF(AND(ISNUMBER(N943),N(N943)&gt;0),N(N943),0)</f>
        <v>0.0</v>
      </c>
      <c r="Z943" s="67">
        <f>IF(AND(ISNUMBER(P943),N(P943)&gt;0),N(P943),0)</f>
        <v>0.0</v>
      </c>
    </row>
    <row r="944">
      <c r="A944" s="79" t="str">
        <f>IF(COUNTA(B944:C944,E944:G944,I944)=0,"","BI-"&amp;RIGHT("0000"&amp;(ROW()-5),4))</f>
        <v/>
      </c>
      <c r="B944" s="72" t="n"/>
      <c r="C944" s="66" t="n"/>
      <c r="D944" s="67" t="str">
        <f>IF(C944="","",IFERROR(INDEX(eq_des,MATCH(C944,eq_code,0))&amp;"","Équipement inconnu"))</f>
        <v/>
      </c>
      <c r="E944" s="68" t="n"/>
      <c r="F944" s="68" t="n"/>
      <c r="G944" s="66" t="n"/>
      <c r="H944" s="66" t="n"/>
      <c r="I944" s="68" t="n"/>
      <c r="J944" s="73" t="n"/>
      <c r="K944" s="71" t="n"/>
      <c r="L944" s="71" t="n"/>
      <c r="M944" s="66" t="n"/>
      <c r="N944" s="80" t="n"/>
      <c r="O944" s="81" t="str">
        <f>IF(A944="","",ROUND(V944*IFERROR(N(INDEX(tech_rate,MATCH(M944,tech_name,0))),0),2))</f>
        <v/>
      </c>
      <c r="P944" s="80" t="n"/>
      <c r="Q944" s="81" t="str">
        <f>IF(A944="","",ROUND(Y944+O944+Z944,2))</f>
        <v/>
      </c>
      <c r="R944" s="79" t="str">
        <f>IF(A944="","",IF(S944=0,"Date manquante ou invalide",IF(C944="","Équipement manquant",IF(ISNA(MATCH(C944,eq_code,0)),"Équipement inconnu",IF(E944="","Type manquant",IF(AND(E944&lt;&gt;"Préventif",E944&lt;&gt;"Correctif",E944&lt;&gt;"Amélioratif"),"Type inconnu",IF(I944="","Statut manquant",IF(AND(I944&lt;&gt;"Terminée",I944&lt;&gt;"En cours",I944&lt;&gt;"À faire",I944&lt;&gt;"Annulée"),"Statut inconnu",IF(AND(E944="Préventif",F944=""),"Plan manquant (préventif)",IF(AND(F944&lt;&gt;"",ISNA(MATCH(F944,pl_num,0))),"Plan inconnu",IF(AND(F944&lt;&gt;"",IFERROR(INDEX(pl_eq,MATCH(F944,pl_num,0))&amp;"",C944)&lt;&gt;C944),"Plan d'un autre équipement",IF(AND(J944&lt;&gt;"",OR(NOT(ISNUMBER(J944)),N(J944)&lt;0)),"Compteur invalide",IF(OR(AND(K944&lt;&gt;"",OR(NOT(ISNUMBER(K944)),N(K944)&lt;0)),AND(L944&lt;&gt;"",OR(NOT(ISNUMBER(L944)),N(L944)&lt;0))),"Durée invalide",IF(OR(AND(N944&lt;&gt;"",OR(NOT(ISNUMBER(N944)),N(N944)&lt;0)),AND(P944&lt;&gt;"",OR(NOT(ISNUMBER(P944)),N(P944)&lt;0))),"Coût invalide",IF(AND(M944&lt;&gt;"",ISNA(MATCH(M944,tech_name,0))),"Technicien inconnu",IF(AND(I944="Terminée",S944&gt;p_today),"Terminée à une date future",IF(AND(I944="Terminée",V944=0),"Durée d'intervention manquante",IF(AND(I944="Terminée",E944="Préventif",T944=0,OR(IFERROR(INDEX(pl_trig,MATCH(F944,pl_num,0))&amp;"","")="Compteur",IFERROR(INDEX(pl_trig,MATCH(F944,pl_num,0))&amp;"","")="Au premier des deux")),"Compteur manquant (plan au compteur)","OK"))))))))))))))))))</f>
        <v/>
      </c>
      <c r="S944" s="67">
        <f>IF(AND(ISNUMBER(B944),N(B944)&gt;0),INT(B944),0)</f>
        <v>0.0</v>
      </c>
      <c r="T944" s="67">
        <f>IF(AND(ISNUMBER(J944),N(J944)&gt;=0),N(J944),0)</f>
        <v>0.0</v>
      </c>
      <c r="U944" s="67">
        <f>IF(AND(ISNUMBER(K944),N(K944)&gt;0),N(K944),0)</f>
        <v>0.0</v>
      </c>
      <c r="V944" s="67">
        <f>IF(AND(ISNUMBER(L944),N(L944)&gt;0),N(L944),0)</f>
        <v>0.0</v>
      </c>
      <c r="W944" s="67">
        <f>IF(AND(I944="Terminée",S944&gt;0,C944&lt;&gt;"",ISNUMBER(MATCH(C944,eq_code,0))),1,0)</f>
        <v>0.0</v>
      </c>
      <c r="X944" s="67">
        <f>IF(AND(W944=1,E944="Préventif"),1,0)</f>
        <v>0.0</v>
      </c>
      <c r="Y944" s="67">
        <f>IF(AND(ISNUMBER(N944),N(N944)&gt;0),N(N944),0)</f>
        <v>0.0</v>
      </c>
      <c r="Z944" s="67">
        <f>IF(AND(ISNUMBER(P944),N(P944)&gt;0),N(P944),0)</f>
        <v>0.0</v>
      </c>
    </row>
    <row r="945">
      <c r="A945" s="79" t="str">
        <f>IF(COUNTA(B945:C945,E945:G945,I945)=0,"","BI-"&amp;RIGHT("0000"&amp;(ROW()-5),4))</f>
        <v/>
      </c>
      <c r="B945" s="72" t="n"/>
      <c r="C945" s="66" t="n"/>
      <c r="D945" s="67" t="str">
        <f>IF(C945="","",IFERROR(INDEX(eq_des,MATCH(C945,eq_code,0))&amp;"","Équipement inconnu"))</f>
        <v/>
      </c>
      <c r="E945" s="68" t="n"/>
      <c r="F945" s="68" t="n"/>
      <c r="G945" s="66" t="n"/>
      <c r="H945" s="66" t="n"/>
      <c r="I945" s="68" t="n"/>
      <c r="J945" s="73" t="n"/>
      <c r="K945" s="71" t="n"/>
      <c r="L945" s="71" t="n"/>
      <c r="M945" s="66" t="n"/>
      <c r="N945" s="80" t="n"/>
      <c r="O945" s="81" t="str">
        <f>IF(A945="","",ROUND(V945*IFERROR(N(INDEX(tech_rate,MATCH(M945,tech_name,0))),0),2))</f>
        <v/>
      </c>
      <c r="P945" s="80" t="n"/>
      <c r="Q945" s="81" t="str">
        <f>IF(A945="","",ROUND(Y945+O945+Z945,2))</f>
        <v/>
      </c>
      <c r="R945" s="79" t="str">
        <f>IF(A945="","",IF(S945=0,"Date manquante ou invalide",IF(C945="","Équipement manquant",IF(ISNA(MATCH(C945,eq_code,0)),"Équipement inconnu",IF(E945="","Type manquant",IF(AND(E945&lt;&gt;"Préventif",E945&lt;&gt;"Correctif",E945&lt;&gt;"Amélioratif"),"Type inconnu",IF(I945="","Statut manquant",IF(AND(I945&lt;&gt;"Terminée",I945&lt;&gt;"En cours",I945&lt;&gt;"À faire",I945&lt;&gt;"Annulée"),"Statut inconnu",IF(AND(E945="Préventif",F945=""),"Plan manquant (préventif)",IF(AND(F945&lt;&gt;"",ISNA(MATCH(F945,pl_num,0))),"Plan inconnu",IF(AND(F945&lt;&gt;"",IFERROR(INDEX(pl_eq,MATCH(F945,pl_num,0))&amp;"",C945)&lt;&gt;C945),"Plan d'un autre équipement",IF(AND(J945&lt;&gt;"",OR(NOT(ISNUMBER(J945)),N(J945)&lt;0)),"Compteur invalide",IF(OR(AND(K945&lt;&gt;"",OR(NOT(ISNUMBER(K945)),N(K945)&lt;0)),AND(L945&lt;&gt;"",OR(NOT(ISNUMBER(L945)),N(L945)&lt;0))),"Durée invalide",IF(OR(AND(N945&lt;&gt;"",OR(NOT(ISNUMBER(N945)),N(N945)&lt;0)),AND(P945&lt;&gt;"",OR(NOT(ISNUMBER(P945)),N(P945)&lt;0))),"Coût invalide",IF(AND(M945&lt;&gt;"",ISNA(MATCH(M945,tech_name,0))),"Technicien inconnu",IF(AND(I945="Terminée",S945&gt;p_today),"Terminée à une date future",IF(AND(I945="Terminée",V945=0),"Durée d'intervention manquante",IF(AND(I945="Terminée",E945="Préventif",T945=0,OR(IFERROR(INDEX(pl_trig,MATCH(F945,pl_num,0))&amp;"","")="Compteur",IFERROR(INDEX(pl_trig,MATCH(F945,pl_num,0))&amp;"","")="Au premier des deux")),"Compteur manquant (plan au compteur)","OK"))))))))))))))))))</f>
        <v/>
      </c>
      <c r="S945" s="67">
        <f>IF(AND(ISNUMBER(B945),N(B945)&gt;0),INT(B945),0)</f>
        <v>0.0</v>
      </c>
      <c r="T945" s="67">
        <f>IF(AND(ISNUMBER(J945),N(J945)&gt;=0),N(J945),0)</f>
        <v>0.0</v>
      </c>
      <c r="U945" s="67">
        <f>IF(AND(ISNUMBER(K945),N(K945)&gt;0),N(K945),0)</f>
        <v>0.0</v>
      </c>
      <c r="V945" s="67">
        <f>IF(AND(ISNUMBER(L945),N(L945)&gt;0),N(L945),0)</f>
        <v>0.0</v>
      </c>
      <c r="W945" s="67">
        <f>IF(AND(I945="Terminée",S945&gt;0,C945&lt;&gt;"",ISNUMBER(MATCH(C945,eq_code,0))),1,0)</f>
        <v>0.0</v>
      </c>
      <c r="X945" s="67">
        <f>IF(AND(W945=1,E945="Préventif"),1,0)</f>
        <v>0.0</v>
      </c>
      <c r="Y945" s="67">
        <f>IF(AND(ISNUMBER(N945),N(N945)&gt;0),N(N945),0)</f>
        <v>0.0</v>
      </c>
      <c r="Z945" s="67">
        <f>IF(AND(ISNUMBER(P945),N(P945)&gt;0),N(P945),0)</f>
        <v>0.0</v>
      </c>
    </row>
    <row r="946">
      <c r="A946" s="79" t="str">
        <f>IF(COUNTA(B946:C946,E946:G946,I946)=0,"","BI-"&amp;RIGHT("0000"&amp;(ROW()-5),4))</f>
        <v/>
      </c>
      <c r="B946" s="72" t="n"/>
      <c r="C946" s="66" t="n"/>
      <c r="D946" s="67" t="str">
        <f>IF(C946="","",IFERROR(INDEX(eq_des,MATCH(C946,eq_code,0))&amp;"","Équipement inconnu"))</f>
        <v/>
      </c>
      <c r="E946" s="68" t="n"/>
      <c r="F946" s="68" t="n"/>
      <c r="G946" s="66" t="n"/>
      <c r="H946" s="66" t="n"/>
      <c r="I946" s="68" t="n"/>
      <c r="J946" s="73" t="n"/>
      <c r="K946" s="71" t="n"/>
      <c r="L946" s="71" t="n"/>
      <c r="M946" s="66" t="n"/>
      <c r="N946" s="80" t="n"/>
      <c r="O946" s="81" t="str">
        <f>IF(A946="","",ROUND(V946*IFERROR(N(INDEX(tech_rate,MATCH(M946,tech_name,0))),0),2))</f>
        <v/>
      </c>
      <c r="P946" s="80" t="n"/>
      <c r="Q946" s="81" t="str">
        <f>IF(A946="","",ROUND(Y946+O946+Z946,2))</f>
        <v/>
      </c>
      <c r="R946" s="79" t="str">
        <f>IF(A946="","",IF(S946=0,"Date manquante ou invalide",IF(C946="","Équipement manquant",IF(ISNA(MATCH(C946,eq_code,0)),"Équipement inconnu",IF(E946="","Type manquant",IF(AND(E946&lt;&gt;"Préventif",E946&lt;&gt;"Correctif",E946&lt;&gt;"Amélioratif"),"Type inconnu",IF(I946="","Statut manquant",IF(AND(I946&lt;&gt;"Terminée",I946&lt;&gt;"En cours",I946&lt;&gt;"À faire",I946&lt;&gt;"Annulée"),"Statut inconnu",IF(AND(E946="Préventif",F946=""),"Plan manquant (préventif)",IF(AND(F946&lt;&gt;"",ISNA(MATCH(F946,pl_num,0))),"Plan inconnu",IF(AND(F946&lt;&gt;"",IFERROR(INDEX(pl_eq,MATCH(F946,pl_num,0))&amp;"",C946)&lt;&gt;C946),"Plan d'un autre équipement",IF(AND(J946&lt;&gt;"",OR(NOT(ISNUMBER(J946)),N(J946)&lt;0)),"Compteur invalide",IF(OR(AND(K946&lt;&gt;"",OR(NOT(ISNUMBER(K946)),N(K946)&lt;0)),AND(L946&lt;&gt;"",OR(NOT(ISNUMBER(L946)),N(L946)&lt;0))),"Durée invalide",IF(OR(AND(N946&lt;&gt;"",OR(NOT(ISNUMBER(N946)),N(N946)&lt;0)),AND(P946&lt;&gt;"",OR(NOT(ISNUMBER(P946)),N(P946)&lt;0))),"Coût invalide",IF(AND(M946&lt;&gt;"",ISNA(MATCH(M946,tech_name,0))),"Technicien inconnu",IF(AND(I946="Terminée",S946&gt;p_today),"Terminée à une date future",IF(AND(I946="Terminée",V946=0),"Durée d'intervention manquante",IF(AND(I946="Terminée",E946="Préventif",T946=0,OR(IFERROR(INDEX(pl_trig,MATCH(F946,pl_num,0))&amp;"","")="Compteur",IFERROR(INDEX(pl_trig,MATCH(F946,pl_num,0))&amp;"","")="Au premier des deux")),"Compteur manquant (plan au compteur)","OK"))))))))))))))))))</f>
        <v/>
      </c>
      <c r="S946" s="67">
        <f>IF(AND(ISNUMBER(B946),N(B946)&gt;0),INT(B946),0)</f>
        <v>0.0</v>
      </c>
      <c r="T946" s="67">
        <f>IF(AND(ISNUMBER(J946),N(J946)&gt;=0),N(J946),0)</f>
        <v>0.0</v>
      </c>
      <c r="U946" s="67">
        <f>IF(AND(ISNUMBER(K946),N(K946)&gt;0),N(K946),0)</f>
        <v>0.0</v>
      </c>
      <c r="V946" s="67">
        <f>IF(AND(ISNUMBER(L946),N(L946)&gt;0),N(L946),0)</f>
        <v>0.0</v>
      </c>
      <c r="W946" s="67">
        <f>IF(AND(I946="Terminée",S946&gt;0,C946&lt;&gt;"",ISNUMBER(MATCH(C946,eq_code,0))),1,0)</f>
        <v>0.0</v>
      </c>
      <c r="X946" s="67">
        <f>IF(AND(W946=1,E946="Préventif"),1,0)</f>
        <v>0.0</v>
      </c>
      <c r="Y946" s="67">
        <f>IF(AND(ISNUMBER(N946),N(N946)&gt;0),N(N946),0)</f>
        <v>0.0</v>
      </c>
      <c r="Z946" s="67">
        <f>IF(AND(ISNUMBER(P946),N(P946)&gt;0),N(P946),0)</f>
        <v>0.0</v>
      </c>
    </row>
    <row r="947">
      <c r="A947" s="79" t="str">
        <f>IF(COUNTA(B947:C947,E947:G947,I947)=0,"","BI-"&amp;RIGHT("0000"&amp;(ROW()-5),4))</f>
        <v/>
      </c>
      <c r="B947" s="72" t="n"/>
      <c r="C947" s="66" t="n"/>
      <c r="D947" s="67" t="str">
        <f>IF(C947="","",IFERROR(INDEX(eq_des,MATCH(C947,eq_code,0))&amp;"","Équipement inconnu"))</f>
        <v/>
      </c>
      <c r="E947" s="68" t="n"/>
      <c r="F947" s="68" t="n"/>
      <c r="G947" s="66" t="n"/>
      <c r="H947" s="66" t="n"/>
      <c r="I947" s="68" t="n"/>
      <c r="J947" s="73" t="n"/>
      <c r="K947" s="71" t="n"/>
      <c r="L947" s="71" t="n"/>
      <c r="M947" s="66" t="n"/>
      <c r="N947" s="80" t="n"/>
      <c r="O947" s="81" t="str">
        <f>IF(A947="","",ROUND(V947*IFERROR(N(INDEX(tech_rate,MATCH(M947,tech_name,0))),0),2))</f>
        <v/>
      </c>
      <c r="P947" s="80" t="n"/>
      <c r="Q947" s="81" t="str">
        <f>IF(A947="","",ROUND(Y947+O947+Z947,2))</f>
        <v/>
      </c>
      <c r="R947" s="79" t="str">
        <f>IF(A947="","",IF(S947=0,"Date manquante ou invalide",IF(C947="","Équipement manquant",IF(ISNA(MATCH(C947,eq_code,0)),"Équipement inconnu",IF(E947="","Type manquant",IF(AND(E947&lt;&gt;"Préventif",E947&lt;&gt;"Correctif",E947&lt;&gt;"Amélioratif"),"Type inconnu",IF(I947="","Statut manquant",IF(AND(I947&lt;&gt;"Terminée",I947&lt;&gt;"En cours",I947&lt;&gt;"À faire",I947&lt;&gt;"Annulée"),"Statut inconnu",IF(AND(E947="Préventif",F947=""),"Plan manquant (préventif)",IF(AND(F947&lt;&gt;"",ISNA(MATCH(F947,pl_num,0))),"Plan inconnu",IF(AND(F947&lt;&gt;"",IFERROR(INDEX(pl_eq,MATCH(F947,pl_num,0))&amp;"",C947)&lt;&gt;C947),"Plan d'un autre équipement",IF(AND(J947&lt;&gt;"",OR(NOT(ISNUMBER(J947)),N(J947)&lt;0)),"Compteur invalide",IF(OR(AND(K947&lt;&gt;"",OR(NOT(ISNUMBER(K947)),N(K947)&lt;0)),AND(L947&lt;&gt;"",OR(NOT(ISNUMBER(L947)),N(L947)&lt;0))),"Durée invalide",IF(OR(AND(N947&lt;&gt;"",OR(NOT(ISNUMBER(N947)),N(N947)&lt;0)),AND(P947&lt;&gt;"",OR(NOT(ISNUMBER(P947)),N(P947)&lt;0))),"Coût invalide",IF(AND(M947&lt;&gt;"",ISNA(MATCH(M947,tech_name,0))),"Technicien inconnu",IF(AND(I947="Terminée",S947&gt;p_today),"Terminée à une date future",IF(AND(I947="Terminée",V947=0),"Durée d'intervention manquante",IF(AND(I947="Terminée",E947="Préventif",T947=0,OR(IFERROR(INDEX(pl_trig,MATCH(F947,pl_num,0))&amp;"","")="Compteur",IFERROR(INDEX(pl_trig,MATCH(F947,pl_num,0))&amp;"","")="Au premier des deux")),"Compteur manquant (plan au compteur)","OK"))))))))))))))))))</f>
        <v/>
      </c>
      <c r="S947" s="67">
        <f>IF(AND(ISNUMBER(B947),N(B947)&gt;0),INT(B947),0)</f>
        <v>0.0</v>
      </c>
      <c r="T947" s="67">
        <f>IF(AND(ISNUMBER(J947),N(J947)&gt;=0),N(J947),0)</f>
        <v>0.0</v>
      </c>
      <c r="U947" s="67">
        <f>IF(AND(ISNUMBER(K947),N(K947)&gt;0),N(K947),0)</f>
        <v>0.0</v>
      </c>
      <c r="V947" s="67">
        <f>IF(AND(ISNUMBER(L947),N(L947)&gt;0),N(L947),0)</f>
        <v>0.0</v>
      </c>
      <c r="W947" s="67">
        <f>IF(AND(I947="Terminée",S947&gt;0,C947&lt;&gt;"",ISNUMBER(MATCH(C947,eq_code,0))),1,0)</f>
        <v>0.0</v>
      </c>
      <c r="X947" s="67">
        <f>IF(AND(W947=1,E947="Préventif"),1,0)</f>
        <v>0.0</v>
      </c>
      <c r="Y947" s="67">
        <f>IF(AND(ISNUMBER(N947),N(N947)&gt;0),N(N947),0)</f>
        <v>0.0</v>
      </c>
      <c r="Z947" s="67">
        <f>IF(AND(ISNUMBER(P947),N(P947)&gt;0),N(P947),0)</f>
        <v>0.0</v>
      </c>
    </row>
    <row r="948">
      <c r="A948" s="79" t="str">
        <f>IF(COUNTA(B948:C948,E948:G948,I948)=0,"","BI-"&amp;RIGHT("0000"&amp;(ROW()-5),4))</f>
        <v/>
      </c>
      <c r="B948" s="72" t="n"/>
      <c r="C948" s="66" t="n"/>
      <c r="D948" s="67" t="str">
        <f>IF(C948="","",IFERROR(INDEX(eq_des,MATCH(C948,eq_code,0))&amp;"","Équipement inconnu"))</f>
        <v/>
      </c>
      <c r="E948" s="68" t="n"/>
      <c r="F948" s="68" t="n"/>
      <c r="G948" s="66" t="n"/>
      <c r="H948" s="66" t="n"/>
      <c r="I948" s="68" t="n"/>
      <c r="J948" s="73" t="n"/>
      <c r="K948" s="71" t="n"/>
      <c r="L948" s="71" t="n"/>
      <c r="M948" s="66" t="n"/>
      <c r="N948" s="80" t="n"/>
      <c r="O948" s="81" t="str">
        <f>IF(A948="","",ROUND(V948*IFERROR(N(INDEX(tech_rate,MATCH(M948,tech_name,0))),0),2))</f>
        <v/>
      </c>
      <c r="P948" s="80" t="n"/>
      <c r="Q948" s="81" t="str">
        <f>IF(A948="","",ROUND(Y948+O948+Z948,2))</f>
        <v/>
      </c>
      <c r="R948" s="79" t="str">
        <f>IF(A948="","",IF(S948=0,"Date manquante ou invalide",IF(C948="","Équipement manquant",IF(ISNA(MATCH(C948,eq_code,0)),"Équipement inconnu",IF(E948="","Type manquant",IF(AND(E948&lt;&gt;"Préventif",E948&lt;&gt;"Correctif",E948&lt;&gt;"Amélioratif"),"Type inconnu",IF(I948="","Statut manquant",IF(AND(I948&lt;&gt;"Terminée",I948&lt;&gt;"En cours",I948&lt;&gt;"À faire",I948&lt;&gt;"Annulée"),"Statut inconnu",IF(AND(E948="Préventif",F948=""),"Plan manquant (préventif)",IF(AND(F948&lt;&gt;"",ISNA(MATCH(F948,pl_num,0))),"Plan inconnu",IF(AND(F948&lt;&gt;"",IFERROR(INDEX(pl_eq,MATCH(F948,pl_num,0))&amp;"",C948)&lt;&gt;C948),"Plan d'un autre équipement",IF(AND(J948&lt;&gt;"",OR(NOT(ISNUMBER(J948)),N(J948)&lt;0)),"Compteur invalide",IF(OR(AND(K948&lt;&gt;"",OR(NOT(ISNUMBER(K948)),N(K948)&lt;0)),AND(L948&lt;&gt;"",OR(NOT(ISNUMBER(L948)),N(L948)&lt;0))),"Durée invalide",IF(OR(AND(N948&lt;&gt;"",OR(NOT(ISNUMBER(N948)),N(N948)&lt;0)),AND(P948&lt;&gt;"",OR(NOT(ISNUMBER(P948)),N(P948)&lt;0))),"Coût invalide",IF(AND(M948&lt;&gt;"",ISNA(MATCH(M948,tech_name,0))),"Technicien inconnu",IF(AND(I948="Terminée",S948&gt;p_today),"Terminée à une date future",IF(AND(I948="Terminée",V948=0),"Durée d'intervention manquante",IF(AND(I948="Terminée",E948="Préventif",T948=0,OR(IFERROR(INDEX(pl_trig,MATCH(F948,pl_num,0))&amp;"","")="Compteur",IFERROR(INDEX(pl_trig,MATCH(F948,pl_num,0))&amp;"","")="Au premier des deux")),"Compteur manquant (plan au compteur)","OK"))))))))))))))))))</f>
        <v/>
      </c>
      <c r="S948" s="67">
        <f>IF(AND(ISNUMBER(B948),N(B948)&gt;0),INT(B948),0)</f>
        <v>0.0</v>
      </c>
      <c r="T948" s="67">
        <f>IF(AND(ISNUMBER(J948),N(J948)&gt;=0),N(J948),0)</f>
        <v>0.0</v>
      </c>
      <c r="U948" s="67">
        <f>IF(AND(ISNUMBER(K948),N(K948)&gt;0),N(K948),0)</f>
        <v>0.0</v>
      </c>
      <c r="V948" s="67">
        <f>IF(AND(ISNUMBER(L948),N(L948)&gt;0),N(L948),0)</f>
        <v>0.0</v>
      </c>
      <c r="W948" s="67">
        <f>IF(AND(I948="Terminée",S948&gt;0,C948&lt;&gt;"",ISNUMBER(MATCH(C948,eq_code,0))),1,0)</f>
        <v>0.0</v>
      </c>
      <c r="X948" s="67">
        <f>IF(AND(W948=1,E948="Préventif"),1,0)</f>
        <v>0.0</v>
      </c>
      <c r="Y948" s="67">
        <f>IF(AND(ISNUMBER(N948),N(N948)&gt;0),N(N948),0)</f>
        <v>0.0</v>
      </c>
      <c r="Z948" s="67">
        <f>IF(AND(ISNUMBER(P948),N(P948)&gt;0),N(P948),0)</f>
        <v>0.0</v>
      </c>
    </row>
    <row r="949">
      <c r="A949" s="79" t="str">
        <f>IF(COUNTA(B949:C949,E949:G949,I949)=0,"","BI-"&amp;RIGHT("0000"&amp;(ROW()-5),4))</f>
        <v/>
      </c>
      <c r="B949" s="72" t="n"/>
      <c r="C949" s="66" t="n"/>
      <c r="D949" s="67" t="str">
        <f>IF(C949="","",IFERROR(INDEX(eq_des,MATCH(C949,eq_code,0))&amp;"","Équipement inconnu"))</f>
        <v/>
      </c>
      <c r="E949" s="68" t="n"/>
      <c r="F949" s="68" t="n"/>
      <c r="G949" s="66" t="n"/>
      <c r="H949" s="66" t="n"/>
      <c r="I949" s="68" t="n"/>
      <c r="J949" s="73" t="n"/>
      <c r="K949" s="71" t="n"/>
      <c r="L949" s="71" t="n"/>
      <c r="M949" s="66" t="n"/>
      <c r="N949" s="80" t="n"/>
      <c r="O949" s="81" t="str">
        <f>IF(A949="","",ROUND(V949*IFERROR(N(INDEX(tech_rate,MATCH(M949,tech_name,0))),0),2))</f>
        <v/>
      </c>
      <c r="P949" s="80" t="n"/>
      <c r="Q949" s="81" t="str">
        <f>IF(A949="","",ROUND(Y949+O949+Z949,2))</f>
        <v/>
      </c>
      <c r="R949" s="79" t="str">
        <f>IF(A949="","",IF(S949=0,"Date manquante ou invalide",IF(C949="","Équipement manquant",IF(ISNA(MATCH(C949,eq_code,0)),"Équipement inconnu",IF(E949="","Type manquant",IF(AND(E949&lt;&gt;"Préventif",E949&lt;&gt;"Correctif",E949&lt;&gt;"Amélioratif"),"Type inconnu",IF(I949="","Statut manquant",IF(AND(I949&lt;&gt;"Terminée",I949&lt;&gt;"En cours",I949&lt;&gt;"À faire",I949&lt;&gt;"Annulée"),"Statut inconnu",IF(AND(E949="Préventif",F949=""),"Plan manquant (préventif)",IF(AND(F949&lt;&gt;"",ISNA(MATCH(F949,pl_num,0))),"Plan inconnu",IF(AND(F949&lt;&gt;"",IFERROR(INDEX(pl_eq,MATCH(F949,pl_num,0))&amp;"",C949)&lt;&gt;C949),"Plan d'un autre équipement",IF(AND(J949&lt;&gt;"",OR(NOT(ISNUMBER(J949)),N(J949)&lt;0)),"Compteur invalide",IF(OR(AND(K949&lt;&gt;"",OR(NOT(ISNUMBER(K949)),N(K949)&lt;0)),AND(L949&lt;&gt;"",OR(NOT(ISNUMBER(L949)),N(L949)&lt;0))),"Durée invalide",IF(OR(AND(N949&lt;&gt;"",OR(NOT(ISNUMBER(N949)),N(N949)&lt;0)),AND(P949&lt;&gt;"",OR(NOT(ISNUMBER(P949)),N(P949)&lt;0))),"Coût invalide",IF(AND(M949&lt;&gt;"",ISNA(MATCH(M949,tech_name,0))),"Technicien inconnu",IF(AND(I949="Terminée",S949&gt;p_today),"Terminée à une date future",IF(AND(I949="Terminée",V949=0),"Durée d'intervention manquante",IF(AND(I949="Terminée",E949="Préventif",T949=0,OR(IFERROR(INDEX(pl_trig,MATCH(F949,pl_num,0))&amp;"","")="Compteur",IFERROR(INDEX(pl_trig,MATCH(F949,pl_num,0))&amp;"","")="Au premier des deux")),"Compteur manquant (plan au compteur)","OK"))))))))))))))))))</f>
        <v/>
      </c>
      <c r="S949" s="67">
        <f>IF(AND(ISNUMBER(B949),N(B949)&gt;0),INT(B949),0)</f>
        <v>0.0</v>
      </c>
      <c r="T949" s="67">
        <f>IF(AND(ISNUMBER(J949),N(J949)&gt;=0),N(J949),0)</f>
        <v>0.0</v>
      </c>
      <c r="U949" s="67">
        <f>IF(AND(ISNUMBER(K949),N(K949)&gt;0),N(K949),0)</f>
        <v>0.0</v>
      </c>
      <c r="V949" s="67">
        <f>IF(AND(ISNUMBER(L949),N(L949)&gt;0),N(L949),0)</f>
        <v>0.0</v>
      </c>
      <c r="W949" s="67">
        <f>IF(AND(I949="Terminée",S949&gt;0,C949&lt;&gt;"",ISNUMBER(MATCH(C949,eq_code,0))),1,0)</f>
        <v>0.0</v>
      </c>
      <c r="X949" s="67">
        <f>IF(AND(W949=1,E949="Préventif"),1,0)</f>
        <v>0.0</v>
      </c>
      <c r="Y949" s="67">
        <f>IF(AND(ISNUMBER(N949),N(N949)&gt;0),N(N949),0)</f>
        <v>0.0</v>
      </c>
      <c r="Z949" s="67">
        <f>IF(AND(ISNUMBER(P949),N(P949)&gt;0),N(P949),0)</f>
        <v>0.0</v>
      </c>
    </row>
    <row r="950">
      <c r="A950" s="79" t="str">
        <f>IF(COUNTA(B950:C950,E950:G950,I950)=0,"","BI-"&amp;RIGHT("0000"&amp;(ROW()-5),4))</f>
        <v/>
      </c>
      <c r="B950" s="72" t="n"/>
      <c r="C950" s="66" t="n"/>
      <c r="D950" s="67" t="str">
        <f>IF(C950="","",IFERROR(INDEX(eq_des,MATCH(C950,eq_code,0))&amp;"","Équipement inconnu"))</f>
        <v/>
      </c>
      <c r="E950" s="68" t="n"/>
      <c r="F950" s="68" t="n"/>
      <c r="G950" s="66" t="n"/>
      <c r="H950" s="66" t="n"/>
      <c r="I950" s="68" t="n"/>
      <c r="J950" s="73" t="n"/>
      <c r="K950" s="71" t="n"/>
      <c r="L950" s="71" t="n"/>
      <c r="M950" s="66" t="n"/>
      <c r="N950" s="80" t="n"/>
      <c r="O950" s="81" t="str">
        <f>IF(A950="","",ROUND(V950*IFERROR(N(INDEX(tech_rate,MATCH(M950,tech_name,0))),0),2))</f>
        <v/>
      </c>
      <c r="P950" s="80" t="n"/>
      <c r="Q950" s="81" t="str">
        <f>IF(A950="","",ROUND(Y950+O950+Z950,2))</f>
        <v/>
      </c>
      <c r="R950" s="79" t="str">
        <f>IF(A950="","",IF(S950=0,"Date manquante ou invalide",IF(C950="","Équipement manquant",IF(ISNA(MATCH(C950,eq_code,0)),"Équipement inconnu",IF(E950="","Type manquant",IF(AND(E950&lt;&gt;"Préventif",E950&lt;&gt;"Correctif",E950&lt;&gt;"Amélioratif"),"Type inconnu",IF(I950="","Statut manquant",IF(AND(I950&lt;&gt;"Terminée",I950&lt;&gt;"En cours",I950&lt;&gt;"À faire",I950&lt;&gt;"Annulée"),"Statut inconnu",IF(AND(E950="Préventif",F950=""),"Plan manquant (préventif)",IF(AND(F950&lt;&gt;"",ISNA(MATCH(F950,pl_num,0))),"Plan inconnu",IF(AND(F950&lt;&gt;"",IFERROR(INDEX(pl_eq,MATCH(F950,pl_num,0))&amp;"",C950)&lt;&gt;C950),"Plan d'un autre équipement",IF(AND(J950&lt;&gt;"",OR(NOT(ISNUMBER(J950)),N(J950)&lt;0)),"Compteur invalide",IF(OR(AND(K950&lt;&gt;"",OR(NOT(ISNUMBER(K950)),N(K950)&lt;0)),AND(L950&lt;&gt;"",OR(NOT(ISNUMBER(L950)),N(L950)&lt;0))),"Durée invalide",IF(OR(AND(N950&lt;&gt;"",OR(NOT(ISNUMBER(N950)),N(N950)&lt;0)),AND(P950&lt;&gt;"",OR(NOT(ISNUMBER(P950)),N(P950)&lt;0))),"Coût invalide",IF(AND(M950&lt;&gt;"",ISNA(MATCH(M950,tech_name,0))),"Technicien inconnu",IF(AND(I950="Terminée",S950&gt;p_today),"Terminée à une date future",IF(AND(I950="Terminée",V950=0),"Durée d'intervention manquante",IF(AND(I950="Terminée",E950="Préventif",T950=0,OR(IFERROR(INDEX(pl_trig,MATCH(F950,pl_num,0))&amp;"","")="Compteur",IFERROR(INDEX(pl_trig,MATCH(F950,pl_num,0))&amp;"","")="Au premier des deux")),"Compteur manquant (plan au compteur)","OK"))))))))))))))))))</f>
        <v/>
      </c>
      <c r="S950" s="67">
        <f>IF(AND(ISNUMBER(B950),N(B950)&gt;0),INT(B950),0)</f>
        <v>0.0</v>
      </c>
      <c r="T950" s="67">
        <f>IF(AND(ISNUMBER(J950),N(J950)&gt;=0),N(J950),0)</f>
        <v>0.0</v>
      </c>
      <c r="U950" s="67">
        <f>IF(AND(ISNUMBER(K950),N(K950)&gt;0),N(K950),0)</f>
        <v>0.0</v>
      </c>
      <c r="V950" s="67">
        <f>IF(AND(ISNUMBER(L950),N(L950)&gt;0),N(L950),0)</f>
        <v>0.0</v>
      </c>
      <c r="W950" s="67">
        <f>IF(AND(I950="Terminée",S950&gt;0,C950&lt;&gt;"",ISNUMBER(MATCH(C950,eq_code,0))),1,0)</f>
        <v>0.0</v>
      </c>
      <c r="X950" s="67">
        <f>IF(AND(W950=1,E950="Préventif"),1,0)</f>
        <v>0.0</v>
      </c>
      <c r="Y950" s="67">
        <f>IF(AND(ISNUMBER(N950),N(N950)&gt;0),N(N950),0)</f>
        <v>0.0</v>
      </c>
      <c r="Z950" s="67">
        <f>IF(AND(ISNUMBER(P950),N(P950)&gt;0),N(P950),0)</f>
        <v>0.0</v>
      </c>
    </row>
    <row r="951">
      <c r="A951" s="79" t="str">
        <f>IF(COUNTA(B951:C951,E951:G951,I951)=0,"","BI-"&amp;RIGHT("0000"&amp;(ROW()-5),4))</f>
        <v/>
      </c>
      <c r="B951" s="72" t="n"/>
      <c r="C951" s="66" t="n"/>
      <c r="D951" s="67" t="str">
        <f>IF(C951="","",IFERROR(INDEX(eq_des,MATCH(C951,eq_code,0))&amp;"","Équipement inconnu"))</f>
        <v/>
      </c>
      <c r="E951" s="68" t="n"/>
      <c r="F951" s="68" t="n"/>
      <c r="G951" s="66" t="n"/>
      <c r="H951" s="66" t="n"/>
      <c r="I951" s="68" t="n"/>
      <c r="J951" s="73" t="n"/>
      <c r="K951" s="71" t="n"/>
      <c r="L951" s="71" t="n"/>
      <c r="M951" s="66" t="n"/>
      <c r="N951" s="80" t="n"/>
      <c r="O951" s="81" t="str">
        <f>IF(A951="","",ROUND(V951*IFERROR(N(INDEX(tech_rate,MATCH(M951,tech_name,0))),0),2))</f>
        <v/>
      </c>
      <c r="P951" s="80" t="n"/>
      <c r="Q951" s="81" t="str">
        <f>IF(A951="","",ROUND(Y951+O951+Z951,2))</f>
        <v/>
      </c>
      <c r="R951" s="79" t="str">
        <f>IF(A951="","",IF(S951=0,"Date manquante ou invalide",IF(C951="","Équipement manquant",IF(ISNA(MATCH(C951,eq_code,0)),"Équipement inconnu",IF(E951="","Type manquant",IF(AND(E951&lt;&gt;"Préventif",E951&lt;&gt;"Correctif",E951&lt;&gt;"Amélioratif"),"Type inconnu",IF(I951="","Statut manquant",IF(AND(I951&lt;&gt;"Terminée",I951&lt;&gt;"En cours",I951&lt;&gt;"À faire",I951&lt;&gt;"Annulée"),"Statut inconnu",IF(AND(E951="Préventif",F951=""),"Plan manquant (préventif)",IF(AND(F951&lt;&gt;"",ISNA(MATCH(F951,pl_num,0))),"Plan inconnu",IF(AND(F951&lt;&gt;"",IFERROR(INDEX(pl_eq,MATCH(F951,pl_num,0))&amp;"",C951)&lt;&gt;C951),"Plan d'un autre équipement",IF(AND(J951&lt;&gt;"",OR(NOT(ISNUMBER(J951)),N(J951)&lt;0)),"Compteur invalide",IF(OR(AND(K951&lt;&gt;"",OR(NOT(ISNUMBER(K951)),N(K951)&lt;0)),AND(L951&lt;&gt;"",OR(NOT(ISNUMBER(L951)),N(L951)&lt;0))),"Durée invalide",IF(OR(AND(N951&lt;&gt;"",OR(NOT(ISNUMBER(N951)),N(N951)&lt;0)),AND(P951&lt;&gt;"",OR(NOT(ISNUMBER(P951)),N(P951)&lt;0))),"Coût invalide",IF(AND(M951&lt;&gt;"",ISNA(MATCH(M951,tech_name,0))),"Technicien inconnu",IF(AND(I951="Terminée",S951&gt;p_today),"Terminée à une date future",IF(AND(I951="Terminée",V951=0),"Durée d'intervention manquante",IF(AND(I951="Terminée",E951="Préventif",T951=0,OR(IFERROR(INDEX(pl_trig,MATCH(F951,pl_num,0))&amp;"","")="Compteur",IFERROR(INDEX(pl_trig,MATCH(F951,pl_num,0))&amp;"","")="Au premier des deux")),"Compteur manquant (plan au compteur)","OK"))))))))))))))))))</f>
        <v/>
      </c>
      <c r="S951" s="67">
        <f>IF(AND(ISNUMBER(B951),N(B951)&gt;0),INT(B951),0)</f>
        <v>0.0</v>
      </c>
      <c r="T951" s="67">
        <f>IF(AND(ISNUMBER(J951),N(J951)&gt;=0),N(J951),0)</f>
        <v>0.0</v>
      </c>
      <c r="U951" s="67">
        <f>IF(AND(ISNUMBER(K951),N(K951)&gt;0),N(K951),0)</f>
        <v>0.0</v>
      </c>
      <c r="V951" s="67">
        <f>IF(AND(ISNUMBER(L951),N(L951)&gt;0),N(L951),0)</f>
        <v>0.0</v>
      </c>
      <c r="W951" s="67">
        <f>IF(AND(I951="Terminée",S951&gt;0,C951&lt;&gt;"",ISNUMBER(MATCH(C951,eq_code,0))),1,0)</f>
        <v>0.0</v>
      </c>
      <c r="X951" s="67">
        <f>IF(AND(W951=1,E951="Préventif"),1,0)</f>
        <v>0.0</v>
      </c>
      <c r="Y951" s="67">
        <f>IF(AND(ISNUMBER(N951),N(N951)&gt;0),N(N951),0)</f>
        <v>0.0</v>
      </c>
      <c r="Z951" s="67">
        <f>IF(AND(ISNUMBER(P951),N(P951)&gt;0),N(P951),0)</f>
        <v>0.0</v>
      </c>
    </row>
    <row r="952">
      <c r="A952" s="79" t="str">
        <f>IF(COUNTA(B952:C952,E952:G952,I952)=0,"","BI-"&amp;RIGHT("0000"&amp;(ROW()-5),4))</f>
        <v/>
      </c>
      <c r="B952" s="72" t="n"/>
      <c r="C952" s="66" t="n"/>
      <c r="D952" s="67" t="str">
        <f>IF(C952="","",IFERROR(INDEX(eq_des,MATCH(C952,eq_code,0))&amp;"","Équipement inconnu"))</f>
        <v/>
      </c>
      <c r="E952" s="68" t="n"/>
      <c r="F952" s="68" t="n"/>
      <c r="G952" s="66" t="n"/>
      <c r="H952" s="66" t="n"/>
      <c r="I952" s="68" t="n"/>
      <c r="J952" s="73" t="n"/>
      <c r="K952" s="71" t="n"/>
      <c r="L952" s="71" t="n"/>
      <c r="M952" s="66" t="n"/>
      <c r="N952" s="80" t="n"/>
      <c r="O952" s="81" t="str">
        <f>IF(A952="","",ROUND(V952*IFERROR(N(INDEX(tech_rate,MATCH(M952,tech_name,0))),0),2))</f>
        <v/>
      </c>
      <c r="P952" s="80" t="n"/>
      <c r="Q952" s="81" t="str">
        <f>IF(A952="","",ROUND(Y952+O952+Z952,2))</f>
        <v/>
      </c>
      <c r="R952" s="79" t="str">
        <f>IF(A952="","",IF(S952=0,"Date manquante ou invalide",IF(C952="","Équipement manquant",IF(ISNA(MATCH(C952,eq_code,0)),"Équipement inconnu",IF(E952="","Type manquant",IF(AND(E952&lt;&gt;"Préventif",E952&lt;&gt;"Correctif",E952&lt;&gt;"Amélioratif"),"Type inconnu",IF(I952="","Statut manquant",IF(AND(I952&lt;&gt;"Terminée",I952&lt;&gt;"En cours",I952&lt;&gt;"À faire",I952&lt;&gt;"Annulée"),"Statut inconnu",IF(AND(E952="Préventif",F952=""),"Plan manquant (préventif)",IF(AND(F952&lt;&gt;"",ISNA(MATCH(F952,pl_num,0))),"Plan inconnu",IF(AND(F952&lt;&gt;"",IFERROR(INDEX(pl_eq,MATCH(F952,pl_num,0))&amp;"",C952)&lt;&gt;C952),"Plan d'un autre équipement",IF(AND(J952&lt;&gt;"",OR(NOT(ISNUMBER(J952)),N(J952)&lt;0)),"Compteur invalide",IF(OR(AND(K952&lt;&gt;"",OR(NOT(ISNUMBER(K952)),N(K952)&lt;0)),AND(L952&lt;&gt;"",OR(NOT(ISNUMBER(L952)),N(L952)&lt;0))),"Durée invalide",IF(OR(AND(N952&lt;&gt;"",OR(NOT(ISNUMBER(N952)),N(N952)&lt;0)),AND(P952&lt;&gt;"",OR(NOT(ISNUMBER(P952)),N(P952)&lt;0))),"Coût invalide",IF(AND(M952&lt;&gt;"",ISNA(MATCH(M952,tech_name,0))),"Technicien inconnu",IF(AND(I952="Terminée",S952&gt;p_today),"Terminée à une date future",IF(AND(I952="Terminée",V952=0),"Durée d'intervention manquante",IF(AND(I952="Terminée",E952="Préventif",T952=0,OR(IFERROR(INDEX(pl_trig,MATCH(F952,pl_num,0))&amp;"","")="Compteur",IFERROR(INDEX(pl_trig,MATCH(F952,pl_num,0))&amp;"","")="Au premier des deux")),"Compteur manquant (plan au compteur)","OK"))))))))))))))))))</f>
        <v/>
      </c>
      <c r="S952" s="67">
        <f>IF(AND(ISNUMBER(B952),N(B952)&gt;0),INT(B952),0)</f>
        <v>0.0</v>
      </c>
      <c r="T952" s="67">
        <f>IF(AND(ISNUMBER(J952),N(J952)&gt;=0),N(J952),0)</f>
        <v>0.0</v>
      </c>
      <c r="U952" s="67">
        <f>IF(AND(ISNUMBER(K952),N(K952)&gt;0),N(K952),0)</f>
        <v>0.0</v>
      </c>
      <c r="V952" s="67">
        <f>IF(AND(ISNUMBER(L952),N(L952)&gt;0),N(L952),0)</f>
        <v>0.0</v>
      </c>
      <c r="W952" s="67">
        <f>IF(AND(I952="Terminée",S952&gt;0,C952&lt;&gt;"",ISNUMBER(MATCH(C952,eq_code,0))),1,0)</f>
        <v>0.0</v>
      </c>
      <c r="X952" s="67">
        <f>IF(AND(W952=1,E952="Préventif"),1,0)</f>
        <v>0.0</v>
      </c>
      <c r="Y952" s="67">
        <f>IF(AND(ISNUMBER(N952),N(N952)&gt;0),N(N952),0)</f>
        <v>0.0</v>
      </c>
      <c r="Z952" s="67">
        <f>IF(AND(ISNUMBER(P952),N(P952)&gt;0),N(P952),0)</f>
        <v>0.0</v>
      </c>
    </row>
    <row r="953">
      <c r="A953" s="79" t="str">
        <f>IF(COUNTA(B953:C953,E953:G953,I953)=0,"","BI-"&amp;RIGHT("0000"&amp;(ROW()-5),4))</f>
        <v/>
      </c>
      <c r="B953" s="72" t="n"/>
      <c r="C953" s="66" t="n"/>
      <c r="D953" s="67" t="str">
        <f>IF(C953="","",IFERROR(INDEX(eq_des,MATCH(C953,eq_code,0))&amp;"","Équipement inconnu"))</f>
        <v/>
      </c>
      <c r="E953" s="68" t="n"/>
      <c r="F953" s="68" t="n"/>
      <c r="G953" s="66" t="n"/>
      <c r="H953" s="66" t="n"/>
      <c r="I953" s="68" t="n"/>
      <c r="J953" s="73" t="n"/>
      <c r="K953" s="71" t="n"/>
      <c r="L953" s="71" t="n"/>
      <c r="M953" s="66" t="n"/>
      <c r="N953" s="80" t="n"/>
      <c r="O953" s="81" t="str">
        <f>IF(A953="","",ROUND(V953*IFERROR(N(INDEX(tech_rate,MATCH(M953,tech_name,0))),0),2))</f>
        <v/>
      </c>
      <c r="P953" s="80" t="n"/>
      <c r="Q953" s="81" t="str">
        <f>IF(A953="","",ROUND(Y953+O953+Z953,2))</f>
        <v/>
      </c>
      <c r="R953" s="79" t="str">
        <f>IF(A953="","",IF(S953=0,"Date manquante ou invalide",IF(C953="","Équipement manquant",IF(ISNA(MATCH(C953,eq_code,0)),"Équipement inconnu",IF(E953="","Type manquant",IF(AND(E953&lt;&gt;"Préventif",E953&lt;&gt;"Correctif",E953&lt;&gt;"Amélioratif"),"Type inconnu",IF(I953="","Statut manquant",IF(AND(I953&lt;&gt;"Terminée",I953&lt;&gt;"En cours",I953&lt;&gt;"À faire",I953&lt;&gt;"Annulée"),"Statut inconnu",IF(AND(E953="Préventif",F953=""),"Plan manquant (préventif)",IF(AND(F953&lt;&gt;"",ISNA(MATCH(F953,pl_num,0))),"Plan inconnu",IF(AND(F953&lt;&gt;"",IFERROR(INDEX(pl_eq,MATCH(F953,pl_num,0))&amp;"",C953)&lt;&gt;C953),"Plan d'un autre équipement",IF(AND(J953&lt;&gt;"",OR(NOT(ISNUMBER(J953)),N(J953)&lt;0)),"Compteur invalide",IF(OR(AND(K953&lt;&gt;"",OR(NOT(ISNUMBER(K953)),N(K953)&lt;0)),AND(L953&lt;&gt;"",OR(NOT(ISNUMBER(L953)),N(L953)&lt;0))),"Durée invalide",IF(OR(AND(N953&lt;&gt;"",OR(NOT(ISNUMBER(N953)),N(N953)&lt;0)),AND(P953&lt;&gt;"",OR(NOT(ISNUMBER(P953)),N(P953)&lt;0))),"Coût invalide",IF(AND(M953&lt;&gt;"",ISNA(MATCH(M953,tech_name,0))),"Technicien inconnu",IF(AND(I953="Terminée",S953&gt;p_today),"Terminée à une date future",IF(AND(I953="Terminée",V953=0),"Durée d'intervention manquante",IF(AND(I953="Terminée",E953="Préventif",T953=0,OR(IFERROR(INDEX(pl_trig,MATCH(F953,pl_num,0))&amp;"","")="Compteur",IFERROR(INDEX(pl_trig,MATCH(F953,pl_num,0))&amp;"","")="Au premier des deux")),"Compteur manquant (plan au compteur)","OK"))))))))))))))))))</f>
        <v/>
      </c>
      <c r="S953" s="67">
        <f>IF(AND(ISNUMBER(B953),N(B953)&gt;0),INT(B953),0)</f>
        <v>0.0</v>
      </c>
      <c r="T953" s="67">
        <f>IF(AND(ISNUMBER(J953),N(J953)&gt;=0),N(J953),0)</f>
        <v>0.0</v>
      </c>
      <c r="U953" s="67">
        <f>IF(AND(ISNUMBER(K953),N(K953)&gt;0),N(K953),0)</f>
        <v>0.0</v>
      </c>
      <c r="V953" s="67">
        <f>IF(AND(ISNUMBER(L953),N(L953)&gt;0),N(L953),0)</f>
        <v>0.0</v>
      </c>
      <c r="W953" s="67">
        <f>IF(AND(I953="Terminée",S953&gt;0,C953&lt;&gt;"",ISNUMBER(MATCH(C953,eq_code,0))),1,0)</f>
        <v>0.0</v>
      </c>
      <c r="X953" s="67">
        <f>IF(AND(W953=1,E953="Préventif"),1,0)</f>
        <v>0.0</v>
      </c>
      <c r="Y953" s="67">
        <f>IF(AND(ISNUMBER(N953),N(N953)&gt;0),N(N953),0)</f>
        <v>0.0</v>
      </c>
      <c r="Z953" s="67">
        <f>IF(AND(ISNUMBER(P953),N(P953)&gt;0),N(P953),0)</f>
        <v>0.0</v>
      </c>
    </row>
    <row r="954">
      <c r="A954" s="79" t="str">
        <f>IF(COUNTA(B954:C954,E954:G954,I954)=0,"","BI-"&amp;RIGHT("0000"&amp;(ROW()-5),4))</f>
        <v/>
      </c>
      <c r="B954" s="72" t="n"/>
      <c r="C954" s="66" t="n"/>
      <c r="D954" s="67" t="str">
        <f>IF(C954="","",IFERROR(INDEX(eq_des,MATCH(C954,eq_code,0))&amp;"","Équipement inconnu"))</f>
        <v/>
      </c>
      <c r="E954" s="68" t="n"/>
      <c r="F954" s="68" t="n"/>
      <c r="G954" s="66" t="n"/>
      <c r="H954" s="66" t="n"/>
      <c r="I954" s="68" t="n"/>
      <c r="J954" s="73" t="n"/>
      <c r="K954" s="71" t="n"/>
      <c r="L954" s="71" t="n"/>
      <c r="M954" s="66" t="n"/>
      <c r="N954" s="80" t="n"/>
      <c r="O954" s="81" t="str">
        <f>IF(A954="","",ROUND(V954*IFERROR(N(INDEX(tech_rate,MATCH(M954,tech_name,0))),0),2))</f>
        <v/>
      </c>
      <c r="P954" s="80" t="n"/>
      <c r="Q954" s="81" t="str">
        <f>IF(A954="","",ROUND(Y954+O954+Z954,2))</f>
        <v/>
      </c>
      <c r="R954" s="79" t="str">
        <f>IF(A954="","",IF(S954=0,"Date manquante ou invalide",IF(C954="","Équipement manquant",IF(ISNA(MATCH(C954,eq_code,0)),"Équipement inconnu",IF(E954="","Type manquant",IF(AND(E954&lt;&gt;"Préventif",E954&lt;&gt;"Correctif",E954&lt;&gt;"Amélioratif"),"Type inconnu",IF(I954="","Statut manquant",IF(AND(I954&lt;&gt;"Terminée",I954&lt;&gt;"En cours",I954&lt;&gt;"À faire",I954&lt;&gt;"Annulée"),"Statut inconnu",IF(AND(E954="Préventif",F954=""),"Plan manquant (préventif)",IF(AND(F954&lt;&gt;"",ISNA(MATCH(F954,pl_num,0))),"Plan inconnu",IF(AND(F954&lt;&gt;"",IFERROR(INDEX(pl_eq,MATCH(F954,pl_num,0))&amp;"",C954)&lt;&gt;C954),"Plan d'un autre équipement",IF(AND(J954&lt;&gt;"",OR(NOT(ISNUMBER(J954)),N(J954)&lt;0)),"Compteur invalide",IF(OR(AND(K954&lt;&gt;"",OR(NOT(ISNUMBER(K954)),N(K954)&lt;0)),AND(L954&lt;&gt;"",OR(NOT(ISNUMBER(L954)),N(L954)&lt;0))),"Durée invalide",IF(OR(AND(N954&lt;&gt;"",OR(NOT(ISNUMBER(N954)),N(N954)&lt;0)),AND(P954&lt;&gt;"",OR(NOT(ISNUMBER(P954)),N(P954)&lt;0))),"Coût invalide",IF(AND(M954&lt;&gt;"",ISNA(MATCH(M954,tech_name,0))),"Technicien inconnu",IF(AND(I954="Terminée",S954&gt;p_today),"Terminée à une date future",IF(AND(I954="Terminée",V954=0),"Durée d'intervention manquante",IF(AND(I954="Terminée",E954="Préventif",T954=0,OR(IFERROR(INDEX(pl_trig,MATCH(F954,pl_num,0))&amp;"","")="Compteur",IFERROR(INDEX(pl_trig,MATCH(F954,pl_num,0))&amp;"","")="Au premier des deux")),"Compteur manquant (plan au compteur)","OK"))))))))))))))))))</f>
        <v/>
      </c>
      <c r="S954" s="67">
        <f>IF(AND(ISNUMBER(B954),N(B954)&gt;0),INT(B954),0)</f>
        <v>0.0</v>
      </c>
      <c r="T954" s="67">
        <f>IF(AND(ISNUMBER(J954),N(J954)&gt;=0),N(J954),0)</f>
        <v>0.0</v>
      </c>
      <c r="U954" s="67">
        <f>IF(AND(ISNUMBER(K954),N(K954)&gt;0),N(K954),0)</f>
        <v>0.0</v>
      </c>
      <c r="V954" s="67">
        <f>IF(AND(ISNUMBER(L954),N(L954)&gt;0),N(L954),0)</f>
        <v>0.0</v>
      </c>
      <c r="W954" s="67">
        <f>IF(AND(I954="Terminée",S954&gt;0,C954&lt;&gt;"",ISNUMBER(MATCH(C954,eq_code,0))),1,0)</f>
        <v>0.0</v>
      </c>
      <c r="X954" s="67">
        <f>IF(AND(W954=1,E954="Préventif"),1,0)</f>
        <v>0.0</v>
      </c>
      <c r="Y954" s="67">
        <f>IF(AND(ISNUMBER(N954),N(N954)&gt;0),N(N954),0)</f>
        <v>0.0</v>
      </c>
      <c r="Z954" s="67">
        <f>IF(AND(ISNUMBER(P954),N(P954)&gt;0),N(P954),0)</f>
        <v>0.0</v>
      </c>
    </row>
    <row r="955">
      <c r="A955" s="79" t="str">
        <f>IF(COUNTA(B955:C955,E955:G955,I955)=0,"","BI-"&amp;RIGHT("0000"&amp;(ROW()-5),4))</f>
        <v/>
      </c>
      <c r="B955" s="72" t="n"/>
      <c r="C955" s="66" t="n"/>
      <c r="D955" s="67" t="str">
        <f>IF(C955="","",IFERROR(INDEX(eq_des,MATCH(C955,eq_code,0))&amp;"","Équipement inconnu"))</f>
        <v/>
      </c>
      <c r="E955" s="68" t="n"/>
      <c r="F955" s="68" t="n"/>
      <c r="G955" s="66" t="n"/>
      <c r="H955" s="66" t="n"/>
      <c r="I955" s="68" t="n"/>
      <c r="J955" s="73" t="n"/>
      <c r="K955" s="71" t="n"/>
      <c r="L955" s="71" t="n"/>
      <c r="M955" s="66" t="n"/>
      <c r="N955" s="80" t="n"/>
      <c r="O955" s="81" t="str">
        <f>IF(A955="","",ROUND(V955*IFERROR(N(INDEX(tech_rate,MATCH(M955,tech_name,0))),0),2))</f>
        <v/>
      </c>
      <c r="P955" s="80" t="n"/>
      <c r="Q955" s="81" t="str">
        <f>IF(A955="","",ROUND(Y955+O955+Z955,2))</f>
        <v/>
      </c>
      <c r="R955" s="79" t="str">
        <f>IF(A955="","",IF(S955=0,"Date manquante ou invalide",IF(C955="","Équipement manquant",IF(ISNA(MATCH(C955,eq_code,0)),"Équipement inconnu",IF(E955="","Type manquant",IF(AND(E955&lt;&gt;"Préventif",E955&lt;&gt;"Correctif",E955&lt;&gt;"Amélioratif"),"Type inconnu",IF(I955="","Statut manquant",IF(AND(I955&lt;&gt;"Terminée",I955&lt;&gt;"En cours",I955&lt;&gt;"À faire",I955&lt;&gt;"Annulée"),"Statut inconnu",IF(AND(E955="Préventif",F955=""),"Plan manquant (préventif)",IF(AND(F955&lt;&gt;"",ISNA(MATCH(F955,pl_num,0))),"Plan inconnu",IF(AND(F955&lt;&gt;"",IFERROR(INDEX(pl_eq,MATCH(F955,pl_num,0))&amp;"",C955)&lt;&gt;C955),"Plan d'un autre équipement",IF(AND(J955&lt;&gt;"",OR(NOT(ISNUMBER(J955)),N(J955)&lt;0)),"Compteur invalide",IF(OR(AND(K955&lt;&gt;"",OR(NOT(ISNUMBER(K955)),N(K955)&lt;0)),AND(L955&lt;&gt;"",OR(NOT(ISNUMBER(L955)),N(L955)&lt;0))),"Durée invalide",IF(OR(AND(N955&lt;&gt;"",OR(NOT(ISNUMBER(N955)),N(N955)&lt;0)),AND(P955&lt;&gt;"",OR(NOT(ISNUMBER(P955)),N(P955)&lt;0))),"Coût invalide",IF(AND(M955&lt;&gt;"",ISNA(MATCH(M955,tech_name,0))),"Technicien inconnu",IF(AND(I955="Terminée",S955&gt;p_today),"Terminée à une date future",IF(AND(I955="Terminée",V955=0),"Durée d'intervention manquante",IF(AND(I955="Terminée",E955="Préventif",T955=0,OR(IFERROR(INDEX(pl_trig,MATCH(F955,pl_num,0))&amp;"","")="Compteur",IFERROR(INDEX(pl_trig,MATCH(F955,pl_num,0))&amp;"","")="Au premier des deux")),"Compteur manquant (plan au compteur)","OK"))))))))))))))))))</f>
        <v/>
      </c>
      <c r="S955" s="67">
        <f>IF(AND(ISNUMBER(B955),N(B955)&gt;0),INT(B955),0)</f>
        <v>0.0</v>
      </c>
      <c r="T955" s="67">
        <f>IF(AND(ISNUMBER(J955),N(J955)&gt;=0),N(J955),0)</f>
        <v>0.0</v>
      </c>
      <c r="U955" s="67">
        <f>IF(AND(ISNUMBER(K955),N(K955)&gt;0),N(K955),0)</f>
        <v>0.0</v>
      </c>
      <c r="V955" s="67">
        <f>IF(AND(ISNUMBER(L955),N(L955)&gt;0),N(L955),0)</f>
        <v>0.0</v>
      </c>
      <c r="W955" s="67">
        <f>IF(AND(I955="Terminée",S955&gt;0,C955&lt;&gt;"",ISNUMBER(MATCH(C955,eq_code,0))),1,0)</f>
        <v>0.0</v>
      </c>
      <c r="X955" s="67">
        <f>IF(AND(W955=1,E955="Préventif"),1,0)</f>
        <v>0.0</v>
      </c>
      <c r="Y955" s="67">
        <f>IF(AND(ISNUMBER(N955),N(N955)&gt;0),N(N955),0)</f>
        <v>0.0</v>
      </c>
      <c r="Z955" s="67">
        <f>IF(AND(ISNUMBER(P955),N(P955)&gt;0),N(P955),0)</f>
        <v>0.0</v>
      </c>
    </row>
    <row r="956">
      <c r="A956" s="79" t="str">
        <f>IF(COUNTA(B956:C956,E956:G956,I956)=0,"","BI-"&amp;RIGHT("0000"&amp;(ROW()-5),4))</f>
        <v/>
      </c>
      <c r="B956" s="72" t="n"/>
      <c r="C956" s="66" t="n"/>
      <c r="D956" s="67" t="str">
        <f>IF(C956="","",IFERROR(INDEX(eq_des,MATCH(C956,eq_code,0))&amp;"","Équipement inconnu"))</f>
        <v/>
      </c>
      <c r="E956" s="68" t="n"/>
      <c r="F956" s="68" t="n"/>
      <c r="G956" s="66" t="n"/>
      <c r="H956" s="66" t="n"/>
      <c r="I956" s="68" t="n"/>
      <c r="J956" s="73" t="n"/>
      <c r="K956" s="71" t="n"/>
      <c r="L956" s="71" t="n"/>
      <c r="M956" s="66" t="n"/>
      <c r="N956" s="80" t="n"/>
      <c r="O956" s="81" t="str">
        <f>IF(A956="","",ROUND(V956*IFERROR(N(INDEX(tech_rate,MATCH(M956,tech_name,0))),0),2))</f>
        <v/>
      </c>
      <c r="P956" s="80" t="n"/>
      <c r="Q956" s="81" t="str">
        <f>IF(A956="","",ROUND(Y956+O956+Z956,2))</f>
        <v/>
      </c>
      <c r="R956" s="79" t="str">
        <f>IF(A956="","",IF(S956=0,"Date manquante ou invalide",IF(C956="","Équipement manquant",IF(ISNA(MATCH(C956,eq_code,0)),"Équipement inconnu",IF(E956="","Type manquant",IF(AND(E956&lt;&gt;"Préventif",E956&lt;&gt;"Correctif",E956&lt;&gt;"Amélioratif"),"Type inconnu",IF(I956="","Statut manquant",IF(AND(I956&lt;&gt;"Terminée",I956&lt;&gt;"En cours",I956&lt;&gt;"À faire",I956&lt;&gt;"Annulée"),"Statut inconnu",IF(AND(E956="Préventif",F956=""),"Plan manquant (préventif)",IF(AND(F956&lt;&gt;"",ISNA(MATCH(F956,pl_num,0))),"Plan inconnu",IF(AND(F956&lt;&gt;"",IFERROR(INDEX(pl_eq,MATCH(F956,pl_num,0))&amp;"",C956)&lt;&gt;C956),"Plan d'un autre équipement",IF(AND(J956&lt;&gt;"",OR(NOT(ISNUMBER(J956)),N(J956)&lt;0)),"Compteur invalide",IF(OR(AND(K956&lt;&gt;"",OR(NOT(ISNUMBER(K956)),N(K956)&lt;0)),AND(L956&lt;&gt;"",OR(NOT(ISNUMBER(L956)),N(L956)&lt;0))),"Durée invalide",IF(OR(AND(N956&lt;&gt;"",OR(NOT(ISNUMBER(N956)),N(N956)&lt;0)),AND(P956&lt;&gt;"",OR(NOT(ISNUMBER(P956)),N(P956)&lt;0))),"Coût invalide",IF(AND(M956&lt;&gt;"",ISNA(MATCH(M956,tech_name,0))),"Technicien inconnu",IF(AND(I956="Terminée",S956&gt;p_today),"Terminée à une date future",IF(AND(I956="Terminée",V956=0),"Durée d'intervention manquante",IF(AND(I956="Terminée",E956="Préventif",T956=0,OR(IFERROR(INDEX(pl_trig,MATCH(F956,pl_num,0))&amp;"","")="Compteur",IFERROR(INDEX(pl_trig,MATCH(F956,pl_num,0))&amp;"","")="Au premier des deux")),"Compteur manquant (plan au compteur)","OK"))))))))))))))))))</f>
        <v/>
      </c>
      <c r="S956" s="67">
        <f>IF(AND(ISNUMBER(B956),N(B956)&gt;0),INT(B956),0)</f>
        <v>0.0</v>
      </c>
      <c r="T956" s="67">
        <f>IF(AND(ISNUMBER(J956),N(J956)&gt;=0),N(J956),0)</f>
        <v>0.0</v>
      </c>
      <c r="U956" s="67">
        <f>IF(AND(ISNUMBER(K956),N(K956)&gt;0),N(K956),0)</f>
        <v>0.0</v>
      </c>
      <c r="V956" s="67">
        <f>IF(AND(ISNUMBER(L956),N(L956)&gt;0),N(L956),0)</f>
        <v>0.0</v>
      </c>
      <c r="W956" s="67">
        <f>IF(AND(I956="Terminée",S956&gt;0,C956&lt;&gt;"",ISNUMBER(MATCH(C956,eq_code,0))),1,0)</f>
        <v>0.0</v>
      </c>
      <c r="X956" s="67">
        <f>IF(AND(W956=1,E956="Préventif"),1,0)</f>
        <v>0.0</v>
      </c>
      <c r="Y956" s="67">
        <f>IF(AND(ISNUMBER(N956),N(N956)&gt;0),N(N956),0)</f>
        <v>0.0</v>
      </c>
      <c r="Z956" s="67">
        <f>IF(AND(ISNUMBER(P956),N(P956)&gt;0),N(P956),0)</f>
        <v>0.0</v>
      </c>
    </row>
    <row r="957">
      <c r="A957" s="79" t="str">
        <f>IF(COUNTA(B957:C957,E957:G957,I957)=0,"","BI-"&amp;RIGHT("0000"&amp;(ROW()-5),4))</f>
        <v/>
      </c>
      <c r="B957" s="72" t="n"/>
      <c r="C957" s="66" t="n"/>
      <c r="D957" s="67" t="str">
        <f>IF(C957="","",IFERROR(INDEX(eq_des,MATCH(C957,eq_code,0))&amp;"","Équipement inconnu"))</f>
        <v/>
      </c>
      <c r="E957" s="68" t="n"/>
      <c r="F957" s="68" t="n"/>
      <c r="G957" s="66" t="n"/>
      <c r="H957" s="66" t="n"/>
      <c r="I957" s="68" t="n"/>
      <c r="J957" s="73" t="n"/>
      <c r="K957" s="71" t="n"/>
      <c r="L957" s="71" t="n"/>
      <c r="M957" s="66" t="n"/>
      <c r="N957" s="80" t="n"/>
      <c r="O957" s="81" t="str">
        <f>IF(A957="","",ROUND(V957*IFERROR(N(INDEX(tech_rate,MATCH(M957,tech_name,0))),0),2))</f>
        <v/>
      </c>
      <c r="P957" s="80" t="n"/>
      <c r="Q957" s="81" t="str">
        <f>IF(A957="","",ROUND(Y957+O957+Z957,2))</f>
        <v/>
      </c>
      <c r="R957" s="79" t="str">
        <f>IF(A957="","",IF(S957=0,"Date manquante ou invalide",IF(C957="","Équipement manquant",IF(ISNA(MATCH(C957,eq_code,0)),"Équipement inconnu",IF(E957="","Type manquant",IF(AND(E957&lt;&gt;"Préventif",E957&lt;&gt;"Correctif",E957&lt;&gt;"Amélioratif"),"Type inconnu",IF(I957="","Statut manquant",IF(AND(I957&lt;&gt;"Terminée",I957&lt;&gt;"En cours",I957&lt;&gt;"À faire",I957&lt;&gt;"Annulée"),"Statut inconnu",IF(AND(E957="Préventif",F957=""),"Plan manquant (préventif)",IF(AND(F957&lt;&gt;"",ISNA(MATCH(F957,pl_num,0))),"Plan inconnu",IF(AND(F957&lt;&gt;"",IFERROR(INDEX(pl_eq,MATCH(F957,pl_num,0))&amp;"",C957)&lt;&gt;C957),"Plan d'un autre équipement",IF(AND(J957&lt;&gt;"",OR(NOT(ISNUMBER(J957)),N(J957)&lt;0)),"Compteur invalide",IF(OR(AND(K957&lt;&gt;"",OR(NOT(ISNUMBER(K957)),N(K957)&lt;0)),AND(L957&lt;&gt;"",OR(NOT(ISNUMBER(L957)),N(L957)&lt;0))),"Durée invalide",IF(OR(AND(N957&lt;&gt;"",OR(NOT(ISNUMBER(N957)),N(N957)&lt;0)),AND(P957&lt;&gt;"",OR(NOT(ISNUMBER(P957)),N(P957)&lt;0))),"Coût invalide",IF(AND(M957&lt;&gt;"",ISNA(MATCH(M957,tech_name,0))),"Technicien inconnu",IF(AND(I957="Terminée",S957&gt;p_today),"Terminée à une date future",IF(AND(I957="Terminée",V957=0),"Durée d'intervention manquante",IF(AND(I957="Terminée",E957="Préventif",T957=0,OR(IFERROR(INDEX(pl_trig,MATCH(F957,pl_num,0))&amp;"","")="Compteur",IFERROR(INDEX(pl_trig,MATCH(F957,pl_num,0))&amp;"","")="Au premier des deux")),"Compteur manquant (plan au compteur)","OK"))))))))))))))))))</f>
        <v/>
      </c>
      <c r="S957" s="67">
        <f>IF(AND(ISNUMBER(B957),N(B957)&gt;0),INT(B957),0)</f>
        <v>0.0</v>
      </c>
      <c r="T957" s="67">
        <f>IF(AND(ISNUMBER(J957),N(J957)&gt;=0),N(J957),0)</f>
        <v>0.0</v>
      </c>
      <c r="U957" s="67">
        <f>IF(AND(ISNUMBER(K957),N(K957)&gt;0),N(K957),0)</f>
        <v>0.0</v>
      </c>
      <c r="V957" s="67">
        <f>IF(AND(ISNUMBER(L957),N(L957)&gt;0),N(L957),0)</f>
        <v>0.0</v>
      </c>
      <c r="W957" s="67">
        <f>IF(AND(I957="Terminée",S957&gt;0,C957&lt;&gt;"",ISNUMBER(MATCH(C957,eq_code,0))),1,0)</f>
        <v>0.0</v>
      </c>
      <c r="X957" s="67">
        <f>IF(AND(W957=1,E957="Préventif"),1,0)</f>
        <v>0.0</v>
      </c>
      <c r="Y957" s="67">
        <f>IF(AND(ISNUMBER(N957),N(N957)&gt;0),N(N957),0)</f>
        <v>0.0</v>
      </c>
      <c r="Z957" s="67">
        <f>IF(AND(ISNUMBER(P957),N(P957)&gt;0),N(P957),0)</f>
        <v>0.0</v>
      </c>
    </row>
    <row r="958">
      <c r="A958" s="79" t="str">
        <f>IF(COUNTA(B958:C958,E958:G958,I958)=0,"","BI-"&amp;RIGHT("0000"&amp;(ROW()-5),4))</f>
        <v/>
      </c>
      <c r="B958" s="72" t="n"/>
      <c r="C958" s="66" t="n"/>
      <c r="D958" s="67" t="str">
        <f>IF(C958="","",IFERROR(INDEX(eq_des,MATCH(C958,eq_code,0))&amp;"","Équipement inconnu"))</f>
        <v/>
      </c>
      <c r="E958" s="68" t="n"/>
      <c r="F958" s="68" t="n"/>
      <c r="G958" s="66" t="n"/>
      <c r="H958" s="66" t="n"/>
      <c r="I958" s="68" t="n"/>
      <c r="J958" s="73" t="n"/>
      <c r="K958" s="71" t="n"/>
      <c r="L958" s="71" t="n"/>
      <c r="M958" s="66" t="n"/>
      <c r="N958" s="80" t="n"/>
      <c r="O958" s="81" t="str">
        <f>IF(A958="","",ROUND(V958*IFERROR(N(INDEX(tech_rate,MATCH(M958,tech_name,0))),0),2))</f>
        <v/>
      </c>
      <c r="P958" s="80" t="n"/>
      <c r="Q958" s="81" t="str">
        <f>IF(A958="","",ROUND(Y958+O958+Z958,2))</f>
        <v/>
      </c>
      <c r="R958" s="79" t="str">
        <f>IF(A958="","",IF(S958=0,"Date manquante ou invalide",IF(C958="","Équipement manquant",IF(ISNA(MATCH(C958,eq_code,0)),"Équipement inconnu",IF(E958="","Type manquant",IF(AND(E958&lt;&gt;"Préventif",E958&lt;&gt;"Correctif",E958&lt;&gt;"Amélioratif"),"Type inconnu",IF(I958="","Statut manquant",IF(AND(I958&lt;&gt;"Terminée",I958&lt;&gt;"En cours",I958&lt;&gt;"À faire",I958&lt;&gt;"Annulée"),"Statut inconnu",IF(AND(E958="Préventif",F958=""),"Plan manquant (préventif)",IF(AND(F958&lt;&gt;"",ISNA(MATCH(F958,pl_num,0))),"Plan inconnu",IF(AND(F958&lt;&gt;"",IFERROR(INDEX(pl_eq,MATCH(F958,pl_num,0))&amp;"",C958)&lt;&gt;C958),"Plan d'un autre équipement",IF(AND(J958&lt;&gt;"",OR(NOT(ISNUMBER(J958)),N(J958)&lt;0)),"Compteur invalide",IF(OR(AND(K958&lt;&gt;"",OR(NOT(ISNUMBER(K958)),N(K958)&lt;0)),AND(L958&lt;&gt;"",OR(NOT(ISNUMBER(L958)),N(L958)&lt;0))),"Durée invalide",IF(OR(AND(N958&lt;&gt;"",OR(NOT(ISNUMBER(N958)),N(N958)&lt;0)),AND(P958&lt;&gt;"",OR(NOT(ISNUMBER(P958)),N(P958)&lt;0))),"Coût invalide",IF(AND(M958&lt;&gt;"",ISNA(MATCH(M958,tech_name,0))),"Technicien inconnu",IF(AND(I958="Terminée",S958&gt;p_today),"Terminée à une date future",IF(AND(I958="Terminée",V958=0),"Durée d'intervention manquante",IF(AND(I958="Terminée",E958="Préventif",T958=0,OR(IFERROR(INDEX(pl_trig,MATCH(F958,pl_num,0))&amp;"","")="Compteur",IFERROR(INDEX(pl_trig,MATCH(F958,pl_num,0))&amp;"","")="Au premier des deux")),"Compteur manquant (plan au compteur)","OK"))))))))))))))))))</f>
        <v/>
      </c>
      <c r="S958" s="67">
        <f>IF(AND(ISNUMBER(B958),N(B958)&gt;0),INT(B958),0)</f>
        <v>0.0</v>
      </c>
      <c r="T958" s="67">
        <f>IF(AND(ISNUMBER(J958),N(J958)&gt;=0),N(J958),0)</f>
        <v>0.0</v>
      </c>
      <c r="U958" s="67">
        <f>IF(AND(ISNUMBER(K958),N(K958)&gt;0),N(K958),0)</f>
        <v>0.0</v>
      </c>
      <c r="V958" s="67">
        <f>IF(AND(ISNUMBER(L958),N(L958)&gt;0),N(L958),0)</f>
        <v>0.0</v>
      </c>
      <c r="W958" s="67">
        <f>IF(AND(I958="Terminée",S958&gt;0,C958&lt;&gt;"",ISNUMBER(MATCH(C958,eq_code,0))),1,0)</f>
        <v>0.0</v>
      </c>
      <c r="X958" s="67">
        <f>IF(AND(W958=1,E958="Préventif"),1,0)</f>
        <v>0.0</v>
      </c>
      <c r="Y958" s="67">
        <f>IF(AND(ISNUMBER(N958),N(N958)&gt;0),N(N958),0)</f>
        <v>0.0</v>
      </c>
      <c r="Z958" s="67">
        <f>IF(AND(ISNUMBER(P958),N(P958)&gt;0),N(P958),0)</f>
        <v>0.0</v>
      </c>
    </row>
    <row r="959">
      <c r="A959" s="79" t="str">
        <f>IF(COUNTA(B959:C959,E959:G959,I959)=0,"","BI-"&amp;RIGHT("0000"&amp;(ROW()-5),4))</f>
        <v/>
      </c>
      <c r="B959" s="72" t="n"/>
      <c r="C959" s="66" t="n"/>
      <c r="D959" s="67" t="str">
        <f>IF(C959="","",IFERROR(INDEX(eq_des,MATCH(C959,eq_code,0))&amp;"","Équipement inconnu"))</f>
        <v/>
      </c>
      <c r="E959" s="68" t="n"/>
      <c r="F959" s="68" t="n"/>
      <c r="G959" s="66" t="n"/>
      <c r="H959" s="66" t="n"/>
      <c r="I959" s="68" t="n"/>
      <c r="J959" s="73" t="n"/>
      <c r="K959" s="71" t="n"/>
      <c r="L959" s="71" t="n"/>
      <c r="M959" s="66" t="n"/>
      <c r="N959" s="80" t="n"/>
      <c r="O959" s="81" t="str">
        <f>IF(A959="","",ROUND(V959*IFERROR(N(INDEX(tech_rate,MATCH(M959,tech_name,0))),0),2))</f>
        <v/>
      </c>
      <c r="P959" s="80" t="n"/>
      <c r="Q959" s="81" t="str">
        <f>IF(A959="","",ROUND(Y959+O959+Z959,2))</f>
        <v/>
      </c>
      <c r="R959" s="79" t="str">
        <f>IF(A959="","",IF(S959=0,"Date manquante ou invalide",IF(C959="","Équipement manquant",IF(ISNA(MATCH(C959,eq_code,0)),"Équipement inconnu",IF(E959="","Type manquant",IF(AND(E959&lt;&gt;"Préventif",E959&lt;&gt;"Correctif",E959&lt;&gt;"Amélioratif"),"Type inconnu",IF(I959="","Statut manquant",IF(AND(I959&lt;&gt;"Terminée",I959&lt;&gt;"En cours",I959&lt;&gt;"À faire",I959&lt;&gt;"Annulée"),"Statut inconnu",IF(AND(E959="Préventif",F959=""),"Plan manquant (préventif)",IF(AND(F959&lt;&gt;"",ISNA(MATCH(F959,pl_num,0))),"Plan inconnu",IF(AND(F959&lt;&gt;"",IFERROR(INDEX(pl_eq,MATCH(F959,pl_num,0))&amp;"",C959)&lt;&gt;C959),"Plan d'un autre équipement",IF(AND(J959&lt;&gt;"",OR(NOT(ISNUMBER(J959)),N(J959)&lt;0)),"Compteur invalide",IF(OR(AND(K959&lt;&gt;"",OR(NOT(ISNUMBER(K959)),N(K959)&lt;0)),AND(L959&lt;&gt;"",OR(NOT(ISNUMBER(L959)),N(L959)&lt;0))),"Durée invalide",IF(OR(AND(N959&lt;&gt;"",OR(NOT(ISNUMBER(N959)),N(N959)&lt;0)),AND(P959&lt;&gt;"",OR(NOT(ISNUMBER(P959)),N(P959)&lt;0))),"Coût invalide",IF(AND(M959&lt;&gt;"",ISNA(MATCH(M959,tech_name,0))),"Technicien inconnu",IF(AND(I959="Terminée",S959&gt;p_today),"Terminée à une date future",IF(AND(I959="Terminée",V959=0),"Durée d'intervention manquante",IF(AND(I959="Terminée",E959="Préventif",T959=0,OR(IFERROR(INDEX(pl_trig,MATCH(F959,pl_num,0))&amp;"","")="Compteur",IFERROR(INDEX(pl_trig,MATCH(F959,pl_num,0))&amp;"","")="Au premier des deux")),"Compteur manquant (plan au compteur)","OK"))))))))))))))))))</f>
        <v/>
      </c>
      <c r="S959" s="67">
        <f>IF(AND(ISNUMBER(B959),N(B959)&gt;0),INT(B959),0)</f>
        <v>0.0</v>
      </c>
      <c r="T959" s="67">
        <f>IF(AND(ISNUMBER(J959),N(J959)&gt;=0),N(J959),0)</f>
        <v>0.0</v>
      </c>
      <c r="U959" s="67">
        <f>IF(AND(ISNUMBER(K959),N(K959)&gt;0),N(K959),0)</f>
        <v>0.0</v>
      </c>
      <c r="V959" s="67">
        <f>IF(AND(ISNUMBER(L959),N(L959)&gt;0),N(L959),0)</f>
        <v>0.0</v>
      </c>
      <c r="W959" s="67">
        <f>IF(AND(I959="Terminée",S959&gt;0,C959&lt;&gt;"",ISNUMBER(MATCH(C959,eq_code,0))),1,0)</f>
        <v>0.0</v>
      </c>
      <c r="X959" s="67">
        <f>IF(AND(W959=1,E959="Préventif"),1,0)</f>
        <v>0.0</v>
      </c>
      <c r="Y959" s="67">
        <f>IF(AND(ISNUMBER(N959),N(N959)&gt;0),N(N959),0)</f>
        <v>0.0</v>
      </c>
      <c r="Z959" s="67">
        <f>IF(AND(ISNUMBER(P959),N(P959)&gt;0),N(P959),0)</f>
        <v>0.0</v>
      </c>
    </row>
    <row r="960">
      <c r="A960" s="79" t="str">
        <f>IF(COUNTA(B960:C960,E960:G960,I960)=0,"","BI-"&amp;RIGHT("0000"&amp;(ROW()-5),4))</f>
        <v/>
      </c>
      <c r="B960" s="72" t="n"/>
      <c r="C960" s="66" t="n"/>
      <c r="D960" s="67" t="str">
        <f>IF(C960="","",IFERROR(INDEX(eq_des,MATCH(C960,eq_code,0))&amp;"","Équipement inconnu"))</f>
        <v/>
      </c>
      <c r="E960" s="68" t="n"/>
      <c r="F960" s="68" t="n"/>
      <c r="G960" s="66" t="n"/>
      <c r="H960" s="66" t="n"/>
      <c r="I960" s="68" t="n"/>
      <c r="J960" s="73" t="n"/>
      <c r="K960" s="71" t="n"/>
      <c r="L960" s="71" t="n"/>
      <c r="M960" s="66" t="n"/>
      <c r="N960" s="80" t="n"/>
      <c r="O960" s="81" t="str">
        <f>IF(A960="","",ROUND(V960*IFERROR(N(INDEX(tech_rate,MATCH(M960,tech_name,0))),0),2))</f>
        <v/>
      </c>
      <c r="P960" s="80" t="n"/>
      <c r="Q960" s="81" t="str">
        <f>IF(A960="","",ROUND(Y960+O960+Z960,2))</f>
        <v/>
      </c>
      <c r="R960" s="79" t="str">
        <f>IF(A960="","",IF(S960=0,"Date manquante ou invalide",IF(C960="","Équipement manquant",IF(ISNA(MATCH(C960,eq_code,0)),"Équipement inconnu",IF(E960="","Type manquant",IF(AND(E960&lt;&gt;"Préventif",E960&lt;&gt;"Correctif",E960&lt;&gt;"Amélioratif"),"Type inconnu",IF(I960="","Statut manquant",IF(AND(I960&lt;&gt;"Terminée",I960&lt;&gt;"En cours",I960&lt;&gt;"À faire",I960&lt;&gt;"Annulée"),"Statut inconnu",IF(AND(E960="Préventif",F960=""),"Plan manquant (préventif)",IF(AND(F960&lt;&gt;"",ISNA(MATCH(F960,pl_num,0))),"Plan inconnu",IF(AND(F960&lt;&gt;"",IFERROR(INDEX(pl_eq,MATCH(F960,pl_num,0))&amp;"",C960)&lt;&gt;C960),"Plan d'un autre équipement",IF(AND(J960&lt;&gt;"",OR(NOT(ISNUMBER(J960)),N(J960)&lt;0)),"Compteur invalide",IF(OR(AND(K960&lt;&gt;"",OR(NOT(ISNUMBER(K960)),N(K960)&lt;0)),AND(L960&lt;&gt;"",OR(NOT(ISNUMBER(L960)),N(L960)&lt;0))),"Durée invalide",IF(OR(AND(N960&lt;&gt;"",OR(NOT(ISNUMBER(N960)),N(N960)&lt;0)),AND(P960&lt;&gt;"",OR(NOT(ISNUMBER(P960)),N(P960)&lt;0))),"Coût invalide",IF(AND(M960&lt;&gt;"",ISNA(MATCH(M960,tech_name,0))),"Technicien inconnu",IF(AND(I960="Terminée",S960&gt;p_today),"Terminée à une date future",IF(AND(I960="Terminée",V960=0),"Durée d'intervention manquante",IF(AND(I960="Terminée",E960="Préventif",T960=0,OR(IFERROR(INDEX(pl_trig,MATCH(F960,pl_num,0))&amp;"","")="Compteur",IFERROR(INDEX(pl_trig,MATCH(F960,pl_num,0))&amp;"","")="Au premier des deux")),"Compteur manquant (plan au compteur)","OK"))))))))))))))))))</f>
        <v/>
      </c>
      <c r="S960" s="67">
        <f>IF(AND(ISNUMBER(B960),N(B960)&gt;0),INT(B960),0)</f>
        <v>0.0</v>
      </c>
      <c r="T960" s="67">
        <f>IF(AND(ISNUMBER(J960),N(J960)&gt;=0),N(J960),0)</f>
        <v>0.0</v>
      </c>
      <c r="U960" s="67">
        <f>IF(AND(ISNUMBER(K960),N(K960)&gt;0),N(K960),0)</f>
        <v>0.0</v>
      </c>
      <c r="V960" s="67">
        <f>IF(AND(ISNUMBER(L960),N(L960)&gt;0),N(L960),0)</f>
        <v>0.0</v>
      </c>
      <c r="W960" s="67">
        <f>IF(AND(I960="Terminée",S960&gt;0,C960&lt;&gt;"",ISNUMBER(MATCH(C960,eq_code,0))),1,0)</f>
        <v>0.0</v>
      </c>
      <c r="X960" s="67">
        <f>IF(AND(W960=1,E960="Préventif"),1,0)</f>
        <v>0.0</v>
      </c>
      <c r="Y960" s="67">
        <f>IF(AND(ISNUMBER(N960),N(N960)&gt;0),N(N960),0)</f>
        <v>0.0</v>
      </c>
      <c r="Z960" s="67">
        <f>IF(AND(ISNUMBER(P960),N(P960)&gt;0),N(P960),0)</f>
        <v>0.0</v>
      </c>
    </row>
    <row r="961">
      <c r="A961" s="79" t="str">
        <f>IF(COUNTA(B961:C961,E961:G961,I961)=0,"","BI-"&amp;RIGHT("0000"&amp;(ROW()-5),4))</f>
        <v/>
      </c>
      <c r="B961" s="72" t="n"/>
      <c r="C961" s="66" t="n"/>
      <c r="D961" s="67" t="str">
        <f>IF(C961="","",IFERROR(INDEX(eq_des,MATCH(C961,eq_code,0))&amp;"","Équipement inconnu"))</f>
        <v/>
      </c>
      <c r="E961" s="68" t="n"/>
      <c r="F961" s="68" t="n"/>
      <c r="G961" s="66" t="n"/>
      <c r="H961" s="66" t="n"/>
      <c r="I961" s="68" t="n"/>
      <c r="J961" s="73" t="n"/>
      <c r="K961" s="71" t="n"/>
      <c r="L961" s="71" t="n"/>
      <c r="M961" s="66" t="n"/>
      <c r="N961" s="80" t="n"/>
      <c r="O961" s="81" t="str">
        <f>IF(A961="","",ROUND(V961*IFERROR(N(INDEX(tech_rate,MATCH(M961,tech_name,0))),0),2))</f>
        <v/>
      </c>
      <c r="P961" s="80" t="n"/>
      <c r="Q961" s="81" t="str">
        <f>IF(A961="","",ROUND(Y961+O961+Z961,2))</f>
        <v/>
      </c>
      <c r="R961" s="79" t="str">
        <f>IF(A961="","",IF(S961=0,"Date manquante ou invalide",IF(C961="","Équipement manquant",IF(ISNA(MATCH(C961,eq_code,0)),"Équipement inconnu",IF(E961="","Type manquant",IF(AND(E961&lt;&gt;"Préventif",E961&lt;&gt;"Correctif",E961&lt;&gt;"Amélioratif"),"Type inconnu",IF(I961="","Statut manquant",IF(AND(I961&lt;&gt;"Terminée",I961&lt;&gt;"En cours",I961&lt;&gt;"À faire",I961&lt;&gt;"Annulée"),"Statut inconnu",IF(AND(E961="Préventif",F961=""),"Plan manquant (préventif)",IF(AND(F961&lt;&gt;"",ISNA(MATCH(F961,pl_num,0))),"Plan inconnu",IF(AND(F961&lt;&gt;"",IFERROR(INDEX(pl_eq,MATCH(F961,pl_num,0))&amp;"",C961)&lt;&gt;C961),"Plan d'un autre équipement",IF(AND(J961&lt;&gt;"",OR(NOT(ISNUMBER(J961)),N(J961)&lt;0)),"Compteur invalide",IF(OR(AND(K961&lt;&gt;"",OR(NOT(ISNUMBER(K961)),N(K961)&lt;0)),AND(L961&lt;&gt;"",OR(NOT(ISNUMBER(L961)),N(L961)&lt;0))),"Durée invalide",IF(OR(AND(N961&lt;&gt;"",OR(NOT(ISNUMBER(N961)),N(N961)&lt;0)),AND(P961&lt;&gt;"",OR(NOT(ISNUMBER(P961)),N(P961)&lt;0))),"Coût invalide",IF(AND(M961&lt;&gt;"",ISNA(MATCH(M961,tech_name,0))),"Technicien inconnu",IF(AND(I961="Terminée",S961&gt;p_today),"Terminée à une date future",IF(AND(I961="Terminée",V961=0),"Durée d'intervention manquante",IF(AND(I961="Terminée",E961="Préventif",T961=0,OR(IFERROR(INDEX(pl_trig,MATCH(F961,pl_num,0))&amp;"","")="Compteur",IFERROR(INDEX(pl_trig,MATCH(F961,pl_num,0))&amp;"","")="Au premier des deux")),"Compteur manquant (plan au compteur)","OK"))))))))))))))))))</f>
        <v/>
      </c>
      <c r="S961" s="67">
        <f>IF(AND(ISNUMBER(B961),N(B961)&gt;0),INT(B961),0)</f>
        <v>0.0</v>
      </c>
      <c r="T961" s="67">
        <f>IF(AND(ISNUMBER(J961),N(J961)&gt;=0),N(J961),0)</f>
        <v>0.0</v>
      </c>
      <c r="U961" s="67">
        <f>IF(AND(ISNUMBER(K961),N(K961)&gt;0),N(K961),0)</f>
        <v>0.0</v>
      </c>
      <c r="V961" s="67">
        <f>IF(AND(ISNUMBER(L961),N(L961)&gt;0),N(L961),0)</f>
        <v>0.0</v>
      </c>
      <c r="W961" s="67">
        <f>IF(AND(I961="Terminée",S961&gt;0,C961&lt;&gt;"",ISNUMBER(MATCH(C961,eq_code,0))),1,0)</f>
        <v>0.0</v>
      </c>
      <c r="X961" s="67">
        <f>IF(AND(W961=1,E961="Préventif"),1,0)</f>
        <v>0.0</v>
      </c>
      <c r="Y961" s="67">
        <f>IF(AND(ISNUMBER(N961),N(N961)&gt;0),N(N961),0)</f>
        <v>0.0</v>
      </c>
      <c r="Z961" s="67">
        <f>IF(AND(ISNUMBER(P961),N(P961)&gt;0),N(P961),0)</f>
        <v>0.0</v>
      </c>
    </row>
    <row r="962">
      <c r="A962" s="79" t="str">
        <f>IF(COUNTA(B962:C962,E962:G962,I962)=0,"","BI-"&amp;RIGHT("0000"&amp;(ROW()-5),4))</f>
        <v/>
      </c>
      <c r="B962" s="72" t="n"/>
      <c r="C962" s="66" t="n"/>
      <c r="D962" s="67" t="str">
        <f>IF(C962="","",IFERROR(INDEX(eq_des,MATCH(C962,eq_code,0))&amp;"","Équipement inconnu"))</f>
        <v/>
      </c>
      <c r="E962" s="68" t="n"/>
      <c r="F962" s="68" t="n"/>
      <c r="G962" s="66" t="n"/>
      <c r="H962" s="66" t="n"/>
      <c r="I962" s="68" t="n"/>
      <c r="J962" s="73" t="n"/>
      <c r="K962" s="71" t="n"/>
      <c r="L962" s="71" t="n"/>
      <c r="M962" s="66" t="n"/>
      <c r="N962" s="80" t="n"/>
      <c r="O962" s="81" t="str">
        <f>IF(A962="","",ROUND(V962*IFERROR(N(INDEX(tech_rate,MATCH(M962,tech_name,0))),0),2))</f>
        <v/>
      </c>
      <c r="P962" s="80" t="n"/>
      <c r="Q962" s="81" t="str">
        <f>IF(A962="","",ROUND(Y962+O962+Z962,2))</f>
        <v/>
      </c>
      <c r="R962" s="79" t="str">
        <f>IF(A962="","",IF(S962=0,"Date manquante ou invalide",IF(C962="","Équipement manquant",IF(ISNA(MATCH(C962,eq_code,0)),"Équipement inconnu",IF(E962="","Type manquant",IF(AND(E962&lt;&gt;"Préventif",E962&lt;&gt;"Correctif",E962&lt;&gt;"Amélioratif"),"Type inconnu",IF(I962="","Statut manquant",IF(AND(I962&lt;&gt;"Terminée",I962&lt;&gt;"En cours",I962&lt;&gt;"À faire",I962&lt;&gt;"Annulée"),"Statut inconnu",IF(AND(E962="Préventif",F962=""),"Plan manquant (préventif)",IF(AND(F962&lt;&gt;"",ISNA(MATCH(F962,pl_num,0))),"Plan inconnu",IF(AND(F962&lt;&gt;"",IFERROR(INDEX(pl_eq,MATCH(F962,pl_num,0))&amp;"",C962)&lt;&gt;C962),"Plan d'un autre équipement",IF(AND(J962&lt;&gt;"",OR(NOT(ISNUMBER(J962)),N(J962)&lt;0)),"Compteur invalide",IF(OR(AND(K962&lt;&gt;"",OR(NOT(ISNUMBER(K962)),N(K962)&lt;0)),AND(L962&lt;&gt;"",OR(NOT(ISNUMBER(L962)),N(L962)&lt;0))),"Durée invalide",IF(OR(AND(N962&lt;&gt;"",OR(NOT(ISNUMBER(N962)),N(N962)&lt;0)),AND(P962&lt;&gt;"",OR(NOT(ISNUMBER(P962)),N(P962)&lt;0))),"Coût invalide",IF(AND(M962&lt;&gt;"",ISNA(MATCH(M962,tech_name,0))),"Technicien inconnu",IF(AND(I962="Terminée",S962&gt;p_today),"Terminée à une date future",IF(AND(I962="Terminée",V962=0),"Durée d'intervention manquante",IF(AND(I962="Terminée",E962="Préventif",T962=0,OR(IFERROR(INDEX(pl_trig,MATCH(F962,pl_num,0))&amp;"","")="Compteur",IFERROR(INDEX(pl_trig,MATCH(F962,pl_num,0))&amp;"","")="Au premier des deux")),"Compteur manquant (plan au compteur)","OK"))))))))))))))))))</f>
        <v/>
      </c>
      <c r="S962" s="67">
        <f>IF(AND(ISNUMBER(B962),N(B962)&gt;0),INT(B962),0)</f>
        <v>0.0</v>
      </c>
      <c r="T962" s="67">
        <f>IF(AND(ISNUMBER(J962),N(J962)&gt;=0),N(J962),0)</f>
        <v>0.0</v>
      </c>
      <c r="U962" s="67">
        <f>IF(AND(ISNUMBER(K962),N(K962)&gt;0),N(K962),0)</f>
        <v>0.0</v>
      </c>
      <c r="V962" s="67">
        <f>IF(AND(ISNUMBER(L962),N(L962)&gt;0),N(L962),0)</f>
        <v>0.0</v>
      </c>
      <c r="W962" s="67">
        <f>IF(AND(I962="Terminée",S962&gt;0,C962&lt;&gt;"",ISNUMBER(MATCH(C962,eq_code,0))),1,0)</f>
        <v>0.0</v>
      </c>
      <c r="X962" s="67">
        <f>IF(AND(W962=1,E962="Préventif"),1,0)</f>
        <v>0.0</v>
      </c>
      <c r="Y962" s="67">
        <f>IF(AND(ISNUMBER(N962),N(N962)&gt;0),N(N962),0)</f>
        <v>0.0</v>
      </c>
      <c r="Z962" s="67">
        <f>IF(AND(ISNUMBER(P962),N(P962)&gt;0),N(P962),0)</f>
        <v>0.0</v>
      </c>
    </row>
    <row r="963">
      <c r="A963" s="79" t="str">
        <f>IF(COUNTA(B963:C963,E963:G963,I963)=0,"","BI-"&amp;RIGHT("0000"&amp;(ROW()-5),4))</f>
        <v/>
      </c>
      <c r="B963" s="72" t="n"/>
      <c r="C963" s="66" t="n"/>
      <c r="D963" s="67" t="str">
        <f>IF(C963="","",IFERROR(INDEX(eq_des,MATCH(C963,eq_code,0))&amp;"","Équipement inconnu"))</f>
        <v/>
      </c>
      <c r="E963" s="68" t="n"/>
      <c r="F963" s="68" t="n"/>
      <c r="G963" s="66" t="n"/>
      <c r="H963" s="66" t="n"/>
      <c r="I963" s="68" t="n"/>
      <c r="J963" s="73" t="n"/>
      <c r="K963" s="71" t="n"/>
      <c r="L963" s="71" t="n"/>
      <c r="M963" s="66" t="n"/>
      <c r="N963" s="80" t="n"/>
      <c r="O963" s="81" t="str">
        <f>IF(A963="","",ROUND(V963*IFERROR(N(INDEX(tech_rate,MATCH(M963,tech_name,0))),0),2))</f>
        <v/>
      </c>
      <c r="P963" s="80" t="n"/>
      <c r="Q963" s="81" t="str">
        <f>IF(A963="","",ROUND(Y963+O963+Z963,2))</f>
        <v/>
      </c>
      <c r="R963" s="79" t="str">
        <f>IF(A963="","",IF(S963=0,"Date manquante ou invalide",IF(C963="","Équipement manquant",IF(ISNA(MATCH(C963,eq_code,0)),"Équipement inconnu",IF(E963="","Type manquant",IF(AND(E963&lt;&gt;"Préventif",E963&lt;&gt;"Correctif",E963&lt;&gt;"Amélioratif"),"Type inconnu",IF(I963="","Statut manquant",IF(AND(I963&lt;&gt;"Terminée",I963&lt;&gt;"En cours",I963&lt;&gt;"À faire",I963&lt;&gt;"Annulée"),"Statut inconnu",IF(AND(E963="Préventif",F963=""),"Plan manquant (préventif)",IF(AND(F963&lt;&gt;"",ISNA(MATCH(F963,pl_num,0))),"Plan inconnu",IF(AND(F963&lt;&gt;"",IFERROR(INDEX(pl_eq,MATCH(F963,pl_num,0))&amp;"",C963)&lt;&gt;C963),"Plan d'un autre équipement",IF(AND(J963&lt;&gt;"",OR(NOT(ISNUMBER(J963)),N(J963)&lt;0)),"Compteur invalide",IF(OR(AND(K963&lt;&gt;"",OR(NOT(ISNUMBER(K963)),N(K963)&lt;0)),AND(L963&lt;&gt;"",OR(NOT(ISNUMBER(L963)),N(L963)&lt;0))),"Durée invalide",IF(OR(AND(N963&lt;&gt;"",OR(NOT(ISNUMBER(N963)),N(N963)&lt;0)),AND(P963&lt;&gt;"",OR(NOT(ISNUMBER(P963)),N(P963)&lt;0))),"Coût invalide",IF(AND(M963&lt;&gt;"",ISNA(MATCH(M963,tech_name,0))),"Technicien inconnu",IF(AND(I963="Terminée",S963&gt;p_today),"Terminée à une date future",IF(AND(I963="Terminée",V963=0),"Durée d'intervention manquante",IF(AND(I963="Terminée",E963="Préventif",T963=0,OR(IFERROR(INDEX(pl_trig,MATCH(F963,pl_num,0))&amp;"","")="Compteur",IFERROR(INDEX(pl_trig,MATCH(F963,pl_num,0))&amp;"","")="Au premier des deux")),"Compteur manquant (plan au compteur)","OK"))))))))))))))))))</f>
        <v/>
      </c>
      <c r="S963" s="67">
        <f>IF(AND(ISNUMBER(B963),N(B963)&gt;0),INT(B963),0)</f>
        <v>0.0</v>
      </c>
      <c r="T963" s="67">
        <f>IF(AND(ISNUMBER(J963),N(J963)&gt;=0),N(J963),0)</f>
        <v>0.0</v>
      </c>
      <c r="U963" s="67">
        <f>IF(AND(ISNUMBER(K963),N(K963)&gt;0),N(K963),0)</f>
        <v>0.0</v>
      </c>
      <c r="V963" s="67">
        <f>IF(AND(ISNUMBER(L963),N(L963)&gt;0),N(L963),0)</f>
        <v>0.0</v>
      </c>
      <c r="W963" s="67">
        <f>IF(AND(I963="Terminée",S963&gt;0,C963&lt;&gt;"",ISNUMBER(MATCH(C963,eq_code,0))),1,0)</f>
        <v>0.0</v>
      </c>
      <c r="X963" s="67">
        <f>IF(AND(W963=1,E963="Préventif"),1,0)</f>
        <v>0.0</v>
      </c>
      <c r="Y963" s="67">
        <f>IF(AND(ISNUMBER(N963),N(N963)&gt;0),N(N963),0)</f>
        <v>0.0</v>
      </c>
      <c r="Z963" s="67">
        <f>IF(AND(ISNUMBER(P963),N(P963)&gt;0),N(P963),0)</f>
        <v>0.0</v>
      </c>
    </row>
    <row r="964">
      <c r="A964" s="79" t="str">
        <f>IF(COUNTA(B964:C964,E964:G964,I964)=0,"","BI-"&amp;RIGHT("0000"&amp;(ROW()-5),4))</f>
        <v/>
      </c>
      <c r="B964" s="72" t="n"/>
      <c r="C964" s="66" t="n"/>
      <c r="D964" s="67" t="str">
        <f>IF(C964="","",IFERROR(INDEX(eq_des,MATCH(C964,eq_code,0))&amp;"","Équipement inconnu"))</f>
        <v/>
      </c>
      <c r="E964" s="68" t="n"/>
      <c r="F964" s="68" t="n"/>
      <c r="G964" s="66" t="n"/>
      <c r="H964" s="66" t="n"/>
      <c r="I964" s="68" t="n"/>
      <c r="J964" s="73" t="n"/>
      <c r="K964" s="71" t="n"/>
      <c r="L964" s="71" t="n"/>
      <c r="M964" s="66" t="n"/>
      <c r="N964" s="80" t="n"/>
      <c r="O964" s="81" t="str">
        <f>IF(A964="","",ROUND(V964*IFERROR(N(INDEX(tech_rate,MATCH(M964,tech_name,0))),0),2))</f>
        <v/>
      </c>
      <c r="P964" s="80" t="n"/>
      <c r="Q964" s="81" t="str">
        <f>IF(A964="","",ROUND(Y964+O964+Z964,2))</f>
        <v/>
      </c>
      <c r="R964" s="79" t="str">
        <f>IF(A964="","",IF(S964=0,"Date manquante ou invalide",IF(C964="","Équipement manquant",IF(ISNA(MATCH(C964,eq_code,0)),"Équipement inconnu",IF(E964="","Type manquant",IF(AND(E964&lt;&gt;"Préventif",E964&lt;&gt;"Correctif",E964&lt;&gt;"Amélioratif"),"Type inconnu",IF(I964="","Statut manquant",IF(AND(I964&lt;&gt;"Terminée",I964&lt;&gt;"En cours",I964&lt;&gt;"À faire",I964&lt;&gt;"Annulée"),"Statut inconnu",IF(AND(E964="Préventif",F964=""),"Plan manquant (préventif)",IF(AND(F964&lt;&gt;"",ISNA(MATCH(F964,pl_num,0))),"Plan inconnu",IF(AND(F964&lt;&gt;"",IFERROR(INDEX(pl_eq,MATCH(F964,pl_num,0))&amp;"",C964)&lt;&gt;C964),"Plan d'un autre équipement",IF(AND(J964&lt;&gt;"",OR(NOT(ISNUMBER(J964)),N(J964)&lt;0)),"Compteur invalide",IF(OR(AND(K964&lt;&gt;"",OR(NOT(ISNUMBER(K964)),N(K964)&lt;0)),AND(L964&lt;&gt;"",OR(NOT(ISNUMBER(L964)),N(L964)&lt;0))),"Durée invalide",IF(OR(AND(N964&lt;&gt;"",OR(NOT(ISNUMBER(N964)),N(N964)&lt;0)),AND(P964&lt;&gt;"",OR(NOT(ISNUMBER(P964)),N(P964)&lt;0))),"Coût invalide",IF(AND(M964&lt;&gt;"",ISNA(MATCH(M964,tech_name,0))),"Technicien inconnu",IF(AND(I964="Terminée",S964&gt;p_today),"Terminée à une date future",IF(AND(I964="Terminée",V964=0),"Durée d'intervention manquante",IF(AND(I964="Terminée",E964="Préventif",T964=0,OR(IFERROR(INDEX(pl_trig,MATCH(F964,pl_num,0))&amp;"","")="Compteur",IFERROR(INDEX(pl_trig,MATCH(F964,pl_num,0))&amp;"","")="Au premier des deux")),"Compteur manquant (plan au compteur)","OK"))))))))))))))))))</f>
        <v/>
      </c>
      <c r="S964" s="67">
        <f>IF(AND(ISNUMBER(B964),N(B964)&gt;0),INT(B964),0)</f>
        <v>0.0</v>
      </c>
      <c r="T964" s="67">
        <f>IF(AND(ISNUMBER(J964),N(J964)&gt;=0),N(J964),0)</f>
        <v>0.0</v>
      </c>
      <c r="U964" s="67">
        <f>IF(AND(ISNUMBER(K964),N(K964)&gt;0),N(K964),0)</f>
        <v>0.0</v>
      </c>
      <c r="V964" s="67">
        <f>IF(AND(ISNUMBER(L964),N(L964)&gt;0),N(L964),0)</f>
        <v>0.0</v>
      </c>
      <c r="W964" s="67">
        <f>IF(AND(I964="Terminée",S964&gt;0,C964&lt;&gt;"",ISNUMBER(MATCH(C964,eq_code,0))),1,0)</f>
        <v>0.0</v>
      </c>
      <c r="X964" s="67">
        <f>IF(AND(W964=1,E964="Préventif"),1,0)</f>
        <v>0.0</v>
      </c>
      <c r="Y964" s="67">
        <f>IF(AND(ISNUMBER(N964),N(N964)&gt;0),N(N964),0)</f>
        <v>0.0</v>
      </c>
      <c r="Z964" s="67">
        <f>IF(AND(ISNUMBER(P964),N(P964)&gt;0),N(P964),0)</f>
        <v>0.0</v>
      </c>
    </row>
    <row r="965">
      <c r="A965" s="79" t="str">
        <f>IF(COUNTA(B965:C965,E965:G965,I965)=0,"","BI-"&amp;RIGHT("0000"&amp;(ROW()-5),4))</f>
        <v/>
      </c>
      <c r="B965" s="72" t="n"/>
      <c r="C965" s="66" t="n"/>
      <c r="D965" s="67" t="str">
        <f>IF(C965="","",IFERROR(INDEX(eq_des,MATCH(C965,eq_code,0))&amp;"","Équipement inconnu"))</f>
        <v/>
      </c>
      <c r="E965" s="68" t="n"/>
      <c r="F965" s="68" t="n"/>
      <c r="G965" s="66" t="n"/>
      <c r="H965" s="66" t="n"/>
      <c r="I965" s="68" t="n"/>
      <c r="J965" s="73" t="n"/>
      <c r="K965" s="71" t="n"/>
      <c r="L965" s="71" t="n"/>
      <c r="M965" s="66" t="n"/>
      <c r="N965" s="80" t="n"/>
      <c r="O965" s="81" t="str">
        <f>IF(A965="","",ROUND(V965*IFERROR(N(INDEX(tech_rate,MATCH(M965,tech_name,0))),0),2))</f>
        <v/>
      </c>
      <c r="P965" s="80" t="n"/>
      <c r="Q965" s="81" t="str">
        <f>IF(A965="","",ROUND(Y965+O965+Z965,2))</f>
        <v/>
      </c>
      <c r="R965" s="79" t="str">
        <f>IF(A965="","",IF(S965=0,"Date manquante ou invalide",IF(C965="","Équipement manquant",IF(ISNA(MATCH(C965,eq_code,0)),"Équipement inconnu",IF(E965="","Type manquant",IF(AND(E965&lt;&gt;"Préventif",E965&lt;&gt;"Correctif",E965&lt;&gt;"Amélioratif"),"Type inconnu",IF(I965="","Statut manquant",IF(AND(I965&lt;&gt;"Terminée",I965&lt;&gt;"En cours",I965&lt;&gt;"À faire",I965&lt;&gt;"Annulée"),"Statut inconnu",IF(AND(E965="Préventif",F965=""),"Plan manquant (préventif)",IF(AND(F965&lt;&gt;"",ISNA(MATCH(F965,pl_num,0))),"Plan inconnu",IF(AND(F965&lt;&gt;"",IFERROR(INDEX(pl_eq,MATCH(F965,pl_num,0))&amp;"",C965)&lt;&gt;C965),"Plan d'un autre équipement",IF(AND(J965&lt;&gt;"",OR(NOT(ISNUMBER(J965)),N(J965)&lt;0)),"Compteur invalide",IF(OR(AND(K965&lt;&gt;"",OR(NOT(ISNUMBER(K965)),N(K965)&lt;0)),AND(L965&lt;&gt;"",OR(NOT(ISNUMBER(L965)),N(L965)&lt;0))),"Durée invalide",IF(OR(AND(N965&lt;&gt;"",OR(NOT(ISNUMBER(N965)),N(N965)&lt;0)),AND(P965&lt;&gt;"",OR(NOT(ISNUMBER(P965)),N(P965)&lt;0))),"Coût invalide",IF(AND(M965&lt;&gt;"",ISNA(MATCH(M965,tech_name,0))),"Technicien inconnu",IF(AND(I965="Terminée",S965&gt;p_today),"Terminée à une date future",IF(AND(I965="Terminée",V965=0),"Durée d'intervention manquante",IF(AND(I965="Terminée",E965="Préventif",T965=0,OR(IFERROR(INDEX(pl_trig,MATCH(F965,pl_num,0))&amp;"","")="Compteur",IFERROR(INDEX(pl_trig,MATCH(F965,pl_num,0))&amp;"","")="Au premier des deux")),"Compteur manquant (plan au compteur)","OK"))))))))))))))))))</f>
        <v/>
      </c>
      <c r="S965" s="67">
        <f>IF(AND(ISNUMBER(B965),N(B965)&gt;0),INT(B965),0)</f>
        <v>0.0</v>
      </c>
      <c r="T965" s="67">
        <f>IF(AND(ISNUMBER(J965),N(J965)&gt;=0),N(J965),0)</f>
        <v>0.0</v>
      </c>
      <c r="U965" s="67">
        <f>IF(AND(ISNUMBER(K965),N(K965)&gt;0),N(K965),0)</f>
        <v>0.0</v>
      </c>
      <c r="V965" s="67">
        <f>IF(AND(ISNUMBER(L965),N(L965)&gt;0),N(L965),0)</f>
        <v>0.0</v>
      </c>
      <c r="W965" s="67">
        <f>IF(AND(I965="Terminée",S965&gt;0,C965&lt;&gt;"",ISNUMBER(MATCH(C965,eq_code,0))),1,0)</f>
        <v>0.0</v>
      </c>
      <c r="X965" s="67">
        <f>IF(AND(W965=1,E965="Préventif"),1,0)</f>
        <v>0.0</v>
      </c>
      <c r="Y965" s="67">
        <f>IF(AND(ISNUMBER(N965),N(N965)&gt;0),N(N965),0)</f>
        <v>0.0</v>
      </c>
      <c r="Z965" s="67">
        <f>IF(AND(ISNUMBER(P965),N(P965)&gt;0),N(P965),0)</f>
        <v>0.0</v>
      </c>
    </row>
    <row r="966">
      <c r="A966" s="79" t="str">
        <f>IF(COUNTA(B966:C966,E966:G966,I966)=0,"","BI-"&amp;RIGHT("0000"&amp;(ROW()-5),4))</f>
        <v/>
      </c>
      <c r="B966" s="72" t="n"/>
      <c r="C966" s="66" t="n"/>
      <c r="D966" s="67" t="str">
        <f>IF(C966="","",IFERROR(INDEX(eq_des,MATCH(C966,eq_code,0))&amp;"","Équipement inconnu"))</f>
        <v/>
      </c>
      <c r="E966" s="68" t="n"/>
      <c r="F966" s="68" t="n"/>
      <c r="G966" s="66" t="n"/>
      <c r="H966" s="66" t="n"/>
      <c r="I966" s="68" t="n"/>
      <c r="J966" s="73" t="n"/>
      <c r="K966" s="71" t="n"/>
      <c r="L966" s="71" t="n"/>
      <c r="M966" s="66" t="n"/>
      <c r="N966" s="80" t="n"/>
      <c r="O966" s="81" t="str">
        <f>IF(A966="","",ROUND(V966*IFERROR(N(INDEX(tech_rate,MATCH(M966,tech_name,0))),0),2))</f>
        <v/>
      </c>
      <c r="P966" s="80" t="n"/>
      <c r="Q966" s="81" t="str">
        <f>IF(A966="","",ROUND(Y966+O966+Z966,2))</f>
        <v/>
      </c>
      <c r="R966" s="79" t="str">
        <f>IF(A966="","",IF(S966=0,"Date manquante ou invalide",IF(C966="","Équipement manquant",IF(ISNA(MATCH(C966,eq_code,0)),"Équipement inconnu",IF(E966="","Type manquant",IF(AND(E966&lt;&gt;"Préventif",E966&lt;&gt;"Correctif",E966&lt;&gt;"Amélioratif"),"Type inconnu",IF(I966="","Statut manquant",IF(AND(I966&lt;&gt;"Terminée",I966&lt;&gt;"En cours",I966&lt;&gt;"À faire",I966&lt;&gt;"Annulée"),"Statut inconnu",IF(AND(E966="Préventif",F966=""),"Plan manquant (préventif)",IF(AND(F966&lt;&gt;"",ISNA(MATCH(F966,pl_num,0))),"Plan inconnu",IF(AND(F966&lt;&gt;"",IFERROR(INDEX(pl_eq,MATCH(F966,pl_num,0))&amp;"",C966)&lt;&gt;C966),"Plan d'un autre équipement",IF(AND(J966&lt;&gt;"",OR(NOT(ISNUMBER(J966)),N(J966)&lt;0)),"Compteur invalide",IF(OR(AND(K966&lt;&gt;"",OR(NOT(ISNUMBER(K966)),N(K966)&lt;0)),AND(L966&lt;&gt;"",OR(NOT(ISNUMBER(L966)),N(L966)&lt;0))),"Durée invalide",IF(OR(AND(N966&lt;&gt;"",OR(NOT(ISNUMBER(N966)),N(N966)&lt;0)),AND(P966&lt;&gt;"",OR(NOT(ISNUMBER(P966)),N(P966)&lt;0))),"Coût invalide",IF(AND(M966&lt;&gt;"",ISNA(MATCH(M966,tech_name,0))),"Technicien inconnu",IF(AND(I966="Terminée",S966&gt;p_today),"Terminée à une date future",IF(AND(I966="Terminée",V966=0),"Durée d'intervention manquante",IF(AND(I966="Terminée",E966="Préventif",T966=0,OR(IFERROR(INDEX(pl_trig,MATCH(F966,pl_num,0))&amp;"","")="Compteur",IFERROR(INDEX(pl_trig,MATCH(F966,pl_num,0))&amp;"","")="Au premier des deux")),"Compteur manquant (plan au compteur)","OK"))))))))))))))))))</f>
        <v/>
      </c>
      <c r="S966" s="67">
        <f>IF(AND(ISNUMBER(B966),N(B966)&gt;0),INT(B966),0)</f>
        <v>0.0</v>
      </c>
      <c r="T966" s="67">
        <f>IF(AND(ISNUMBER(J966),N(J966)&gt;=0),N(J966),0)</f>
        <v>0.0</v>
      </c>
      <c r="U966" s="67">
        <f>IF(AND(ISNUMBER(K966),N(K966)&gt;0),N(K966),0)</f>
        <v>0.0</v>
      </c>
      <c r="V966" s="67">
        <f>IF(AND(ISNUMBER(L966),N(L966)&gt;0),N(L966),0)</f>
        <v>0.0</v>
      </c>
      <c r="W966" s="67">
        <f>IF(AND(I966="Terminée",S966&gt;0,C966&lt;&gt;"",ISNUMBER(MATCH(C966,eq_code,0))),1,0)</f>
        <v>0.0</v>
      </c>
      <c r="X966" s="67">
        <f>IF(AND(W966=1,E966="Préventif"),1,0)</f>
        <v>0.0</v>
      </c>
      <c r="Y966" s="67">
        <f>IF(AND(ISNUMBER(N966),N(N966)&gt;0),N(N966),0)</f>
        <v>0.0</v>
      </c>
      <c r="Z966" s="67">
        <f>IF(AND(ISNUMBER(P966),N(P966)&gt;0),N(P966),0)</f>
        <v>0.0</v>
      </c>
    </row>
    <row r="967">
      <c r="A967" s="79" t="str">
        <f>IF(COUNTA(B967:C967,E967:G967,I967)=0,"","BI-"&amp;RIGHT("0000"&amp;(ROW()-5),4))</f>
        <v/>
      </c>
      <c r="B967" s="72" t="n"/>
      <c r="C967" s="66" t="n"/>
      <c r="D967" s="67" t="str">
        <f>IF(C967="","",IFERROR(INDEX(eq_des,MATCH(C967,eq_code,0))&amp;"","Équipement inconnu"))</f>
        <v/>
      </c>
      <c r="E967" s="68" t="n"/>
      <c r="F967" s="68" t="n"/>
      <c r="G967" s="66" t="n"/>
      <c r="H967" s="66" t="n"/>
      <c r="I967" s="68" t="n"/>
      <c r="J967" s="73" t="n"/>
      <c r="K967" s="71" t="n"/>
      <c r="L967" s="71" t="n"/>
      <c r="M967" s="66" t="n"/>
      <c r="N967" s="80" t="n"/>
      <c r="O967" s="81" t="str">
        <f>IF(A967="","",ROUND(V967*IFERROR(N(INDEX(tech_rate,MATCH(M967,tech_name,0))),0),2))</f>
        <v/>
      </c>
      <c r="P967" s="80" t="n"/>
      <c r="Q967" s="81" t="str">
        <f>IF(A967="","",ROUND(Y967+O967+Z967,2))</f>
        <v/>
      </c>
      <c r="R967" s="79" t="str">
        <f>IF(A967="","",IF(S967=0,"Date manquante ou invalide",IF(C967="","Équipement manquant",IF(ISNA(MATCH(C967,eq_code,0)),"Équipement inconnu",IF(E967="","Type manquant",IF(AND(E967&lt;&gt;"Préventif",E967&lt;&gt;"Correctif",E967&lt;&gt;"Amélioratif"),"Type inconnu",IF(I967="","Statut manquant",IF(AND(I967&lt;&gt;"Terminée",I967&lt;&gt;"En cours",I967&lt;&gt;"À faire",I967&lt;&gt;"Annulée"),"Statut inconnu",IF(AND(E967="Préventif",F967=""),"Plan manquant (préventif)",IF(AND(F967&lt;&gt;"",ISNA(MATCH(F967,pl_num,0))),"Plan inconnu",IF(AND(F967&lt;&gt;"",IFERROR(INDEX(pl_eq,MATCH(F967,pl_num,0))&amp;"",C967)&lt;&gt;C967),"Plan d'un autre équipement",IF(AND(J967&lt;&gt;"",OR(NOT(ISNUMBER(J967)),N(J967)&lt;0)),"Compteur invalide",IF(OR(AND(K967&lt;&gt;"",OR(NOT(ISNUMBER(K967)),N(K967)&lt;0)),AND(L967&lt;&gt;"",OR(NOT(ISNUMBER(L967)),N(L967)&lt;0))),"Durée invalide",IF(OR(AND(N967&lt;&gt;"",OR(NOT(ISNUMBER(N967)),N(N967)&lt;0)),AND(P967&lt;&gt;"",OR(NOT(ISNUMBER(P967)),N(P967)&lt;0))),"Coût invalide",IF(AND(M967&lt;&gt;"",ISNA(MATCH(M967,tech_name,0))),"Technicien inconnu",IF(AND(I967="Terminée",S967&gt;p_today),"Terminée à une date future",IF(AND(I967="Terminée",V967=0),"Durée d'intervention manquante",IF(AND(I967="Terminée",E967="Préventif",T967=0,OR(IFERROR(INDEX(pl_trig,MATCH(F967,pl_num,0))&amp;"","")="Compteur",IFERROR(INDEX(pl_trig,MATCH(F967,pl_num,0))&amp;"","")="Au premier des deux")),"Compteur manquant (plan au compteur)","OK"))))))))))))))))))</f>
        <v/>
      </c>
      <c r="S967" s="67">
        <f>IF(AND(ISNUMBER(B967),N(B967)&gt;0),INT(B967),0)</f>
        <v>0.0</v>
      </c>
      <c r="T967" s="67">
        <f>IF(AND(ISNUMBER(J967),N(J967)&gt;=0),N(J967),0)</f>
        <v>0.0</v>
      </c>
      <c r="U967" s="67">
        <f>IF(AND(ISNUMBER(K967),N(K967)&gt;0),N(K967),0)</f>
        <v>0.0</v>
      </c>
      <c r="V967" s="67">
        <f>IF(AND(ISNUMBER(L967),N(L967)&gt;0),N(L967),0)</f>
        <v>0.0</v>
      </c>
      <c r="W967" s="67">
        <f>IF(AND(I967="Terminée",S967&gt;0,C967&lt;&gt;"",ISNUMBER(MATCH(C967,eq_code,0))),1,0)</f>
        <v>0.0</v>
      </c>
      <c r="X967" s="67">
        <f>IF(AND(W967=1,E967="Préventif"),1,0)</f>
        <v>0.0</v>
      </c>
      <c r="Y967" s="67">
        <f>IF(AND(ISNUMBER(N967),N(N967)&gt;0),N(N967),0)</f>
        <v>0.0</v>
      </c>
      <c r="Z967" s="67">
        <f>IF(AND(ISNUMBER(P967),N(P967)&gt;0),N(P967),0)</f>
        <v>0.0</v>
      </c>
    </row>
    <row r="968">
      <c r="A968" s="79" t="str">
        <f>IF(COUNTA(B968:C968,E968:G968,I968)=0,"","BI-"&amp;RIGHT("0000"&amp;(ROW()-5),4))</f>
        <v/>
      </c>
      <c r="B968" s="72" t="n"/>
      <c r="C968" s="66" t="n"/>
      <c r="D968" s="67" t="str">
        <f>IF(C968="","",IFERROR(INDEX(eq_des,MATCH(C968,eq_code,0))&amp;"","Équipement inconnu"))</f>
        <v/>
      </c>
      <c r="E968" s="68" t="n"/>
      <c r="F968" s="68" t="n"/>
      <c r="G968" s="66" t="n"/>
      <c r="H968" s="66" t="n"/>
      <c r="I968" s="68" t="n"/>
      <c r="J968" s="73" t="n"/>
      <c r="K968" s="71" t="n"/>
      <c r="L968" s="71" t="n"/>
      <c r="M968" s="66" t="n"/>
      <c r="N968" s="80" t="n"/>
      <c r="O968" s="81" t="str">
        <f>IF(A968="","",ROUND(V968*IFERROR(N(INDEX(tech_rate,MATCH(M968,tech_name,0))),0),2))</f>
        <v/>
      </c>
      <c r="P968" s="80" t="n"/>
      <c r="Q968" s="81" t="str">
        <f>IF(A968="","",ROUND(Y968+O968+Z968,2))</f>
        <v/>
      </c>
      <c r="R968" s="79" t="str">
        <f>IF(A968="","",IF(S968=0,"Date manquante ou invalide",IF(C968="","Équipement manquant",IF(ISNA(MATCH(C968,eq_code,0)),"Équipement inconnu",IF(E968="","Type manquant",IF(AND(E968&lt;&gt;"Préventif",E968&lt;&gt;"Correctif",E968&lt;&gt;"Amélioratif"),"Type inconnu",IF(I968="","Statut manquant",IF(AND(I968&lt;&gt;"Terminée",I968&lt;&gt;"En cours",I968&lt;&gt;"À faire",I968&lt;&gt;"Annulée"),"Statut inconnu",IF(AND(E968="Préventif",F968=""),"Plan manquant (préventif)",IF(AND(F968&lt;&gt;"",ISNA(MATCH(F968,pl_num,0))),"Plan inconnu",IF(AND(F968&lt;&gt;"",IFERROR(INDEX(pl_eq,MATCH(F968,pl_num,0))&amp;"",C968)&lt;&gt;C968),"Plan d'un autre équipement",IF(AND(J968&lt;&gt;"",OR(NOT(ISNUMBER(J968)),N(J968)&lt;0)),"Compteur invalide",IF(OR(AND(K968&lt;&gt;"",OR(NOT(ISNUMBER(K968)),N(K968)&lt;0)),AND(L968&lt;&gt;"",OR(NOT(ISNUMBER(L968)),N(L968)&lt;0))),"Durée invalide",IF(OR(AND(N968&lt;&gt;"",OR(NOT(ISNUMBER(N968)),N(N968)&lt;0)),AND(P968&lt;&gt;"",OR(NOT(ISNUMBER(P968)),N(P968)&lt;0))),"Coût invalide",IF(AND(M968&lt;&gt;"",ISNA(MATCH(M968,tech_name,0))),"Technicien inconnu",IF(AND(I968="Terminée",S968&gt;p_today),"Terminée à une date future",IF(AND(I968="Terminée",V968=0),"Durée d'intervention manquante",IF(AND(I968="Terminée",E968="Préventif",T968=0,OR(IFERROR(INDEX(pl_trig,MATCH(F968,pl_num,0))&amp;"","")="Compteur",IFERROR(INDEX(pl_trig,MATCH(F968,pl_num,0))&amp;"","")="Au premier des deux")),"Compteur manquant (plan au compteur)","OK"))))))))))))))))))</f>
        <v/>
      </c>
      <c r="S968" s="67">
        <f>IF(AND(ISNUMBER(B968),N(B968)&gt;0),INT(B968),0)</f>
        <v>0.0</v>
      </c>
      <c r="T968" s="67">
        <f>IF(AND(ISNUMBER(J968),N(J968)&gt;=0),N(J968),0)</f>
        <v>0.0</v>
      </c>
      <c r="U968" s="67">
        <f>IF(AND(ISNUMBER(K968),N(K968)&gt;0),N(K968),0)</f>
        <v>0.0</v>
      </c>
      <c r="V968" s="67">
        <f>IF(AND(ISNUMBER(L968),N(L968)&gt;0),N(L968),0)</f>
        <v>0.0</v>
      </c>
      <c r="W968" s="67">
        <f>IF(AND(I968="Terminée",S968&gt;0,C968&lt;&gt;"",ISNUMBER(MATCH(C968,eq_code,0))),1,0)</f>
        <v>0.0</v>
      </c>
      <c r="X968" s="67">
        <f>IF(AND(W968=1,E968="Préventif"),1,0)</f>
        <v>0.0</v>
      </c>
      <c r="Y968" s="67">
        <f>IF(AND(ISNUMBER(N968),N(N968)&gt;0),N(N968),0)</f>
        <v>0.0</v>
      </c>
      <c r="Z968" s="67">
        <f>IF(AND(ISNUMBER(P968),N(P968)&gt;0),N(P968),0)</f>
        <v>0.0</v>
      </c>
    </row>
    <row r="969">
      <c r="A969" s="79" t="str">
        <f>IF(COUNTA(B969:C969,E969:G969,I969)=0,"","BI-"&amp;RIGHT("0000"&amp;(ROW()-5),4))</f>
        <v/>
      </c>
      <c r="B969" s="72" t="n"/>
      <c r="C969" s="66" t="n"/>
      <c r="D969" s="67" t="str">
        <f>IF(C969="","",IFERROR(INDEX(eq_des,MATCH(C969,eq_code,0))&amp;"","Équipement inconnu"))</f>
        <v/>
      </c>
      <c r="E969" s="68" t="n"/>
      <c r="F969" s="68" t="n"/>
      <c r="G969" s="66" t="n"/>
      <c r="H969" s="66" t="n"/>
      <c r="I969" s="68" t="n"/>
      <c r="J969" s="73" t="n"/>
      <c r="K969" s="71" t="n"/>
      <c r="L969" s="71" t="n"/>
      <c r="M969" s="66" t="n"/>
      <c r="N969" s="80" t="n"/>
      <c r="O969" s="81" t="str">
        <f>IF(A969="","",ROUND(V969*IFERROR(N(INDEX(tech_rate,MATCH(M969,tech_name,0))),0),2))</f>
        <v/>
      </c>
      <c r="P969" s="80" t="n"/>
      <c r="Q969" s="81" t="str">
        <f>IF(A969="","",ROUND(Y969+O969+Z969,2))</f>
        <v/>
      </c>
      <c r="R969" s="79" t="str">
        <f>IF(A969="","",IF(S969=0,"Date manquante ou invalide",IF(C969="","Équipement manquant",IF(ISNA(MATCH(C969,eq_code,0)),"Équipement inconnu",IF(E969="","Type manquant",IF(AND(E969&lt;&gt;"Préventif",E969&lt;&gt;"Correctif",E969&lt;&gt;"Amélioratif"),"Type inconnu",IF(I969="","Statut manquant",IF(AND(I969&lt;&gt;"Terminée",I969&lt;&gt;"En cours",I969&lt;&gt;"À faire",I969&lt;&gt;"Annulée"),"Statut inconnu",IF(AND(E969="Préventif",F969=""),"Plan manquant (préventif)",IF(AND(F969&lt;&gt;"",ISNA(MATCH(F969,pl_num,0))),"Plan inconnu",IF(AND(F969&lt;&gt;"",IFERROR(INDEX(pl_eq,MATCH(F969,pl_num,0))&amp;"",C969)&lt;&gt;C969),"Plan d'un autre équipement",IF(AND(J969&lt;&gt;"",OR(NOT(ISNUMBER(J969)),N(J969)&lt;0)),"Compteur invalide",IF(OR(AND(K969&lt;&gt;"",OR(NOT(ISNUMBER(K969)),N(K969)&lt;0)),AND(L969&lt;&gt;"",OR(NOT(ISNUMBER(L969)),N(L969)&lt;0))),"Durée invalide",IF(OR(AND(N969&lt;&gt;"",OR(NOT(ISNUMBER(N969)),N(N969)&lt;0)),AND(P969&lt;&gt;"",OR(NOT(ISNUMBER(P969)),N(P969)&lt;0))),"Coût invalide",IF(AND(M969&lt;&gt;"",ISNA(MATCH(M969,tech_name,0))),"Technicien inconnu",IF(AND(I969="Terminée",S969&gt;p_today),"Terminée à une date future",IF(AND(I969="Terminée",V969=0),"Durée d'intervention manquante",IF(AND(I969="Terminée",E969="Préventif",T969=0,OR(IFERROR(INDEX(pl_trig,MATCH(F969,pl_num,0))&amp;"","")="Compteur",IFERROR(INDEX(pl_trig,MATCH(F969,pl_num,0))&amp;"","")="Au premier des deux")),"Compteur manquant (plan au compteur)","OK"))))))))))))))))))</f>
        <v/>
      </c>
      <c r="S969" s="67">
        <f>IF(AND(ISNUMBER(B969),N(B969)&gt;0),INT(B969),0)</f>
        <v>0.0</v>
      </c>
      <c r="T969" s="67">
        <f>IF(AND(ISNUMBER(J969),N(J969)&gt;=0),N(J969),0)</f>
        <v>0.0</v>
      </c>
      <c r="U969" s="67">
        <f>IF(AND(ISNUMBER(K969),N(K969)&gt;0),N(K969),0)</f>
        <v>0.0</v>
      </c>
      <c r="V969" s="67">
        <f>IF(AND(ISNUMBER(L969),N(L969)&gt;0),N(L969),0)</f>
        <v>0.0</v>
      </c>
      <c r="W969" s="67">
        <f>IF(AND(I969="Terminée",S969&gt;0,C969&lt;&gt;"",ISNUMBER(MATCH(C969,eq_code,0))),1,0)</f>
        <v>0.0</v>
      </c>
      <c r="X969" s="67">
        <f>IF(AND(W969=1,E969="Préventif"),1,0)</f>
        <v>0.0</v>
      </c>
      <c r="Y969" s="67">
        <f>IF(AND(ISNUMBER(N969),N(N969)&gt;0),N(N969),0)</f>
        <v>0.0</v>
      </c>
      <c r="Z969" s="67">
        <f>IF(AND(ISNUMBER(P969),N(P969)&gt;0),N(P969),0)</f>
        <v>0.0</v>
      </c>
    </row>
    <row r="970">
      <c r="A970" s="79" t="str">
        <f>IF(COUNTA(B970:C970,E970:G970,I970)=0,"","BI-"&amp;RIGHT("0000"&amp;(ROW()-5),4))</f>
        <v/>
      </c>
      <c r="B970" s="72" t="n"/>
      <c r="C970" s="66" t="n"/>
      <c r="D970" s="67" t="str">
        <f>IF(C970="","",IFERROR(INDEX(eq_des,MATCH(C970,eq_code,0))&amp;"","Équipement inconnu"))</f>
        <v/>
      </c>
      <c r="E970" s="68" t="n"/>
      <c r="F970" s="68" t="n"/>
      <c r="G970" s="66" t="n"/>
      <c r="H970" s="66" t="n"/>
      <c r="I970" s="68" t="n"/>
      <c r="J970" s="73" t="n"/>
      <c r="K970" s="71" t="n"/>
      <c r="L970" s="71" t="n"/>
      <c r="M970" s="66" t="n"/>
      <c r="N970" s="80" t="n"/>
      <c r="O970" s="81" t="str">
        <f>IF(A970="","",ROUND(V970*IFERROR(N(INDEX(tech_rate,MATCH(M970,tech_name,0))),0),2))</f>
        <v/>
      </c>
      <c r="P970" s="80" t="n"/>
      <c r="Q970" s="81" t="str">
        <f>IF(A970="","",ROUND(Y970+O970+Z970,2))</f>
        <v/>
      </c>
      <c r="R970" s="79" t="str">
        <f>IF(A970="","",IF(S970=0,"Date manquante ou invalide",IF(C970="","Équipement manquant",IF(ISNA(MATCH(C970,eq_code,0)),"Équipement inconnu",IF(E970="","Type manquant",IF(AND(E970&lt;&gt;"Préventif",E970&lt;&gt;"Correctif",E970&lt;&gt;"Amélioratif"),"Type inconnu",IF(I970="","Statut manquant",IF(AND(I970&lt;&gt;"Terminée",I970&lt;&gt;"En cours",I970&lt;&gt;"À faire",I970&lt;&gt;"Annulée"),"Statut inconnu",IF(AND(E970="Préventif",F970=""),"Plan manquant (préventif)",IF(AND(F970&lt;&gt;"",ISNA(MATCH(F970,pl_num,0))),"Plan inconnu",IF(AND(F970&lt;&gt;"",IFERROR(INDEX(pl_eq,MATCH(F970,pl_num,0))&amp;"",C970)&lt;&gt;C970),"Plan d'un autre équipement",IF(AND(J970&lt;&gt;"",OR(NOT(ISNUMBER(J970)),N(J970)&lt;0)),"Compteur invalide",IF(OR(AND(K970&lt;&gt;"",OR(NOT(ISNUMBER(K970)),N(K970)&lt;0)),AND(L970&lt;&gt;"",OR(NOT(ISNUMBER(L970)),N(L970)&lt;0))),"Durée invalide",IF(OR(AND(N970&lt;&gt;"",OR(NOT(ISNUMBER(N970)),N(N970)&lt;0)),AND(P970&lt;&gt;"",OR(NOT(ISNUMBER(P970)),N(P970)&lt;0))),"Coût invalide",IF(AND(M970&lt;&gt;"",ISNA(MATCH(M970,tech_name,0))),"Technicien inconnu",IF(AND(I970="Terminée",S970&gt;p_today),"Terminée à une date future",IF(AND(I970="Terminée",V970=0),"Durée d'intervention manquante",IF(AND(I970="Terminée",E970="Préventif",T970=0,OR(IFERROR(INDEX(pl_trig,MATCH(F970,pl_num,0))&amp;"","")="Compteur",IFERROR(INDEX(pl_trig,MATCH(F970,pl_num,0))&amp;"","")="Au premier des deux")),"Compteur manquant (plan au compteur)","OK"))))))))))))))))))</f>
        <v/>
      </c>
      <c r="S970" s="67">
        <f>IF(AND(ISNUMBER(B970),N(B970)&gt;0),INT(B970),0)</f>
        <v>0.0</v>
      </c>
      <c r="T970" s="67">
        <f>IF(AND(ISNUMBER(J970),N(J970)&gt;=0),N(J970),0)</f>
        <v>0.0</v>
      </c>
      <c r="U970" s="67">
        <f>IF(AND(ISNUMBER(K970),N(K970)&gt;0),N(K970),0)</f>
        <v>0.0</v>
      </c>
      <c r="V970" s="67">
        <f>IF(AND(ISNUMBER(L970),N(L970)&gt;0),N(L970),0)</f>
        <v>0.0</v>
      </c>
      <c r="W970" s="67">
        <f>IF(AND(I970="Terminée",S970&gt;0,C970&lt;&gt;"",ISNUMBER(MATCH(C970,eq_code,0))),1,0)</f>
        <v>0.0</v>
      </c>
      <c r="X970" s="67">
        <f>IF(AND(W970=1,E970="Préventif"),1,0)</f>
        <v>0.0</v>
      </c>
      <c r="Y970" s="67">
        <f>IF(AND(ISNUMBER(N970),N(N970)&gt;0),N(N970),0)</f>
        <v>0.0</v>
      </c>
      <c r="Z970" s="67">
        <f>IF(AND(ISNUMBER(P970),N(P970)&gt;0),N(P970),0)</f>
        <v>0.0</v>
      </c>
    </row>
    <row r="971">
      <c r="A971" s="79" t="str">
        <f>IF(COUNTA(B971:C971,E971:G971,I971)=0,"","BI-"&amp;RIGHT("0000"&amp;(ROW()-5),4))</f>
        <v/>
      </c>
      <c r="B971" s="72" t="n"/>
      <c r="C971" s="66" t="n"/>
      <c r="D971" s="67" t="str">
        <f>IF(C971="","",IFERROR(INDEX(eq_des,MATCH(C971,eq_code,0))&amp;"","Équipement inconnu"))</f>
        <v/>
      </c>
      <c r="E971" s="68" t="n"/>
      <c r="F971" s="68" t="n"/>
      <c r="G971" s="66" t="n"/>
      <c r="H971" s="66" t="n"/>
      <c r="I971" s="68" t="n"/>
      <c r="J971" s="73" t="n"/>
      <c r="K971" s="71" t="n"/>
      <c r="L971" s="71" t="n"/>
      <c r="M971" s="66" t="n"/>
      <c r="N971" s="80" t="n"/>
      <c r="O971" s="81" t="str">
        <f>IF(A971="","",ROUND(V971*IFERROR(N(INDEX(tech_rate,MATCH(M971,tech_name,0))),0),2))</f>
        <v/>
      </c>
      <c r="P971" s="80" t="n"/>
      <c r="Q971" s="81" t="str">
        <f>IF(A971="","",ROUND(Y971+O971+Z971,2))</f>
        <v/>
      </c>
      <c r="R971" s="79" t="str">
        <f>IF(A971="","",IF(S971=0,"Date manquante ou invalide",IF(C971="","Équipement manquant",IF(ISNA(MATCH(C971,eq_code,0)),"Équipement inconnu",IF(E971="","Type manquant",IF(AND(E971&lt;&gt;"Préventif",E971&lt;&gt;"Correctif",E971&lt;&gt;"Amélioratif"),"Type inconnu",IF(I971="","Statut manquant",IF(AND(I971&lt;&gt;"Terminée",I971&lt;&gt;"En cours",I971&lt;&gt;"À faire",I971&lt;&gt;"Annulée"),"Statut inconnu",IF(AND(E971="Préventif",F971=""),"Plan manquant (préventif)",IF(AND(F971&lt;&gt;"",ISNA(MATCH(F971,pl_num,0))),"Plan inconnu",IF(AND(F971&lt;&gt;"",IFERROR(INDEX(pl_eq,MATCH(F971,pl_num,0))&amp;"",C971)&lt;&gt;C971),"Plan d'un autre équipement",IF(AND(J971&lt;&gt;"",OR(NOT(ISNUMBER(J971)),N(J971)&lt;0)),"Compteur invalide",IF(OR(AND(K971&lt;&gt;"",OR(NOT(ISNUMBER(K971)),N(K971)&lt;0)),AND(L971&lt;&gt;"",OR(NOT(ISNUMBER(L971)),N(L971)&lt;0))),"Durée invalide",IF(OR(AND(N971&lt;&gt;"",OR(NOT(ISNUMBER(N971)),N(N971)&lt;0)),AND(P971&lt;&gt;"",OR(NOT(ISNUMBER(P971)),N(P971)&lt;0))),"Coût invalide",IF(AND(M971&lt;&gt;"",ISNA(MATCH(M971,tech_name,0))),"Technicien inconnu",IF(AND(I971="Terminée",S971&gt;p_today),"Terminée à une date future",IF(AND(I971="Terminée",V971=0),"Durée d'intervention manquante",IF(AND(I971="Terminée",E971="Préventif",T971=0,OR(IFERROR(INDEX(pl_trig,MATCH(F971,pl_num,0))&amp;"","")="Compteur",IFERROR(INDEX(pl_trig,MATCH(F971,pl_num,0))&amp;"","")="Au premier des deux")),"Compteur manquant (plan au compteur)","OK"))))))))))))))))))</f>
        <v/>
      </c>
      <c r="S971" s="67">
        <f>IF(AND(ISNUMBER(B971),N(B971)&gt;0),INT(B971),0)</f>
        <v>0.0</v>
      </c>
      <c r="T971" s="67">
        <f>IF(AND(ISNUMBER(J971),N(J971)&gt;=0),N(J971),0)</f>
        <v>0.0</v>
      </c>
      <c r="U971" s="67">
        <f>IF(AND(ISNUMBER(K971),N(K971)&gt;0),N(K971),0)</f>
        <v>0.0</v>
      </c>
      <c r="V971" s="67">
        <f>IF(AND(ISNUMBER(L971),N(L971)&gt;0),N(L971),0)</f>
        <v>0.0</v>
      </c>
      <c r="W971" s="67">
        <f>IF(AND(I971="Terminée",S971&gt;0,C971&lt;&gt;"",ISNUMBER(MATCH(C971,eq_code,0))),1,0)</f>
        <v>0.0</v>
      </c>
      <c r="X971" s="67">
        <f>IF(AND(W971=1,E971="Préventif"),1,0)</f>
        <v>0.0</v>
      </c>
      <c r="Y971" s="67">
        <f>IF(AND(ISNUMBER(N971),N(N971)&gt;0),N(N971),0)</f>
        <v>0.0</v>
      </c>
      <c r="Z971" s="67">
        <f>IF(AND(ISNUMBER(P971),N(P971)&gt;0),N(P971),0)</f>
        <v>0.0</v>
      </c>
    </row>
    <row r="972">
      <c r="A972" s="79" t="str">
        <f>IF(COUNTA(B972:C972,E972:G972,I972)=0,"","BI-"&amp;RIGHT("0000"&amp;(ROW()-5),4))</f>
        <v/>
      </c>
      <c r="B972" s="72" t="n"/>
      <c r="C972" s="66" t="n"/>
      <c r="D972" s="67" t="str">
        <f>IF(C972="","",IFERROR(INDEX(eq_des,MATCH(C972,eq_code,0))&amp;"","Équipement inconnu"))</f>
        <v/>
      </c>
      <c r="E972" s="68" t="n"/>
      <c r="F972" s="68" t="n"/>
      <c r="G972" s="66" t="n"/>
      <c r="H972" s="66" t="n"/>
      <c r="I972" s="68" t="n"/>
      <c r="J972" s="73" t="n"/>
      <c r="K972" s="71" t="n"/>
      <c r="L972" s="71" t="n"/>
      <c r="M972" s="66" t="n"/>
      <c r="N972" s="80" t="n"/>
      <c r="O972" s="81" t="str">
        <f>IF(A972="","",ROUND(V972*IFERROR(N(INDEX(tech_rate,MATCH(M972,tech_name,0))),0),2))</f>
        <v/>
      </c>
      <c r="P972" s="80" t="n"/>
      <c r="Q972" s="81" t="str">
        <f>IF(A972="","",ROUND(Y972+O972+Z972,2))</f>
        <v/>
      </c>
      <c r="R972" s="79" t="str">
        <f>IF(A972="","",IF(S972=0,"Date manquante ou invalide",IF(C972="","Équipement manquant",IF(ISNA(MATCH(C972,eq_code,0)),"Équipement inconnu",IF(E972="","Type manquant",IF(AND(E972&lt;&gt;"Préventif",E972&lt;&gt;"Correctif",E972&lt;&gt;"Amélioratif"),"Type inconnu",IF(I972="","Statut manquant",IF(AND(I972&lt;&gt;"Terminée",I972&lt;&gt;"En cours",I972&lt;&gt;"À faire",I972&lt;&gt;"Annulée"),"Statut inconnu",IF(AND(E972="Préventif",F972=""),"Plan manquant (préventif)",IF(AND(F972&lt;&gt;"",ISNA(MATCH(F972,pl_num,0))),"Plan inconnu",IF(AND(F972&lt;&gt;"",IFERROR(INDEX(pl_eq,MATCH(F972,pl_num,0))&amp;"",C972)&lt;&gt;C972),"Plan d'un autre équipement",IF(AND(J972&lt;&gt;"",OR(NOT(ISNUMBER(J972)),N(J972)&lt;0)),"Compteur invalide",IF(OR(AND(K972&lt;&gt;"",OR(NOT(ISNUMBER(K972)),N(K972)&lt;0)),AND(L972&lt;&gt;"",OR(NOT(ISNUMBER(L972)),N(L972)&lt;0))),"Durée invalide",IF(OR(AND(N972&lt;&gt;"",OR(NOT(ISNUMBER(N972)),N(N972)&lt;0)),AND(P972&lt;&gt;"",OR(NOT(ISNUMBER(P972)),N(P972)&lt;0))),"Coût invalide",IF(AND(M972&lt;&gt;"",ISNA(MATCH(M972,tech_name,0))),"Technicien inconnu",IF(AND(I972="Terminée",S972&gt;p_today),"Terminée à une date future",IF(AND(I972="Terminée",V972=0),"Durée d'intervention manquante",IF(AND(I972="Terminée",E972="Préventif",T972=0,OR(IFERROR(INDEX(pl_trig,MATCH(F972,pl_num,0))&amp;"","")="Compteur",IFERROR(INDEX(pl_trig,MATCH(F972,pl_num,0))&amp;"","")="Au premier des deux")),"Compteur manquant (plan au compteur)","OK"))))))))))))))))))</f>
        <v/>
      </c>
      <c r="S972" s="67">
        <f>IF(AND(ISNUMBER(B972),N(B972)&gt;0),INT(B972),0)</f>
        <v>0.0</v>
      </c>
      <c r="T972" s="67">
        <f>IF(AND(ISNUMBER(J972),N(J972)&gt;=0),N(J972),0)</f>
        <v>0.0</v>
      </c>
      <c r="U972" s="67">
        <f>IF(AND(ISNUMBER(K972),N(K972)&gt;0),N(K972),0)</f>
        <v>0.0</v>
      </c>
      <c r="V972" s="67">
        <f>IF(AND(ISNUMBER(L972),N(L972)&gt;0),N(L972),0)</f>
        <v>0.0</v>
      </c>
      <c r="W972" s="67">
        <f>IF(AND(I972="Terminée",S972&gt;0,C972&lt;&gt;"",ISNUMBER(MATCH(C972,eq_code,0))),1,0)</f>
        <v>0.0</v>
      </c>
      <c r="X972" s="67">
        <f>IF(AND(W972=1,E972="Préventif"),1,0)</f>
        <v>0.0</v>
      </c>
      <c r="Y972" s="67">
        <f>IF(AND(ISNUMBER(N972),N(N972)&gt;0),N(N972),0)</f>
        <v>0.0</v>
      </c>
      <c r="Z972" s="67">
        <f>IF(AND(ISNUMBER(P972),N(P972)&gt;0),N(P972),0)</f>
        <v>0.0</v>
      </c>
    </row>
    <row r="973">
      <c r="A973" s="79" t="str">
        <f>IF(COUNTA(B973:C973,E973:G973,I973)=0,"","BI-"&amp;RIGHT("0000"&amp;(ROW()-5),4))</f>
        <v/>
      </c>
      <c r="B973" s="72" t="n"/>
      <c r="C973" s="66" t="n"/>
      <c r="D973" s="67" t="str">
        <f>IF(C973="","",IFERROR(INDEX(eq_des,MATCH(C973,eq_code,0))&amp;"","Équipement inconnu"))</f>
        <v/>
      </c>
      <c r="E973" s="68" t="n"/>
      <c r="F973" s="68" t="n"/>
      <c r="G973" s="66" t="n"/>
      <c r="H973" s="66" t="n"/>
      <c r="I973" s="68" t="n"/>
      <c r="J973" s="73" t="n"/>
      <c r="K973" s="71" t="n"/>
      <c r="L973" s="71" t="n"/>
      <c r="M973" s="66" t="n"/>
      <c r="N973" s="80" t="n"/>
      <c r="O973" s="81" t="str">
        <f>IF(A973="","",ROUND(V973*IFERROR(N(INDEX(tech_rate,MATCH(M973,tech_name,0))),0),2))</f>
        <v/>
      </c>
      <c r="P973" s="80" t="n"/>
      <c r="Q973" s="81" t="str">
        <f>IF(A973="","",ROUND(Y973+O973+Z973,2))</f>
        <v/>
      </c>
      <c r="R973" s="79" t="str">
        <f>IF(A973="","",IF(S973=0,"Date manquante ou invalide",IF(C973="","Équipement manquant",IF(ISNA(MATCH(C973,eq_code,0)),"Équipement inconnu",IF(E973="","Type manquant",IF(AND(E973&lt;&gt;"Préventif",E973&lt;&gt;"Correctif",E973&lt;&gt;"Amélioratif"),"Type inconnu",IF(I973="","Statut manquant",IF(AND(I973&lt;&gt;"Terminée",I973&lt;&gt;"En cours",I973&lt;&gt;"À faire",I973&lt;&gt;"Annulée"),"Statut inconnu",IF(AND(E973="Préventif",F973=""),"Plan manquant (préventif)",IF(AND(F973&lt;&gt;"",ISNA(MATCH(F973,pl_num,0))),"Plan inconnu",IF(AND(F973&lt;&gt;"",IFERROR(INDEX(pl_eq,MATCH(F973,pl_num,0))&amp;"",C973)&lt;&gt;C973),"Plan d'un autre équipement",IF(AND(J973&lt;&gt;"",OR(NOT(ISNUMBER(J973)),N(J973)&lt;0)),"Compteur invalide",IF(OR(AND(K973&lt;&gt;"",OR(NOT(ISNUMBER(K973)),N(K973)&lt;0)),AND(L973&lt;&gt;"",OR(NOT(ISNUMBER(L973)),N(L973)&lt;0))),"Durée invalide",IF(OR(AND(N973&lt;&gt;"",OR(NOT(ISNUMBER(N973)),N(N973)&lt;0)),AND(P973&lt;&gt;"",OR(NOT(ISNUMBER(P973)),N(P973)&lt;0))),"Coût invalide",IF(AND(M973&lt;&gt;"",ISNA(MATCH(M973,tech_name,0))),"Technicien inconnu",IF(AND(I973="Terminée",S973&gt;p_today),"Terminée à une date future",IF(AND(I973="Terminée",V973=0),"Durée d'intervention manquante",IF(AND(I973="Terminée",E973="Préventif",T973=0,OR(IFERROR(INDEX(pl_trig,MATCH(F973,pl_num,0))&amp;"","")="Compteur",IFERROR(INDEX(pl_trig,MATCH(F973,pl_num,0))&amp;"","")="Au premier des deux")),"Compteur manquant (plan au compteur)","OK"))))))))))))))))))</f>
        <v/>
      </c>
      <c r="S973" s="67">
        <f>IF(AND(ISNUMBER(B973),N(B973)&gt;0),INT(B973),0)</f>
        <v>0.0</v>
      </c>
      <c r="T973" s="67">
        <f>IF(AND(ISNUMBER(J973),N(J973)&gt;=0),N(J973),0)</f>
        <v>0.0</v>
      </c>
      <c r="U973" s="67">
        <f>IF(AND(ISNUMBER(K973),N(K973)&gt;0),N(K973),0)</f>
        <v>0.0</v>
      </c>
      <c r="V973" s="67">
        <f>IF(AND(ISNUMBER(L973),N(L973)&gt;0),N(L973),0)</f>
        <v>0.0</v>
      </c>
      <c r="W973" s="67">
        <f>IF(AND(I973="Terminée",S973&gt;0,C973&lt;&gt;"",ISNUMBER(MATCH(C973,eq_code,0))),1,0)</f>
        <v>0.0</v>
      </c>
      <c r="X973" s="67">
        <f>IF(AND(W973=1,E973="Préventif"),1,0)</f>
        <v>0.0</v>
      </c>
      <c r="Y973" s="67">
        <f>IF(AND(ISNUMBER(N973),N(N973)&gt;0),N(N973),0)</f>
        <v>0.0</v>
      </c>
      <c r="Z973" s="67">
        <f>IF(AND(ISNUMBER(P973),N(P973)&gt;0),N(P973),0)</f>
        <v>0.0</v>
      </c>
    </row>
    <row r="974">
      <c r="A974" s="79" t="str">
        <f>IF(COUNTA(B974:C974,E974:G974,I974)=0,"","BI-"&amp;RIGHT("0000"&amp;(ROW()-5),4))</f>
        <v/>
      </c>
      <c r="B974" s="72" t="n"/>
      <c r="C974" s="66" t="n"/>
      <c r="D974" s="67" t="str">
        <f>IF(C974="","",IFERROR(INDEX(eq_des,MATCH(C974,eq_code,0))&amp;"","Équipement inconnu"))</f>
        <v/>
      </c>
      <c r="E974" s="68" t="n"/>
      <c r="F974" s="68" t="n"/>
      <c r="G974" s="66" t="n"/>
      <c r="H974" s="66" t="n"/>
      <c r="I974" s="68" t="n"/>
      <c r="J974" s="73" t="n"/>
      <c r="K974" s="71" t="n"/>
      <c r="L974" s="71" t="n"/>
      <c r="M974" s="66" t="n"/>
      <c r="N974" s="80" t="n"/>
      <c r="O974" s="81" t="str">
        <f>IF(A974="","",ROUND(V974*IFERROR(N(INDEX(tech_rate,MATCH(M974,tech_name,0))),0),2))</f>
        <v/>
      </c>
      <c r="P974" s="80" t="n"/>
      <c r="Q974" s="81" t="str">
        <f>IF(A974="","",ROUND(Y974+O974+Z974,2))</f>
        <v/>
      </c>
      <c r="R974" s="79" t="str">
        <f>IF(A974="","",IF(S974=0,"Date manquante ou invalide",IF(C974="","Équipement manquant",IF(ISNA(MATCH(C974,eq_code,0)),"Équipement inconnu",IF(E974="","Type manquant",IF(AND(E974&lt;&gt;"Préventif",E974&lt;&gt;"Correctif",E974&lt;&gt;"Amélioratif"),"Type inconnu",IF(I974="","Statut manquant",IF(AND(I974&lt;&gt;"Terminée",I974&lt;&gt;"En cours",I974&lt;&gt;"À faire",I974&lt;&gt;"Annulée"),"Statut inconnu",IF(AND(E974="Préventif",F974=""),"Plan manquant (préventif)",IF(AND(F974&lt;&gt;"",ISNA(MATCH(F974,pl_num,0))),"Plan inconnu",IF(AND(F974&lt;&gt;"",IFERROR(INDEX(pl_eq,MATCH(F974,pl_num,0))&amp;"",C974)&lt;&gt;C974),"Plan d'un autre équipement",IF(AND(J974&lt;&gt;"",OR(NOT(ISNUMBER(J974)),N(J974)&lt;0)),"Compteur invalide",IF(OR(AND(K974&lt;&gt;"",OR(NOT(ISNUMBER(K974)),N(K974)&lt;0)),AND(L974&lt;&gt;"",OR(NOT(ISNUMBER(L974)),N(L974)&lt;0))),"Durée invalide",IF(OR(AND(N974&lt;&gt;"",OR(NOT(ISNUMBER(N974)),N(N974)&lt;0)),AND(P974&lt;&gt;"",OR(NOT(ISNUMBER(P974)),N(P974)&lt;0))),"Coût invalide",IF(AND(M974&lt;&gt;"",ISNA(MATCH(M974,tech_name,0))),"Technicien inconnu",IF(AND(I974="Terminée",S974&gt;p_today),"Terminée à une date future",IF(AND(I974="Terminée",V974=0),"Durée d'intervention manquante",IF(AND(I974="Terminée",E974="Préventif",T974=0,OR(IFERROR(INDEX(pl_trig,MATCH(F974,pl_num,0))&amp;"","")="Compteur",IFERROR(INDEX(pl_trig,MATCH(F974,pl_num,0))&amp;"","")="Au premier des deux")),"Compteur manquant (plan au compteur)","OK"))))))))))))))))))</f>
        <v/>
      </c>
      <c r="S974" s="67">
        <f>IF(AND(ISNUMBER(B974),N(B974)&gt;0),INT(B974),0)</f>
        <v>0.0</v>
      </c>
      <c r="T974" s="67">
        <f>IF(AND(ISNUMBER(J974),N(J974)&gt;=0),N(J974),0)</f>
        <v>0.0</v>
      </c>
      <c r="U974" s="67">
        <f>IF(AND(ISNUMBER(K974),N(K974)&gt;0),N(K974),0)</f>
        <v>0.0</v>
      </c>
      <c r="V974" s="67">
        <f>IF(AND(ISNUMBER(L974),N(L974)&gt;0),N(L974),0)</f>
        <v>0.0</v>
      </c>
      <c r="W974" s="67">
        <f>IF(AND(I974="Terminée",S974&gt;0,C974&lt;&gt;"",ISNUMBER(MATCH(C974,eq_code,0))),1,0)</f>
        <v>0.0</v>
      </c>
      <c r="X974" s="67">
        <f>IF(AND(W974=1,E974="Préventif"),1,0)</f>
        <v>0.0</v>
      </c>
      <c r="Y974" s="67">
        <f>IF(AND(ISNUMBER(N974),N(N974)&gt;0),N(N974),0)</f>
        <v>0.0</v>
      </c>
      <c r="Z974" s="67">
        <f>IF(AND(ISNUMBER(P974),N(P974)&gt;0),N(P974),0)</f>
        <v>0.0</v>
      </c>
    </row>
    <row r="975">
      <c r="A975" s="79" t="str">
        <f>IF(COUNTA(B975:C975,E975:G975,I975)=0,"","BI-"&amp;RIGHT("0000"&amp;(ROW()-5),4))</f>
        <v/>
      </c>
      <c r="B975" s="72" t="n"/>
      <c r="C975" s="66" t="n"/>
      <c r="D975" s="67" t="str">
        <f>IF(C975="","",IFERROR(INDEX(eq_des,MATCH(C975,eq_code,0))&amp;"","Équipement inconnu"))</f>
        <v/>
      </c>
      <c r="E975" s="68" t="n"/>
      <c r="F975" s="68" t="n"/>
      <c r="G975" s="66" t="n"/>
      <c r="H975" s="66" t="n"/>
      <c r="I975" s="68" t="n"/>
      <c r="J975" s="73" t="n"/>
      <c r="K975" s="71" t="n"/>
      <c r="L975" s="71" t="n"/>
      <c r="M975" s="66" t="n"/>
      <c r="N975" s="80" t="n"/>
      <c r="O975" s="81" t="str">
        <f>IF(A975="","",ROUND(V975*IFERROR(N(INDEX(tech_rate,MATCH(M975,tech_name,0))),0),2))</f>
        <v/>
      </c>
      <c r="P975" s="80" t="n"/>
      <c r="Q975" s="81" t="str">
        <f>IF(A975="","",ROUND(Y975+O975+Z975,2))</f>
        <v/>
      </c>
      <c r="R975" s="79" t="str">
        <f>IF(A975="","",IF(S975=0,"Date manquante ou invalide",IF(C975="","Équipement manquant",IF(ISNA(MATCH(C975,eq_code,0)),"Équipement inconnu",IF(E975="","Type manquant",IF(AND(E975&lt;&gt;"Préventif",E975&lt;&gt;"Correctif",E975&lt;&gt;"Amélioratif"),"Type inconnu",IF(I975="","Statut manquant",IF(AND(I975&lt;&gt;"Terminée",I975&lt;&gt;"En cours",I975&lt;&gt;"À faire",I975&lt;&gt;"Annulée"),"Statut inconnu",IF(AND(E975="Préventif",F975=""),"Plan manquant (préventif)",IF(AND(F975&lt;&gt;"",ISNA(MATCH(F975,pl_num,0))),"Plan inconnu",IF(AND(F975&lt;&gt;"",IFERROR(INDEX(pl_eq,MATCH(F975,pl_num,0))&amp;"",C975)&lt;&gt;C975),"Plan d'un autre équipement",IF(AND(J975&lt;&gt;"",OR(NOT(ISNUMBER(J975)),N(J975)&lt;0)),"Compteur invalide",IF(OR(AND(K975&lt;&gt;"",OR(NOT(ISNUMBER(K975)),N(K975)&lt;0)),AND(L975&lt;&gt;"",OR(NOT(ISNUMBER(L975)),N(L975)&lt;0))),"Durée invalide",IF(OR(AND(N975&lt;&gt;"",OR(NOT(ISNUMBER(N975)),N(N975)&lt;0)),AND(P975&lt;&gt;"",OR(NOT(ISNUMBER(P975)),N(P975)&lt;0))),"Coût invalide",IF(AND(M975&lt;&gt;"",ISNA(MATCH(M975,tech_name,0))),"Technicien inconnu",IF(AND(I975="Terminée",S975&gt;p_today),"Terminée à une date future",IF(AND(I975="Terminée",V975=0),"Durée d'intervention manquante",IF(AND(I975="Terminée",E975="Préventif",T975=0,OR(IFERROR(INDEX(pl_trig,MATCH(F975,pl_num,0))&amp;"","")="Compteur",IFERROR(INDEX(pl_trig,MATCH(F975,pl_num,0))&amp;"","")="Au premier des deux")),"Compteur manquant (plan au compteur)","OK"))))))))))))))))))</f>
        <v/>
      </c>
      <c r="S975" s="67">
        <f>IF(AND(ISNUMBER(B975),N(B975)&gt;0),INT(B975),0)</f>
        <v>0.0</v>
      </c>
      <c r="T975" s="67">
        <f>IF(AND(ISNUMBER(J975),N(J975)&gt;=0),N(J975),0)</f>
        <v>0.0</v>
      </c>
      <c r="U975" s="67">
        <f>IF(AND(ISNUMBER(K975),N(K975)&gt;0),N(K975),0)</f>
        <v>0.0</v>
      </c>
      <c r="V975" s="67">
        <f>IF(AND(ISNUMBER(L975),N(L975)&gt;0),N(L975),0)</f>
        <v>0.0</v>
      </c>
      <c r="W975" s="67">
        <f>IF(AND(I975="Terminée",S975&gt;0,C975&lt;&gt;"",ISNUMBER(MATCH(C975,eq_code,0))),1,0)</f>
        <v>0.0</v>
      </c>
      <c r="X975" s="67">
        <f>IF(AND(W975=1,E975="Préventif"),1,0)</f>
        <v>0.0</v>
      </c>
      <c r="Y975" s="67">
        <f>IF(AND(ISNUMBER(N975),N(N975)&gt;0),N(N975),0)</f>
        <v>0.0</v>
      </c>
      <c r="Z975" s="67">
        <f>IF(AND(ISNUMBER(P975),N(P975)&gt;0),N(P975),0)</f>
        <v>0.0</v>
      </c>
    </row>
    <row r="976">
      <c r="A976" s="79" t="str">
        <f>IF(COUNTA(B976:C976,E976:G976,I976)=0,"","BI-"&amp;RIGHT("0000"&amp;(ROW()-5),4))</f>
        <v/>
      </c>
      <c r="B976" s="72" t="n"/>
      <c r="C976" s="66" t="n"/>
      <c r="D976" s="67" t="str">
        <f>IF(C976="","",IFERROR(INDEX(eq_des,MATCH(C976,eq_code,0))&amp;"","Équipement inconnu"))</f>
        <v/>
      </c>
      <c r="E976" s="68" t="n"/>
      <c r="F976" s="68" t="n"/>
      <c r="G976" s="66" t="n"/>
      <c r="H976" s="66" t="n"/>
      <c r="I976" s="68" t="n"/>
      <c r="J976" s="73" t="n"/>
      <c r="K976" s="71" t="n"/>
      <c r="L976" s="71" t="n"/>
      <c r="M976" s="66" t="n"/>
      <c r="N976" s="80" t="n"/>
      <c r="O976" s="81" t="str">
        <f>IF(A976="","",ROUND(V976*IFERROR(N(INDEX(tech_rate,MATCH(M976,tech_name,0))),0),2))</f>
        <v/>
      </c>
      <c r="P976" s="80" t="n"/>
      <c r="Q976" s="81" t="str">
        <f>IF(A976="","",ROUND(Y976+O976+Z976,2))</f>
        <v/>
      </c>
      <c r="R976" s="79" t="str">
        <f>IF(A976="","",IF(S976=0,"Date manquante ou invalide",IF(C976="","Équipement manquant",IF(ISNA(MATCH(C976,eq_code,0)),"Équipement inconnu",IF(E976="","Type manquant",IF(AND(E976&lt;&gt;"Préventif",E976&lt;&gt;"Correctif",E976&lt;&gt;"Amélioratif"),"Type inconnu",IF(I976="","Statut manquant",IF(AND(I976&lt;&gt;"Terminée",I976&lt;&gt;"En cours",I976&lt;&gt;"À faire",I976&lt;&gt;"Annulée"),"Statut inconnu",IF(AND(E976="Préventif",F976=""),"Plan manquant (préventif)",IF(AND(F976&lt;&gt;"",ISNA(MATCH(F976,pl_num,0))),"Plan inconnu",IF(AND(F976&lt;&gt;"",IFERROR(INDEX(pl_eq,MATCH(F976,pl_num,0))&amp;"",C976)&lt;&gt;C976),"Plan d'un autre équipement",IF(AND(J976&lt;&gt;"",OR(NOT(ISNUMBER(J976)),N(J976)&lt;0)),"Compteur invalide",IF(OR(AND(K976&lt;&gt;"",OR(NOT(ISNUMBER(K976)),N(K976)&lt;0)),AND(L976&lt;&gt;"",OR(NOT(ISNUMBER(L976)),N(L976)&lt;0))),"Durée invalide",IF(OR(AND(N976&lt;&gt;"",OR(NOT(ISNUMBER(N976)),N(N976)&lt;0)),AND(P976&lt;&gt;"",OR(NOT(ISNUMBER(P976)),N(P976)&lt;0))),"Coût invalide",IF(AND(M976&lt;&gt;"",ISNA(MATCH(M976,tech_name,0))),"Technicien inconnu",IF(AND(I976="Terminée",S976&gt;p_today),"Terminée à une date future",IF(AND(I976="Terminée",V976=0),"Durée d'intervention manquante",IF(AND(I976="Terminée",E976="Préventif",T976=0,OR(IFERROR(INDEX(pl_trig,MATCH(F976,pl_num,0))&amp;"","")="Compteur",IFERROR(INDEX(pl_trig,MATCH(F976,pl_num,0))&amp;"","")="Au premier des deux")),"Compteur manquant (plan au compteur)","OK"))))))))))))))))))</f>
        <v/>
      </c>
      <c r="S976" s="67">
        <f>IF(AND(ISNUMBER(B976),N(B976)&gt;0),INT(B976),0)</f>
        <v>0.0</v>
      </c>
      <c r="T976" s="67">
        <f>IF(AND(ISNUMBER(J976),N(J976)&gt;=0),N(J976),0)</f>
        <v>0.0</v>
      </c>
      <c r="U976" s="67">
        <f>IF(AND(ISNUMBER(K976),N(K976)&gt;0),N(K976),0)</f>
        <v>0.0</v>
      </c>
      <c r="V976" s="67">
        <f>IF(AND(ISNUMBER(L976),N(L976)&gt;0),N(L976),0)</f>
        <v>0.0</v>
      </c>
      <c r="W976" s="67">
        <f>IF(AND(I976="Terminée",S976&gt;0,C976&lt;&gt;"",ISNUMBER(MATCH(C976,eq_code,0))),1,0)</f>
        <v>0.0</v>
      </c>
      <c r="X976" s="67">
        <f>IF(AND(W976=1,E976="Préventif"),1,0)</f>
        <v>0.0</v>
      </c>
      <c r="Y976" s="67">
        <f>IF(AND(ISNUMBER(N976),N(N976)&gt;0),N(N976),0)</f>
        <v>0.0</v>
      </c>
      <c r="Z976" s="67">
        <f>IF(AND(ISNUMBER(P976),N(P976)&gt;0),N(P976),0)</f>
        <v>0.0</v>
      </c>
    </row>
    <row r="977">
      <c r="A977" s="79" t="str">
        <f>IF(COUNTA(B977:C977,E977:G977,I977)=0,"","BI-"&amp;RIGHT("0000"&amp;(ROW()-5),4))</f>
        <v/>
      </c>
      <c r="B977" s="72" t="n"/>
      <c r="C977" s="66" t="n"/>
      <c r="D977" s="67" t="str">
        <f>IF(C977="","",IFERROR(INDEX(eq_des,MATCH(C977,eq_code,0))&amp;"","Équipement inconnu"))</f>
        <v/>
      </c>
      <c r="E977" s="68" t="n"/>
      <c r="F977" s="68" t="n"/>
      <c r="G977" s="66" t="n"/>
      <c r="H977" s="66" t="n"/>
      <c r="I977" s="68" t="n"/>
      <c r="J977" s="73" t="n"/>
      <c r="K977" s="71" t="n"/>
      <c r="L977" s="71" t="n"/>
      <c r="M977" s="66" t="n"/>
      <c r="N977" s="80" t="n"/>
      <c r="O977" s="81" t="str">
        <f>IF(A977="","",ROUND(V977*IFERROR(N(INDEX(tech_rate,MATCH(M977,tech_name,0))),0),2))</f>
        <v/>
      </c>
      <c r="P977" s="80" t="n"/>
      <c r="Q977" s="81" t="str">
        <f>IF(A977="","",ROUND(Y977+O977+Z977,2))</f>
        <v/>
      </c>
      <c r="R977" s="79" t="str">
        <f>IF(A977="","",IF(S977=0,"Date manquante ou invalide",IF(C977="","Équipement manquant",IF(ISNA(MATCH(C977,eq_code,0)),"Équipement inconnu",IF(E977="","Type manquant",IF(AND(E977&lt;&gt;"Préventif",E977&lt;&gt;"Correctif",E977&lt;&gt;"Amélioratif"),"Type inconnu",IF(I977="","Statut manquant",IF(AND(I977&lt;&gt;"Terminée",I977&lt;&gt;"En cours",I977&lt;&gt;"À faire",I977&lt;&gt;"Annulée"),"Statut inconnu",IF(AND(E977="Préventif",F977=""),"Plan manquant (préventif)",IF(AND(F977&lt;&gt;"",ISNA(MATCH(F977,pl_num,0))),"Plan inconnu",IF(AND(F977&lt;&gt;"",IFERROR(INDEX(pl_eq,MATCH(F977,pl_num,0))&amp;"",C977)&lt;&gt;C977),"Plan d'un autre équipement",IF(AND(J977&lt;&gt;"",OR(NOT(ISNUMBER(J977)),N(J977)&lt;0)),"Compteur invalide",IF(OR(AND(K977&lt;&gt;"",OR(NOT(ISNUMBER(K977)),N(K977)&lt;0)),AND(L977&lt;&gt;"",OR(NOT(ISNUMBER(L977)),N(L977)&lt;0))),"Durée invalide",IF(OR(AND(N977&lt;&gt;"",OR(NOT(ISNUMBER(N977)),N(N977)&lt;0)),AND(P977&lt;&gt;"",OR(NOT(ISNUMBER(P977)),N(P977)&lt;0))),"Coût invalide",IF(AND(M977&lt;&gt;"",ISNA(MATCH(M977,tech_name,0))),"Technicien inconnu",IF(AND(I977="Terminée",S977&gt;p_today),"Terminée à une date future",IF(AND(I977="Terminée",V977=0),"Durée d'intervention manquante",IF(AND(I977="Terminée",E977="Préventif",T977=0,OR(IFERROR(INDEX(pl_trig,MATCH(F977,pl_num,0))&amp;"","")="Compteur",IFERROR(INDEX(pl_trig,MATCH(F977,pl_num,0))&amp;"","")="Au premier des deux")),"Compteur manquant (plan au compteur)","OK"))))))))))))))))))</f>
        <v/>
      </c>
      <c r="S977" s="67">
        <f>IF(AND(ISNUMBER(B977),N(B977)&gt;0),INT(B977),0)</f>
        <v>0.0</v>
      </c>
      <c r="T977" s="67">
        <f>IF(AND(ISNUMBER(J977),N(J977)&gt;=0),N(J977),0)</f>
        <v>0.0</v>
      </c>
      <c r="U977" s="67">
        <f>IF(AND(ISNUMBER(K977),N(K977)&gt;0),N(K977),0)</f>
        <v>0.0</v>
      </c>
      <c r="V977" s="67">
        <f>IF(AND(ISNUMBER(L977),N(L977)&gt;0),N(L977),0)</f>
        <v>0.0</v>
      </c>
      <c r="W977" s="67">
        <f>IF(AND(I977="Terminée",S977&gt;0,C977&lt;&gt;"",ISNUMBER(MATCH(C977,eq_code,0))),1,0)</f>
        <v>0.0</v>
      </c>
      <c r="X977" s="67">
        <f>IF(AND(W977=1,E977="Préventif"),1,0)</f>
        <v>0.0</v>
      </c>
      <c r="Y977" s="67">
        <f>IF(AND(ISNUMBER(N977),N(N977)&gt;0),N(N977),0)</f>
        <v>0.0</v>
      </c>
      <c r="Z977" s="67">
        <f>IF(AND(ISNUMBER(P977),N(P977)&gt;0),N(P977),0)</f>
        <v>0.0</v>
      </c>
    </row>
    <row r="978">
      <c r="A978" s="79" t="str">
        <f>IF(COUNTA(B978:C978,E978:G978,I978)=0,"","BI-"&amp;RIGHT("0000"&amp;(ROW()-5),4))</f>
        <v/>
      </c>
      <c r="B978" s="72" t="n"/>
      <c r="C978" s="66" t="n"/>
      <c r="D978" s="67" t="str">
        <f>IF(C978="","",IFERROR(INDEX(eq_des,MATCH(C978,eq_code,0))&amp;"","Équipement inconnu"))</f>
        <v/>
      </c>
      <c r="E978" s="68" t="n"/>
      <c r="F978" s="68" t="n"/>
      <c r="G978" s="66" t="n"/>
      <c r="H978" s="66" t="n"/>
      <c r="I978" s="68" t="n"/>
      <c r="J978" s="73" t="n"/>
      <c r="K978" s="71" t="n"/>
      <c r="L978" s="71" t="n"/>
      <c r="M978" s="66" t="n"/>
      <c r="N978" s="80" t="n"/>
      <c r="O978" s="81" t="str">
        <f>IF(A978="","",ROUND(V978*IFERROR(N(INDEX(tech_rate,MATCH(M978,tech_name,0))),0),2))</f>
        <v/>
      </c>
      <c r="P978" s="80" t="n"/>
      <c r="Q978" s="81" t="str">
        <f>IF(A978="","",ROUND(Y978+O978+Z978,2))</f>
        <v/>
      </c>
      <c r="R978" s="79" t="str">
        <f>IF(A978="","",IF(S978=0,"Date manquante ou invalide",IF(C978="","Équipement manquant",IF(ISNA(MATCH(C978,eq_code,0)),"Équipement inconnu",IF(E978="","Type manquant",IF(AND(E978&lt;&gt;"Préventif",E978&lt;&gt;"Correctif",E978&lt;&gt;"Amélioratif"),"Type inconnu",IF(I978="","Statut manquant",IF(AND(I978&lt;&gt;"Terminée",I978&lt;&gt;"En cours",I978&lt;&gt;"À faire",I978&lt;&gt;"Annulée"),"Statut inconnu",IF(AND(E978="Préventif",F978=""),"Plan manquant (préventif)",IF(AND(F978&lt;&gt;"",ISNA(MATCH(F978,pl_num,0))),"Plan inconnu",IF(AND(F978&lt;&gt;"",IFERROR(INDEX(pl_eq,MATCH(F978,pl_num,0))&amp;"",C978)&lt;&gt;C978),"Plan d'un autre équipement",IF(AND(J978&lt;&gt;"",OR(NOT(ISNUMBER(J978)),N(J978)&lt;0)),"Compteur invalide",IF(OR(AND(K978&lt;&gt;"",OR(NOT(ISNUMBER(K978)),N(K978)&lt;0)),AND(L978&lt;&gt;"",OR(NOT(ISNUMBER(L978)),N(L978)&lt;0))),"Durée invalide",IF(OR(AND(N978&lt;&gt;"",OR(NOT(ISNUMBER(N978)),N(N978)&lt;0)),AND(P978&lt;&gt;"",OR(NOT(ISNUMBER(P978)),N(P978)&lt;0))),"Coût invalide",IF(AND(M978&lt;&gt;"",ISNA(MATCH(M978,tech_name,0))),"Technicien inconnu",IF(AND(I978="Terminée",S978&gt;p_today),"Terminée à une date future",IF(AND(I978="Terminée",V978=0),"Durée d'intervention manquante",IF(AND(I978="Terminée",E978="Préventif",T978=0,OR(IFERROR(INDEX(pl_trig,MATCH(F978,pl_num,0))&amp;"","")="Compteur",IFERROR(INDEX(pl_trig,MATCH(F978,pl_num,0))&amp;"","")="Au premier des deux")),"Compteur manquant (plan au compteur)","OK"))))))))))))))))))</f>
        <v/>
      </c>
      <c r="S978" s="67">
        <f>IF(AND(ISNUMBER(B978),N(B978)&gt;0),INT(B978),0)</f>
        <v>0.0</v>
      </c>
      <c r="T978" s="67">
        <f>IF(AND(ISNUMBER(J978),N(J978)&gt;=0),N(J978),0)</f>
        <v>0.0</v>
      </c>
      <c r="U978" s="67">
        <f>IF(AND(ISNUMBER(K978),N(K978)&gt;0),N(K978),0)</f>
        <v>0.0</v>
      </c>
      <c r="V978" s="67">
        <f>IF(AND(ISNUMBER(L978),N(L978)&gt;0),N(L978),0)</f>
        <v>0.0</v>
      </c>
      <c r="W978" s="67">
        <f>IF(AND(I978="Terminée",S978&gt;0,C978&lt;&gt;"",ISNUMBER(MATCH(C978,eq_code,0))),1,0)</f>
        <v>0.0</v>
      </c>
      <c r="X978" s="67">
        <f>IF(AND(W978=1,E978="Préventif"),1,0)</f>
        <v>0.0</v>
      </c>
      <c r="Y978" s="67">
        <f>IF(AND(ISNUMBER(N978),N(N978)&gt;0),N(N978),0)</f>
        <v>0.0</v>
      </c>
      <c r="Z978" s="67">
        <f>IF(AND(ISNUMBER(P978),N(P978)&gt;0),N(P978),0)</f>
        <v>0.0</v>
      </c>
    </row>
    <row r="979">
      <c r="A979" s="79" t="str">
        <f>IF(COUNTA(B979:C979,E979:G979,I979)=0,"","BI-"&amp;RIGHT("0000"&amp;(ROW()-5),4))</f>
        <v/>
      </c>
      <c r="B979" s="72" t="n"/>
      <c r="C979" s="66" t="n"/>
      <c r="D979" s="67" t="str">
        <f>IF(C979="","",IFERROR(INDEX(eq_des,MATCH(C979,eq_code,0))&amp;"","Équipement inconnu"))</f>
        <v/>
      </c>
      <c r="E979" s="68" t="n"/>
      <c r="F979" s="68" t="n"/>
      <c r="G979" s="66" t="n"/>
      <c r="H979" s="66" t="n"/>
      <c r="I979" s="68" t="n"/>
      <c r="J979" s="73" t="n"/>
      <c r="K979" s="71" t="n"/>
      <c r="L979" s="71" t="n"/>
      <c r="M979" s="66" t="n"/>
      <c r="N979" s="80" t="n"/>
      <c r="O979" s="81" t="str">
        <f>IF(A979="","",ROUND(V979*IFERROR(N(INDEX(tech_rate,MATCH(M979,tech_name,0))),0),2))</f>
        <v/>
      </c>
      <c r="P979" s="80" t="n"/>
      <c r="Q979" s="81" t="str">
        <f>IF(A979="","",ROUND(Y979+O979+Z979,2))</f>
        <v/>
      </c>
      <c r="R979" s="79" t="str">
        <f>IF(A979="","",IF(S979=0,"Date manquante ou invalide",IF(C979="","Équipement manquant",IF(ISNA(MATCH(C979,eq_code,0)),"Équipement inconnu",IF(E979="","Type manquant",IF(AND(E979&lt;&gt;"Préventif",E979&lt;&gt;"Correctif",E979&lt;&gt;"Amélioratif"),"Type inconnu",IF(I979="","Statut manquant",IF(AND(I979&lt;&gt;"Terminée",I979&lt;&gt;"En cours",I979&lt;&gt;"À faire",I979&lt;&gt;"Annulée"),"Statut inconnu",IF(AND(E979="Préventif",F979=""),"Plan manquant (préventif)",IF(AND(F979&lt;&gt;"",ISNA(MATCH(F979,pl_num,0))),"Plan inconnu",IF(AND(F979&lt;&gt;"",IFERROR(INDEX(pl_eq,MATCH(F979,pl_num,0))&amp;"",C979)&lt;&gt;C979),"Plan d'un autre équipement",IF(AND(J979&lt;&gt;"",OR(NOT(ISNUMBER(J979)),N(J979)&lt;0)),"Compteur invalide",IF(OR(AND(K979&lt;&gt;"",OR(NOT(ISNUMBER(K979)),N(K979)&lt;0)),AND(L979&lt;&gt;"",OR(NOT(ISNUMBER(L979)),N(L979)&lt;0))),"Durée invalide",IF(OR(AND(N979&lt;&gt;"",OR(NOT(ISNUMBER(N979)),N(N979)&lt;0)),AND(P979&lt;&gt;"",OR(NOT(ISNUMBER(P979)),N(P979)&lt;0))),"Coût invalide",IF(AND(M979&lt;&gt;"",ISNA(MATCH(M979,tech_name,0))),"Technicien inconnu",IF(AND(I979="Terminée",S979&gt;p_today),"Terminée à une date future",IF(AND(I979="Terminée",V979=0),"Durée d'intervention manquante",IF(AND(I979="Terminée",E979="Préventif",T979=0,OR(IFERROR(INDEX(pl_trig,MATCH(F979,pl_num,0))&amp;"","")="Compteur",IFERROR(INDEX(pl_trig,MATCH(F979,pl_num,0))&amp;"","")="Au premier des deux")),"Compteur manquant (plan au compteur)","OK"))))))))))))))))))</f>
        <v/>
      </c>
      <c r="S979" s="67">
        <f>IF(AND(ISNUMBER(B979),N(B979)&gt;0),INT(B979),0)</f>
        <v>0.0</v>
      </c>
      <c r="T979" s="67">
        <f>IF(AND(ISNUMBER(J979),N(J979)&gt;=0),N(J979),0)</f>
        <v>0.0</v>
      </c>
      <c r="U979" s="67">
        <f>IF(AND(ISNUMBER(K979),N(K979)&gt;0),N(K979),0)</f>
        <v>0.0</v>
      </c>
      <c r="V979" s="67">
        <f>IF(AND(ISNUMBER(L979),N(L979)&gt;0),N(L979),0)</f>
        <v>0.0</v>
      </c>
      <c r="W979" s="67">
        <f>IF(AND(I979="Terminée",S979&gt;0,C979&lt;&gt;"",ISNUMBER(MATCH(C979,eq_code,0))),1,0)</f>
        <v>0.0</v>
      </c>
      <c r="X979" s="67">
        <f>IF(AND(W979=1,E979="Préventif"),1,0)</f>
        <v>0.0</v>
      </c>
      <c r="Y979" s="67">
        <f>IF(AND(ISNUMBER(N979),N(N979)&gt;0),N(N979),0)</f>
        <v>0.0</v>
      </c>
      <c r="Z979" s="67">
        <f>IF(AND(ISNUMBER(P979),N(P979)&gt;0),N(P979),0)</f>
        <v>0.0</v>
      </c>
    </row>
    <row r="980">
      <c r="A980" s="79" t="str">
        <f>IF(COUNTA(B980:C980,E980:G980,I980)=0,"","BI-"&amp;RIGHT("0000"&amp;(ROW()-5),4))</f>
        <v/>
      </c>
      <c r="B980" s="72" t="n"/>
      <c r="C980" s="66" t="n"/>
      <c r="D980" s="67" t="str">
        <f>IF(C980="","",IFERROR(INDEX(eq_des,MATCH(C980,eq_code,0))&amp;"","Équipement inconnu"))</f>
        <v/>
      </c>
      <c r="E980" s="68" t="n"/>
      <c r="F980" s="68" t="n"/>
      <c r="G980" s="66" t="n"/>
      <c r="H980" s="66" t="n"/>
      <c r="I980" s="68" t="n"/>
      <c r="J980" s="73" t="n"/>
      <c r="K980" s="71" t="n"/>
      <c r="L980" s="71" t="n"/>
      <c r="M980" s="66" t="n"/>
      <c r="N980" s="80" t="n"/>
      <c r="O980" s="81" t="str">
        <f>IF(A980="","",ROUND(V980*IFERROR(N(INDEX(tech_rate,MATCH(M980,tech_name,0))),0),2))</f>
        <v/>
      </c>
      <c r="P980" s="80" t="n"/>
      <c r="Q980" s="81" t="str">
        <f>IF(A980="","",ROUND(Y980+O980+Z980,2))</f>
        <v/>
      </c>
      <c r="R980" s="79" t="str">
        <f>IF(A980="","",IF(S980=0,"Date manquante ou invalide",IF(C980="","Équipement manquant",IF(ISNA(MATCH(C980,eq_code,0)),"Équipement inconnu",IF(E980="","Type manquant",IF(AND(E980&lt;&gt;"Préventif",E980&lt;&gt;"Correctif",E980&lt;&gt;"Amélioratif"),"Type inconnu",IF(I980="","Statut manquant",IF(AND(I980&lt;&gt;"Terminée",I980&lt;&gt;"En cours",I980&lt;&gt;"À faire",I980&lt;&gt;"Annulée"),"Statut inconnu",IF(AND(E980="Préventif",F980=""),"Plan manquant (préventif)",IF(AND(F980&lt;&gt;"",ISNA(MATCH(F980,pl_num,0))),"Plan inconnu",IF(AND(F980&lt;&gt;"",IFERROR(INDEX(pl_eq,MATCH(F980,pl_num,0))&amp;"",C980)&lt;&gt;C980),"Plan d'un autre équipement",IF(AND(J980&lt;&gt;"",OR(NOT(ISNUMBER(J980)),N(J980)&lt;0)),"Compteur invalide",IF(OR(AND(K980&lt;&gt;"",OR(NOT(ISNUMBER(K980)),N(K980)&lt;0)),AND(L980&lt;&gt;"",OR(NOT(ISNUMBER(L980)),N(L980)&lt;0))),"Durée invalide",IF(OR(AND(N980&lt;&gt;"",OR(NOT(ISNUMBER(N980)),N(N980)&lt;0)),AND(P980&lt;&gt;"",OR(NOT(ISNUMBER(P980)),N(P980)&lt;0))),"Coût invalide",IF(AND(M980&lt;&gt;"",ISNA(MATCH(M980,tech_name,0))),"Technicien inconnu",IF(AND(I980="Terminée",S980&gt;p_today),"Terminée à une date future",IF(AND(I980="Terminée",V980=0),"Durée d'intervention manquante",IF(AND(I980="Terminée",E980="Préventif",T980=0,OR(IFERROR(INDEX(pl_trig,MATCH(F980,pl_num,0))&amp;"","")="Compteur",IFERROR(INDEX(pl_trig,MATCH(F980,pl_num,0))&amp;"","")="Au premier des deux")),"Compteur manquant (plan au compteur)","OK"))))))))))))))))))</f>
        <v/>
      </c>
      <c r="S980" s="67">
        <f>IF(AND(ISNUMBER(B980),N(B980)&gt;0),INT(B980),0)</f>
        <v>0.0</v>
      </c>
      <c r="T980" s="67">
        <f>IF(AND(ISNUMBER(J980),N(J980)&gt;=0),N(J980),0)</f>
        <v>0.0</v>
      </c>
      <c r="U980" s="67">
        <f>IF(AND(ISNUMBER(K980),N(K980)&gt;0),N(K980),0)</f>
        <v>0.0</v>
      </c>
      <c r="V980" s="67">
        <f>IF(AND(ISNUMBER(L980),N(L980)&gt;0),N(L980),0)</f>
        <v>0.0</v>
      </c>
      <c r="W980" s="67">
        <f>IF(AND(I980="Terminée",S980&gt;0,C980&lt;&gt;"",ISNUMBER(MATCH(C980,eq_code,0))),1,0)</f>
        <v>0.0</v>
      </c>
      <c r="X980" s="67">
        <f>IF(AND(W980=1,E980="Préventif"),1,0)</f>
        <v>0.0</v>
      </c>
      <c r="Y980" s="67">
        <f>IF(AND(ISNUMBER(N980),N(N980)&gt;0),N(N980),0)</f>
        <v>0.0</v>
      </c>
      <c r="Z980" s="67">
        <f>IF(AND(ISNUMBER(P980),N(P980)&gt;0),N(P980),0)</f>
        <v>0.0</v>
      </c>
    </row>
    <row r="981">
      <c r="A981" s="79" t="str">
        <f>IF(COUNTA(B981:C981,E981:G981,I981)=0,"","BI-"&amp;RIGHT("0000"&amp;(ROW()-5),4))</f>
        <v/>
      </c>
      <c r="B981" s="72" t="n"/>
      <c r="C981" s="66" t="n"/>
      <c r="D981" s="67" t="str">
        <f>IF(C981="","",IFERROR(INDEX(eq_des,MATCH(C981,eq_code,0))&amp;"","Équipement inconnu"))</f>
        <v/>
      </c>
      <c r="E981" s="68" t="n"/>
      <c r="F981" s="68" t="n"/>
      <c r="G981" s="66" t="n"/>
      <c r="H981" s="66" t="n"/>
      <c r="I981" s="68" t="n"/>
      <c r="J981" s="73" t="n"/>
      <c r="K981" s="71" t="n"/>
      <c r="L981" s="71" t="n"/>
      <c r="M981" s="66" t="n"/>
      <c r="N981" s="80" t="n"/>
      <c r="O981" s="81" t="str">
        <f>IF(A981="","",ROUND(V981*IFERROR(N(INDEX(tech_rate,MATCH(M981,tech_name,0))),0),2))</f>
        <v/>
      </c>
      <c r="P981" s="80" t="n"/>
      <c r="Q981" s="81" t="str">
        <f>IF(A981="","",ROUND(Y981+O981+Z981,2))</f>
        <v/>
      </c>
      <c r="R981" s="79" t="str">
        <f>IF(A981="","",IF(S981=0,"Date manquante ou invalide",IF(C981="","Équipement manquant",IF(ISNA(MATCH(C981,eq_code,0)),"Équipement inconnu",IF(E981="","Type manquant",IF(AND(E981&lt;&gt;"Préventif",E981&lt;&gt;"Correctif",E981&lt;&gt;"Amélioratif"),"Type inconnu",IF(I981="","Statut manquant",IF(AND(I981&lt;&gt;"Terminée",I981&lt;&gt;"En cours",I981&lt;&gt;"À faire",I981&lt;&gt;"Annulée"),"Statut inconnu",IF(AND(E981="Préventif",F981=""),"Plan manquant (préventif)",IF(AND(F981&lt;&gt;"",ISNA(MATCH(F981,pl_num,0))),"Plan inconnu",IF(AND(F981&lt;&gt;"",IFERROR(INDEX(pl_eq,MATCH(F981,pl_num,0))&amp;"",C981)&lt;&gt;C981),"Plan d'un autre équipement",IF(AND(J981&lt;&gt;"",OR(NOT(ISNUMBER(J981)),N(J981)&lt;0)),"Compteur invalide",IF(OR(AND(K981&lt;&gt;"",OR(NOT(ISNUMBER(K981)),N(K981)&lt;0)),AND(L981&lt;&gt;"",OR(NOT(ISNUMBER(L981)),N(L981)&lt;0))),"Durée invalide",IF(OR(AND(N981&lt;&gt;"",OR(NOT(ISNUMBER(N981)),N(N981)&lt;0)),AND(P981&lt;&gt;"",OR(NOT(ISNUMBER(P981)),N(P981)&lt;0))),"Coût invalide",IF(AND(M981&lt;&gt;"",ISNA(MATCH(M981,tech_name,0))),"Technicien inconnu",IF(AND(I981="Terminée",S981&gt;p_today),"Terminée à une date future",IF(AND(I981="Terminée",V981=0),"Durée d'intervention manquante",IF(AND(I981="Terminée",E981="Préventif",T981=0,OR(IFERROR(INDEX(pl_trig,MATCH(F981,pl_num,0))&amp;"","")="Compteur",IFERROR(INDEX(pl_trig,MATCH(F981,pl_num,0))&amp;"","")="Au premier des deux")),"Compteur manquant (plan au compteur)","OK"))))))))))))))))))</f>
        <v/>
      </c>
      <c r="S981" s="67">
        <f>IF(AND(ISNUMBER(B981),N(B981)&gt;0),INT(B981),0)</f>
        <v>0.0</v>
      </c>
      <c r="T981" s="67">
        <f>IF(AND(ISNUMBER(J981),N(J981)&gt;=0),N(J981),0)</f>
        <v>0.0</v>
      </c>
      <c r="U981" s="67">
        <f>IF(AND(ISNUMBER(K981),N(K981)&gt;0),N(K981),0)</f>
        <v>0.0</v>
      </c>
      <c r="V981" s="67">
        <f>IF(AND(ISNUMBER(L981),N(L981)&gt;0),N(L981),0)</f>
        <v>0.0</v>
      </c>
      <c r="W981" s="67">
        <f>IF(AND(I981="Terminée",S981&gt;0,C981&lt;&gt;"",ISNUMBER(MATCH(C981,eq_code,0))),1,0)</f>
        <v>0.0</v>
      </c>
      <c r="X981" s="67">
        <f>IF(AND(W981=1,E981="Préventif"),1,0)</f>
        <v>0.0</v>
      </c>
      <c r="Y981" s="67">
        <f>IF(AND(ISNUMBER(N981),N(N981)&gt;0),N(N981),0)</f>
        <v>0.0</v>
      </c>
      <c r="Z981" s="67">
        <f>IF(AND(ISNUMBER(P981),N(P981)&gt;0),N(P981),0)</f>
        <v>0.0</v>
      </c>
    </row>
    <row r="982">
      <c r="A982" s="79" t="str">
        <f>IF(COUNTA(B982:C982,E982:G982,I982)=0,"","BI-"&amp;RIGHT("0000"&amp;(ROW()-5),4))</f>
        <v/>
      </c>
      <c r="B982" s="72" t="n"/>
      <c r="C982" s="66" t="n"/>
      <c r="D982" s="67" t="str">
        <f>IF(C982="","",IFERROR(INDEX(eq_des,MATCH(C982,eq_code,0))&amp;"","Équipement inconnu"))</f>
        <v/>
      </c>
      <c r="E982" s="68" t="n"/>
      <c r="F982" s="68" t="n"/>
      <c r="G982" s="66" t="n"/>
      <c r="H982" s="66" t="n"/>
      <c r="I982" s="68" t="n"/>
      <c r="J982" s="73" t="n"/>
      <c r="K982" s="71" t="n"/>
      <c r="L982" s="71" t="n"/>
      <c r="M982" s="66" t="n"/>
      <c r="N982" s="80" t="n"/>
      <c r="O982" s="81" t="str">
        <f>IF(A982="","",ROUND(V982*IFERROR(N(INDEX(tech_rate,MATCH(M982,tech_name,0))),0),2))</f>
        <v/>
      </c>
      <c r="P982" s="80" t="n"/>
      <c r="Q982" s="81" t="str">
        <f>IF(A982="","",ROUND(Y982+O982+Z982,2))</f>
        <v/>
      </c>
      <c r="R982" s="79" t="str">
        <f>IF(A982="","",IF(S982=0,"Date manquante ou invalide",IF(C982="","Équipement manquant",IF(ISNA(MATCH(C982,eq_code,0)),"Équipement inconnu",IF(E982="","Type manquant",IF(AND(E982&lt;&gt;"Préventif",E982&lt;&gt;"Correctif",E982&lt;&gt;"Amélioratif"),"Type inconnu",IF(I982="","Statut manquant",IF(AND(I982&lt;&gt;"Terminée",I982&lt;&gt;"En cours",I982&lt;&gt;"À faire",I982&lt;&gt;"Annulée"),"Statut inconnu",IF(AND(E982="Préventif",F982=""),"Plan manquant (préventif)",IF(AND(F982&lt;&gt;"",ISNA(MATCH(F982,pl_num,0))),"Plan inconnu",IF(AND(F982&lt;&gt;"",IFERROR(INDEX(pl_eq,MATCH(F982,pl_num,0))&amp;"",C982)&lt;&gt;C982),"Plan d'un autre équipement",IF(AND(J982&lt;&gt;"",OR(NOT(ISNUMBER(J982)),N(J982)&lt;0)),"Compteur invalide",IF(OR(AND(K982&lt;&gt;"",OR(NOT(ISNUMBER(K982)),N(K982)&lt;0)),AND(L982&lt;&gt;"",OR(NOT(ISNUMBER(L982)),N(L982)&lt;0))),"Durée invalide",IF(OR(AND(N982&lt;&gt;"",OR(NOT(ISNUMBER(N982)),N(N982)&lt;0)),AND(P982&lt;&gt;"",OR(NOT(ISNUMBER(P982)),N(P982)&lt;0))),"Coût invalide",IF(AND(M982&lt;&gt;"",ISNA(MATCH(M982,tech_name,0))),"Technicien inconnu",IF(AND(I982="Terminée",S982&gt;p_today),"Terminée à une date future",IF(AND(I982="Terminée",V982=0),"Durée d'intervention manquante",IF(AND(I982="Terminée",E982="Préventif",T982=0,OR(IFERROR(INDEX(pl_trig,MATCH(F982,pl_num,0))&amp;"","")="Compteur",IFERROR(INDEX(pl_trig,MATCH(F982,pl_num,0))&amp;"","")="Au premier des deux")),"Compteur manquant (plan au compteur)","OK"))))))))))))))))))</f>
        <v/>
      </c>
      <c r="S982" s="67">
        <f>IF(AND(ISNUMBER(B982),N(B982)&gt;0),INT(B982),0)</f>
        <v>0.0</v>
      </c>
      <c r="T982" s="67">
        <f>IF(AND(ISNUMBER(J982),N(J982)&gt;=0),N(J982),0)</f>
        <v>0.0</v>
      </c>
      <c r="U982" s="67">
        <f>IF(AND(ISNUMBER(K982),N(K982)&gt;0),N(K982),0)</f>
        <v>0.0</v>
      </c>
      <c r="V982" s="67">
        <f>IF(AND(ISNUMBER(L982),N(L982)&gt;0),N(L982),0)</f>
        <v>0.0</v>
      </c>
      <c r="W982" s="67">
        <f>IF(AND(I982="Terminée",S982&gt;0,C982&lt;&gt;"",ISNUMBER(MATCH(C982,eq_code,0))),1,0)</f>
        <v>0.0</v>
      </c>
      <c r="X982" s="67">
        <f>IF(AND(W982=1,E982="Préventif"),1,0)</f>
        <v>0.0</v>
      </c>
      <c r="Y982" s="67">
        <f>IF(AND(ISNUMBER(N982),N(N982)&gt;0),N(N982),0)</f>
        <v>0.0</v>
      </c>
      <c r="Z982" s="67">
        <f>IF(AND(ISNUMBER(P982),N(P982)&gt;0),N(P982),0)</f>
        <v>0.0</v>
      </c>
    </row>
    <row r="983">
      <c r="A983" s="79" t="str">
        <f>IF(COUNTA(B983:C983,E983:G983,I983)=0,"","BI-"&amp;RIGHT("0000"&amp;(ROW()-5),4))</f>
        <v/>
      </c>
      <c r="B983" s="72" t="n"/>
      <c r="C983" s="66" t="n"/>
      <c r="D983" s="67" t="str">
        <f>IF(C983="","",IFERROR(INDEX(eq_des,MATCH(C983,eq_code,0))&amp;"","Équipement inconnu"))</f>
        <v/>
      </c>
      <c r="E983" s="68" t="n"/>
      <c r="F983" s="68" t="n"/>
      <c r="G983" s="66" t="n"/>
      <c r="H983" s="66" t="n"/>
      <c r="I983" s="68" t="n"/>
      <c r="J983" s="73" t="n"/>
      <c r="K983" s="71" t="n"/>
      <c r="L983" s="71" t="n"/>
      <c r="M983" s="66" t="n"/>
      <c r="N983" s="80" t="n"/>
      <c r="O983" s="81" t="str">
        <f>IF(A983="","",ROUND(V983*IFERROR(N(INDEX(tech_rate,MATCH(M983,tech_name,0))),0),2))</f>
        <v/>
      </c>
      <c r="P983" s="80" t="n"/>
      <c r="Q983" s="81" t="str">
        <f>IF(A983="","",ROUND(Y983+O983+Z983,2))</f>
        <v/>
      </c>
      <c r="R983" s="79" t="str">
        <f>IF(A983="","",IF(S983=0,"Date manquante ou invalide",IF(C983="","Équipement manquant",IF(ISNA(MATCH(C983,eq_code,0)),"Équipement inconnu",IF(E983="","Type manquant",IF(AND(E983&lt;&gt;"Préventif",E983&lt;&gt;"Correctif",E983&lt;&gt;"Amélioratif"),"Type inconnu",IF(I983="","Statut manquant",IF(AND(I983&lt;&gt;"Terminée",I983&lt;&gt;"En cours",I983&lt;&gt;"À faire",I983&lt;&gt;"Annulée"),"Statut inconnu",IF(AND(E983="Préventif",F983=""),"Plan manquant (préventif)",IF(AND(F983&lt;&gt;"",ISNA(MATCH(F983,pl_num,0))),"Plan inconnu",IF(AND(F983&lt;&gt;"",IFERROR(INDEX(pl_eq,MATCH(F983,pl_num,0))&amp;"",C983)&lt;&gt;C983),"Plan d'un autre équipement",IF(AND(J983&lt;&gt;"",OR(NOT(ISNUMBER(J983)),N(J983)&lt;0)),"Compteur invalide",IF(OR(AND(K983&lt;&gt;"",OR(NOT(ISNUMBER(K983)),N(K983)&lt;0)),AND(L983&lt;&gt;"",OR(NOT(ISNUMBER(L983)),N(L983)&lt;0))),"Durée invalide",IF(OR(AND(N983&lt;&gt;"",OR(NOT(ISNUMBER(N983)),N(N983)&lt;0)),AND(P983&lt;&gt;"",OR(NOT(ISNUMBER(P983)),N(P983)&lt;0))),"Coût invalide",IF(AND(M983&lt;&gt;"",ISNA(MATCH(M983,tech_name,0))),"Technicien inconnu",IF(AND(I983="Terminée",S983&gt;p_today),"Terminée à une date future",IF(AND(I983="Terminée",V983=0),"Durée d'intervention manquante",IF(AND(I983="Terminée",E983="Préventif",T983=0,OR(IFERROR(INDEX(pl_trig,MATCH(F983,pl_num,0))&amp;"","")="Compteur",IFERROR(INDEX(pl_trig,MATCH(F983,pl_num,0))&amp;"","")="Au premier des deux")),"Compteur manquant (plan au compteur)","OK"))))))))))))))))))</f>
        <v/>
      </c>
      <c r="S983" s="67">
        <f>IF(AND(ISNUMBER(B983),N(B983)&gt;0),INT(B983),0)</f>
        <v>0.0</v>
      </c>
      <c r="T983" s="67">
        <f>IF(AND(ISNUMBER(J983),N(J983)&gt;=0),N(J983),0)</f>
        <v>0.0</v>
      </c>
      <c r="U983" s="67">
        <f>IF(AND(ISNUMBER(K983),N(K983)&gt;0),N(K983),0)</f>
        <v>0.0</v>
      </c>
      <c r="V983" s="67">
        <f>IF(AND(ISNUMBER(L983),N(L983)&gt;0),N(L983),0)</f>
        <v>0.0</v>
      </c>
      <c r="W983" s="67">
        <f>IF(AND(I983="Terminée",S983&gt;0,C983&lt;&gt;"",ISNUMBER(MATCH(C983,eq_code,0))),1,0)</f>
        <v>0.0</v>
      </c>
      <c r="X983" s="67">
        <f>IF(AND(W983=1,E983="Préventif"),1,0)</f>
        <v>0.0</v>
      </c>
      <c r="Y983" s="67">
        <f>IF(AND(ISNUMBER(N983),N(N983)&gt;0),N(N983),0)</f>
        <v>0.0</v>
      </c>
      <c r="Z983" s="67">
        <f>IF(AND(ISNUMBER(P983),N(P983)&gt;0),N(P983),0)</f>
        <v>0.0</v>
      </c>
    </row>
    <row r="984">
      <c r="A984" s="79" t="str">
        <f>IF(COUNTA(B984:C984,E984:G984,I984)=0,"","BI-"&amp;RIGHT("0000"&amp;(ROW()-5),4))</f>
        <v/>
      </c>
      <c r="B984" s="72" t="n"/>
      <c r="C984" s="66" t="n"/>
      <c r="D984" s="67" t="str">
        <f>IF(C984="","",IFERROR(INDEX(eq_des,MATCH(C984,eq_code,0))&amp;"","Équipement inconnu"))</f>
        <v/>
      </c>
      <c r="E984" s="68" t="n"/>
      <c r="F984" s="68" t="n"/>
      <c r="G984" s="66" t="n"/>
      <c r="H984" s="66" t="n"/>
      <c r="I984" s="68" t="n"/>
      <c r="J984" s="73" t="n"/>
      <c r="K984" s="71" t="n"/>
      <c r="L984" s="71" t="n"/>
      <c r="M984" s="66" t="n"/>
      <c r="N984" s="80" t="n"/>
      <c r="O984" s="81" t="str">
        <f>IF(A984="","",ROUND(V984*IFERROR(N(INDEX(tech_rate,MATCH(M984,tech_name,0))),0),2))</f>
        <v/>
      </c>
      <c r="P984" s="80" t="n"/>
      <c r="Q984" s="81" t="str">
        <f>IF(A984="","",ROUND(Y984+O984+Z984,2))</f>
        <v/>
      </c>
      <c r="R984" s="79" t="str">
        <f>IF(A984="","",IF(S984=0,"Date manquante ou invalide",IF(C984="","Équipement manquant",IF(ISNA(MATCH(C984,eq_code,0)),"Équipement inconnu",IF(E984="","Type manquant",IF(AND(E984&lt;&gt;"Préventif",E984&lt;&gt;"Correctif",E984&lt;&gt;"Amélioratif"),"Type inconnu",IF(I984="","Statut manquant",IF(AND(I984&lt;&gt;"Terminée",I984&lt;&gt;"En cours",I984&lt;&gt;"À faire",I984&lt;&gt;"Annulée"),"Statut inconnu",IF(AND(E984="Préventif",F984=""),"Plan manquant (préventif)",IF(AND(F984&lt;&gt;"",ISNA(MATCH(F984,pl_num,0))),"Plan inconnu",IF(AND(F984&lt;&gt;"",IFERROR(INDEX(pl_eq,MATCH(F984,pl_num,0))&amp;"",C984)&lt;&gt;C984),"Plan d'un autre équipement",IF(AND(J984&lt;&gt;"",OR(NOT(ISNUMBER(J984)),N(J984)&lt;0)),"Compteur invalide",IF(OR(AND(K984&lt;&gt;"",OR(NOT(ISNUMBER(K984)),N(K984)&lt;0)),AND(L984&lt;&gt;"",OR(NOT(ISNUMBER(L984)),N(L984)&lt;0))),"Durée invalide",IF(OR(AND(N984&lt;&gt;"",OR(NOT(ISNUMBER(N984)),N(N984)&lt;0)),AND(P984&lt;&gt;"",OR(NOT(ISNUMBER(P984)),N(P984)&lt;0))),"Coût invalide",IF(AND(M984&lt;&gt;"",ISNA(MATCH(M984,tech_name,0))),"Technicien inconnu",IF(AND(I984="Terminée",S984&gt;p_today),"Terminée à une date future",IF(AND(I984="Terminée",V984=0),"Durée d'intervention manquante",IF(AND(I984="Terminée",E984="Préventif",T984=0,OR(IFERROR(INDEX(pl_trig,MATCH(F984,pl_num,0))&amp;"","")="Compteur",IFERROR(INDEX(pl_trig,MATCH(F984,pl_num,0))&amp;"","")="Au premier des deux")),"Compteur manquant (plan au compteur)","OK"))))))))))))))))))</f>
        <v/>
      </c>
      <c r="S984" s="67">
        <f>IF(AND(ISNUMBER(B984),N(B984)&gt;0),INT(B984),0)</f>
        <v>0.0</v>
      </c>
      <c r="T984" s="67">
        <f>IF(AND(ISNUMBER(J984),N(J984)&gt;=0),N(J984),0)</f>
        <v>0.0</v>
      </c>
      <c r="U984" s="67">
        <f>IF(AND(ISNUMBER(K984),N(K984)&gt;0),N(K984),0)</f>
        <v>0.0</v>
      </c>
      <c r="V984" s="67">
        <f>IF(AND(ISNUMBER(L984),N(L984)&gt;0),N(L984),0)</f>
        <v>0.0</v>
      </c>
      <c r="W984" s="67">
        <f>IF(AND(I984="Terminée",S984&gt;0,C984&lt;&gt;"",ISNUMBER(MATCH(C984,eq_code,0))),1,0)</f>
        <v>0.0</v>
      </c>
      <c r="X984" s="67">
        <f>IF(AND(W984=1,E984="Préventif"),1,0)</f>
        <v>0.0</v>
      </c>
      <c r="Y984" s="67">
        <f>IF(AND(ISNUMBER(N984),N(N984)&gt;0),N(N984),0)</f>
        <v>0.0</v>
      </c>
      <c r="Z984" s="67">
        <f>IF(AND(ISNUMBER(P984),N(P984)&gt;0),N(P984),0)</f>
        <v>0.0</v>
      </c>
    </row>
    <row r="985">
      <c r="A985" s="79" t="str">
        <f>IF(COUNTA(B985:C985,E985:G985,I985)=0,"","BI-"&amp;RIGHT("0000"&amp;(ROW()-5),4))</f>
        <v/>
      </c>
      <c r="B985" s="72" t="n"/>
      <c r="C985" s="66" t="n"/>
      <c r="D985" s="67" t="str">
        <f>IF(C985="","",IFERROR(INDEX(eq_des,MATCH(C985,eq_code,0))&amp;"","Équipement inconnu"))</f>
        <v/>
      </c>
      <c r="E985" s="68" t="n"/>
      <c r="F985" s="68" t="n"/>
      <c r="G985" s="66" t="n"/>
      <c r="H985" s="66" t="n"/>
      <c r="I985" s="68" t="n"/>
      <c r="J985" s="73" t="n"/>
      <c r="K985" s="71" t="n"/>
      <c r="L985" s="71" t="n"/>
      <c r="M985" s="66" t="n"/>
      <c r="N985" s="80" t="n"/>
      <c r="O985" s="81" t="str">
        <f>IF(A985="","",ROUND(V985*IFERROR(N(INDEX(tech_rate,MATCH(M985,tech_name,0))),0),2))</f>
        <v/>
      </c>
      <c r="P985" s="80" t="n"/>
      <c r="Q985" s="81" t="str">
        <f>IF(A985="","",ROUND(Y985+O985+Z985,2))</f>
        <v/>
      </c>
      <c r="R985" s="79" t="str">
        <f>IF(A985="","",IF(S985=0,"Date manquante ou invalide",IF(C985="","Équipement manquant",IF(ISNA(MATCH(C985,eq_code,0)),"Équipement inconnu",IF(E985="","Type manquant",IF(AND(E985&lt;&gt;"Préventif",E985&lt;&gt;"Correctif",E985&lt;&gt;"Amélioratif"),"Type inconnu",IF(I985="","Statut manquant",IF(AND(I985&lt;&gt;"Terminée",I985&lt;&gt;"En cours",I985&lt;&gt;"À faire",I985&lt;&gt;"Annulée"),"Statut inconnu",IF(AND(E985="Préventif",F985=""),"Plan manquant (préventif)",IF(AND(F985&lt;&gt;"",ISNA(MATCH(F985,pl_num,0))),"Plan inconnu",IF(AND(F985&lt;&gt;"",IFERROR(INDEX(pl_eq,MATCH(F985,pl_num,0))&amp;"",C985)&lt;&gt;C985),"Plan d'un autre équipement",IF(AND(J985&lt;&gt;"",OR(NOT(ISNUMBER(J985)),N(J985)&lt;0)),"Compteur invalide",IF(OR(AND(K985&lt;&gt;"",OR(NOT(ISNUMBER(K985)),N(K985)&lt;0)),AND(L985&lt;&gt;"",OR(NOT(ISNUMBER(L985)),N(L985)&lt;0))),"Durée invalide",IF(OR(AND(N985&lt;&gt;"",OR(NOT(ISNUMBER(N985)),N(N985)&lt;0)),AND(P985&lt;&gt;"",OR(NOT(ISNUMBER(P985)),N(P985)&lt;0))),"Coût invalide",IF(AND(M985&lt;&gt;"",ISNA(MATCH(M985,tech_name,0))),"Technicien inconnu",IF(AND(I985="Terminée",S985&gt;p_today),"Terminée à une date future",IF(AND(I985="Terminée",V985=0),"Durée d'intervention manquante",IF(AND(I985="Terminée",E985="Préventif",T985=0,OR(IFERROR(INDEX(pl_trig,MATCH(F985,pl_num,0))&amp;"","")="Compteur",IFERROR(INDEX(pl_trig,MATCH(F985,pl_num,0))&amp;"","")="Au premier des deux")),"Compteur manquant (plan au compteur)","OK"))))))))))))))))))</f>
        <v/>
      </c>
      <c r="S985" s="67">
        <f>IF(AND(ISNUMBER(B985),N(B985)&gt;0),INT(B985),0)</f>
        <v>0.0</v>
      </c>
      <c r="T985" s="67">
        <f>IF(AND(ISNUMBER(J985),N(J985)&gt;=0),N(J985),0)</f>
        <v>0.0</v>
      </c>
      <c r="U985" s="67">
        <f>IF(AND(ISNUMBER(K985),N(K985)&gt;0),N(K985),0)</f>
        <v>0.0</v>
      </c>
      <c r="V985" s="67">
        <f>IF(AND(ISNUMBER(L985),N(L985)&gt;0),N(L985),0)</f>
        <v>0.0</v>
      </c>
      <c r="W985" s="67">
        <f>IF(AND(I985="Terminée",S985&gt;0,C985&lt;&gt;"",ISNUMBER(MATCH(C985,eq_code,0))),1,0)</f>
        <v>0.0</v>
      </c>
      <c r="X985" s="67">
        <f>IF(AND(W985=1,E985="Préventif"),1,0)</f>
        <v>0.0</v>
      </c>
      <c r="Y985" s="67">
        <f>IF(AND(ISNUMBER(N985),N(N985)&gt;0),N(N985),0)</f>
        <v>0.0</v>
      </c>
      <c r="Z985" s="67">
        <f>IF(AND(ISNUMBER(P985),N(P985)&gt;0),N(P985),0)</f>
        <v>0.0</v>
      </c>
    </row>
    <row r="986">
      <c r="A986" s="79" t="str">
        <f>IF(COUNTA(B986:C986,E986:G986,I986)=0,"","BI-"&amp;RIGHT("0000"&amp;(ROW()-5),4))</f>
        <v/>
      </c>
      <c r="B986" s="72" t="n"/>
      <c r="C986" s="66" t="n"/>
      <c r="D986" s="67" t="str">
        <f>IF(C986="","",IFERROR(INDEX(eq_des,MATCH(C986,eq_code,0))&amp;"","Équipement inconnu"))</f>
        <v/>
      </c>
      <c r="E986" s="68" t="n"/>
      <c r="F986" s="68" t="n"/>
      <c r="G986" s="66" t="n"/>
      <c r="H986" s="66" t="n"/>
      <c r="I986" s="68" t="n"/>
      <c r="J986" s="73" t="n"/>
      <c r="K986" s="71" t="n"/>
      <c r="L986" s="71" t="n"/>
      <c r="M986" s="66" t="n"/>
      <c r="N986" s="80" t="n"/>
      <c r="O986" s="81" t="str">
        <f>IF(A986="","",ROUND(V986*IFERROR(N(INDEX(tech_rate,MATCH(M986,tech_name,0))),0),2))</f>
        <v/>
      </c>
      <c r="P986" s="80" t="n"/>
      <c r="Q986" s="81" t="str">
        <f>IF(A986="","",ROUND(Y986+O986+Z986,2))</f>
        <v/>
      </c>
      <c r="R986" s="79" t="str">
        <f>IF(A986="","",IF(S986=0,"Date manquante ou invalide",IF(C986="","Équipement manquant",IF(ISNA(MATCH(C986,eq_code,0)),"Équipement inconnu",IF(E986="","Type manquant",IF(AND(E986&lt;&gt;"Préventif",E986&lt;&gt;"Correctif",E986&lt;&gt;"Amélioratif"),"Type inconnu",IF(I986="","Statut manquant",IF(AND(I986&lt;&gt;"Terminée",I986&lt;&gt;"En cours",I986&lt;&gt;"À faire",I986&lt;&gt;"Annulée"),"Statut inconnu",IF(AND(E986="Préventif",F986=""),"Plan manquant (préventif)",IF(AND(F986&lt;&gt;"",ISNA(MATCH(F986,pl_num,0))),"Plan inconnu",IF(AND(F986&lt;&gt;"",IFERROR(INDEX(pl_eq,MATCH(F986,pl_num,0))&amp;"",C986)&lt;&gt;C986),"Plan d'un autre équipement",IF(AND(J986&lt;&gt;"",OR(NOT(ISNUMBER(J986)),N(J986)&lt;0)),"Compteur invalide",IF(OR(AND(K986&lt;&gt;"",OR(NOT(ISNUMBER(K986)),N(K986)&lt;0)),AND(L986&lt;&gt;"",OR(NOT(ISNUMBER(L986)),N(L986)&lt;0))),"Durée invalide",IF(OR(AND(N986&lt;&gt;"",OR(NOT(ISNUMBER(N986)),N(N986)&lt;0)),AND(P986&lt;&gt;"",OR(NOT(ISNUMBER(P986)),N(P986)&lt;0))),"Coût invalide",IF(AND(M986&lt;&gt;"",ISNA(MATCH(M986,tech_name,0))),"Technicien inconnu",IF(AND(I986="Terminée",S986&gt;p_today),"Terminée à une date future",IF(AND(I986="Terminée",V986=0),"Durée d'intervention manquante",IF(AND(I986="Terminée",E986="Préventif",T986=0,OR(IFERROR(INDEX(pl_trig,MATCH(F986,pl_num,0))&amp;"","")="Compteur",IFERROR(INDEX(pl_trig,MATCH(F986,pl_num,0))&amp;"","")="Au premier des deux")),"Compteur manquant (plan au compteur)","OK"))))))))))))))))))</f>
        <v/>
      </c>
      <c r="S986" s="67">
        <f>IF(AND(ISNUMBER(B986),N(B986)&gt;0),INT(B986),0)</f>
        <v>0.0</v>
      </c>
      <c r="T986" s="67">
        <f>IF(AND(ISNUMBER(J986),N(J986)&gt;=0),N(J986),0)</f>
        <v>0.0</v>
      </c>
      <c r="U986" s="67">
        <f>IF(AND(ISNUMBER(K986),N(K986)&gt;0),N(K986),0)</f>
        <v>0.0</v>
      </c>
      <c r="V986" s="67">
        <f>IF(AND(ISNUMBER(L986),N(L986)&gt;0),N(L986),0)</f>
        <v>0.0</v>
      </c>
      <c r="W986" s="67">
        <f>IF(AND(I986="Terminée",S986&gt;0,C986&lt;&gt;"",ISNUMBER(MATCH(C986,eq_code,0))),1,0)</f>
        <v>0.0</v>
      </c>
      <c r="X986" s="67">
        <f>IF(AND(W986=1,E986="Préventif"),1,0)</f>
        <v>0.0</v>
      </c>
      <c r="Y986" s="67">
        <f>IF(AND(ISNUMBER(N986),N(N986)&gt;0),N(N986),0)</f>
        <v>0.0</v>
      </c>
      <c r="Z986" s="67">
        <f>IF(AND(ISNUMBER(P986),N(P986)&gt;0),N(P986),0)</f>
        <v>0.0</v>
      </c>
    </row>
    <row r="987">
      <c r="A987" s="79" t="str">
        <f>IF(COUNTA(B987:C987,E987:G987,I987)=0,"","BI-"&amp;RIGHT("0000"&amp;(ROW()-5),4))</f>
        <v/>
      </c>
      <c r="B987" s="72" t="n"/>
      <c r="C987" s="66" t="n"/>
      <c r="D987" s="67" t="str">
        <f>IF(C987="","",IFERROR(INDEX(eq_des,MATCH(C987,eq_code,0))&amp;"","Équipement inconnu"))</f>
        <v/>
      </c>
      <c r="E987" s="68" t="n"/>
      <c r="F987" s="68" t="n"/>
      <c r="G987" s="66" t="n"/>
      <c r="H987" s="66" t="n"/>
      <c r="I987" s="68" t="n"/>
      <c r="J987" s="73" t="n"/>
      <c r="K987" s="71" t="n"/>
      <c r="L987" s="71" t="n"/>
      <c r="M987" s="66" t="n"/>
      <c r="N987" s="80" t="n"/>
      <c r="O987" s="81" t="str">
        <f>IF(A987="","",ROUND(V987*IFERROR(N(INDEX(tech_rate,MATCH(M987,tech_name,0))),0),2))</f>
        <v/>
      </c>
      <c r="P987" s="80" t="n"/>
      <c r="Q987" s="81" t="str">
        <f>IF(A987="","",ROUND(Y987+O987+Z987,2))</f>
        <v/>
      </c>
      <c r="R987" s="79" t="str">
        <f>IF(A987="","",IF(S987=0,"Date manquante ou invalide",IF(C987="","Équipement manquant",IF(ISNA(MATCH(C987,eq_code,0)),"Équipement inconnu",IF(E987="","Type manquant",IF(AND(E987&lt;&gt;"Préventif",E987&lt;&gt;"Correctif",E987&lt;&gt;"Amélioratif"),"Type inconnu",IF(I987="","Statut manquant",IF(AND(I987&lt;&gt;"Terminée",I987&lt;&gt;"En cours",I987&lt;&gt;"À faire",I987&lt;&gt;"Annulée"),"Statut inconnu",IF(AND(E987="Préventif",F987=""),"Plan manquant (préventif)",IF(AND(F987&lt;&gt;"",ISNA(MATCH(F987,pl_num,0))),"Plan inconnu",IF(AND(F987&lt;&gt;"",IFERROR(INDEX(pl_eq,MATCH(F987,pl_num,0))&amp;"",C987)&lt;&gt;C987),"Plan d'un autre équipement",IF(AND(J987&lt;&gt;"",OR(NOT(ISNUMBER(J987)),N(J987)&lt;0)),"Compteur invalide",IF(OR(AND(K987&lt;&gt;"",OR(NOT(ISNUMBER(K987)),N(K987)&lt;0)),AND(L987&lt;&gt;"",OR(NOT(ISNUMBER(L987)),N(L987)&lt;0))),"Durée invalide",IF(OR(AND(N987&lt;&gt;"",OR(NOT(ISNUMBER(N987)),N(N987)&lt;0)),AND(P987&lt;&gt;"",OR(NOT(ISNUMBER(P987)),N(P987)&lt;0))),"Coût invalide",IF(AND(M987&lt;&gt;"",ISNA(MATCH(M987,tech_name,0))),"Technicien inconnu",IF(AND(I987="Terminée",S987&gt;p_today),"Terminée à une date future",IF(AND(I987="Terminée",V987=0),"Durée d'intervention manquante",IF(AND(I987="Terminée",E987="Préventif",T987=0,OR(IFERROR(INDEX(pl_trig,MATCH(F987,pl_num,0))&amp;"","")="Compteur",IFERROR(INDEX(pl_trig,MATCH(F987,pl_num,0))&amp;"","")="Au premier des deux")),"Compteur manquant (plan au compteur)","OK"))))))))))))))))))</f>
        <v/>
      </c>
      <c r="S987" s="67">
        <f>IF(AND(ISNUMBER(B987),N(B987)&gt;0),INT(B987),0)</f>
        <v>0.0</v>
      </c>
      <c r="T987" s="67">
        <f>IF(AND(ISNUMBER(J987),N(J987)&gt;=0),N(J987),0)</f>
        <v>0.0</v>
      </c>
      <c r="U987" s="67">
        <f>IF(AND(ISNUMBER(K987),N(K987)&gt;0),N(K987),0)</f>
        <v>0.0</v>
      </c>
      <c r="V987" s="67">
        <f>IF(AND(ISNUMBER(L987),N(L987)&gt;0),N(L987),0)</f>
        <v>0.0</v>
      </c>
      <c r="W987" s="67">
        <f>IF(AND(I987="Terminée",S987&gt;0,C987&lt;&gt;"",ISNUMBER(MATCH(C987,eq_code,0))),1,0)</f>
        <v>0.0</v>
      </c>
      <c r="X987" s="67">
        <f>IF(AND(W987=1,E987="Préventif"),1,0)</f>
        <v>0.0</v>
      </c>
      <c r="Y987" s="67">
        <f>IF(AND(ISNUMBER(N987),N(N987)&gt;0),N(N987),0)</f>
        <v>0.0</v>
      </c>
      <c r="Z987" s="67">
        <f>IF(AND(ISNUMBER(P987),N(P987)&gt;0),N(P987),0)</f>
        <v>0.0</v>
      </c>
    </row>
    <row r="988">
      <c r="A988" s="79" t="str">
        <f>IF(COUNTA(B988:C988,E988:G988,I988)=0,"","BI-"&amp;RIGHT("0000"&amp;(ROW()-5),4))</f>
        <v/>
      </c>
      <c r="B988" s="72" t="n"/>
      <c r="C988" s="66" t="n"/>
      <c r="D988" s="67" t="str">
        <f>IF(C988="","",IFERROR(INDEX(eq_des,MATCH(C988,eq_code,0))&amp;"","Équipement inconnu"))</f>
        <v/>
      </c>
      <c r="E988" s="68" t="n"/>
      <c r="F988" s="68" t="n"/>
      <c r="G988" s="66" t="n"/>
      <c r="H988" s="66" t="n"/>
      <c r="I988" s="68" t="n"/>
      <c r="J988" s="73" t="n"/>
      <c r="K988" s="71" t="n"/>
      <c r="L988" s="71" t="n"/>
      <c r="M988" s="66" t="n"/>
      <c r="N988" s="80" t="n"/>
      <c r="O988" s="81" t="str">
        <f>IF(A988="","",ROUND(V988*IFERROR(N(INDEX(tech_rate,MATCH(M988,tech_name,0))),0),2))</f>
        <v/>
      </c>
      <c r="P988" s="80" t="n"/>
      <c r="Q988" s="81" t="str">
        <f>IF(A988="","",ROUND(Y988+O988+Z988,2))</f>
        <v/>
      </c>
      <c r="R988" s="79" t="str">
        <f>IF(A988="","",IF(S988=0,"Date manquante ou invalide",IF(C988="","Équipement manquant",IF(ISNA(MATCH(C988,eq_code,0)),"Équipement inconnu",IF(E988="","Type manquant",IF(AND(E988&lt;&gt;"Préventif",E988&lt;&gt;"Correctif",E988&lt;&gt;"Amélioratif"),"Type inconnu",IF(I988="","Statut manquant",IF(AND(I988&lt;&gt;"Terminée",I988&lt;&gt;"En cours",I988&lt;&gt;"À faire",I988&lt;&gt;"Annulée"),"Statut inconnu",IF(AND(E988="Préventif",F988=""),"Plan manquant (préventif)",IF(AND(F988&lt;&gt;"",ISNA(MATCH(F988,pl_num,0))),"Plan inconnu",IF(AND(F988&lt;&gt;"",IFERROR(INDEX(pl_eq,MATCH(F988,pl_num,0))&amp;"",C988)&lt;&gt;C988),"Plan d'un autre équipement",IF(AND(J988&lt;&gt;"",OR(NOT(ISNUMBER(J988)),N(J988)&lt;0)),"Compteur invalide",IF(OR(AND(K988&lt;&gt;"",OR(NOT(ISNUMBER(K988)),N(K988)&lt;0)),AND(L988&lt;&gt;"",OR(NOT(ISNUMBER(L988)),N(L988)&lt;0))),"Durée invalide",IF(OR(AND(N988&lt;&gt;"",OR(NOT(ISNUMBER(N988)),N(N988)&lt;0)),AND(P988&lt;&gt;"",OR(NOT(ISNUMBER(P988)),N(P988)&lt;0))),"Coût invalide",IF(AND(M988&lt;&gt;"",ISNA(MATCH(M988,tech_name,0))),"Technicien inconnu",IF(AND(I988="Terminée",S988&gt;p_today),"Terminée à une date future",IF(AND(I988="Terminée",V988=0),"Durée d'intervention manquante",IF(AND(I988="Terminée",E988="Préventif",T988=0,OR(IFERROR(INDEX(pl_trig,MATCH(F988,pl_num,0))&amp;"","")="Compteur",IFERROR(INDEX(pl_trig,MATCH(F988,pl_num,0))&amp;"","")="Au premier des deux")),"Compteur manquant (plan au compteur)","OK"))))))))))))))))))</f>
        <v/>
      </c>
      <c r="S988" s="67">
        <f>IF(AND(ISNUMBER(B988),N(B988)&gt;0),INT(B988),0)</f>
        <v>0.0</v>
      </c>
      <c r="T988" s="67">
        <f>IF(AND(ISNUMBER(J988),N(J988)&gt;=0),N(J988),0)</f>
        <v>0.0</v>
      </c>
      <c r="U988" s="67">
        <f>IF(AND(ISNUMBER(K988),N(K988)&gt;0),N(K988),0)</f>
        <v>0.0</v>
      </c>
      <c r="V988" s="67">
        <f>IF(AND(ISNUMBER(L988),N(L988)&gt;0),N(L988),0)</f>
        <v>0.0</v>
      </c>
      <c r="W988" s="67">
        <f>IF(AND(I988="Terminée",S988&gt;0,C988&lt;&gt;"",ISNUMBER(MATCH(C988,eq_code,0))),1,0)</f>
        <v>0.0</v>
      </c>
      <c r="X988" s="67">
        <f>IF(AND(W988=1,E988="Préventif"),1,0)</f>
        <v>0.0</v>
      </c>
      <c r="Y988" s="67">
        <f>IF(AND(ISNUMBER(N988),N(N988)&gt;0),N(N988),0)</f>
        <v>0.0</v>
      </c>
      <c r="Z988" s="67">
        <f>IF(AND(ISNUMBER(P988),N(P988)&gt;0),N(P988),0)</f>
        <v>0.0</v>
      </c>
    </row>
    <row r="989">
      <c r="A989" s="79" t="str">
        <f>IF(COUNTA(B989:C989,E989:G989,I989)=0,"","BI-"&amp;RIGHT("0000"&amp;(ROW()-5),4))</f>
        <v/>
      </c>
      <c r="B989" s="72" t="n"/>
      <c r="C989" s="66" t="n"/>
      <c r="D989" s="67" t="str">
        <f>IF(C989="","",IFERROR(INDEX(eq_des,MATCH(C989,eq_code,0))&amp;"","Équipement inconnu"))</f>
        <v/>
      </c>
      <c r="E989" s="68" t="n"/>
      <c r="F989" s="68" t="n"/>
      <c r="G989" s="66" t="n"/>
      <c r="H989" s="66" t="n"/>
      <c r="I989" s="68" t="n"/>
      <c r="J989" s="73" t="n"/>
      <c r="K989" s="71" t="n"/>
      <c r="L989" s="71" t="n"/>
      <c r="M989" s="66" t="n"/>
      <c r="N989" s="80" t="n"/>
      <c r="O989" s="81" t="str">
        <f>IF(A989="","",ROUND(V989*IFERROR(N(INDEX(tech_rate,MATCH(M989,tech_name,0))),0),2))</f>
        <v/>
      </c>
      <c r="P989" s="80" t="n"/>
      <c r="Q989" s="81" t="str">
        <f>IF(A989="","",ROUND(Y989+O989+Z989,2))</f>
        <v/>
      </c>
      <c r="R989" s="79" t="str">
        <f>IF(A989="","",IF(S989=0,"Date manquante ou invalide",IF(C989="","Équipement manquant",IF(ISNA(MATCH(C989,eq_code,0)),"Équipement inconnu",IF(E989="","Type manquant",IF(AND(E989&lt;&gt;"Préventif",E989&lt;&gt;"Correctif",E989&lt;&gt;"Amélioratif"),"Type inconnu",IF(I989="","Statut manquant",IF(AND(I989&lt;&gt;"Terminée",I989&lt;&gt;"En cours",I989&lt;&gt;"À faire",I989&lt;&gt;"Annulée"),"Statut inconnu",IF(AND(E989="Préventif",F989=""),"Plan manquant (préventif)",IF(AND(F989&lt;&gt;"",ISNA(MATCH(F989,pl_num,0))),"Plan inconnu",IF(AND(F989&lt;&gt;"",IFERROR(INDEX(pl_eq,MATCH(F989,pl_num,0))&amp;"",C989)&lt;&gt;C989),"Plan d'un autre équipement",IF(AND(J989&lt;&gt;"",OR(NOT(ISNUMBER(J989)),N(J989)&lt;0)),"Compteur invalide",IF(OR(AND(K989&lt;&gt;"",OR(NOT(ISNUMBER(K989)),N(K989)&lt;0)),AND(L989&lt;&gt;"",OR(NOT(ISNUMBER(L989)),N(L989)&lt;0))),"Durée invalide",IF(OR(AND(N989&lt;&gt;"",OR(NOT(ISNUMBER(N989)),N(N989)&lt;0)),AND(P989&lt;&gt;"",OR(NOT(ISNUMBER(P989)),N(P989)&lt;0))),"Coût invalide",IF(AND(M989&lt;&gt;"",ISNA(MATCH(M989,tech_name,0))),"Technicien inconnu",IF(AND(I989="Terminée",S989&gt;p_today),"Terminée à une date future",IF(AND(I989="Terminée",V989=0),"Durée d'intervention manquante",IF(AND(I989="Terminée",E989="Préventif",T989=0,OR(IFERROR(INDEX(pl_trig,MATCH(F989,pl_num,0))&amp;"","")="Compteur",IFERROR(INDEX(pl_trig,MATCH(F989,pl_num,0))&amp;"","")="Au premier des deux")),"Compteur manquant (plan au compteur)","OK"))))))))))))))))))</f>
        <v/>
      </c>
      <c r="S989" s="67">
        <f>IF(AND(ISNUMBER(B989),N(B989)&gt;0),INT(B989),0)</f>
        <v>0.0</v>
      </c>
      <c r="T989" s="67">
        <f>IF(AND(ISNUMBER(J989),N(J989)&gt;=0),N(J989),0)</f>
        <v>0.0</v>
      </c>
      <c r="U989" s="67">
        <f>IF(AND(ISNUMBER(K989),N(K989)&gt;0),N(K989),0)</f>
        <v>0.0</v>
      </c>
      <c r="V989" s="67">
        <f>IF(AND(ISNUMBER(L989),N(L989)&gt;0),N(L989),0)</f>
        <v>0.0</v>
      </c>
      <c r="W989" s="67">
        <f>IF(AND(I989="Terminée",S989&gt;0,C989&lt;&gt;"",ISNUMBER(MATCH(C989,eq_code,0))),1,0)</f>
        <v>0.0</v>
      </c>
      <c r="X989" s="67">
        <f>IF(AND(W989=1,E989="Préventif"),1,0)</f>
        <v>0.0</v>
      </c>
      <c r="Y989" s="67">
        <f>IF(AND(ISNUMBER(N989),N(N989)&gt;0),N(N989),0)</f>
        <v>0.0</v>
      </c>
      <c r="Z989" s="67">
        <f>IF(AND(ISNUMBER(P989),N(P989)&gt;0),N(P989),0)</f>
        <v>0.0</v>
      </c>
    </row>
    <row r="990">
      <c r="A990" s="79" t="str">
        <f>IF(COUNTA(B990:C990,E990:G990,I990)=0,"","BI-"&amp;RIGHT("0000"&amp;(ROW()-5),4))</f>
        <v/>
      </c>
      <c r="B990" s="72" t="n"/>
      <c r="C990" s="66" t="n"/>
      <c r="D990" s="67" t="str">
        <f>IF(C990="","",IFERROR(INDEX(eq_des,MATCH(C990,eq_code,0))&amp;"","Équipement inconnu"))</f>
        <v/>
      </c>
      <c r="E990" s="68" t="n"/>
      <c r="F990" s="68" t="n"/>
      <c r="G990" s="66" t="n"/>
      <c r="H990" s="66" t="n"/>
      <c r="I990" s="68" t="n"/>
      <c r="J990" s="73" t="n"/>
      <c r="K990" s="71" t="n"/>
      <c r="L990" s="71" t="n"/>
      <c r="M990" s="66" t="n"/>
      <c r="N990" s="80" t="n"/>
      <c r="O990" s="81" t="str">
        <f>IF(A990="","",ROUND(V990*IFERROR(N(INDEX(tech_rate,MATCH(M990,tech_name,0))),0),2))</f>
        <v/>
      </c>
      <c r="P990" s="80" t="n"/>
      <c r="Q990" s="81" t="str">
        <f>IF(A990="","",ROUND(Y990+O990+Z990,2))</f>
        <v/>
      </c>
      <c r="R990" s="79" t="str">
        <f>IF(A990="","",IF(S990=0,"Date manquante ou invalide",IF(C990="","Équipement manquant",IF(ISNA(MATCH(C990,eq_code,0)),"Équipement inconnu",IF(E990="","Type manquant",IF(AND(E990&lt;&gt;"Préventif",E990&lt;&gt;"Correctif",E990&lt;&gt;"Amélioratif"),"Type inconnu",IF(I990="","Statut manquant",IF(AND(I990&lt;&gt;"Terminée",I990&lt;&gt;"En cours",I990&lt;&gt;"À faire",I990&lt;&gt;"Annulée"),"Statut inconnu",IF(AND(E990="Préventif",F990=""),"Plan manquant (préventif)",IF(AND(F990&lt;&gt;"",ISNA(MATCH(F990,pl_num,0))),"Plan inconnu",IF(AND(F990&lt;&gt;"",IFERROR(INDEX(pl_eq,MATCH(F990,pl_num,0))&amp;"",C990)&lt;&gt;C990),"Plan d'un autre équipement",IF(AND(J990&lt;&gt;"",OR(NOT(ISNUMBER(J990)),N(J990)&lt;0)),"Compteur invalide",IF(OR(AND(K990&lt;&gt;"",OR(NOT(ISNUMBER(K990)),N(K990)&lt;0)),AND(L990&lt;&gt;"",OR(NOT(ISNUMBER(L990)),N(L990)&lt;0))),"Durée invalide",IF(OR(AND(N990&lt;&gt;"",OR(NOT(ISNUMBER(N990)),N(N990)&lt;0)),AND(P990&lt;&gt;"",OR(NOT(ISNUMBER(P990)),N(P990)&lt;0))),"Coût invalide",IF(AND(M990&lt;&gt;"",ISNA(MATCH(M990,tech_name,0))),"Technicien inconnu",IF(AND(I990="Terminée",S990&gt;p_today),"Terminée à une date future",IF(AND(I990="Terminée",V990=0),"Durée d'intervention manquante",IF(AND(I990="Terminée",E990="Préventif",T990=0,OR(IFERROR(INDEX(pl_trig,MATCH(F990,pl_num,0))&amp;"","")="Compteur",IFERROR(INDEX(pl_trig,MATCH(F990,pl_num,0))&amp;"","")="Au premier des deux")),"Compteur manquant (plan au compteur)","OK"))))))))))))))))))</f>
        <v/>
      </c>
      <c r="S990" s="67">
        <f>IF(AND(ISNUMBER(B990),N(B990)&gt;0),INT(B990),0)</f>
        <v>0.0</v>
      </c>
      <c r="T990" s="67">
        <f>IF(AND(ISNUMBER(J990),N(J990)&gt;=0),N(J990),0)</f>
        <v>0.0</v>
      </c>
      <c r="U990" s="67">
        <f>IF(AND(ISNUMBER(K990),N(K990)&gt;0),N(K990),0)</f>
        <v>0.0</v>
      </c>
      <c r="V990" s="67">
        <f>IF(AND(ISNUMBER(L990),N(L990)&gt;0),N(L990),0)</f>
        <v>0.0</v>
      </c>
      <c r="W990" s="67">
        <f>IF(AND(I990="Terminée",S990&gt;0,C990&lt;&gt;"",ISNUMBER(MATCH(C990,eq_code,0))),1,0)</f>
        <v>0.0</v>
      </c>
      <c r="X990" s="67">
        <f>IF(AND(W990=1,E990="Préventif"),1,0)</f>
        <v>0.0</v>
      </c>
      <c r="Y990" s="67">
        <f>IF(AND(ISNUMBER(N990),N(N990)&gt;0),N(N990),0)</f>
        <v>0.0</v>
      </c>
      <c r="Z990" s="67">
        <f>IF(AND(ISNUMBER(P990),N(P990)&gt;0),N(P990),0)</f>
        <v>0.0</v>
      </c>
    </row>
    <row r="991">
      <c r="A991" s="79" t="str">
        <f>IF(COUNTA(B991:C991,E991:G991,I991)=0,"","BI-"&amp;RIGHT("0000"&amp;(ROW()-5),4))</f>
        <v/>
      </c>
      <c r="B991" s="72" t="n"/>
      <c r="C991" s="66" t="n"/>
      <c r="D991" s="67" t="str">
        <f>IF(C991="","",IFERROR(INDEX(eq_des,MATCH(C991,eq_code,0))&amp;"","Équipement inconnu"))</f>
        <v/>
      </c>
      <c r="E991" s="68" t="n"/>
      <c r="F991" s="68" t="n"/>
      <c r="G991" s="66" t="n"/>
      <c r="H991" s="66" t="n"/>
      <c r="I991" s="68" t="n"/>
      <c r="J991" s="73" t="n"/>
      <c r="K991" s="71" t="n"/>
      <c r="L991" s="71" t="n"/>
      <c r="M991" s="66" t="n"/>
      <c r="N991" s="80" t="n"/>
      <c r="O991" s="81" t="str">
        <f>IF(A991="","",ROUND(V991*IFERROR(N(INDEX(tech_rate,MATCH(M991,tech_name,0))),0),2))</f>
        <v/>
      </c>
      <c r="P991" s="80" t="n"/>
      <c r="Q991" s="81" t="str">
        <f>IF(A991="","",ROUND(Y991+O991+Z991,2))</f>
        <v/>
      </c>
      <c r="R991" s="79" t="str">
        <f>IF(A991="","",IF(S991=0,"Date manquante ou invalide",IF(C991="","Équipement manquant",IF(ISNA(MATCH(C991,eq_code,0)),"Équipement inconnu",IF(E991="","Type manquant",IF(AND(E991&lt;&gt;"Préventif",E991&lt;&gt;"Correctif",E991&lt;&gt;"Amélioratif"),"Type inconnu",IF(I991="","Statut manquant",IF(AND(I991&lt;&gt;"Terminée",I991&lt;&gt;"En cours",I991&lt;&gt;"À faire",I991&lt;&gt;"Annulée"),"Statut inconnu",IF(AND(E991="Préventif",F991=""),"Plan manquant (préventif)",IF(AND(F991&lt;&gt;"",ISNA(MATCH(F991,pl_num,0))),"Plan inconnu",IF(AND(F991&lt;&gt;"",IFERROR(INDEX(pl_eq,MATCH(F991,pl_num,0))&amp;"",C991)&lt;&gt;C991),"Plan d'un autre équipement",IF(AND(J991&lt;&gt;"",OR(NOT(ISNUMBER(J991)),N(J991)&lt;0)),"Compteur invalide",IF(OR(AND(K991&lt;&gt;"",OR(NOT(ISNUMBER(K991)),N(K991)&lt;0)),AND(L991&lt;&gt;"",OR(NOT(ISNUMBER(L991)),N(L991)&lt;0))),"Durée invalide",IF(OR(AND(N991&lt;&gt;"",OR(NOT(ISNUMBER(N991)),N(N991)&lt;0)),AND(P991&lt;&gt;"",OR(NOT(ISNUMBER(P991)),N(P991)&lt;0))),"Coût invalide",IF(AND(M991&lt;&gt;"",ISNA(MATCH(M991,tech_name,0))),"Technicien inconnu",IF(AND(I991="Terminée",S991&gt;p_today),"Terminée à une date future",IF(AND(I991="Terminée",V991=0),"Durée d'intervention manquante",IF(AND(I991="Terminée",E991="Préventif",T991=0,OR(IFERROR(INDEX(pl_trig,MATCH(F991,pl_num,0))&amp;"","")="Compteur",IFERROR(INDEX(pl_trig,MATCH(F991,pl_num,0))&amp;"","")="Au premier des deux")),"Compteur manquant (plan au compteur)","OK"))))))))))))))))))</f>
        <v/>
      </c>
      <c r="S991" s="67">
        <f>IF(AND(ISNUMBER(B991),N(B991)&gt;0),INT(B991),0)</f>
        <v>0.0</v>
      </c>
      <c r="T991" s="67">
        <f>IF(AND(ISNUMBER(J991),N(J991)&gt;=0),N(J991),0)</f>
        <v>0.0</v>
      </c>
      <c r="U991" s="67">
        <f>IF(AND(ISNUMBER(K991),N(K991)&gt;0),N(K991),0)</f>
        <v>0.0</v>
      </c>
      <c r="V991" s="67">
        <f>IF(AND(ISNUMBER(L991),N(L991)&gt;0),N(L991),0)</f>
        <v>0.0</v>
      </c>
      <c r="W991" s="67">
        <f>IF(AND(I991="Terminée",S991&gt;0,C991&lt;&gt;"",ISNUMBER(MATCH(C991,eq_code,0))),1,0)</f>
        <v>0.0</v>
      </c>
      <c r="X991" s="67">
        <f>IF(AND(W991=1,E991="Préventif"),1,0)</f>
        <v>0.0</v>
      </c>
      <c r="Y991" s="67">
        <f>IF(AND(ISNUMBER(N991),N(N991)&gt;0),N(N991),0)</f>
        <v>0.0</v>
      </c>
      <c r="Z991" s="67">
        <f>IF(AND(ISNUMBER(P991),N(P991)&gt;0),N(P991),0)</f>
        <v>0.0</v>
      </c>
    </row>
    <row r="992">
      <c r="A992" s="79" t="str">
        <f>IF(COUNTA(B992:C992,E992:G992,I992)=0,"","BI-"&amp;RIGHT("0000"&amp;(ROW()-5),4))</f>
        <v/>
      </c>
      <c r="B992" s="72" t="n"/>
      <c r="C992" s="66" t="n"/>
      <c r="D992" s="67" t="str">
        <f>IF(C992="","",IFERROR(INDEX(eq_des,MATCH(C992,eq_code,0))&amp;"","Équipement inconnu"))</f>
        <v/>
      </c>
      <c r="E992" s="68" t="n"/>
      <c r="F992" s="68" t="n"/>
      <c r="G992" s="66" t="n"/>
      <c r="H992" s="66" t="n"/>
      <c r="I992" s="68" t="n"/>
      <c r="J992" s="73" t="n"/>
      <c r="K992" s="71" t="n"/>
      <c r="L992" s="71" t="n"/>
      <c r="M992" s="66" t="n"/>
      <c r="N992" s="80" t="n"/>
      <c r="O992" s="81" t="str">
        <f>IF(A992="","",ROUND(V992*IFERROR(N(INDEX(tech_rate,MATCH(M992,tech_name,0))),0),2))</f>
        <v/>
      </c>
      <c r="P992" s="80" t="n"/>
      <c r="Q992" s="81" t="str">
        <f>IF(A992="","",ROUND(Y992+O992+Z992,2))</f>
        <v/>
      </c>
      <c r="R992" s="79" t="str">
        <f>IF(A992="","",IF(S992=0,"Date manquante ou invalide",IF(C992="","Équipement manquant",IF(ISNA(MATCH(C992,eq_code,0)),"Équipement inconnu",IF(E992="","Type manquant",IF(AND(E992&lt;&gt;"Préventif",E992&lt;&gt;"Correctif",E992&lt;&gt;"Amélioratif"),"Type inconnu",IF(I992="","Statut manquant",IF(AND(I992&lt;&gt;"Terminée",I992&lt;&gt;"En cours",I992&lt;&gt;"À faire",I992&lt;&gt;"Annulée"),"Statut inconnu",IF(AND(E992="Préventif",F992=""),"Plan manquant (préventif)",IF(AND(F992&lt;&gt;"",ISNA(MATCH(F992,pl_num,0))),"Plan inconnu",IF(AND(F992&lt;&gt;"",IFERROR(INDEX(pl_eq,MATCH(F992,pl_num,0))&amp;"",C992)&lt;&gt;C992),"Plan d'un autre équipement",IF(AND(J992&lt;&gt;"",OR(NOT(ISNUMBER(J992)),N(J992)&lt;0)),"Compteur invalide",IF(OR(AND(K992&lt;&gt;"",OR(NOT(ISNUMBER(K992)),N(K992)&lt;0)),AND(L992&lt;&gt;"",OR(NOT(ISNUMBER(L992)),N(L992)&lt;0))),"Durée invalide",IF(OR(AND(N992&lt;&gt;"",OR(NOT(ISNUMBER(N992)),N(N992)&lt;0)),AND(P992&lt;&gt;"",OR(NOT(ISNUMBER(P992)),N(P992)&lt;0))),"Coût invalide",IF(AND(M992&lt;&gt;"",ISNA(MATCH(M992,tech_name,0))),"Technicien inconnu",IF(AND(I992="Terminée",S992&gt;p_today),"Terminée à une date future",IF(AND(I992="Terminée",V992=0),"Durée d'intervention manquante",IF(AND(I992="Terminée",E992="Préventif",T992=0,OR(IFERROR(INDEX(pl_trig,MATCH(F992,pl_num,0))&amp;"","")="Compteur",IFERROR(INDEX(pl_trig,MATCH(F992,pl_num,0))&amp;"","")="Au premier des deux")),"Compteur manquant (plan au compteur)","OK"))))))))))))))))))</f>
        <v/>
      </c>
      <c r="S992" s="67">
        <f>IF(AND(ISNUMBER(B992),N(B992)&gt;0),INT(B992),0)</f>
        <v>0.0</v>
      </c>
      <c r="T992" s="67">
        <f>IF(AND(ISNUMBER(J992),N(J992)&gt;=0),N(J992),0)</f>
        <v>0.0</v>
      </c>
      <c r="U992" s="67">
        <f>IF(AND(ISNUMBER(K992),N(K992)&gt;0),N(K992),0)</f>
        <v>0.0</v>
      </c>
      <c r="V992" s="67">
        <f>IF(AND(ISNUMBER(L992),N(L992)&gt;0),N(L992),0)</f>
        <v>0.0</v>
      </c>
      <c r="W992" s="67">
        <f>IF(AND(I992="Terminée",S992&gt;0,C992&lt;&gt;"",ISNUMBER(MATCH(C992,eq_code,0))),1,0)</f>
        <v>0.0</v>
      </c>
      <c r="X992" s="67">
        <f>IF(AND(W992=1,E992="Préventif"),1,0)</f>
        <v>0.0</v>
      </c>
      <c r="Y992" s="67">
        <f>IF(AND(ISNUMBER(N992),N(N992)&gt;0),N(N992),0)</f>
        <v>0.0</v>
      </c>
      <c r="Z992" s="67">
        <f>IF(AND(ISNUMBER(P992),N(P992)&gt;0),N(P992),0)</f>
        <v>0.0</v>
      </c>
    </row>
    <row r="993">
      <c r="A993" s="79" t="str">
        <f>IF(COUNTA(B993:C993,E993:G993,I993)=0,"","BI-"&amp;RIGHT("0000"&amp;(ROW()-5),4))</f>
        <v/>
      </c>
      <c r="B993" s="72" t="n"/>
      <c r="C993" s="66" t="n"/>
      <c r="D993" s="67" t="str">
        <f>IF(C993="","",IFERROR(INDEX(eq_des,MATCH(C993,eq_code,0))&amp;"","Équipement inconnu"))</f>
        <v/>
      </c>
      <c r="E993" s="68" t="n"/>
      <c r="F993" s="68" t="n"/>
      <c r="G993" s="66" t="n"/>
      <c r="H993" s="66" t="n"/>
      <c r="I993" s="68" t="n"/>
      <c r="J993" s="73" t="n"/>
      <c r="K993" s="71" t="n"/>
      <c r="L993" s="71" t="n"/>
      <c r="M993" s="66" t="n"/>
      <c r="N993" s="80" t="n"/>
      <c r="O993" s="81" t="str">
        <f>IF(A993="","",ROUND(V993*IFERROR(N(INDEX(tech_rate,MATCH(M993,tech_name,0))),0),2))</f>
        <v/>
      </c>
      <c r="P993" s="80" t="n"/>
      <c r="Q993" s="81" t="str">
        <f>IF(A993="","",ROUND(Y993+O993+Z993,2))</f>
        <v/>
      </c>
      <c r="R993" s="79" t="str">
        <f>IF(A993="","",IF(S993=0,"Date manquante ou invalide",IF(C993="","Équipement manquant",IF(ISNA(MATCH(C993,eq_code,0)),"Équipement inconnu",IF(E993="","Type manquant",IF(AND(E993&lt;&gt;"Préventif",E993&lt;&gt;"Correctif",E993&lt;&gt;"Amélioratif"),"Type inconnu",IF(I993="","Statut manquant",IF(AND(I993&lt;&gt;"Terminée",I993&lt;&gt;"En cours",I993&lt;&gt;"À faire",I993&lt;&gt;"Annulée"),"Statut inconnu",IF(AND(E993="Préventif",F993=""),"Plan manquant (préventif)",IF(AND(F993&lt;&gt;"",ISNA(MATCH(F993,pl_num,0))),"Plan inconnu",IF(AND(F993&lt;&gt;"",IFERROR(INDEX(pl_eq,MATCH(F993,pl_num,0))&amp;"",C993)&lt;&gt;C993),"Plan d'un autre équipement",IF(AND(J993&lt;&gt;"",OR(NOT(ISNUMBER(J993)),N(J993)&lt;0)),"Compteur invalide",IF(OR(AND(K993&lt;&gt;"",OR(NOT(ISNUMBER(K993)),N(K993)&lt;0)),AND(L993&lt;&gt;"",OR(NOT(ISNUMBER(L993)),N(L993)&lt;0))),"Durée invalide",IF(OR(AND(N993&lt;&gt;"",OR(NOT(ISNUMBER(N993)),N(N993)&lt;0)),AND(P993&lt;&gt;"",OR(NOT(ISNUMBER(P993)),N(P993)&lt;0))),"Coût invalide",IF(AND(M993&lt;&gt;"",ISNA(MATCH(M993,tech_name,0))),"Technicien inconnu",IF(AND(I993="Terminée",S993&gt;p_today),"Terminée à une date future",IF(AND(I993="Terminée",V993=0),"Durée d'intervention manquante",IF(AND(I993="Terminée",E993="Préventif",T993=0,OR(IFERROR(INDEX(pl_trig,MATCH(F993,pl_num,0))&amp;"","")="Compteur",IFERROR(INDEX(pl_trig,MATCH(F993,pl_num,0))&amp;"","")="Au premier des deux")),"Compteur manquant (plan au compteur)","OK"))))))))))))))))))</f>
        <v/>
      </c>
      <c r="S993" s="67">
        <f>IF(AND(ISNUMBER(B993),N(B993)&gt;0),INT(B993),0)</f>
        <v>0.0</v>
      </c>
      <c r="T993" s="67">
        <f>IF(AND(ISNUMBER(J993),N(J993)&gt;=0),N(J993),0)</f>
        <v>0.0</v>
      </c>
      <c r="U993" s="67">
        <f>IF(AND(ISNUMBER(K993),N(K993)&gt;0),N(K993),0)</f>
        <v>0.0</v>
      </c>
      <c r="V993" s="67">
        <f>IF(AND(ISNUMBER(L993),N(L993)&gt;0),N(L993),0)</f>
        <v>0.0</v>
      </c>
      <c r="W993" s="67">
        <f>IF(AND(I993="Terminée",S993&gt;0,C993&lt;&gt;"",ISNUMBER(MATCH(C993,eq_code,0))),1,0)</f>
        <v>0.0</v>
      </c>
      <c r="X993" s="67">
        <f>IF(AND(W993=1,E993="Préventif"),1,0)</f>
        <v>0.0</v>
      </c>
      <c r="Y993" s="67">
        <f>IF(AND(ISNUMBER(N993),N(N993)&gt;0),N(N993),0)</f>
        <v>0.0</v>
      </c>
      <c r="Z993" s="67">
        <f>IF(AND(ISNUMBER(P993),N(P993)&gt;0),N(P993),0)</f>
        <v>0.0</v>
      </c>
    </row>
    <row r="994">
      <c r="A994" s="79" t="str">
        <f>IF(COUNTA(B994:C994,E994:G994,I994)=0,"","BI-"&amp;RIGHT("0000"&amp;(ROW()-5),4))</f>
        <v/>
      </c>
      <c r="B994" s="72" t="n"/>
      <c r="C994" s="66" t="n"/>
      <c r="D994" s="67" t="str">
        <f>IF(C994="","",IFERROR(INDEX(eq_des,MATCH(C994,eq_code,0))&amp;"","Équipement inconnu"))</f>
        <v/>
      </c>
      <c r="E994" s="68" t="n"/>
      <c r="F994" s="68" t="n"/>
      <c r="G994" s="66" t="n"/>
      <c r="H994" s="66" t="n"/>
      <c r="I994" s="68" t="n"/>
      <c r="J994" s="73" t="n"/>
      <c r="K994" s="71" t="n"/>
      <c r="L994" s="71" t="n"/>
      <c r="M994" s="66" t="n"/>
      <c r="N994" s="80" t="n"/>
      <c r="O994" s="81" t="str">
        <f>IF(A994="","",ROUND(V994*IFERROR(N(INDEX(tech_rate,MATCH(M994,tech_name,0))),0),2))</f>
        <v/>
      </c>
      <c r="P994" s="80" t="n"/>
      <c r="Q994" s="81" t="str">
        <f>IF(A994="","",ROUND(Y994+O994+Z994,2))</f>
        <v/>
      </c>
      <c r="R994" s="79" t="str">
        <f>IF(A994="","",IF(S994=0,"Date manquante ou invalide",IF(C994="","Équipement manquant",IF(ISNA(MATCH(C994,eq_code,0)),"Équipement inconnu",IF(E994="","Type manquant",IF(AND(E994&lt;&gt;"Préventif",E994&lt;&gt;"Correctif",E994&lt;&gt;"Amélioratif"),"Type inconnu",IF(I994="","Statut manquant",IF(AND(I994&lt;&gt;"Terminée",I994&lt;&gt;"En cours",I994&lt;&gt;"À faire",I994&lt;&gt;"Annulée"),"Statut inconnu",IF(AND(E994="Préventif",F994=""),"Plan manquant (préventif)",IF(AND(F994&lt;&gt;"",ISNA(MATCH(F994,pl_num,0))),"Plan inconnu",IF(AND(F994&lt;&gt;"",IFERROR(INDEX(pl_eq,MATCH(F994,pl_num,0))&amp;"",C994)&lt;&gt;C994),"Plan d'un autre équipement",IF(AND(J994&lt;&gt;"",OR(NOT(ISNUMBER(J994)),N(J994)&lt;0)),"Compteur invalide",IF(OR(AND(K994&lt;&gt;"",OR(NOT(ISNUMBER(K994)),N(K994)&lt;0)),AND(L994&lt;&gt;"",OR(NOT(ISNUMBER(L994)),N(L994)&lt;0))),"Durée invalide",IF(OR(AND(N994&lt;&gt;"",OR(NOT(ISNUMBER(N994)),N(N994)&lt;0)),AND(P994&lt;&gt;"",OR(NOT(ISNUMBER(P994)),N(P994)&lt;0))),"Coût invalide",IF(AND(M994&lt;&gt;"",ISNA(MATCH(M994,tech_name,0))),"Technicien inconnu",IF(AND(I994="Terminée",S994&gt;p_today),"Terminée à une date future",IF(AND(I994="Terminée",V994=0),"Durée d'intervention manquante",IF(AND(I994="Terminée",E994="Préventif",T994=0,OR(IFERROR(INDEX(pl_trig,MATCH(F994,pl_num,0))&amp;"","")="Compteur",IFERROR(INDEX(pl_trig,MATCH(F994,pl_num,0))&amp;"","")="Au premier des deux")),"Compteur manquant (plan au compteur)","OK"))))))))))))))))))</f>
        <v/>
      </c>
      <c r="S994" s="67">
        <f>IF(AND(ISNUMBER(B994),N(B994)&gt;0),INT(B994),0)</f>
        <v>0.0</v>
      </c>
      <c r="T994" s="67">
        <f>IF(AND(ISNUMBER(J994),N(J994)&gt;=0),N(J994),0)</f>
        <v>0.0</v>
      </c>
      <c r="U994" s="67">
        <f>IF(AND(ISNUMBER(K994),N(K994)&gt;0),N(K994),0)</f>
        <v>0.0</v>
      </c>
      <c r="V994" s="67">
        <f>IF(AND(ISNUMBER(L994),N(L994)&gt;0),N(L994),0)</f>
        <v>0.0</v>
      </c>
      <c r="W994" s="67">
        <f>IF(AND(I994="Terminée",S994&gt;0,C994&lt;&gt;"",ISNUMBER(MATCH(C994,eq_code,0))),1,0)</f>
        <v>0.0</v>
      </c>
      <c r="X994" s="67">
        <f>IF(AND(W994=1,E994="Préventif"),1,0)</f>
        <v>0.0</v>
      </c>
      <c r="Y994" s="67">
        <f>IF(AND(ISNUMBER(N994),N(N994)&gt;0),N(N994),0)</f>
        <v>0.0</v>
      </c>
      <c r="Z994" s="67">
        <f>IF(AND(ISNUMBER(P994),N(P994)&gt;0),N(P994),0)</f>
        <v>0.0</v>
      </c>
    </row>
    <row r="995">
      <c r="A995" s="79" t="str">
        <f>IF(COUNTA(B995:C995,E995:G995,I995)=0,"","BI-"&amp;RIGHT("0000"&amp;(ROW()-5),4))</f>
        <v/>
      </c>
      <c r="B995" s="72" t="n"/>
      <c r="C995" s="66" t="n"/>
      <c r="D995" s="67" t="str">
        <f>IF(C995="","",IFERROR(INDEX(eq_des,MATCH(C995,eq_code,0))&amp;"","Équipement inconnu"))</f>
        <v/>
      </c>
      <c r="E995" s="68" t="n"/>
      <c r="F995" s="68" t="n"/>
      <c r="G995" s="66" t="n"/>
      <c r="H995" s="66" t="n"/>
      <c r="I995" s="68" t="n"/>
      <c r="J995" s="73" t="n"/>
      <c r="K995" s="71" t="n"/>
      <c r="L995" s="71" t="n"/>
      <c r="M995" s="66" t="n"/>
      <c r="N995" s="80" t="n"/>
      <c r="O995" s="81" t="str">
        <f>IF(A995="","",ROUND(V995*IFERROR(N(INDEX(tech_rate,MATCH(M995,tech_name,0))),0),2))</f>
        <v/>
      </c>
      <c r="P995" s="80" t="n"/>
      <c r="Q995" s="81" t="str">
        <f>IF(A995="","",ROUND(Y995+O995+Z995,2))</f>
        <v/>
      </c>
      <c r="R995" s="79" t="str">
        <f>IF(A995="","",IF(S995=0,"Date manquante ou invalide",IF(C995="","Équipement manquant",IF(ISNA(MATCH(C995,eq_code,0)),"Équipement inconnu",IF(E995="","Type manquant",IF(AND(E995&lt;&gt;"Préventif",E995&lt;&gt;"Correctif",E995&lt;&gt;"Amélioratif"),"Type inconnu",IF(I995="","Statut manquant",IF(AND(I995&lt;&gt;"Terminée",I995&lt;&gt;"En cours",I995&lt;&gt;"À faire",I995&lt;&gt;"Annulée"),"Statut inconnu",IF(AND(E995="Préventif",F995=""),"Plan manquant (préventif)",IF(AND(F995&lt;&gt;"",ISNA(MATCH(F995,pl_num,0))),"Plan inconnu",IF(AND(F995&lt;&gt;"",IFERROR(INDEX(pl_eq,MATCH(F995,pl_num,0))&amp;"",C995)&lt;&gt;C995),"Plan d'un autre équipement",IF(AND(J995&lt;&gt;"",OR(NOT(ISNUMBER(J995)),N(J995)&lt;0)),"Compteur invalide",IF(OR(AND(K995&lt;&gt;"",OR(NOT(ISNUMBER(K995)),N(K995)&lt;0)),AND(L995&lt;&gt;"",OR(NOT(ISNUMBER(L995)),N(L995)&lt;0))),"Durée invalide",IF(OR(AND(N995&lt;&gt;"",OR(NOT(ISNUMBER(N995)),N(N995)&lt;0)),AND(P995&lt;&gt;"",OR(NOT(ISNUMBER(P995)),N(P995)&lt;0))),"Coût invalide",IF(AND(M995&lt;&gt;"",ISNA(MATCH(M995,tech_name,0))),"Technicien inconnu",IF(AND(I995="Terminée",S995&gt;p_today),"Terminée à une date future",IF(AND(I995="Terminée",V995=0),"Durée d'intervention manquante",IF(AND(I995="Terminée",E995="Préventif",T995=0,OR(IFERROR(INDEX(pl_trig,MATCH(F995,pl_num,0))&amp;"","")="Compteur",IFERROR(INDEX(pl_trig,MATCH(F995,pl_num,0))&amp;"","")="Au premier des deux")),"Compteur manquant (plan au compteur)","OK"))))))))))))))))))</f>
        <v/>
      </c>
      <c r="S995" s="67">
        <f>IF(AND(ISNUMBER(B995),N(B995)&gt;0),INT(B995),0)</f>
        <v>0.0</v>
      </c>
      <c r="T995" s="67">
        <f>IF(AND(ISNUMBER(J995),N(J995)&gt;=0),N(J995),0)</f>
        <v>0.0</v>
      </c>
      <c r="U995" s="67">
        <f>IF(AND(ISNUMBER(K995),N(K995)&gt;0),N(K995),0)</f>
        <v>0.0</v>
      </c>
      <c r="V995" s="67">
        <f>IF(AND(ISNUMBER(L995),N(L995)&gt;0),N(L995),0)</f>
        <v>0.0</v>
      </c>
      <c r="W995" s="67">
        <f>IF(AND(I995="Terminée",S995&gt;0,C995&lt;&gt;"",ISNUMBER(MATCH(C995,eq_code,0))),1,0)</f>
        <v>0.0</v>
      </c>
      <c r="X995" s="67">
        <f>IF(AND(W995=1,E995="Préventif"),1,0)</f>
        <v>0.0</v>
      </c>
      <c r="Y995" s="67">
        <f>IF(AND(ISNUMBER(N995),N(N995)&gt;0),N(N995),0)</f>
        <v>0.0</v>
      </c>
      <c r="Z995" s="67">
        <f>IF(AND(ISNUMBER(P995),N(P995)&gt;0),N(P995),0)</f>
        <v>0.0</v>
      </c>
    </row>
    <row r="996">
      <c r="A996" s="79" t="str">
        <f>IF(COUNTA(B996:C996,E996:G996,I996)=0,"","BI-"&amp;RIGHT("0000"&amp;(ROW()-5),4))</f>
        <v/>
      </c>
      <c r="B996" s="72" t="n"/>
      <c r="C996" s="66" t="n"/>
      <c r="D996" s="67" t="str">
        <f>IF(C996="","",IFERROR(INDEX(eq_des,MATCH(C996,eq_code,0))&amp;"","Équipement inconnu"))</f>
        <v/>
      </c>
      <c r="E996" s="68" t="n"/>
      <c r="F996" s="68" t="n"/>
      <c r="G996" s="66" t="n"/>
      <c r="H996" s="66" t="n"/>
      <c r="I996" s="68" t="n"/>
      <c r="J996" s="73" t="n"/>
      <c r="K996" s="71" t="n"/>
      <c r="L996" s="71" t="n"/>
      <c r="M996" s="66" t="n"/>
      <c r="N996" s="80" t="n"/>
      <c r="O996" s="81" t="str">
        <f>IF(A996="","",ROUND(V996*IFERROR(N(INDEX(tech_rate,MATCH(M996,tech_name,0))),0),2))</f>
        <v/>
      </c>
      <c r="P996" s="80" t="n"/>
      <c r="Q996" s="81" t="str">
        <f>IF(A996="","",ROUND(Y996+O996+Z996,2))</f>
        <v/>
      </c>
      <c r="R996" s="79" t="str">
        <f>IF(A996="","",IF(S996=0,"Date manquante ou invalide",IF(C996="","Équipement manquant",IF(ISNA(MATCH(C996,eq_code,0)),"Équipement inconnu",IF(E996="","Type manquant",IF(AND(E996&lt;&gt;"Préventif",E996&lt;&gt;"Correctif",E996&lt;&gt;"Amélioratif"),"Type inconnu",IF(I996="","Statut manquant",IF(AND(I996&lt;&gt;"Terminée",I996&lt;&gt;"En cours",I996&lt;&gt;"À faire",I996&lt;&gt;"Annulée"),"Statut inconnu",IF(AND(E996="Préventif",F996=""),"Plan manquant (préventif)",IF(AND(F996&lt;&gt;"",ISNA(MATCH(F996,pl_num,0))),"Plan inconnu",IF(AND(F996&lt;&gt;"",IFERROR(INDEX(pl_eq,MATCH(F996,pl_num,0))&amp;"",C996)&lt;&gt;C996),"Plan d'un autre équipement",IF(AND(J996&lt;&gt;"",OR(NOT(ISNUMBER(J996)),N(J996)&lt;0)),"Compteur invalide",IF(OR(AND(K996&lt;&gt;"",OR(NOT(ISNUMBER(K996)),N(K996)&lt;0)),AND(L996&lt;&gt;"",OR(NOT(ISNUMBER(L996)),N(L996)&lt;0))),"Durée invalide",IF(OR(AND(N996&lt;&gt;"",OR(NOT(ISNUMBER(N996)),N(N996)&lt;0)),AND(P996&lt;&gt;"",OR(NOT(ISNUMBER(P996)),N(P996)&lt;0))),"Coût invalide",IF(AND(M996&lt;&gt;"",ISNA(MATCH(M996,tech_name,0))),"Technicien inconnu",IF(AND(I996="Terminée",S996&gt;p_today),"Terminée à une date future",IF(AND(I996="Terminée",V996=0),"Durée d'intervention manquante",IF(AND(I996="Terminée",E996="Préventif",T996=0,OR(IFERROR(INDEX(pl_trig,MATCH(F996,pl_num,0))&amp;"","")="Compteur",IFERROR(INDEX(pl_trig,MATCH(F996,pl_num,0))&amp;"","")="Au premier des deux")),"Compteur manquant (plan au compteur)","OK"))))))))))))))))))</f>
        <v/>
      </c>
      <c r="S996" s="67">
        <f>IF(AND(ISNUMBER(B996),N(B996)&gt;0),INT(B996),0)</f>
        <v>0.0</v>
      </c>
      <c r="T996" s="67">
        <f>IF(AND(ISNUMBER(J996),N(J996)&gt;=0),N(J996),0)</f>
        <v>0.0</v>
      </c>
      <c r="U996" s="67">
        <f>IF(AND(ISNUMBER(K996),N(K996)&gt;0),N(K996),0)</f>
        <v>0.0</v>
      </c>
      <c r="V996" s="67">
        <f>IF(AND(ISNUMBER(L996),N(L996)&gt;0),N(L996),0)</f>
        <v>0.0</v>
      </c>
      <c r="W996" s="67">
        <f>IF(AND(I996="Terminée",S996&gt;0,C996&lt;&gt;"",ISNUMBER(MATCH(C996,eq_code,0))),1,0)</f>
        <v>0.0</v>
      </c>
      <c r="X996" s="67">
        <f>IF(AND(W996=1,E996="Préventif"),1,0)</f>
        <v>0.0</v>
      </c>
      <c r="Y996" s="67">
        <f>IF(AND(ISNUMBER(N996),N(N996)&gt;0),N(N996),0)</f>
        <v>0.0</v>
      </c>
      <c r="Z996" s="67">
        <f>IF(AND(ISNUMBER(P996),N(P996)&gt;0),N(P996),0)</f>
        <v>0.0</v>
      </c>
    </row>
    <row r="997">
      <c r="A997" s="79" t="str">
        <f>IF(COUNTA(B997:C997,E997:G997,I997)=0,"","BI-"&amp;RIGHT("0000"&amp;(ROW()-5),4))</f>
        <v/>
      </c>
      <c r="B997" s="72" t="n"/>
      <c r="C997" s="66" t="n"/>
      <c r="D997" s="67" t="str">
        <f>IF(C997="","",IFERROR(INDEX(eq_des,MATCH(C997,eq_code,0))&amp;"","Équipement inconnu"))</f>
        <v/>
      </c>
      <c r="E997" s="68" t="n"/>
      <c r="F997" s="68" t="n"/>
      <c r="G997" s="66" t="n"/>
      <c r="H997" s="66" t="n"/>
      <c r="I997" s="68" t="n"/>
      <c r="J997" s="73" t="n"/>
      <c r="K997" s="71" t="n"/>
      <c r="L997" s="71" t="n"/>
      <c r="M997" s="66" t="n"/>
      <c r="N997" s="80" t="n"/>
      <c r="O997" s="81" t="str">
        <f>IF(A997="","",ROUND(V997*IFERROR(N(INDEX(tech_rate,MATCH(M997,tech_name,0))),0),2))</f>
        <v/>
      </c>
      <c r="P997" s="80" t="n"/>
      <c r="Q997" s="81" t="str">
        <f>IF(A997="","",ROUND(Y997+O997+Z997,2))</f>
        <v/>
      </c>
      <c r="R997" s="79" t="str">
        <f>IF(A997="","",IF(S997=0,"Date manquante ou invalide",IF(C997="","Équipement manquant",IF(ISNA(MATCH(C997,eq_code,0)),"Équipement inconnu",IF(E997="","Type manquant",IF(AND(E997&lt;&gt;"Préventif",E997&lt;&gt;"Correctif",E997&lt;&gt;"Amélioratif"),"Type inconnu",IF(I997="","Statut manquant",IF(AND(I997&lt;&gt;"Terminée",I997&lt;&gt;"En cours",I997&lt;&gt;"À faire",I997&lt;&gt;"Annulée"),"Statut inconnu",IF(AND(E997="Préventif",F997=""),"Plan manquant (préventif)",IF(AND(F997&lt;&gt;"",ISNA(MATCH(F997,pl_num,0))),"Plan inconnu",IF(AND(F997&lt;&gt;"",IFERROR(INDEX(pl_eq,MATCH(F997,pl_num,0))&amp;"",C997)&lt;&gt;C997),"Plan d'un autre équipement",IF(AND(J997&lt;&gt;"",OR(NOT(ISNUMBER(J997)),N(J997)&lt;0)),"Compteur invalide",IF(OR(AND(K997&lt;&gt;"",OR(NOT(ISNUMBER(K997)),N(K997)&lt;0)),AND(L997&lt;&gt;"",OR(NOT(ISNUMBER(L997)),N(L997)&lt;0))),"Durée invalide",IF(OR(AND(N997&lt;&gt;"",OR(NOT(ISNUMBER(N997)),N(N997)&lt;0)),AND(P997&lt;&gt;"",OR(NOT(ISNUMBER(P997)),N(P997)&lt;0))),"Coût invalide",IF(AND(M997&lt;&gt;"",ISNA(MATCH(M997,tech_name,0))),"Technicien inconnu",IF(AND(I997="Terminée",S997&gt;p_today),"Terminée à une date future",IF(AND(I997="Terminée",V997=0),"Durée d'intervention manquante",IF(AND(I997="Terminée",E997="Préventif",T997=0,OR(IFERROR(INDEX(pl_trig,MATCH(F997,pl_num,0))&amp;"","")="Compteur",IFERROR(INDEX(pl_trig,MATCH(F997,pl_num,0))&amp;"","")="Au premier des deux")),"Compteur manquant (plan au compteur)","OK"))))))))))))))))))</f>
        <v/>
      </c>
      <c r="S997" s="67">
        <f>IF(AND(ISNUMBER(B997),N(B997)&gt;0),INT(B997),0)</f>
        <v>0.0</v>
      </c>
      <c r="T997" s="67">
        <f>IF(AND(ISNUMBER(J997),N(J997)&gt;=0),N(J997),0)</f>
        <v>0.0</v>
      </c>
      <c r="U997" s="67">
        <f>IF(AND(ISNUMBER(K997),N(K997)&gt;0),N(K997),0)</f>
        <v>0.0</v>
      </c>
      <c r="V997" s="67">
        <f>IF(AND(ISNUMBER(L997),N(L997)&gt;0),N(L997),0)</f>
        <v>0.0</v>
      </c>
      <c r="W997" s="67">
        <f>IF(AND(I997="Terminée",S997&gt;0,C997&lt;&gt;"",ISNUMBER(MATCH(C997,eq_code,0))),1,0)</f>
        <v>0.0</v>
      </c>
      <c r="X997" s="67">
        <f>IF(AND(W997=1,E997="Préventif"),1,0)</f>
        <v>0.0</v>
      </c>
      <c r="Y997" s="67">
        <f>IF(AND(ISNUMBER(N997),N(N997)&gt;0),N(N997),0)</f>
        <v>0.0</v>
      </c>
      <c r="Z997" s="67">
        <f>IF(AND(ISNUMBER(P997),N(P997)&gt;0),N(P997),0)</f>
        <v>0.0</v>
      </c>
    </row>
    <row r="998">
      <c r="A998" s="79" t="str">
        <f>IF(COUNTA(B998:C998,E998:G998,I998)=0,"","BI-"&amp;RIGHT("0000"&amp;(ROW()-5),4))</f>
        <v/>
      </c>
      <c r="B998" s="72" t="n"/>
      <c r="C998" s="66" t="n"/>
      <c r="D998" s="67" t="str">
        <f>IF(C998="","",IFERROR(INDEX(eq_des,MATCH(C998,eq_code,0))&amp;"","Équipement inconnu"))</f>
        <v/>
      </c>
      <c r="E998" s="68" t="n"/>
      <c r="F998" s="68" t="n"/>
      <c r="G998" s="66" t="n"/>
      <c r="H998" s="66" t="n"/>
      <c r="I998" s="68" t="n"/>
      <c r="J998" s="73" t="n"/>
      <c r="K998" s="71" t="n"/>
      <c r="L998" s="71" t="n"/>
      <c r="M998" s="66" t="n"/>
      <c r="N998" s="80" t="n"/>
      <c r="O998" s="81" t="str">
        <f>IF(A998="","",ROUND(V998*IFERROR(N(INDEX(tech_rate,MATCH(M998,tech_name,0))),0),2))</f>
        <v/>
      </c>
      <c r="P998" s="80" t="n"/>
      <c r="Q998" s="81" t="str">
        <f>IF(A998="","",ROUND(Y998+O998+Z998,2))</f>
        <v/>
      </c>
      <c r="R998" s="79" t="str">
        <f>IF(A998="","",IF(S998=0,"Date manquante ou invalide",IF(C998="","Équipement manquant",IF(ISNA(MATCH(C998,eq_code,0)),"Équipement inconnu",IF(E998="","Type manquant",IF(AND(E998&lt;&gt;"Préventif",E998&lt;&gt;"Correctif",E998&lt;&gt;"Amélioratif"),"Type inconnu",IF(I998="","Statut manquant",IF(AND(I998&lt;&gt;"Terminée",I998&lt;&gt;"En cours",I998&lt;&gt;"À faire",I998&lt;&gt;"Annulée"),"Statut inconnu",IF(AND(E998="Préventif",F998=""),"Plan manquant (préventif)",IF(AND(F998&lt;&gt;"",ISNA(MATCH(F998,pl_num,0))),"Plan inconnu",IF(AND(F998&lt;&gt;"",IFERROR(INDEX(pl_eq,MATCH(F998,pl_num,0))&amp;"",C998)&lt;&gt;C998),"Plan d'un autre équipement",IF(AND(J998&lt;&gt;"",OR(NOT(ISNUMBER(J998)),N(J998)&lt;0)),"Compteur invalide",IF(OR(AND(K998&lt;&gt;"",OR(NOT(ISNUMBER(K998)),N(K998)&lt;0)),AND(L998&lt;&gt;"",OR(NOT(ISNUMBER(L998)),N(L998)&lt;0))),"Durée invalide",IF(OR(AND(N998&lt;&gt;"",OR(NOT(ISNUMBER(N998)),N(N998)&lt;0)),AND(P998&lt;&gt;"",OR(NOT(ISNUMBER(P998)),N(P998)&lt;0))),"Coût invalide",IF(AND(M998&lt;&gt;"",ISNA(MATCH(M998,tech_name,0))),"Technicien inconnu",IF(AND(I998="Terminée",S998&gt;p_today),"Terminée à une date future",IF(AND(I998="Terminée",V998=0),"Durée d'intervention manquante",IF(AND(I998="Terminée",E998="Préventif",T998=0,OR(IFERROR(INDEX(pl_trig,MATCH(F998,pl_num,0))&amp;"","")="Compteur",IFERROR(INDEX(pl_trig,MATCH(F998,pl_num,0))&amp;"","")="Au premier des deux")),"Compteur manquant (plan au compteur)","OK"))))))))))))))))))</f>
        <v/>
      </c>
      <c r="S998" s="67">
        <f>IF(AND(ISNUMBER(B998),N(B998)&gt;0),INT(B998),0)</f>
        <v>0.0</v>
      </c>
      <c r="T998" s="67">
        <f>IF(AND(ISNUMBER(J998),N(J998)&gt;=0),N(J998),0)</f>
        <v>0.0</v>
      </c>
      <c r="U998" s="67">
        <f>IF(AND(ISNUMBER(K998),N(K998)&gt;0),N(K998),0)</f>
        <v>0.0</v>
      </c>
      <c r="V998" s="67">
        <f>IF(AND(ISNUMBER(L998),N(L998)&gt;0),N(L998),0)</f>
        <v>0.0</v>
      </c>
      <c r="W998" s="67">
        <f>IF(AND(I998="Terminée",S998&gt;0,C998&lt;&gt;"",ISNUMBER(MATCH(C998,eq_code,0))),1,0)</f>
        <v>0.0</v>
      </c>
      <c r="X998" s="67">
        <f>IF(AND(W998=1,E998="Préventif"),1,0)</f>
        <v>0.0</v>
      </c>
      <c r="Y998" s="67">
        <f>IF(AND(ISNUMBER(N998),N(N998)&gt;0),N(N998),0)</f>
        <v>0.0</v>
      </c>
      <c r="Z998" s="67">
        <f>IF(AND(ISNUMBER(P998),N(P998)&gt;0),N(P998),0)</f>
        <v>0.0</v>
      </c>
    </row>
    <row r="999">
      <c r="A999" s="79" t="str">
        <f>IF(COUNTA(B999:C999,E999:G999,I999)=0,"","BI-"&amp;RIGHT("0000"&amp;(ROW()-5),4))</f>
        <v/>
      </c>
      <c r="B999" s="72" t="n"/>
      <c r="C999" s="66" t="n"/>
      <c r="D999" s="67" t="str">
        <f>IF(C999="","",IFERROR(INDEX(eq_des,MATCH(C999,eq_code,0))&amp;"","Équipement inconnu"))</f>
        <v/>
      </c>
      <c r="E999" s="68" t="n"/>
      <c r="F999" s="68" t="n"/>
      <c r="G999" s="66" t="n"/>
      <c r="H999" s="66" t="n"/>
      <c r="I999" s="68" t="n"/>
      <c r="J999" s="73" t="n"/>
      <c r="K999" s="71" t="n"/>
      <c r="L999" s="71" t="n"/>
      <c r="M999" s="66" t="n"/>
      <c r="N999" s="80" t="n"/>
      <c r="O999" s="81" t="str">
        <f>IF(A999="","",ROUND(V999*IFERROR(N(INDEX(tech_rate,MATCH(M999,tech_name,0))),0),2))</f>
        <v/>
      </c>
      <c r="P999" s="80" t="n"/>
      <c r="Q999" s="81" t="str">
        <f>IF(A999="","",ROUND(Y999+O999+Z999,2))</f>
        <v/>
      </c>
      <c r="R999" s="79" t="str">
        <f>IF(A999="","",IF(S999=0,"Date manquante ou invalide",IF(C999="","Équipement manquant",IF(ISNA(MATCH(C999,eq_code,0)),"Équipement inconnu",IF(E999="","Type manquant",IF(AND(E999&lt;&gt;"Préventif",E999&lt;&gt;"Correctif",E999&lt;&gt;"Amélioratif"),"Type inconnu",IF(I999="","Statut manquant",IF(AND(I999&lt;&gt;"Terminée",I999&lt;&gt;"En cours",I999&lt;&gt;"À faire",I999&lt;&gt;"Annulée"),"Statut inconnu",IF(AND(E999="Préventif",F999=""),"Plan manquant (préventif)",IF(AND(F999&lt;&gt;"",ISNA(MATCH(F999,pl_num,0))),"Plan inconnu",IF(AND(F999&lt;&gt;"",IFERROR(INDEX(pl_eq,MATCH(F999,pl_num,0))&amp;"",C999)&lt;&gt;C999),"Plan d'un autre équipement",IF(AND(J999&lt;&gt;"",OR(NOT(ISNUMBER(J999)),N(J999)&lt;0)),"Compteur invalide",IF(OR(AND(K999&lt;&gt;"",OR(NOT(ISNUMBER(K999)),N(K999)&lt;0)),AND(L999&lt;&gt;"",OR(NOT(ISNUMBER(L999)),N(L999)&lt;0))),"Durée invalide",IF(OR(AND(N999&lt;&gt;"",OR(NOT(ISNUMBER(N999)),N(N999)&lt;0)),AND(P999&lt;&gt;"",OR(NOT(ISNUMBER(P999)),N(P999)&lt;0))),"Coût invalide",IF(AND(M999&lt;&gt;"",ISNA(MATCH(M999,tech_name,0))),"Technicien inconnu",IF(AND(I999="Terminée",S999&gt;p_today),"Terminée à une date future",IF(AND(I999="Terminée",V999=0),"Durée d'intervention manquante",IF(AND(I999="Terminée",E999="Préventif",T999=0,OR(IFERROR(INDEX(pl_trig,MATCH(F999,pl_num,0))&amp;"","")="Compteur",IFERROR(INDEX(pl_trig,MATCH(F999,pl_num,0))&amp;"","")="Au premier des deux")),"Compteur manquant (plan au compteur)","OK"))))))))))))))))))</f>
        <v/>
      </c>
      <c r="S999" s="67">
        <f>IF(AND(ISNUMBER(B999),N(B999)&gt;0),INT(B999),0)</f>
        <v>0.0</v>
      </c>
      <c r="T999" s="67">
        <f>IF(AND(ISNUMBER(J999),N(J999)&gt;=0),N(J999),0)</f>
        <v>0.0</v>
      </c>
      <c r="U999" s="67">
        <f>IF(AND(ISNUMBER(K999),N(K999)&gt;0),N(K999),0)</f>
        <v>0.0</v>
      </c>
      <c r="V999" s="67">
        <f>IF(AND(ISNUMBER(L999),N(L999)&gt;0),N(L999),0)</f>
        <v>0.0</v>
      </c>
      <c r="W999" s="67">
        <f>IF(AND(I999="Terminée",S999&gt;0,C999&lt;&gt;"",ISNUMBER(MATCH(C999,eq_code,0))),1,0)</f>
        <v>0.0</v>
      </c>
      <c r="X999" s="67">
        <f>IF(AND(W999=1,E999="Préventif"),1,0)</f>
        <v>0.0</v>
      </c>
      <c r="Y999" s="67">
        <f>IF(AND(ISNUMBER(N999),N(N999)&gt;0),N(N999),0)</f>
        <v>0.0</v>
      </c>
      <c r="Z999" s="67">
        <f>IF(AND(ISNUMBER(P999),N(P999)&gt;0),N(P999),0)</f>
        <v>0.0</v>
      </c>
    </row>
    <row r="1000">
      <c r="A1000" s="79" t="str">
        <f>IF(COUNTA(B1000:C1000,E1000:G1000,I1000)=0,"","BI-"&amp;RIGHT("0000"&amp;(ROW()-5),4))</f>
        <v/>
      </c>
      <c r="B1000" s="72" t="n"/>
      <c r="C1000" s="66" t="n"/>
      <c r="D1000" s="67" t="str">
        <f>IF(C1000="","",IFERROR(INDEX(eq_des,MATCH(C1000,eq_code,0))&amp;"","Équipement inconnu"))</f>
        <v/>
      </c>
      <c r="E1000" s="68" t="n"/>
      <c r="F1000" s="68" t="n"/>
      <c r="G1000" s="66" t="n"/>
      <c r="H1000" s="66" t="n"/>
      <c r="I1000" s="68" t="n"/>
      <c r="J1000" s="73" t="n"/>
      <c r="K1000" s="71" t="n"/>
      <c r="L1000" s="71" t="n"/>
      <c r="M1000" s="66" t="n"/>
      <c r="N1000" s="80" t="n"/>
      <c r="O1000" s="81" t="str">
        <f>IF(A1000="","",ROUND(V1000*IFERROR(N(INDEX(tech_rate,MATCH(M1000,tech_name,0))),0),2))</f>
        <v/>
      </c>
      <c r="P1000" s="80" t="n"/>
      <c r="Q1000" s="81" t="str">
        <f>IF(A1000="","",ROUND(Y1000+O1000+Z1000,2))</f>
        <v/>
      </c>
      <c r="R1000" s="79" t="str">
        <f>IF(A1000="","",IF(S1000=0,"Date manquante ou invalide",IF(C1000="","Équipement manquant",IF(ISNA(MATCH(C1000,eq_code,0)),"Équipement inconnu",IF(E1000="","Type manquant",IF(AND(E1000&lt;&gt;"Préventif",E1000&lt;&gt;"Correctif",E1000&lt;&gt;"Amélioratif"),"Type inconnu",IF(I1000="","Statut manquant",IF(AND(I1000&lt;&gt;"Terminée",I1000&lt;&gt;"En cours",I1000&lt;&gt;"À faire",I1000&lt;&gt;"Annulée"),"Statut inconnu",IF(AND(E1000="Préventif",F1000=""),"Plan manquant (préventif)",IF(AND(F1000&lt;&gt;"",ISNA(MATCH(F1000,pl_num,0))),"Plan inconnu",IF(AND(F1000&lt;&gt;"",IFERROR(INDEX(pl_eq,MATCH(F1000,pl_num,0))&amp;"",C1000)&lt;&gt;C1000),"Plan d'un autre équipement",IF(AND(J1000&lt;&gt;"",OR(NOT(ISNUMBER(J1000)),N(J1000)&lt;0)),"Compteur invalide",IF(OR(AND(K1000&lt;&gt;"",OR(NOT(ISNUMBER(K1000)),N(K1000)&lt;0)),AND(L1000&lt;&gt;"",OR(NOT(ISNUMBER(L1000)),N(L1000)&lt;0))),"Durée invalide",IF(OR(AND(N1000&lt;&gt;"",OR(NOT(ISNUMBER(N1000)),N(N1000)&lt;0)),AND(P1000&lt;&gt;"",OR(NOT(ISNUMBER(P1000)),N(P1000)&lt;0))),"Coût invalide",IF(AND(M1000&lt;&gt;"",ISNA(MATCH(M1000,tech_name,0))),"Technicien inconnu",IF(AND(I1000="Terminée",S1000&gt;p_today),"Terminée à une date future",IF(AND(I1000="Terminée",V1000=0),"Durée d'intervention manquante",IF(AND(I1000="Terminée",E1000="Préventif",T1000=0,OR(IFERROR(INDEX(pl_trig,MATCH(F1000,pl_num,0))&amp;"","")="Compteur",IFERROR(INDEX(pl_trig,MATCH(F1000,pl_num,0))&amp;"","")="Au premier des deux")),"Compteur manquant (plan au compteur)","OK"))))))))))))))))))</f>
        <v/>
      </c>
      <c r="S1000" s="67">
        <f>IF(AND(ISNUMBER(B1000),N(B1000)&gt;0),INT(B1000),0)</f>
        <v>0.0</v>
      </c>
      <c r="T1000" s="67">
        <f>IF(AND(ISNUMBER(J1000),N(J1000)&gt;=0),N(J1000),0)</f>
        <v>0.0</v>
      </c>
      <c r="U1000" s="67">
        <f>IF(AND(ISNUMBER(K1000),N(K1000)&gt;0),N(K1000),0)</f>
        <v>0.0</v>
      </c>
      <c r="V1000" s="67">
        <f>IF(AND(ISNUMBER(L1000),N(L1000)&gt;0),N(L1000),0)</f>
        <v>0.0</v>
      </c>
      <c r="W1000" s="67">
        <f>IF(AND(I1000="Terminée",S1000&gt;0,C1000&lt;&gt;"",ISNUMBER(MATCH(C1000,eq_code,0))),1,0)</f>
        <v>0.0</v>
      </c>
      <c r="X1000" s="67">
        <f>IF(AND(W1000=1,E1000="Préventif"),1,0)</f>
        <v>0.0</v>
      </c>
      <c r="Y1000" s="67">
        <f>IF(AND(ISNUMBER(N1000),N(N1000)&gt;0),N(N1000),0)</f>
        <v>0.0</v>
      </c>
      <c r="Z1000" s="67">
        <f>IF(AND(ISNUMBER(P1000),N(P1000)&gt;0),N(P1000),0)</f>
        <v>0.0</v>
      </c>
    </row>
    <row r="1001">
      <c r="A1001" s="79" t="str">
        <f>IF(COUNTA(B1001:C1001,E1001:G1001,I1001)=0,"","BI-"&amp;RIGHT("0000"&amp;(ROW()-5),4))</f>
        <v/>
      </c>
      <c r="B1001" s="72" t="n"/>
      <c r="C1001" s="66" t="n"/>
      <c r="D1001" s="67" t="str">
        <f>IF(C1001="","",IFERROR(INDEX(eq_des,MATCH(C1001,eq_code,0))&amp;"","Équipement inconnu"))</f>
        <v/>
      </c>
      <c r="E1001" s="68" t="n"/>
      <c r="F1001" s="68" t="n"/>
      <c r="G1001" s="66" t="n"/>
      <c r="H1001" s="66" t="n"/>
      <c r="I1001" s="68" t="n"/>
      <c r="J1001" s="73" t="n"/>
      <c r="K1001" s="71" t="n"/>
      <c r="L1001" s="71" t="n"/>
      <c r="M1001" s="66" t="n"/>
      <c r="N1001" s="80" t="n"/>
      <c r="O1001" s="81" t="str">
        <f>IF(A1001="","",ROUND(V1001*IFERROR(N(INDEX(tech_rate,MATCH(M1001,tech_name,0))),0),2))</f>
        <v/>
      </c>
      <c r="P1001" s="80" t="n"/>
      <c r="Q1001" s="81" t="str">
        <f>IF(A1001="","",ROUND(Y1001+O1001+Z1001,2))</f>
        <v/>
      </c>
      <c r="R1001" s="79" t="str">
        <f>IF(A1001="","",IF(S1001=0,"Date manquante ou invalide",IF(C1001="","Équipement manquant",IF(ISNA(MATCH(C1001,eq_code,0)),"Équipement inconnu",IF(E1001="","Type manquant",IF(AND(E1001&lt;&gt;"Préventif",E1001&lt;&gt;"Correctif",E1001&lt;&gt;"Amélioratif"),"Type inconnu",IF(I1001="","Statut manquant",IF(AND(I1001&lt;&gt;"Terminée",I1001&lt;&gt;"En cours",I1001&lt;&gt;"À faire",I1001&lt;&gt;"Annulée"),"Statut inconnu",IF(AND(E1001="Préventif",F1001=""),"Plan manquant (préventif)",IF(AND(F1001&lt;&gt;"",ISNA(MATCH(F1001,pl_num,0))),"Plan inconnu",IF(AND(F1001&lt;&gt;"",IFERROR(INDEX(pl_eq,MATCH(F1001,pl_num,0))&amp;"",C1001)&lt;&gt;C1001),"Plan d'un autre équipement",IF(AND(J1001&lt;&gt;"",OR(NOT(ISNUMBER(J1001)),N(J1001)&lt;0)),"Compteur invalide",IF(OR(AND(K1001&lt;&gt;"",OR(NOT(ISNUMBER(K1001)),N(K1001)&lt;0)),AND(L1001&lt;&gt;"",OR(NOT(ISNUMBER(L1001)),N(L1001)&lt;0))),"Durée invalide",IF(OR(AND(N1001&lt;&gt;"",OR(NOT(ISNUMBER(N1001)),N(N1001)&lt;0)),AND(P1001&lt;&gt;"",OR(NOT(ISNUMBER(P1001)),N(P1001)&lt;0))),"Coût invalide",IF(AND(M1001&lt;&gt;"",ISNA(MATCH(M1001,tech_name,0))),"Technicien inconnu",IF(AND(I1001="Terminée",S1001&gt;p_today),"Terminée à une date future",IF(AND(I1001="Terminée",V1001=0),"Durée d'intervention manquante",IF(AND(I1001="Terminée",E1001="Préventif",T1001=0,OR(IFERROR(INDEX(pl_trig,MATCH(F1001,pl_num,0))&amp;"","")="Compteur",IFERROR(INDEX(pl_trig,MATCH(F1001,pl_num,0))&amp;"","")="Au premier des deux")),"Compteur manquant (plan au compteur)","OK"))))))))))))))))))</f>
        <v/>
      </c>
      <c r="S1001" s="67">
        <f>IF(AND(ISNUMBER(B1001),N(B1001)&gt;0),INT(B1001),0)</f>
        <v>0.0</v>
      </c>
      <c r="T1001" s="67">
        <f>IF(AND(ISNUMBER(J1001),N(J1001)&gt;=0),N(J1001),0)</f>
        <v>0.0</v>
      </c>
      <c r="U1001" s="67">
        <f>IF(AND(ISNUMBER(K1001),N(K1001)&gt;0),N(K1001),0)</f>
        <v>0.0</v>
      </c>
      <c r="V1001" s="67">
        <f>IF(AND(ISNUMBER(L1001),N(L1001)&gt;0),N(L1001),0)</f>
        <v>0.0</v>
      </c>
      <c r="W1001" s="67">
        <f>IF(AND(I1001="Terminée",S1001&gt;0,C1001&lt;&gt;"",ISNUMBER(MATCH(C1001,eq_code,0))),1,0)</f>
        <v>0.0</v>
      </c>
      <c r="X1001" s="67">
        <f>IF(AND(W1001=1,E1001="Préventif"),1,0)</f>
        <v>0.0</v>
      </c>
      <c r="Y1001" s="67">
        <f>IF(AND(ISNUMBER(N1001),N(N1001)&gt;0),N(N1001),0)</f>
        <v>0.0</v>
      </c>
      <c r="Z1001" s="67">
        <f>IF(AND(ISNUMBER(P1001),N(P1001)&gt;0),N(P1001),0)</f>
        <v>0.0</v>
      </c>
    </row>
    <row r="1002">
      <c r="A1002" s="79" t="str">
        <f>IF(COUNTA(B1002:C1002,E1002:G1002,I1002)=0,"","BI-"&amp;RIGHT("0000"&amp;(ROW()-5),4))</f>
        <v/>
      </c>
      <c r="B1002" s="72" t="n"/>
      <c r="C1002" s="66" t="n"/>
      <c r="D1002" s="67" t="str">
        <f>IF(C1002="","",IFERROR(INDEX(eq_des,MATCH(C1002,eq_code,0))&amp;"","Équipement inconnu"))</f>
        <v/>
      </c>
      <c r="E1002" s="68" t="n"/>
      <c r="F1002" s="68" t="n"/>
      <c r="G1002" s="66" t="n"/>
      <c r="H1002" s="66" t="n"/>
      <c r="I1002" s="68" t="n"/>
      <c r="J1002" s="73" t="n"/>
      <c r="K1002" s="71" t="n"/>
      <c r="L1002" s="71" t="n"/>
      <c r="M1002" s="66" t="n"/>
      <c r="N1002" s="80" t="n"/>
      <c r="O1002" s="81" t="str">
        <f>IF(A1002="","",ROUND(V1002*IFERROR(N(INDEX(tech_rate,MATCH(M1002,tech_name,0))),0),2))</f>
        <v/>
      </c>
      <c r="P1002" s="80" t="n"/>
      <c r="Q1002" s="81" t="str">
        <f>IF(A1002="","",ROUND(Y1002+O1002+Z1002,2))</f>
        <v/>
      </c>
      <c r="R1002" s="79" t="str">
        <f>IF(A1002="","",IF(S1002=0,"Date manquante ou invalide",IF(C1002="","Équipement manquant",IF(ISNA(MATCH(C1002,eq_code,0)),"Équipement inconnu",IF(E1002="","Type manquant",IF(AND(E1002&lt;&gt;"Préventif",E1002&lt;&gt;"Correctif",E1002&lt;&gt;"Amélioratif"),"Type inconnu",IF(I1002="","Statut manquant",IF(AND(I1002&lt;&gt;"Terminée",I1002&lt;&gt;"En cours",I1002&lt;&gt;"À faire",I1002&lt;&gt;"Annulée"),"Statut inconnu",IF(AND(E1002="Préventif",F1002=""),"Plan manquant (préventif)",IF(AND(F1002&lt;&gt;"",ISNA(MATCH(F1002,pl_num,0))),"Plan inconnu",IF(AND(F1002&lt;&gt;"",IFERROR(INDEX(pl_eq,MATCH(F1002,pl_num,0))&amp;"",C1002)&lt;&gt;C1002),"Plan d'un autre équipement",IF(AND(J1002&lt;&gt;"",OR(NOT(ISNUMBER(J1002)),N(J1002)&lt;0)),"Compteur invalide",IF(OR(AND(K1002&lt;&gt;"",OR(NOT(ISNUMBER(K1002)),N(K1002)&lt;0)),AND(L1002&lt;&gt;"",OR(NOT(ISNUMBER(L1002)),N(L1002)&lt;0))),"Durée invalide",IF(OR(AND(N1002&lt;&gt;"",OR(NOT(ISNUMBER(N1002)),N(N1002)&lt;0)),AND(P1002&lt;&gt;"",OR(NOT(ISNUMBER(P1002)),N(P1002)&lt;0))),"Coût invalide",IF(AND(M1002&lt;&gt;"",ISNA(MATCH(M1002,tech_name,0))),"Technicien inconnu",IF(AND(I1002="Terminée",S1002&gt;p_today),"Terminée à une date future",IF(AND(I1002="Terminée",V1002=0),"Durée d'intervention manquante",IF(AND(I1002="Terminée",E1002="Préventif",T1002=0,OR(IFERROR(INDEX(pl_trig,MATCH(F1002,pl_num,0))&amp;"","")="Compteur",IFERROR(INDEX(pl_trig,MATCH(F1002,pl_num,0))&amp;"","")="Au premier des deux")),"Compteur manquant (plan au compteur)","OK"))))))))))))))))))</f>
        <v/>
      </c>
      <c r="S1002" s="67">
        <f>IF(AND(ISNUMBER(B1002),N(B1002)&gt;0),INT(B1002),0)</f>
        <v>0.0</v>
      </c>
      <c r="T1002" s="67">
        <f>IF(AND(ISNUMBER(J1002),N(J1002)&gt;=0),N(J1002),0)</f>
        <v>0.0</v>
      </c>
      <c r="U1002" s="67">
        <f>IF(AND(ISNUMBER(K1002),N(K1002)&gt;0),N(K1002),0)</f>
        <v>0.0</v>
      </c>
      <c r="V1002" s="67">
        <f>IF(AND(ISNUMBER(L1002),N(L1002)&gt;0),N(L1002),0)</f>
        <v>0.0</v>
      </c>
      <c r="W1002" s="67">
        <f>IF(AND(I1002="Terminée",S1002&gt;0,C1002&lt;&gt;"",ISNUMBER(MATCH(C1002,eq_code,0))),1,0)</f>
        <v>0.0</v>
      </c>
      <c r="X1002" s="67">
        <f>IF(AND(W1002=1,E1002="Préventif"),1,0)</f>
        <v>0.0</v>
      </c>
      <c r="Y1002" s="67">
        <f>IF(AND(ISNUMBER(N1002),N(N1002)&gt;0),N(N1002),0)</f>
        <v>0.0</v>
      </c>
      <c r="Z1002" s="67">
        <f>IF(AND(ISNUMBER(P1002),N(P1002)&gt;0),N(P1002),0)</f>
        <v>0.0</v>
      </c>
    </row>
    <row r="1003">
      <c r="A1003" s="79" t="str">
        <f>IF(COUNTA(B1003:C1003,E1003:G1003,I1003)=0,"","BI-"&amp;RIGHT("0000"&amp;(ROW()-5),4))</f>
        <v/>
      </c>
      <c r="B1003" s="72" t="n"/>
      <c r="C1003" s="66" t="n"/>
      <c r="D1003" s="67" t="str">
        <f>IF(C1003="","",IFERROR(INDEX(eq_des,MATCH(C1003,eq_code,0))&amp;"","Équipement inconnu"))</f>
        <v/>
      </c>
      <c r="E1003" s="68" t="n"/>
      <c r="F1003" s="68" t="n"/>
      <c r="G1003" s="66" t="n"/>
      <c r="H1003" s="66" t="n"/>
      <c r="I1003" s="68" t="n"/>
      <c r="J1003" s="73" t="n"/>
      <c r="K1003" s="71" t="n"/>
      <c r="L1003" s="71" t="n"/>
      <c r="M1003" s="66" t="n"/>
      <c r="N1003" s="80" t="n"/>
      <c r="O1003" s="81" t="str">
        <f>IF(A1003="","",ROUND(V1003*IFERROR(N(INDEX(tech_rate,MATCH(M1003,tech_name,0))),0),2))</f>
        <v/>
      </c>
      <c r="P1003" s="80" t="n"/>
      <c r="Q1003" s="81" t="str">
        <f>IF(A1003="","",ROUND(Y1003+O1003+Z1003,2))</f>
        <v/>
      </c>
      <c r="R1003" s="79" t="str">
        <f>IF(A1003="","",IF(S1003=0,"Date manquante ou invalide",IF(C1003="","Équipement manquant",IF(ISNA(MATCH(C1003,eq_code,0)),"Équipement inconnu",IF(E1003="","Type manquant",IF(AND(E1003&lt;&gt;"Préventif",E1003&lt;&gt;"Correctif",E1003&lt;&gt;"Amélioratif"),"Type inconnu",IF(I1003="","Statut manquant",IF(AND(I1003&lt;&gt;"Terminée",I1003&lt;&gt;"En cours",I1003&lt;&gt;"À faire",I1003&lt;&gt;"Annulée"),"Statut inconnu",IF(AND(E1003="Préventif",F1003=""),"Plan manquant (préventif)",IF(AND(F1003&lt;&gt;"",ISNA(MATCH(F1003,pl_num,0))),"Plan inconnu",IF(AND(F1003&lt;&gt;"",IFERROR(INDEX(pl_eq,MATCH(F1003,pl_num,0))&amp;"",C1003)&lt;&gt;C1003),"Plan d'un autre équipement",IF(AND(J1003&lt;&gt;"",OR(NOT(ISNUMBER(J1003)),N(J1003)&lt;0)),"Compteur invalide",IF(OR(AND(K1003&lt;&gt;"",OR(NOT(ISNUMBER(K1003)),N(K1003)&lt;0)),AND(L1003&lt;&gt;"",OR(NOT(ISNUMBER(L1003)),N(L1003)&lt;0))),"Durée invalide",IF(OR(AND(N1003&lt;&gt;"",OR(NOT(ISNUMBER(N1003)),N(N1003)&lt;0)),AND(P1003&lt;&gt;"",OR(NOT(ISNUMBER(P1003)),N(P1003)&lt;0))),"Coût invalide",IF(AND(M1003&lt;&gt;"",ISNA(MATCH(M1003,tech_name,0))),"Technicien inconnu",IF(AND(I1003="Terminée",S1003&gt;p_today),"Terminée à une date future",IF(AND(I1003="Terminée",V1003=0),"Durée d'intervention manquante",IF(AND(I1003="Terminée",E1003="Préventif",T1003=0,OR(IFERROR(INDEX(pl_trig,MATCH(F1003,pl_num,0))&amp;"","")="Compteur",IFERROR(INDEX(pl_trig,MATCH(F1003,pl_num,0))&amp;"","")="Au premier des deux")),"Compteur manquant (plan au compteur)","OK"))))))))))))))))))</f>
        <v/>
      </c>
      <c r="S1003" s="67">
        <f>IF(AND(ISNUMBER(B1003),N(B1003)&gt;0),INT(B1003),0)</f>
        <v>0.0</v>
      </c>
      <c r="T1003" s="67">
        <f>IF(AND(ISNUMBER(J1003),N(J1003)&gt;=0),N(J1003),0)</f>
        <v>0.0</v>
      </c>
      <c r="U1003" s="67">
        <f>IF(AND(ISNUMBER(K1003),N(K1003)&gt;0),N(K1003),0)</f>
        <v>0.0</v>
      </c>
      <c r="V1003" s="67">
        <f>IF(AND(ISNUMBER(L1003),N(L1003)&gt;0),N(L1003),0)</f>
        <v>0.0</v>
      </c>
      <c r="W1003" s="67">
        <f>IF(AND(I1003="Terminée",S1003&gt;0,C1003&lt;&gt;"",ISNUMBER(MATCH(C1003,eq_code,0))),1,0)</f>
        <v>0.0</v>
      </c>
      <c r="X1003" s="67">
        <f>IF(AND(W1003=1,E1003="Préventif"),1,0)</f>
        <v>0.0</v>
      </c>
      <c r="Y1003" s="67">
        <f>IF(AND(ISNUMBER(N1003),N(N1003)&gt;0),N(N1003),0)</f>
        <v>0.0</v>
      </c>
      <c r="Z1003" s="67">
        <f>IF(AND(ISNUMBER(P1003),N(P1003)&gt;0),N(P1003),0)</f>
        <v>0.0</v>
      </c>
    </row>
    <row r="1004">
      <c r="A1004" s="79" t="str">
        <f>IF(COUNTA(B1004:C1004,E1004:G1004,I1004)=0,"","BI-"&amp;RIGHT("0000"&amp;(ROW()-5),4))</f>
        <v/>
      </c>
      <c r="B1004" s="72" t="n"/>
      <c r="C1004" s="66" t="n"/>
      <c r="D1004" s="67" t="str">
        <f>IF(C1004="","",IFERROR(INDEX(eq_des,MATCH(C1004,eq_code,0))&amp;"","Équipement inconnu"))</f>
        <v/>
      </c>
      <c r="E1004" s="68" t="n"/>
      <c r="F1004" s="68" t="n"/>
      <c r="G1004" s="66" t="n"/>
      <c r="H1004" s="66" t="n"/>
      <c r="I1004" s="68" t="n"/>
      <c r="J1004" s="73" t="n"/>
      <c r="K1004" s="71" t="n"/>
      <c r="L1004" s="71" t="n"/>
      <c r="M1004" s="66" t="n"/>
      <c r="N1004" s="80" t="n"/>
      <c r="O1004" s="81" t="str">
        <f>IF(A1004="","",ROUND(V1004*IFERROR(N(INDEX(tech_rate,MATCH(M1004,tech_name,0))),0),2))</f>
        <v/>
      </c>
      <c r="P1004" s="80" t="n"/>
      <c r="Q1004" s="81" t="str">
        <f>IF(A1004="","",ROUND(Y1004+O1004+Z1004,2))</f>
        <v/>
      </c>
      <c r="R1004" s="79" t="str">
        <f>IF(A1004="","",IF(S1004=0,"Date manquante ou invalide",IF(C1004="","Équipement manquant",IF(ISNA(MATCH(C1004,eq_code,0)),"Équipement inconnu",IF(E1004="","Type manquant",IF(AND(E1004&lt;&gt;"Préventif",E1004&lt;&gt;"Correctif",E1004&lt;&gt;"Amélioratif"),"Type inconnu",IF(I1004="","Statut manquant",IF(AND(I1004&lt;&gt;"Terminée",I1004&lt;&gt;"En cours",I1004&lt;&gt;"À faire",I1004&lt;&gt;"Annulée"),"Statut inconnu",IF(AND(E1004="Préventif",F1004=""),"Plan manquant (préventif)",IF(AND(F1004&lt;&gt;"",ISNA(MATCH(F1004,pl_num,0))),"Plan inconnu",IF(AND(F1004&lt;&gt;"",IFERROR(INDEX(pl_eq,MATCH(F1004,pl_num,0))&amp;"",C1004)&lt;&gt;C1004),"Plan d'un autre équipement",IF(AND(J1004&lt;&gt;"",OR(NOT(ISNUMBER(J1004)),N(J1004)&lt;0)),"Compteur invalide",IF(OR(AND(K1004&lt;&gt;"",OR(NOT(ISNUMBER(K1004)),N(K1004)&lt;0)),AND(L1004&lt;&gt;"",OR(NOT(ISNUMBER(L1004)),N(L1004)&lt;0))),"Durée invalide",IF(OR(AND(N1004&lt;&gt;"",OR(NOT(ISNUMBER(N1004)),N(N1004)&lt;0)),AND(P1004&lt;&gt;"",OR(NOT(ISNUMBER(P1004)),N(P1004)&lt;0))),"Coût invalide",IF(AND(M1004&lt;&gt;"",ISNA(MATCH(M1004,tech_name,0))),"Technicien inconnu",IF(AND(I1004="Terminée",S1004&gt;p_today),"Terminée à une date future",IF(AND(I1004="Terminée",V1004=0),"Durée d'intervention manquante",IF(AND(I1004="Terminée",E1004="Préventif",T1004=0,OR(IFERROR(INDEX(pl_trig,MATCH(F1004,pl_num,0))&amp;"","")="Compteur",IFERROR(INDEX(pl_trig,MATCH(F1004,pl_num,0))&amp;"","")="Au premier des deux")),"Compteur manquant (plan au compteur)","OK"))))))))))))))))))</f>
        <v/>
      </c>
      <c r="S1004" s="67">
        <f>IF(AND(ISNUMBER(B1004),N(B1004)&gt;0),INT(B1004),0)</f>
        <v>0.0</v>
      </c>
      <c r="T1004" s="67">
        <f>IF(AND(ISNUMBER(J1004),N(J1004)&gt;=0),N(J1004),0)</f>
        <v>0.0</v>
      </c>
      <c r="U1004" s="67">
        <f>IF(AND(ISNUMBER(K1004),N(K1004)&gt;0),N(K1004),0)</f>
        <v>0.0</v>
      </c>
      <c r="V1004" s="67">
        <f>IF(AND(ISNUMBER(L1004),N(L1004)&gt;0),N(L1004),0)</f>
        <v>0.0</v>
      </c>
      <c r="W1004" s="67">
        <f>IF(AND(I1004="Terminée",S1004&gt;0,C1004&lt;&gt;"",ISNUMBER(MATCH(C1004,eq_code,0))),1,0)</f>
        <v>0.0</v>
      </c>
      <c r="X1004" s="67">
        <f>IF(AND(W1004=1,E1004="Préventif"),1,0)</f>
        <v>0.0</v>
      </c>
      <c r="Y1004" s="67">
        <f>IF(AND(ISNUMBER(N1004),N(N1004)&gt;0),N(N1004),0)</f>
        <v>0.0</v>
      </c>
      <c r="Z1004" s="67">
        <f>IF(AND(ISNUMBER(P1004),N(P1004)&gt;0),N(P1004),0)</f>
        <v>0.0</v>
      </c>
    </row>
    <row r="1005">
      <c r="A1005" s="79" t="str">
        <f>IF(COUNTA(B1005:C1005,E1005:G1005,I1005)=0,"","BI-"&amp;RIGHT("0000"&amp;(ROW()-5),4))</f>
        <v/>
      </c>
      <c r="B1005" s="72" t="n"/>
      <c r="C1005" s="66" t="n"/>
      <c r="D1005" s="67" t="str">
        <f>IF(C1005="","",IFERROR(INDEX(eq_des,MATCH(C1005,eq_code,0))&amp;"","Équipement inconnu"))</f>
        <v/>
      </c>
      <c r="E1005" s="68" t="n"/>
      <c r="F1005" s="68" t="n"/>
      <c r="G1005" s="66" t="n"/>
      <c r="H1005" s="66" t="n"/>
      <c r="I1005" s="68" t="n"/>
      <c r="J1005" s="73" t="n"/>
      <c r="K1005" s="71" t="n"/>
      <c r="L1005" s="71" t="n"/>
      <c r="M1005" s="66" t="n"/>
      <c r="N1005" s="80" t="n"/>
      <c r="O1005" s="81" t="str">
        <f>IF(A1005="","",ROUND(V1005*IFERROR(N(INDEX(tech_rate,MATCH(M1005,tech_name,0))),0),2))</f>
        <v/>
      </c>
      <c r="P1005" s="80" t="n"/>
      <c r="Q1005" s="81" t="str">
        <f>IF(A1005="","",ROUND(Y1005+O1005+Z1005,2))</f>
        <v/>
      </c>
      <c r="R1005" s="79" t="str">
        <f>IF(A1005="","",IF(S1005=0,"Date manquante ou invalide",IF(C1005="","Équipement manquant",IF(ISNA(MATCH(C1005,eq_code,0)),"Équipement inconnu",IF(E1005="","Type manquant",IF(AND(E1005&lt;&gt;"Préventif",E1005&lt;&gt;"Correctif",E1005&lt;&gt;"Amélioratif"),"Type inconnu",IF(I1005="","Statut manquant",IF(AND(I1005&lt;&gt;"Terminée",I1005&lt;&gt;"En cours",I1005&lt;&gt;"À faire",I1005&lt;&gt;"Annulée"),"Statut inconnu",IF(AND(E1005="Préventif",F1005=""),"Plan manquant (préventif)",IF(AND(F1005&lt;&gt;"",ISNA(MATCH(F1005,pl_num,0))),"Plan inconnu",IF(AND(F1005&lt;&gt;"",IFERROR(INDEX(pl_eq,MATCH(F1005,pl_num,0))&amp;"",C1005)&lt;&gt;C1005),"Plan d'un autre équipement",IF(AND(J1005&lt;&gt;"",OR(NOT(ISNUMBER(J1005)),N(J1005)&lt;0)),"Compteur invalide",IF(OR(AND(K1005&lt;&gt;"",OR(NOT(ISNUMBER(K1005)),N(K1005)&lt;0)),AND(L1005&lt;&gt;"",OR(NOT(ISNUMBER(L1005)),N(L1005)&lt;0))),"Durée invalide",IF(OR(AND(N1005&lt;&gt;"",OR(NOT(ISNUMBER(N1005)),N(N1005)&lt;0)),AND(P1005&lt;&gt;"",OR(NOT(ISNUMBER(P1005)),N(P1005)&lt;0))),"Coût invalide",IF(AND(M1005&lt;&gt;"",ISNA(MATCH(M1005,tech_name,0))),"Technicien inconnu",IF(AND(I1005="Terminée",S1005&gt;p_today),"Terminée à une date future",IF(AND(I1005="Terminée",V1005=0),"Durée d'intervention manquante",IF(AND(I1005="Terminée",E1005="Préventif",T1005=0,OR(IFERROR(INDEX(pl_trig,MATCH(F1005,pl_num,0))&amp;"","")="Compteur",IFERROR(INDEX(pl_trig,MATCH(F1005,pl_num,0))&amp;"","")="Au premier des deux")),"Compteur manquant (plan au compteur)","OK"))))))))))))))))))</f>
        <v/>
      </c>
      <c r="S1005" s="67">
        <f>IF(AND(ISNUMBER(B1005),N(B1005)&gt;0),INT(B1005),0)</f>
        <v>0.0</v>
      </c>
      <c r="T1005" s="67">
        <f>IF(AND(ISNUMBER(J1005),N(J1005)&gt;=0),N(J1005),0)</f>
        <v>0.0</v>
      </c>
      <c r="U1005" s="67">
        <f>IF(AND(ISNUMBER(K1005),N(K1005)&gt;0),N(K1005),0)</f>
        <v>0.0</v>
      </c>
      <c r="V1005" s="67">
        <f>IF(AND(ISNUMBER(L1005),N(L1005)&gt;0),N(L1005),0)</f>
        <v>0.0</v>
      </c>
      <c r="W1005" s="67">
        <f>IF(AND(I1005="Terminée",S1005&gt;0,C1005&lt;&gt;"",ISNUMBER(MATCH(C1005,eq_code,0))),1,0)</f>
        <v>0.0</v>
      </c>
      <c r="X1005" s="67">
        <f>IF(AND(W1005=1,E1005="Préventif"),1,0)</f>
        <v>0.0</v>
      </c>
      <c r="Y1005" s="67">
        <f>IF(AND(ISNUMBER(N1005),N(N1005)&gt;0),N(N1005),0)</f>
        <v>0.0</v>
      </c>
      <c r="Z1005" s="67">
        <f>IF(AND(ISNUMBER(P1005),N(P1005)&gt;0),N(P1005),0)</f>
        <v>0.0</v>
      </c>
    </row>
    <row r="1006">
      <c r="A1006" s="79" t="str">
        <f>IF(COUNTA(B1006:C1006,E1006:G1006,I1006)=0,"","BI-"&amp;RIGHT("0000"&amp;(ROW()-5),4))</f>
        <v/>
      </c>
      <c r="B1006" s="72" t="n"/>
      <c r="C1006" s="66" t="n"/>
      <c r="D1006" s="67" t="str">
        <f>IF(C1006="","",IFERROR(INDEX(eq_des,MATCH(C1006,eq_code,0))&amp;"","Équipement inconnu"))</f>
        <v/>
      </c>
      <c r="E1006" s="68" t="n"/>
      <c r="F1006" s="68" t="n"/>
      <c r="G1006" s="66" t="n"/>
      <c r="H1006" s="66" t="n"/>
      <c r="I1006" s="68" t="n"/>
      <c r="J1006" s="73" t="n"/>
      <c r="K1006" s="71" t="n"/>
      <c r="L1006" s="71" t="n"/>
      <c r="M1006" s="66" t="n"/>
      <c r="N1006" s="80" t="n"/>
      <c r="O1006" s="81" t="str">
        <f>IF(A1006="","",ROUND(V1006*IFERROR(N(INDEX(tech_rate,MATCH(M1006,tech_name,0))),0),2))</f>
        <v/>
      </c>
      <c r="P1006" s="80" t="n"/>
      <c r="Q1006" s="81" t="str">
        <f>IF(A1006="","",ROUND(Y1006+O1006+Z1006,2))</f>
        <v/>
      </c>
      <c r="R1006" s="79" t="str">
        <f>IF(A1006="","",IF(S1006=0,"Date manquante ou invalide",IF(C1006="","Équipement manquant",IF(ISNA(MATCH(C1006,eq_code,0)),"Équipement inconnu",IF(E1006="","Type manquant",IF(AND(E1006&lt;&gt;"Préventif",E1006&lt;&gt;"Correctif",E1006&lt;&gt;"Amélioratif"),"Type inconnu",IF(I1006="","Statut manquant",IF(AND(I1006&lt;&gt;"Terminée",I1006&lt;&gt;"En cours",I1006&lt;&gt;"À faire",I1006&lt;&gt;"Annulée"),"Statut inconnu",IF(AND(E1006="Préventif",F1006=""),"Plan manquant (préventif)",IF(AND(F1006&lt;&gt;"",ISNA(MATCH(F1006,pl_num,0))),"Plan inconnu",IF(AND(F1006&lt;&gt;"",IFERROR(INDEX(pl_eq,MATCH(F1006,pl_num,0))&amp;"",C1006)&lt;&gt;C1006),"Plan d'un autre équipement",IF(AND(J1006&lt;&gt;"",OR(NOT(ISNUMBER(J1006)),N(J1006)&lt;0)),"Compteur invalide",IF(OR(AND(K1006&lt;&gt;"",OR(NOT(ISNUMBER(K1006)),N(K1006)&lt;0)),AND(L1006&lt;&gt;"",OR(NOT(ISNUMBER(L1006)),N(L1006)&lt;0))),"Durée invalide",IF(OR(AND(N1006&lt;&gt;"",OR(NOT(ISNUMBER(N1006)),N(N1006)&lt;0)),AND(P1006&lt;&gt;"",OR(NOT(ISNUMBER(P1006)),N(P1006)&lt;0))),"Coût invalide",IF(AND(M1006&lt;&gt;"",ISNA(MATCH(M1006,tech_name,0))),"Technicien inconnu",IF(AND(I1006="Terminée",S1006&gt;p_today),"Terminée à une date future",IF(AND(I1006="Terminée",V1006=0),"Durée d'intervention manquante",IF(AND(I1006="Terminée",E1006="Préventif",T1006=0,OR(IFERROR(INDEX(pl_trig,MATCH(F1006,pl_num,0))&amp;"","")="Compteur",IFERROR(INDEX(pl_trig,MATCH(F1006,pl_num,0))&amp;"","")="Au premier des deux")),"Compteur manquant (plan au compteur)","OK"))))))))))))))))))</f>
        <v/>
      </c>
      <c r="S1006" s="67">
        <f>IF(AND(ISNUMBER(B1006),N(B1006)&gt;0),INT(B1006),0)</f>
        <v>0.0</v>
      </c>
      <c r="T1006" s="67">
        <f>IF(AND(ISNUMBER(J1006),N(J1006)&gt;=0),N(J1006),0)</f>
        <v>0.0</v>
      </c>
      <c r="U1006" s="67">
        <f>IF(AND(ISNUMBER(K1006),N(K1006)&gt;0),N(K1006),0)</f>
        <v>0.0</v>
      </c>
      <c r="V1006" s="67">
        <f>IF(AND(ISNUMBER(L1006),N(L1006)&gt;0),N(L1006),0)</f>
        <v>0.0</v>
      </c>
      <c r="W1006" s="67">
        <f>IF(AND(I1006="Terminée",S1006&gt;0,C1006&lt;&gt;"",ISNUMBER(MATCH(C1006,eq_code,0))),1,0)</f>
        <v>0.0</v>
      </c>
      <c r="X1006" s="67">
        <f>IF(AND(W1006=1,E1006="Préventif"),1,0)</f>
        <v>0.0</v>
      </c>
      <c r="Y1006" s="67">
        <f>IF(AND(ISNUMBER(N1006),N(N1006)&gt;0),N(N1006),0)</f>
        <v>0.0</v>
      </c>
      <c r="Z1006" s="67">
        <f>IF(AND(ISNUMBER(P1006),N(P1006)&gt;0),N(P1006),0)</f>
        <v>0.0</v>
      </c>
    </row>
    <row r="1007">
      <c r="A1007" s="79" t="str">
        <f>IF(COUNTA(B1007:C1007,E1007:G1007,I1007)=0,"","BI-"&amp;RIGHT("0000"&amp;(ROW()-5),4))</f>
        <v/>
      </c>
      <c r="B1007" s="72" t="n"/>
      <c r="C1007" s="66" t="n"/>
      <c r="D1007" s="67" t="str">
        <f>IF(C1007="","",IFERROR(INDEX(eq_des,MATCH(C1007,eq_code,0))&amp;"","Équipement inconnu"))</f>
        <v/>
      </c>
      <c r="E1007" s="68" t="n"/>
      <c r="F1007" s="68" t="n"/>
      <c r="G1007" s="66" t="n"/>
      <c r="H1007" s="66" t="n"/>
      <c r="I1007" s="68" t="n"/>
      <c r="J1007" s="73" t="n"/>
      <c r="K1007" s="71" t="n"/>
      <c r="L1007" s="71" t="n"/>
      <c r="M1007" s="66" t="n"/>
      <c r="N1007" s="80" t="n"/>
      <c r="O1007" s="81" t="str">
        <f>IF(A1007="","",ROUND(V1007*IFERROR(N(INDEX(tech_rate,MATCH(M1007,tech_name,0))),0),2))</f>
        <v/>
      </c>
      <c r="P1007" s="80" t="n"/>
      <c r="Q1007" s="81" t="str">
        <f>IF(A1007="","",ROUND(Y1007+O1007+Z1007,2))</f>
        <v/>
      </c>
      <c r="R1007" s="79" t="str">
        <f>IF(A1007="","",IF(S1007=0,"Date manquante ou invalide",IF(C1007="","Équipement manquant",IF(ISNA(MATCH(C1007,eq_code,0)),"Équipement inconnu",IF(E1007="","Type manquant",IF(AND(E1007&lt;&gt;"Préventif",E1007&lt;&gt;"Correctif",E1007&lt;&gt;"Amélioratif"),"Type inconnu",IF(I1007="","Statut manquant",IF(AND(I1007&lt;&gt;"Terminée",I1007&lt;&gt;"En cours",I1007&lt;&gt;"À faire",I1007&lt;&gt;"Annulée"),"Statut inconnu",IF(AND(E1007="Préventif",F1007=""),"Plan manquant (préventif)",IF(AND(F1007&lt;&gt;"",ISNA(MATCH(F1007,pl_num,0))),"Plan inconnu",IF(AND(F1007&lt;&gt;"",IFERROR(INDEX(pl_eq,MATCH(F1007,pl_num,0))&amp;"",C1007)&lt;&gt;C1007),"Plan d'un autre équipement",IF(AND(J1007&lt;&gt;"",OR(NOT(ISNUMBER(J1007)),N(J1007)&lt;0)),"Compteur invalide",IF(OR(AND(K1007&lt;&gt;"",OR(NOT(ISNUMBER(K1007)),N(K1007)&lt;0)),AND(L1007&lt;&gt;"",OR(NOT(ISNUMBER(L1007)),N(L1007)&lt;0))),"Durée invalide",IF(OR(AND(N1007&lt;&gt;"",OR(NOT(ISNUMBER(N1007)),N(N1007)&lt;0)),AND(P1007&lt;&gt;"",OR(NOT(ISNUMBER(P1007)),N(P1007)&lt;0))),"Coût invalide",IF(AND(M1007&lt;&gt;"",ISNA(MATCH(M1007,tech_name,0))),"Technicien inconnu",IF(AND(I1007="Terminée",S1007&gt;p_today),"Terminée à une date future",IF(AND(I1007="Terminée",V1007=0),"Durée d'intervention manquante",IF(AND(I1007="Terminée",E1007="Préventif",T1007=0,OR(IFERROR(INDEX(pl_trig,MATCH(F1007,pl_num,0))&amp;"","")="Compteur",IFERROR(INDEX(pl_trig,MATCH(F1007,pl_num,0))&amp;"","")="Au premier des deux")),"Compteur manquant (plan au compteur)","OK"))))))))))))))))))</f>
        <v/>
      </c>
      <c r="S1007" s="67">
        <f>IF(AND(ISNUMBER(B1007),N(B1007)&gt;0),INT(B1007),0)</f>
        <v>0.0</v>
      </c>
      <c r="T1007" s="67">
        <f>IF(AND(ISNUMBER(J1007),N(J1007)&gt;=0),N(J1007),0)</f>
        <v>0.0</v>
      </c>
      <c r="U1007" s="67">
        <f>IF(AND(ISNUMBER(K1007),N(K1007)&gt;0),N(K1007),0)</f>
        <v>0.0</v>
      </c>
      <c r="V1007" s="67">
        <f>IF(AND(ISNUMBER(L1007),N(L1007)&gt;0),N(L1007),0)</f>
        <v>0.0</v>
      </c>
      <c r="W1007" s="67">
        <f>IF(AND(I1007="Terminée",S1007&gt;0,C1007&lt;&gt;"",ISNUMBER(MATCH(C1007,eq_code,0))),1,0)</f>
        <v>0.0</v>
      </c>
      <c r="X1007" s="67">
        <f>IF(AND(W1007=1,E1007="Préventif"),1,0)</f>
        <v>0.0</v>
      </c>
      <c r="Y1007" s="67">
        <f>IF(AND(ISNUMBER(N1007),N(N1007)&gt;0),N(N1007),0)</f>
        <v>0.0</v>
      </c>
      <c r="Z1007" s="67">
        <f>IF(AND(ISNUMBER(P1007),N(P1007)&gt;0),N(P1007),0)</f>
        <v>0.0</v>
      </c>
    </row>
    <row r="1008">
      <c r="A1008" s="79" t="str">
        <f>IF(COUNTA(B1008:C1008,E1008:G1008,I1008)=0,"","BI-"&amp;RIGHT("0000"&amp;(ROW()-5),4))</f>
        <v/>
      </c>
      <c r="B1008" s="72" t="n"/>
      <c r="C1008" s="66" t="n"/>
      <c r="D1008" s="67" t="str">
        <f>IF(C1008="","",IFERROR(INDEX(eq_des,MATCH(C1008,eq_code,0))&amp;"","Équipement inconnu"))</f>
        <v/>
      </c>
      <c r="E1008" s="68" t="n"/>
      <c r="F1008" s="68" t="n"/>
      <c r="G1008" s="66" t="n"/>
      <c r="H1008" s="66" t="n"/>
      <c r="I1008" s="68" t="n"/>
      <c r="J1008" s="73" t="n"/>
      <c r="K1008" s="71" t="n"/>
      <c r="L1008" s="71" t="n"/>
      <c r="M1008" s="66" t="n"/>
      <c r="N1008" s="80" t="n"/>
      <c r="O1008" s="81" t="str">
        <f>IF(A1008="","",ROUND(V1008*IFERROR(N(INDEX(tech_rate,MATCH(M1008,tech_name,0))),0),2))</f>
        <v/>
      </c>
      <c r="P1008" s="80" t="n"/>
      <c r="Q1008" s="81" t="str">
        <f>IF(A1008="","",ROUND(Y1008+O1008+Z1008,2))</f>
        <v/>
      </c>
      <c r="R1008" s="79" t="str">
        <f>IF(A1008="","",IF(S1008=0,"Date manquante ou invalide",IF(C1008="","Équipement manquant",IF(ISNA(MATCH(C1008,eq_code,0)),"Équipement inconnu",IF(E1008="","Type manquant",IF(AND(E1008&lt;&gt;"Préventif",E1008&lt;&gt;"Correctif",E1008&lt;&gt;"Amélioratif"),"Type inconnu",IF(I1008="","Statut manquant",IF(AND(I1008&lt;&gt;"Terminée",I1008&lt;&gt;"En cours",I1008&lt;&gt;"À faire",I1008&lt;&gt;"Annulée"),"Statut inconnu",IF(AND(E1008="Préventif",F1008=""),"Plan manquant (préventif)",IF(AND(F1008&lt;&gt;"",ISNA(MATCH(F1008,pl_num,0))),"Plan inconnu",IF(AND(F1008&lt;&gt;"",IFERROR(INDEX(pl_eq,MATCH(F1008,pl_num,0))&amp;"",C1008)&lt;&gt;C1008),"Plan d'un autre équipement",IF(AND(J1008&lt;&gt;"",OR(NOT(ISNUMBER(J1008)),N(J1008)&lt;0)),"Compteur invalide",IF(OR(AND(K1008&lt;&gt;"",OR(NOT(ISNUMBER(K1008)),N(K1008)&lt;0)),AND(L1008&lt;&gt;"",OR(NOT(ISNUMBER(L1008)),N(L1008)&lt;0))),"Durée invalide",IF(OR(AND(N1008&lt;&gt;"",OR(NOT(ISNUMBER(N1008)),N(N1008)&lt;0)),AND(P1008&lt;&gt;"",OR(NOT(ISNUMBER(P1008)),N(P1008)&lt;0))),"Coût invalide",IF(AND(M1008&lt;&gt;"",ISNA(MATCH(M1008,tech_name,0))),"Technicien inconnu",IF(AND(I1008="Terminée",S1008&gt;p_today),"Terminée à une date future",IF(AND(I1008="Terminée",V1008=0),"Durée d'intervention manquante",IF(AND(I1008="Terminée",E1008="Préventif",T1008=0,OR(IFERROR(INDEX(pl_trig,MATCH(F1008,pl_num,0))&amp;"","")="Compteur",IFERROR(INDEX(pl_trig,MATCH(F1008,pl_num,0))&amp;"","")="Au premier des deux")),"Compteur manquant (plan au compteur)","OK"))))))))))))))))))</f>
        <v/>
      </c>
      <c r="S1008" s="67">
        <f>IF(AND(ISNUMBER(B1008),N(B1008)&gt;0),INT(B1008),0)</f>
        <v>0.0</v>
      </c>
      <c r="T1008" s="67">
        <f>IF(AND(ISNUMBER(J1008),N(J1008)&gt;=0),N(J1008),0)</f>
        <v>0.0</v>
      </c>
      <c r="U1008" s="67">
        <f>IF(AND(ISNUMBER(K1008),N(K1008)&gt;0),N(K1008),0)</f>
        <v>0.0</v>
      </c>
      <c r="V1008" s="67">
        <f>IF(AND(ISNUMBER(L1008),N(L1008)&gt;0),N(L1008),0)</f>
        <v>0.0</v>
      </c>
      <c r="W1008" s="67">
        <f>IF(AND(I1008="Terminée",S1008&gt;0,C1008&lt;&gt;"",ISNUMBER(MATCH(C1008,eq_code,0))),1,0)</f>
        <v>0.0</v>
      </c>
      <c r="X1008" s="67">
        <f>IF(AND(W1008=1,E1008="Préventif"),1,0)</f>
        <v>0.0</v>
      </c>
      <c r="Y1008" s="67">
        <f>IF(AND(ISNUMBER(N1008),N(N1008)&gt;0),N(N1008),0)</f>
        <v>0.0</v>
      </c>
      <c r="Z1008" s="67">
        <f>IF(AND(ISNUMBER(P1008),N(P1008)&gt;0),N(P1008),0)</f>
        <v>0.0</v>
      </c>
    </row>
    <row r="1009">
      <c r="A1009" s="79" t="str">
        <f>IF(COUNTA(B1009:C1009,E1009:G1009,I1009)=0,"","BI-"&amp;RIGHT("0000"&amp;(ROW()-5),4))</f>
        <v/>
      </c>
      <c r="B1009" s="72" t="n"/>
      <c r="C1009" s="66" t="n"/>
      <c r="D1009" s="67" t="str">
        <f>IF(C1009="","",IFERROR(INDEX(eq_des,MATCH(C1009,eq_code,0))&amp;"","Équipement inconnu"))</f>
        <v/>
      </c>
      <c r="E1009" s="68" t="n"/>
      <c r="F1009" s="68" t="n"/>
      <c r="G1009" s="66" t="n"/>
      <c r="H1009" s="66" t="n"/>
      <c r="I1009" s="68" t="n"/>
      <c r="J1009" s="73" t="n"/>
      <c r="K1009" s="71" t="n"/>
      <c r="L1009" s="71" t="n"/>
      <c r="M1009" s="66" t="n"/>
      <c r="N1009" s="80" t="n"/>
      <c r="O1009" s="81" t="str">
        <f>IF(A1009="","",ROUND(V1009*IFERROR(N(INDEX(tech_rate,MATCH(M1009,tech_name,0))),0),2))</f>
        <v/>
      </c>
      <c r="P1009" s="80" t="n"/>
      <c r="Q1009" s="81" t="str">
        <f>IF(A1009="","",ROUND(Y1009+O1009+Z1009,2))</f>
        <v/>
      </c>
      <c r="R1009" s="79" t="str">
        <f>IF(A1009="","",IF(S1009=0,"Date manquante ou invalide",IF(C1009="","Équipement manquant",IF(ISNA(MATCH(C1009,eq_code,0)),"Équipement inconnu",IF(E1009="","Type manquant",IF(AND(E1009&lt;&gt;"Préventif",E1009&lt;&gt;"Correctif",E1009&lt;&gt;"Amélioratif"),"Type inconnu",IF(I1009="","Statut manquant",IF(AND(I1009&lt;&gt;"Terminée",I1009&lt;&gt;"En cours",I1009&lt;&gt;"À faire",I1009&lt;&gt;"Annulée"),"Statut inconnu",IF(AND(E1009="Préventif",F1009=""),"Plan manquant (préventif)",IF(AND(F1009&lt;&gt;"",ISNA(MATCH(F1009,pl_num,0))),"Plan inconnu",IF(AND(F1009&lt;&gt;"",IFERROR(INDEX(pl_eq,MATCH(F1009,pl_num,0))&amp;"",C1009)&lt;&gt;C1009),"Plan d'un autre équipement",IF(AND(J1009&lt;&gt;"",OR(NOT(ISNUMBER(J1009)),N(J1009)&lt;0)),"Compteur invalide",IF(OR(AND(K1009&lt;&gt;"",OR(NOT(ISNUMBER(K1009)),N(K1009)&lt;0)),AND(L1009&lt;&gt;"",OR(NOT(ISNUMBER(L1009)),N(L1009)&lt;0))),"Durée invalide",IF(OR(AND(N1009&lt;&gt;"",OR(NOT(ISNUMBER(N1009)),N(N1009)&lt;0)),AND(P1009&lt;&gt;"",OR(NOT(ISNUMBER(P1009)),N(P1009)&lt;0))),"Coût invalide",IF(AND(M1009&lt;&gt;"",ISNA(MATCH(M1009,tech_name,0))),"Technicien inconnu",IF(AND(I1009="Terminée",S1009&gt;p_today),"Terminée à une date future",IF(AND(I1009="Terminée",V1009=0),"Durée d'intervention manquante",IF(AND(I1009="Terminée",E1009="Préventif",T1009=0,OR(IFERROR(INDEX(pl_trig,MATCH(F1009,pl_num,0))&amp;"","")="Compteur",IFERROR(INDEX(pl_trig,MATCH(F1009,pl_num,0))&amp;"","")="Au premier des deux")),"Compteur manquant (plan au compteur)","OK"))))))))))))))))))</f>
        <v/>
      </c>
      <c r="S1009" s="67">
        <f>IF(AND(ISNUMBER(B1009),N(B1009)&gt;0),INT(B1009),0)</f>
        <v>0.0</v>
      </c>
      <c r="T1009" s="67">
        <f>IF(AND(ISNUMBER(J1009),N(J1009)&gt;=0),N(J1009),0)</f>
        <v>0.0</v>
      </c>
      <c r="U1009" s="67">
        <f>IF(AND(ISNUMBER(K1009),N(K1009)&gt;0),N(K1009),0)</f>
        <v>0.0</v>
      </c>
      <c r="V1009" s="67">
        <f>IF(AND(ISNUMBER(L1009),N(L1009)&gt;0),N(L1009),0)</f>
        <v>0.0</v>
      </c>
      <c r="W1009" s="67">
        <f>IF(AND(I1009="Terminée",S1009&gt;0,C1009&lt;&gt;"",ISNUMBER(MATCH(C1009,eq_code,0))),1,0)</f>
        <v>0.0</v>
      </c>
      <c r="X1009" s="67">
        <f>IF(AND(W1009=1,E1009="Préventif"),1,0)</f>
        <v>0.0</v>
      </c>
      <c r="Y1009" s="67">
        <f>IF(AND(ISNUMBER(N1009),N(N1009)&gt;0),N(N1009),0)</f>
        <v>0.0</v>
      </c>
      <c r="Z1009" s="67">
        <f>IF(AND(ISNUMBER(P1009),N(P1009)&gt;0),N(P1009),0)</f>
        <v>0.0</v>
      </c>
    </row>
    <row r="1010">
      <c r="A1010" s="79" t="str">
        <f>IF(COUNTA(B1010:C1010,E1010:G1010,I1010)=0,"","BI-"&amp;RIGHT("0000"&amp;(ROW()-5),4))</f>
        <v/>
      </c>
      <c r="B1010" s="72" t="n"/>
      <c r="C1010" s="66" t="n"/>
      <c r="D1010" s="67" t="str">
        <f>IF(C1010="","",IFERROR(INDEX(eq_des,MATCH(C1010,eq_code,0))&amp;"","Équipement inconnu"))</f>
        <v/>
      </c>
      <c r="E1010" s="68" t="n"/>
      <c r="F1010" s="68" t="n"/>
      <c r="G1010" s="66" t="n"/>
      <c r="H1010" s="66" t="n"/>
      <c r="I1010" s="68" t="n"/>
      <c r="J1010" s="73" t="n"/>
      <c r="K1010" s="71" t="n"/>
      <c r="L1010" s="71" t="n"/>
      <c r="M1010" s="66" t="n"/>
      <c r="N1010" s="80" t="n"/>
      <c r="O1010" s="81" t="str">
        <f>IF(A1010="","",ROUND(V1010*IFERROR(N(INDEX(tech_rate,MATCH(M1010,tech_name,0))),0),2))</f>
        <v/>
      </c>
      <c r="P1010" s="80" t="n"/>
      <c r="Q1010" s="81" t="str">
        <f>IF(A1010="","",ROUND(Y1010+O1010+Z1010,2))</f>
        <v/>
      </c>
      <c r="R1010" s="79" t="str">
        <f>IF(A1010="","",IF(S1010=0,"Date manquante ou invalide",IF(C1010="","Équipement manquant",IF(ISNA(MATCH(C1010,eq_code,0)),"Équipement inconnu",IF(E1010="","Type manquant",IF(AND(E1010&lt;&gt;"Préventif",E1010&lt;&gt;"Correctif",E1010&lt;&gt;"Amélioratif"),"Type inconnu",IF(I1010="","Statut manquant",IF(AND(I1010&lt;&gt;"Terminée",I1010&lt;&gt;"En cours",I1010&lt;&gt;"À faire",I1010&lt;&gt;"Annulée"),"Statut inconnu",IF(AND(E1010="Préventif",F1010=""),"Plan manquant (préventif)",IF(AND(F1010&lt;&gt;"",ISNA(MATCH(F1010,pl_num,0))),"Plan inconnu",IF(AND(F1010&lt;&gt;"",IFERROR(INDEX(pl_eq,MATCH(F1010,pl_num,0))&amp;"",C1010)&lt;&gt;C1010),"Plan d'un autre équipement",IF(AND(J1010&lt;&gt;"",OR(NOT(ISNUMBER(J1010)),N(J1010)&lt;0)),"Compteur invalide",IF(OR(AND(K1010&lt;&gt;"",OR(NOT(ISNUMBER(K1010)),N(K1010)&lt;0)),AND(L1010&lt;&gt;"",OR(NOT(ISNUMBER(L1010)),N(L1010)&lt;0))),"Durée invalide",IF(OR(AND(N1010&lt;&gt;"",OR(NOT(ISNUMBER(N1010)),N(N1010)&lt;0)),AND(P1010&lt;&gt;"",OR(NOT(ISNUMBER(P1010)),N(P1010)&lt;0))),"Coût invalide",IF(AND(M1010&lt;&gt;"",ISNA(MATCH(M1010,tech_name,0))),"Technicien inconnu",IF(AND(I1010="Terminée",S1010&gt;p_today),"Terminée à une date future",IF(AND(I1010="Terminée",V1010=0),"Durée d'intervention manquante",IF(AND(I1010="Terminée",E1010="Préventif",T1010=0,OR(IFERROR(INDEX(pl_trig,MATCH(F1010,pl_num,0))&amp;"","")="Compteur",IFERROR(INDEX(pl_trig,MATCH(F1010,pl_num,0))&amp;"","")="Au premier des deux")),"Compteur manquant (plan au compteur)","OK"))))))))))))))))))</f>
        <v/>
      </c>
      <c r="S1010" s="67">
        <f>IF(AND(ISNUMBER(B1010),N(B1010)&gt;0),INT(B1010),0)</f>
        <v>0.0</v>
      </c>
      <c r="T1010" s="67">
        <f>IF(AND(ISNUMBER(J1010),N(J1010)&gt;=0),N(J1010),0)</f>
        <v>0.0</v>
      </c>
      <c r="U1010" s="67">
        <f>IF(AND(ISNUMBER(K1010),N(K1010)&gt;0),N(K1010),0)</f>
        <v>0.0</v>
      </c>
      <c r="V1010" s="67">
        <f>IF(AND(ISNUMBER(L1010),N(L1010)&gt;0),N(L1010),0)</f>
        <v>0.0</v>
      </c>
      <c r="W1010" s="67">
        <f>IF(AND(I1010="Terminée",S1010&gt;0,C1010&lt;&gt;"",ISNUMBER(MATCH(C1010,eq_code,0))),1,0)</f>
        <v>0.0</v>
      </c>
      <c r="X1010" s="67">
        <f>IF(AND(W1010=1,E1010="Préventif"),1,0)</f>
        <v>0.0</v>
      </c>
      <c r="Y1010" s="67">
        <f>IF(AND(ISNUMBER(N1010),N(N1010)&gt;0),N(N1010),0)</f>
        <v>0.0</v>
      </c>
      <c r="Z1010" s="67">
        <f>IF(AND(ISNUMBER(P1010),N(P1010)&gt;0),N(P1010),0)</f>
        <v>0.0</v>
      </c>
    </row>
    <row r="1011">
      <c r="A1011" s="79" t="str">
        <f>IF(COUNTA(B1011:C1011,E1011:G1011,I1011)=0,"","BI-"&amp;RIGHT("0000"&amp;(ROW()-5),4))</f>
        <v/>
      </c>
      <c r="B1011" s="72" t="n"/>
      <c r="C1011" s="66" t="n"/>
      <c r="D1011" s="67" t="str">
        <f>IF(C1011="","",IFERROR(INDEX(eq_des,MATCH(C1011,eq_code,0))&amp;"","Équipement inconnu"))</f>
        <v/>
      </c>
      <c r="E1011" s="68" t="n"/>
      <c r="F1011" s="68" t="n"/>
      <c r="G1011" s="66" t="n"/>
      <c r="H1011" s="66" t="n"/>
      <c r="I1011" s="68" t="n"/>
      <c r="J1011" s="73" t="n"/>
      <c r="K1011" s="71" t="n"/>
      <c r="L1011" s="71" t="n"/>
      <c r="M1011" s="66" t="n"/>
      <c r="N1011" s="80" t="n"/>
      <c r="O1011" s="81" t="str">
        <f>IF(A1011="","",ROUND(V1011*IFERROR(N(INDEX(tech_rate,MATCH(M1011,tech_name,0))),0),2))</f>
        <v/>
      </c>
      <c r="P1011" s="80" t="n"/>
      <c r="Q1011" s="81" t="str">
        <f>IF(A1011="","",ROUND(Y1011+O1011+Z1011,2))</f>
        <v/>
      </c>
      <c r="R1011" s="79" t="str">
        <f>IF(A1011="","",IF(S1011=0,"Date manquante ou invalide",IF(C1011="","Équipement manquant",IF(ISNA(MATCH(C1011,eq_code,0)),"Équipement inconnu",IF(E1011="","Type manquant",IF(AND(E1011&lt;&gt;"Préventif",E1011&lt;&gt;"Correctif",E1011&lt;&gt;"Amélioratif"),"Type inconnu",IF(I1011="","Statut manquant",IF(AND(I1011&lt;&gt;"Terminée",I1011&lt;&gt;"En cours",I1011&lt;&gt;"À faire",I1011&lt;&gt;"Annulée"),"Statut inconnu",IF(AND(E1011="Préventif",F1011=""),"Plan manquant (préventif)",IF(AND(F1011&lt;&gt;"",ISNA(MATCH(F1011,pl_num,0))),"Plan inconnu",IF(AND(F1011&lt;&gt;"",IFERROR(INDEX(pl_eq,MATCH(F1011,pl_num,0))&amp;"",C1011)&lt;&gt;C1011),"Plan d'un autre équipement",IF(AND(J1011&lt;&gt;"",OR(NOT(ISNUMBER(J1011)),N(J1011)&lt;0)),"Compteur invalide",IF(OR(AND(K1011&lt;&gt;"",OR(NOT(ISNUMBER(K1011)),N(K1011)&lt;0)),AND(L1011&lt;&gt;"",OR(NOT(ISNUMBER(L1011)),N(L1011)&lt;0))),"Durée invalide",IF(OR(AND(N1011&lt;&gt;"",OR(NOT(ISNUMBER(N1011)),N(N1011)&lt;0)),AND(P1011&lt;&gt;"",OR(NOT(ISNUMBER(P1011)),N(P1011)&lt;0))),"Coût invalide",IF(AND(M1011&lt;&gt;"",ISNA(MATCH(M1011,tech_name,0))),"Technicien inconnu",IF(AND(I1011="Terminée",S1011&gt;p_today),"Terminée à une date future",IF(AND(I1011="Terminée",V1011=0),"Durée d'intervention manquante",IF(AND(I1011="Terminée",E1011="Préventif",T1011=0,OR(IFERROR(INDEX(pl_trig,MATCH(F1011,pl_num,0))&amp;"","")="Compteur",IFERROR(INDEX(pl_trig,MATCH(F1011,pl_num,0))&amp;"","")="Au premier des deux")),"Compteur manquant (plan au compteur)","OK"))))))))))))))))))</f>
        <v/>
      </c>
      <c r="S1011" s="67">
        <f>IF(AND(ISNUMBER(B1011),N(B1011)&gt;0),INT(B1011),0)</f>
        <v>0.0</v>
      </c>
      <c r="T1011" s="67">
        <f>IF(AND(ISNUMBER(J1011),N(J1011)&gt;=0),N(J1011),0)</f>
        <v>0.0</v>
      </c>
      <c r="U1011" s="67">
        <f>IF(AND(ISNUMBER(K1011),N(K1011)&gt;0),N(K1011),0)</f>
        <v>0.0</v>
      </c>
      <c r="V1011" s="67">
        <f>IF(AND(ISNUMBER(L1011),N(L1011)&gt;0),N(L1011),0)</f>
        <v>0.0</v>
      </c>
      <c r="W1011" s="67">
        <f>IF(AND(I1011="Terminée",S1011&gt;0,C1011&lt;&gt;"",ISNUMBER(MATCH(C1011,eq_code,0))),1,0)</f>
        <v>0.0</v>
      </c>
      <c r="X1011" s="67">
        <f>IF(AND(W1011=1,E1011="Préventif"),1,0)</f>
        <v>0.0</v>
      </c>
      <c r="Y1011" s="67">
        <f>IF(AND(ISNUMBER(N1011),N(N1011)&gt;0),N(N1011),0)</f>
        <v>0.0</v>
      </c>
      <c r="Z1011" s="67">
        <f>IF(AND(ISNUMBER(P1011),N(P1011)&gt;0),N(P1011),0)</f>
        <v>0.0</v>
      </c>
    </row>
    <row r="1012">
      <c r="A1012" s="79" t="str">
        <f>IF(COUNTA(B1012:C1012,E1012:G1012,I1012)=0,"","BI-"&amp;RIGHT("0000"&amp;(ROW()-5),4))</f>
        <v/>
      </c>
      <c r="B1012" s="72" t="n"/>
      <c r="C1012" s="66" t="n"/>
      <c r="D1012" s="67" t="str">
        <f>IF(C1012="","",IFERROR(INDEX(eq_des,MATCH(C1012,eq_code,0))&amp;"","Équipement inconnu"))</f>
        <v/>
      </c>
      <c r="E1012" s="68" t="n"/>
      <c r="F1012" s="68" t="n"/>
      <c r="G1012" s="66" t="n"/>
      <c r="H1012" s="66" t="n"/>
      <c r="I1012" s="68" t="n"/>
      <c r="J1012" s="73" t="n"/>
      <c r="K1012" s="71" t="n"/>
      <c r="L1012" s="71" t="n"/>
      <c r="M1012" s="66" t="n"/>
      <c r="N1012" s="80" t="n"/>
      <c r="O1012" s="81" t="str">
        <f>IF(A1012="","",ROUND(V1012*IFERROR(N(INDEX(tech_rate,MATCH(M1012,tech_name,0))),0),2))</f>
        <v/>
      </c>
      <c r="P1012" s="80" t="n"/>
      <c r="Q1012" s="81" t="str">
        <f>IF(A1012="","",ROUND(Y1012+O1012+Z1012,2))</f>
        <v/>
      </c>
      <c r="R1012" s="79" t="str">
        <f>IF(A1012="","",IF(S1012=0,"Date manquante ou invalide",IF(C1012="","Équipement manquant",IF(ISNA(MATCH(C1012,eq_code,0)),"Équipement inconnu",IF(E1012="","Type manquant",IF(AND(E1012&lt;&gt;"Préventif",E1012&lt;&gt;"Correctif",E1012&lt;&gt;"Amélioratif"),"Type inconnu",IF(I1012="","Statut manquant",IF(AND(I1012&lt;&gt;"Terminée",I1012&lt;&gt;"En cours",I1012&lt;&gt;"À faire",I1012&lt;&gt;"Annulée"),"Statut inconnu",IF(AND(E1012="Préventif",F1012=""),"Plan manquant (préventif)",IF(AND(F1012&lt;&gt;"",ISNA(MATCH(F1012,pl_num,0))),"Plan inconnu",IF(AND(F1012&lt;&gt;"",IFERROR(INDEX(pl_eq,MATCH(F1012,pl_num,0))&amp;"",C1012)&lt;&gt;C1012),"Plan d'un autre équipement",IF(AND(J1012&lt;&gt;"",OR(NOT(ISNUMBER(J1012)),N(J1012)&lt;0)),"Compteur invalide",IF(OR(AND(K1012&lt;&gt;"",OR(NOT(ISNUMBER(K1012)),N(K1012)&lt;0)),AND(L1012&lt;&gt;"",OR(NOT(ISNUMBER(L1012)),N(L1012)&lt;0))),"Durée invalide",IF(OR(AND(N1012&lt;&gt;"",OR(NOT(ISNUMBER(N1012)),N(N1012)&lt;0)),AND(P1012&lt;&gt;"",OR(NOT(ISNUMBER(P1012)),N(P1012)&lt;0))),"Coût invalide",IF(AND(M1012&lt;&gt;"",ISNA(MATCH(M1012,tech_name,0))),"Technicien inconnu",IF(AND(I1012="Terminée",S1012&gt;p_today),"Terminée à une date future",IF(AND(I1012="Terminée",V1012=0),"Durée d'intervention manquante",IF(AND(I1012="Terminée",E1012="Préventif",T1012=0,OR(IFERROR(INDEX(pl_trig,MATCH(F1012,pl_num,0))&amp;"","")="Compteur",IFERROR(INDEX(pl_trig,MATCH(F1012,pl_num,0))&amp;"","")="Au premier des deux")),"Compteur manquant (plan au compteur)","OK"))))))))))))))))))</f>
        <v/>
      </c>
      <c r="S1012" s="67">
        <f>IF(AND(ISNUMBER(B1012),N(B1012)&gt;0),INT(B1012),0)</f>
        <v>0.0</v>
      </c>
      <c r="T1012" s="67">
        <f>IF(AND(ISNUMBER(J1012),N(J1012)&gt;=0),N(J1012),0)</f>
        <v>0.0</v>
      </c>
      <c r="U1012" s="67">
        <f>IF(AND(ISNUMBER(K1012),N(K1012)&gt;0),N(K1012),0)</f>
        <v>0.0</v>
      </c>
      <c r="V1012" s="67">
        <f>IF(AND(ISNUMBER(L1012),N(L1012)&gt;0),N(L1012),0)</f>
        <v>0.0</v>
      </c>
      <c r="W1012" s="67">
        <f>IF(AND(I1012="Terminée",S1012&gt;0,C1012&lt;&gt;"",ISNUMBER(MATCH(C1012,eq_code,0))),1,0)</f>
        <v>0.0</v>
      </c>
      <c r="X1012" s="67">
        <f>IF(AND(W1012=1,E1012="Préventif"),1,0)</f>
        <v>0.0</v>
      </c>
      <c r="Y1012" s="67">
        <f>IF(AND(ISNUMBER(N1012),N(N1012)&gt;0),N(N1012),0)</f>
        <v>0.0</v>
      </c>
      <c r="Z1012" s="67">
        <f>IF(AND(ISNUMBER(P1012),N(P1012)&gt;0),N(P1012),0)</f>
        <v>0.0</v>
      </c>
    </row>
    <row r="1013">
      <c r="A1013" s="79" t="str">
        <f>IF(COUNTA(B1013:C1013,E1013:G1013,I1013)=0,"","BI-"&amp;RIGHT("0000"&amp;(ROW()-5),4))</f>
        <v/>
      </c>
      <c r="B1013" s="72" t="n"/>
      <c r="C1013" s="66" t="n"/>
      <c r="D1013" s="67" t="str">
        <f>IF(C1013="","",IFERROR(INDEX(eq_des,MATCH(C1013,eq_code,0))&amp;"","Équipement inconnu"))</f>
        <v/>
      </c>
      <c r="E1013" s="68" t="n"/>
      <c r="F1013" s="68" t="n"/>
      <c r="G1013" s="66" t="n"/>
      <c r="H1013" s="66" t="n"/>
      <c r="I1013" s="68" t="n"/>
      <c r="J1013" s="73" t="n"/>
      <c r="K1013" s="71" t="n"/>
      <c r="L1013" s="71" t="n"/>
      <c r="M1013" s="66" t="n"/>
      <c r="N1013" s="80" t="n"/>
      <c r="O1013" s="81" t="str">
        <f>IF(A1013="","",ROUND(V1013*IFERROR(N(INDEX(tech_rate,MATCH(M1013,tech_name,0))),0),2))</f>
        <v/>
      </c>
      <c r="P1013" s="80" t="n"/>
      <c r="Q1013" s="81" t="str">
        <f>IF(A1013="","",ROUND(Y1013+O1013+Z1013,2))</f>
        <v/>
      </c>
      <c r="R1013" s="79" t="str">
        <f>IF(A1013="","",IF(S1013=0,"Date manquante ou invalide",IF(C1013="","Équipement manquant",IF(ISNA(MATCH(C1013,eq_code,0)),"Équipement inconnu",IF(E1013="","Type manquant",IF(AND(E1013&lt;&gt;"Préventif",E1013&lt;&gt;"Correctif",E1013&lt;&gt;"Amélioratif"),"Type inconnu",IF(I1013="","Statut manquant",IF(AND(I1013&lt;&gt;"Terminée",I1013&lt;&gt;"En cours",I1013&lt;&gt;"À faire",I1013&lt;&gt;"Annulée"),"Statut inconnu",IF(AND(E1013="Préventif",F1013=""),"Plan manquant (préventif)",IF(AND(F1013&lt;&gt;"",ISNA(MATCH(F1013,pl_num,0))),"Plan inconnu",IF(AND(F1013&lt;&gt;"",IFERROR(INDEX(pl_eq,MATCH(F1013,pl_num,0))&amp;"",C1013)&lt;&gt;C1013),"Plan d'un autre équipement",IF(AND(J1013&lt;&gt;"",OR(NOT(ISNUMBER(J1013)),N(J1013)&lt;0)),"Compteur invalide",IF(OR(AND(K1013&lt;&gt;"",OR(NOT(ISNUMBER(K1013)),N(K1013)&lt;0)),AND(L1013&lt;&gt;"",OR(NOT(ISNUMBER(L1013)),N(L1013)&lt;0))),"Durée invalide",IF(OR(AND(N1013&lt;&gt;"",OR(NOT(ISNUMBER(N1013)),N(N1013)&lt;0)),AND(P1013&lt;&gt;"",OR(NOT(ISNUMBER(P1013)),N(P1013)&lt;0))),"Coût invalide",IF(AND(M1013&lt;&gt;"",ISNA(MATCH(M1013,tech_name,0))),"Technicien inconnu",IF(AND(I1013="Terminée",S1013&gt;p_today),"Terminée à une date future",IF(AND(I1013="Terminée",V1013=0),"Durée d'intervention manquante",IF(AND(I1013="Terminée",E1013="Préventif",T1013=0,OR(IFERROR(INDEX(pl_trig,MATCH(F1013,pl_num,0))&amp;"","")="Compteur",IFERROR(INDEX(pl_trig,MATCH(F1013,pl_num,0))&amp;"","")="Au premier des deux")),"Compteur manquant (plan au compteur)","OK"))))))))))))))))))</f>
        <v/>
      </c>
      <c r="S1013" s="67">
        <f>IF(AND(ISNUMBER(B1013),N(B1013)&gt;0),INT(B1013),0)</f>
        <v>0.0</v>
      </c>
      <c r="T1013" s="67">
        <f>IF(AND(ISNUMBER(J1013),N(J1013)&gt;=0),N(J1013),0)</f>
        <v>0.0</v>
      </c>
      <c r="U1013" s="67">
        <f>IF(AND(ISNUMBER(K1013),N(K1013)&gt;0),N(K1013),0)</f>
        <v>0.0</v>
      </c>
      <c r="V1013" s="67">
        <f>IF(AND(ISNUMBER(L1013),N(L1013)&gt;0),N(L1013),0)</f>
        <v>0.0</v>
      </c>
      <c r="W1013" s="67">
        <f>IF(AND(I1013="Terminée",S1013&gt;0,C1013&lt;&gt;"",ISNUMBER(MATCH(C1013,eq_code,0))),1,0)</f>
        <v>0.0</v>
      </c>
      <c r="X1013" s="67">
        <f>IF(AND(W1013=1,E1013="Préventif"),1,0)</f>
        <v>0.0</v>
      </c>
      <c r="Y1013" s="67">
        <f>IF(AND(ISNUMBER(N1013),N(N1013)&gt;0),N(N1013),0)</f>
        <v>0.0</v>
      </c>
      <c r="Z1013" s="67">
        <f>IF(AND(ISNUMBER(P1013),N(P1013)&gt;0),N(P1013),0)</f>
        <v>0.0</v>
      </c>
    </row>
    <row r="1014">
      <c r="A1014" s="79" t="str">
        <f>IF(COUNTA(B1014:C1014,E1014:G1014,I1014)=0,"","BI-"&amp;RIGHT("0000"&amp;(ROW()-5),4))</f>
        <v/>
      </c>
      <c r="B1014" s="72" t="n"/>
      <c r="C1014" s="66" t="n"/>
      <c r="D1014" s="67" t="str">
        <f>IF(C1014="","",IFERROR(INDEX(eq_des,MATCH(C1014,eq_code,0))&amp;"","Équipement inconnu"))</f>
        <v/>
      </c>
      <c r="E1014" s="68" t="n"/>
      <c r="F1014" s="68" t="n"/>
      <c r="G1014" s="66" t="n"/>
      <c r="H1014" s="66" t="n"/>
      <c r="I1014" s="68" t="n"/>
      <c r="J1014" s="73" t="n"/>
      <c r="K1014" s="71" t="n"/>
      <c r="L1014" s="71" t="n"/>
      <c r="M1014" s="66" t="n"/>
      <c r="N1014" s="80" t="n"/>
      <c r="O1014" s="81" t="str">
        <f>IF(A1014="","",ROUND(V1014*IFERROR(N(INDEX(tech_rate,MATCH(M1014,tech_name,0))),0),2))</f>
        <v/>
      </c>
      <c r="P1014" s="80" t="n"/>
      <c r="Q1014" s="81" t="str">
        <f>IF(A1014="","",ROUND(Y1014+O1014+Z1014,2))</f>
        <v/>
      </c>
      <c r="R1014" s="79" t="str">
        <f>IF(A1014="","",IF(S1014=0,"Date manquante ou invalide",IF(C1014="","Équipement manquant",IF(ISNA(MATCH(C1014,eq_code,0)),"Équipement inconnu",IF(E1014="","Type manquant",IF(AND(E1014&lt;&gt;"Préventif",E1014&lt;&gt;"Correctif",E1014&lt;&gt;"Amélioratif"),"Type inconnu",IF(I1014="","Statut manquant",IF(AND(I1014&lt;&gt;"Terminée",I1014&lt;&gt;"En cours",I1014&lt;&gt;"À faire",I1014&lt;&gt;"Annulée"),"Statut inconnu",IF(AND(E1014="Préventif",F1014=""),"Plan manquant (préventif)",IF(AND(F1014&lt;&gt;"",ISNA(MATCH(F1014,pl_num,0))),"Plan inconnu",IF(AND(F1014&lt;&gt;"",IFERROR(INDEX(pl_eq,MATCH(F1014,pl_num,0))&amp;"",C1014)&lt;&gt;C1014),"Plan d'un autre équipement",IF(AND(J1014&lt;&gt;"",OR(NOT(ISNUMBER(J1014)),N(J1014)&lt;0)),"Compteur invalide",IF(OR(AND(K1014&lt;&gt;"",OR(NOT(ISNUMBER(K1014)),N(K1014)&lt;0)),AND(L1014&lt;&gt;"",OR(NOT(ISNUMBER(L1014)),N(L1014)&lt;0))),"Durée invalide",IF(OR(AND(N1014&lt;&gt;"",OR(NOT(ISNUMBER(N1014)),N(N1014)&lt;0)),AND(P1014&lt;&gt;"",OR(NOT(ISNUMBER(P1014)),N(P1014)&lt;0))),"Coût invalide",IF(AND(M1014&lt;&gt;"",ISNA(MATCH(M1014,tech_name,0))),"Technicien inconnu",IF(AND(I1014="Terminée",S1014&gt;p_today),"Terminée à une date future",IF(AND(I1014="Terminée",V1014=0),"Durée d'intervention manquante",IF(AND(I1014="Terminée",E1014="Préventif",T1014=0,OR(IFERROR(INDEX(pl_trig,MATCH(F1014,pl_num,0))&amp;"","")="Compteur",IFERROR(INDEX(pl_trig,MATCH(F1014,pl_num,0))&amp;"","")="Au premier des deux")),"Compteur manquant (plan au compteur)","OK"))))))))))))))))))</f>
        <v/>
      </c>
      <c r="S1014" s="67">
        <f>IF(AND(ISNUMBER(B1014),N(B1014)&gt;0),INT(B1014),0)</f>
        <v>0.0</v>
      </c>
      <c r="T1014" s="67">
        <f>IF(AND(ISNUMBER(J1014),N(J1014)&gt;=0),N(J1014),0)</f>
        <v>0.0</v>
      </c>
      <c r="U1014" s="67">
        <f>IF(AND(ISNUMBER(K1014),N(K1014)&gt;0),N(K1014),0)</f>
        <v>0.0</v>
      </c>
      <c r="V1014" s="67">
        <f>IF(AND(ISNUMBER(L1014),N(L1014)&gt;0),N(L1014),0)</f>
        <v>0.0</v>
      </c>
      <c r="W1014" s="67">
        <f>IF(AND(I1014="Terminée",S1014&gt;0,C1014&lt;&gt;"",ISNUMBER(MATCH(C1014,eq_code,0))),1,0)</f>
        <v>0.0</v>
      </c>
      <c r="X1014" s="67">
        <f>IF(AND(W1014=1,E1014="Préventif"),1,0)</f>
        <v>0.0</v>
      </c>
      <c r="Y1014" s="67">
        <f>IF(AND(ISNUMBER(N1014),N(N1014)&gt;0),N(N1014),0)</f>
        <v>0.0</v>
      </c>
      <c r="Z1014" s="67">
        <f>IF(AND(ISNUMBER(P1014),N(P1014)&gt;0),N(P1014),0)</f>
        <v>0.0</v>
      </c>
    </row>
    <row r="1015">
      <c r="A1015" s="79" t="str">
        <f>IF(COUNTA(B1015:C1015,E1015:G1015,I1015)=0,"","BI-"&amp;RIGHT("0000"&amp;(ROW()-5),4))</f>
        <v/>
      </c>
      <c r="B1015" s="72" t="n"/>
      <c r="C1015" s="66" t="n"/>
      <c r="D1015" s="67" t="str">
        <f>IF(C1015="","",IFERROR(INDEX(eq_des,MATCH(C1015,eq_code,0))&amp;"","Équipement inconnu"))</f>
        <v/>
      </c>
      <c r="E1015" s="68" t="n"/>
      <c r="F1015" s="68" t="n"/>
      <c r="G1015" s="66" t="n"/>
      <c r="H1015" s="66" t="n"/>
      <c r="I1015" s="68" t="n"/>
      <c r="J1015" s="73" t="n"/>
      <c r="K1015" s="71" t="n"/>
      <c r="L1015" s="71" t="n"/>
      <c r="M1015" s="66" t="n"/>
      <c r="N1015" s="80" t="n"/>
      <c r="O1015" s="81" t="str">
        <f>IF(A1015="","",ROUND(V1015*IFERROR(N(INDEX(tech_rate,MATCH(M1015,tech_name,0))),0),2))</f>
        <v/>
      </c>
      <c r="P1015" s="80" t="n"/>
      <c r="Q1015" s="81" t="str">
        <f>IF(A1015="","",ROUND(Y1015+O1015+Z1015,2))</f>
        <v/>
      </c>
      <c r="R1015" s="79" t="str">
        <f>IF(A1015="","",IF(S1015=0,"Date manquante ou invalide",IF(C1015="","Équipement manquant",IF(ISNA(MATCH(C1015,eq_code,0)),"Équipement inconnu",IF(E1015="","Type manquant",IF(AND(E1015&lt;&gt;"Préventif",E1015&lt;&gt;"Correctif",E1015&lt;&gt;"Amélioratif"),"Type inconnu",IF(I1015="","Statut manquant",IF(AND(I1015&lt;&gt;"Terminée",I1015&lt;&gt;"En cours",I1015&lt;&gt;"À faire",I1015&lt;&gt;"Annulée"),"Statut inconnu",IF(AND(E1015="Préventif",F1015=""),"Plan manquant (préventif)",IF(AND(F1015&lt;&gt;"",ISNA(MATCH(F1015,pl_num,0))),"Plan inconnu",IF(AND(F1015&lt;&gt;"",IFERROR(INDEX(pl_eq,MATCH(F1015,pl_num,0))&amp;"",C1015)&lt;&gt;C1015),"Plan d'un autre équipement",IF(AND(J1015&lt;&gt;"",OR(NOT(ISNUMBER(J1015)),N(J1015)&lt;0)),"Compteur invalide",IF(OR(AND(K1015&lt;&gt;"",OR(NOT(ISNUMBER(K1015)),N(K1015)&lt;0)),AND(L1015&lt;&gt;"",OR(NOT(ISNUMBER(L1015)),N(L1015)&lt;0))),"Durée invalide",IF(OR(AND(N1015&lt;&gt;"",OR(NOT(ISNUMBER(N1015)),N(N1015)&lt;0)),AND(P1015&lt;&gt;"",OR(NOT(ISNUMBER(P1015)),N(P1015)&lt;0))),"Coût invalide",IF(AND(M1015&lt;&gt;"",ISNA(MATCH(M1015,tech_name,0))),"Technicien inconnu",IF(AND(I1015="Terminée",S1015&gt;p_today),"Terminée à une date future",IF(AND(I1015="Terminée",V1015=0),"Durée d'intervention manquante",IF(AND(I1015="Terminée",E1015="Préventif",T1015=0,OR(IFERROR(INDEX(pl_trig,MATCH(F1015,pl_num,0))&amp;"","")="Compteur",IFERROR(INDEX(pl_trig,MATCH(F1015,pl_num,0))&amp;"","")="Au premier des deux")),"Compteur manquant (plan au compteur)","OK"))))))))))))))))))</f>
        <v/>
      </c>
      <c r="S1015" s="67">
        <f>IF(AND(ISNUMBER(B1015),N(B1015)&gt;0),INT(B1015),0)</f>
        <v>0.0</v>
      </c>
      <c r="T1015" s="67">
        <f>IF(AND(ISNUMBER(J1015),N(J1015)&gt;=0),N(J1015),0)</f>
        <v>0.0</v>
      </c>
      <c r="U1015" s="67">
        <f>IF(AND(ISNUMBER(K1015),N(K1015)&gt;0),N(K1015),0)</f>
        <v>0.0</v>
      </c>
      <c r="V1015" s="67">
        <f>IF(AND(ISNUMBER(L1015),N(L1015)&gt;0),N(L1015),0)</f>
        <v>0.0</v>
      </c>
      <c r="W1015" s="67">
        <f>IF(AND(I1015="Terminée",S1015&gt;0,C1015&lt;&gt;"",ISNUMBER(MATCH(C1015,eq_code,0))),1,0)</f>
        <v>0.0</v>
      </c>
      <c r="X1015" s="67">
        <f>IF(AND(W1015=1,E1015="Préventif"),1,0)</f>
        <v>0.0</v>
      </c>
      <c r="Y1015" s="67">
        <f>IF(AND(ISNUMBER(N1015),N(N1015)&gt;0),N(N1015),0)</f>
        <v>0.0</v>
      </c>
      <c r="Z1015" s="67">
        <f>IF(AND(ISNUMBER(P1015),N(P1015)&gt;0),N(P1015),0)</f>
        <v>0.0</v>
      </c>
    </row>
    <row r="1016">
      <c r="A1016" s="79" t="str">
        <f>IF(COUNTA(B1016:C1016,E1016:G1016,I1016)=0,"","BI-"&amp;RIGHT("0000"&amp;(ROW()-5),4))</f>
        <v/>
      </c>
      <c r="B1016" s="72" t="n"/>
      <c r="C1016" s="66" t="n"/>
      <c r="D1016" s="67" t="str">
        <f>IF(C1016="","",IFERROR(INDEX(eq_des,MATCH(C1016,eq_code,0))&amp;"","Équipement inconnu"))</f>
        <v/>
      </c>
      <c r="E1016" s="68" t="n"/>
      <c r="F1016" s="68" t="n"/>
      <c r="G1016" s="66" t="n"/>
      <c r="H1016" s="66" t="n"/>
      <c r="I1016" s="68" t="n"/>
      <c r="J1016" s="73" t="n"/>
      <c r="K1016" s="71" t="n"/>
      <c r="L1016" s="71" t="n"/>
      <c r="M1016" s="66" t="n"/>
      <c r="N1016" s="80" t="n"/>
      <c r="O1016" s="81" t="str">
        <f>IF(A1016="","",ROUND(V1016*IFERROR(N(INDEX(tech_rate,MATCH(M1016,tech_name,0))),0),2))</f>
        <v/>
      </c>
      <c r="P1016" s="80" t="n"/>
      <c r="Q1016" s="81" t="str">
        <f>IF(A1016="","",ROUND(Y1016+O1016+Z1016,2))</f>
        <v/>
      </c>
      <c r="R1016" s="79" t="str">
        <f>IF(A1016="","",IF(S1016=0,"Date manquante ou invalide",IF(C1016="","Équipement manquant",IF(ISNA(MATCH(C1016,eq_code,0)),"Équipement inconnu",IF(E1016="","Type manquant",IF(AND(E1016&lt;&gt;"Préventif",E1016&lt;&gt;"Correctif",E1016&lt;&gt;"Amélioratif"),"Type inconnu",IF(I1016="","Statut manquant",IF(AND(I1016&lt;&gt;"Terminée",I1016&lt;&gt;"En cours",I1016&lt;&gt;"À faire",I1016&lt;&gt;"Annulée"),"Statut inconnu",IF(AND(E1016="Préventif",F1016=""),"Plan manquant (préventif)",IF(AND(F1016&lt;&gt;"",ISNA(MATCH(F1016,pl_num,0))),"Plan inconnu",IF(AND(F1016&lt;&gt;"",IFERROR(INDEX(pl_eq,MATCH(F1016,pl_num,0))&amp;"",C1016)&lt;&gt;C1016),"Plan d'un autre équipement",IF(AND(J1016&lt;&gt;"",OR(NOT(ISNUMBER(J1016)),N(J1016)&lt;0)),"Compteur invalide",IF(OR(AND(K1016&lt;&gt;"",OR(NOT(ISNUMBER(K1016)),N(K1016)&lt;0)),AND(L1016&lt;&gt;"",OR(NOT(ISNUMBER(L1016)),N(L1016)&lt;0))),"Durée invalide",IF(OR(AND(N1016&lt;&gt;"",OR(NOT(ISNUMBER(N1016)),N(N1016)&lt;0)),AND(P1016&lt;&gt;"",OR(NOT(ISNUMBER(P1016)),N(P1016)&lt;0))),"Coût invalide",IF(AND(M1016&lt;&gt;"",ISNA(MATCH(M1016,tech_name,0))),"Technicien inconnu",IF(AND(I1016="Terminée",S1016&gt;p_today),"Terminée à une date future",IF(AND(I1016="Terminée",V1016=0),"Durée d'intervention manquante",IF(AND(I1016="Terminée",E1016="Préventif",T1016=0,OR(IFERROR(INDEX(pl_trig,MATCH(F1016,pl_num,0))&amp;"","")="Compteur",IFERROR(INDEX(pl_trig,MATCH(F1016,pl_num,0))&amp;"","")="Au premier des deux")),"Compteur manquant (plan au compteur)","OK"))))))))))))))))))</f>
        <v/>
      </c>
      <c r="S1016" s="67">
        <f>IF(AND(ISNUMBER(B1016),N(B1016)&gt;0),INT(B1016),0)</f>
        <v>0.0</v>
      </c>
      <c r="T1016" s="67">
        <f>IF(AND(ISNUMBER(J1016),N(J1016)&gt;=0),N(J1016),0)</f>
        <v>0.0</v>
      </c>
      <c r="U1016" s="67">
        <f>IF(AND(ISNUMBER(K1016),N(K1016)&gt;0),N(K1016),0)</f>
        <v>0.0</v>
      </c>
      <c r="V1016" s="67">
        <f>IF(AND(ISNUMBER(L1016),N(L1016)&gt;0),N(L1016),0)</f>
        <v>0.0</v>
      </c>
      <c r="W1016" s="67">
        <f>IF(AND(I1016="Terminée",S1016&gt;0,C1016&lt;&gt;"",ISNUMBER(MATCH(C1016,eq_code,0))),1,0)</f>
        <v>0.0</v>
      </c>
      <c r="X1016" s="67">
        <f>IF(AND(W1016=1,E1016="Préventif"),1,0)</f>
        <v>0.0</v>
      </c>
      <c r="Y1016" s="67">
        <f>IF(AND(ISNUMBER(N1016),N(N1016)&gt;0),N(N1016),0)</f>
        <v>0.0</v>
      </c>
      <c r="Z1016" s="67">
        <f>IF(AND(ISNUMBER(P1016),N(P1016)&gt;0),N(P1016),0)</f>
        <v>0.0</v>
      </c>
    </row>
    <row r="1017">
      <c r="A1017" s="79" t="str">
        <f>IF(COUNTA(B1017:C1017,E1017:G1017,I1017)=0,"","BI-"&amp;RIGHT("0000"&amp;(ROW()-5),4))</f>
        <v/>
      </c>
      <c r="B1017" s="72" t="n"/>
      <c r="C1017" s="66" t="n"/>
      <c r="D1017" s="67" t="str">
        <f>IF(C1017="","",IFERROR(INDEX(eq_des,MATCH(C1017,eq_code,0))&amp;"","Équipement inconnu"))</f>
        <v/>
      </c>
      <c r="E1017" s="68" t="n"/>
      <c r="F1017" s="68" t="n"/>
      <c r="G1017" s="66" t="n"/>
      <c r="H1017" s="66" t="n"/>
      <c r="I1017" s="68" t="n"/>
      <c r="J1017" s="73" t="n"/>
      <c r="K1017" s="71" t="n"/>
      <c r="L1017" s="71" t="n"/>
      <c r="M1017" s="66" t="n"/>
      <c r="N1017" s="80" t="n"/>
      <c r="O1017" s="81" t="str">
        <f>IF(A1017="","",ROUND(V1017*IFERROR(N(INDEX(tech_rate,MATCH(M1017,tech_name,0))),0),2))</f>
        <v/>
      </c>
      <c r="P1017" s="80" t="n"/>
      <c r="Q1017" s="81" t="str">
        <f>IF(A1017="","",ROUND(Y1017+O1017+Z1017,2))</f>
        <v/>
      </c>
      <c r="R1017" s="79" t="str">
        <f>IF(A1017="","",IF(S1017=0,"Date manquante ou invalide",IF(C1017="","Équipement manquant",IF(ISNA(MATCH(C1017,eq_code,0)),"Équipement inconnu",IF(E1017="","Type manquant",IF(AND(E1017&lt;&gt;"Préventif",E1017&lt;&gt;"Correctif",E1017&lt;&gt;"Amélioratif"),"Type inconnu",IF(I1017="","Statut manquant",IF(AND(I1017&lt;&gt;"Terminée",I1017&lt;&gt;"En cours",I1017&lt;&gt;"À faire",I1017&lt;&gt;"Annulée"),"Statut inconnu",IF(AND(E1017="Préventif",F1017=""),"Plan manquant (préventif)",IF(AND(F1017&lt;&gt;"",ISNA(MATCH(F1017,pl_num,0))),"Plan inconnu",IF(AND(F1017&lt;&gt;"",IFERROR(INDEX(pl_eq,MATCH(F1017,pl_num,0))&amp;"",C1017)&lt;&gt;C1017),"Plan d'un autre équipement",IF(AND(J1017&lt;&gt;"",OR(NOT(ISNUMBER(J1017)),N(J1017)&lt;0)),"Compteur invalide",IF(OR(AND(K1017&lt;&gt;"",OR(NOT(ISNUMBER(K1017)),N(K1017)&lt;0)),AND(L1017&lt;&gt;"",OR(NOT(ISNUMBER(L1017)),N(L1017)&lt;0))),"Durée invalide",IF(OR(AND(N1017&lt;&gt;"",OR(NOT(ISNUMBER(N1017)),N(N1017)&lt;0)),AND(P1017&lt;&gt;"",OR(NOT(ISNUMBER(P1017)),N(P1017)&lt;0))),"Coût invalide",IF(AND(M1017&lt;&gt;"",ISNA(MATCH(M1017,tech_name,0))),"Technicien inconnu",IF(AND(I1017="Terminée",S1017&gt;p_today),"Terminée à une date future",IF(AND(I1017="Terminée",V1017=0),"Durée d'intervention manquante",IF(AND(I1017="Terminée",E1017="Préventif",T1017=0,OR(IFERROR(INDEX(pl_trig,MATCH(F1017,pl_num,0))&amp;"","")="Compteur",IFERROR(INDEX(pl_trig,MATCH(F1017,pl_num,0))&amp;"","")="Au premier des deux")),"Compteur manquant (plan au compteur)","OK"))))))))))))))))))</f>
        <v/>
      </c>
      <c r="S1017" s="67">
        <f>IF(AND(ISNUMBER(B1017),N(B1017)&gt;0),INT(B1017),0)</f>
        <v>0.0</v>
      </c>
      <c r="T1017" s="67">
        <f>IF(AND(ISNUMBER(J1017),N(J1017)&gt;=0),N(J1017),0)</f>
        <v>0.0</v>
      </c>
      <c r="U1017" s="67">
        <f>IF(AND(ISNUMBER(K1017),N(K1017)&gt;0),N(K1017),0)</f>
        <v>0.0</v>
      </c>
      <c r="V1017" s="67">
        <f>IF(AND(ISNUMBER(L1017),N(L1017)&gt;0),N(L1017),0)</f>
        <v>0.0</v>
      </c>
      <c r="W1017" s="67">
        <f>IF(AND(I1017="Terminée",S1017&gt;0,C1017&lt;&gt;"",ISNUMBER(MATCH(C1017,eq_code,0))),1,0)</f>
        <v>0.0</v>
      </c>
      <c r="X1017" s="67">
        <f>IF(AND(W1017=1,E1017="Préventif"),1,0)</f>
        <v>0.0</v>
      </c>
      <c r="Y1017" s="67">
        <f>IF(AND(ISNUMBER(N1017),N(N1017)&gt;0),N(N1017),0)</f>
        <v>0.0</v>
      </c>
      <c r="Z1017" s="67">
        <f>IF(AND(ISNUMBER(P1017),N(P1017)&gt;0),N(P1017),0)</f>
        <v>0.0</v>
      </c>
    </row>
    <row r="1018">
      <c r="A1018" s="79" t="str">
        <f>IF(COUNTA(B1018:C1018,E1018:G1018,I1018)=0,"","BI-"&amp;RIGHT("0000"&amp;(ROW()-5),4))</f>
        <v/>
      </c>
      <c r="B1018" s="72" t="n"/>
      <c r="C1018" s="66" t="n"/>
      <c r="D1018" s="67" t="str">
        <f>IF(C1018="","",IFERROR(INDEX(eq_des,MATCH(C1018,eq_code,0))&amp;"","Équipement inconnu"))</f>
        <v/>
      </c>
      <c r="E1018" s="68" t="n"/>
      <c r="F1018" s="68" t="n"/>
      <c r="G1018" s="66" t="n"/>
      <c r="H1018" s="66" t="n"/>
      <c r="I1018" s="68" t="n"/>
      <c r="J1018" s="73" t="n"/>
      <c r="K1018" s="71" t="n"/>
      <c r="L1018" s="71" t="n"/>
      <c r="M1018" s="66" t="n"/>
      <c r="N1018" s="80" t="n"/>
      <c r="O1018" s="81" t="str">
        <f>IF(A1018="","",ROUND(V1018*IFERROR(N(INDEX(tech_rate,MATCH(M1018,tech_name,0))),0),2))</f>
        <v/>
      </c>
      <c r="P1018" s="80" t="n"/>
      <c r="Q1018" s="81" t="str">
        <f>IF(A1018="","",ROUND(Y1018+O1018+Z1018,2))</f>
        <v/>
      </c>
      <c r="R1018" s="79" t="str">
        <f>IF(A1018="","",IF(S1018=0,"Date manquante ou invalide",IF(C1018="","Équipement manquant",IF(ISNA(MATCH(C1018,eq_code,0)),"Équipement inconnu",IF(E1018="","Type manquant",IF(AND(E1018&lt;&gt;"Préventif",E1018&lt;&gt;"Correctif",E1018&lt;&gt;"Amélioratif"),"Type inconnu",IF(I1018="","Statut manquant",IF(AND(I1018&lt;&gt;"Terminée",I1018&lt;&gt;"En cours",I1018&lt;&gt;"À faire",I1018&lt;&gt;"Annulée"),"Statut inconnu",IF(AND(E1018="Préventif",F1018=""),"Plan manquant (préventif)",IF(AND(F1018&lt;&gt;"",ISNA(MATCH(F1018,pl_num,0))),"Plan inconnu",IF(AND(F1018&lt;&gt;"",IFERROR(INDEX(pl_eq,MATCH(F1018,pl_num,0))&amp;"",C1018)&lt;&gt;C1018),"Plan d'un autre équipement",IF(AND(J1018&lt;&gt;"",OR(NOT(ISNUMBER(J1018)),N(J1018)&lt;0)),"Compteur invalide",IF(OR(AND(K1018&lt;&gt;"",OR(NOT(ISNUMBER(K1018)),N(K1018)&lt;0)),AND(L1018&lt;&gt;"",OR(NOT(ISNUMBER(L1018)),N(L1018)&lt;0))),"Durée invalide",IF(OR(AND(N1018&lt;&gt;"",OR(NOT(ISNUMBER(N1018)),N(N1018)&lt;0)),AND(P1018&lt;&gt;"",OR(NOT(ISNUMBER(P1018)),N(P1018)&lt;0))),"Coût invalide",IF(AND(M1018&lt;&gt;"",ISNA(MATCH(M1018,tech_name,0))),"Technicien inconnu",IF(AND(I1018="Terminée",S1018&gt;p_today),"Terminée à une date future",IF(AND(I1018="Terminée",V1018=0),"Durée d'intervention manquante",IF(AND(I1018="Terminée",E1018="Préventif",T1018=0,OR(IFERROR(INDEX(pl_trig,MATCH(F1018,pl_num,0))&amp;"","")="Compteur",IFERROR(INDEX(pl_trig,MATCH(F1018,pl_num,0))&amp;"","")="Au premier des deux")),"Compteur manquant (plan au compteur)","OK"))))))))))))))))))</f>
        <v/>
      </c>
      <c r="S1018" s="67">
        <f>IF(AND(ISNUMBER(B1018),N(B1018)&gt;0),INT(B1018),0)</f>
        <v>0.0</v>
      </c>
      <c r="T1018" s="67">
        <f>IF(AND(ISNUMBER(J1018),N(J1018)&gt;=0),N(J1018),0)</f>
        <v>0.0</v>
      </c>
      <c r="U1018" s="67">
        <f>IF(AND(ISNUMBER(K1018),N(K1018)&gt;0),N(K1018),0)</f>
        <v>0.0</v>
      </c>
      <c r="V1018" s="67">
        <f>IF(AND(ISNUMBER(L1018),N(L1018)&gt;0),N(L1018),0)</f>
        <v>0.0</v>
      </c>
      <c r="W1018" s="67">
        <f>IF(AND(I1018="Terminée",S1018&gt;0,C1018&lt;&gt;"",ISNUMBER(MATCH(C1018,eq_code,0))),1,0)</f>
        <v>0.0</v>
      </c>
      <c r="X1018" s="67">
        <f>IF(AND(W1018=1,E1018="Préventif"),1,0)</f>
        <v>0.0</v>
      </c>
      <c r="Y1018" s="67">
        <f>IF(AND(ISNUMBER(N1018),N(N1018)&gt;0),N(N1018),0)</f>
        <v>0.0</v>
      </c>
      <c r="Z1018" s="67">
        <f>IF(AND(ISNUMBER(P1018),N(P1018)&gt;0),N(P1018),0)</f>
        <v>0.0</v>
      </c>
    </row>
    <row r="1019">
      <c r="A1019" s="79" t="str">
        <f>IF(COUNTA(B1019:C1019,E1019:G1019,I1019)=0,"","BI-"&amp;RIGHT("0000"&amp;(ROW()-5),4))</f>
        <v/>
      </c>
      <c r="B1019" s="72" t="n"/>
      <c r="C1019" s="66" t="n"/>
      <c r="D1019" s="67" t="str">
        <f>IF(C1019="","",IFERROR(INDEX(eq_des,MATCH(C1019,eq_code,0))&amp;"","Équipement inconnu"))</f>
        <v/>
      </c>
      <c r="E1019" s="68" t="n"/>
      <c r="F1019" s="68" t="n"/>
      <c r="G1019" s="66" t="n"/>
      <c r="H1019" s="66" t="n"/>
      <c r="I1019" s="68" t="n"/>
      <c r="J1019" s="73" t="n"/>
      <c r="K1019" s="71" t="n"/>
      <c r="L1019" s="71" t="n"/>
      <c r="M1019" s="66" t="n"/>
      <c r="N1019" s="80" t="n"/>
      <c r="O1019" s="81" t="str">
        <f>IF(A1019="","",ROUND(V1019*IFERROR(N(INDEX(tech_rate,MATCH(M1019,tech_name,0))),0),2))</f>
        <v/>
      </c>
      <c r="P1019" s="80" t="n"/>
      <c r="Q1019" s="81" t="str">
        <f>IF(A1019="","",ROUND(Y1019+O1019+Z1019,2))</f>
        <v/>
      </c>
      <c r="R1019" s="79" t="str">
        <f>IF(A1019="","",IF(S1019=0,"Date manquante ou invalide",IF(C1019="","Équipement manquant",IF(ISNA(MATCH(C1019,eq_code,0)),"Équipement inconnu",IF(E1019="","Type manquant",IF(AND(E1019&lt;&gt;"Préventif",E1019&lt;&gt;"Correctif",E1019&lt;&gt;"Amélioratif"),"Type inconnu",IF(I1019="","Statut manquant",IF(AND(I1019&lt;&gt;"Terminée",I1019&lt;&gt;"En cours",I1019&lt;&gt;"À faire",I1019&lt;&gt;"Annulée"),"Statut inconnu",IF(AND(E1019="Préventif",F1019=""),"Plan manquant (préventif)",IF(AND(F1019&lt;&gt;"",ISNA(MATCH(F1019,pl_num,0))),"Plan inconnu",IF(AND(F1019&lt;&gt;"",IFERROR(INDEX(pl_eq,MATCH(F1019,pl_num,0))&amp;"",C1019)&lt;&gt;C1019),"Plan d'un autre équipement",IF(AND(J1019&lt;&gt;"",OR(NOT(ISNUMBER(J1019)),N(J1019)&lt;0)),"Compteur invalide",IF(OR(AND(K1019&lt;&gt;"",OR(NOT(ISNUMBER(K1019)),N(K1019)&lt;0)),AND(L1019&lt;&gt;"",OR(NOT(ISNUMBER(L1019)),N(L1019)&lt;0))),"Durée invalide",IF(OR(AND(N1019&lt;&gt;"",OR(NOT(ISNUMBER(N1019)),N(N1019)&lt;0)),AND(P1019&lt;&gt;"",OR(NOT(ISNUMBER(P1019)),N(P1019)&lt;0))),"Coût invalide",IF(AND(M1019&lt;&gt;"",ISNA(MATCH(M1019,tech_name,0))),"Technicien inconnu",IF(AND(I1019="Terminée",S1019&gt;p_today),"Terminée à une date future",IF(AND(I1019="Terminée",V1019=0),"Durée d'intervention manquante",IF(AND(I1019="Terminée",E1019="Préventif",T1019=0,OR(IFERROR(INDEX(pl_trig,MATCH(F1019,pl_num,0))&amp;"","")="Compteur",IFERROR(INDEX(pl_trig,MATCH(F1019,pl_num,0))&amp;"","")="Au premier des deux")),"Compteur manquant (plan au compteur)","OK"))))))))))))))))))</f>
        <v/>
      </c>
      <c r="S1019" s="67">
        <f>IF(AND(ISNUMBER(B1019),N(B1019)&gt;0),INT(B1019),0)</f>
        <v>0.0</v>
      </c>
      <c r="T1019" s="67">
        <f>IF(AND(ISNUMBER(J1019),N(J1019)&gt;=0),N(J1019),0)</f>
        <v>0.0</v>
      </c>
      <c r="U1019" s="67">
        <f>IF(AND(ISNUMBER(K1019),N(K1019)&gt;0),N(K1019),0)</f>
        <v>0.0</v>
      </c>
      <c r="V1019" s="67">
        <f>IF(AND(ISNUMBER(L1019),N(L1019)&gt;0),N(L1019),0)</f>
        <v>0.0</v>
      </c>
      <c r="W1019" s="67">
        <f>IF(AND(I1019="Terminée",S1019&gt;0,C1019&lt;&gt;"",ISNUMBER(MATCH(C1019,eq_code,0))),1,0)</f>
        <v>0.0</v>
      </c>
      <c r="X1019" s="67">
        <f>IF(AND(W1019=1,E1019="Préventif"),1,0)</f>
        <v>0.0</v>
      </c>
      <c r="Y1019" s="67">
        <f>IF(AND(ISNUMBER(N1019),N(N1019)&gt;0),N(N1019),0)</f>
        <v>0.0</v>
      </c>
      <c r="Z1019" s="67">
        <f>IF(AND(ISNUMBER(P1019),N(P1019)&gt;0),N(P1019),0)</f>
        <v>0.0</v>
      </c>
    </row>
    <row r="1020">
      <c r="A1020" s="79" t="str">
        <f>IF(COUNTA(B1020:C1020,E1020:G1020,I1020)=0,"","BI-"&amp;RIGHT("0000"&amp;(ROW()-5),4))</f>
        <v/>
      </c>
      <c r="B1020" s="72" t="n"/>
      <c r="C1020" s="66" t="n"/>
      <c r="D1020" s="67" t="str">
        <f>IF(C1020="","",IFERROR(INDEX(eq_des,MATCH(C1020,eq_code,0))&amp;"","Équipement inconnu"))</f>
        <v/>
      </c>
      <c r="E1020" s="68" t="n"/>
      <c r="F1020" s="68" t="n"/>
      <c r="G1020" s="66" t="n"/>
      <c r="H1020" s="66" t="n"/>
      <c r="I1020" s="68" t="n"/>
      <c r="J1020" s="73" t="n"/>
      <c r="K1020" s="71" t="n"/>
      <c r="L1020" s="71" t="n"/>
      <c r="M1020" s="66" t="n"/>
      <c r="N1020" s="80" t="n"/>
      <c r="O1020" s="81" t="str">
        <f>IF(A1020="","",ROUND(V1020*IFERROR(N(INDEX(tech_rate,MATCH(M1020,tech_name,0))),0),2))</f>
        <v/>
      </c>
      <c r="P1020" s="80" t="n"/>
      <c r="Q1020" s="81" t="str">
        <f>IF(A1020="","",ROUND(Y1020+O1020+Z1020,2))</f>
        <v/>
      </c>
      <c r="R1020" s="79" t="str">
        <f>IF(A1020="","",IF(S1020=0,"Date manquante ou invalide",IF(C1020="","Équipement manquant",IF(ISNA(MATCH(C1020,eq_code,0)),"Équipement inconnu",IF(E1020="","Type manquant",IF(AND(E1020&lt;&gt;"Préventif",E1020&lt;&gt;"Correctif",E1020&lt;&gt;"Amélioratif"),"Type inconnu",IF(I1020="","Statut manquant",IF(AND(I1020&lt;&gt;"Terminée",I1020&lt;&gt;"En cours",I1020&lt;&gt;"À faire",I1020&lt;&gt;"Annulée"),"Statut inconnu",IF(AND(E1020="Préventif",F1020=""),"Plan manquant (préventif)",IF(AND(F1020&lt;&gt;"",ISNA(MATCH(F1020,pl_num,0))),"Plan inconnu",IF(AND(F1020&lt;&gt;"",IFERROR(INDEX(pl_eq,MATCH(F1020,pl_num,0))&amp;"",C1020)&lt;&gt;C1020),"Plan d'un autre équipement",IF(AND(J1020&lt;&gt;"",OR(NOT(ISNUMBER(J1020)),N(J1020)&lt;0)),"Compteur invalide",IF(OR(AND(K1020&lt;&gt;"",OR(NOT(ISNUMBER(K1020)),N(K1020)&lt;0)),AND(L1020&lt;&gt;"",OR(NOT(ISNUMBER(L1020)),N(L1020)&lt;0))),"Durée invalide",IF(OR(AND(N1020&lt;&gt;"",OR(NOT(ISNUMBER(N1020)),N(N1020)&lt;0)),AND(P1020&lt;&gt;"",OR(NOT(ISNUMBER(P1020)),N(P1020)&lt;0))),"Coût invalide",IF(AND(M1020&lt;&gt;"",ISNA(MATCH(M1020,tech_name,0))),"Technicien inconnu",IF(AND(I1020="Terminée",S1020&gt;p_today),"Terminée à une date future",IF(AND(I1020="Terminée",V1020=0),"Durée d'intervention manquante",IF(AND(I1020="Terminée",E1020="Préventif",T1020=0,OR(IFERROR(INDEX(pl_trig,MATCH(F1020,pl_num,0))&amp;"","")="Compteur",IFERROR(INDEX(pl_trig,MATCH(F1020,pl_num,0))&amp;"","")="Au premier des deux")),"Compteur manquant (plan au compteur)","OK"))))))))))))))))))</f>
        <v/>
      </c>
      <c r="S1020" s="67">
        <f>IF(AND(ISNUMBER(B1020),N(B1020)&gt;0),INT(B1020),0)</f>
        <v>0.0</v>
      </c>
      <c r="T1020" s="67">
        <f>IF(AND(ISNUMBER(J1020),N(J1020)&gt;=0),N(J1020),0)</f>
        <v>0.0</v>
      </c>
      <c r="U1020" s="67">
        <f>IF(AND(ISNUMBER(K1020),N(K1020)&gt;0),N(K1020),0)</f>
        <v>0.0</v>
      </c>
      <c r="V1020" s="67">
        <f>IF(AND(ISNUMBER(L1020),N(L1020)&gt;0),N(L1020),0)</f>
        <v>0.0</v>
      </c>
      <c r="W1020" s="67">
        <f>IF(AND(I1020="Terminée",S1020&gt;0,C1020&lt;&gt;"",ISNUMBER(MATCH(C1020,eq_code,0))),1,0)</f>
        <v>0.0</v>
      </c>
      <c r="X1020" s="67">
        <f>IF(AND(W1020=1,E1020="Préventif"),1,0)</f>
        <v>0.0</v>
      </c>
      <c r="Y1020" s="67">
        <f>IF(AND(ISNUMBER(N1020),N(N1020)&gt;0),N(N1020),0)</f>
        <v>0.0</v>
      </c>
      <c r="Z1020" s="67">
        <f>IF(AND(ISNUMBER(P1020),N(P1020)&gt;0),N(P1020),0)</f>
        <v>0.0</v>
      </c>
    </row>
    <row r="1021">
      <c r="A1021" s="79" t="str">
        <f>IF(COUNTA(B1021:C1021,E1021:G1021,I1021)=0,"","BI-"&amp;RIGHT("0000"&amp;(ROW()-5),4))</f>
        <v/>
      </c>
      <c r="B1021" s="72" t="n"/>
      <c r="C1021" s="66" t="n"/>
      <c r="D1021" s="67" t="str">
        <f>IF(C1021="","",IFERROR(INDEX(eq_des,MATCH(C1021,eq_code,0))&amp;"","Équipement inconnu"))</f>
        <v/>
      </c>
      <c r="E1021" s="68" t="n"/>
      <c r="F1021" s="68" t="n"/>
      <c r="G1021" s="66" t="n"/>
      <c r="H1021" s="66" t="n"/>
      <c r="I1021" s="68" t="n"/>
      <c r="J1021" s="73" t="n"/>
      <c r="K1021" s="71" t="n"/>
      <c r="L1021" s="71" t="n"/>
      <c r="M1021" s="66" t="n"/>
      <c r="N1021" s="80" t="n"/>
      <c r="O1021" s="81" t="str">
        <f>IF(A1021="","",ROUND(V1021*IFERROR(N(INDEX(tech_rate,MATCH(M1021,tech_name,0))),0),2))</f>
        <v/>
      </c>
      <c r="P1021" s="80" t="n"/>
      <c r="Q1021" s="81" t="str">
        <f>IF(A1021="","",ROUND(Y1021+O1021+Z1021,2))</f>
        <v/>
      </c>
      <c r="R1021" s="79" t="str">
        <f>IF(A1021="","",IF(S1021=0,"Date manquante ou invalide",IF(C1021="","Équipement manquant",IF(ISNA(MATCH(C1021,eq_code,0)),"Équipement inconnu",IF(E1021="","Type manquant",IF(AND(E1021&lt;&gt;"Préventif",E1021&lt;&gt;"Correctif",E1021&lt;&gt;"Amélioratif"),"Type inconnu",IF(I1021="","Statut manquant",IF(AND(I1021&lt;&gt;"Terminée",I1021&lt;&gt;"En cours",I1021&lt;&gt;"À faire",I1021&lt;&gt;"Annulée"),"Statut inconnu",IF(AND(E1021="Préventif",F1021=""),"Plan manquant (préventif)",IF(AND(F1021&lt;&gt;"",ISNA(MATCH(F1021,pl_num,0))),"Plan inconnu",IF(AND(F1021&lt;&gt;"",IFERROR(INDEX(pl_eq,MATCH(F1021,pl_num,0))&amp;"",C1021)&lt;&gt;C1021),"Plan d'un autre équipement",IF(AND(J1021&lt;&gt;"",OR(NOT(ISNUMBER(J1021)),N(J1021)&lt;0)),"Compteur invalide",IF(OR(AND(K1021&lt;&gt;"",OR(NOT(ISNUMBER(K1021)),N(K1021)&lt;0)),AND(L1021&lt;&gt;"",OR(NOT(ISNUMBER(L1021)),N(L1021)&lt;0))),"Durée invalide",IF(OR(AND(N1021&lt;&gt;"",OR(NOT(ISNUMBER(N1021)),N(N1021)&lt;0)),AND(P1021&lt;&gt;"",OR(NOT(ISNUMBER(P1021)),N(P1021)&lt;0))),"Coût invalide",IF(AND(M1021&lt;&gt;"",ISNA(MATCH(M1021,tech_name,0))),"Technicien inconnu",IF(AND(I1021="Terminée",S1021&gt;p_today),"Terminée à une date future",IF(AND(I1021="Terminée",V1021=0),"Durée d'intervention manquante",IF(AND(I1021="Terminée",E1021="Préventif",T1021=0,OR(IFERROR(INDEX(pl_trig,MATCH(F1021,pl_num,0))&amp;"","")="Compteur",IFERROR(INDEX(pl_trig,MATCH(F1021,pl_num,0))&amp;"","")="Au premier des deux")),"Compteur manquant (plan au compteur)","OK"))))))))))))))))))</f>
        <v/>
      </c>
      <c r="S1021" s="67">
        <f>IF(AND(ISNUMBER(B1021),N(B1021)&gt;0),INT(B1021),0)</f>
        <v>0.0</v>
      </c>
      <c r="T1021" s="67">
        <f>IF(AND(ISNUMBER(J1021),N(J1021)&gt;=0),N(J1021),0)</f>
        <v>0.0</v>
      </c>
      <c r="U1021" s="67">
        <f>IF(AND(ISNUMBER(K1021),N(K1021)&gt;0),N(K1021),0)</f>
        <v>0.0</v>
      </c>
      <c r="V1021" s="67">
        <f>IF(AND(ISNUMBER(L1021),N(L1021)&gt;0),N(L1021),0)</f>
        <v>0.0</v>
      </c>
      <c r="W1021" s="67">
        <f>IF(AND(I1021="Terminée",S1021&gt;0,C1021&lt;&gt;"",ISNUMBER(MATCH(C1021,eq_code,0))),1,0)</f>
        <v>0.0</v>
      </c>
      <c r="X1021" s="67">
        <f>IF(AND(W1021=1,E1021="Préventif"),1,0)</f>
        <v>0.0</v>
      </c>
      <c r="Y1021" s="67">
        <f>IF(AND(ISNUMBER(N1021),N(N1021)&gt;0),N(N1021),0)</f>
        <v>0.0</v>
      </c>
      <c r="Z1021" s="67">
        <f>IF(AND(ISNUMBER(P1021),N(P1021)&gt;0),N(P1021),0)</f>
        <v>0.0</v>
      </c>
    </row>
    <row r="1022">
      <c r="A1022" s="79" t="str">
        <f>IF(COUNTA(B1022:C1022,E1022:G1022,I1022)=0,"","BI-"&amp;RIGHT("0000"&amp;(ROW()-5),4))</f>
        <v/>
      </c>
      <c r="B1022" s="72" t="n"/>
      <c r="C1022" s="66" t="n"/>
      <c r="D1022" s="67" t="str">
        <f>IF(C1022="","",IFERROR(INDEX(eq_des,MATCH(C1022,eq_code,0))&amp;"","Équipement inconnu"))</f>
        <v/>
      </c>
      <c r="E1022" s="68" t="n"/>
      <c r="F1022" s="68" t="n"/>
      <c r="G1022" s="66" t="n"/>
      <c r="H1022" s="66" t="n"/>
      <c r="I1022" s="68" t="n"/>
      <c r="J1022" s="73" t="n"/>
      <c r="K1022" s="71" t="n"/>
      <c r="L1022" s="71" t="n"/>
      <c r="M1022" s="66" t="n"/>
      <c r="N1022" s="80" t="n"/>
      <c r="O1022" s="81" t="str">
        <f>IF(A1022="","",ROUND(V1022*IFERROR(N(INDEX(tech_rate,MATCH(M1022,tech_name,0))),0),2))</f>
        <v/>
      </c>
      <c r="P1022" s="80" t="n"/>
      <c r="Q1022" s="81" t="str">
        <f>IF(A1022="","",ROUND(Y1022+O1022+Z1022,2))</f>
        <v/>
      </c>
      <c r="R1022" s="79" t="str">
        <f>IF(A1022="","",IF(S1022=0,"Date manquante ou invalide",IF(C1022="","Équipement manquant",IF(ISNA(MATCH(C1022,eq_code,0)),"Équipement inconnu",IF(E1022="","Type manquant",IF(AND(E1022&lt;&gt;"Préventif",E1022&lt;&gt;"Correctif",E1022&lt;&gt;"Amélioratif"),"Type inconnu",IF(I1022="","Statut manquant",IF(AND(I1022&lt;&gt;"Terminée",I1022&lt;&gt;"En cours",I1022&lt;&gt;"À faire",I1022&lt;&gt;"Annulée"),"Statut inconnu",IF(AND(E1022="Préventif",F1022=""),"Plan manquant (préventif)",IF(AND(F1022&lt;&gt;"",ISNA(MATCH(F1022,pl_num,0))),"Plan inconnu",IF(AND(F1022&lt;&gt;"",IFERROR(INDEX(pl_eq,MATCH(F1022,pl_num,0))&amp;"",C1022)&lt;&gt;C1022),"Plan d'un autre équipement",IF(AND(J1022&lt;&gt;"",OR(NOT(ISNUMBER(J1022)),N(J1022)&lt;0)),"Compteur invalide",IF(OR(AND(K1022&lt;&gt;"",OR(NOT(ISNUMBER(K1022)),N(K1022)&lt;0)),AND(L1022&lt;&gt;"",OR(NOT(ISNUMBER(L1022)),N(L1022)&lt;0))),"Durée invalide",IF(OR(AND(N1022&lt;&gt;"",OR(NOT(ISNUMBER(N1022)),N(N1022)&lt;0)),AND(P1022&lt;&gt;"",OR(NOT(ISNUMBER(P1022)),N(P1022)&lt;0))),"Coût invalide",IF(AND(M1022&lt;&gt;"",ISNA(MATCH(M1022,tech_name,0))),"Technicien inconnu",IF(AND(I1022="Terminée",S1022&gt;p_today),"Terminée à une date future",IF(AND(I1022="Terminée",V1022=0),"Durée d'intervention manquante",IF(AND(I1022="Terminée",E1022="Préventif",T1022=0,OR(IFERROR(INDEX(pl_trig,MATCH(F1022,pl_num,0))&amp;"","")="Compteur",IFERROR(INDEX(pl_trig,MATCH(F1022,pl_num,0))&amp;"","")="Au premier des deux")),"Compteur manquant (plan au compteur)","OK"))))))))))))))))))</f>
        <v/>
      </c>
      <c r="S1022" s="67">
        <f>IF(AND(ISNUMBER(B1022),N(B1022)&gt;0),INT(B1022),0)</f>
        <v>0.0</v>
      </c>
      <c r="T1022" s="67">
        <f>IF(AND(ISNUMBER(J1022),N(J1022)&gt;=0),N(J1022),0)</f>
        <v>0.0</v>
      </c>
      <c r="U1022" s="67">
        <f>IF(AND(ISNUMBER(K1022),N(K1022)&gt;0),N(K1022),0)</f>
        <v>0.0</v>
      </c>
      <c r="V1022" s="67">
        <f>IF(AND(ISNUMBER(L1022),N(L1022)&gt;0),N(L1022),0)</f>
        <v>0.0</v>
      </c>
      <c r="W1022" s="67">
        <f>IF(AND(I1022="Terminée",S1022&gt;0,C1022&lt;&gt;"",ISNUMBER(MATCH(C1022,eq_code,0))),1,0)</f>
        <v>0.0</v>
      </c>
      <c r="X1022" s="67">
        <f>IF(AND(W1022=1,E1022="Préventif"),1,0)</f>
        <v>0.0</v>
      </c>
      <c r="Y1022" s="67">
        <f>IF(AND(ISNUMBER(N1022),N(N1022)&gt;0),N(N1022),0)</f>
        <v>0.0</v>
      </c>
      <c r="Z1022" s="67">
        <f>IF(AND(ISNUMBER(P1022),N(P1022)&gt;0),N(P1022),0)</f>
        <v>0.0</v>
      </c>
    </row>
    <row r="1023">
      <c r="A1023" s="79" t="str">
        <f>IF(COUNTA(B1023:C1023,E1023:G1023,I1023)=0,"","BI-"&amp;RIGHT("0000"&amp;(ROW()-5),4))</f>
        <v/>
      </c>
      <c r="B1023" s="72" t="n"/>
      <c r="C1023" s="66" t="n"/>
      <c r="D1023" s="67" t="str">
        <f>IF(C1023="","",IFERROR(INDEX(eq_des,MATCH(C1023,eq_code,0))&amp;"","Équipement inconnu"))</f>
        <v/>
      </c>
      <c r="E1023" s="68" t="n"/>
      <c r="F1023" s="68" t="n"/>
      <c r="G1023" s="66" t="n"/>
      <c r="H1023" s="66" t="n"/>
      <c r="I1023" s="68" t="n"/>
      <c r="J1023" s="73" t="n"/>
      <c r="K1023" s="71" t="n"/>
      <c r="L1023" s="71" t="n"/>
      <c r="M1023" s="66" t="n"/>
      <c r="N1023" s="80" t="n"/>
      <c r="O1023" s="81" t="str">
        <f>IF(A1023="","",ROUND(V1023*IFERROR(N(INDEX(tech_rate,MATCH(M1023,tech_name,0))),0),2))</f>
        <v/>
      </c>
      <c r="P1023" s="80" t="n"/>
      <c r="Q1023" s="81" t="str">
        <f>IF(A1023="","",ROUND(Y1023+O1023+Z1023,2))</f>
        <v/>
      </c>
      <c r="R1023" s="79" t="str">
        <f>IF(A1023="","",IF(S1023=0,"Date manquante ou invalide",IF(C1023="","Équipement manquant",IF(ISNA(MATCH(C1023,eq_code,0)),"Équipement inconnu",IF(E1023="","Type manquant",IF(AND(E1023&lt;&gt;"Préventif",E1023&lt;&gt;"Correctif",E1023&lt;&gt;"Amélioratif"),"Type inconnu",IF(I1023="","Statut manquant",IF(AND(I1023&lt;&gt;"Terminée",I1023&lt;&gt;"En cours",I1023&lt;&gt;"À faire",I1023&lt;&gt;"Annulée"),"Statut inconnu",IF(AND(E1023="Préventif",F1023=""),"Plan manquant (préventif)",IF(AND(F1023&lt;&gt;"",ISNA(MATCH(F1023,pl_num,0))),"Plan inconnu",IF(AND(F1023&lt;&gt;"",IFERROR(INDEX(pl_eq,MATCH(F1023,pl_num,0))&amp;"",C1023)&lt;&gt;C1023),"Plan d'un autre équipement",IF(AND(J1023&lt;&gt;"",OR(NOT(ISNUMBER(J1023)),N(J1023)&lt;0)),"Compteur invalide",IF(OR(AND(K1023&lt;&gt;"",OR(NOT(ISNUMBER(K1023)),N(K1023)&lt;0)),AND(L1023&lt;&gt;"",OR(NOT(ISNUMBER(L1023)),N(L1023)&lt;0))),"Durée invalide",IF(OR(AND(N1023&lt;&gt;"",OR(NOT(ISNUMBER(N1023)),N(N1023)&lt;0)),AND(P1023&lt;&gt;"",OR(NOT(ISNUMBER(P1023)),N(P1023)&lt;0))),"Coût invalide",IF(AND(M1023&lt;&gt;"",ISNA(MATCH(M1023,tech_name,0))),"Technicien inconnu",IF(AND(I1023="Terminée",S1023&gt;p_today),"Terminée à une date future",IF(AND(I1023="Terminée",V1023=0),"Durée d'intervention manquante",IF(AND(I1023="Terminée",E1023="Préventif",T1023=0,OR(IFERROR(INDEX(pl_trig,MATCH(F1023,pl_num,0))&amp;"","")="Compteur",IFERROR(INDEX(pl_trig,MATCH(F1023,pl_num,0))&amp;"","")="Au premier des deux")),"Compteur manquant (plan au compteur)","OK"))))))))))))))))))</f>
        <v/>
      </c>
      <c r="S1023" s="67">
        <f>IF(AND(ISNUMBER(B1023),N(B1023)&gt;0),INT(B1023),0)</f>
        <v>0.0</v>
      </c>
      <c r="T1023" s="67">
        <f>IF(AND(ISNUMBER(J1023),N(J1023)&gt;=0),N(J1023),0)</f>
        <v>0.0</v>
      </c>
      <c r="U1023" s="67">
        <f>IF(AND(ISNUMBER(K1023),N(K1023)&gt;0),N(K1023),0)</f>
        <v>0.0</v>
      </c>
      <c r="V1023" s="67">
        <f>IF(AND(ISNUMBER(L1023),N(L1023)&gt;0),N(L1023),0)</f>
        <v>0.0</v>
      </c>
      <c r="W1023" s="67">
        <f>IF(AND(I1023="Terminée",S1023&gt;0,C1023&lt;&gt;"",ISNUMBER(MATCH(C1023,eq_code,0))),1,0)</f>
        <v>0.0</v>
      </c>
      <c r="X1023" s="67">
        <f>IF(AND(W1023=1,E1023="Préventif"),1,0)</f>
        <v>0.0</v>
      </c>
      <c r="Y1023" s="67">
        <f>IF(AND(ISNUMBER(N1023),N(N1023)&gt;0),N(N1023),0)</f>
        <v>0.0</v>
      </c>
      <c r="Z1023" s="67">
        <f>IF(AND(ISNUMBER(P1023),N(P1023)&gt;0),N(P1023),0)</f>
        <v>0.0</v>
      </c>
    </row>
    <row r="1024">
      <c r="A1024" s="79" t="str">
        <f>IF(COUNTA(B1024:C1024,E1024:G1024,I1024)=0,"","BI-"&amp;RIGHT("0000"&amp;(ROW()-5),4))</f>
        <v/>
      </c>
      <c r="B1024" s="72" t="n"/>
      <c r="C1024" s="66" t="n"/>
      <c r="D1024" s="67" t="str">
        <f>IF(C1024="","",IFERROR(INDEX(eq_des,MATCH(C1024,eq_code,0))&amp;"","Équipement inconnu"))</f>
        <v/>
      </c>
      <c r="E1024" s="68" t="n"/>
      <c r="F1024" s="68" t="n"/>
      <c r="G1024" s="66" t="n"/>
      <c r="H1024" s="66" t="n"/>
      <c r="I1024" s="68" t="n"/>
      <c r="J1024" s="73" t="n"/>
      <c r="K1024" s="71" t="n"/>
      <c r="L1024" s="71" t="n"/>
      <c r="M1024" s="66" t="n"/>
      <c r="N1024" s="80" t="n"/>
      <c r="O1024" s="81" t="str">
        <f>IF(A1024="","",ROUND(V1024*IFERROR(N(INDEX(tech_rate,MATCH(M1024,tech_name,0))),0),2))</f>
        <v/>
      </c>
      <c r="P1024" s="80" t="n"/>
      <c r="Q1024" s="81" t="str">
        <f>IF(A1024="","",ROUND(Y1024+O1024+Z1024,2))</f>
        <v/>
      </c>
      <c r="R1024" s="79" t="str">
        <f>IF(A1024="","",IF(S1024=0,"Date manquante ou invalide",IF(C1024="","Équipement manquant",IF(ISNA(MATCH(C1024,eq_code,0)),"Équipement inconnu",IF(E1024="","Type manquant",IF(AND(E1024&lt;&gt;"Préventif",E1024&lt;&gt;"Correctif",E1024&lt;&gt;"Amélioratif"),"Type inconnu",IF(I1024="","Statut manquant",IF(AND(I1024&lt;&gt;"Terminée",I1024&lt;&gt;"En cours",I1024&lt;&gt;"À faire",I1024&lt;&gt;"Annulée"),"Statut inconnu",IF(AND(E1024="Préventif",F1024=""),"Plan manquant (préventif)",IF(AND(F1024&lt;&gt;"",ISNA(MATCH(F1024,pl_num,0))),"Plan inconnu",IF(AND(F1024&lt;&gt;"",IFERROR(INDEX(pl_eq,MATCH(F1024,pl_num,0))&amp;"",C1024)&lt;&gt;C1024),"Plan d'un autre équipement",IF(AND(J1024&lt;&gt;"",OR(NOT(ISNUMBER(J1024)),N(J1024)&lt;0)),"Compteur invalide",IF(OR(AND(K1024&lt;&gt;"",OR(NOT(ISNUMBER(K1024)),N(K1024)&lt;0)),AND(L1024&lt;&gt;"",OR(NOT(ISNUMBER(L1024)),N(L1024)&lt;0))),"Durée invalide",IF(OR(AND(N1024&lt;&gt;"",OR(NOT(ISNUMBER(N1024)),N(N1024)&lt;0)),AND(P1024&lt;&gt;"",OR(NOT(ISNUMBER(P1024)),N(P1024)&lt;0))),"Coût invalide",IF(AND(M1024&lt;&gt;"",ISNA(MATCH(M1024,tech_name,0))),"Technicien inconnu",IF(AND(I1024="Terminée",S1024&gt;p_today),"Terminée à une date future",IF(AND(I1024="Terminée",V1024=0),"Durée d'intervention manquante",IF(AND(I1024="Terminée",E1024="Préventif",T1024=0,OR(IFERROR(INDEX(pl_trig,MATCH(F1024,pl_num,0))&amp;"","")="Compteur",IFERROR(INDEX(pl_trig,MATCH(F1024,pl_num,0))&amp;"","")="Au premier des deux")),"Compteur manquant (plan au compteur)","OK"))))))))))))))))))</f>
        <v/>
      </c>
      <c r="S1024" s="67">
        <f>IF(AND(ISNUMBER(B1024),N(B1024)&gt;0),INT(B1024),0)</f>
        <v>0.0</v>
      </c>
      <c r="T1024" s="67">
        <f>IF(AND(ISNUMBER(J1024),N(J1024)&gt;=0),N(J1024),0)</f>
        <v>0.0</v>
      </c>
      <c r="U1024" s="67">
        <f>IF(AND(ISNUMBER(K1024),N(K1024)&gt;0),N(K1024),0)</f>
        <v>0.0</v>
      </c>
      <c r="V1024" s="67">
        <f>IF(AND(ISNUMBER(L1024),N(L1024)&gt;0),N(L1024),0)</f>
        <v>0.0</v>
      </c>
      <c r="W1024" s="67">
        <f>IF(AND(I1024="Terminée",S1024&gt;0,C1024&lt;&gt;"",ISNUMBER(MATCH(C1024,eq_code,0))),1,0)</f>
        <v>0.0</v>
      </c>
      <c r="X1024" s="67">
        <f>IF(AND(W1024=1,E1024="Préventif"),1,0)</f>
        <v>0.0</v>
      </c>
      <c r="Y1024" s="67">
        <f>IF(AND(ISNUMBER(N1024),N(N1024)&gt;0),N(N1024),0)</f>
        <v>0.0</v>
      </c>
      <c r="Z1024" s="67">
        <f>IF(AND(ISNUMBER(P1024),N(P1024)&gt;0),N(P1024),0)</f>
        <v>0.0</v>
      </c>
    </row>
    <row r="1025">
      <c r="A1025" s="79" t="str">
        <f>IF(COUNTA(B1025:C1025,E1025:G1025,I1025)=0,"","BI-"&amp;RIGHT("0000"&amp;(ROW()-5),4))</f>
        <v/>
      </c>
      <c r="B1025" s="72" t="n"/>
      <c r="C1025" s="66" t="n"/>
      <c r="D1025" s="67" t="str">
        <f>IF(C1025="","",IFERROR(INDEX(eq_des,MATCH(C1025,eq_code,0))&amp;"","Équipement inconnu"))</f>
        <v/>
      </c>
      <c r="E1025" s="68" t="n"/>
      <c r="F1025" s="68" t="n"/>
      <c r="G1025" s="66" t="n"/>
      <c r="H1025" s="66" t="n"/>
      <c r="I1025" s="68" t="n"/>
      <c r="J1025" s="73" t="n"/>
      <c r="K1025" s="71" t="n"/>
      <c r="L1025" s="71" t="n"/>
      <c r="M1025" s="66" t="n"/>
      <c r="N1025" s="80" t="n"/>
      <c r="O1025" s="81" t="str">
        <f>IF(A1025="","",ROUND(V1025*IFERROR(N(INDEX(tech_rate,MATCH(M1025,tech_name,0))),0),2))</f>
        <v/>
      </c>
      <c r="P1025" s="80" t="n"/>
      <c r="Q1025" s="81" t="str">
        <f>IF(A1025="","",ROUND(Y1025+O1025+Z1025,2))</f>
        <v/>
      </c>
      <c r="R1025" s="79" t="str">
        <f>IF(A1025="","",IF(S1025=0,"Date manquante ou invalide",IF(C1025="","Équipement manquant",IF(ISNA(MATCH(C1025,eq_code,0)),"Équipement inconnu",IF(E1025="","Type manquant",IF(AND(E1025&lt;&gt;"Préventif",E1025&lt;&gt;"Correctif",E1025&lt;&gt;"Amélioratif"),"Type inconnu",IF(I1025="","Statut manquant",IF(AND(I1025&lt;&gt;"Terminée",I1025&lt;&gt;"En cours",I1025&lt;&gt;"À faire",I1025&lt;&gt;"Annulée"),"Statut inconnu",IF(AND(E1025="Préventif",F1025=""),"Plan manquant (préventif)",IF(AND(F1025&lt;&gt;"",ISNA(MATCH(F1025,pl_num,0))),"Plan inconnu",IF(AND(F1025&lt;&gt;"",IFERROR(INDEX(pl_eq,MATCH(F1025,pl_num,0))&amp;"",C1025)&lt;&gt;C1025),"Plan d'un autre équipement",IF(AND(J1025&lt;&gt;"",OR(NOT(ISNUMBER(J1025)),N(J1025)&lt;0)),"Compteur invalide",IF(OR(AND(K1025&lt;&gt;"",OR(NOT(ISNUMBER(K1025)),N(K1025)&lt;0)),AND(L1025&lt;&gt;"",OR(NOT(ISNUMBER(L1025)),N(L1025)&lt;0))),"Durée invalide",IF(OR(AND(N1025&lt;&gt;"",OR(NOT(ISNUMBER(N1025)),N(N1025)&lt;0)),AND(P1025&lt;&gt;"",OR(NOT(ISNUMBER(P1025)),N(P1025)&lt;0))),"Coût invalide",IF(AND(M1025&lt;&gt;"",ISNA(MATCH(M1025,tech_name,0))),"Technicien inconnu",IF(AND(I1025="Terminée",S1025&gt;p_today),"Terminée à une date future",IF(AND(I1025="Terminée",V1025=0),"Durée d'intervention manquante",IF(AND(I1025="Terminée",E1025="Préventif",T1025=0,OR(IFERROR(INDEX(pl_trig,MATCH(F1025,pl_num,0))&amp;"","")="Compteur",IFERROR(INDEX(pl_trig,MATCH(F1025,pl_num,0))&amp;"","")="Au premier des deux")),"Compteur manquant (plan au compteur)","OK"))))))))))))))))))</f>
        <v/>
      </c>
      <c r="S1025" s="67">
        <f>IF(AND(ISNUMBER(B1025),N(B1025)&gt;0),INT(B1025),0)</f>
        <v>0.0</v>
      </c>
      <c r="T1025" s="67">
        <f>IF(AND(ISNUMBER(J1025),N(J1025)&gt;=0),N(J1025),0)</f>
        <v>0.0</v>
      </c>
      <c r="U1025" s="67">
        <f>IF(AND(ISNUMBER(K1025),N(K1025)&gt;0),N(K1025),0)</f>
        <v>0.0</v>
      </c>
      <c r="V1025" s="67">
        <f>IF(AND(ISNUMBER(L1025),N(L1025)&gt;0),N(L1025),0)</f>
        <v>0.0</v>
      </c>
      <c r="W1025" s="67">
        <f>IF(AND(I1025="Terminée",S1025&gt;0,C1025&lt;&gt;"",ISNUMBER(MATCH(C1025,eq_code,0))),1,0)</f>
        <v>0.0</v>
      </c>
      <c r="X1025" s="67">
        <f>IF(AND(W1025=1,E1025="Préventif"),1,0)</f>
        <v>0.0</v>
      </c>
      <c r="Y1025" s="67">
        <f>IF(AND(ISNUMBER(N1025),N(N1025)&gt;0),N(N1025),0)</f>
        <v>0.0</v>
      </c>
      <c r="Z1025" s="67">
        <f>IF(AND(ISNUMBER(P1025),N(P1025)&gt;0),N(P1025),0)</f>
        <v>0.0</v>
      </c>
    </row>
    <row r="1026">
      <c r="A1026" s="79" t="str">
        <f>IF(COUNTA(B1026:C1026,E1026:G1026,I1026)=0,"","BI-"&amp;RIGHT("0000"&amp;(ROW()-5),4))</f>
        <v/>
      </c>
      <c r="B1026" s="72" t="n"/>
      <c r="C1026" s="66" t="n"/>
      <c r="D1026" s="67" t="str">
        <f>IF(C1026="","",IFERROR(INDEX(eq_des,MATCH(C1026,eq_code,0))&amp;"","Équipement inconnu"))</f>
        <v/>
      </c>
      <c r="E1026" s="68" t="n"/>
      <c r="F1026" s="68" t="n"/>
      <c r="G1026" s="66" t="n"/>
      <c r="H1026" s="66" t="n"/>
      <c r="I1026" s="68" t="n"/>
      <c r="J1026" s="73" t="n"/>
      <c r="K1026" s="71" t="n"/>
      <c r="L1026" s="71" t="n"/>
      <c r="M1026" s="66" t="n"/>
      <c r="N1026" s="80" t="n"/>
      <c r="O1026" s="81" t="str">
        <f>IF(A1026="","",ROUND(V1026*IFERROR(N(INDEX(tech_rate,MATCH(M1026,tech_name,0))),0),2))</f>
        <v/>
      </c>
      <c r="P1026" s="80" t="n"/>
      <c r="Q1026" s="81" t="str">
        <f>IF(A1026="","",ROUND(Y1026+O1026+Z1026,2))</f>
        <v/>
      </c>
      <c r="R1026" s="79" t="str">
        <f>IF(A1026="","",IF(S1026=0,"Date manquante ou invalide",IF(C1026="","Équipement manquant",IF(ISNA(MATCH(C1026,eq_code,0)),"Équipement inconnu",IF(E1026="","Type manquant",IF(AND(E1026&lt;&gt;"Préventif",E1026&lt;&gt;"Correctif",E1026&lt;&gt;"Amélioratif"),"Type inconnu",IF(I1026="","Statut manquant",IF(AND(I1026&lt;&gt;"Terminée",I1026&lt;&gt;"En cours",I1026&lt;&gt;"À faire",I1026&lt;&gt;"Annulée"),"Statut inconnu",IF(AND(E1026="Préventif",F1026=""),"Plan manquant (préventif)",IF(AND(F1026&lt;&gt;"",ISNA(MATCH(F1026,pl_num,0))),"Plan inconnu",IF(AND(F1026&lt;&gt;"",IFERROR(INDEX(pl_eq,MATCH(F1026,pl_num,0))&amp;"",C1026)&lt;&gt;C1026),"Plan d'un autre équipement",IF(AND(J1026&lt;&gt;"",OR(NOT(ISNUMBER(J1026)),N(J1026)&lt;0)),"Compteur invalide",IF(OR(AND(K1026&lt;&gt;"",OR(NOT(ISNUMBER(K1026)),N(K1026)&lt;0)),AND(L1026&lt;&gt;"",OR(NOT(ISNUMBER(L1026)),N(L1026)&lt;0))),"Durée invalide",IF(OR(AND(N1026&lt;&gt;"",OR(NOT(ISNUMBER(N1026)),N(N1026)&lt;0)),AND(P1026&lt;&gt;"",OR(NOT(ISNUMBER(P1026)),N(P1026)&lt;0))),"Coût invalide",IF(AND(M1026&lt;&gt;"",ISNA(MATCH(M1026,tech_name,0))),"Technicien inconnu",IF(AND(I1026="Terminée",S1026&gt;p_today),"Terminée à une date future",IF(AND(I1026="Terminée",V1026=0),"Durée d'intervention manquante",IF(AND(I1026="Terminée",E1026="Préventif",T1026=0,OR(IFERROR(INDEX(pl_trig,MATCH(F1026,pl_num,0))&amp;"","")="Compteur",IFERROR(INDEX(pl_trig,MATCH(F1026,pl_num,0))&amp;"","")="Au premier des deux")),"Compteur manquant (plan au compteur)","OK"))))))))))))))))))</f>
        <v/>
      </c>
      <c r="S1026" s="67">
        <f>IF(AND(ISNUMBER(B1026),N(B1026)&gt;0),INT(B1026),0)</f>
        <v>0.0</v>
      </c>
      <c r="T1026" s="67">
        <f>IF(AND(ISNUMBER(J1026),N(J1026)&gt;=0),N(J1026),0)</f>
        <v>0.0</v>
      </c>
      <c r="U1026" s="67">
        <f>IF(AND(ISNUMBER(K1026),N(K1026)&gt;0),N(K1026),0)</f>
        <v>0.0</v>
      </c>
      <c r="V1026" s="67">
        <f>IF(AND(ISNUMBER(L1026),N(L1026)&gt;0),N(L1026),0)</f>
        <v>0.0</v>
      </c>
      <c r="W1026" s="67">
        <f>IF(AND(I1026="Terminée",S1026&gt;0,C1026&lt;&gt;"",ISNUMBER(MATCH(C1026,eq_code,0))),1,0)</f>
        <v>0.0</v>
      </c>
      <c r="X1026" s="67">
        <f>IF(AND(W1026=1,E1026="Préventif"),1,0)</f>
        <v>0.0</v>
      </c>
      <c r="Y1026" s="67">
        <f>IF(AND(ISNUMBER(N1026),N(N1026)&gt;0),N(N1026),0)</f>
        <v>0.0</v>
      </c>
      <c r="Z1026" s="67">
        <f>IF(AND(ISNUMBER(P1026),N(P1026)&gt;0),N(P1026),0)</f>
        <v>0.0</v>
      </c>
    </row>
    <row r="1027">
      <c r="A1027" s="79" t="str">
        <f>IF(COUNTA(B1027:C1027,E1027:G1027,I1027)=0,"","BI-"&amp;RIGHT("0000"&amp;(ROW()-5),4))</f>
        <v/>
      </c>
      <c r="B1027" s="72" t="n"/>
      <c r="C1027" s="66" t="n"/>
      <c r="D1027" s="67" t="str">
        <f>IF(C1027="","",IFERROR(INDEX(eq_des,MATCH(C1027,eq_code,0))&amp;"","Équipement inconnu"))</f>
        <v/>
      </c>
      <c r="E1027" s="68" t="n"/>
      <c r="F1027" s="68" t="n"/>
      <c r="G1027" s="66" t="n"/>
      <c r="H1027" s="66" t="n"/>
      <c r="I1027" s="68" t="n"/>
      <c r="J1027" s="73" t="n"/>
      <c r="K1027" s="71" t="n"/>
      <c r="L1027" s="71" t="n"/>
      <c r="M1027" s="66" t="n"/>
      <c r="N1027" s="80" t="n"/>
      <c r="O1027" s="81" t="str">
        <f>IF(A1027="","",ROUND(V1027*IFERROR(N(INDEX(tech_rate,MATCH(M1027,tech_name,0))),0),2))</f>
        <v/>
      </c>
      <c r="P1027" s="80" t="n"/>
      <c r="Q1027" s="81" t="str">
        <f>IF(A1027="","",ROUND(Y1027+O1027+Z1027,2))</f>
        <v/>
      </c>
      <c r="R1027" s="79" t="str">
        <f>IF(A1027="","",IF(S1027=0,"Date manquante ou invalide",IF(C1027="","Équipement manquant",IF(ISNA(MATCH(C1027,eq_code,0)),"Équipement inconnu",IF(E1027="","Type manquant",IF(AND(E1027&lt;&gt;"Préventif",E1027&lt;&gt;"Correctif",E1027&lt;&gt;"Amélioratif"),"Type inconnu",IF(I1027="","Statut manquant",IF(AND(I1027&lt;&gt;"Terminée",I1027&lt;&gt;"En cours",I1027&lt;&gt;"À faire",I1027&lt;&gt;"Annulée"),"Statut inconnu",IF(AND(E1027="Préventif",F1027=""),"Plan manquant (préventif)",IF(AND(F1027&lt;&gt;"",ISNA(MATCH(F1027,pl_num,0))),"Plan inconnu",IF(AND(F1027&lt;&gt;"",IFERROR(INDEX(pl_eq,MATCH(F1027,pl_num,0))&amp;"",C1027)&lt;&gt;C1027),"Plan d'un autre équipement",IF(AND(J1027&lt;&gt;"",OR(NOT(ISNUMBER(J1027)),N(J1027)&lt;0)),"Compteur invalide",IF(OR(AND(K1027&lt;&gt;"",OR(NOT(ISNUMBER(K1027)),N(K1027)&lt;0)),AND(L1027&lt;&gt;"",OR(NOT(ISNUMBER(L1027)),N(L1027)&lt;0))),"Durée invalide",IF(OR(AND(N1027&lt;&gt;"",OR(NOT(ISNUMBER(N1027)),N(N1027)&lt;0)),AND(P1027&lt;&gt;"",OR(NOT(ISNUMBER(P1027)),N(P1027)&lt;0))),"Coût invalide",IF(AND(M1027&lt;&gt;"",ISNA(MATCH(M1027,tech_name,0))),"Technicien inconnu",IF(AND(I1027="Terminée",S1027&gt;p_today),"Terminée à une date future",IF(AND(I1027="Terminée",V1027=0),"Durée d'intervention manquante",IF(AND(I1027="Terminée",E1027="Préventif",T1027=0,OR(IFERROR(INDEX(pl_trig,MATCH(F1027,pl_num,0))&amp;"","")="Compteur",IFERROR(INDEX(pl_trig,MATCH(F1027,pl_num,0))&amp;"","")="Au premier des deux")),"Compteur manquant (plan au compteur)","OK"))))))))))))))))))</f>
        <v/>
      </c>
      <c r="S1027" s="67">
        <f>IF(AND(ISNUMBER(B1027),N(B1027)&gt;0),INT(B1027),0)</f>
        <v>0.0</v>
      </c>
      <c r="T1027" s="67">
        <f>IF(AND(ISNUMBER(J1027),N(J1027)&gt;=0),N(J1027),0)</f>
        <v>0.0</v>
      </c>
      <c r="U1027" s="67">
        <f>IF(AND(ISNUMBER(K1027),N(K1027)&gt;0),N(K1027),0)</f>
        <v>0.0</v>
      </c>
      <c r="V1027" s="67">
        <f>IF(AND(ISNUMBER(L1027),N(L1027)&gt;0),N(L1027),0)</f>
        <v>0.0</v>
      </c>
      <c r="W1027" s="67">
        <f>IF(AND(I1027="Terminée",S1027&gt;0,C1027&lt;&gt;"",ISNUMBER(MATCH(C1027,eq_code,0))),1,0)</f>
        <v>0.0</v>
      </c>
      <c r="X1027" s="67">
        <f>IF(AND(W1027=1,E1027="Préventif"),1,0)</f>
        <v>0.0</v>
      </c>
      <c r="Y1027" s="67">
        <f>IF(AND(ISNUMBER(N1027),N(N1027)&gt;0),N(N1027),0)</f>
        <v>0.0</v>
      </c>
      <c r="Z1027" s="67">
        <f>IF(AND(ISNUMBER(P1027),N(P1027)&gt;0),N(P1027),0)</f>
        <v>0.0</v>
      </c>
    </row>
    <row r="1028">
      <c r="A1028" s="79" t="str">
        <f>IF(COUNTA(B1028:C1028,E1028:G1028,I1028)=0,"","BI-"&amp;RIGHT("0000"&amp;(ROW()-5),4))</f>
        <v/>
      </c>
      <c r="B1028" s="72" t="n"/>
      <c r="C1028" s="66" t="n"/>
      <c r="D1028" s="67" t="str">
        <f>IF(C1028="","",IFERROR(INDEX(eq_des,MATCH(C1028,eq_code,0))&amp;"","Équipement inconnu"))</f>
        <v/>
      </c>
      <c r="E1028" s="68" t="n"/>
      <c r="F1028" s="68" t="n"/>
      <c r="G1028" s="66" t="n"/>
      <c r="H1028" s="66" t="n"/>
      <c r="I1028" s="68" t="n"/>
      <c r="J1028" s="73" t="n"/>
      <c r="K1028" s="71" t="n"/>
      <c r="L1028" s="71" t="n"/>
      <c r="M1028" s="66" t="n"/>
      <c r="N1028" s="80" t="n"/>
      <c r="O1028" s="81" t="str">
        <f>IF(A1028="","",ROUND(V1028*IFERROR(N(INDEX(tech_rate,MATCH(M1028,tech_name,0))),0),2))</f>
        <v/>
      </c>
      <c r="P1028" s="80" t="n"/>
      <c r="Q1028" s="81" t="str">
        <f>IF(A1028="","",ROUND(Y1028+O1028+Z1028,2))</f>
        <v/>
      </c>
      <c r="R1028" s="79" t="str">
        <f>IF(A1028="","",IF(S1028=0,"Date manquante ou invalide",IF(C1028="","Équipement manquant",IF(ISNA(MATCH(C1028,eq_code,0)),"Équipement inconnu",IF(E1028="","Type manquant",IF(AND(E1028&lt;&gt;"Préventif",E1028&lt;&gt;"Correctif",E1028&lt;&gt;"Amélioratif"),"Type inconnu",IF(I1028="","Statut manquant",IF(AND(I1028&lt;&gt;"Terminée",I1028&lt;&gt;"En cours",I1028&lt;&gt;"À faire",I1028&lt;&gt;"Annulée"),"Statut inconnu",IF(AND(E1028="Préventif",F1028=""),"Plan manquant (préventif)",IF(AND(F1028&lt;&gt;"",ISNA(MATCH(F1028,pl_num,0))),"Plan inconnu",IF(AND(F1028&lt;&gt;"",IFERROR(INDEX(pl_eq,MATCH(F1028,pl_num,0))&amp;"",C1028)&lt;&gt;C1028),"Plan d'un autre équipement",IF(AND(J1028&lt;&gt;"",OR(NOT(ISNUMBER(J1028)),N(J1028)&lt;0)),"Compteur invalide",IF(OR(AND(K1028&lt;&gt;"",OR(NOT(ISNUMBER(K1028)),N(K1028)&lt;0)),AND(L1028&lt;&gt;"",OR(NOT(ISNUMBER(L1028)),N(L1028)&lt;0))),"Durée invalide",IF(OR(AND(N1028&lt;&gt;"",OR(NOT(ISNUMBER(N1028)),N(N1028)&lt;0)),AND(P1028&lt;&gt;"",OR(NOT(ISNUMBER(P1028)),N(P1028)&lt;0))),"Coût invalide",IF(AND(M1028&lt;&gt;"",ISNA(MATCH(M1028,tech_name,0))),"Technicien inconnu",IF(AND(I1028="Terminée",S1028&gt;p_today),"Terminée à une date future",IF(AND(I1028="Terminée",V1028=0),"Durée d'intervention manquante",IF(AND(I1028="Terminée",E1028="Préventif",T1028=0,OR(IFERROR(INDEX(pl_trig,MATCH(F1028,pl_num,0))&amp;"","")="Compteur",IFERROR(INDEX(pl_trig,MATCH(F1028,pl_num,0))&amp;"","")="Au premier des deux")),"Compteur manquant (plan au compteur)","OK"))))))))))))))))))</f>
        <v/>
      </c>
      <c r="S1028" s="67">
        <f>IF(AND(ISNUMBER(B1028),N(B1028)&gt;0),INT(B1028),0)</f>
        <v>0.0</v>
      </c>
      <c r="T1028" s="67">
        <f>IF(AND(ISNUMBER(J1028),N(J1028)&gt;=0),N(J1028),0)</f>
        <v>0.0</v>
      </c>
      <c r="U1028" s="67">
        <f>IF(AND(ISNUMBER(K1028),N(K1028)&gt;0),N(K1028),0)</f>
        <v>0.0</v>
      </c>
      <c r="V1028" s="67">
        <f>IF(AND(ISNUMBER(L1028),N(L1028)&gt;0),N(L1028),0)</f>
        <v>0.0</v>
      </c>
      <c r="W1028" s="67">
        <f>IF(AND(I1028="Terminée",S1028&gt;0,C1028&lt;&gt;"",ISNUMBER(MATCH(C1028,eq_code,0))),1,0)</f>
        <v>0.0</v>
      </c>
      <c r="X1028" s="67">
        <f>IF(AND(W1028=1,E1028="Préventif"),1,0)</f>
        <v>0.0</v>
      </c>
      <c r="Y1028" s="67">
        <f>IF(AND(ISNUMBER(N1028),N(N1028)&gt;0),N(N1028),0)</f>
        <v>0.0</v>
      </c>
      <c r="Z1028" s="67">
        <f>IF(AND(ISNUMBER(P1028),N(P1028)&gt;0),N(P1028),0)</f>
        <v>0.0</v>
      </c>
    </row>
    <row r="1029">
      <c r="A1029" s="79" t="str">
        <f>IF(COUNTA(B1029:C1029,E1029:G1029,I1029)=0,"","BI-"&amp;RIGHT("0000"&amp;(ROW()-5),4))</f>
        <v/>
      </c>
      <c r="B1029" s="72" t="n"/>
      <c r="C1029" s="66" t="n"/>
      <c r="D1029" s="67" t="str">
        <f>IF(C1029="","",IFERROR(INDEX(eq_des,MATCH(C1029,eq_code,0))&amp;"","Équipement inconnu"))</f>
        <v/>
      </c>
      <c r="E1029" s="68" t="n"/>
      <c r="F1029" s="68" t="n"/>
      <c r="G1029" s="66" t="n"/>
      <c r="H1029" s="66" t="n"/>
      <c r="I1029" s="68" t="n"/>
      <c r="J1029" s="73" t="n"/>
      <c r="K1029" s="71" t="n"/>
      <c r="L1029" s="71" t="n"/>
      <c r="M1029" s="66" t="n"/>
      <c r="N1029" s="80" t="n"/>
      <c r="O1029" s="81" t="str">
        <f>IF(A1029="","",ROUND(V1029*IFERROR(N(INDEX(tech_rate,MATCH(M1029,tech_name,0))),0),2))</f>
        <v/>
      </c>
      <c r="P1029" s="80" t="n"/>
      <c r="Q1029" s="81" t="str">
        <f>IF(A1029="","",ROUND(Y1029+O1029+Z1029,2))</f>
        <v/>
      </c>
      <c r="R1029" s="79" t="str">
        <f>IF(A1029="","",IF(S1029=0,"Date manquante ou invalide",IF(C1029="","Équipement manquant",IF(ISNA(MATCH(C1029,eq_code,0)),"Équipement inconnu",IF(E1029="","Type manquant",IF(AND(E1029&lt;&gt;"Préventif",E1029&lt;&gt;"Correctif",E1029&lt;&gt;"Amélioratif"),"Type inconnu",IF(I1029="","Statut manquant",IF(AND(I1029&lt;&gt;"Terminée",I1029&lt;&gt;"En cours",I1029&lt;&gt;"À faire",I1029&lt;&gt;"Annulée"),"Statut inconnu",IF(AND(E1029="Préventif",F1029=""),"Plan manquant (préventif)",IF(AND(F1029&lt;&gt;"",ISNA(MATCH(F1029,pl_num,0))),"Plan inconnu",IF(AND(F1029&lt;&gt;"",IFERROR(INDEX(pl_eq,MATCH(F1029,pl_num,0))&amp;"",C1029)&lt;&gt;C1029),"Plan d'un autre équipement",IF(AND(J1029&lt;&gt;"",OR(NOT(ISNUMBER(J1029)),N(J1029)&lt;0)),"Compteur invalide",IF(OR(AND(K1029&lt;&gt;"",OR(NOT(ISNUMBER(K1029)),N(K1029)&lt;0)),AND(L1029&lt;&gt;"",OR(NOT(ISNUMBER(L1029)),N(L1029)&lt;0))),"Durée invalide",IF(OR(AND(N1029&lt;&gt;"",OR(NOT(ISNUMBER(N1029)),N(N1029)&lt;0)),AND(P1029&lt;&gt;"",OR(NOT(ISNUMBER(P1029)),N(P1029)&lt;0))),"Coût invalide",IF(AND(M1029&lt;&gt;"",ISNA(MATCH(M1029,tech_name,0))),"Technicien inconnu",IF(AND(I1029="Terminée",S1029&gt;p_today),"Terminée à une date future",IF(AND(I1029="Terminée",V1029=0),"Durée d'intervention manquante",IF(AND(I1029="Terminée",E1029="Préventif",T1029=0,OR(IFERROR(INDEX(pl_trig,MATCH(F1029,pl_num,0))&amp;"","")="Compteur",IFERROR(INDEX(pl_trig,MATCH(F1029,pl_num,0))&amp;"","")="Au premier des deux")),"Compteur manquant (plan au compteur)","OK"))))))))))))))))))</f>
        <v/>
      </c>
      <c r="S1029" s="67">
        <f>IF(AND(ISNUMBER(B1029),N(B1029)&gt;0),INT(B1029),0)</f>
        <v>0.0</v>
      </c>
      <c r="T1029" s="67">
        <f>IF(AND(ISNUMBER(J1029),N(J1029)&gt;=0),N(J1029),0)</f>
        <v>0.0</v>
      </c>
      <c r="U1029" s="67">
        <f>IF(AND(ISNUMBER(K1029),N(K1029)&gt;0),N(K1029),0)</f>
        <v>0.0</v>
      </c>
      <c r="V1029" s="67">
        <f>IF(AND(ISNUMBER(L1029),N(L1029)&gt;0),N(L1029),0)</f>
        <v>0.0</v>
      </c>
      <c r="W1029" s="67">
        <f>IF(AND(I1029="Terminée",S1029&gt;0,C1029&lt;&gt;"",ISNUMBER(MATCH(C1029,eq_code,0))),1,0)</f>
        <v>0.0</v>
      </c>
      <c r="X1029" s="67">
        <f>IF(AND(W1029=1,E1029="Préventif"),1,0)</f>
        <v>0.0</v>
      </c>
      <c r="Y1029" s="67">
        <f>IF(AND(ISNUMBER(N1029),N(N1029)&gt;0),N(N1029),0)</f>
        <v>0.0</v>
      </c>
      <c r="Z1029" s="67">
        <f>IF(AND(ISNUMBER(P1029),N(P1029)&gt;0),N(P1029),0)</f>
        <v>0.0</v>
      </c>
    </row>
    <row r="1030">
      <c r="A1030" s="79" t="str">
        <f>IF(COUNTA(B1030:C1030,E1030:G1030,I1030)=0,"","BI-"&amp;RIGHT("0000"&amp;(ROW()-5),4))</f>
        <v/>
      </c>
      <c r="B1030" s="72" t="n"/>
      <c r="C1030" s="66" t="n"/>
      <c r="D1030" s="67" t="str">
        <f>IF(C1030="","",IFERROR(INDEX(eq_des,MATCH(C1030,eq_code,0))&amp;"","Équipement inconnu"))</f>
        <v/>
      </c>
      <c r="E1030" s="68" t="n"/>
      <c r="F1030" s="68" t="n"/>
      <c r="G1030" s="66" t="n"/>
      <c r="H1030" s="66" t="n"/>
      <c r="I1030" s="68" t="n"/>
      <c r="J1030" s="73" t="n"/>
      <c r="K1030" s="71" t="n"/>
      <c r="L1030" s="71" t="n"/>
      <c r="M1030" s="66" t="n"/>
      <c r="N1030" s="80" t="n"/>
      <c r="O1030" s="81" t="str">
        <f>IF(A1030="","",ROUND(V1030*IFERROR(N(INDEX(tech_rate,MATCH(M1030,tech_name,0))),0),2))</f>
        <v/>
      </c>
      <c r="P1030" s="80" t="n"/>
      <c r="Q1030" s="81" t="str">
        <f>IF(A1030="","",ROUND(Y1030+O1030+Z1030,2))</f>
        <v/>
      </c>
      <c r="R1030" s="79" t="str">
        <f>IF(A1030="","",IF(S1030=0,"Date manquante ou invalide",IF(C1030="","Équipement manquant",IF(ISNA(MATCH(C1030,eq_code,0)),"Équipement inconnu",IF(E1030="","Type manquant",IF(AND(E1030&lt;&gt;"Préventif",E1030&lt;&gt;"Correctif",E1030&lt;&gt;"Amélioratif"),"Type inconnu",IF(I1030="","Statut manquant",IF(AND(I1030&lt;&gt;"Terminée",I1030&lt;&gt;"En cours",I1030&lt;&gt;"À faire",I1030&lt;&gt;"Annulée"),"Statut inconnu",IF(AND(E1030="Préventif",F1030=""),"Plan manquant (préventif)",IF(AND(F1030&lt;&gt;"",ISNA(MATCH(F1030,pl_num,0))),"Plan inconnu",IF(AND(F1030&lt;&gt;"",IFERROR(INDEX(pl_eq,MATCH(F1030,pl_num,0))&amp;"",C1030)&lt;&gt;C1030),"Plan d'un autre équipement",IF(AND(J1030&lt;&gt;"",OR(NOT(ISNUMBER(J1030)),N(J1030)&lt;0)),"Compteur invalide",IF(OR(AND(K1030&lt;&gt;"",OR(NOT(ISNUMBER(K1030)),N(K1030)&lt;0)),AND(L1030&lt;&gt;"",OR(NOT(ISNUMBER(L1030)),N(L1030)&lt;0))),"Durée invalide",IF(OR(AND(N1030&lt;&gt;"",OR(NOT(ISNUMBER(N1030)),N(N1030)&lt;0)),AND(P1030&lt;&gt;"",OR(NOT(ISNUMBER(P1030)),N(P1030)&lt;0))),"Coût invalide",IF(AND(M1030&lt;&gt;"",ISNA(MATCH(M1030,tech_name,0))),"Technicien inconnu",IF(AND(I1030="Terminée",S1030&gt;p_today),"Terminée à une date future",IF(AND(I1030="Terminée",V1030=0),"Durée d'intervention manquante",IF(AND(I1030="Terminée",E1030="Préventif",T1030=0,OR(IFERROR(INDEX(pl_trig,MATCH(F1030,pl_num,0))&amp;"","")="Compteur",IFERROR(INDEX(pl_trig,MATCH(F1030,pl_num,0))&amp;"","")="Au premier des deux")),"Compteur manquant (plan au compteur)","OK"))))))))))))))))))</f>
        <v/>
      </c>
      <c r="S1030" s="67">
        <f>IF(AND(ISNUMBER(B1030),N(B1030)&gt;0),INT(B1030),0)</f>
        <v>0.0</v>
      </c>
      <c r="T1030" s="67">
        <f>IF(AND(ISNUMBER(J1030),N(J1030)&gt;=0),N(J1030),0)</f>
        <v>0.0</v>
      </c>
      <c r="U1030" s="67">
        <f>IF(AND(ISNUMBER(K1030),N(K1030)&gt;0),N(K1030),0)</f>
        <v>0.0</v>
      </c>
      <c r="V1030" s="67">
        <f>IF(AND(ISNUMBER(L1030),N(L1030)&gt;0),N(L1030),0)</f>
        <v>0.0</v>
      </c>
      <c r="W1030" s="67">
        <f>IF(AND(I1030="Terminée",S1030&gt;0,C1030&lt;&gt;"",ISNUMBER(MATCH(C1030,eq_code,0))),1,0)</f>
        <v>0.0</v>
      </c>
      <c r="X1030" s="67">
        <f>IF(AND(W1030=1,E1030="Préventif"),1,0)</f>
        <v>0.0</v>
      </c>
      <c r="Y1030" s="67">
        <f>IF(AND(ISNUMBER(N1030),N(N1030)&gt;0),N(N1030),0)</f>
        <v>0.0</v>
      </c>
      <c r="Z1030" s="67">
        <f>IF(AND(ISNUMBER(P1030),N(P1030)&gt;0),N(P1030),0)</f>
        <v>0.0</v>
      </c>
    </row>
    <row r="1031">
      <c r="A1031" s="79" t="str">
        <f>IF(COUNTA(B1031:C1031,E1031:G1031,I1031)=0,"","BI-"&amp;RIGHT("0000"&amp;(ROW()-5),4))</f>
        <v/>
      </c>
      <c r="B1031" s="72" t="n"/>
      <c r="C1031" s="66" t="n"/>
      <c r="D1031" s="67" t="str">
        <f>IF(C1031="","",IFERROR(INDEX(eq_des,MATCH(C1031,eq_code,0))&amp;"","Équipement inconnu"))</f>
        <v/>
      </c>
      <c r="E1031" s="68" t="n"/>
      <c r="F1031" s="68" t="n"/>
      <c r="G1031" s="66" t="n"/>
      <c r="H1031" s="66" t="n"/>
      <c r="I1031" s="68" t="n"/>
      <c r="J1031" s="73" t="n"/>
      <c r="K1031" s="71" t="n"/>
      <c r="L1031" s="71" t="n"/>
      <c r="M1031" s="66" t="n"/>
      <c r="N1031" s="80" t="n"/>
      <c r="O1031" s="81" t="str">
        <f>IF(A1031="","",ROUND(V1031*IFERROR(N(INDEX(tech_rate,MATCH(M1031,tech_name,0))),0),2))</f>
        <v/>
      </c>
      <c r="P1031" s="80" t="n"/>
      <c r="Q1031" s="81" t="str">
        <f>IF(A1031="","",ROUND(Y1031+O1031+Z1031,2))</f>
        <v/>
      </c>
      <c r="R1031" s="79" t="str">
        <f>IF(A1031="","",IF(S1031=0,"Date manquante ou invalide",IF(C1031="","Équipement manquant",IF(ISNA(MATCH(C1031,eq_code,0)),"Équipement inconnu",IF(E1031="","Type manquant",IF(AND(E1031&lt;&gt;"Préventif",E1031&lt;&gt;"Correctif",E1031&lt;&gt;"Amélioratif"),"Type inconnu",IF(I1031="","Statut manquant",IF(AND(I1031&lt;&gt;"Terminée",I1031&lt;&gt;"En cours",I1031&lt;&gt;"À faire",I1031&lt;&gt;"Annulée"),"Statut inconnu",IF(AND(E1031="Préventif",F1031=""),"Plan manquant (préventif)",IF(AND(F1031&lt;&gt;"",ISNA(MATCH(F1031,pl_num,0))),"Plan inconnu",IF(AND(F1031&lt;&gt;"",IFERROR(INDEX(pl_eq,MATCH(F1031,pl_num,0))&amp;"",C1031)&lt;&gt;C1031),"Plan d'un autre équipement",IF(AND(J1031&lt;&gt;"",OR(NOT(ISNUMBER(J1031)),N(J1031)&lt;0)),"Compteur invalide",IF(OR(AND(K1031&lt;&gt;"",OR(NOT(ISNUMBER(K1031)),N(K1031)&lt;0)),AND(L1031&lt;&gt;"",OR(NOT(ISNUMBER(L1031)),N(L1031)&lt;0))),"Durée invalide",IF(OR(AND(N1031&lt;&gt;"",OR(NOT(ISNUMBER(N1031)),N(N1031)&lt;0)),AND(P1031&lt;&gt;"",OR(NOT(ISNUMBER(P1031)),N(P1031)&lt;0))),"Coût invalide",IF(AND(M1031&lt;&gt;"",ISNA(MATCH(M1031,tech_name,0))),"Technicien inconnu",IF(AND(I1031="Terminée",S1031&gt;p_today),"Terminée à une date future",IF(AND(I1031="Terminée",V1031=0),"Durée d'intervention manquante",IF(AND(I1031="Terminée",E1031="Préventif",T1031=0,OR(IFERROR(INDEX(pl_trig,MATCH(F1031,pl_num,0))&amp;"","")="Compteur",IFERROR(INDEX(pl_trig,MATCH(F1031,pl_num,0))&amp;"","")="Au premier des deux")),"Compteur manquant (plan au compteur)","OK"))))))))))))))))))</f>
        <v/>
      </c>
      <c r="S1031" s="67">
        <f>IF(AND(ISNUMBER(B1031),N(B1031)&gt;0),INT(B1031),0)</f>
        <v>0.0</v>
      </c>
      <c r="T1031" s="67">
        <f>IF(AND(ISNUMBER(J1031),N(J1031)&gt;=0),N(J1031),0)</f>
        <v>0.0</v>
      </c>
      <c r="U1031" s="67">
        <f>IF(AND(ISNUMBER(K1031),N(K1031)&gt;0),N(K1031),0)</f>
        <v>0.0</v>
      </c>
      <c r="V1031" s="67">
        <f>IF(AND(ISNUMBER(L1031),N(L1031)&gt;0),N(L1031),0)</f>
        <v>0.0</v>
      </c>
      <c r="W1031" s="67">
        <f>IF(AND(I1031="Terminée",S1031&gt;0,C1031&lt;&gt;"",ISNUMBER(MATCH(C1031,eq_code,0))),1,0)</f>
        <v>0.0</v>
      </c>
      <c r="X1031" s="67">
        <f>IF(AND(W1031=1,E1031="Préventif"),1,0)</f>
        <v>0.0</v>
      </c>
      <c r="Y1031" s="67">
        <f>IF(AND(ISNUMBER(N1031),N(N1031)&gt;0),N(N1031),0)</f>
        <v>0.0</v>
      </c>
      <c r="Z1031" s="67">
        <f>IF(AND(ISNUMBER(P1031),N(P1031)&gt;0),N(P1031),0)</f>
        <v>0.0</v>
      </c>
    </row>
    <row r="1032">
      <c r="A1032" s="79" t="str">
        <f>IF(COUNTA(B1032:C1032,E1032:G1032,I1032)=0,"","BI-"&amp;RIGHT("0000"&amp;(ROW()-5),4))</f>
        <v/>
      </c>
      <c r="B1032" s="72" t="n"/>
      <c r="C1032" s="66" t="n"/>
      <c r="D1032" s="67" t="str">
        <f>IF(C1032="","",IFERROR(INDEX(eq_des,MATCH(C1032,eq_code,0))&amp;"","Équipement inconnu"))</f>
        <v/>
      </c>
      <c r="E1032" s="68" t="n"/>
      <c r="F1032" s="68" t="n"/>
      <c r="G1032" s="66" t="n"/>
      <c r="H1032" s="66" t="n"/>
      <c r="I1032" s="68" t="n"/>
      <c r="J1032" s="73" t="n"/>
      <c r="K1032" s="71" t="n"/>
      <c r="L1032" s="71" t="n"/>
      <c r="M1032" s="66" t="n"/>
      <c r="N1032" s="80" t="n"/>
      <c r="O1032" s="81" t="str">
        <f>IF(A1032="","",ROUND(V1032*IFERROR(N(INDEX(tech_rate,MATCH(M1032,tech_name,0))),0),2))</f>
        <v/>
      </c>
      <c r="P1032" s="80" t="n"/>
      <c r="Q1032" s="81" t="str">
        <f>IF(A1032="","",ROUND(Y1032+O1032+Z1032,2))</f>
        <v/>
      </c>
      <c r="R1032" s="79" t="str">
        <f>IF(A1032="","",IF(S1032=0,"Date manquante ou invalide",IF(C1032="","Équipement manquant",IF(ISNA(MATCH(C1032,eq_code,0)),"Équipement inconnu",IF(E1032="","Type manquant",IF(AND(E1032&lt;&gt;"Préventif",E1032&lt;&gt;"Correctif",E1032&lt;&gt;"Amélioratif"),"Type inconnu",IF(I1032="","Statut manquant",IF(AND(I1032&lt;&gt;"Terminée",I1032&lt;&gt;"En cours",I1032&lt;&gt;"À faire",I1032&lt;&gt;"Annulée"),"Statut inconnu",IF(AND(E1032="Préventif",F1032=""),"Plan manquant (préventif)",IF(AND(F1032&lt;&gt;"",ISNA(MATCH(F1032,pl_num,0))),"Plan inconnu",IF(AND(F1032&lt;&gt;"",IFERROR(INDEX(pl_eq,MATCH(F1032,pl_num,0))&amp;"",C1032)&lt;&gt;C1032),"Plan d'un autre équipement",IF(AND(J1032&lt;&gt;"",OR(NOT(ISNUMBER(J1032)),N(J1032)&lt;0)),"Compteur invalide",IF(OR(AND(K1032&lt;&gt;"",OR(NOT(ISNUMBER(K1032)),N(K1032)&lt;0)),AND(L1032&lt;&gt;"",OR(NOT(ISNUMBER(L1032)),N(L1032)&lt;0))),"Durée invalide",IF(OR(AND(N1032&lt;&gt;"",OR(NOT(ISNUMBER(N1032)),N(N1032)&lt;0)),AND(P1032&lt;&gt;"",OR(NOT(ISNUMBER(P1032)),N(P1032)&lt;0))),"Coût invalide",IF(AND(M1032&lt;&gt;"",ISNA(MATCH(M1032,tech_name,0))),"Technicien inconnu",IF(AND(I1032="Terminée",S1032&gt;p_today),"Terminée à une date future",IF(AND(I1032="Terminée",V1032=0),"Durée d'intervention manquante",IF(AND(I1032="Terminée",E1032="Préventif",T1032=0,OR(IFERROR(INDEX(pl_trig,MATCH(F1032,pl_num,0))&amp;"","")="Compteur",IFERROR(INDEX(pl_trig,MATCH(F1032,pl_num,0))&amp;"","")="Au premier des deux")),"Compteur manquant (plan au compteur)","OK"))))))))))))))))))</f>
        <v/>
      </c>
      <c r="S1032" s="67">
        <f>IF(AND(ISNUMBER(B1032),N(B1032)&gt;0),INT(B1032),0)</f>
        <v>0.0</v>
      </c>
      <c r="T1032" s="67">
        <f>IF(AND(ISNUMBER(J1032),N(J1032)&gt;=0),N(J1032),0)</f>
        <v>0.0</v>
      </c>
      <c r="U1032" s="67">
        <f>IF(AND(ISNUMBER(K1032),N(K1032)&gt;0),N(K1032),0)</f>
        <v>0.0</v>
      </c>
      <c r="V1032" s="67">
        <f>IF(AND(ISNUMBER(L1032),N(L1032)&gt;0),N(L1032),0)</f>
        <v>0.0</v>
      </c>
      <c r="W1032" s="67">
        <f>IF(AND(I1032="Terminée",S1032&gt;0,C1032&lt;&gt;"",ISNUMBER(MATCH(C1032,eq_code,0))),1,0)</f>
        <v>0.0</v>
      </c>
      <c r="X1032" s="67">
        <f>IF(AND(W1032=1,E1032="Préventif"),1,0)</f>
        <v>0.0</v>
      </c>
      <c r="Y1032" s="67">
        <f>IF(AND(ISNUMBER(N1032),N(N1032)&gt;0),N(N1032),0)</f>
        <v>0.0</v>
      </c>
      <c r="Z1032" s="67">
        <f>IF(AND(ISNUMBER(P1032),N(P1032)&gt;0),N(P1032),0)</f>
        <v>0.0</v>
      </c>
    </row>
    <row r="1033">
      <c r="A1033" s="79" t="str">
        <f>IF(COUNTA(B1033:C1033,E1033:G1033,I1033)=0,"","BI-"&amp;RIGHT("0000"&amp;(ROW()-5),4))</f>
        <v/>
      </c>
      <c r="B1033" s="72" t="n"/>
      <c r="C1033" s="66" t="n"/>
      <c r="D1033" s="67" t="str">
        <f>IF(C1033="","",IFERROR(INDEX(eq_des,MATCH(C1033,eq_code,0))&amp;"","Équipement inconnu"))</f>
        <v/>
      </c>
      <c r="E1033" s="68" t="n"/>
      <c r="F1033" s="68" t="n"/>
      <c r="G1033" s="66" t="n"/>
      <c r="H1033" s="66" t="n"/>
      <c r="I1033" s="68" t="n"/>
      <c r="J1033" s="73" t="n"/>
      <c r="K1033" s="71" t="n"/>
      <c r="L1033" s="71" t="n"/>
      <c r="M1033" s="66" t="n"/>
      <c r="N1033" s="80" t="n"/>
      <c r="O1033" s="81" t="str">
        <f>IF(A1033="","",ROUND(V1033*IFERROR(N(INDEX(tech_rate,MATCH(M1033,tech_name,0))),0),2))</f>
        <v/>
      </c>
      <c r="P1033" s="80" t="n"/>
      <c r="Q1033" s="81" t="str">
        <f>IF(A1033="","",ROUND(Y1033+O1033+Z1033,2))</f>
        <v/>
      </c>
      <c r="R1033" s="79" t="str">
        <f>IF(A1033="","",IF(S1033=0,"Date manquante ou invalide",IF(C1033="","Équipement manquant",IF(ISNA(MATCH(C1033,eq_code,0)),"Équipement inconnu",IF(E1033="","Type manquant",IF(AND(E1033&lt;&gt;"Préventif",E1033&lt;&gt;"Correctif",E1033&lt;&gt;"Amélioratif"),"Type inconnu",IF(I1033="","Statut manquant",IF(AND(I1033&lt;&gt;"Terminée",I1033&lt;&gt;"En cours",I1033&lt;&gt;"À faire",I1033&lt;&gt;"Annulée"),"Statut inconnu",IF(AND(E1033="Préventif",F1033=""),"Plan manquant (préventif)",IF(AND(F1033&lt;&gt;"",ISNA(MATCH(F1033,pl_num,0))),"Plan inconnu",IF(AND(F1033&lt;&gt;"",IFERROR(INDEX(pl_eq,MATCH(F1033,pl_num,0))&amp;"",C1033)&lt;&gt;C1033),"Plan d'un autre équipement",IF(AND(J1033&lt;&gt;"",OR(NOT(ISNUMBER(J1033)),N(J1033)&lt;0)),"Compteur invalide",IF(OR(AND(K1033&lt;&gt;"",OR(NOT(ISNUMBER(K1033)),N(K1033)&lt;0)),AND(L1033&lt;&gt;"",OR(NOT(ISNUMBER(L1033)),N(L1033)&lt;0))),"Durée invalide",IF(OR(AND(N1033&lt;&gt;"",OR(NOT(ISNUMBER(N1033)),N(N1033)&lt;0)),AND(P1033&lt;&gt;"",OR(NOT(ISNUMBER(P1033)),N(P1033)&lt;0))),"Coût invalide",IF(AND(M1033&lt;&gt;"",ISNA(MATCH(M1033,tech_name,0))),"Technicien inconnu",IF(AND(I1033="Terminée",S1033&gt;p_today),"Terminée à une date future",IF(AND(I1033="Terminée",V1033=0),"Durée d'intervention manquante",IF(AND(I1033="Terminée",E1033="Préventif",T1033=0,OR(IFERROR(INDEX(pl_trig,MATCH(F1033,pl_num,0))&amp;"","")="Compteur",IFERROR(INDEX(pl_trig,MATCH(F1033,pl_num,0))&amp;"","")="Au premier des deux")),"Compteur manquant (plan au compteur)","OK"))))))))))))))))))</f>
        <v/>
      </c>
      <c r="S1033" s="67">
        <f>IF(AND(ISNUMBER(B1033),N(B1033)&gt;0),INT(B1033),0)</f>
        <v>0.0</v>
      </c>
      <c r="T1033" s="67">
        <f>IF(AND(ISNUMBER(J1033),N(J1033)&gt;=0),N(J1033),0)</f>
        <v>0.0</v>
      </c>
      <c r="U1033" s="67">
        <f>IF(AND(ISNUMBER(K1033),N(K1033)&gt;0),N(K1033),0)</f>
        <v>0.0</v>
      </c>
      <c r="V1033" s="67">
        <f>IF(AND(ISNUMBER(L1033),N(L1033)&gt;0),N(L1033),0)</f>
        <v>0.0</v>
      </c>
      <c r="W1033" s="67">
        <f>IF(AND(I1033="Terminée",S1033&gt;0,C1033&lt;&gt;"",ISNUMBER(MATCH(C1033,eq_code,0))),1,0)</f>
        <v>0.0</v>
      </c>
      <c r="X1033" s="67">
        <f>IF(AND(W1033=1,E1033="Préventif"),1,0)</f>
        <v>0.0</v>
      </c>
      <c r="Y1033" s="67">
        <f>IF(AND(ISNUMBER(N1033),N(N1033)&gt;0),N(N1033),0)</f>
        <v>0.0</v>
      </c>
      <c r="Z1033" s="67">
        <f>IF(AND(ISNUMBER(P1033),N(P1033)&gt;0),N(P1033),0)</f>
        <v>0.0</v>
      </c>
    </row>
    <row r="1034">
      <c r="A1034" s="79" t="str">
        <f>IF(COUNTA(B1034:C1034,E1034:G1034,I1034)=0,"","BI-"&amp;RIGHT("0000"&amp;(ROW()-5),4))</f>
        <v/>
      </c>
      <c r="B1034" s="72" t="n"/>
      <c r="C1034" s="66" t="n"/>
      <c r="D1034" s="67" t="str">
        <f>IF(C1034="","",IFERROR(INDEX(eq_des,MATCH(C1034,eq_code,0))&amp;"","Équipement inconnu"))</f>
        <v/>
      </c>
      <c r="E1034" s="68" t="n"/>
      <c r="F1034" s="68" t="n"/>
      <c r="G1034" s="66" t="n"/>
      <c r="H1034" s="66" t="n"/>
      <c r="I1034" s="68" t="n"/>
      <c r="J1034" s="73" t="n"/>
      <c r="K1034" s="71" t="n"/>
      <c r="L1034" s="71" t="n"/>
      <c r="M1034" s="66" t="n"/>
      <c r="N1034" s="80" t="n"/>
      <c r="O1034" s="81" t="str">
        <f>IF(A1034="","",ROUND(V1034*IFERROR(N(INDEX(tech_rate,MATCH(M1034,tech_name,0))),0),2))</f>
        <v/>
      </c>
      <c r="P1034" s="80" t="n"/>
      <c r="Q1034" s="81" t="str">
        <f>IF(A1034="","",ROUND(Y1034+O1034+Z1034,2))</f>
        <v/>
      </c>
      <c r="R1034" s="79" t="str">
        <f>IF(A1034="","",IF(S1034=0,"Date manquante ou invalide",IF(C1034="","Équipement manquant",IF(ISNA(MATCH(C1034,eq_code,0)),"Équipement inconnu",IF(E1034="","Type manquant",IF(AND(E1034&lt;&gt;"Préventif",E1034&lt;&gt;"Correctif",E1034&lt;&gt;"Amélioratif"),"Type inconnu",IF(I1034="","Statut manquant",IF(AND(I1034&lt;&gt;"Terminée",I1034&lt;&gt;"En cours",I1034&lt;&gt;"À faire",I1034&lt;&gt;"Annulée"),"Statut inconnu",IF(AND(E1034="Préventif",F1034=""),"Plan manquant (préventif)",IF(AND(F1034&lt;&gt;"",ISNA(MATCH(F1034,pl_num,0))),"Plan inconnu",IF(AND(F1034&lt;&gt;"",IFERROR(INDEX(pl_eq,MATCH(F1034,pl_num,0))&amp;"",C1034)&lt;&gt;C1034),"Plan d'un autre équipement",IF(AND(J1034&lt;&gt;"",OR(NOT(ISNUMBER(J1034)),N(J1034)&lt;0)),"Compteur invalide",IF(OR(AND(K1034&lt;&gt;"",OR(NOT(ISNUMBER(K1034)),N(K1034)&lt;0)),AND(L1034&lt;&gt;"",OR(NOT(ISNUMBER(L1034)),N(L1034)&lt;0))),"Durée invalide",IF(OR(AND(N1034&lt;&gt;"",OR(NOT(ISNUMBER(N1034)),N(N1034)&lt;0)),AND(P1034&lt;&gt;"",OR(NOT(ISNUMBER(P1034)),N(P1034)&lt;0))),"Coût invalide",IF(AND(M1034&lt;&gt;"",ISNA(MATCH(M1034,tech_name,0))),"Technicien inconnu",IF(AND(I1034="Terminée",S1034&gt;p_today),"Terminée à une date future",IF(AND(I1034="Terminée",V1034=0),"Durée d'intervention manquante",IF(AND(I1034="Terminée",E1034="Préventif",T1034=0,OR(IFERROR(INDEX(pl_trig,MATCH(F1034,pl_num,0))&amp;"","")="Compteur",IFERROR(INDEX(pl_trig,MATCH(F1034,pl_num,0))&amp;"","")="Au premier des deux")),"Compteur manquant (plan au compteur)","OK"))))))))))))))))))</f>
        <v/>
      </c>
      <c r="S1034" s="67">
        <f>IF(AND(ISNUMBER(B1034),N(B1034)&gt;0),INT(B1034),0)</f>
        <v>0.0</v>
      </c>
      <c r="T1034" s="67">
        <f>IF(AND(ISNUMBER(J1034),N(J1034)&gt;=0),N(J1034),0)</f>
        <v>0.0</v>
      </c>
      <c r="U1034" s="67">
        <f>IF(AND(ISNUMBER(K1034),N(K1034)&gt;0),N(K1034),0)</f>
        <v>0.0</v>
      </c>
      <c r="V1034" s="67">
        <f>IF(AND(ISNUMBER(L1034),N(L1034)&gt;0),N(L1034),0)</f>
        <v>0.0</v>
      </c>
      <c r="W1034" s="67">
        <f>IF(AND(I1034="Terminée",S1034&gt;0,C1034&lt;&gt;"",ISNUMBER(MATCH(C1034,eq_code,0))),1,0)</f>
        <v>0.0</v>
      </c>
      <c r="X1034" s="67">
        <f>IF(AND(W1034=1,E1034="Préventif"),1,0)</f>
        <v>0.0</v>
      </c>
      <c r="Y1034" s="67">
        <f>IF(AND(ISNUMBER(N1034),N(N1034)&gt;0),N(N1034),0)</f>
        <v>0.0</v>
      </c>
      <c r="Z1034" s="67">
        <f>IF(AND(ISNUMBER(P1034),N(P1034)&gt;0),N(P1034),0)</f>
        <v>0.0</v>
      </c>
    </row>
    <row r="1035">
      <c r="A1035" s="79" t="str">
        <f>IF(COUNTA(B1035:C1035,E1035:G1035,I1035)=0,"","BI-"&amp;RIGHT("0000"&amp;(ROW()-5),4))</f>
        <v/>
      </c>
      <c r="B1035" s="72" t="n"/>
      <c r="C1035" s="66" t="n"/>
      <c r="D1035" s="67" t="str">
        <f>IF(C1035="","",IFERROR(INDEX(eq_des,MATCH(C1035,eq_code,0))&amp;"","Équipement inconnu"))</f>
        <v/>
      </c>
      <c r="E1035" s="68" t="n"/>
      <c r="F1035" s="68" t="n"/>
      <c r="G1035" s="66" t="n"/>
      <c r="H1035" s="66" t="n"/>
      <c r="I1035" s="68" t="n"/>
      <c r="J1035" s="73" t="n"/>
      <c r="K1035" s="71" t="n"/>
      <c r="L1035" s="71" t="n"/>
      <c r="M1035" s="66" t="n"/>
      <c r="N1035" s="80" t="n"/>
      <c r="O1035" s="81" t="str">
        <f>IF(A1035="","",ROUND(V1035*IFERROR(N(INDEX(tech_rate,MATCH(M1035,tech_name,0))),0),2))</f>
        <v/>
      </c>
      <c r="P1035" s="80" t="n"/>
      <c r="Q1035" s="81" t="str">
        <f>IF(A1035="","",ROUND(Y1035+O1035+Z1035,2))</f>
        <v/>
      </c>
      <c r="R1035" s="79" t="str">
        <f>IF(A1035="","",IF(S1035=0,"Date manquante ou invalide",IF(C1035="","Équipement manquant",IF(ISNA(MATCH(C1035,eq_code,0)),"Équipement inconnu",IF(E1035="","Type manquant",IF(AND(E1035&lt;&gt;"Préventif",E1035&lt;&gt;"Correctif",E1035&lt;&gt;"Amélioratif"),"Type inconnu",IF(I1035="","Statut manquant",IF(AND(I1035&lt;&gt;"Terminée",I1035&lt;&gt;"En cours",I1035&lt;&gt;"À faire",I1035&lt;&gt;"Annulée"),"Statut inconnu",IF(AND(E1035="Préventif",F1035=""),"Plan manquant (préventif)",IF(AND(F1035&lt;&gt;"",ISNA(MATCH(F1035,pl_num,0))),"Plan inconnu",IF(AND(F1035&lt;&gt;"",IFERROR(INDEX(pl_eq,MATCH(F1035,pl_num,0))&amp;"",C1035)&lt;&gt;C1035),"Plan d'un autre équipement",IF(AND(J1035&lt;&gt;"",OR(NOT(ISNUMBER(J1035)),N(J1035)&lt;0)),"Compteur invalide",IF(OR(AND(K1035&lt;&gt;"",OR(NOT(ISNUMBER(K1035)),N(K1035)&lt;0)),AND(L1035&lt;&gt;"",OR(NOT(ISNUMBER(L1035)),N(L1035)&lt;0))),"Durée invalide",IF(OR(AND(N1035&lt;&gt;"",OR(NOT(ISNUMBER(N1035)),N(N1035)&lt;0)),AND(P1035&lt;&gt;"",OR(NOT(ISNUMBER(P1035)),N(P1035)&lt;0))),"Coût invalide",IF(AND(M1035&lt;&gt;"",ISNA(MATCH(M1035,tech_name,0))),"Technicien inconnu",IF(AND(I1035="Terminée",S1035&gt;p_today),"Terminée à une date future",IF(AND(I1035="Terminée",V1035=0),"Durée d'intervention manquante",IF(AND(I1035="Terminée",E1035="Préventif",T1035=0,OR(IFERROR(INDEX(pl_trig,MATCH(F1035,pl_num,0))&amp;"","")="Compteur",IFERROR(INDEX(pl_trig,MATCH(F1035,pl_num,0))&amp;"","")="Au premier des deux")),"Compteur manquant (plan au compteur)","OK"))))))))))))))))))</f>
        <v/>
      </c>
      <c r="S1035" s="67">
        <f>IF(AND(ISNUMBER(B1035),N(B1035)&gt;0),INT(B1035),0)</f>
        <v>0.0</v>
      </c>
      <c r="T1035" s="67">
        <f>IF(AND(ISNUMBER(J1035),N(J1035)&gt;=0),N(J1035),0)</f>
        <v>0.0</v>
      </c>
      <c r="U1035" s="67">
        <f>IF(AND(ISNUMBER(K1035),N(K1035)&gt;0),N(K1035),0)</f>
        <v>0.0</v>
      </c>
      <c r="V1035" s="67">
        <f>IF(AND(ISNUMBER(L1035),N(L1035)&gt;0),N(L1035),0)</f>
        <v>0.0</v>
      </c>
      <c r="W1035" s="67">
        <f>IF(AND(I1035="Terminée",S1035&gt;0,C1035&lt;&gt;"",ISNUMBER(MATCH(C1035,eq_code,0))),1,0)</f>
        <v>0.0</v>
      </c>
      <c r="X1035" s="67">
        <f>IF(AND(W1035=1,E1035="Préventif"),1,0)</f>
        <v>0.0</v>
      </c>
      <c r="Y1035" s="67">
        <f>IF(AND(ISNUMBER(N1035),N(N1035)&gt;0),N(N1035),0)</f>
        <v>0.0</v>
      </c>
      <c r="Z1035" s="67">
        <f>IF(AND(ISNUMBER(P1035),N(P1035)&gt;0),N(P1035),0)</f>
        <v>0.0</v>
      </c>
    </row>
    <row r="1036">
      <c r="A1036" s="79" t="str">
        <f>IF(COUNTA(B1036:C1036,E1036:G1036,I1036)=0,"","BI-"&amp;RIGHT("0000"&amp;(ROW()-5),4))</f>
        <v/>
      </c>
      <c r="B1036" s="72" t="n"/>
      <c r="C1036" s="66" t="n"/>
      <c r="D1036" s="67" t="str">
        <f>IF(C1036="","",IFERROR(INDEX(eq_des,MATCH(C1036,eq_code,0))&amp;"","Équipement inconnu"))</f>
        <v/>
      </c>
      <c r="E1036" s="68" t="n"/>
      <c r="F1036" s="68" t="n"/>
      <c r="G1036" s="66" t="n"/>
      <c r="H1036" s="66" t="n"/>
      <c r="I1036" s="68" t="n"/>
      <c r="J1036" s="73" t="n"/>
      <c r="K1036" s="71" t="n"/>
      <c r="L1036" s="71" t="n"/>
      <c r="M1036" s="66" t="n"/>
      <c r="N1036" s="80" t="n"/>
      <c r="O1036" s="81" t="str">
        <f>IF(A1036="","",ROUND(V1036*IFERROR(N(INDEX(tech_rate,MATCH(M1036,tech_name,0))),0),2))</f>
        <v/>
      </c>
      <c r="P1036" s="80" t="n"/>
      <c r="Q1036" s="81" t="str">
        <f>IF(A1036="","",ROUND(Y1036+O1036+Z1036,2))</f>
        <v/>
      </c>
      <c r="R1036" s="79" t="str">
        <f>IF(A1036="","",IF(S1036=0,"Date manquante ou invalide",IF(C1036="","Équipement manquant",IF(ISNA(MATCH(C1036,eq_code,0)),"Équipement inconnu",IF(E1036="","Type manquant",IF(AND(E1036&lt;&gt;"Préventif",E1036&lt;&gt;"Correctif",E1036&lt;&gt;"Amélioratif"),"Type inconnu",IF(I1036="","Statut manquant",IF(AND(I1036&lt;&gt;"Terminée",I1036&lt;&gt;"En cours",I1036&lt;&gt;"À faire",I1036&lt;&gt;"Annulée"),"Statut inconnu",IF(AND(E1036="Préventif",F1036=""),"Plan manquant (préventif)",IF(AND(F1036&lt;&gt;"",ISNA(MATCH(F1036,pl_num,0))),"Plan inconnu",IF(AND(F1036&lt;&gt;"",IFERROR(INDEX(pl_eq,MATCH(F1036,pl_num,0))&amp;"",C1036)&lt;&gt;C1036),"Plan d'un autre équipement",IF(AND(J1036&lt;&gt;"",OR(NOT(ISNUMBER(J1036)),N(J1036)&lt;0)),"Compteur invalide",IF(OR(AND(K1036&lt;&gt;"",OR(NOT(ISNUMBER(K1036)),N(K1036)&lt;0)),AND(L1036&lt;&gt;"",OR(NOT(ISNUMBER(L1036)),N(L1036)&lt;0))),"Durée invalide",IF(OR(AND(N1036&lt;&gt;"",OR(NOT(ISNUMBER(N1036)),N(N1036)&lt;0)),AND(P1036&lt;&gt;"",OR(NOT(ISNUMBER(P1036)),N(P1036)&lt;0))),"Coût invalide",IF(AND(M1036&lt;&gt;"",ISNA(MATCH(M1036,tech_name,0))),"Technicien inconnu",IF(AND(I1036="Terminée",S1036&gt;p_today),"Terminée à une date future",IF(AND(I1036="Terminée",V1036=0),"Durée d'intervention manquante",IF(AND(I1036="Terminée",E1036="Préventif",T1036=0,OR(IFERROR(INDEX(pl_trig,MATCH(F1036,pl_num,0))&amp;"","")="Compteur",IFERROR(INDEX(pl_trig,MATCH(F1036,pl_num,0))&amp;"","")="Au premier des deux")),"Compteur manquant (plan au compteur)","OK"))))))))))))))))))</f>
        <v/>
      </c>
      <c r="S1036" s="67">
        <f>IF(AND(ISNUMBER(B1036),N(B1036)&gt;0),INT(B1036),0)</f>
        <v>0.0</v>
      </c>
      <c r="T1036" s="67">
        <f>IF(AND(ISNUMBER(J1036),N(J1036)&gt;=0),N(J1036),0)</f>
        <v>0.0</v>
      </c>
      <c r="U1036" s="67">
        <f>IF(AND(ISNUMBER(K1036),N(K1036)&gt;0),N(K1036),0)</f>
        <v>0.0</v>
      </c>
      <c r="V1036" s="67">
        <f>IF(AND(ISNUMBER(L1036),N(L1036)&gt;0),N(L1036),0)</f>
        <v>0.0</v>
      </c>
      <c r="W1036" s="67">
        <f>IF(AND(I1036="Terminée",S1036&gt;0,C1036&lt;&gt;"",ISNUMBER(MATCH(C1036,eq_code,0))),1,0)</f>
        <v>0.0</v>
      </c>
      <c r="X1036" s="67">
        <f>IF(AND(W1036=1,E1036="Préventif"),1,0)</f>
        <v>0.0</v>
      </c>
      <c r="Y1036" s="67">
        <f>IF(AND(ISNUMBER(N1036),N(N1036)&gt;0),N(N1036),0)</f>
        <v>0.0</v>
      </c>
      <c r="Z1036" s="67">
        <f>IF(AND(ISNUMBER(P1036),N(P1036)&gt;0),N(P1036),0)</f>
        <v>0.0</v>
      </c>
    </row>
    <row r="1037">
      <c r="A1037" s="79" t="str">
        <f>IF(COUNTA(B1037:C1037,E1037:G1037,I1037)=0,"","BI-"&amp;RIGHT("0000"&amp;(ROW()-5),4))</f>
        <v/>
      </c>
      <c r="B1037" s="72" t="n"/>
      <c r="C1037" s="66" t="n"/>
      <c r="D1037" s="67" t="str">
        <f>IF(C1037="","",IFERROR(INDEX(eq_des,MATCH(C1037,eq_code,0))&amp;"","Équipement inconnu"))</f>
        <v/>
      </c>
      <c r="E1037" s="68" t="n"/>
      <c r="F1037" s="68" t="n"/>
      <c r="G1037" s="66" t="n"/>
      <c r="H1037" s="66" t="n"/>
      <c r="I1037" s="68" t="n"/>
      <c r="J1037" s="73" t="n"/>
      <c r="K1037" s="71" t="n"/>
      <c r="L1037" s="71" t="n"/>
      <c r="M1037" s="66" t="n"/>
      <c r="N1037" s="80" t="n"/>
      <c r="O1037" s="81" t="str">
        <f>IF(A1037="","",ROUND(V1037*IFERROR(N(INDEX(tech_rate,MATCH(M1037,tech_name,0))),0),2))</f>
        <v/>
      </c>
      <c r="P1037" s="80" t="n"/>
      <c r="Q1037" s="81" t="str">
        <f>IF(A1037="","",ROUND(Y1037+O1037+Z1037,2))</f>
        <v/>
      </c>
      <c r="R1037" s="79" t="str">
        <f>IF(A1037="","",IF(S1037=0,"Date manquante ou invalide",IF(C1037="","Équipement manquant",IF(ISNA(MATCH(C1037,eq_code,0)),"Équipement inconnu",IF(E1037="","Type manquant",IF(AND(E1037&lt;&gt;"Préventif",E1037&lt;&gt;"Correctif",E1037&lt;&gt;"Amélioratif"),"Type inconnu",IF(I1037="","Statut manquant",IF(AND(I1037&lt;&gt;"Terminée",I1037&lt;&gt;"En cours",I1037&lt;&gt;"À faire",I1037&lt;&gt;"Annulée"),"Statut inconnu",IF(AND(E1037="Préventif",F1037=""),"Plan manquant (préventif)",IF(AND(F1037&lt;&gt;"",ISNA(MATCH(F1037,pl_num,0))),"Plan inconnu",IF(AND(F1037&lt;&gt;"",IFERROR(INDEX(pl_eq,MATCH(F1037,pl_num,0))&amp;"",C1037)&lt;&gt;C1037),"Plan d'un autre équipement",IF(AND(J1037&lt;&gt;"",OR(NOT(ISNUMBER(J1037)),N(J1037)&lt;0)),"Compteur invalide",IF(OR(AND(K1037&lt;&gt;"",OR(NOT(ISNUMBER(K1037)),N(K1037)&lt;0)),AND(L1037&lt;&gt;"",OR(NOT(ISNUMBER(L1037)),N(L1037)&lt;0))),"Durée invalide",IF(OR(AND(N1037&lt;&gt;"",OR(NOT(ISNUMBER(N1037)),N(N1037)&lt;0)),AND(P1037&lt;&gt;"",OR(NOT(ISNUMBER(P1037)),N(P1037)&lt;0))),"Coût invalide",IF(AND(M1037&lt;&gt;"",ISNA(MATCH(M1037,tech_name,0))),"Technicien inconnu",IF(AND(I1037="Terminée",S1037&gt;p_today),"Terminée à une date future",IF(AND(I1037="Terminée",V1037=0),"Durée d'intervention manquante",IF(AND(I1037="Terminée",E1037="Préventif",T1037=0,OR(IFERROR(INDEX(pl_trig,MATCH(F1037,pl_num,0))&amp;"","")="Compteur",IFERROR(INDEX(pl_trig,MATCH(F1037,pl_num,0))&amp;"","")="Au premier des deux")),"Compteur manquant (plan au compteur)","OK"))))))))))))))))))</f>
        <v/>
      </c>
      <c r="S1037" s="67">
        <f>IF(AND(ISNUMBER(B1037),N(B1037)&gt;0),INT(B1037),0)</f>
        <v>0.0</v>
      </c>
      <c r="T1037" s="67">
        <f>IF(AND(ISNUMBER(J1037),N(J1037)&gt;=0),N(J1037),0)</f>
        <v>0.0</v>
      </c>
      <c r="U1037" s="67">
        <f>IF(AND(ISNUMBER(K1037),N(K1037)&gt;0),N(K1037),0)</f>
        <v>0.0</v>
      </c>
      <c r="V1037" s="67">
        <f>IF(AND(ISNUMBER(L1037),N(L1037)&gt;0),N(L1037),0)</f>
        <v>0.0</v>
      </c>
      <c r="W1037" s="67">
        <f>IF(AND(I1037="Terminée",S1037&gt;0,C1037&lt;&gt;"",ISNUMBER(MATCH(C1037,eq_code,0))),1,0)</f>
        <v>0.0</v>
      </c>
      <c r="X1037" s="67">
        <f>IF(AND(W1037=1,E1037="Préventif"),1,0)</f>
        <v>0.0</v>
      </c>
      <c r="Y1037" s="67">
        <f>IF(AND(ISNUMBER(N1037),N(N1037)&gt;0),N(N1037),0)</f>
        <v>0.0</v>
      </c>
      <c r="Z1037" s="67">
        <f>IF(AND(ISNUMBER(P1037),N(P1037)&gt;0),N(P1037),0)</f>
        <v>0.0</v>
      </c>
    </row>
    <row r="1038">
      <c r="A1038" s="79" t="str">
        <f>IF(COUNTA(B1038:C1038,E1038:G1038,I1038)=0,"","BI-"&amp;RIGHT("0000"&amp;(ROW()-5),4))</f>
        <v/>
      </c>
      <c r="B1038" s="72" t="n"/>
      <c r="C1038" s="66" t="n"/>
      <c r="D1038" s="67" t="str">
        <f>IF(C1038="","",IFERROR(INDEX(eq_des,MATCH(C1038,eq_code,0))&amp;"","Équipement inconnu"))</f>
        <v/>
      </c>
      <c r="E1038" s="68" t="n"/>
      <c r="F1038" s="68" t="n"/>
      <c r="G1038" s="66" t="n"/>
      <c r="H1038" s="66" t="n"/>
      <c r="I1038" s="68" t="n"/>
      <c r="J1038" s="73" t="n"/>
      <c r="K1038" s="71" t="n"/>
      <c r="L1038" s="71" t="n"/>
      <c r="M1038" s="66" t="n"/>
      <c r="N1038" s="80" t="n"/>
      <c r="O1038" s="81" t="str">
        <f>IF(A1038="","",ROUND(V1038*IFERROR(N(INDEX(tech_rate,MATCH(M1038,tech_name,0))),0),2))</f>
        <v/>
      </c>
      <c r="P1038" s="80" t="n"/>
      <c r="Q1038" s="81" t="str">
        <f>IF(A1038="","",ROUND(Y1038+O1038+Z1038,2))</f>
        <v/>
      </c>
      <c r="R1038" s="79" t="str">
        <f>IF(A1038="","",IF(S1038=0,"Date manquante ou invalide",IF(C1038="","Équipement manquant",IF(ISNA(MATCH(C1038,eq_code,0)),"Équipement inconnu",IF(E1038="","Type manquant",IF(AND(E1038&lt;&gt;"Préventif",E1038&lt;&gt;"Correctif",E1038&lt;&gt;"Amélioratif"),"Type inconnu",IF(I1038="","Statut manquant",IF(AND(I1038&lt;&gt;"Terminée",I1038&lt;&gt;"En cours",I1038&lt;&gt;"À faire",I1038&lt;&gt;"Annulée"),"Statut inconnu",IF(AND(E1038="Préventif",F1038=""),"Plan manquant (préventif)",IF(AND(F1038&lt;&gt;"",ISNA(MATCH(F1038,pl_num,0))),"Plan inconnu",IF(AND(F1038&lt;&gt;"",IFERROR(INDEX(pl_eq,MATCH(F1038,pl_num,0))&amp;"",C1038)&lt;&gt;C1038),"Plan d'un autre équipement",IF(AND(J1038&lt;&gt;"",OR(NOT(ISNUMBER(J1038)),N(J1038)&lt;0)),"Compteur invalide",IF(OR(AND(K1038&lt;&gt;"",OR(NOT(ISNUMBER(K1038)),N(K1038)&lt;0)),AND(L1038&lt;&gt;"",OR(NOT(ISNUMBER(L1038)),N(L1038)&lt;0))),"Durée invalide",IF(OR(AND(N1038&lt;&gt;"",OR(NOT(ISNUMBER(N1038)),N(N1038)&lt;0)),AND(P1038&lt;&gt;"",OR(NOT(ISNUMBER(P1038)),N(P1038)&lt;0))),"Coût invalide",IF(AND(M1038&lt;&gt;"",ISNA(MATCH(M1038,tech_name,0))),"Technicien inconnu",IF(AND(I1038="Terminée",S1038&gt;p_today),"Terminée à une date future",IF(AND(I1038="Terminée",V1038=0),"Durée d'intervention manquante",IF(AND(I1038="Terminée",E1038="Préventif",T1038=0,OR(IFERROR(INDEX(pl_trig,MATCH(F1038,pl_num,0))&amp;"","")="Compteur",IFERROR(INDEX(pl_trig,MATCH(F1038,pl_num,0))&amp;"","")="Au premier des deux")),"Compteur manquant (plan au compteur)","OK"))))))))))))))))))</f>
        <v/>
      </c>
      <c r="S1038" s="67">
        <f>IF(AND(ISNUMBER(B1038),N(B1038)&gt;0),INT(B1038),0)</f>
        <v>0.0</v>
      </c>
      <c r="T1038" s="67">
        <f>IF(AND(ISNUMBER(J1038),N(J1038)&gt;=0),N(J1038),0)</f>
        <v>0.0</v>
      </c>
      <c r="U1038" s="67">
        <f>IF(AND(ISNUMBER(K1038),N(K1038)&gt;0),N(K1038),0)</f>
        <v>0.0</v>
      </c>
      <c r="V1038" s="67">
        <f>IF(AND(ISNUMBER(L1038),N(L1038)&gt;0),N(L1038),0)</f>
        <v>0.0</v>
      </c>
      <c r="W1038" s="67">
        <f>IF(AND(I1038="Terminée",S1038&gt;0,C1038&lt;&gt;"",ISNUMBER(MATCH(C1038,eq_code,0))),1,0)</f>
        <v>0.0</v>
      </c>
      <c r="X1038" s="67">
        <f>IF(AND(W1038=1,E1038="Préventif"),1,0)</f>
        <v>0.0</v>
      </c>
      <c r="Y1038" s="67">
        <f>IF(AND(ISNUMBER(N1038),N(N1038)&gt;0),N(N1038),0)</f>
        <v>0.0</v>
      </c>
      <c r="Z1038" s="67">
        <f>IF(AND(ISNUMBER(P1038),N(P1038)&gt;0),N(P1038),0)</f>
        <v>0.0</v>
      </c>
    </row>
    <row r="1039">
      <c r="A1039" s="79" t="str">
        <f>IF(COUNTA(B1039:C1039,E1039:G1039,I1039)=0,"","BI-"&amp;RIGHT("0000"&amp;(ROW()-5),4))</f>
        <v/>
      </c>
      <c r="B1039" s="72" t="n"/>
      <c r="C1039" s="66" t="n"/>
      <c r="D1039" s="67" t="str">
        <f>IF(C1039="","",IFERROR(INDEX(eq_des,MATCH(C1039,eq_code,0))&amp;"","Équipement inconnu"))</f>
        <v/>
      </c>
      <c r="E1039" s="68" t="n"/>
      <c r="F1039" s="68" t="n"/>
      <c r="G1039" s="66" t="n"/>
      <c r="H1039" s="66" t="n"/>
      <c r="I1039" s="68" t="n"/>
      <c r="J1039" s="73" t="n"/>
      <c r="K1039" s="71" t="n"/>
      <c r="L1039" s="71" t="n"/>
      <c r="M1039" s="66" t="n"/>
      <c r="N1039" s="80" t="n"/>
      <c r="O1039" s="81" t="str">
        <f>IF(A1039="","",ROUND(V1039*IFERROR(N(INDEX(tech_rate,MATCH(M1039,tech_name,0))),0),2))</f>
        <v/>
      </c>
      <c r="P1039" s="80" t="n"/>
      <c r="Q1039" s="81" t="str">
        <f>IF(A1039="","",ROUND(Y1039+O1039+Z1039,2))</f>
        <v/>
      </c>
      <c r="R1039" s="79" t="str">
        <f>IF(A1039="","",IF(S1039=0,"Date manquante ou invalide",IF(C1039="","Équipement manquant",IF(ISNA(MATCH(C1039,eq_code,0)),"Équipement inconnu",IF(E1039="","Type manquant",IF(AND(E1039&lt;&gt;"Préventif",E1039&lt;&gt;"Correctif",E1039&lt;&gt;"Amélioratif"),"Type inconnu",IF(I1039="","Statut manquant",IF(AND(I1039&lt;&gt;"Terminée",I1039&lt;&gt;"En cours",I1039&lt;&gt;"À faire",I1039&lt;&gt;"Annulée"),"Statut inconnu",IF(AND(E1039="Préventif",F1039=""),"Plan manquant (préventif)",IF(AND(F1039&lt;&gt;"",ISNA(MATCH(F1039,pl_num,0))),"Plan inconnu",IF(AND(F1039&lt;&gt;"",IFERROR(INDEX(pl_eq,MATCH(F1039,pl_num,0))&amp;"",C1039)&lt;&gt;C1039),"Plan d'un autre équipement",IF(AND(J1039&lt;&gt;"",OR(NOT(ISNUMBER(J1039)),N(J1039)&lt;0)),"Compteur invalide",IF(OR(AND(K1039&lt;&gt;"",OR(NOT(ISNUMBER(K1039)),N(K1039)&lt;0)),AND(L1039&lt;&gt;"",OR(NOT(ISNUMBER(L1039)),N(L1039)&lt;0))),"Durée invalide",IF(OR(AND(N1039&lt;&gt;"",OR(NOT(ISNUMBER(N1039)),N(N1039)&lt;0)),AND(P1039&lt;&gt;"",OR(NOT(ISNUMBER(P1039)),N(P1039)&lt;0))),"Coût invalide",IF(AND(M1039&lt;&gt;"",ISNA(MATCH(M1039,tech_name,0))),"Technicien inconnu",IF(AND(I1039="Terminée",S1039&gt;p_today),"Terminée à une date future",IF(AND(I1039="Terminée",V1039=0),"Durée d'intervention manquante",IF(AND(I1039="Terminée",E1039="Préventif",T1039=0,OR(IFERROR(INDEX(pl_trig,MATCH(F1039,pl_num,0))&amp;"","")="Compteur",IFERROR(INDEX(pl_trig,MATCH(F1039,pl_num,0))&amp;"","")="Au premier des deux")),"Compteur manquant (plan au compteur)","OK"))))))))))))))))))</f>
        <v/>
      </c>
      <c r="S1039" s="67">
        <f>IF(AND(ISNUMBER(B1039),N(B1039)&gt;0),INT(B1039),0)</f>
        <v>0.0</v>
      </c>
      <c r="T1039" s="67">
        <f>IF(AND(ISNUMBER(J1039),N(J1039)&gt;=0),N(J1039),0)</f>
        <v>0.0</v>
      </c>
      <c r="U1039" s="67">
        <f>IF(AND(ISNUMBER(K1039),N(K1039)&gt;0),N(K1039),0)</f>
        <v>0.0</v>
      </c>
      <c r="V1039" s="67">
        <f>IF(AND(ISNUMBER(L1039),N(L1039)&gt;0),N(L1039),0)</f>
        <v>0.0</v>
      </c>
      <c r="W1039" s="67">
        <f>IF(AND(I1039="Terminée",S1039&gt;0,C1039&lt;&gt;"",ISNUMBER(MATCH(C1039,eq_code,0))),1,0)</f>
        <v>0.0</v>
      </c>
      <c r="X1039" s="67">
        <f>IF(AND(W1039=1,E1039="Préventif"),1,0)</f>
        <v>0.0</v>
      </c>
      <c r="Y1039" s="67">
        <f>IF(AND(ISNUMBER(N1039),N(N1039)&gt;0),N(N1039),0)</f>
        <v>0.0</v>
      </c>
      <c r="Z1039" s="67">
        <f>IF(AND(ISNUMBER(P1039),N(P1039)&gt;0),N(P1039),0)</f>
        <v>0.0</v>
      </c>
    </row>
    <row r="1040">
      <c r="A1040" s="79" t="str">
        <f>IF(COUNTA(B1040:C1040,E1040:G1040,I1040)=0,"","BI-"&amp;RIGHT("0000"&amp;(ROW()-5),4))</f>
        <v/>
      </c>
      <c r="B1040" s="72" t="n"/>
      <c r="C1040" s="66" t="n"/>
      <c r="D1040" s="67" t="str">
        <f>IF(C1040="","",IFERROR(INDEX(eq_des,MATCH(C1040,eq_code,0))&amp;"","Équipement inconnu"))</f>
        <v/>
      </c>
      <c r="E1040" s="68" t="n"/>
      <c r="F1040" s="68" t="n"/>
      <c r="G1040" s="66" t="n"/>
      <c r="H1040" s="66" t="n"/>
      <c r="I1040" s="68" t="n"/>
      <c r="J1040" s="73" t="n"/>
      <c r="K1040" s="71" t="n"/>
      <c r="L1040" s="71" t="n"/>
      <c r="M1040" s="66" t="n"/>
      <c r="N1040" s="80" t="n"/>
      <c r="O1040" s="81" t="str">
        <f>IF(A1040="","",ROUND(V1040*IFERROR(N(INDEX(tech_rate,MATCH(M1040,tech_name,0))),0),2))</f>
        <v/>
      </c>
      <c r="P1040" s="80" t="n"/>
      <c r="Q1040" s="81" t="str">
        <f>IF(A1040="","",ROUND(Y1040+O1040+Z1040,2))</f>
        <v/>
      </c>
      <c r="R1040" s="79" t="str">
        <f>IF(A1040="","",IF(S1040=0,"Date manquante ou invalide",IF(C1040="","Équipement manquant",IF(ISNA(MATCH(C1040,eq_code,0)),"Équipement inconnu",IF(E1040="","Type manquant",IF(AND(E1040&lt;&gt;"Préventif",E1040&lt;&gt;"Correctif",E1040&lt;&gt;"Amélioratif"),"Type inconnu",IF(I1040="","Statut manquant",IF(AND(I1040&lt;&gt;"Terminée",I1040&lt;&gt;"En cours",I1040&lt;&gt;"À faire",I1040&lt;&gt;"Annulée"),"Statut inconnu",IF(AND(E1040="Préventif",F1040=""),"Plan manquant (préventif)",IF(AND(F1040&lt;&gt;"",ISNA(MATCH(F1040,pl_num,0))),"Plan inconnu",IF(AND(F1040&lt;&gt;"",IFERROR(INDEX(pl_eq,MATCH(F1040,pl_num,0))&amp;"",C1040)&lt;&gt;C1040),"Plan d'un autre équipement",IF(AND(J1040&lt;&gt;"",OR(NOT(ISNUMBER(J1040)),N(J1040)&lt;0)),"Compteur invalide",IF(OR(AND(K1040&lt;&gt;"",OR(NOT(ISNUMBER(K1040)),N(K1040)&lt;0)),AND(L1040&lt;&gt;"",OR(NOT(ISNUMBER(L1040)),N(L1040)&lt;0))),"Durée invalide",IF(OR(AND(N1040&lt;&gt;"",OR(NOT(ISNUMBER(N1040)),N(N1040)&lt;0)),AND(P1040&lt;&gt;"",OR(NOT(ISNUMBER(P1040)),N(P1040)&lt;0))),"Coût invalide",IF(AND(M1040&lt;&gt;"",ISNA(MATCH(M1040,tech_name,0))),"Technicien inconnu",IF(AND(I1040="Terminée",S1040&gt;p_today),"Terminée à une date future",IF(AND(I1040="Terminée",V1040=0),"Durée d'intervention manquante",IF(AND(I1040="Terminée",E1040="Préventif",T1040=0,OR(IFERROR(INDEX(pl_trig,MATCH(F1040,pl_num,0))&amp;"","")="Compteur",IFERROR(INDEX(pl_trig,MATCH(F1040,pl_num,0))&amp;"","")="Au premier des deux")),"Compteur manquant (plan au compteur)","OK"))))))))))))))))))</f>
        <v/>
      </c>
      <c r="S1040" s="67">
        <f>IF(AND(ISNUMBER(B1040),N(B1040)&gt;0),INT(B1040),0)</f>
        <v>0.0</v>
      </c>
      <c r="T1040" s="67">
        <f>IF(AND(ISNUMBER(J1040),N(J1040)&gt;=0),N(J1040),0)</f>
        <v>0.0</v>
      </c>
      <c r="U1040" s="67">
        <f>IF(AND(ISNUMBER(K1040),N(K1040)&gt;0),N(K1040),0)</f>
        <v>0.0</v>
      </c>
      <c r="V1040" s="67">
        <f>IF(AND(ISNUMBER(L1040),N(L1040)&gt;0),N(L1040),0)</f>
        <v>0.0</v>
      </c>
      <c r="W1040" s="67">
        <f>IF(AND(I1040="Terminée",S1040&gt;0,C1040&lt;&gt;"",ISNUMBER(MATCH(C1040,eq_code,0))),1,0)</f>
        <v>0.0</v>
      </c>
      <c r="X1040" s="67">
        <f>IF(AND(W1040=1,E1040="Préventif"),1,0)</f>
        <v>0.0</v>
      </c>
      <c r="Y1040" s="67">
        <f>IF(AND(ISNUMBER(N1040),N(N1040)&gt;0),N(N1040),0)</f>
        <v>0.0</v>
      </c>
      <c r="Z1040" s="67">
        <f>IF(AND(ISNUMBER(P1040),N(P1040)&gt;0),N(P1040),0)</f>
        <v>0.0</v>
      </c>
    </row>
    <row r="1041">
      <c r="A1041" s="79" t="str">
        <f>IF(COUNTA(B1041:C1041,E1041:G1041,I1041)=0,"","BI-"&amp;RIGHT("0000"&amp;(ROW()-5),4))</f>
        <v/>
      </c>
      <c r="B1041" s="72" t="n"/>
      <c r="C1041" s="66" t="n"/>
      <c r="D1041" s="67" t="str">
        <f>IF(C1041="","",IFERROR(INDEX(eq_des,MATCH(C1041,eq_code,0))&amp;"","Équipement inconnu"))</f>
        <v/>
      </c>
      <c r="E1041" s="68" t="n"/>
      <c r="F1041" s="68" t="n"/>
      <c r="G1041" s="66" t="n"/>
      <c r="H1041" s="66" t="n"/>
      <c r="I1041" s="68" t="n"/>
      <c r="J1041" s="73" t="n"/>
      <c r="K1041" s="71" t="n"/>
      <c r="L1041" s="71" t="n"/>
      <c r="M1041" s="66" t="n"/>
      <c r="N1041" s="80" t="n"/>
      <c r="O1041" s="81" t="str">
        <f>IF(A1041="","",ROUND(V1041*IFERROR(N(INDEX(tech_rate,MATCH(M1041,tech_name,0))),0),2))</f>
        <v/>
      </c>
      <c r="P1041" s="80" t="n"/>
      <c r="Q1041" s="81" t="str">
        <f>IF(A1041="","",ROUND(Y1041+O1041+Z1041,2))</f>
        <v/>
      </c>
      <c r="R1041" s="79" t="str">
        <f>IF(A1041="","",IF(S1041=0,"Date manquante ou invalide",IF(C1041="","Équipement manquant",IF(ISNA(MATCH(C1041,eq_code,0)),"Équipement inconnu",IF(E1041="","Type manquant",IF(AND(E1041&lt;&gt;"Préventif",E1041&lt;&gt;"Correctif",E1041&lt;&gt;"Amélioratif"),"Type inconnu",IF(I1041="","Statut manquant",IF(AND(I1041&lt;&gt;"Terminée",I1041&lt;&gt;"En cours",I1041&lt;&gt;"À faire",I1041&lt;&gt;"Annulée"),"Statut inconnu",IF(AND(E1041="Préventif",F1041=""),"Plan manquant (préventif)",IF(AND(F1041&lt;&gt;"",ISNA(MATCH(F1041,pl_num,0))),"Plan inconnu",IF(AND(F1041&lt;&gt;"",IFERROR(INDEX(pl_eq,MATCH(F1041,pl_num,0))&amp;"",C1041)&lt;&gt;C1041),"Plan d'un autre équipement",IF(AND(J1041&lt;&gt;"",OR(NOT(ISNUMBER(J1041)),N(J1041)&lt;0)),"Compteur invalide",IF(OR(AND(K1041&lt;&gt;"",OR(NOT(ISNUMBER(K1041)),N(K1041)&lt;0)),AND(L1041&lt;&gt;"",OR(NOT(ISNUMBER(L1041)),N(L1041)&lt;0))),"Durée invalide",IF(OR(AND(N1041&lt;&gt;"",OR(NOT(ISNUMBER(N1041)),N(N1041)&lt;0)),AND(P1041&lt;&gt;"",OR(NOT(ISNUMBER(P1041)),N(P1041)&lt;0))),"Coût invalide",IF(AND(M1041&lt;&gt;"",ISNA(MATCH(M1041,tech_name,0))),"Technicien inconnu",IF(AND(I1041="Terminée",S1041&gt;p_today),"Terminée à une date future",IF(AND(I1041="Terminée",V1041=0),"Durée d'intervention manquante",IF(AND(I1041="Terminée",E1041="Préventif",T1041=0,OR(IFERROR(INDEX(pl_trig,MATCH(F1041,pl_num,0))&amp;"","")="Compteur",IFERROR(INDEX(pl_trig,MATCH(F1041,pl_num,0))&amp;"","")="Au premier des deux")),"Compteur manquant (plan au compteur)","OK"))))))))))))))))))</f>
        <v/>
      </c>
      <c r="S1041" s="67">
        <f>IF(AND(ISNUMBER(B1041),N(B1041)&gt;0),INT(B1041),0)</f>
        <v>0.0</v>
      </c>
      <c r="T1041" s="67">
        <f>IF(AND(ISNUMBER(J1041),N(J1041)&gt;=0),N(J1041),0)</f>
        <v>0.0</v>
      </c>
      <c r="U1041" s="67">
        <f>IF(AND(ISNUMBER(K1041),N(K1041)&gt;0),N(K1041),0)</f>
        <v>0.0</v>
      </c>
      <c r="V1041" s="67">
        <f>IF(AND(ISNUMBER(L1041),N(L1041)&gt;0),N(L1041),0)</f>
        <v>0.0</v>
      </c>
      <c r="W1041" s="67">
        <f>IF(AND(I1041="Terminée",S1041&gt;0,C1041&lt;&gt;"",ISNUMBER(MATCH(C1041,eq_code,0))),1,0)</f>
        <v>0.0</v>
      </c>
      <c r="X1041" s="67">
        <f>IF(AND(W1041=1,E1041="Préventif"),1,0)</f>
        <v>0.0</v>
      </c>
      <c r="Y1041" s="67">
        <f>IF(AND(ISNUMBER(N1041),N(N1041)&gt;0),N(N1041),0)</f>
        <v>0.0</v>
      </c>
      <c r="Z1041" s="67">
        <f>IF(AND(ISNUMBER(P1041),N(P1041)&gt;0),N(P1041),0)</f>
        <v>0.0</v>
      </c>
    </row>
    <row r="1042">
      <c r="A1042" s="79" t="str">
        <f>IF(COUNTA(B1042:C1042,E1042:G1042,I1042)=0,"","BI-"&amp;RIGHT("0000"&amp;(ROW()-5),4))</f>
        <v/>
      </c>
      <c r="B1042" s="72" t="n"/>
      <c r="C1042" s="66" t="n"/>
      <c r="D1042" s="67" t="str">
        <f>IF(C1042="","",IFERROR(INDEX(eq_des,MATCH(C1042,eq_code,0))&amp;"","Équipement inconnu"))</f>
        <v/>
      </c>
      <c r="E1042" s="68" t="n"/>
      <c r="F1042" s="68" t="n"/>
      <c r="G1042" s="66" t="n"/>
      <c r="H1042" s="66" t="n"/>
      <c r="I1042" s="68" t="n"/>
      <c r="J1042" s="73" t="n"/>
      <c r="K1042" s="71" t="n"/>
      <c r="L1042" s="71" t="n"/>
      <c r="M1042" s="66" t="n"/>
      <c r="N1042" s="80" t="n"/>
      <c r="O1042" s="81" t="str">
        <f>IF(A1042="","",ROUND(V1042*IFERROR(N(INDEX(tech_rate,MATCH(M1042,tech_name,0))),0),2))</f>
        <v/>
      </c>
      <c r="P1042" s="80" t="n"/>
      <c r="Q1042" s="81" t="str">
        <f>IF(A1042="","",ROUND(Y1042+O1042+Z1042,2))</f>
        <v/>
      </c>
      <c r="R1042" s="79" t="str">
        <f>IF(A1042="","",IF(S1042=0,"Date manquante ou invalide",IF(C1042="","Équipement manquant",IF(ISNA(MATCH(C1042,eq_code,0)),"Équipement inconnu",IF(E1042="","Type manquant",IF(AND(E1042&lt;&gt;"Préventif",E1042&lt;&gt;"Correctif",E1042&lt;&gt;"Amélioratif"),"Type inconnu",IF(I1042="","Statut manquant",IF(AND(I1042&lt;&gt;"Terminée",I1042&lt;&gt;"En cours",I1042&lt;&gt;"À faire",I1042&lt;&gt;"Annulée"),"Statut inconnu",IF(AND(E1042="Préventif",F1042=""),"Plan manquant (préventif)",IF(AND(F1042&lt;&gt;"",ISNA(MATCH(F1042,pl_num,0))),"Plan inconnu",IF(AND(F1042&lt;&gt;"",IFERROR(INDEX(pl_eq,MATCH(F1042,pl_num,0))&amp;"",C1042)&lt;&gt;C1042),"Plan d'un autre équipement",IF(AND(J1042&lt;&gt;"",OR(NOT(ISNUMBER(J1042)),N(J1042)&lt;0)),"Compteur invalide",IF(OR(AND(K1042&lt;&gt;"",OR(NOT(ISNUMBER(K1042)),N(K1042)&lt;0)),AND(L1042&lt;&gt;"",OR(NOT(ISNUMBER(L1042)),N(L1042)&lt;0))),"Durée invalide",IF(OR(AND(N1042&lt;&gt;"",OR(NOT(ISNUMBER(N1042)),N(N1042)&lt;0)),AND(P1042&lt;&gt;"",OR(NOT(ISNUMBER(P1042)),N(P1042)&lt;0))),"Coût invalide",IF(AND(M1042&lt;&gt;"",ISNA(MATCH(M1042,tech_name,0))),"Technicien inconnu",IF(AND(I1042="Terminée",S1042&gt;p_today),"Terminée à une date future",IF(AND(I1042="Terminée",V1042=0),"Durée d'intervention manquante",IF(AND(I1042="Terminée",E1042="Préventif",T1042=0,OR(IFERROR(INDEX(pl_trig,MATCH(F1042,pl_num,0))&amp;"","")="Compteur",IFERROR(INDEX(pl_trig,MATCH(F1042,pl_num,0))&amp;"","")="Au premier des deux")),"Compteur manquant (plan au compteur)","OK"))))))))))))))))))</f>
        <v/>
      </c>
      <c r="S1042" s="67">
        <f>IF(AND(ISNUMBER(B1042),N(B1042)&gt;0),INT(B1042),0)</f>
        <v>0.0</v>
      </c>
      <c r="T1042" s="67">
        <f>IF(AND(ISNUMBER(J1042),N(J1042)&gt;=0),N(J1042),0)</f>
        <v>0.0</v>
      </c>
      <c r="U1042" s="67">
        <f>IF(AND(ISNUMBER(K1042),N(K1042)&gt;0),N(K1042),0)</f>
        <v>0.0</v>
      </c>
      <c r="V1042" s="67">
        <f>IF(AND(ISNUMBER(L1042),N(L1042)&gt;0),N(L1042),0)</f>
        <v>0.0</v>
      </c>
      <c r="W1042" s="67">
        <f>IF(AND(I1042="Terminée",S1042&gt;0,C1042&lt;&gt;"",ISNUMBER(MATCH(C1042,eq_code,0))),1,0)</f>
        <v>0.0</v>
      </c>
      <c r="X1042" s="67">
        <f>IF(AND(W1042=1,E1042="Préventif"),1,0)</f>
        <v>0.0</v>
      </c>
      <c r="Y1042" s="67">
        <f>IF(AND(ISNUMBER(N1042),N(N1042)&gt;0),N(N1042),0)</f>
        <v>0.0</v>
      </c>
      <c r="Z1042" s="67">
        <f>IF(AND(ISNUMBER(P1042),N(P1042)&gt;0),N(P1042),0)</f>
        <v>0.0</v>
      </c>
    </row>
    <row r="1043">
      <c r="A1043" s="79" t="str">
        <f>IF(COUNTA(B1043:C1043,E1043:G1043,I1043)=0,"","BI-"&amp;RIGHT("0000"&amp;(ROW()-5),4))</f>
        <v/>
      </c>
      <c r="B1043" s="72" t="n"/>
      <c r="C1043" s="66" t="n"/>
      <c r="D1043" s="67" t="str">
        <f>IF(C1043="","",IFERROR(INDEX(eq_des,MATCH(C1043,eq_code,0))&amp;"","Équipement inconnu"))</f>
        <v/>
      </c>
      <c r="E1043" s="68" t="n"/>
      <c r="F1043" s="68" t="n"/>
      <c r="G1043" s="66" t="n"/>
      <c r="H1043" s="66" t="n"/>
      <c r="I1043" s="68" t="n"/>
      <c r="J1043" s="73" t="n"/>
      <c r="K1043" s="71" t="n"/>
      <c r="L1043" s="71" t="n"/>
      <c r="M1043" s="66" t="n"/>
      <c r="N1043" s="80" t="n"/>
      <c r="O1043" s="81" t="str">
        <f>IF(A1043="","",ROUND(V1043*IFERROR(N(INDEX(tech_rate,MATCH(M1043,tech_name,0))),0),2))</f>
        <v/>
      </c>
      <c r="P1043" s="80" t="n"/>
      <c r="Q1043" s="81" t="str">
        <f>IF(A1043="","",ROUND(Y1043+O1043+Z1043,2))</f>
        <v/>
      </c>
      <c r="R1043" s="79" t="str">
        <f>IF(A1043="","",IF(S1043=0,"Date manquante ou invalide",IF(C1043="","Équipement manquant",IF(ISNA(MATCH(C1043,eq_code,0)),"Équipement inconnu",IF(E1043="","Type manquant",IF(AND(E1043&lt;&gt;"Préventif",E1043&lt;&gt;"Correctif",E1043&lt;&gt;"Amélioratif"),"Type inconnu",IF(I1043="","Statut manquant",IF(AND(I1043&lt;&gt;"Terminée",I1043&lt;&gt;"En cours",I1043&lt;&gt;"À faire",I1043&lt;&gt;"Annulée"),"Statut inconnu",IF(AND(E1043="Préventif",F1043=""),"Plan manquant (préventif)",IF(AND(F1043&lt;&gt;"",ISNA(MATCH(F1043,pl_num,0))),"Plan inconnu",IF(AND(F1043&lt;&gt;"",IFERROR(INDEX(pl_eq,MATCH(F1043,pl_num,0))&amp;"",C1043)&lt;&gt;C1043),"Plan d'un autre équipement",IF(AND(J1043&lt;&gt;"",OR(NOT(ISNUMBER(J1043)),N(J1043)&lt;0)),"Compteur invalide",IF(OR(AND(K1043&lt;&gt;"",OR(NOT(ISNUMBER(K1043)),N(K1043)&lt;0)),AND(L1043&lt;&gt;"",OR(NOT(ISNUMBER(L1043)),N(L1043)&lt;0))),"Durée invalide",IF(OR(AND(N1043&lt;&gt;"",OR(NOT(ISNUMBER(N1043)),N(N1043)&lt;0)),AND(P1043&lt;&gt;"",OR(NOT(ISNUMBER(P1043)),N(P1043)&lt;0))),"Coût invalide",IF(AND(M1043&lt;&gt;"",ISNA(MATCH(M1043,tech_name,0))),"Technicien inconnu",IF(AND(I1043="Terminée",S1043&gt;p_today),"Terminée à une date future",IF(AND(I1043="Terminée",V1043=0),"Durée d'intervention manquante",IF(AND(I1043="Terminée",E1043="Préventif",T1043=0,OR(IFERROR(INDEX(pl_trig,MATCH(F1043,pl_num,0))&amp;"","")="Compteur",IFERROR(INDEX(pl_trig,MATCH(F1043,pl_num,0))&amp;"","")="Au premier des deux")),"Compteur manquant (plan au compteur)","OK"))))))))))))))))))</f>
        <v/>
      </c>
      <c r="S1043" s="67">
        <f>IF(AND(ISNUMBER(B1043),N(B1043)&gt;0),INT(B1043),0)</f>
        <v>0.0</v>
      </c>
      <c r="T1043" s="67">
        <f>IF(AND(ISNUMBER(J1043),N(J1043)&gt;=0),N(J1043),0)</f>
        <v>0.0</v>
      </c>
      <c r="U1043" s="67">
        <f>IF(AND(ISNUMBER(K1043),N(K1043)&gt;0),N(K1043),0)</f>
        <v>0.0</v>
      </c>
      <c r="V1043" s="67">
        <f>IF(AND(ISNUMBER(L1043),N(L1043)&gt;0),N(L1043),0)</f>
        <v>0.0</v>
      </c>
      <c r="W1043" s="67">
        <f>IF(AND(I1043="Terminée",S1043&gt;0,C1043&lt;&gt;"",ISNUMBER(MATCH(C1043,eq_code,0))),1,0)</f>
        <v>0.0</v>
      </c>
      <c r="X1043" s="67">
        <f>IF(AND(W1043=1,E1043="Préventif"),1,0)</f>
        <v>0.0</v>
      </c>
      <c r="Y1043" s="67">
        <f>IF(AND(ISNUMBER(N1043),N(N1043)&gt;0),N(N1043),0)</f>
        <v>0.0</v>
      </c>
      <c r="Z1043" s="67">
        <f>IF(AND(ISNUMBER(P1043),N(P1043)&gt;0),N(P1043),0)</f>
        <v>0.0</v>
      </c>
    </row>
    <row r="1044">
      <c r="A1044" s="79" t="str">
        <f>IF(COUNTA(B1044:C1044,E1044:G1044,I1044)=0,"","BI-"&amp;RIGHT("0000"&amp;(ROW()-5),4))</f>
        <v/>
      </c>
      <c r="B1044" s="72" t="n"/>
      <c r="C1044" s="66" t="n"/>
      <c r="D1044" s="67" t="str">
        <f>IF(C1044="","",IFERROR(INDEX(eq_des,MATCH(C1044,eq_code,0))&amp;"","Équipement inconnu"))</f>
        <v/>
      </c>
      <c r="E1044" s="68" t="n"/>
      <c r="F1044" s="68" t="n"/>
      <c r="G1044" s="66" t="n"/>
      <c r="H1044" s="66" t="n"/>
      <c r="I1044" s="68" t="n"/>
      <c r="J1044" s="73" t="n"/>
      <c r="K1044" s="71" t="n"/>
      <c r="L1044" s="71" t="n"/>
      <c r="M1044" s="66" t="n"/>
      <c r="N1044" s="80" t="n"/>
      <c r="O1044" s="81" t="str">
        <f>IF(A1044="","",ROUND(V1044*IFERROR(N(INDEX(tech_rate,MATCH(M1044,tech_name,0))),0),2))</f>
        <v/>
      </c>
      <c r="P1044" s="80" t="n"/>
      <c r="Q1044" s="81" t="str">
        <f>IF(A1044="","",ROUND(Y1044+O1044+Z1044,2))</f>
        <v/>
      </c>
      <c r="R1044" s="79" t="str">
        <f>IF(A1044="","",IF(S1044=0,"Date manquante ou invalide",IF(C1044="","Équipement manquant",IF(ISNA(MATCH(C1044,eq_code,0)),"Équipement inconnu",IF(E1044="","Type manquant",IF(AND(E1044&lt;&gt;"Préventif",E1044&lt;&gt;"Correctif",E1044&lt;&gt;"Amélioratif"),"Type inconnu",IF(I1044="","Statut manquant",IF(AND(I1044&lt;&gt;"Terminée",I1044&lt;&gt;"En cours",I1044&lt;&gt;"À faire",I1044&lt;&gt;"Annulée"),"Statut inconnu",IF(AND(E1044="Préventif",F1044=""),"Plan manquant (préventif)",IF(AND(F1044&lt;&gt;"",ISNA(MATCH(F1044,pl_num,0))),"Plan inconnu",IF(AND(F1044&lt;&gt;"",IFERROR(INDEX(pl_eq,MATCH(F1044,pl_num,0))&amp;"",C1044)&lt;&gt;C1044),"Plan d'un autre équipement",IF(AND(J1044&lt;&gt;"",OR(NOT(ISNUMBER(J1044)),N(J1044)&lt;0)),"Compteur invalide",IF(OR(AND(K1044&lt;&gt;"",OR(NOT(ISNUMBER(K1044)),N(K1044)&lt;0)),AND(L1044&lt;&gt;"",OR(NOT(ISNUMBER(L1044)),N(L1044)&lt;0))),"Durée invalide",IF(OR(AND(N1044&lt;&gt;"",OR(NOT(ISNUMBER(N1044)),N(N1044)&lt;0)),AND(P1044&lt;&gt;"",OR(NOT(ISNUMBER(P1044)),N(P1044)&lt;0))),"Coût invalide",IF(AND(M1044&lt;&gt;"",ISNA(MATCH(M1044,tech_name,0))),"Technicien inconnu",IF(AND(I1044="Terminée",S1044&gt;p_today),"Terminée à une date future",IF(AND(I1044="Terminée",V1044=0),"Durée d'intervention manquante",IF(AND(I1044="Terminée",E1044="Préventif",T1044=0,OR(IFERROR(INDEX(pl_trig,MATCH(F1044,pl_num,0))&amp;"","")="Compteur",IFERROR(INDEX(pl_trig,MATCH(F1044,pl_num,0))&amp;"","")="Au premier des deux")),"Compteur manquant (plan au compteur)","OK"))))))))))))))))))</f>
        <v/>
      </c>
      <c r="S1044" s="67">
        <f>IF(AND(ISNUMBER(B1044),N(B1044)&gt;0),INT(B1044),0)</f>
        <v>0.0</v>
      </c>
      <c r="T1044" s="67">
        <f>IF(AND(ISNUMBER(J1044),N(J1044)&gt;=0),N(J1044),0)</f>
        <v>0.0</v>
      </c>
      <c r="U1044" s="67">
        <f>IF(AND(ISNUMBER(K1044),N(K1044)&gt;0),N(K1044),0)</f>
        <v>0.0</v>
      </c>
      <c r="V1044" s="67">
        <f>IF(AND(ISNUMBER(L1044),N(L1044)&gt;0),N(L1044),0)</f>
        <v>0.0</v>
      </c>
      <c r="W1044" s="67">
        <f>IF(AND(I1044="Terminée",S1044&gt;0,C1044&lt;&gt;"",ISNUMBER(MATCH(C1044,eq_code,0))),1,0)</f>
        <v>0.0</v>
      </c>
      <c r="X1044" s="67">
        <f>IF(AND(W1044=1,E1044="Préventif"),1,0)</f>
        <v>0.0</v>
      </c>
      <c r="Y1044" s="67">
        <f>IF(AND(ISNUMBER(N1044),N(N1044)&gt;0),N(N1044),0)</f>
        <v>0.0</v>
      </c>
      <c r="Z1044" s="67">
        <f>IF(AND(ISNUMBER(P1044),N(P1044)&gt;0),N(P1044),0)</f>
        <v>0.0</v>
      </c>
    </row>
    <row r="1045">
      <c r="A1045" s="79" t="str">
        <f>IF(COUNTA(B1045:C1045,E1045:G1045,I1045)=0,"","BI-"&amp;RIGHT("0000"&amp;(ROW()-5),4))</f>
        <v/>
      </c>
      <c r="B1045" s="72" t="n"/>
      <c r="C1045" s="66" t="n"/>
      <c r="D1045" s="67" t="str">
        <f>IF(C1045="","",IFERROR(INDEX(eq_des,MATCH(C1045,eq_code,0))&amp;"","Équipement inconnu"))</f>
        <v/>
      </c>
      <c r="E1045" s="68" t="n"/>
      <c r="F1045" s="68" t="n"/>
      <c r="G1045" s="66" t="n"/>
      <c r="H1045" s="66" t="n"/>
      <c r="I1045" s="68" t="n"/>
      <c r="J1045" s="73" t="n"/>
      <c r="K1045" s="71" t="n"/>
      <c r="L1045" s="71" t="n"/>
      <c r="M1045" s="66" t="n"/>
      <c r="N1045" s="80" t="n"/>
      <c r="O1045" s="81" t="str">
        <f>IF(A1045="","",ROUND(V1045*IFERROR(N(INDEX(tech_rate,MATCH(M1045,tech_name,0))),0),2))</f>
        <v/>
      </c>
      <c r="P1045" s="80" t="n"/>
      <c r="Q1045" s="81" t="str">
        <f>IF(A1045="","",ROUND(Y1045+O1045+Z1045,2))</f>
        <v/>
      </c>
      <c r="R1045" s="79" t="str">
        <f>IF(A1045="","",IF(S1045=0,"Date manquante ou invalide",IF(C1045="","Équipement manquant",IF(ISNA(MATCH(C1045,eq_code,0)),"Équipement inconnu",IF(E1045="","Type manquant",IF(AND(E1045&lt;&gt;"Préventif",E1045&lt;&gt;"Correctif",E1045&lt;&gt;"Amélioratif"),"Type inconnu",IF(I1045="","Statut manquant",IF(AND(I1045&lt;&gt;"Terminée",I1045&lt;&gt;"En cours",I1045&lt;&gt;"À faire",I1045&lt;&gt;"Annulée"),"Statut inconnu",IF(AND(E1045="Préventif",F1045=""),"Plan manquant (préventif)",IF(AND(F1045&lt;&gt;"",ISNA(MATCH(F1045,pl_num,0))),"Plan inconnu",IF(AND(F1045&lt;&gt;"",IFERROR(INDEX(pl_eq,MATCH(F1045,pl_num,0))&amp;"",C1045)&lt;&gt;C1045),"Plan d'un autre équipement",IF(AND(J1045&lt;&gt;"",OR(NOT(ISNUMBER(J1045)),N(J1045)&lt;0)),"Compteur invalide",IF(OR(AND(K1045&lt;&gt;"",OR(NOT(ISNUMBER(K1045)),N(K1045)&lt;0)),AND(L1045&lt;&gt;"",OR(NOT(ISNUMBER(L1045)),N(L1045)&lt;0))),"Durée invalide",IF(OR(AND(N1045&lt;&gt;"",OR(NOT(ISNUMBER(N1045)),N(N1045)&lt;0)),AND(P1045&lt;&gt;"",OR(NOT(ISNUMBER(P1045)),N(P1045)&lt;0))),"Coût invalide",IF(AND(M1045&lt;&gt;"",ISNA(MATCH(M1045,tech_name,0))),"Technicien inconnu",IF(AND(I1045="Terminée",S1045&gt;p_today),"Terminée à une date future",IF(AND(I1045="Terminée",V1045=0),"Durée d'intervention manquante",IF(AND(I1045="Terminée",E1045="Préventif",T1045=0,OR(IFERROR(INDEX(pl_trig,MATCH(F1045,pl_num,0))&amp;"","")="Compteur",IFERROR(INDEX(pl_trig,MATCH(F1045,pl_num,0))&amp;"","")="Au premier des deux")),"Compteur manquant (plan au compteur)","OK"))))))))))))))))))</f>
        <v/>
      </c>
      <c r="S1045" s="67">
        <f>IF(AND(ISNUMBER(B1045),N(B1045)&gt;0),INT(B1045),0)</f>
        <v>0.0</v>
      </c>
      <c r="T1045" s="67">
        <f>IF(AND(ISNUMBER(J1045),N(J1045)&gt;=0),N(J1045),0)</f>
        <v>0.0</v>
      </c>
      <c r="U1045" s="67">
        <f>IF(AND(ISNUMBER(K1045),N(K1045)&gt;0),N(K1045),0)</f>
        <v>0.0</v>
      </c>
      <c r="V1045" s="67">
        <f>IF(AND(ISNUMBER(L1045),N(L1045)&gt;0),N(L1045),0)</f>
        <v>0.0</v>
      </c>
      <c r="W1045" s="67">
        <f>IF(AND(I1045="Terminée",S1045&gt;0,C1045&lt;&gt;"",ISNUMBER(MATCH(C1045,eq_code,0))),1,0)</f>
        <v>0.0</v>
      </c>
      <c r="X1045" s="67">
        <f>IF(AND(W1045=1,E1045="Préventif"),1,0)</f>
        <v>0.0</v>
      </c>
      <c r="Y1045" s="67">
        <f>IF(AND(ISNUMBER(N1045),N(N1045)&gt;0),N(N1045),0)</f>
        <v>0.0</v>
      </c>
      <c r="Z1045" s="67">
        <f>IF(AND(ISNUMBER(P1045),N(P1045)&gt;0),N(P1045),0)</f>
        <v>0.0</v>
      </c>
    </row>
    <row r="1046">
      <c r="A1046" s="79" t="str">
        <f>IF(COUNTA(B1046:C1046,E1046:G1046,I1046)=0,"","BI-"&amp;RIGHT("0000"&amp;(ROW()-5),4))</f>
        <v/>
      </c>
      <c r="B1046" s="72" t="n"/>
      <c r="C1046" s="66" t="n"/>
      <c r="D1046" s="67" t="str">
        <f>IF(C1046="","",IFERROR(INDEX(eq_des,MATCH(C1046,eq_code,0))&amp;"","Équipement inconnu"))</f>
        <v/>
      </c>
      <c r="E1046" s="68" t="n"/>
      <c r="F1046" s="68" t="n"/>
      <c r="G1046" s="66" t="n"/>
      <c r="H1046" s="66" t="n"/>
      <c r="I1046" s="68" t="n"/>
      <c r="J1046" s="73" t="n"/>
      <c r="K1046" s="71" t="n"/>
      <c r="L1046" s="71" t="n"/>
      <c r="M1046" s="66" t="n"/>
      <c r="N1046" s="80" t="n"/>
      <c r="O1046" s="81" t="str">
        <f>IF(A1046="","",ROUND(V1046*IFERROR(N(INDEX(tech_rate,MATCH(M1046,tech_name,0))),0),2))</f>
        <v/>
      </c>
      <c r="P1046" s="80" t="n"/>
      <c r="Q1046" s="81" t="str">
        <f>IF(A1046="","",ROUND(Y1046+O1046+Z1046,2))</f>
        <v/>
      </c>
      <c r="R1046" s="79" t="str">
        <f>IF(A1046="","",IF(S1046=0,"Date manquante ou invalide",IF(C1046="","Équipement manquant",IF(ISNA(MATCH(C1046,eq_code,0)),"Équipement inconnu",IF(E1046="","Type manquant",IF(AND(E1046&lt;&gt;"Préventif",E1046&lt;&gt;"Correctif",E1046&lt;&gt;"Amélioratif"),"Type inconnu",IF(I1046="","Statut manquant",IF(AND(I1046&lt;&gt;"Terminée",I1046&lt;&gt;"En cours",I1046&lt;&gt;"À faire",I1046&lt;&gt;"Annulée"),"Statut inconnu",IF(AND(E1046="Préventif",F1046=""),"Plan manquant (préventif)",IF(AND(F1046&lt;&gt;"",ISNA(MATCH(F1046,pl_num,0))),"Plan inconnu",IF(AND(F1046&lt;&gt;"",IFERROR(INDEX(pl_eq,MATCH(F1046,pl_num,0))&amp;"",C1046)&lt;&gt;C1046),"Plan d'un autre équipement",IF(AND(J1046&lt;&gt;"",OR(NOT(ISNUMBER(J1046)),N(J1046)&lt;0)),"Compteur invalide",IF(OR(AND(K1046&lt;&gt;"",OR(NOT(ISNUMBER(K1046)),N(K1046)&lt;0)),AND(L1046&lt;&gt;"",OR(NOT(ISNUMBER(L1046)),N(L1046)&lt;0))),"Durée invalide",IF(OR(AND(N1046&lt;&gt;"",OR(NOT(ISNUMBER(N1046)),N(N1046)&lt;0)),AND(P1046&lt;&gt;"",OR(NOT(ISNUMBER(P1046)),N(P1046)&lt;0))),"Coût invalide",IF(AND(M1046&lt;&gt;"",ISNA(MATCH(M1046,tech_name,0))),"Technicien inconnu",IF(AND(I1046="Terminée",S1046&gt;p_today),"Terminée à une date future",IF(AND(I1046="Terminée",V1046=0),"Durée d'intervention manquante",IF(AND(I1046="Terminée",E1046="Préventif",T1046=0,OR(IFERROR(INDEX(pl_trig,MATCH(F1046,pl_num,0))&amp;"","")="Compteur",IFERROR(INDEX(pl_trig,MATCH(F1046,pl_num,0))&amp;"","")="Au premier des deux")),"Compteur manquant (plan au compteur)","OK"))))))))))))))))))</f>
        <v/>
      </c>
      <c r="S1046" s="67">
        <f>IF(AND(ISNUMBER(B1046),N(B1046)&gt;0),INT(B1046),0)</f>
        <v>0.0</v>
      </c>
      <c r="T1046" s="67">
        <f>IF(AND(ISNUMBER(J1046),N(J1046)&gt;=0),N(J1046),0)</f>
        <v>0.0</v>
      </c>
      <c r="U1046" s="67">
        <f>IF(AND(ISNUMBER(K1046),N(K1046)&gt;0),N(K1046),0)</f>
        <v>0.0</v>
      </c>
      <c r="V1046" s="67">
        <f>IF(AND(ISNUMBER(L1046),N(L1046)&gt;0),N(L1046),0)</f>
        <v>0.0</v>
      </c>
      <c r="W1046" s="67">
        <f>IF(AND(I1046="Terminée",S1046&gt;0,C1046&lt;&gt;"",ISNUMBER(MATCH(C1046,eq_code,0))),1,0)</f>
        <v>0.0</v>
      </c>
      <c r="X1046" s="67">
        <f>IF(AND(W1046=1,E1046="Préventif"),1,0)</f>
        <v>0.0</v>
      </c>
      <c r="Y1046" s="67">
        <f>IF(AND(ISNUMBER(N1046),N(N1046)&gt;0),N(N1046),0)</f>
        <v>0.0</v>
      </c>
      <c r="Z1046" s="67">
        <f>IF(AND(ISNUMBER(P1046),N(P1046)&gt;0),N(P1046),0)</f>
        <v>0.0</v>
      </c>
    </row>
    <row r="1047">
      <c r="A1047" s="79" t="str">
        <f>IF(COUNTA(B1047:C1047,E1047:G1047,I1047)=0,"","BI-"&amp;RIGHT("0000"&amp;(ROW()-5),4))</f>
        <v/>
      </c>
      <c r="B1047" s="72" t="n"/>
      <c r="C1047" s="66" t="n"/>
      <c r="D1047" s="67" t="str">
        <f>IF(C1047="","",IFERROR(INDEX(eq_des,MATCH(C1047,eq_code,0))&amp;"","Équipement inconnu"))</f>
        <v/>
      </c>
      <c r="E1047" s="68" t="n"/>
      <c r="F1047" s="68" t="n"/>
      <c r="G1047" s="66" t="n"/>
      <c r="H1047" s="66" t="n"/>
      <c r="I1047" s="68" t="n"/>
      <c r="J1047" s="73" t="n"/>
      <c r="K1047" s="71" t="n"/>
      <c r="L1047" s="71" t="n"/>
      <c r="M1047" s="66" t="n"/>
      <c r="N1047" s="80" t="n"/>
      <c r="O1047" s="81" t="str">
        <f>IF(A1047="","",ROUND(V1047*IFERROR(N(INDEX(tech_rate,MATCH(M1047,tech_name,0))),0),2))</f>
        <v/>
      </c>
      <c r="P1047" s="80" t="n"/>
      <c r="Q1047" s="81" t="str">
        <f>IF(A1047="","",ROUND(Y1047+O1047+Z1047,2))</f>
        <v/>
      </c>
      <c r="R1047" s="79" t="str">
        <f>IF(A1047="","",IF(S1047=0,"Date manquante ou invalide",IF(C1047="","Équipement manquant",IF(ISNA(MATCH(C1047,eq_code,0)),"Équipement inconnu",IF(E1047="","Type manquant",IF(AND(E1047&lt;&gt;"Préventif",E1047&lt;&gt;"Correctif",E1047&lt;&gt;"Amélioratif"),"Type inconnu",IF(I1047="","Statut manquant",IF(AND(I1047&lt;&gt;"Terminée",I1047&lt;&gt;"En cours",I1047&lt;&gt;"À faire",I1047&lt;&gt;"Annulée"),"Statut inconnu",IF(AND(E1047="Préventif",F1047=""),"Plan manquant (préventif)",IF(AND(F1047&lt;&gt;"",ISNA(MATCH(F1047,pl_num,0))),"Plan inconnu",IF(AND(F1047&lt;&gt;"",IFERROR(INDEX(pl_eq,MATCH(F1047,pl_num,0))&amp;"",C1047)&lt;&gt;C1047),"Plan d'un autre équipement",IF(AND(J1047&lt;&gt;"",OR(NOT(ISNUMBER(J1047)),N(J1047)&lt;0)),"Compteur invalide",IF(OR(AND(K1047&lt;&gt;"",OR(NOT(ISNUMBER(K1047)),N(K1047)&lt;0)),AND(L1047&lt;&gt;"",OR(NOT(ISNUMBER(L1047)),N(L1047)&lt;0))),"Durée invalide",IF(OR(AND(N1047&lt;&gt;"",OR(NOT(ISNUMBER(N1047)),N(N1047)&lt;0)),AND(P1047&lt;&gt;"",OR(NOT(ISNUMBER(P1047)),N(P1047)&lt;0))),"Coût invalide",IF(AND(M1047&lt;&gt;"",ISNA(MATCH(M1047,tech_name,0))),"Technicien inconnu",IF(AND(I1047="Terminée",S1047&gt;p_today),"Terminée à une date future",IF(AND(I1047="Terminée",V1047=0),"Durée d'intervention manquante",IF(AND(I1047="Terminée",E1047="Préventif",T1047=0,OR(IFERROR(INDEX(pl_trig,MATCH(F1047,pl_num,0))&amp;"","")="Compteur",IFERROR(INDEX(pl_trig,MATCH(F1047,pl_num,0))&amp;"","")="Au premier des deux")),"Compteur manquant (plan au compteur)","OK"))))))))))))))))))</f>
        <v/>
      </c>
      <c r="S1047" s="67">
        <f>IF(AND(ISNUMBER(B1047),N(B1047)&gt;0),INT(B1047),0)</f>
        <v>0.0</v>
      </c>
      <c r="T1047" s="67">
        <f>IF(AND(ISNUMBER(J1047),N(J1047)&gt;=0),N(J1047),0)</f>
        <v>0.0</v>
      </c>
      <c r="U1047" s="67">
        <f>IF(AND(ISNUMBER(K1047),N(K1047)&gt;0),N(K1047),0)</f>
        <v>0.0</v>
      </c>
      <c r="V1047" s="67">
        <f>IF(AND(ISNUMBER(L1047),N(L1047)&gt;0),N(L1047),0)</f>
        <v>0.0</v>
      </c>
      <c r="W1047" s="67">
        <f>IF(AND(I1047="Terminée",S1047&gt;0,C1047&lt;&gt;"",ISNUMBER(MATCH(C1047,eq_code,0))),1,0)</f>
        <v>0.0</v>
      </c>
      <c r="X1047" s="67">
        <f>IF(AND(W1047=1,E1047="Préventif"),1,0)</f>
        <v>0.0</v>
      </c>
      <c r="Y1047" s="67">
        <f>IF(AND(ISNUMBER(N1047),N(N1047)&gt;0),N(N1047),0)</f>
        <v>0.0</v>
      </c>
      <c r="Z1047" s="67">
        <f>IF(AND(ISNUMBER(P1047),N(P1047)&gt;0),N(P1047),0)</f>
        <v>0.0</v>
      </c>
    </row>
    <row r="1048">
      <c r="A1048" s="79" t="str">
        <f>IF(COUNTA(B1048:C1048,E1048:G1048,I1048)=0,"","BI-"&amp;RIGHT("0000"&amp;(ROW()-5),4))</f>
        <v/>
      </c>
      <c r="B1048" s="72" t="n"/>
      <c r="C1048" s="66" t="n"/>
      <c r="D1048" s="67" t="str">
        <f>IF(C1048="","",IFERROR(INDEX(eq_des,MATCH(C1048,eq_code,0))&amp;"","Équipement inconnu"))</f>
        <v/>
      </c>
      <c r="E1048" s="68" t="n"/>
      <c r="F1048" s="68" t="n"/>
      <c r="G1048" s="66" t="n"/>
      <c r="H1048" s="66" t="n"/>
      <c r="I1048" s="68" t="n"/>
      <c r="J1048" s="73" t="n"/>
      <c r="K1048" s="71" t="n"/>
      <c r="L1048" s="71" t="n"/>
      <c r="M1048" s="66" t="n"/>
      <c r="N1048" s="80" t="n"/>
      <c r="O1048" s="81" t="str">
        <f>IF(A1048="","",ROUND(V1048*IFERROR(N(INDEX(tech_rate,MATCH(M1048,tech_name,0))),0),2))</f>
        <v/>
      </c>
      <c r="P1048" s="80" t="n"/>
      <c r="Q1048" s="81" t="str">
        <f>IF(A1048="","",ROUND(Y1048+O1048+Z1048,2))</f>
        <v/>
      </c>
      <c r="R1048" s="79" t="str">
        <f>IF(A1048="","",IF(S1048=0,"Date manquante ou invalide",IF(C1048="","Équipement manquant",IF(ISNA(MATCH(C1048,eq_code,0)),"Équipement inconnu",IF(E1048="","Type manquant",IF(AND(E1048&lt;&gt;"Préventif",E1048&lt;&gt;"Correctif",E1048&lt;&gt;"Amélioratif"),"Type inconnu",IF(I1048="","Statut manquant",IF(AND(I1048&lt;&gt;"Terminée",I1048&lt;&gt;"En cours",I1048&lt;&gt;"À faire",I1048&lt;&gt;"Annulée"),"Statut inconnu",IF(AND(E1048="Préventif",F1048=""),"Plan manquant (préventif)",IF(AND(F1048&lt;&gt;"",ISNA(MATCH(F1048,pl_num,0))),"Plan inconnu",IF(AND(F1048&lt;&gt;"",IFERROR(INDEX(pl_eq,MATCH(F1048,pl_num,0))&amp;"",C1048)&lt;&gt;C1048),"Plan d'un autre équipement",IF(AND(J1048&lt;&gt;"",OR(NOT(ISNUMBER(J1048)),N(J1048)&lt;0)),"Compteur invalide",IF(OR(AND(K1048&lt;&gt;"",OR(NOT(ISNUMBER(K1048)),N(K1048)&lt;0)),AND(L1048&lt;&gt;"",OR(NOT(ISNUMBER(L1048)),N(L1048)&lt;0))),"Durée invalide",IF(OR(AND(N1048&lt;&gt;"",OR(NOT(ISNUMBER(N1048)),N(N1048)&lt;0)),AND(P1048&lt;&gt;"",OR(NOT(ISNUMBER(P1048)),N(P1048)&lt;0))),"Coût invalide",IF(AND(M1048&lt;&gt;"",ISNA(MATCH(M1048,tech_name,0))),"Technicien inconnu",IF(AND(I1048="Terminée",S1048&gt;p_today),"Terminée à une date future",IF(AND(I1048="Terminée",V1048=0),"Durée d'intervention manquante",IF(AND(I1048="Terminée",E1048="Préventif",T1048=0,OR(IFERROR(INDEX(pl_trig,MATCH(F1048,pl_num,0))&amp;"","")="Compteur",IFERROR(INDEX(pl_trig,MATCH(F1048,pl_num,0))&amp;"","")="Au premier des deux")),"Compteur manquant (plan au compteur)","OK"))))))))))))))))))</f>
        <v/>
      </c>
      <c r="S1048" s="67">
        <f>IF(AND(ISNUMBER(B1048),N(B1048)&gt;0),INT(B1048),0)</f>
        <v>0.0</v>
      </c>
      <c r="T1048" s="67">
        <f>IF(AND(ISNUMBER(J1048),N(J1048)&gt;=0),N(J1048),0)</f>
        <v>0.0</v>
      </c>
      <c r="U1048" s="67">
        <f>IF(AND(ISNUMBER(K1048),N(K1048)&gt;0),N(K1048),0)</f>
        <v>0.0</v>
      </c>
      <c r="V1048" s="67">
        <f>IF(AND(ISNUMBER(L1048),N(L1048)&gt;0),N(L1048),0)</f>
        <v>0.0</v>
      </c>
      <c r="W1048" s="67">
        <f>IF(AND(I1048="Terminée",S1048&gt;0,C1048&lt;&gt;"",ISNUMBER(MATCH(C1048,eq_code,0))),1,0)</f>
        <v>0.0</v>
      </c>
      <c r="X1048" s="67">
        <f>IF(AND(W1048=1,E1048="Préventif"),1,0)</f>
        <v>0.0</v>
      </c>
      <c r="Y1048" s="67">
        <f>IF(AND(ISNUMBER(N1048),N(N1048)&gt;0),N(N1048),0)</f>
        <v>0.0</v>
      </c>
      <c r="Z1048" s="67">
        <f>IF(AND(ISNUMBER(P1048),N(P1048)&gt;0),N(P1048),0)</f>
        <v>0.0</v>
      </c>
    </row>
    <row r="1049">
      <c r="A1049" s="79" t="str">
        <f>IF(COUNTA(B1049:C1049,E1049:G1049,I1049)=0,"","BI-"&amp;RIGHT("0000"&amp;(ROW()-5),4))</f>
        <v/>
      </c>
      <c r="B1049" s="72" t="n"/>
      <c r="C1049" s="66" t="n"/>
      <c r="D1049" s="67" t="str">
        <f>IF(C1049="","",IFERROR(INDEX(eq_des,MATCH(C1049,eq_code,0))&amp;"","Équipement inconnu"))</f>
        <v/>
      </c>
      <c r="E1049" s="68" t="n"/>
      <c r="F1049" s="68" t="n"/>
      <c r="G1049" s="66" t="n"/>
      <c r="H1049" s="66" t="n"/>
      <c r="I1049" s="68" t="n"/>
      <c r="J1049" s="73" t="n"/>
      <c r="K1049" s="71" t="n"/>
      <c r="L1049" s="71" t="n"/>
      <c r="M1049" s="66" t="n"/>
      <c r="N1049" s="80" t="n"/>
      <c r="O1049" s="81" t="str">
        <f>IF(A1049="","",ROUND(V1049*IFERROR(N(INDEX(tech_rate,MATCH(M1049,tech_name,0))),0),2))</f>
        <v/>
      </c>
      <c r="P1049" s="80" t="n"/>
      <c r="Q1049" s="81" t="str">
        <f>IF(A1049="","",ROUND(Y1049+O1049+Z1049,2))</f>
        <v/>
      </c>
      <c r="R1049" s="79" t="str">
        <f>IF(A1049="","",IF(S1049=0,"Date manquante ou invalide",IF(C1049="","Équipement manquant",IF(ISNA(MATCH(C1049,eq_code,0)),"Équipement inconnu",IF(E1049="","Type manquant",IF(AND(E1049&lt;&gt;"Préventif",E1049&lt;&gt;"Correctif",E1049&lt;&gt;"Amélioratif"),"Type inconnu",IF(I1049="","Statut manquant",IF(AND(I1049&lt;&gt;"Terminée",I1049&lt;&gt;"En cours",I1049&lt;&gt;"À faire",I1049&lt;&gt;"Annulée"),"Statut inconnu",IF(AND(E1049="Préventif",F1049=""),"Plan manquant (préventif)",IF(AND(F1049&lt;&gt;"",ISNA(MATCH(F1049,pl_num,0))),"Plan inconnu",IF(AND(F1049&lt;&gt;"",IFERROR(INDEX(pl_eq,MATCH(F1049,pl_num,0))&amp;"",C1049)&lt;&gt;C1049),"Plan d'un autre équipement",IF(AND(J1049&lt;&gt;"",OR(NOT(ISNUMBER(J1049)),N(J1049)&lt;0)),"Compteur invalide",IF(OR(AND(K1049&lt;&gt;"",OR(NOT(ISNUMBER(K1049)),N(K1049)&lt;0)),AND(L1049&lt;&gt;"",OR(NOT(ISNUMBER(L1049)),N(L1049)&lt;0))),"Durée invalide",IF(OR(AND(N1049&lt;&gt;"",OR(NOT(ISNUMBER(N1049)),N(N1049)&lt;0)),AND(P1049&lt;&gt;"",OR(NOT(ISNUMBER(P1049)),N(P1049)&lt;0))),"Coût invalide",IF(AND(M1049&lt;&gt;"",ISNA(MATCH(M1049,tech_name,0))),"Technicien inconnu",IF(AND(I1049="Terminée",S1049&gt;p_today),"Terminée à une date future",IF(AND(I1049="Terminée",V1049=0),"Durée d'intervention manquante",IF(AND(I1049="Terminée",E1049="Préventif",T1049=0,OR(IFERROR(INDEX(pl_trig,MATCH(F1049,pl_num,0))&amp;"","")="Compteur",IFERROR(INDEX(pl_trig,MATCH(F1049,pl_num,0))&amp;"","")="Au premier des deux")),"Compteur manquant (plan au compteur)","OK"))))))))))))))))))</f>
        <v/>
      </c>
      <c r="S1049" s="67">
        <f>IF(AND(ISNUMBER(B1049),N(B1049)&gt;0),INT(B1049),0)</f>
        <v>0.0</v>
      </c>
      <c r="T1049" s="67">
        <f>IF(AND(ISNUMBER(J1049),N(J1049)&gt;=0),N(J1049),0)</f>
        <v>0.0</v>
      </c>
      <c r="U1049" s="67">
        <f>IF(AND(ISNUMBER(K1049),N(K1049)&gt;0),N(K1049),0)</f>
        <v>0.0</v>
      </c>
      <c r="V1049" s="67">
        <f>IF(AND(ISNUMBER(L1049),N(L1049)&gt;0),N(L1049),0)</f>
        <v>0.0</v>
      </c>
      <c r="W1049" s="67">
        <f>IF(AND(I1049="Terminée",S1049&gt;0,C1049&lt;&gt;"",ISNUMBER(MATCH(C1049,eq_code,0))),1,0)</f>
        <v>0.0</v>
      </c>
      <c r="X1049" s="67">
        <f>IF(AND(W1049=1,E1049="Préventif"),1,0)</f>
        <v>0.0</v>
      </c>
      <c r="Y1049" s="67">
        <f>IF(AND(ISNUMBER(N1049),N(N1049)&gt;0),N(N1049),0)</f>
        <v>0.0</v>
      </c>
      <c r="Z1049" s="67">
        <f>IF(AND(ISNUMBER(P1049),N(P1049)&gt;0),N(P1049),0)</f>
        <v>0.0</v>
      </c>
    </row>
    <row r="1050">
      <c r="A1050" s="79" t="str">
        <f>IF(COUNTA(B1050:C1050,E1050:G1050,I1050)=0,"","BI-"&amp;RIGHT("0000"&amp;(ROW()-5),4))</f>
        <v/>
      </c>
      <c r="B1050" s="72" t="n"/>
      <c r="C1050" s="66" t="n"/>
      <c r="D1050" s="67" t="str">
        <f>IF(C1050="","",IFERROR(INDEX(eq_des,MATCH(C1050,eq_code,0))&amp;"","Équipement inconnu"))</f>
        <v/>
      </c>
      <c r="E1050" s="68" t="n"/>
      <c r="F1050" s="68" t="n"/>
      <c r="G1050" s="66" t="n"/>
      <c r="H1050" s="66" t="n"/>
      <c r="I1050" s="68" t="n"/>
      <c r="J1050" s="73" t="n"/>
      <c r="K1050" s="71" t="n"/>
      <c r="L1050" s="71" t="n"/>
      <c r="M1050" s="66" t="n"/>
      <c r="N1050" s="80" t="n"/>
      <c r="O1050" s="81" t="str">
        <f>IF(A1050="","",ROUND(V1050*IFERROR(N(INDEX(tech_rate,MATCH(M1050,tech_name,0))),0),2))</f>
        <v/>
      </c>
      <c r="P1050" s="80" t="n"/>
      <c r="Q1050" s="81" t="str">
        <f>IF(A1050="","",ROUND(Y1050+O1050+Z1050,2))</f>
        <v/>
      </c>
      <c r="R1050" s="79" t="str">
        <f>IF(A1050="","",IF(S1050=0,"Date manquante ou invalide",IF(C1050="","Équipement manquant",IF(ISNA(MATCH(C1050,eq_code,0)),"Équipement inconnu",IF(E1050="","Type manquant",IF(AND(E1050&lt;&gt;"Préventif",E1050&lt;&gt;"Correctif",E1050&lt;&gt;"Amélioratif"),"Type inconnu",IF(I1050="","Statut manquant",IF(AND(I1050&lt;&gt;"Terminée",I1050&lt;&gt;"En cours",I1050&lt;&gt;"À faire",I1050&lt;&gt;"Annulée"),"Statut inconnu",IF(AND(E1050="Préventif",F1050=""),"Plan manquant (préventif)",IF(AND(F1050&lt;&gt;"",ISNA(MATCH(F1050,pl_num,0))),"Plan inconnu",IF(AND(F1050&lt;&gt;"",IFERROR(INDEX(pl_eq,MATCH(F1050,pl_num,0))&amp;"",C1050)&lt;&gt;C1050),"Plan d'un autre équipement",IF(AND(J1050&lt;&gt;"",OR(NOT(ISNUMBER(J1050)),N(J1050)&lt;0)),"Compteur invalide",IF(OR(AND(K1050&lt;&gt;"",OR(NOT(ISNUMBER(K1050)),N(K1050)&lt;0)),AND(L1050&lt;&gt;"",OR(NOT(ISNUMBER(L1050)),N(L1050)&lt;0))),"Durée invalide",IF(OR(AND(N1050&lt;&gt;"",OR(NOT(ISNUMBER(N1050)),N(N1050)&lt;0)),AND(P1050&lt;&gt;"",OR(NOT(ISNUMBER(P1050)),N(P1050)&lt;0))),"Coût invalide",IF(AND(M1050&lt;&gt;"",ISNA(MATCH(M1050,tech_name,0))),"Technicien inconnu",IF(AND(I1050="Terminée",S1050&gt;p_today),"Terminée à une date future",IF(AND(I1050="Terminée",V1050=0),"Durée d'intervention manquante",IF(AND(I1050="Terminée",E1050="Préventif",T1050=0,OR(IFERROR(INDEX(pl_trig,MATCH(F1050,pl_num,0))&amp;"","")="Compteur",IFERROR(INDEX(pl_trig,MATCH(F1050,pl_num,0))&amp;"","")="Au premier des deux")),"Compteur manquant (plan au compteur)","OK"))))))))))))))))))</f>
        <v/>
      </c>
      <c r="S1050" s="67">
        <f>IF(AND(ISNUMBER(B1050),N(B1050)&gt;0),INT(B1050),0)</f>
        <v>0.0</v>
      </c>
      <c r="T1050" s="67">
        <f>IF(AND(ISNUMBER(J1050),N(J1050)&gt;=0),N(J1050),0)</f>
        <v>0.0</v>
      </c>
      <c r="U1050" s="67">
        <f>IF(AND(ISNUMBER(K1050),N(K1050)&gt;0),N(K1050),0)</f>
        <v>0.0</v>
      </c>
      <c r="V1050" s="67">
        <f>IF(AND(ISNUMBER(L1050),N(L1050)&gt;0),N(L1050),0)</f>
        <v>0.0</v>
      </c>
      <c r="W1050" s="67">
        <f>IF(AND(I1050="Terminée",S1050&gt;0,C1050&lt;&gt;"",ISNUMBER(MATCH(C1050,eq_code,0))),1,0)</f>
        <v>0.0</v>
      </c>
      <c r="X1050" s="67">
        <f>IF(AND(W1050=1,E1050="Préventif"),1,0)</f>
        <v>0.0</v>
      </c>
      <c r="Y1050" s="67">
        <f>IF(AND(ISNUMBER(N1050),N(N1050)&gt;0),N(N1050),0)</f>
        <v>0.0</v>
      </c>
      <c r="Z1050" s="67">
        <f>IF(AND(ISNUMBER(P1050),N(P1050)&gt;0),N(P1050),0)</f>
        <v>0.0</v>
      </c>
    </row>
    <row r="1051">
      <c r="A1051" s="79" t="str">
        <f>IF(COUNTA(B1051:C1051,E1051:G1051,I1051)=0,"","BI-"&amp;RIGHT("0000"&amp;(ROW()-5),4))</f>
        <v/>
      </c>
      <c r="B1051" s="72" t="n"/>
      <c r="C1051" s="66" t="n"/>
      <c r="D1051" s="67" t="str">
        <f>IF(C1051="","",IFERROR(INDEX(eq_des,MATCH(C1051,eq_code,0))&amp;"","Équipement inconnu"))</f>
        <v/>
      </c>
      <c r="E1051" s="68" t="n"/>
      <c r="F1051" s="68" t="n"/>
      <c r="G1051" s="66" t="n"/>
      <c r="H1051" s="66" t="n"/>
      <c r="I1051" s="68" t="n"/>
      <c r="J1051" s="73" t="n"/>
      <c r="K1051" s="71" t="n"/>
      <c r="L1051" s="71" t="n"/>
      <c r="M1051" s="66" t="n"/>
      <c r="N1051" s="80" t="n"/>
      <c r="O1051" s="81" t="str">
        <f>IF(A1051="","",ROUND(V1051*IFERROR(N(INDEX(tech_rate,MATCH(M1051,tech_name,0))),0),2))</f>
        <v/>
      </c>
      <c r="P1051" s="80" t="n"/>
      <c r="Q1051" s="81" t="str">
        <f>IF(A1051="","",ROUND(Y1051+O1051+Z1051,2))</f>
        <v/>
      </c>
      <c r="R1051" s="79" t="str">
        <f>IF(A1051="","",IF(S1051=0,"Date manquante ou invalide",IF(C1051="","Équipement manquant",IF(ISNA(MATCH(C1051,eq_code,0)),"Équipement inconnu",IF(E1051="","Type manquant",IF(AND(E1051&lt;&gt;"Préventif",E1051&lt;&gt;"Correctif",E1051&lt;&gt;"Amélioratif"),"Type inconnu",IF(I1051="","Statut manquant",IF(AND(I1051&lt;&gt;"Terminée",I1051&lt;&gt;"En cours",I1051&lt;&gt;"À faire",I1051&lt;&gt;"Annulée"),"Statut inconnu",IF(AND(E1051="Préventif",F1051=""),"Plan manquant (préventif)",IF(AND(F1051&lt;&gt;"",ISNA(MATCH(F1051,pl_num,0))),"Plan inconnu",IF(AND(F1051&lt;&gt;"",IFERROR(INDEX(pl_eq,MATCH(F1051,pl_num,0))&amp;"",C1051)&lt;&gt;C1051),"Plan d'un autre équipement",IF(AND(J1051&lt;&gt;"",OR(NOT(ISNUMBER(J1051)),N(J1051)&lt;0)),"Compteur invalide",IF(OR(AND(K1051&lt;&gt;"",OR(NOT(ISNUMBER(K1051)),N(K1051)&lt;0)),AND(L1051&lt;&gt;"",OR(NOT(ISNUMBER(L1051)),N(L1051)&lt;0))),"Durée invalide",IF(OR(AND(N1051&lt;&gt;"",OR(NOT(ISNUMBER(N1051)),N(N1051)&lt;0)),AND(P1051&lt;&gt;"",OR(NOT(ISNUMBER(P1051)),N(P1051)&lt;0))),"Coût invalide",IF(AND(M1051&lt;&gt;"",ISNA(MATCH(M1051,tech_name,0))),"Technicien inconnu",IF(AND(I1051="Terminée",S1051&gt;p_today),"Terminée à une date future",IF(AND(I1051="Terminée",V1051=0),"Durée d'intervention manquante",IF(AND(I1051="Terminée",E1051="Préventif",T1051=0,OR(IFERROR(INDEX(pl_trig,MATCH(F1051,pl_num,0))&amp;"","")="Compteur",IFERROR(INDEX(pl_trig,MATCH(F1051,pl_num,0))&amp;"","")="Au premier des deux")),"Compteur manquant (plan au compteur)","OK"))))))))))))))))))</f>
        <v/>
      </c>
      <c r="S1051" s="67">
        <f>IF(AND(ISNUMBER(B1051),N(B1051)&gt;0),INT(B1051),0)</f>
        <v>0.0</v>
      </c>
      <c r="T1051" s="67">
        <f>IF(AND(ISNUMBER(J1051),N(J1051)&gt;=0),N(J1051),0)</f>
        <v>0.0</v>
      </c>
      <c r="U1051" s="67">
        <f>IF(AND(ISNUMBER(K1051),N(K1051)&gt;0),N(K1051),0)</f>
        <v>0.0</v>
      </c>
      <c r="V1051" s="67">
        <f>IF(AND(ISNUMBER(L1051),N(L1051)&gt;0),N(L1051),0)</f>
        <v>0.0</v>
      </c>
      <c r="W1051" s="67">
        <f>IF(AND(I1051="Terminée",S1051&gt;0,C1051&lt;&gt;"",ISNUMBER(MATCH(C1051,eq_code,0))),1,0)</f>
        <v>0.0</v>
      </c>
      <c r="X1051" s="67">
        <f>IF(AND(W1051=1,E1051="Préventif"),1,0)</f>
        <v>0.0</v>
      </c>
      <c r="Y1051" s="67">
        <f>IF(AND(ISNUMBER(N1051),N(N1051)&gt;0),N(N1051),0)</f>
        <v>0.0</v>
      </c>
      <c r="Z1051" s="67">
        <f>IF(AND(ISNUMBER(P1051),N(P1051)&gt;0),N(P1051),0)</f>
        <v>0.0</v>
      </c>
    </row>
    <row r="1052">
      <c r="A1052" s="79" t="str">
        <f>IF(COUNTA(B1052:C1052,E1052:G1052,I1052)=0,"","BI-"&amp;RIGHT("0000"&amp;(ROW()-5),4))</f>
        <v/>
      </c>
      <c r="B1052" s="72" t="n"/>
      <c r="C1052" s="66" t="n"/>
      <c r="D1052" s="67" t="str">
        <f>IF(C1052="","",IFERROR(INDEX(eq_des,MATCH(C1052,eq_code,0))&amp;"","Équipement inconnu"))</f>
        <v/>
      </c>
      <c r="E1052" s="68" t="n"/>
      <c r="F1052" s="68" t="n"/>
      <c r="G1052" s="66" t="n"/>
      <c r="H1052" s="66" t="n"/>
      <c r="I1052" s="68" t="n"/>
      <c r="J1052" s="73" t="n"/>
      <c r="K1052" s="71" t="n"/>
      <c r="L1052" s="71" t="n"/>
      <c r="M1052" s="66" t="n"/>
      <c r="N1052" s="80" t="n"/>
      <c r="O1052" s="81" t="str">
        <f>IF(A1052="","",ROUND(V1052*IFERROR(N(INDEX(tech_rate,MATCH(M1052,tech_name,0))),0),2))</f>
        <v/>
      </c>
      <c r="P1052" s="80" t="n"/>
      <c r="Q1052" s="81" t="str">
        <f>IF(A1052="","",ROUND(Y1052+O1052+Z1052,2))</f>
        <v/>
      </c>
      <c r="R1052" s="79" t="str">
        <f>IF(A1052="","",IF(S1052=0,"Date manquante ou invalide",IF(C1052="","Équipement manquant",IF(ISNA(MATCH(C1052,eq_code,0)),"Équipement inconnu",IF(E1052="","Type manquant",IF(AND(E1052&lt;&gt;"Préventif",E1052&lt;&gt;"Correctif",E1052&lt;&gt;"Amélioratif"),"Type inconnu",IF(I1052="","Statut manquant",IF(AND(I1052&lt;&gt;"Terminée",I1052&lt;&gt;"En cours",I1052&lt;&gt;"À faire",I1052&lt;&gt;"Annulée"),"Statut inconnu",IF(AND(E1052="Préventif",F1052=""),"Plan manquant (préventif)",IF(AND(F1052&lt;&gt;"",ISNA(MATCH(F1052,pl_num,0))),"Plan inconnu",IF(AND(F1052&lt;&gt;"",IFERROR(INDEX(pl_eq,MATCH(F1052,pl_num,0))&amp;"",C1052)&lt;&gt;C1052),"Plan d'un autre équipement",IF(AND(J1052&lt;&gt;"",OR(NOT(ISNUMBER(J1052)),N(J1052)&lt;0)),"Compteur invalide",IF(OR(AND(K1052&lt;&gt;"",OR(NOT(ISNUMBER(K1052)),N(K1052)&lt;0)),AND(L1052&lt;&gt;"",OR(NOT(ISNUMBER(L1052)),N(L1052)&lt;0))),"Durée invalide",IF(OR(AND(N1052&lt;&gt;"",OR(NOT(ISNUMBER(N1052)),N(N1052)&lt;0)),AND(P1052&lt;&gt;"",OR(NOT(ISNUMBER(P1052)),N(P1052)&lt;0))),"Coût invalide",IF(AND(M1052&lt;&gt;"",ISNA(MATCH(M1052,tech_name,0))),"Technicien inconnu",IF(AND(I1052="Terminée",S1052&gt;p_today),"Terminée à une date future",IF(AND(I1052="Terminée",V1052=0),"Durée d'intervention manquante",IF(AND(I1052="Terminée",E1052="Préventif",T1052=0,OR(IFERROR(INDEX(pl_trig,MATCH(F1052,pl_num,0))&amp;"","")="Compteur",IFERROR(INDEX(pl_trig,MATCH(F1052,pl_num,0))&amp;"","")="Au premier des deux")),"Compteur manquant (plan au compteur)","OK"))))))))))))))))))</f>
        <v/>
      </c>
      <c r="S1052" s="67">
        <f>IF(AND(ISNUMBER(B1052),N(B1052)&gt;0),INT(B1052),0)</f>
        <v>0.0</v>
      </c>
      <c r="T1052" s="67">
        <f>IF(AND(ISNUMBER(J1052),N(J1052)&gt;=0),N(J1052),0)</f>
        <v>0.0</v>
      </c>
      <c r="U1052" s="67">
        <f>IF(AND(ISNUMBER(K1052),N(K1052)&gt;0),N(K1052),0)</f>
        <v>0.0</v>
      </c>
      <c r="V1052" s="67">
        <f>IF(AND(ISNUMBER(L1052),N(L1052)&gt;0),N(L1052),0)</f>
        <v>0.0</v>
      </c>
      <c r="W1052" s="67">
        <f>IF(AND(I1052="Terminée",S1052&gt;0,C1052&lt;&gt;"",ISNUMBER(MATCH(C1052,eq_code,0))),1,0)</f>
        <v>0.0</v>
      </c>
      <c r="X1052" s="67">
        <f>IF(AND(W1052=1,E1052="Préventif"),1,0)</f>
        <v>0.0</v>
      </c>
      <c r="Y1052" s="67">
        <f>IF(AND(ISNUMBER(N1052),N(N1052)&gt;0),N(N1052),0)</f>
        <v>0.0</v>
      </c>
      <c r="Z1052" s="67">
        <f>IF(AND(ISNUMBER(P1052),N(P1052)&gt;0),N(P1052),0)</f>
        <v>0.0</v>
      </c>
    </row>
    <row r="1053">
      <c r="A1053" s="79" t="str">
        <f>IF(COUNTA(B1053:C1053,E1053:G1053,I1053)=0,"","BI-"&amp;RIGHT("0000"&amp;(ROW()-5),4))</f>
        <v/>
      </c>
      <c r="B1053" s="72" t="n"/>
      <c r="C1053" s="66" t="n"/>
      <c r="D1053" s="67" t="str">
        <f>IF(C1053="","",IFERROR(INDEX(eq_des,MATCH(C1053,eq_code,0))&amp;"","Équipement inconnu"))</f>
        <v/>
      </c>
      <c r="E1053" s="68" t="n"/>
      <c r="F1053" s="68" t="n"/>
      <c r="G1053" s="66" t="n"/>
      <c r="H1053" s="66" t="n"/>
      <c r="I1053" s="68" t="n"/>
      <c r="J1053" s="73" t="n"/>
      <c r="K1053" s="71" t="n"/>
      <c r="L1053" s="71" t="n"/>
      <c r="M1053" s="66" t="n"/>
      <c r="N1053" s="80" t="n"/>
      <c r="O1053" s="81" t="str">
        <f>IF(A1053="","",ROUND(V1053*IFERROR(N(INDEX(tech_rate,MATCH(M1053,tech_name,0))),0),2))</f>
        <v/>
      </c>
      <c r="P1053" s="80" t="n"/>
      <c r="Q1053" s="81" t="str">
        <f>IF(A1053="","",ROUND(Y1053+O1053+Z1053,2))</f>
        <v/>
      </c>
      <c r="R1053" s="79" t="str">
        <f>IF(A1053="","",IF(S1053=0,"Date manquante ou invalide",IF(C1053="","Équipement manquant",IF(ISNA(MATCH(C1053,eq_code,0)),"Équipement inconnu",IF(E1053="","Type manquant",IF(AND(E1053&lt;&gt;"Préventif",E1053&lt;&gt;"Correctif",E1053&lt;&gt;"Amélioratif"),"Type inconnu",IF(I1053="","Statut manquant",IF(AND(I1053&lt;&gt;"Terminée",I1053&lt;&gt;"En cours",I1053&lt;&gt;"À faire",I1053&lt;&gt;"Annulée"),"Statut inconnu",IF(AND(E1053="Préventif",F1053=""),"Plan manquant (préventif)",IF(AND(F1053&lt;&gt;"",ISNA(MATCH(F1053,pl_num,0))),"Plan inconnu",IF(AND(F1053&lt;&gt;"",IFERROR(INDEX(pl_eq,MATCH(F1053,pl_num,0))&amp;"",C1053)&lt;&gt;C1053),"Plan d'un autre équipement",IF(AND(J1053&lt;&gt;"",OR(NOT(ISNUMBER(J1053)),N(J1053)&lt;0)),"Compteur invalide",IF(OR(AND(K1053&lt;&gt;"",OR(NOT(ISNUMBER(K1053)),N(K1053)&lt;0)),AND(L1053&lt;&gt;"",OR(NOT(ISNUMBER(L1053)),N(L1053)&lt;0))),"Durée invalide",IF(OR(AND(N1053&lt;&gt;"",OR(NOT(ISNUMBER(N1053)),N(N1053)&lt;0)),AND(P1053&lt;&gt;"",OR(NOT(ISNUMBER(P1053)),N(P1053)&lt;0))),"Coût invalide",IF(AND(M1053&lt;&gt;"",ISNA(MATCH(M1053,tech_name,0))),"Technicien inconnu",IF(AND(I1053="Terminée",S1053&gt;p_today),"Terminée à une date future",IF(AND(I1053="Terminée",V1053=0),"Durée d'intervention manquante",IF(AND(I1053="Terminée",E1053="Préventif",T1053=0,OR(IFERROR(INDEX(pl_trig,MATCH(F1053,pl_num,0))&amp;"","")="Compteur",IFERROR(INDEX(pl_trig,MATCH(F1053,pl_num,0))&amp;"","")="Au premier des deux")),"Compteur manquant (plan au compteur)","OK"))))))))))))))))))</f>
        <v/>
      </c>
      <c r="S1053" s="67">
        <f>IF(AND(ISNUMBER(B1053),N(B1053)&gt;0),INT(B1053),0)</f>
        <v>0.0</v>
      </c>
      <c r="T1053" s="67">
        <f>IF(AND(ISNUMBER(J1053),N(J1053)&gt;=0),N(J1053),0)</f>
        <v>0.0</v>
      </c>
      <c r="U1053" s="67">
        <f>IF(AND(ISNUMBER(K1053),N(K1053)&gt;0),N(K1053),0)</f>
        <v>0.0</v>
      </c>
      <c r="V1053" s="67">
        <f>IF(AND(ISNUMBER(L1053),N(L1053)&gt;0),N(L1053),0)</f>
        <v>0.0</v>
      </c>
      <c r="W1053" s="67">
        <f>IF(AND(I1053="Terminée",S1053&gt;0,C1053&lt;&gt;"",ISNUMBER(MATCH(C1053,eq_code,0))),1,0)</f>
        <v>0.0</v>
      </c>
      <c r="X1053" s="67">
        <f>IF(AND(W1053=1,E1053="Préventif"),1,0)</f>
        <v>0.0</v>
      </c>
      <c r="Y1053" s="67">
        <f>IF(AND(ISNUMBER(N1053),N(N1053)&gt;0),N(N1053),0)</f>
        <v>0.0</v>
      </c>
      <c r="Z1053" s="67">
        <f>IF(AND(ISNUMBER(P1053),N(P1053)&gt;0),N(P1053),0)</f>
        <v>0.0</v>
      </c>
    </row>
    <row r="1054">
      <c r="A1054" s="79" t="str">
        <f>IF(COUNTA(B1054:C1054,E1054:G1054,I1054)=0,"","BI-"&amp;RIGHT("0000"&amp;(ROW()-5),4))</f>
        <v/>
      </c>
      <c r="B1054" s="72" t="n"/>
      <c r="C1054" s="66" t="n"/>
      <c r="D1054" s="67" t="str">
        <f>IF(C1054="","",IFERROR(INDEX(eq_des,MATCH(C1054,eq_code,0))&amp;"","Équipement inconnu"))</f>
        <v/>
      </c>
      <c r="E1054" s="68" t="n"/>
      <c r="F1054" s="68" t="n"/>
      <c r="G1054" s="66" t="n"/>
      <c r="H1054" s="66" t="n"/>
      <c r="I1054" s="68" t="n"/>
      <c r="J1054" s="73" t="n"/>
      <c r="K1054" s="71" t="n"/>
      <c r="L1054" s="71" t="n"/>
      <c r="M1054" s="66" t="n"/>
      <c r="N1054" s="80" t="n"/>
      <c r="O1054" s="81" t="str">
        <f>IF(A1054="","",ROUND(V1054*IFERROR(N(INDEX(tech_rate,MATCH(M1054,tech_name,0))),0),2))</f>
        <v/>
      </c>
      <c r="P1054" s="80" t="n"/>
      <c r="Q1054" s="81" t="str">
        <f>IF(A1054="","",ROUND(Y1054+O1054+Z1054,2))</f>
        <v/>
      </c>
      <c r="R1054" s="79" t="str">
        <f>IF(A1054="","",IF(S1054=0,"Date manquante ou invalide",IF(C1054="","Équipement manquant",IF(ISNA(MATCH(C1054,eq_code,0)),"Équipement inconnu",IF(E1054="","Type manquant",IF(AND(E1054&lt;&gt;"Préventif",E1054&lt;&gt;"Correctif",E1054&lt;&gt;"Amélioratif"),"Type inconnu",IF(I1054="","Statut manquant",IF(AND(I1054&lt;&gt;"Terminée",I1054&lt;&gt;"En cours",I1054&lt;&gt;"À faire",I1054&lt;&gt;"Annulée"),"Statut inconnu",IF(AND(E1054="Préventif",F1054=""),"Plan manquant (préventif)",IF(AND(F1054&lt;&gt;"",ISNA(MATCH(F1054,pl_num,0))),"Plan inconnu",IF(AND(F1054&lt;&gt;"",IFERROR(INDEX(pl_eq,MATCH(F1054,pl_num,0))&amp;"",C1054)&lt;&gt;C1054),"Plan d'un autre équipement",IF(AND(J1054&lt;&gt;"",OR(NOT(ISNUMBER(J1054)),N(J1054)&lt;0)),"Compteur invalide",IF(OR(AND(K1054&lt;&gt;"",OR(NOT(ISNUMBER(K1054)),N(K1054)&lt;0)),AND(L1054&lt;&gt;"",OR(NOT(ISNUMBER(L1054)),N(L1054)&lt;0))),"Durée invalide",IF(OR(AND(N1054&lt;&gt;"",OR(NOT(ISNUMBER(N1054)),N(N1054)&lt;0)),AND(P1054&lt;&gt;"",OR(NOT(ISNUMBER(P1054)),N(P1054)&lt;0))),"Coût invalide",IF(AND(M1054&lt;&gt;"",ISNA(MATCH(M1054,tech_name,0))),"Technicien inconnu",IF(AND(I1054="Terminée",S1054&gt;p_today),"Terminée à une date future",IF(AND(I1054="Terminée",V1054=0),"Durée d'intervention manquante",IF(AND(I1054="Terminée",E1054="Préventif",T1054=0,OR(IFERROR(INDEX(pl_trig,MATCH(F1054,pl_num,0))&amp;"","")="Compteur",IFERROR(INDEX(pl_trig,MATCH(F1054,pl_num,0))&amp;"","")="Au premier des deux")),"Compteur manquant (plan au compteur)","OK"))))))))))))))))))</f>
        <v/>
      </c>
      <c r="S1054" s="67">
        <f>IF(AND(ISNUMBER(B1054),N(B1054)&gt;0),INT(B1054),0)</f>
        <v>0.0</v>
      </c>
      <c r="T1054" s="67">
        <f>IF(AND(ISNUMBER(J1054),N(J1054)&gt;=0),N(J1054),0)</f>
        <v>0.0</v>
      </c>
      <c r="U1054" s="67">
        <f>IF(AND(ISNUMBER(K1054),N(K1054)&gt;0),N(K1054),0)</f>
        <v>0.0</v>
      </c>
      <c r="V1054" s="67">
        <f>IF(AND(ISNUMBER(L1054),N(L1054)&gt;0),N(L1054),0)</f>
        <v>0.0</v>
      </c>
      <c r="W1054" s="67">
        <f>IF(AND(I1054="Terminée",S1054&gt;0,C1054&lt;&gt;"",ISNUMBER(MATCH(C1054,eq_code,0))),1,0)</f>
        <v>0.0</v>
      </c>
      <c r="X1054" s="67">
        <f>IF(AND(W1054=1,E1054="Préventif"),1,0)</f>
        <v>0.0</v>
      </c>
      <c r="Y1054" s="67">
        <f>IF(AND(ISNUMBER(N1054),N(N1054)&gt;0),N(N1054),0)</f>
        <v>0.0</v>
      </c>
      <c r="Z1054" s="67">
        <f>IF(AND(ISNUMBER(P1054),N(P1054)&gt;0),N(P1054),0)</f>
        <v>0.0</v>
      </c>
    </row>
    <row r="1055">
      <c r="A1055" s="79" t="str">
        <f>IF(COUNTA(B1055:C1055,E1055:G1055,I1055)=0,"","BI-"&amp;RIGHT("0000"&amp;(ROW()-5),4))</f>
        <v/>
      </c>
      <c r="B1055" s="72" t="n"/>
      <c r="C1055" s="66" t="n"/>
      <c r="D1055" s="67" t="str">
        <f>IF(C1055="","",IFERROR(INDEX(eq_des,MATCH(C1055,eq_code,0))&amp;"","Équipement inconnu"))</f>
        <v/>
      </c>
      <c r="E1055" s="68" t="n"/>
      <c r="F1055" s="68" t="n"/>
      <c r="G1055" s="66" t="n"/>
      <c r="H1055" s="66" t="n"/>
      <c r="I1055" s="68" t="n"/>
      <c r="J1055" s="73" t="n"/>
      <c r="K1055" s="71" t="n"/>
      <c r="L1055" s="71" t="n"/>
      <c r="M1055" s="66" t="n"/>
      <c r="N1055" s="80" t="n"/>
      <c r="O1055" s="81" t="str">
        <f>IF(A1055="","",ROUND(V1055*IFERROR(N(INDEX(tech_rate,MATCH(M1055,tech_name,0))),0),2))</f>
        <v/>
      </c>
      <c r="P1055" s="80" t="n"/>
      <c r="Q1055" s="81" t="str">
        <f>IF(A1055="","",ROUND(Y1055+O1055+Z1055,2))</f>
        <v/>
      </c>
      <c r="R1055" s="79" t="str">
        <f>IF(A1055="","",IF(S1055=0,"Date manquante ou invalide",IF(C1055="","Équipement manquant",IF(ISNA(MATCH(C1055,eq_code,0)),"Équipement inconnu",IF(E1055="","Type manquant",IF(AND(E1055&lt;&gt;"Préventif",E1055&lt;&gt;"Correctif",E1055&lt;&gt;"Amélioratif"),"Type inconnu",IF(I1055="","Statut manquant",IF(AND(I1055&lt;&gt;"Terminée",I1055&lt;&gt;"En cours",I1055&lt;&gt;"À faire",I1055&lt;&gt;"Annulée"),"Statut inconnu",IF(AND(E1055="Préventif",F1055=""),"Plan manquant (préventif)",IF(AND(F1055&lt;&gt;"",ISNA(MATCH(F1055,pl_num,0))),"Plan inconnu",IF(AND(F1055&lt;&gt;"",IFERROR(INDEX(pl_eq,MATCH(F1055,pl_num,0))&amp;"",C1055)&lt;&gt;C1055),"Plan d'un autre équipement",IF(AND(J1055&lt;&gt;"",OR(NOT(ISNUMBER(J1055)),N(J1055)&lt;0)),"Compteur invalide",IF(OR(AND(K1055&lt;&gt;"",OR(NOT(ISNUMBER(K1055)),N(K1055)&lt;0)),AND(L1055&lt;&gt;"",OR(NOT(ISNUMBER(L1055)),N(L1055)&lt;0))),"Durée invalide",IF(OR(AND(N1055&lt;&gt;"",OR(NOT(ISNUMBER(N1055)),N(N1055)&lt;0)),AND(P1055&lt;&gt;"",OR(NOT(ISNUMBER(P1055)),N(P1055)&lt;0))),"Coût invalide",IF(AND(M1055&lt;&gt;"",ISNA(MATCH(M1055,tech_name,0))),"Technicien inconnu",IF(AND(I1055="Terminée",S1055&gt;p_today),"Terminée à une date future",IF(AND(I1055="Terminée",V1055=0),"Durée d'intervention manquante",IF(AND(I1055="Terminée",E1055="Préventif",T1055=0,OR(IFERROR(INDEX(pl_trig,MATCH(F1055,pl_num,0))&amp;"","")="Compteur",IFERROR(INDEX(pl_trig,MATCH(F1055,pl_num,0))&amp;"","")="Au premier des deux")),"Compteur manquant (plan au compteur)","OK"))))))))))))))))))</f>
        <v/>
      </c>
      <c r="S1055" s="67">
        <f>IF(AND(ISNUMBER(B1055),N(B1055)&gt;0),INT(B1055),0)</f>
        <v>0.0</v>
      </c>
      <c r="T1055" s="67">
        <f>IF(AND(ISNUMBER(J1055),N(J1055)&gt;=0),N(J1055),0)</f>
        <v>0.0</v>
      </c>
      <c r="U1055" s="67">
        <f>IF(AND(ISNUMBER(K1055),N(K1055)&gt;0),N(K1055),0)</f>
        <v>0.0</v>
      </c>
      <c r="V1055" s="67">
        <f>IF(AND(ISNUMBER(L1055),N(L1055)&gt;0),N(L1055),0)</f>
        <v>0.0</v>
      </c>
      <c r="W1055" s="67">
        <f>IF(AND(I1055="Terminée",S1055&gt;0,C1055&lt;&gt;"",ISNUMBER(MATCH(C1055,eq_code,0))),1,0)</f>
        <v>0.0</v>
      </c>
      <c r="X1055" s="67">
        <f>IF(AND(W1055=1,E1055="Préventif"),1,0)</f>
        <v>0.0</v>
      </c>
      <c r="Y1055" s="67">
        <f>IF(AND(ISNUMBER(N1055),N(N1055)&gt;0),N(N1055),0)</f>
        <v>0.0</v>
      </c>
      <c r="Z1055" s="67">
        <f>IF(AND(ISNUMBER(P1055),N(P1055)&gt;0),N(P1055),0)</f>
        <v>0.0</v>
      </c>
    </row>
    <row r="1056">
      <c r="A1056" s="79" t="str">
        <f>IF(COUNTA(B1056:C1056,E1056:G1056,I1056)=0,"","BI-"&amp;RIGHT("0000"&amp;(ROW()-5),4))</f>
        <v/>
      </c>
      <c r="B1056" s="72" t="n"/>
      <c r="C1056" s="66" t="n"/>
      <c r="D1056" s="67" t="str">
        <f>IF(C1056="","",IFERROR(INDEX(eq_des,MATCH(C1056,eq_code,0))&amp;"","Équipement inconnu"))</f>
        <v/>
      </c>
      <c r="E1056" s="68" t="n"/>
      <c r="F1056" s="68" t="n"/>
      <c r="G1056" s="66" t="n"/>
      <c r="H1056" s="66" t="n"/>
      <c r="I1056" s="68" t="n"/>
      <c r="J1056" s="73" t="n"/>
      <c r="K1056" s="71" t="n"/>
      <c r="L1056" s="71" t="n"/>
      <c r="M1056" s="66" t="n"/>
      <c r="N1056" s="80" t="n"/>
      <c r="O1056" s="81" t="str">
        <f>IF(A1056="","",ROUND(V1056*IFERROR(N(INDEX(tech_rate,MATCH(M1056,tech_name,0))),0),2))</f>
        <v/>
      </c>
      <c r="P1056" s="80" t="n"/>
      <c r="Q1056" s="81" t="str">
        <f>IF(A1056="","",ROUND(Y1056+O1056+Z1056,2))</f>
        <v/>
      </c>
      <c r="R1056" s="79" t="str">
        <f>IF(A1056="","",IF(S1056=0,"Date manquante ou invalide",IF(C1056="","Équipement manquant",IF(ISNA(MATCH(C1056,eq_code,0)),"Équipement inconnu",IF(E1056="","Type manquant",IF(AND(E1056&lt;&gt;"Préventif",E1056&lt;&gt;"Correctif",E1056&lt;&gt;"Amélioratif"),"Type inconnu",IF(I1056="","Statut manquant",IF(AND(I1056&lt;&gt;"Terminée",I1056&lt;&gt;"En cours",I1056&lt;&gt;"À faire",I1056&lt;&gt;"Annulée"),"Statut inconnu",IF(AND(E1056="Préventif",F1056=""),"Plan manquant (préventif)",IF(AND(F1056&lt;&gt;"",ISNA(MATCH(F1056,pl_num,0))),"Plan inconnu",IF(AND(F1056&lt;&gt;"",IFERROR(INDEX(pl_eq,MATCH(F1056,pl_num,0))&amp;"",C1056)&lt;&gt;C1056),"Plan d'un autre équipement",IF(AND(J1056&lt;&gt;"",OR(NOT(ISNUMBER(J1056)),N(J1056)&lt;0)),"Compteur invalide",IF(OR(AND(K1056&lt;&gt;"",OR(NOT(ISNUMBER(K1056)),N(K1056)&lt;0)),AND(L1056&lt;&gt;"",OR(NOT(ISNUMBER(L1056)),N(L1056)&lt;0))),"Durée invalide",IF(OR(AND(N1056&lt;&gt;"",OR(NOT(ISNUMBER(N1056)),N(N1056)&lt;0)),AND(P1056&lt;&gt;"",OR(NOT(ISNUMBER(P1056)),N(P1056)&lt;0))),"Coût invalide",IF(AND(M1056&lt;&gt;"",ISNA(MATCH(M1056,tech_name,0))),"Technicien inconnu",IF(AND(I1056="Terminée",S1056&gt;p_today),"Terminée à une date future",IF(AND(I1056="Terminée",V1056=0),"Durée d'intervention manquante",IF(AND(I1056="Terminée",E1056="Préventif",T1056=0,OR(IFERROR(INDEX(pl_trig,MATCH(F1056,pl_num,0))&amp;"","")="Compteur",IFERROR(INDEX(pl_trig,MATCH(F1056,pl_num,0))&amp;"","")="Au premier des deux")),"Compteur manquant (plan au compteur)","OK"))))))))))))))))))</f>
        <v/>
      </c>
      <c r="S1056" s="67">
        <f>IF(AND(ISNUMBER(B1056),N(B1056)&gt;0),INT(B1056),0)</f>
        <v>0.0</v>
      </c>
      <c r="T1056" s="67">
        <f>IF(AND(ISNUMBER(J1056),N(J1056)&gt;=0),N(J1056),0)</f>
        <v>0.0</v>
      </c>
      <c r="U1056" s="67">
        <f>IF(AND(ISNUMBER(K1056),N(K1056)&gt;0),N(K1056),0)</f>
        <v>0.0</v>
      </c>
      <c r="V1056" s="67">
        <f>IF(AND(ISNUMBER(L1056),N(L1056)&gt;0),N(L1056),0)</f>
        <v>0.0</v>
      </c>
      <c r="W1056" s="67">
        <f>IF(AND(I1056="Terminée",S1056&gt;0,C1056&lt;&gt;"",ISNUMBER(MATCH(C1056,eq_code,0))),1,0)</f>
        <v>0.0</v>
      </c>
      <c r="X1056" s="67">
        <f>IF(AND(W1056=1,E1056="Préventif"),1,0)</f>
        <v>0.0</v>
      </c>
      <c r="Y1056" s="67">
        <f>IF(AND(ISNUMBER(N1056),N(N1056)&gt;0),N(N1056),0)</f>
        <v>0.0</v>
      </c>
      <c r="Z1056" s="67">
        <f>IF(AND(ISNUMBER(P1056),N(P1056)&gt;0),N(P1056),0)</f>
        <v>0.0</v>
      </c>
    </row>
    <row r="1057">
      <c r="A1057" s="79" t="str">
        <f>IF(COUNTA(B1057:C1057,E1057:G1057,I1057)=0,"","BI-"&amp;RIGHT("0000"&amp;(ROW()-5),4))</f>
        <v/>
      </c>
      <c r="B1057" s="72" t="n"/>
      <c r="C1057" s="66" t="n"/>
      <c r="D1057" s="67" t="str">
        <f>IF(C1057="","",IFERROR(INDEX(eq_des,MATCH(C1057,eq_code,0))&amp;"","Équipement inconnu"))</f>
        <v/>
      </c>
      <c r="E1057" s="68" t="n"/>
      <c r="F1057" s="68" t="n"/>
      <c r="G1057" s="66" t="n"/>
      <c r="H1057" s="66" t="n"/>
      <c r="I1057" s="68" t="n"/>
      <c r="J1057" s="73" t="n"/>
      <c r="K1057" s="71" t="n"/>
      <c r="L1057" s="71" t="n"/>
      <c r="M1057" s="66" t="n"/>
      <c r="N1057" s="80" t="n"/>
      <c r="O1057" s="81" t="str">
        <f>IF(A1057="","",ROUND(V1057*IFERROR(N(INDEX(tech_rate,MATCH(M1057,tech_name,0))),0),2))</f>
        <v/>
      </c>
      <c r="P1057" s="80" t="n"/>
      <c r="Q1057" s="81" t="str">
        <f>IF(A1057="","",ROUND(Y1057+O1057+Z1057,2))</f>
        <v/>
      </c>
      <c r="R1057" s="79" t="str">
        <f>IF(A1057="","",IF(S1057=0,"Date manquante ou invalide",IF(C1057="","Équipement manquant",IF(ISNA(MATCH(C1057,eq_code,0)),"Équipement inconnu",IF(E1057="","Type manquant",IF(AND(E1057&lt;&gt;"Préventif",E1057&lt;&gt;"Correctif",E1057&lt;&gt;"Amélioratif"),"Type inconnu",IF(I1057="","Statut manquant",IF(AND(I1057&lt;&gt;"Terminée",I1057&lt;&gt;"En cours",I1057&lt;&gt;"À faire",I1057&lt;&gt;"Annulée"),"Statut inconnu",IF(AND(E1057="Préventif",F1057=""),"Plan manquant (préventif)",IF(AND(F1057&lt;&gt;"",ISNA(MATCH(F1057,pl_num,0))),"Plan inconnu",IF(AND(F1057&lt;&gt;"",IFERROR(INDEX(pl_eq,MATCH(F1057,pl_num,0))&amp;"",C1057)&lt;&gt;C1057),"Plan d'un autre équipement",IF(AND(J1057&lt;&gt;"",OR(NOT(ISNUMBER(J1057)),N(J1057)&lt;0)),"Compteur invalide",IF(OR(AND(K1057&lt;&gt;"",OR(NOT(ISNUMBER(K1057)),N(K1057)&lt;0)),AND(L1057&lt;&gt;"",OR(NOT(ISNUMBER(L1057)),N(L1057)&lt;0))),"Durée invalide",IF(OR(AND(N1057&lt;&gt;"",OR(NOT(ISNUMBER(N1057)),N(N1057)&lt;0)),AND(P1057&lt;&gt;"",OR(NOT(ISNUMBER(P1057)),N(P1057)&lt;0))),"Coût invalide",IF(AND(M1057&lt;&gt;"",ISNA(MATCH(M1057,tech_name,0))),"Technicien inconnu",IF(AND(I1057="Terminée",S1057&gt;p_today),"Terminée à une date future",IF(AND(I1057="Terminée",V1057=0),"Durée d'intervention manquante",IF(AND(I1057="Terminée",E1057="Préventif",T1057=0,OR(IFERROR(INDEX(pl_trig,MATCH(F1057,pl_num,0))&amp;"","")="Compteur",IFERROR(INDEX(pl_trig,MATCH(F1057,pl_num,0))&amp;"","")="Au premier des deux")),"Compteur manquant (plan au compteur)","OK"))))))))))))))))))</f>
        <v/>
      </c>
      <c r="S1057" s="67">
        <f>IF(AND(ISNUMBER(B1057),N(B1057)&gt;0),INT(B1057),0)</f>
        <v>0.0</v>
      </c>
      <c r="T1057" s="67">
        <f>IF(AND(ISNUMBER(J1057),N(J1057)&gt;=0),N(J1057),0)</f>
        <v>0.0</v>
      </c>
      <c r="U1057" s="67">
        <f>IF(AND(ISNUMBER(K1057),N(K1057)&gt;0),N(K1057),0)</f>
        <v>0.0</v>
      </c>
      <c r="V1057" s="67">
        <f>IF(AND(ISNUMBER(L1057),N(L1057)&gt;0),N(L1057),0)</f>
        <v>0.0</v>
      </c>
      <c r="W1057" s="67">
        <f>IF(AND(I1057="Terminée",S1057&gt;0,C1057&lt;&gt;"",ISNUMBER(MATCH(C1057,eq_code,0))),1,0)</f>
        <v>0.0</v>
      </c>
      <c r="X1057" s="67">
        <f>IF(AND(W1057=1,E1057="Préventif"),1,0)</f>
        <v>0.0</v>
      </c>
      <c r="Y1057" s="67">
        <f>IF(AND(ISNUMBER(N1057),N(N1057)&gt;0),N(N1057),0)</f>
        <v>0.0</v>
      </c>
      <c r="Z1057" s="67">
        <f>IF(AND(ISNUMBER(P1057),N(P1057)&gt;0),N(P1057),0)</f>
        <v>0.0</v>
      </c>
    </row>
    <row r="1058">
      <c r="A1058" s="79" t="str">
        <f>IF(COUNTA(B1058:C1058,E1058:G1058,I1058)=0,"","BI-"&amp;RIGHT("0000"&amp;(ROW()-5),4))</f>
        <v/>
      </c>
      <c r="B1058" s="72" t="n"/>
      <c r="C1058" s="66" t="n"/>
      <c r="D1058" s="67" t="str">
        <f>IF(C1058="","",IFERROR(INDEX(eq_des,MATCH(C1058,eq_code,0))&amp;"","Équipement inconnu"))</f>
        <v/>
      </c>
      <c r="E1058" s="68" t="n"/>
      <c r="F1058" s="68" t="n"/>
      <c r="G1058" s="66" t="n"/>
      <c r="H1058" s="66" t="n"/>
      <c r="I1058" s="68" t="n"/>
      <c r="J1058" s="73" t="n"/>
      <c r="K1058" s="71" t="n"/>
      <c r="L1058" s="71" t="n"/>
      <c r="M1058" s="66" t="n"/>
      <c r="N1058" s="80" t="n"/>
      <c r="O1058" s="81" t="str">
        <f>IF(A1058="","",ROUND(V1058*IFERROR(N(INDEX(tech_rate,MATCH(M1058,tech_name,0))),0),2))</f>
        <v/>
      </c>
      <c r="P1058" s="80" t="n"/>
      <c r="Q1058" s="81" t="str">
        <f>IF(A1058="","",ROUND(Y1058+O1058+Z1058,2))</f>
        <v/>
      </c>
      <c r="R1058" s="79" t="str">
        <f>IF(A1058="","",IF(S1058=0,"Date manquante ou invalide",IF(C1058="","Équipement manquant",IF(ISNA(MATCH(C1058,eq_code,0)),"Équipement inconnu",IF(E1058="","Type manquant",IF(AND(E1058&lt;&gt;"Préventif",E1058&lt;&gt;"Correctif",E1058&lt;&gt;"Amélioratif"),"Type inconnu",IF(I1058="","Statut manquant",IF(AND(I1058&lt;&gt;"Terminée",I1058&lt;&gt;"En cours",I1058&lt;&gt;"À faire",I1058&lt;&gt;"Annulée"),"Statut inconnu",IF(AND(E1058="Préventif",F1058=""),"Plan manquant (préventif)",IF(AND(F1058&lt;&gt;"",ISNA(MATCH(F1058,pl_num,0))),"Plan inconnu",IF(AND(F1058&lt;&gt;"",IFERROR(INDEX(pl_eq,MATCH(F1058,pl_num,0))&amp;"",C1058)&lt;&gt;C1058),"Plan d'un autre équipement",IF(AND(J1058&lt;&gt;"",OR(NOT(ISNUMBER(J1058)),N(J1058)&lt;0)),"Compteur invalide",IF(OR(AND(K1058&lt;&gt;"",OR(NOT(ISNUMBER(K1058)),N(K1058)&lt;0)),AND(L1058&lt;&gt;"",OR(NOT(ISNUMBER(L1058)),N(L1058)&lt;0))),"Durée invalide",IF(OR(AND(N1058&lt;&gt;"",OR(NOT(ISNUMBER(N1058)),N(N1058)&lt;0)),AND(P1058&lt;&gt;"",OR(NOT(ISNUMBER(P1058)),N(P1058)&lt;0))),"Coût invalide",IF(AND(M1058&lt;&gt;"",ISNA(MATCH(M1058,tech_name,0))),"Technicien inconnu",IF(AND(I1058="Terminée",S1058&gt;p_today),"Terminée à une date future",IF(AND(I1058="Terminée",V1058=0),"Durée d'intervention manquante",IF(AND(I1058="Terminée",E1058="Préventif",T1058=0,OR(IFERROR(INDEX(pl_trig,MATCH(F1058,pl_num,0))&amp;"","")="Compteur",IFERROR(INDEX(pl_trig,MATCH(F1058,pl_num,0))&amp;"","")="Au premier des deux")),"Compteur manquant (plan au compteur)","OK"))))))))))))))))))</f>
        <v/>
      </c>
      <c r="S1058" s="67">
        <f>IF(AND(ISNUMBER(B1058),N(B1058)&gt;0),INT(B1058),0)</f>
        <v>0.0</v>
      </c>
      <c r="T1058" s="67">
        <f>IF(AND(ISNUMBER(J1058),N(J1058)&gt;=0),N(J1058),0)</f>
        <v>0.0</v>
      </c>
      <c r="U1058" s="67">
        <f>IF(AND(ISNUMBER(K1058),N(K1058)&gt;0),N(K1058),0)</f>
        <v>0.0</v>
      </c>
      <c r="V1058" s="67">
        <f>IF(AND(ISNUMBER(L1058),N(L1058)&gt;0),N(L1058),0)</f>
        <v>0.0</v>
      </c>
      <c r="W1058" s="67">
        <f>IF(AND(I1058="Terminée",S1058&gt;0,C1058&lt;&gt;"",ISNUMBER(MATCH(C1058,eq_code,0))),1,0)</f>
        <v>0.0</v>
      </c>
      <c r="X1058" s="67">
        <f>IF(AND(W1058=1,E1058="Préventif"),1,0)</f>
        <v>0.0</v>
      </c>
      <c r="Y1058" s="67">
        <f>IF(AND(ISNUMBER(N1058),N(N1058)&gt;0),N(N1058),0)</f>
        <v>0.0</v>
      </c>
      <c r="Z1058" s="67">
        <f>IF(AND(ISNUMBER(P1058),N(P1058)&gt;0),N(P1058),0)</f>
        <v>0.0</v>
      </c>
    </row>
    <row r="1059">
      <c r="A1059" s="79" t="str">
        <f>IF(COUNTA(B1059:C1059,E1059:G1059,I1059)=0,"","BI-"&amp;RIGHT("0000"&amp;(ROW()-5),4))</f>
        <v/>
      </c>
      <c r="B1059" s="72" t="n"/>
      <c r="C1059" s="66" t="n"/>
      <c r="D1059" s="67" t="str">
        <f>IF(C1059="","",IFERROR(INDEX(eq_des,MATCH(C1059,eq_code,0))&amp;"","Équipement inconnu"))</f>
        <v/>
      </c>
      <c r="E1059" s="68" t="n"/>
      <c r="F1059" s="68" t="n"/>
      <c r="G1059" s="66" t="n"/>
      <c r="H1059" s="66" t="n"/>
      <c r="I1059" s="68" t="n"/>
      <c r="J1059" s="73" t="n"/>
      <c r="K1059" s="71" t="n"/>
      <c r="L1059" s="71" t="n"/>
      <c r="M1059" s="66" t="n"/>
      <c r="N1059" s="80" t="n"/>
      <c r="O1059" s="81" t="str">
        <f>IF(A1059="","",ROUND(V1059*IFERROR(N(INDEX(tech_rate,MATCH(M1059,tech_name,0))),0),2))</f>
        <v/>
      </c>
      <c r="P1059" s="80" t="n"/>
      <c r="Q1059" s="81" t="str">
        <f>IF(A1059="","",ROUND(Y1059+O1059+Z1059,2))</f>
        <v/>
      </c>
      <c r="R1059" s="79" t="str">
        <f>IF(A1059="","",IF(S1059=0,"Date manquante ou invalide",IF(C1059="","Équipement manquant",IF(ISNA(MATCH(C1059,eq_code,0)),"Équipement inconnu",IF(E1059="","Type manquant",IF(AND(E1059&lt;&gt;"Préventif",E1059&lt;&gt;"Correctif",E1059&lt;&gt;"Amélioratif"),"Type inconnu",IF(I1059="","Statut manquant",IF(AND(I1059&lt;&gt;"Terminée",I1059&lt;&gt;"En cours",I1059&lt;&gt;"À faire",I1059&lt;&gt;"Annulée"),"Statut inconnu",IF(AND(E1059="Préventif",F1059=""),"Plan manquant (préventif)",IF(AND(F1059&lt;&gt;"",ISNA(MATCH(F1059,pl_num,0))),"Plan inconnu",IF(AND(F1059&lt;&gt;"",IFERROR(INDEX(pl_eq,MATCH(F1059,pl_num,0))&amp;"",C1059)&lt;&gt;C1059),"Plan d'un autre équipement",IF(AND(J1059&lt;&gt;"",OR(NOT(ISNUMBER(J1059)),N(J1059)&lt;0)),"Compteur invalide",IF(OR(AND(K1059&lt;&gt;"",OR(NOT(ISNUMBER(K1059)),N(K1059)&lt;0)),AND(L1059&lt;&gt;"",OR(NOT(ISNUMBER(L1059)),N(L1059)&lt;0))),"Durée invalide",IF(OR(AND(N1059&lt;&gt;"",OR(NOT(ISNUMBER(N1059)),N(N1059)&lt;0)),AND(P1059&lt;&gt;"",OR(NOT(ISNUMBER(P1059)),N(P1059)&lt;0))),"Coût invalide",IF(AND(M1059&lt;&gt;"",ISNA(MATCH(M1059,tech_name,0))),"Technicien inconnu",IF(AND(I1059="Terminée",S1059&gt;p_today),"Terminée à une date future",IF(AND(I1059="Terminée",V1059=0),"Durée d'intervention manquante",IF(AND(I1059="Terminée",E1059="Préventif",T1059=0,OR(IFERROR(INDEX(pl_trig,MATCH(F1059,pl_num,0))&amp;"","")="Compteur",IFERROR(INDEX(pl_trig,MATCH(F1059,pl_num,0))&amp;"","")="Au premier des deux")),"Compteur manquant (plan au compteur)","OK"))))))))))))))))))</f>
        <v/>
      </c>
      <c r="S1059" s="67">
        <f>IF(AND(ISNUMBER(B1059),N(B1059)&gt;0),INT(B1059),0)</f>
        <v>0.0</v>
      </c>
      <c r="T1059" s="67">
        <f>IF(AND(ISNUMBER(J1059),N(J1059)&gt;=0),N(J1059),0)</f>
        <v>0.0</v>
      </c>
      <c r="U1059" s="67">
        <f>IF(AND(ISNUMBER(K1059),N(K1059)&gt;0),N(K1059),0)</f>
        <v>0.0</v>
      </c>
      <c r="V1059" s="67">
        <f>IF(AND(ISNUMBER(L1059),N(L1059)&gt;0),N(L1059),0)</f>
        <v>0.0</v>
      </c>
      <c r="W1059" s="67">
        <f>IF(AND(I1059="Terminée",S1059&gt;0,C1059&lt;&gt;"",ISNUMBER(MATCH(C1059,eq_code,0))),1,0)</f>
        <v>0.0</v>
      </c>
      <c r="X1059" s="67">
        <f>IF(AND(W1059=1,E1059="Préventif"),1,0)</f>
        <v>0.0</v>
      </c>
      <c r="Y1059" s="67">
        <f>IF(AND(ISNUMBER(N1059),N(N1059)&gt;0),N(N1059),0)</f>
        <v>0.0</v>
      </c>
      <c r="Z1059" s="67">
        <f>IF(AND(ISNUMBER(P1059),N(P1059)&gt;0),N(P1059),0)</f>
        <v>0.0</v>
      </c>
    </row>
    <row r="1060">
      <c r="A1060" s="79" t="str">
        <f>IF(COUNTA(B1060:C1060,E1060:G1060,I1060)=0,"","BI-"&amp;RIGHT("0000"&amp;(ROW()-5),4))</f>
        <v/>
      </c>
      <c r="B1060" s="72" t="n"/>
      <c r="C1060" s="66" t="n"/>
      <c r="D1060" s="67" t="str">
        <f>IF(C1060="","",IFERROR(INDEX(eq_des,MATCH(C1060,eq_code,0))&amp;"","Équipement inconnu"))</f>
        <v/>
      </c>
      <c r="E1060" s="68" t="n"/>
      <c r="F1060" s="68" t="n"/>
      <c r="G1060" s="66" t="n"/>
      <c r="H1060" s="66" t="n"/>
      <c r="I1060" s="68" t="n"/>
      <c r="J1060" s="73" t="n"/>
      <c r="K1060" s="71" t="n"/>
      <c r="L1060" s="71" t="n"/>
      <c r="M1060" s="66" t="n"/>
      <c r="N1060" s="80" t="n"/>
      <c r="O1060" s="81" t="str">
        <f>IF(A1060="","",ROUND(V1060*IFERROR(N(INDEX(tech_rate,MATCH(M1060,tech_name,0))),0),2))</f>
        <v/>
      </c>
      <c r="P1060" s="80" t="n"/>
      <c r="Q1060" s="81" t="str">
        <f>IF(A1060="","",ROUND(Y1060+O1060+Z1060,2))</f>
        <v/>
      </c>
      <c r="R1060" s="79" t="str">
        <f>IF(A1060="","",IF(S1060=0,"Date manquante ou invalide",IF(C1060="","Équipement manquant",IF(ISNA(MATCH(C1060,eq_code,0)),"Équipement inconnu",IF(E1060="","Type manquant",IF(AND(E1060&lt;&gt;"Préventif",E1060&lt;&gt;"Correctif",E1060&lt;&gt;"Amélioratif"),"Type inconnu",IF(I1060="","Statut manquant",IF(AND(I1060&lt;&gt;"Terminée",I1060&lt;&gt;"En cours",I1060&lt;&gt;"À faire",I1060&lt;&gt;"Annulée"),"Statut inconnu",IF(AND(E1060="Préventif",F1060=""),"Plan manquant (préventif)",IF(AND(F1060&lt;&gt;"",ISNA(MATCH(F1060,pl_num,0))),"Plan inconnu",IF(AND(F1060&lt;&gt;"",IFERROR(INDEX(pl_eq,MATCH(F1060,pl_num,0))&amp;"",C1060)&lt;&gt;C1060),"Plan d'un autre équipement",IF(AND(J1060&lt;&gt;"",OR(NOT(ISNUMBER(J1060)),N(J1060)&lt;0)),"Compteur invalide",IF(OR(AND(K1060&lt;&gt;"",OR(NOT(ISNUMBER(K1060)),N(K1060)&lt;0)),AND(L1060&lt;&gt;"",OR(NOT(ISNUMBER(L1060)),N(L1060)&lt;0))),"Durée invalide",IF(OR(AND(N1060&lt;&gt;"",OR(NOT(ISNUMBER(N1060)),N(N1060)&lt;0)),AND(P1060&lt;&gt;"",OR(NOT(ISNUMBER(P1060)),N(P1060)&lt;0))),"Coût invalide",IF(AND(M1060&lt;&gt;"",ISNA(MATCH(M1060,tech_name,0))),"Technicien inconnu",IF(AND(I1060="Terminée",S1060&gt;p_today),"Terminée à une date future",IF(AND(I1060="Terminée",V1060=0),"Durée d'intervention manquante",IF(AND(I1060="Terminée",E1060="Préventif",T1060=0,OR(IFERROR(INDEX(pl_trig,MATCH(F1060,pl_num,0))&amp;"","")="Compteur",IFERROR(INDEX(pl_trig,MATCH(F1060,pl_num,0))&amp;"","")="Au premier des deux")),"Compteur manquant (plan au compteur)","OK"))))))))))))))))))</f>
        <v/>
      </c>
      <c r="S1060" s="67">
        <f>IF(AND(ISNUMBER(B1060),N(B1060)&gt;0),INT(B1060),0)</f>
        <v>0.0</v>
      </c>
      <c r="T1060" s="67">
        <f>IF(AND(ISNUMBER(J1060),N(J1060)&gt;=0),N(J1060),0)</f>
        <v>0.0</v>
      </c>
      <c r="U1060" s="67">
        <f>IF(AND(ISNUMBER(K1060),N(K1060)&gt;0),N(K1060),0)</f>
        <v>0.0</v>
      </c>
      <c r="V1060" s="67">
        <f>IF(AND(ISNUMBER(L1060),N(L1060)&gt;0),N(L1060),0)</f>
        <v>0.0</v>
      </c>
      <c r="W1060" s="67">
        <f>IF(AND(I1060="Terminée",S1060&gt;0,C1060&lt;&gt;"",ISNUMBER(MATCH(C1060,eq_code,0))),1,0)</f>
        <v>0.0</v>
      </c>
      <c r="X1060" s="67">
        <f>IF(AND(W1060=1,E1060="Préventif"),1,0)</f>
        <v>0.0</v>
      </c>
      <c r="Y1060" s="67">
        <f>IF(AND(ISNUMBER(N1060),N(N1060)&gt;0),N(N1060),0)</f>
        <v>0.0</v>
      </c>
      <c r="Z1060" s="67">
        <f>IF(AND(ISNUMBER(P1060),N(P1060)&gt;0),N(P1060),0)</f>
        <v>0.0</v>
      </c>
    </row>
    <row r="1061">
      <c r="A1061" s="79" t="str">
        <f>IF(COUNTA(B1061:C1061,E1061:G1061,I1061)=0,"","BI-"&amp;RIGHT("0000"&amp;(ROW()-5),4))</f>
        <v/>
      </c>
      <c r="B1061" s="72" t="n"/>
      <c r="C1061" s="66" t="n"/>
      <c r="D1061" s="67" t="str">
        <f>IF(C1061="","",IFERROR(INDEX(eq_des,MATCH(C1061,eq_code,0))&amp;"","Équipement inconnu"))</f>
        <v/>
      </c>
      <c r="E1061" s="68" t="n"/>
      <c r="F1061" s="68" t="n"/>
      <c r="G1061" s="66" t="n"/>
      <c r="H1061" s="66" t="n"/>
      <c r="I1061" s="68" t="n"/>
      <c r="J1061" s="73" t="n"/>
      <c r="K1061" s="71" t="n"/>
      <c r="L1061" s="71" t="n"/>
      <c r="M1061" s="66" t="n"/>
      <c r="N1061" s="80" t="n"/>
      <c r="O1061" s="81" t="str">
        <f>IF(A1061="","",ROUND(V1061*IFERROR(N(INDEX(tech_rate,MATCH(M1061,tech_name,0))),0),2))</f>
        <v/>
      </c>
      <c r="P1061" s="80" t="n"/>
      <c r="Q1061" s="81" t="str">
        <f>IF(A1061="","",ROUND(Y1061+O1061+Z1061,2))</f>
        <v/>
      </c>
      <c r="R1061" s="79" t="str">
        <f>IF(A1061="","",IF(S1061=0,"Date manquante ou invalide",IF(C1061="","Équipement manquant",IF(ISNA(MATCH(C1061,eq_code,0)),"Équipement inconnu",IF(E1061="","Type manquant",IF(AND(E1061&lt;&gt;"Préventif",E1061&lt;&gt;"Correctif",E1061&lt;&gt;"Amélioratif"),"Type inconnu",IF(I1061="","Statut manquant",IF(AND(I1061&lt;&gt;"Terminée",I1061&lt;&gt;"En cours",I1061&lt;&gt;"À faire",I1061&lt;&gt;"Annulée"),"Statut inconnu",IF(AND(E1061="Préventif",F1061=""),"Plan manquant (préventif)",IF(AND(F1061&lt;&gt;"",ISNA(MATCH(F1061,pl_num,0))),"Plan inconnu",IF(AND(F1061&lt;&gt;"",IFERROR(INDEX(pl_eq,MATCH(F1061,pl_num,0))&amp;"",C1061)&lt;&gt;C1061),"Plan d'un autre équipement",IF(AND(J1061&lt;&gt;"",OR(NOT(ISNUMBER(J1061)),N(J1061)&lt;0)),"Compteur invalide",IF(OR(AND(K1061&lt;&gt;"",OR(NOT(ISNUMBER(K1061)),N(K1061)&lt;0)),AND(L1061&lt;&gt;"",OR(NOT(ISNUMBER(L1061)),N(L1061)&lt;0))),"Durée invalide",IF(OR(AND(N1061&lt;&gt;"",OR(NOT(ISNUMBER(N1061)),N(N1061)&lt;0)),AND(P1061&lt;&gt;"",OR(NOT(ISNUMBER(P1061)),N(P1061)&lt;0))),"Coût invalide",IF(AND(M1061&lt;&gt;"",ISNA(MATCH(M1061,tech_name,0))),"Technicien inconnu",IF(AND(I1061="Terminée",S1061&gt;p_today),"Terminée à une date future",IF(AND(I1061="Terminée",V1061=0),"Durée d'intervention manquante",IF(AND(I1061="Terminée",E1061="Préventif",T1061=0,OR(IFERROR(INDEX(pl_trig,MATCH(F1061,pl_num,0))&amp;"","")="Compteur",IFERROR(INDEX(pl_trig,MATCH(F1061,pl_num,0))&amp;"","")="Au premier des deux")),"Compteur manquant (plan au compteur)","OK"))))))))))))))))))</f>
        <v/>
      </c>
      <c r="S1061" s="67">
        <f>IF(AND(ISNUMBER(B1061),N(B1061)&gt;0),INT(B1061),0)</f>
        <v>0.0</v>
      </c>
      <c r="T1061" s="67">
        <f>IF(AND(ISNUMBER(J1061),N(J1061)&gt;=0),N(J1061),0)</f>
        <v>0.0</v>
      </c>
      <c r="U1061" s="67">
        <f>IF(AND(ISNUMBER(K1061),N(K1061)&gt;0),N(K1061),0)</f>
        <v>0.0</v>
      </c>
      <c r="V1061" s="67">
        <f>IF(AND(ISNUMBER(L1061),N(L1061)&gt;0),N(L1061),0)</f>
        <v>0.0</v>
      </c>
      <c r="W1061" s="67">
        <f>IF(AND(I1061="Terminée",S1061&gt;0,C1061&lt;&gt;"",ISNUMBER(MATCH(C1061,eq_code,0))),1,0)</f>
        <v>0.0</v>
      </c>
      <c r="X1061" s="67">
        <f>IF(AND(W1061=1,E1061="Préventif"),1,0)</f>
        <v>0.0</v>
      </c>
      <c r="Y1061" s="67">
        <f>IF(AND(ISNUMBER(N1061),N(N1061)&gt;0),N(N1061),0)</f>
        <v>0.0</v>
      </c>
      <c r="Z1061" s="67">
        <f>IF(AND(ISNUMBER(P1061),N(P1061)&gt;0),N(P1061),0)</f>
        <v>0.0</v>
      </c>
    </row>
    <row r="1062">
      <c r="A1062" s="79" t="str">
        <f>IF(COUNTA(B1062:C1062,E1062:G1062,I1062)=0,"","BI-"&amp;RIGHT("0000"&amp;(ROW()-5),4))</f>
        <v/>
      </c>
      <c r="B1062" s="72" t="n"/>
      <c r="C1062" s="66" t="n"/>
      <c r="D1062" s="67" t="str">
        <f>IF(C1062="","",IFERROR(INDEX(eq_des,MATCH(C1062,eq_code,0))&amp;"","Équipement inconnu"))</f>
        <v/>
      </c>
      <c r="E1062" s="68" t="n"/>
      <c r="F1062" s="68" t="n"/>
      <c r="G1062" s="66" t="n"/>
      <c r="H1062" s="66" t="n"/>
      <c r="I1062" s="68" t="n"/>
      <c r="J1062" s="73" t="n"/>
      <c r="K1062" s="71" t="n"/>
      <c r="L1062" s="71" t="n"/>
      <c r="M1062" s="66" t="n"/>
      <c r="N1062" s="80" t="n"/>
      <c r="O1062" s="81" t="str">
        <f>IF(A1062="","",ROUND(V1062*IFERROR(N(INDEX(tech_rate,MATCH(M1062,tech_name,0))),0),2))</f>
        <v/>
      </c>
      <c r="P1062" s="80" t="n"/>
      <c r="Q1062" s="81" t="str">
        <f>IF(A1062="","",ROUND(Y1062+O1062+Z1062,2))</f>
        <v/>
      </c>
      <c r="R1062" s="79" t="str">
        <f>IF(A1062="","",IF(S1062=0,"Date manquante ou invalide",IF(C1062="","Équipement manquant",IF(ISNA(MATCH(C1062,eq_code,0)),"Équipement inconnu",IF(E1062="","Type manquant",IF(AND(E1062&lt;&gt;"Préventif",E1062&lt;&gt;"Correctif",E1062&lt;&gt;"Amélioratif"),"Type inconnu",IF(I1062="","Statut manquant",IF(AND(I1062&lt;&gt;"Terminée",I1062&lt;&gt;"En cours",I1062&lt;&gt;"À faire",I1062&lt;&gt;"Annulée"),"Statut inconnu",IF(AND(E1062="Préventif",F1062=""),"Plan manquant (préventif)",IF(AND(F1062&lt;&gt;"",ISNA(MATCH(F1062,pl_num,0))),"Plan inconnu",IF(AND(F1062&lt;&gt;"",IFERROR(INDEX(pl_eq,MATCH(F1062,pl_num,0))&amp;"",C1062)&lt;&gt;C1062),"Plan d'un autre équipement",IF(AND(J1062&lt;&gt;"",OR(NOT(ISNUMBER(J1062)),N(J1062)&lt;0)),"Compteur invalide",IF(OR(AND(K1062&lt;&gt;"",OR(NOT(ISNUMBER(K1062)),N(K1062)&lt;0)),AND(L1062&lt;&gt;"",OR(NOT(ISNUMBER(L1062)),N(L1062)&lt;0))),"Durée invalide",IF(OR(AND(N1062&lt;&gt;"",OR(NOT(ISNUMBER(N1062)),N(N1062)&lt;0)),AND(P1062&lt;&gt;"",OR(NOT(ISNUMBER(P1062)),N(P1062)&lt;0))),"Coût invalide",IF(AND(M1062&lt;&gt;"",ISNA(MATCH(M1062,tech_name,0))),"Technicien inconnu",IF(AND(I1062="Terminée",S1062&gt;p_today),"Terminée à une date future",IF(AND(I1062="Terminée",V1062=0),"Durée d'intervention manquante",IF(AND(I1062="Terminée",E1062="Préventif",T1062=0,OR(IFERROR(INDEX(pl_trig,MATCH(F1062,pl_num,0))&amp;"","")="Compteur",IFERROR(INDEX(pl_trig,MATCH(F1062,pl_num,0))&amp;"","")="Au premier des deux")),"Compteur manquant (plan au compteur)","OK"))))))))))))))))))</f>
        <v/>
      </c>
      <c r="S1062" s="67">
        <f>IF(AND(ISNUMBER(B1062),N(B1062)&gt;0),INT(B1062),0)</f>
        <v>0.0</v>
      </c>
      <c r="T1062" s="67">
        <f>IF(AND(ISNUMBER(J1062),N(J1062)&gt;=0),N(J1062),0)</f>
        <v>0.0</v>
      </c>
      <c r="U1062" s="67">
        <f>IF(AND(ISNUMBER(K1062),N(K1062)&gt;0),N(K1062),0)</f>
        <v>0.0</v>
      </c>
      <c r="V1062" s="67">
        <f>IF(AND(ISNUMBER(L1062),N(L1062)&gt;0),N(L1062),0)</f>
        <v>0.0</v>
      </c>
      <c r="W1062" s="67">
        <f>IF(AND(I1062="Terminée",S1062&gt;0,C1062&lt;&gt;"",ISNUMBER(MATCH(C1062,eq_code,0))),1,0)</f>
        <v>0.0</v>
      </c>
      <c r="X1062" s="67">
        <f>IF(AND(W1062=1,E1062="Préventif"),1,0)</f>
        <v>0.0</v>
      </c>
      <c r="Y1062" s="67">
        <f>IF(AND(ISNUMBER(N1062),N(N1062)&gt;0),N(N1062),0)</f>
        <v>0.0</v>
      </c>
      <c r="Z1062" s="67">
        <f>IF(AND(ISNUMBER(P1062),N(P1062)&gt;0),N(P1062),0)</f>
        <v>0.0</v>
      </c>
    </row>
    <row r="1063">
      <c r="A1063" s="79" t="str">
        <f>IF(COUNTA(B1063:C1063,E1063:G1063,I1063)=0,"","BI-"&amp;RIGHT("0000"&amp;(ROW()-5),4))</f>
        <v/>
      </c>
      <c r="B1063" s="72" t="n"/>
      <c r="C1063" s="66" t="n"/>
      <c r="D1063" s="67" t="str">
        <f>IF(C1063="","",IFERROR(INDEX(eq_des,MATCH(C1063,eq_code,0))&amp;"","Équipement inconnu"))</f>
        <v/>
      </c>
      <c r="E1063" s="68" t="n"/>
      <c r="F1063" s="68" t="n"/>
      <c r="G1063" s="66" t="n"/>
      <c r="H1063" s="66" t="n"/>
      <c r="I1063" s="68" t="n"/>
      <c r="J1063" s="73" t="n"/>
      <c r="K1063" s="71" t="n"/>
      <c r="L1063" s="71" t="n"/>
      <c r="M1063" s="66" t="n"/>
      <c r="N1063" s="80" t="n"/>
      <c r="O1063" s="81" t="str">
        <f>IF(A1063="","",ROUND(V1063*IFERROR(N(INDEX(tech_rate,MATCH(M1063,tech_name,0))),0),2))</f>
        <v/>
      </c>
      <c r="P1063" s="80" t="n"/>
      <c r="Q1063" s="81" t="str">
        <f>IF(A1063="","",ROUND(Y1063+O1063+Z1063,2))</f>
        <v/>
      </c>
      <c r="R1063" s="79" t="str">
        <f>IF(A1063="","",IF(S1063=0,"Date manquante ou invalide",IF(C1063="","Équipement manquant",IF(ISNA(MATCH(C1063,eq_code,0)),"Équipement inconnu",IF(E1063="","Type manquant",IF(AND(E1063&lt;&gt;"Préventif",E1063&lt;&gt;"Correctif",E1063&lt;&gt;"Amélioratif"),"Type inconnu",IF(I1063="","Statut manquant",IF(AND(I1063&lt;&gt;"Terminée",I1063&lt;&gt;"En cours",I1063&lt;&gt;"À faire",I1063&lt;&gt;"Annulée"),"Statut inconnu",IF(AND(E1063="Préventif",F1063=""),"Plan manquant (préventif)",IF(AND(F1063&lt;&gt;"",ISNA(MATCH(F1063,pl_num,0))),"Plan inconnu",IF(AND(F1063&lt;&gt;"",IFERROR(INDEX(pl_eq,MATCH(F1063,pl_num,0))&amp;"",C1063)&lt;&gt;C1063),"Plan d'un autre équipement",IF(AND(J1063&lt;&gt;"",OR(NOT(ISNUMBER(J1063)),N(J1063)&lt;0)),"Compteur invalide",IF(OR(AND(K1063&lt;&gt;"",OR(NOT(ISNUMBER(K1063)),N(K1063)&lt;0)),AND(L1063&lt;&gt;"",OR(NOT(ISNUMBER(L1063)),N(L1063)&lt;0))),"Durée invalide",IF(OR(AND(N1063&lt;&gt;"",OR(NOT(ISNUMBER(N1063)),N(N1063)&lt;0)),AND(P1063&lt;&gt;"",OR(NOT(ISNUMBER(P1063)),N(P1063)&lt;0))),"Coût invalide",IF(AND(M1063&lt;&gt;"",ISNA(MATCH(M1063,tech_name,0))),"Technicien inconnu",IF(AND(I1063="Terminée",S1063&gt;p_today),"Terminée à une date future",IF(AND(I1063="Terminée",V1063=0),"Durée d'intervention manquante",IF(AND(I1063="Terminée",E1063="Préventif",T1063=0,OR(IFERROR(INDEX(pl_trig,MATCH(F1063,pl_num,0))&amp;"","")="Compteur",IFERROR(INDEX(pl_trig,MATCH(F1063,pl_num,0))&amp;"","")="Au premier des deux")),"Compteur manquant (plan au compteur)","OK"))))))))))))))))))</f>
        <v/>
      </c>
      <c r="S1063" s="67">
        <f>IF(AND(ISNUMBER(B1063),N(B1063)&gt;0),INT(B1063),0)</f>
        <v>0.0</v>
      </c>
      <c r="T1063" s="67">
        <f>IF(AND(ISNUMBER(J1063),N(J1063)&gt;=0),N(J1063),0)</f>
        <v>0.0</v>
      </c>
      <c r="U1063" s="67">
        <f>IF(AND(ISNUMBER(K1063),N(K1063)&gt;0),N(K1063),0)</f>
        <v>0.0</v>
      </c>
      <c r="V1063" s="67">
        <f>IF(AND(ISNUMBER(L1063),N(L1063)&gt;0),N(L1063),0)</f>
        <v>0.0</v>
      </c>
      <c r="W1063" s="67">
        <f>IF(AND(I1063="Terminée",S1063&gt;0,C1063&lt;&gt;"",ISNUMBER(MATCH(C1063,eq_code,0))),1,0)</f>
        <v>0.0</v>
      </c>
      <c r="X1063" s="67">
        <f>IF(AND(W1063=1,E1063="Préventif"),1,0)</f>
        <v>0.0</v>
      </c>
      <c r="Y1063" s="67">
        <f>IF(AND(ISNUMBER(N1063),N(N1063)&gt;0),N(N1063),0)</f>
        <v>0.0</v>
      </c>
      <c r="Z1063" s="67">
        <f>IF(AND(ISNUMBER(P1063),N(P1063)&gt;0),N(P1063),0)</f>
        <v>0.0</v>
      </c>
    </row>
    <row r="1064">
      <c r="A1064" s="79" t="str">
        <f>IF(COUNTA(B1064:C1064,E1064:G1064,I1064)=0,"","BI-"&amp;RIGHT("0000"&amp;(ROW()-5),4))</f>
        <v/>
      </c>
      <c r="B1064" s="72" t="n"/>
      <c r="C1064" s="66" t="n"/>
      <c r="D1064" s="67" t="str">
        <f>IF(C1064="","",IFERROR(INDEX(eq_des,MATCH(C1064,eq_code,0))&amp;"","Équipement inconnu"))</f>
        <v/>
      </c>
      <c r="E1064" s="68" t="n"/>
      <c r="F1064" s="68" t="n"/>
      <c r="G1064" s="66" t="n"/>
      <c r="H1064" s="66" t="n"/>
      <c r="I1064" s="68" t="n"/>
      <c r="J1064" s="73" t="n"/>
      <c r="K1064" s="71" t="n"/>
      <c r="L1064" s="71" t="n"/>
      <c r="M1064" s="66" t="n"/>
      <c r="N1064" s="80" t="n"/>
      <c r="O1064" s="81" t="str">
        <f>IF(A1064="","",ROUND(V1064*IFERROR(N(INDEX(tech_rate,MATCH(M1064,tech_name,0))),0),2))</f>
        <v/>
      </c>
      <c r="P1064" s="80" t="n"/>
      <c r="Q1064" s="81" t="str">
        <f>IF(A1064="","",ROUND(Y1064+O1064+Z1064,2))</f>
        <v/>
      </c>
      <c r="R1064" s="79" t="str">
        <f>IF(A1064="","",IF(S1064=0,"Date manquante ou invalide",IF(C1064="","Équipement manquant",IF(ISNA(MATCH(C1064,eq_code,0)),"Équipement inconnu",IF(E1064="","Type manquant",IF(AND(E1064&lt;&gt;"Préventif",E1064&lt;&gt;"Correctif",E1064&lt;&gt;"Amélioratif"),"Type inconnu",IF(I1064="","Statut manquant",IF(AND(I1064&lt;&gt;"Terminée",I1064&lt;&gt;"En cours",I1064&lt;&gt;"À faire",I1064&lt;&gt;"Annulée"),"Statut inconnu",IF(AND(E1064="Préventif",F1064=""),"Plan manquant (préventif)",IF(AND(F1064&lt;&gt;"",ISNA(MATCH(F1064,pl_num,0))),"Plan inconnu",IF(AND(F1064&lt;&gt;"",IFERROR(INDEX(pl_eq,MATCH(F1064,pl_num,0))&amp;"",C1064)&lt;&gt;C1064),"Plan d'un autre équipement",IF(AND(J1064&lt;&gt;"",OR(NOT(ISNUMBER(J1064)),N(J1064)&lt;0)),"Compteur invalide",IF(OR(AND(K1064&lt;&gt;"",OR(NOT(ISNUMBER(K1064)),N(K1064)&lt;0)),AND(L1064&lt;&gt;"",OR(NOT(ISNUMBER(L1064)),N(L1064)&lt;0))),"Durée invalide",IF(OR(AND(N1064&lt;&gt;"",OR(NOT(ISNUMBER(N1064)),N(N1064)&lt;0)),AND(P1064&lt;&gt;"",OR(NOT(ISNUMBER(P1064)),N(P1064)&lt;0))),"Coût invalide",IF(AND(M1064&lt;&gt;"",ISNA(MATCH(M1064,tech_name,0))),"Technicien inconnu",IF(AND(I1064="Terminée",S1064&gt;p_today),"Terminée à une date future",IF(AND(I1064="Terminée",V1064=0),"Durée d'intervention manquante",IF(AND(I1064="Terminée",E1064="Préventif",T1064=0,OR(IFERROR(INDEX(pl_trig,MATCH(F1064,pl_num,0))&amp;"","")="Compteur",IFERROR(INDEX(pl_trig,MATCH(F1064,pl_num,0))&amp;"","")="Au premier des deux")),"Compteur manquant (plan au compteur)","OK"))))))))))))))))))</f>
        <v/>
      </c>
      <c r="S1064" s="67">
        <f>IF(AND(ISNUMBER(B1064),N(B1064)&gt;0),INT(B1064),0)</f>
        <v>0.0</v>
      </c>
      <c r="T1064" s="67">
        <f>IF(AND(ISNUMBER(J1064),N(J1064)&gt;=0),N(J1064),0)</f>
        <v>0.0</v>
      </c>
      <c r="U1064" s="67">
        <f>IF(AND(ISNUMBER(K1064),N(K1064)&gt;0),N(K1064),0)</f>
        <v>0.0</v>
      </c>
      <c r="V1064" s="67">
        <f>IF(AND(ISNUMBER(L1064),N(L1064)&gt;0),N(L1064),0)</f>
        <v>0.0</v>
      </c>
      <c r="W1064" s="67">
        <f>IF(AND(I1064="Terminée",S1064&gt;0,C1064&lt;&gt;"",ISNUMBER(MATCH(C1064,eq_code,0))),1,0)</f>
        <v>0.0</v>
      </c>
      <c r="X1064" s="67">
        <f>IF(AND(W1064=1,E1064="Préventif"),1,0)</f>
        <v>0.0</v>
      </c>
      <c r="Y1064" s="67">
        <f>IF(AND(ISNUMBER(N1064),N(N1064)&gt;0),N(N1064),0)</f>
        <v>0.0</v>
      </c>
      <c r="Z1064" s="67">
        <f>IF(AND(ISNUMBER(P1064),N(P1064)&gt;0),N(P1064),0)</f>
        <v>0.0</v>
      </c>
    </row>
    <row r="1065">
      <c r="A1065" s="79" t="str">
        <f>IF(COUNTA(B1065:C1065,E1065:G1065,I1065)=0,"","BI-"&amp;RIGHT("0000"&amp;(ROW()-5),4))</f>
        <v/>
      </c>
      <c r="B1065" s="72" t="n"/>
      <c r="C1065" s="66" t="n"/>
      <c r="D1065" s="67" t="str">
        <f>IF(C1065="","",IFERROR(INDEX(eq_des,MATCH(C1065,eq_code,0))&amp;"","Équipement inconnu"))</f>
        <v/>
      </c>
      <c r="E1065" s="68" t="n"/>
      <c r="F1065" s="68" t="n"/>
      <c r="G1065" s="66" t="n"/>
      <c r="H1065" s="66" t="n"/>
      <c r="I1065" s="68" t="n"/>
      <c r="J1065" s="73" t="n"/>
      <c r="K1065" s="71" t="n"/>
      <c r="L1065" s="71" t="n"/>
      <c r="M1065" s="66" t="n"/>
      <c r="N1065" s="80" t="n"/>
      <c r="O1065" s="81" t="str">
        <f>IF(A1065="","",ROUND(V1065*IFERROR(N(INDEX(tech_rate,MATCH(M1065,tech_name,0))),0),2))</f>
        <v/>
      </c>
      <c r="P1065" s="80" t="n"/>
      <c r="Q1065" s="81" t="str">
        <f>IF(A1065="","",ROUND(Y1065+O1065+Z1065,2))</f>
        <v/>
      </c>
      <c r="R1065" s="79" t="str">
        <f>IF(A1065="","",IF(S1065=0,"Date manquante ou invalide",IF(C1065="","Équipement manquant",IF(ISNA(MATCH(C1065,eq_code,0)),"Équipement inconnu",IF(E1065="","Type manquant",IF(AND(E1065&lt;&gt;"Préventif",E1065&lt;&gt;"Correctif",E1065&lt;&gt;"Amélioratif"),"Type inconnu",IF(I1065="","Statut manquant",IF(AND(I1065&lt;&gt;"Terminée",I1065&lt;&gt;"En cours",I1065&lt;&gt;"À faire",I1065&lt;&gt;"Annulée"),"Statut inconnu",IF(AND(E1065="Préventif",F1065=""),"Plan manquant (préventif)",IF(AND(F1065&lt;&gt;"",ISNA(MATCH(F1065,pl_num,0))),"Plan inconnu",IF(AND(F1065&lt;&gt;"",IFERROR(INDEX(pl_eq,MATCH(F1065,pl_num,0))&amp;"",C1065)&lt;&gt;C1065),"Plan d'un autre équipement",IF(AND(J1065&lt;&gt;"",OR(NOT(ISNUMBER(J1065)),N(J1065)&lt;0)),"Compteur invalide",IF(OR(AND(K1065&lt;&gt;"",OR(NOT(ISNUMBER(K1065)),N(K1065)&lt;0)),AND(L1065&lt;&gt;"",OR(NOT(ISNUMBER(L1065)),N(L1065)&lt;0))),"Durée invalide",IF(OR(AND(N1065&lt;&gt;"",OR(NOT(ISNUMBER(N1065)),N(N1065)&lt;0)),AND(P1065&lt;&gt;"",OR(NOT(ISNUMBER(P1065)),N(P1065)&lt;0))),"Coût invalide",IF(AND(M1065&lt;&gt;"",ISNA(MATCH(M1065,tech_name,0))),"Technicien inconnu",IF(AND(I1065="Terminée",S1065&gt;p_today),"Terminée à une date future",IF(AND(I1065="Terminée",V1065=0),"Durée d'intervention manquante",IF(AND(I1065="Terminée",E1065="Préventif",T1065=0,OR(IFERROR(INDEX(pl_trig,MATCH(F1065,pl_num,0))&amp;"","")="Compteur",IFERROR(INDEX(pl_trig,MATCH(F1065,pl_num,0))&amp;"","")="Au premier des deux")),"Compteur manquant (plan au compteur)","OK"))))))))))))))))))</f>
        <v/>
      </c>
      <c r="S1065" s="67">
        <f>IF(AND(ISNUMBER(B1065),N(B1065)&gt;0),INT(B1065),0)</f>
        <v>0.0</v>
      </c>
      <c r="T1065" s="67">
        <f>IF(AND(ISNUMBER(J1065),N(J1065)&gt;=0),N(J1065),0)</f>
        <v>0.0</v>
      </c>
      <c r="U1065" s="67">
        <f>IF(AND(ISNUMBER(K1065),N(K1065)&gt;0),N(K1065),0)</f>
        <v>0.0</v>
      </c>
      <c r="V1065" s="67">
        <f>IF(AND(ISNUMBER(L1065),N(L1065)&gt;0),N(L1065),0)</f>
        <v>0.0</v>
      </c>
      <c r="W1065" s="67">
        <f>IF(AND(I1065="Terminée",S1065&gt;0,C1065&lt;&gt;"",ISNUMBER(MATCH(C1065,eq_code,0))),1,0)</f>
        <v>0.0</v>
      </c>
      <c r="X1065" s="67">
        <f>IF(AND(W1065=1,E1065="Préventif"),1,0)</f>
        <v>0.0</v>
      </c>
      <c r="Y1065" s="67">
        <f>IF(AND(ISNUMBER(N1065),N(N1065)&gt;0),N(N1065),0)</f>
        <v>0.0</v>
      </c>
      <c r="Z1065" s="67">
        <f>IF(AND(ISNUMBER(P1065),N(P1065)&gt;0),N(P1065),0)</f>
        <v>0.0</v>
      </c>
    </row>
    <row r="1066">
      <c r="A1066" s="79" t="str">
        <f>IF(COUNTA(B1066:C1066,E1066:G1066,I1066)=0,"","BI-"&amp;RIGHT("0000"&amp;(ROW()-5),4))</f>
        <v/>
      </c>
      <c r="B1066" s="72" t="n"/>
      <c r="C1066" s="66" t="n"/>
      <c r="D1066" s="67" t="str">
        <f>IF(C1066="","",IFERROR(INDEX(eq_des,MATCH(C1066,eq_code,0))&amp;"","Équipement inconnu"))</f>
        <v/>
      </c>
      <c r="E1066" s="68" t="n"/>
      <c r="F1066" s="68" t="n"/>
      <c r="G1066" s="66" t="n"/>
      <c r="H1066" s="66" t="n"/>
      <c r="I1066" s="68" t="n"/>
      <c r="J1066" s="73" t="n"/>
      <c r="K1066" s="71" t="n"/>
      <c r="L1066" s="71" t="n"/>
      <c r="M1066" s="66" t="n"/>
      <c r="N1066" s="80" t="n"/>
      <c r="O1066" s="81" t="str">
        <f>IF(A1066="","",ROUND(V1066*IFERROR(N(INDEX(tech_rate,MATCH(M1066,tech_name,0))),0),2))</f>
        <v/>
      </c>
      <c r="P1066" s="80" t="n"/>
      <c r="Q1066" s="81" t="str">
        <f>IF(A1066="","",ROUND(Y1066+O1066+Z1066,2))</f>
        <v/>
      </c>
      <c r="R1066" s="79" t="str">
        <f>IF(A1066="","",IF(S1066=0,"Date manquante ou invalide",IF(C1066="","Équipement manquant",IF(ISNA(MATCH(C1066,eq_code,0)),"Équipement inconnu",IF(E1066="","Type manquant",IF(AND(E1066&lt;&gt;"Préventif",E1066&lt;&gt;"Correctif",E1066&lt;&gt;"Amélioratif"),"Type inconnu",IF(I1066="","Statut manquant",IF(AND(I1066&lt;&gt;"Terminée",I1066&lt;&gt;"En cours",I1066&lt;&gt;"À faire",I1066&lt;&gt;"Annulée"),"Statut inconnu",IF(AND(E1066="Préventif",F1066=""),"Plan manquant (préventif)",IF(AND(F1066&lt;&gt;"",ISNA(MATCH(F1066,pl_num,0))),"Plan inconnu",IF(AND(F1066&lt;&gt;"",IFERROR(INDEX(pl_eq,MATCH(F1066,pl_num,0))&amp;"",C1066)&lt;&gt;C1066),"Plan d'un autre équipement",IF(AND(J1066&lt;&gt;"",OR(NOT(ISNUMBER(J1066)),N(J1066)&lt;0)),"Compteur invalide",IF(OR(AND(K1066&lt;&gt;"",OR(NOT(ISNUMBER(K1066)),N(K1066)&lt;0)),AND(L1066&lt;&gt;"",OR(NOT(ISNUMBER(L1066)),N(L1066)&lt;0))),"Durée invalide",IF(OR(AND(N1066&lt;&gt;"",OR(NOT(ISNUMBER(N1066)),N(N1066)&lt;0)),AND(P1066&lt;&gt;"",OR(NOT(ISNUMBER(P1066)),N(P1066)&lt;0))),"Coût invalide",IF(AND(M1066&lt;&gt;"",ISNA(MATCH(M1066,tech_name,0))),"Technicien inconnu",IF(AND(I1066="Terminée",S1066&gt;p_today),"Terminée à une date future",IF(AND(I1066="Terminée",V1066=0),"Durée d'intervention manquante",IF(AND(I1066="Terminée",E1066="Préventif",T1066=0,OR(IFERROR(INDEX(pl_trig,MATCH(F1066,pl_num,0))&amp;"","")="Compteur",IFERROR(INDEX(pl_trig,MATCH(F1066,pl_num,0))&amp;"","")="Au premier des deux")),"Compteur manquant (plan au compteur)","OK"))))))))))))))))))</f>
        <v/>
      </c>
      <c r="S1066" s="67">
        <f>IF(AND(ISNUMBER(B1066),N(B1066)&gt;0),INT(B1066),0)</f>
        <v>0.0</v>
      </c>
      <c r="T1066" s="67">
        <f>IF(AND(ISNUMBER(J1066),N(J1066)&gt;=0),N(J1066),0)</f>
        <v>0.0</v>
      </c>
      <c r="U1066" s="67">
        <f>IF(AND(ISNUMBER(K1066),N(K1066)&gt;0),N(K1066),0)</f>
        <v>0.0</v>
      </c>
      <c r="V1066" s="67">
        <f>IF(AND(ISNUMBER(L1066),N(L1066)&gt;0),N(L1066),0)</f>
        <v>0.0</v>
      </c>
      <c r="W1066" s="67">
        <f>IF(AND(I1066="Terminée",S1066&gt;0,C1066&lt;&gt;"",ISNUMBER(MATCH(C1066,eq_code,0))),1,0)</f>
        <v>0.0</v>
      </c>
      <c r="X1066" s="67">
        <f>IF(AND(W1066=1,E1066="Préventif"),1,0)</f>
        <v>0.0</v>
      </c>
      <c r="Y1066" s="67">
        <f>IF(AND(ISNUMBER(N1066),N(N1066)&gt;0),N(N1066),0)</f>
        <v>0.0</v>
      </c>
      <c r="Z1066" s="67">
        <f>IF(AND(ISNUMBER(P1066),N(P1066)&gt;0),N(P1066),0)</f>
        <v>0.0</v>
      </c>
    </row>
    <row r="1067">
      <c r="A1067" s="79" t="str">
        <f>IF(COUNTA(B1067:C1067,E1067:G1067,I1067)=0,"","BI-"&amp;RIGHT("0000"&amp;(ROW()-5),4))</f>
        <v/>
      </c>
      <c r="B1067" s="72" t="n"/>
      <c r="C1067" s="66" t="n"/>
      <c r="D1067" s="67" t="str">
        <f>IF(C1067="","",IFERROR(INDEX(eq_des,MATCH(C1067,eq_code,0))&amp;"","Équipement inconnu"))</f>
        <v/>
      </c>
      <c r="E1067" s="68" t="n"/>
      <c r="F1067" s="68" t="n"/>
      <c r="G1067" s="66" t="n"/>
      <c r="H1067" s="66" t="n"/>
      <c r="I1067" s="68" t="n"/>
      <c r="J1067" s="73" t="n"/>
      <c r="K1067" s="71" t="n"/>
      <c r="L1067" s="71" t="n"/>
      <c r="M1067" s="66" t="n"/>
      <c r="N1067" s="80" t="n"/>
      <c r="O1067" s="81" t="str">
        <f>IF(A1067="","",ROUND(V1067*IFERROR(N(INDEX(tech_rate,MATCH(M1067,tech_name,0))),0),2))</f>
        <v/>
      </c>
      <c r="P1067" s="80" t="n"/>
      <c r="Q1067" s="81" t="str">
        <f>IF(A1067="","",ROUND(Y1067+O1067+Z1067,2))</f>
        <v/>
      </c>
      <c r="R1067" s="79" t="str">
        <f>IF(A1067="","",IF(S1067=0,"Date manquante ou invalide",IF(C1067="","Équipement manquant",IF(ISNA(MATCH(C1067,eq_code,0)),"Équipement inconnu",IF(E1067="","Type manquant",IF(AND(E1067&lt;&gt;"Préventif",E1067&lt;&gt;"Correctif",E1067&lt;&gt;"Amélioratif"),"Type inconnu",IF(I1067="","Statut manquant",IF(AND(I1067&lt;&gt;"Terminée",I1067&lt;&gt;"En cours",I1067&lt;&gt;"À faire",I1067&lt;&gt;"Annulée"),"Statut inconnu",IF(AND(E1067="Préventif",F1067=""),"Plan manquant (préventif)",IF(AND(F1067&lt;&gt;"",ISNA(MATCH(F1067,pl_num,0))),"Plan inconnu",IF(AND(F1067&lt;&gt;"",IFERROR(INDEX(pl_eq,MATCH(F1067,pl_num,0))&amp;"",C1067)&lt;&gt;C1067),"Plan d'un autre équipement",IF(AND(J1067&lt;&gt;"",OR(NOT(ISNUMBER(J1067)),N(J1067)&lt;0)),"Compteur invalide",IF(OR(AND(K1067&lt;&gt;"",OR(NOT(ISNUMBER(K1067)),N(K1067)&lt;0)),AND(L1067&lt;&gt;"",OR(NOT(ISNUMBER(L1067)),N(L1067)&lt;0))),"Durée invalide",IF(OR(AND(N1067&lt;&gt;"",OR(NOT(ISNUMBER(N1067)),N(N1067)&lt;0)),AND(P1067&lt;&gt;"",OR(NOT(ISNUMBER(P1067)),N(P1067)&lt;0))),"Coût invalide",IF(AND(M1067&lt;&gt;"",ISNA(MATCH(M1067,tech_name,0))),"Technicien inconnu",IF(AND(I1067="Terminée",S1067&gt;p_today),"Terminée à une date future",IF(AND(I1067="Terminée",V1067=0),"Durée d'intervention manquante",IF(AND(I1067="Terminée",E1067="Préventif",T1067=0,OR(IFERROR(INDEX(pl_trig,MATCH(F1067,pl_num,0))&amp;"","")="Compteur",IFERROR(INDEX(pl_trig,MATCH(F1067,pl_num,0))&amp;"","")="Au premier des deux")),"Compteur manquant (plan au compteur)","OK"))))))))))))))))))</f>
        <v/>
      </c>
      <c r="S1067" s="67">
        <f>IF(AND(ISNUMBER(B1067),N(B1067)&gt;0),INT(B1067),0)</f>
        <v>0.0</v>
      </c>
      <c r="T1067" s="67">
        <f>IF(AND(ISNUMBER(J1067),N(J1067)&gt;=0),N(J1067),0)</f>
        <v>0.0</v>
      </c>
      <c r="U1067" s="67">
        <f>IF(AND(ISNUMBER(K1067),N(K1067)&gt;0),N(K1067),0)</f>
        <v>0.0</v>
      </c>
      <c r="V1067" s="67">
        <f>IF(AND(ISNUMBER(L1067),N(L1067)&gt;0),N(L1067),0)</f>
        <v>0.0</v>
      </c>
      <c r="W1067" s="67">
        <f>IF(AND(I1067="Terminée",S1067&gt;0,C1067&lt;&gt;"",ISNUMBER(MATCH(C1067,eq_code,0))),1,0)</f>
        <v>0.0</v>
      </c>
      <c r="X1067" s="67">
        <f>IF(AND(W1067=1,E1067="Préventif"),1,0)</f>
        <v>0.0</v>
      </c>
      <c r="Y1067" s="67">
        <f>IF(AND(ISNUMBER(N1067),N(N1067)&gt;0),N(N1067),0)</f>
        <v>0.0</v>
      </c>
      <c r="Z1067" s="67">
        <f>IF(AND(ISNUMBER(P1067),N(P1067)&gt;0),N(P1067),0)</f>
        <v>0.0</v>
      </c>
    </row>
    <row r="1068">
      <c r="A1068" s="79" t="str">
        <f>IF(COUNTA(B1068:C1068,E1068:G1068,I1068)=0,"","BI-"&amp;RIGHT("0000"&amp;(ROW()-5),4))</f>
        <v/>
      </c>
      <c r="B1068" s="72" t="n"/>
      <c r="C1068" s="66" t="n"/>
      <c r="D1068" s="67" t="str">
        <f>IF(C1068="","",IFERROR(INDEX(eq_des,MATCH(C1068,eq_code,0))&amp;"","Équipement inconnu"))</f>
        <v/>
      </c>
      <c r="E1068" s="68" t="n"/>
      <c r="F1068" s="68" t="n"/>
      <c r="G1068" s="66" t="n"/>
      <c r="H1068" s="66" t="n"/>
      <c r="I1068" s="68" t="n"/>
      <c r="J1068" s="73" t="n"/>
      <c r="K1068" s="71" t="n"/>
      <c r="L1068" s="71" t="n"/>
      <c r="M1068" s="66" t="n"/>
      <c r="N1068" s="80" t="n"/>
      <c r="O1068" s="81" t="str">
        <f>IF(A1068="","",ROUND(V1068*IFERROR(N(INDEX(tech_rate,MATCH(M1068,tech_name,0))),0),2))</f>
        <v/>
      </c>
      <c r="P1068" s="80" t="n"/>
      <c r="Q1068" s="81" t="str">
        <f>IF(A1068="","",ROUND(Y1068+O1068+Z1068,2))</f>
        <v/>
      </c>
      <c r="R1068" s="79" t="str">
        <f>IF(A1068="","",IF(S1068=0,"Date manquante ou invalide",IF(C1068="","Équipement manquant",IF(ISNA(MATCH(C1068,eq_code,0)),"Équipement inconnu",IF(E1068="","Type manquant",IF(AND(E1068&lt;&gt;"Préventif",E1068&lt;&gt;"Correctif",E1068&lt;&gt;"Amélioratif"),"Type inconnu",IF(I1068="","Statut manquant",IF(AND(I1068&lt;&gt;"Terminée",I1068&lt;&gt;"En cours",I1068&lt;&gt;"À faire",I1068&lt;&gt;"Annulée"),"Statut inconnu",IF(AND(E1068="Préventif",F1068=""),"Plan manquant (préventif)",IF(AND(F1068&lt;&gt;"",ISNA(MATCH(F1068,pl_num,0))),"Plan inconnu",IF(AND(F1068&lt;&gt;"",IFERROR(INDEX(pl_eq,MATCH(F1068,pl_num,0))&amp;"",C1068)&lt;&gt;C1068),"Plan d'un autre équipement",IF(AND(J1068&lt;&gt;"",OR(NOT(ISNUMBER(J1068)),N(J1068)&lt;0)),"Compteur invalide",IF(OR(AND(K1068&lt;&gt;"",OR(NOT(ISNUMBER(K1068)),N(K1068)&lt;0)),AND(L1068&lt;&gt;"",OR(NOT(ISNUMBER(L1068)),N(L1068)&lt;0))),"Durée invalide",IF(OR(AND(N1068&lt;&gt;"",OR(NOT(ISNUMBER(N1068)),N(N1068)&lt;0)),AND(P1068&lt;&gt;"",OR(NOT(ISNUMBER(P1068)),N(P1068)&lt;0))),"Coût invalide",IF(AND(M1068&lt;&gt;"",ISNA(MATCH(M1068,tech_name,0))),"Technicien inconnu",IF(AND(I1068="Terminée",S1068&gt;p_today),"Terminée à une date future",IF(AND(I1068="Terminée",V1068=0),"Durée d'intervention manquante",IF(AND(I1068="Terminée",E1068="Préventif",T1068=0,OR(IFERROR(INDEX(pl_trig,MATCH(F1068,pl_num,0))&amp;"","")="Compteur",IFERROR(INDEX(pl_trig,MATCH(F1068,pl_num,0))&amp;"","")="Au premier des deux")),"Compteur manquant (plan au compteur)","OK"))))))))))))))))))</f>
        <v/>
      </c>
      <c r="S1068" s="67">
        <f>IF(AND(ISNUMBER(B1068),N(B1068)&gt;0),INT(B1068),0)</f>
        <v>0.0</v>
      </c>
      <c r="T1068" s="67">
        <f>IF(AND(ISNUMBER(J1068),N(J1068)&gt;=0),N(J1068),0)</f>
        <v>0.0</v>
      </c>
      <c r="U1068" s="67">
        <f>IF(AND(ISNUMBER(K1068),N(K1068)&gt;0),N(K1068),0)</f>
        <v>0.0</v>
      </c>
      <c r="V1068" s="67">
        <f>IF(AND(ISNUMBER(L1068),N(L1068)&gt;0),N(L1068),0)</f>
        <v>0.0</v>
      </c>
      <c r="W1068" s="67">
        <f>IF(AND(I1068="Terminée",S1068&gt;0,C1068&lt;&gt;"",ISNUMBER(MATCH(C1068,eq_code,0))),1,0)</f>
        <v>0.0</v>
      </c>
      <c r="X1068" s="67">
        <f>IF(AND(W1068=1,E1068="Préventif"),1,0)</f>
        <v>0.0</v>
      </c>
      <c r="Y1068" s="67">
        <f>IF(AND(ISNUMBER(N1068),N(N1068)&gt;0),N(N1068),0)</f>
        <v>0.0</v>
      </c>
      <c r="Z1068" s="67">
        <f>IF(AND(ISNUMBER(P1068),N(P1068)&gt;0),N(P1068),0)</f>
        <v>0.0</v>
      </c>
    </row>
    <row r="1069">
      <c r="A1069" s="79" t="str">
        <f>IF(COUNTA(B1069:C1069,E1069:G1069,I1069)=0,"","BI-"&amp;RIGHT("0000"&amp;(ROW()-5),4))</f>
        <v/>
      </c>
      <c r="B1069" s="72" t="n"/>
      <c r="C1069" s="66" t="n"/>
      <c r="D1069" s="67" t="str">
        <f>IF(C1069="","",IFERROR(INDEX(eq_des,MATCH(C1069,eq_code,0))&amp;"","Équipement inconnu"))</f>
        <v/>
      </c>
      <c r="E1069" s="68" t="n"/>
      <c r="F1069" s="68" t="n"/>
      <c r="G1069" s="66" t="n"/>
      <c r="H1069" s="66" t="n"/>
      <c r="I1069" s="68" t="n"/>
      <c r="J1069" s="73" t="n"/>
      <c r="K1069" s="71" t="n"/>
      <c r="L1069" s="71" t="n"/>
      <c r="M1069" s="66" t="n"/>
      <c r="N1069" s="80" t="n"/>
      <c r="O1069" s="81" t="str">
        <f>IF(A1069="","",ROUND(V1069*IFERROR(N(INDEX(tech_rate,MATCH(M1069,tech_name,0))),0),2))</f>
        <v/>
      </c>
      <c r="P1069" s="80" t="n"/>
      <c r="Q1069" s="81" t="str">
        <f>IF(A1069="","",ROUND(Y1069+O1069+Z1069,2))</f>
        <v/>
      </c>
      <c r="R1069" s="79" t="str">
        <f>IF(A1069="","",IF(S1069=0,"Date manquante ou invalide",IF(C1069="","Équipement manquant",IF(ISNA(MATCH(C1069,eq_code,0)),"Équipement inconnu",IF(E1069="","Type manquant",IF(AND(E1069&lt;&gt;"Préventif",E1069&lt;&gt;"Correctif",E1069&lt;&gt;"Amélioratif"),"Type inconnu",IF(I1069="","Statut manquant",IF(AND(I1069&lt;&gt;"Terminée",I1069&lt;&gt;"En cours",I1069&lt;&gt;"À faire",I1069&lt;&gt;"Annulée"),"Statut inconnu",IF(AND(E1069="Préventif",F1069=""),"Plan manquant (préventif)",IF(AND(F1069&lt;&gt;"",ISNA(MATCH(F1069,pl_num,0))),"Plan inconnu",IF(AND(F1069&lt;&gt;"",IFERROR(INDEX(pl_eq,MATCH(F1069,pl_num,0))&amp;"",C1069)&lt;&gt;C1069),"Plan d'un autre équipement",IF(AND(J1069&lt;&gt;"",OR(NOT(ISNUMBER(J1069)),N(J1069)&lt;0)),"Compteur invalide",IF(OR(AND(K1069&lt;&gt;"",OR(NOT(ISNUMBER(K1069)),N(K1069)&lt;0)),AND(L1069&lt;&gt;"",OR(NOT(ISNUMBER(L1069)),N(L1069)&lt;0))),"Durée invalide",IF(OR(AND(N1069&lt;&gt;"",OR(NOT(ISNUMBER(N1069)),N(N1069)&lt;0)),AND(P1069&lt;&gt;"",OR(NOT(ISNUMBER(P1069)),N(P1069)&lt;0))),"Coût invalide",IF(AND(M1069&lt;&gt;"",ISNA(MATCH(M1069,tech_name,0))),"Technicien inconnu",IF(AND(I1069="Terminée",S1069&gt;p_today),"Terminée à une date future",IF(AND(I1069="Terminée",V1069=0),"Durée d'intervention manquante",IF(AND(I1069="Terminée",E1069="Préventif",T1069=0,OR(IFERROR(INDEX(pl_trig,MATCH(F1069,pl_num,0))&amp;"","")="Compteur",IFERROR(INDEX(pl_trig,MATCH(F1069,pl_num,0))&amp;"","")="Au premier des deux")),"Compteur manquant (plan au compteur)","OK"))))))))))))))))))</f>
        <v/>
      </c>
      <c r="S1069" s="67">
        <f>IF(AND(ISNUMBER(B1069),N(B1069)&gt;0),INT(B1069),0)</f>
        <v>0.0</v>
      </c>
      <c r="T1069" s="67">
        <f>IF(AND(ISNUMBER(J1069),N(J1069)&gt;=0),N(J1069),0)</f>
        <v>0.0</v>
      </c>
      <c r="U1069" s="67">
        <f>IF(AND(ISNUMBER(K1069),N(K1069)&gt;0),N(K1069),0)</f>
        <v>0.0</v>
      </c>
      <c r="V1069" s="67">
        <f>IF(AND(ISNUMBER(L1069),N(L1069)&gt;0),N(L1069),0)</f>
        <v>0.0</v>
      </c>
      <c r="W1069" s="67">
        <f>IF(AND(I1069="Terminée",S1069&gt;0,C1069&lt;&gt;"",ISNUMBER(MATCH(C1069,eq_code,0))),1,0)</f>
        <v>0.0</v>
      </c>
      <c r="X1069" s="67">
        <f>IF(AND(W1069=1,E1069="Préventif"),1,0)</f>
        <v>0.0</v>
      </c>
      <c r="Y1069" s="67">
        <f>IF(AND(ISNUMBER(N1069),N(N1069)&gt;0),N(N1069),0)</f>
        <v>0.0</v>
      </c>
      <c r="Z1069" s="67">
        <f>IF(AND(ISNUMBER(P1069),N(P1069)&gt;0),N(P1069),0)</f>
        <v>0.0</v>
      </c>
    </row>
    <row r="1070">
      <c r="A1070" s="79" t="str">
        <f>IF(COUNTA(B1070:C1070,E1070:G1070,I1070)=0,"","BI-"&amp;RIGHT("0000"&amp;(ROW()-5),4))</f>
        <v/>
      </c>
      <c r="B1070" s="72" t="n"/>
      <c r="C1070" s="66" t="n"/>
      <c r="D1070" s="67" t="str">
        <f>IF(C1070="","",IFERROR(INDEX(eq_des,MATCH(C1070,eq_code,0))&amp;"","Équipement inconnu"))</f>
        <v/>
      </c>
      <c r="E1070" s="68" t="n"/>
      <c r="F1070" s="68" t="n"/>
      <c r="G1070" s="66" t="n"/>
      <c r="H1070" s="66" t="n"/>
      <c r="I1070" s="68" t="n"/>
      <c r="J1070" s="73" t="n"/>
      <c r="K1070" s="71" t="n"/>
      <c r="L1070" s="71" t="n"/>
      <c r="M1070" s="66" t="n"/>
      <c r="N1070" s="80" t="n"/>
      <c r="O1070" s="81" t="str">
        <f>IF(A1070="","",ROUND(V1070*IFERROR(N(INDEX(tech_rate,MATCH(M1070,tech_name,0))),0),2))</f>
        <v/>
      </c>
      <c r="P1070" s="80" t="n"/>
      <c r="Q1070" s="81" t="str">
        <f>IF(A1070="","",ROUND(Y1070+O1070+Z1070,2))</f>
        <v/>
      </c>
      <c r="R1070" s="79" t="str">
        <f>IF(A1070="","",IF(S1070=0,"Date manquante ou invalide",IF(C1070="","Équipement manquant",IF(ISNA(MATCH(C1070,eq_code,0)),"Équipement inconnu",IF(E1070="","Type manquant",IF(AND(E1070&lt;&gt;"Préventif",E1070&lt;&gt;"Correctif",E1070&lt;&gt;"Amélioratif"),"Type inconnu",IF(I1070="","Statut manquant",IF(AND(I1070&lt;&gt;"Terminée",I1070&lt;&gt;"En cours",I1070&lt;&gt;"À faire",I1070&lt;&gt;"Annulée"),"Statut inconnu",IF(AND(E1070="Préventif",F1070=""),"Plan manquant (préventif)",IF(AND(F1070&lt;&gt;"",ISNA(MATCH(F1070,pl_num,0))),"Plan inconnu",IF(AND(F1070&lt;&gt;"",IFERROR(INDEX(pl_eq,MATCH(F1070,pl_num,0))&amp;"",C1070)&lt;&gt;C1070),"Plan d'un autre équipement",IF(AND(J1070&lt;&gt;"",OR(NOT(ISNUMBER(J1070)),N(J1070)&lt;0)),"Compteur invalide",IF(OR(AND(K1070&lt;&gt;"",OR(NOT(ISNUMBER(K1070)),N(K1070)&lt;0)),AND(L1070&lt;&gt;"",OR(NOT(ISNUMBER(L1070)),N(L1070)&lt;0))),"Durée invalide",IF(OR(AND(N1070&lt;&gt;"",OR(NOT(ISNUMBER(N1070)),N(N1070)&lt;0)),AND(P1070&lt;&gt;"",OR(NOT(ISNUMBER(P1070)),N(P1070)&lt;0))),"Coût invalide",IF(AND(M1070&lt;&gt;"",ISNA(MATCH(M1070,tech_name,0))),"Technicien inconnu",IF(AND(I1070="Terminée",S1070&gt;p_today),"Terminée à une date future",IF(AND(I1070="Terminée",V1070=0),"Durée d'intervention manquante",IF(AND(I1070="Terminée",E1070="Préventif",T1070=0,OR(IFERROR(INDEX(pl_trig,MATCH(F1070,pl_num,0))&amp;"","")="Compteur",IFERROR(INDEX(pl_trig,MATCH(F1070,pl_num,0))&amp;"","")="Au premier des deux")),"Compteur manquant (plan au compteur)","OK"))))))))))))))))))</f>
        <v/>
      </c>
      <c r="S1070" s="67">
        <f>IF(AND(ISNUMBER(B1070),N(B1070)&gt;0),INT(B1070),0)</f>
        <v>0.0</v>
      </c>
      <c r="T1070" s="67">
        <f>IF(AND(ISNUMBER(J1070),N(J1070)&gt;=0),N(J1070),0)</f>
        <v>0.0</v>
      </c>
      <c r="U1070" s="67">
        <f>IF(AND(ISNUMBER(K1070),N(K1070)&gt;0),N(K1070),0)</f>
        <v>0.0</v>
      </c>
      <c r="V1070" s="67">
        <f>IF(AND(ISNUMBER(L1070),N(L1070)&gt;0),N(L1070),0)</f>
        <v>0.0</v>
      </c>
      <c r="W1070" s="67">
        <f>IF(AND(I1070="Terminée",S1070&gt;0,C1070&lt;&gt;"",ISNUMBER(MATCH(C1070,eq_code,0))),1,0)</f>
        <v>0.0</v>
      </c>
      <c r="X1070" s="67">
        <f>IF(AND(W1070=1,E1070="Préventif"),1,0)</f>
        <v>0.0</v>
      </c>
      <c r="Y1070" s="67">
        <f>IF(AND(ISNUMBER(N1070),N(N1070)&gt;0),N(N1070),0)</f>
        <v>0.0</v>
      </c>
      <c r="Z1070" s="67">
        <f>IF(AND(ISNUMBER(P1070),N(P1070)&gt;0),N(P1070),0)</f>
        <v>0.0</v>
      </c>
    </row>
    <row r="1071">
      <c r="A1071" s="79" t="str">
        <f>IF(COUNTA(B1071:C1071,E1071:G1071,I1071)=0,"","BI-"&amp;RIGHT("0000"&amp;(ROW()-5),4))</f>
        <v/>
      </c>
      <c r="B1071" s="72" t="n"/>
      <c r="C1071" s="66" t="n"/>
      <c r="D1071" s="67" t="str">
        <f>IF(C1071="","",IFERROR(INDEX(eq_des,MATCH(C1071,eq_code,0))&amp;"","Équipement inconnu"))</f>
        <v/>
      </c>
      <c r="E1071" s="68" t="n"/>
      <c r="F1071" s="68" t="n"/>
      <c r="G1071" s="66" t="n"/>
      <c r="H1071" s="66" t="n"/>
      <c r="I1071" s="68" t="n"/>
      <c r="J1071" s="73" t="n"/>
      <c r="K1071" s="71" t="n"/>
      <c r="L1071" s="71" t="n"/>
      <c r="M1071" s="66" t="n"/>
      <c r="N1071" s="80" t="n"/>
      <c r="O1071" s="81" t="str">
        <f>IF(A1071="","",ROUND(V1071*IFERROR(N(INDEX(tech_rate,MATCH(M1071,tech_name,0))),0),2))</f>
        <v/>
      </c>
      <c r="P1071" s="80" t="n"/>
      <c r="Q1071" s="81" t="str">
        <f>IF(A1071="","",ROUND(Y1071+O1071+Z1071,2))</f>
        <v/>
      </c>
      <c r="R1071" s="79" t="str">
        <f>IF(A1071="","",IF(S1071=0,"Date manquante ou invalide",IF(C1071="","Équipement manquant",IF(ISNA(MATCH(C1071,eq_code,0)),"Équipement inconnu",IF(E1071="","Type manquant",IF(AND(E1071&lt;&gt;"Préventif",E1071&lt;&gt;"Correctif",E1071&lt;&gt;"Amélioratif"),"Type inconnu",IF(I1071="","Statut manquant",IF(AND(I1071&lt;&gt;"Terminée",I1071&lt;&gt;"En cours",I1071&lt;&gt;"À faire",I1071&lt;&gt;"Annulée"),"Statut inconnu",IF(AND(E1071="Préventif",F1071=""),"Plan manquant (préventif)",IF(AND(F1071&lt;&gt;"",ISNA(MATCH(F1071,pl_num,0))),"Plan inconnu",IF(AND(F1071&lt;&gt;"",IFERROR(INDEX(pl_eq,MATCH(F1071,pl_num,0))&amp;"",C1071)&lt;&gt;C1071),"Plan d'un autre équipement",IF(AND(J1071&lt;&gt;"",OR(NOT(ISNUMBER(J1071)),N(J1071)&lt;0)),"Compteur invalide",IF(OR(AND(K1071&lt;&gt;"",OR(NOT(ISNUMBER(K1071)),N(K1071)&lt;0)),AND(L1071&lt;&gt;"",OR(NOT(ISNUMBER(L1071)),N(L1071)&lt;0))),"Durée invalide",IF(OR(AND(N1071&lt;&gt;"",OR(NOT(ISNUMBER(N1071)),N(N1071)&lt;0)),AND(P1071&lt;&gt;"",OR(NOT(ISNUMBER(P1071)),N(P1071)&lt;0))),"Coût invalide",IF(AND(M1071&lt;&gt;"",ISNA(MATCH(M1071,tech_name,0))),"Technicien inconnu",IF(AND(I1071="Terminée",S1071&gt;p_today),"Terminée à une date future",IF(AND(I1071="Terminée",V1071=0),"Durée d'intervention manquante",IF(AND(I1071="Terminée",E1071="Préventif",T1071=0,OR(IFERROR(INDEX(pl_trig,MATCH(F1071,pl_num,0))&amp;"","")="Compteur",IFERROR(INDEX(pl_trig,MATCH(F1071,pl_num,0))&amp;"","")="Au premier des deux")),"Compteur manquant (plan au compteur)","OK"))))))))))))))))))</f>
        <v/>
      </c>
      <c r="S1071" s="67">
        <f>IF(AND(ISNUMBER(B1071),N(B1071)&gt;0),INT(B1071),0)</f>
        <v>0.0</v>
      </c>
      <c r="T1071" s="67">
        <f>IF(AND(ISNUMBER(J1071),N(J1071)&gt;=0),N(J1071),0)</f>
        <v>0.0</v>
      </c>
      <c r="U1071" s="67">
        <f>IF(AND(ISNUMBER(K1071),N(K1071)&gt;0),N(K1071),0)</f>
        <v>0.0</v>
      </c>
      <c r="V1071" s="67">
        <f>IF(AND(ISNUMBER(L1071),N(L1071)&gt;0),N(L1071),0)</f>
        <v>0.0</v>
      </c>
      <c r="W1071" s="67">
        <f>IF(AND(I1071="Terminée",S1071&gt;0,C1071&lt;&gt;"",ISNUMBER(MATCH(C1071,eq_code,0))),1,0)</f>
        <v>0.0</v>
      </c>
      <c r="X1071" s="67">
        <f>IF(AND(W1071=1,E1071="Préventif"),1,0)</f>
        <v>0.0</v>
      </c>
      <c r="Y1071" s="67">
        <f>IF(AND(ISNUMBER(N1071),N(N1071)&gt;0),N(N1071),0)</f>
        <v>0.0</v>
      </c>
      <c r="Z1071" s="67">
        <f>IF(AND(ISNUMBER(P1071),N(P1071)&gt;0),N(P1071),0)</f>
        <v>0.0</v>
      </c>
    </row>
    <row r="1072">
      <c r="A1072" s="79" t="str">
        <f>IF(COUNTA(B1072:C1072,E1072:G1072,I1072)=0,"","BI-"&amp;RIGHT("0000"&amp;(ROW()-5),4))</f>
        <v/>
      </c>
      <c r="B1072" s="72" t="n"/>
      <c r="C1072" s="66" t="n"/>
      <c r="D1072" s="67" t="str">
        <f>IF(C1072="","",IFERROR(INDEX(eq_des,MATCH(C1072,eq_code,0))&amp;"","Équipement inconnu"))</f>
        <v/>
      </c>
      <c r="E1072" s="68" t="n"/>
      <c r="F1072" s="68" t="n"/>
      <c r="G1072" s="66" t="n"/>
      <c r="H1072" s="66" t="n"/>
      <c r="I1072" s="68" t="n"/>
      <c r="J1072" s="73" t="n"/>
      <c r="K1072" s="71" t="n"/>
      <c r="L1072" s="71" t="n"/>
      <c r="M1072" s="66" t="n"/>
      <c r="N1072" s="80" t="n"/>
      <c r="O1072" s="81" t="str">
        <f>IF(A1072="","",ROUND(V1072*IFERROR(N(INDEX(tech_rate,MATCH(M1072,tech_name,0))),0),2))</f>
        <v/>
      </c>
      <c r="P1072" s="80" t="n"/>
      <c r="Q1072" s="81" t="str">
        <f>IF(A1072="","",ROUND(Y1072+O1072+Z1072,2))</f>
        <v/>
      </c>
      <c r="R1072" s="79" t="str">
        <f>IF(A1072="","",IF(S1072=0,"Date manquante ou invalide",IF(C1072="","Équipement manquant",IF(ISNA(MATCH(C1072,eq_code,0)),"Équipement inconnu",IF(E1072="","Type manquant",IF(AND(E1072&lt;&gt;"Préventif",E1072&lt;&gt;"Correctif",E1072&lt;&gt;"Amélioratif"),"Type inconnu",IF(I1072="","Statut manquant",IF(AND(I1072&lt;&gt;"Terminée",I1072&lt;&gt;"En cours",I1072&lt;&gt;"À faire",I1072&lt;&gt;"Annulée"),"Statut inconnu",IF(AND(E1072="Préventif",F1072=""),"Plan manquant (préventif)",IF(AND(F1072&lt;&gt;"",ISNA(MATCH(F1072,pl_num,0))),"Plan inconnu",IF(AND(F1072&lt;&gt;"",IFERROR(INDEX(pl_eq,MATCH(F1072,pl_num,0))&amp;"",C1072)&lt;&gt;C1072),"Plan d'un autre équipement",IF(AND(J1072&lt;&gt;"",OR(NOT(ISNUMBER(J1072)),N(J1072)&lt;0)),"Compteur invalide",IF(OR(AND(K1072&lt;&gt;"",OR(NOT(ISNUMBER(K1072)),N(K1072)&lt;0)),AND(L1072&lt;&gt;"",OR(NOT(ISNUMBER(L1072)),N(L1072)&lt;0))),"Durée invalide",IF(OR(AND(N1072&lt;&gt;"",OR(NOT(ISNUMBER(N1072)),N(N1072)&lt;0)),AND(P1072&lt;&gt;"",OR(NOT(ISNUMBER(P1072)),N(P1072)&lt;0))),"Coût invalide",IF(AND(M1072&lt;&gt;"",ISNA(MATCH(M1072,tech_name,0))),"Technicien inconnu",IF(AND(I1072="Terminée",S1072&gt;p_today),"Terminée à une date future",IF(AND(I1072="Terminée",V1072=0),"Durée d'intervention manquante",IF(AND(I1072="Terminée",E1072="Préventif",T1072=0,OR(IFERROR(INDEX(pl_trig,MATCH(F1072,pl_num,0))&amp;"","")="Compteur",IFERROR(INDEX(pl_trig,MATCH(F1072,pl_num,0))&amp;"","")="Au premier des deux")),"Compteur manquant (plan au compteur)","OK"))))))))))))))))))</f>
        <v/>
      </c>
      <c r="S1072" s="67">
        <f>IF(AND(ISNUMBER(B1072),N(B1072)&gt;0),INT(B1072),0)</f>
        <v>0.0</v>
      </c>
      <c r="T1072" s="67">
        <f>IF(AND(ISNUMBER(J1072),N(J1072)&gt;=0),N(J1072),0)</f>
        <v>0.0</v>
      </c>
      <c r="U1072" s="67">
        <f>IF(AND(ISNUMBER(K1072),N(K1072)&gt;0),N(K1072),0)</f>
        <v>0.0</v>
      </c>
      <c r="V1072" s="67">
        <f>IF(AND(ISNUMBER(L1072),N(L1072)&gt;0),N(L1072),0)</f>
        <v>0.0</v>
      </c>
      <c r="W1072" s="67">
        <f>IF(AND(I1072="Terminée",S1072&gt;0,C1072&lt;&gt;"",ISNUMBER(MATCH(C1072,eq_code,0))),1,0)</f>
        <v>0.0</v>
      </c>
      <c r="X1072" s="67">
        <f>IF(AND(W1072=1,E1072="Préventif"),1,0)</f>
        <v>0.0</v>
      </c>
      <c r="Y1072" s="67">
        <f>IF(AND(ISNUMBER(N1072),N(N1072)&gt;0),N(N1072),0)</f>
        <v>0.0</v>
      </c>
      <c r="Z1072" s="67">
        <f>IF(AND(ISNUMBER(P1072),N(P1072)&gt;0),N(P1072),0)</f>
        <v>0.0</v>
      </c>
    </row>
    <row r="1073">
      <c r="A1073" s="79" t="str">
        <f>IF(COUNTA(B1073:C1073,E1073:G1073,I1073)=0,"","BI-"&amp;RIGHT("0000"&amp;(ROW()-5),4))</f>
        <v/>
      </c>
      <c r="B1073" s="72" t="n"/>
      <c r="C1073" s="66" t="n"/>
      <c r="D1073" s="67" t="str">
        <f>IF(C1073="","",IFERROR(INDEX(eq_des,MATCH(C1073,eq_code,0))&amp;"","Équipement inconnu"))</f>
        <v/>
      </c>
      <c r="E1073" s="68" t="n"/>
      <c r="F1073" s="68" t="n"/>
      <c r="G1073" s="66" t="n"/>
      <c r="H1073" s="66" t="n"/>
      <c r="I1073" s="68" t="n"/>
      <c r="J1073" s="73" t="n"/>
      <c r="K1073" s="71" t="n"/>
      <c r="L1073" s="71" t="n"/>
      <c r="M1073" s="66" t="n"/>
      <c r="N1073" s="80" t="n"/>
      <c r="O1073" s="81" t="str">
        <f>IF(A1073="","",ROUND(V1073*IFERROR(N(INDEX(tech_rate,MATCH(M1073,tech_name,0))),0),2))</f>
        <v/>
      </c>
      <c r="P1073" s="80" t="n"/>
      <c r="Q1073" s="81" t="str">
        <f>IF(A1073="","",ROUND(Y1073+O1073+Z1073,2))</f>
        <v/>
      </c>
      <c r="R1073" s="79" t="str">
        <f>IF(A1073="","",IF(S1073=0,"Date manquante ou invalide",IF(C1073="","Équipement manquant",IF(ISNA(MATCH(C1073,eq_code,0)),"Équipement inconnu",IF(E1073="","Type manquant",IF(AND(E1073&lt;&gt;"Préventif",E1073&lt;&gt;"Correctif",E1073&lt;&gt;"Amélioratif"),"Type inconnu",IF(I1073="","Statut manquant",IF(AND(I1073&lt;&gt;"Terminée",I1073&lt;&gt;"En cours",I1073&lt;&gt;"À faire",I1073&lt;&gt;"Annulée"),"Statut inconnu",IF(AND(E1073="Préventif",F1073=""),"Plan manquant (préventif)",IF(AND(F1073&lt;&gt;"",ISNA(MATCH(F1073,pl_num,0))),"Plan inconnu",IF(AND(F1073&lt;&gt;"",IFERROR(INDEX(pl_eq,MATCH(F1073,pl_num,0))&amp;"",C1073)&lt;&gt;C1073),"Plan d'un autre équipement",IF(AND(J1073&lt;&gt;"",OR(NOT(ISNUMBER(J1073)),N(J1073)&lt;0)),"Compteur invalide",IF(OR(AND(K1073&lt;&gt;"",OR(NOT(ISNUMBER(K1073)),N(K1073)&lt;0)),AND(L1073&lt;&gt;"",OR(NOT(ISNUMBER(L1073)),N(L1073)&lt;0))),"Durée invalide",IF(OR(AND(N1073&lt;&gt;"",OR(NOT(ISNUMBER(N1073)),N(N1073)&lt;0)),AND(P1073&lt;&gt;"",OR(NOT(ISNUMBER(P1073)),N(P1073)&lt;0))),"Coût invalide",IF(AND(M1073&lt;&gt;"",ISNA(MATCH(M1073,tech_name,0))),"Technicien inconnu",IF(AND(I1073="Terminée",S1073&gt;p_today),"Terminée à une date future",IF(AND(I1073="Terminée",V1073=0),"Durée d'intervention manquante",IF(AND(I1073="Terminée",E1073="Préventif",T1073=0,OR(IFERROR(INDEX(pl_trig,MATCH(F1073,pl_num,0))&amp;"","")="Compteur",IFERROR(INDEX(pl_trig,MATCH(F1073,pl_num,0))&amp;"","")="Au premier des deux")),"Compteur manquant (plan au compteur)","OK"))))))))))))))))))</f>
        <v/>
      </c>
      <c r="S1073" s="67">
        <f>IF(AND(ISNUMBER(B1073),N(B1073)&gt;0),INT(B1073),0)</f>
        <v>0.0</v>
      </c>
      <c r="T1073" s="67">
        <f>IF(AND(ISNUMBER(J1073),N(J1073)&gt;=0),N(J1073),0)</f>
        <v>0.0</v>
      </c>
      <c r="U1073" s="67">
        <f>IF(AND(ISNUMBER(K1073),N(K1073)&gt;0),N(K1073),0)</f>
        <v>0.0</v>
      </c>
      <c r="V1073" s="67">
        <f>IF(AND(ISNUMBER(L1073),N(L1073)&gt;0),N(L1073),0)</f>
        <v>0.0</v>
      </c>
      <c r="W1073" s="67">
        <f>IF(AND(I1073="Terminée",S1073&gt;0,C1073&lt;&gt;"",ISNUMBER(MATCH(C1073,eq_code,0))),1,0)</f>
        <v>0.0</v>
      </c>
      <c r="X1073" s="67">
        <f>IF(AND(W1073=1,E1073="Préventif"),1,0)</f>
        <v>0.0</v>
      </c>
      <c r="Y1073" s="67">
        <f>IF(AND(ISNUMBER(N1073),N(N1073)&gt;0),N(N1073),0)</f>
        <v>0.0</v>
      </c>
      <c r="Z1073" s="67">
        <f>IF(AND(ISNUMBER(P1073),N(P1073)&gt;0),N(P1073),0)</f>
        <v>0.0</v>
      </c>
    </row>
    <row r="1074">
      <c r="A1074" s="79" t="str">
        <f>IF(COUNTA(B1074:C1074,E1074:G1074,I1074)=0,"","BI-"&amp;RIGHT("0000"&amp;(ROW()-5),4))</f>
        <v/>
      </c>
      <c r="B1074" s="72" t="n"/>
      <c r="C1074" s="66" t="n"/>
      <c r="D1074" s="67" t="str">
        <f>IF(C1074="","",IFERROR(INDEX(eq_des,MATCH(C1074,eq_code,0))&amp;"","Équipement inconnu"))</f>
        <v/>
      </c>
      <c r="E1074" s="68" t="n"/>
      <c r="F1074" s="68" t="n"/>
      <c r="G1074" s="66" t="n"/>
      <c r="H1074" s="66" t="n"/>
      <c r="I1074" s="68" t="n"/>
      <c r="J1074" s="73" t="n"/>
      <c r="K1074" s="71" t="n"/>
      <c r="L1074" s="71" t="n"/>
      <c r="M1074" s="66" t="n"/>
      <c r="N1074" s="80" t="n"/>
      <c r="O1074" s="81" t="str">
        <f>IF(A1074="","",ROUND(V1074*IFERROR(N(INDEX(tech_rate,MATCH(M1074,tech_name,0))),0),2))</f>
        <v/>
      </c>
      <c r="P1074" s="80" t="n"/>
      <c r="Q1074" s="81" t="str">
        <f>IF(A1074="","",ROUND(Y1074+O1074+Z1074,2))</f>
        <v/>
      </c>
      <c r="R1074" s="79" t="str">
        <f>IF(A1074="","",IF(S1074=0,"Date manquante ou invalide",IF(C1074="","Équipement manquant",IF(ISNA(MATCH(C1074,eq_code,0)),"Équipement inconnu",IF(E1074="","Type manquant",IF(AND(E1074&lt;&gt;"Préventif",E1074&lt;&gt;"Correctif",E1074&lt;&gt;"Amélioratif"),"Type inconnu",IF(I1074="","Statut manquant",IF(AND(I1074&lt;&gt;"Terminée",I1074&lt;&gt;"En cours",I1074&lt;&gt;"À faire",I1074&lt;&gt;"Annulée"),"Statut inconnu",IF(AND(E1074="Préventif",F1074=""),"Plan manquant (préventif)",IF(AND(F1074&lt;&gt;"",ISNA(MATCH(F1074,pl_num,0))),"Plan inconnu",IF(AND(F1074&lt;&gt;"",IFERROR(INDEX(pl_eq,MATCH(F1074,pl_num,0))&amp;"",C1074)&lt;&gt;C1074),"Plan d'un autre équipement",IF(AND(J1074&lt;&gt;"",OR(NOT(ISNUMBER(J1074)),N(J1074)&lt;0)),"Compteur invalide",IF(OR(AND(K1074&lt;&gt;"",OR(NOT(ISNUMBER(K1074)),N(K1074)&lt;0)),AND(L1074&lt;&gt;"",OR(NOT(ISNUMBER(L1074)),N(L1074)&lt;0))),"Durée invalide",IF(OR(AND(N1074&lt;&gt;"",OR(NOT(ISNUMBER(N1074)),N(N1074)&lt;0)),AND(P1074&lt;&gt;"",OR(NOT(ISNUMBER(P1074)),N(P1074)&lt;0))),"Coût invalide",IF(AND(M1074&lt;&gt;"",ISNA(MATCH(M1074,tech_name,0))),"Technicien inconnu",IF(AND(I1074="Terminée",S1074&gt;p_today),"Terminée à une date future",IF(AND(I1074="Terminée",V1074=0),"Durée d'intervention manquante",IF(AND(I1074="Terminée",E1074="Préventif",T1074=0,OR(IFERROR(INDEX(pl_trig,MATCH(F1074,pl_num,0))&amp;"","")="Compteur",IFERROR(INDEX(pl_trig,MATCH(F1074,pl_num,0))&amp;"","")="Au premier des deux")),"Compteur manquant (plan au compteur)","OK"))))))))))))))))))</f>
        <v/>
      </c>
      <c r="S1074" s="67">
        <f>IF(AND(ISNUMBER(B1074),N(B1074)&gt;0),INT(B1074),0)</f>
        <v>0.0</v>
      </c>
      <c r="T1074" s="67">
        <f>IF(AND(ISNUMBER(J1074),N(J1074)&gt;=0),N(J1074),0)</f>
        <v>0.0</v>
      </c>
      <c r="U1074" s="67">
        <f>IF(AND(ISNUMBER(K1074),N(K1074)&gt;0),N(K1074),0)</f>
        <v>0.0</v>
      </c>
      <c r="V1074" s="67">
        <f>IF(AND(ISNUMBER(L1074),N(L1074)&gt;0),N(L1074),0)</f>
        <v>0.0</v>
      </c>
      <c r="W1074" s="67">
        <f>IF(AND(I1074="Terminée",S1074&gt;0,C1074&lt;&gt;"",ISNUMBER(MATCH(C1074,eq_code,0))),1,0)</f>
        <v>0.0</v>
      </c>
      <c r="X1074" s="67">
        <f>IF(AND(W1074=1,E1074="Préventif"),1,0)</f>
        <v>0.0</v>
      </c>
      <c r="Y1074" s="67">
        <f>IF(AND(ISNUMBER(N1074),N(N1074)&gt;0),N(N1074),0)</f>
        <v>0.0</v>
      </c>
      <c r="Z1074" s="67">
        <f>IF(AND(ISNUMBER(P1074),N(P1074)&gt;0),N(P1074),0)</f>
        <v>0.0</v>
      </c>
    </row>
    <row r="1075">
      <c r="A1075" s="79" t="str">
        <f>IF(COUNTA(B1075:C1075,E1075:G1075,I1075)=0,"","BI-"&amp;RIGHT("0000"&amp;(ROW()-5),4))</f>
        <v/>
      </c>
      <c r="B1075" s="72" t="n"/>
      <c r="C1075" s="66" t="n"/>
      <c r="D1075" s="67" t="str">
        <f>IF(C1075="","",IFERROR(INDEX(eq_des,MATCH(C1075,eq_code,0))&amp;"","Équipement inconnu"))</f>
        <v/>
      </c>
      <c r="E1075" s="68" t="n"/>
      <c r="F1075" s="68" t="n"/>
      <c r="G1075" s="66" t="n"/>
      <c r="H1075" s="66" t="n"/>
      <c r="I1075" s="68" t="n"/>
      <c r="J1075" s="73" t="n"/>
      <c r="K1075" s="71" t="n"/>
      <c r="L1075" s="71" t="n"/>
      <c r="M1075" s="66" t="n"/>
      <c r="N1075" s="80" t="n"/>
      <c r="O1075" s="81" t="str">
        <f>IF(A1075="","",ROUND(V1075*IFERROR(N(INDEX(tech_rate,MATCH(M1075,tech_name,0))),0),2))</f>
        <v/>
      </c>
      <c r="P1075" s="80" t="n"/>
      <c r="Q1075" s="81" t="str">
        <f>IF(A1075="","",ROUND(Y1075+O1075+Z1075,2))</f>
        <v/>
      </c>
      <c r="R1075" s="79" t="str">
        <f>IF(A1075="","",IF(S1075=0,"Date manquante ou invalide",IF(C1075="","Équipement manquant",IF(ISNA(MATCH(C1075,eq_code,0)),"Équipement inconnu",IF(E1075="","Type manquant",IF(AND(E1075&lt;&gt;"Préventif",E1075&lt;&gt;"Correctif",E1075&lt;&gt;"Amélioratif"),"Type inconnu",IF(I1075="","Statut manquant",IF(AND(I1075&lt;&gt;"Terminée",I1075&lt;&gt;"En cours",I1075&lt;&gt;"À faire",I1075&lt;&gt;"Annulée"),"Statut inconnu",IF(AND(E1075="Préventif",F1075=""),"Plan manquant (préventif)",IF(AND(F1075&lt;&gt;"",ISNA(MATCH(F1075,pl_num,0))),"Plan inconnu",IF(AND(F1075&lt;&gt;"",IFERROR(INDEX(pl_eq,MATCH(F1075,pl_num,0))&amp;"",C1075)&lt;&gt;C1075),"Plan d'un autre équipement",IF(AND(J1075&lt;&gt;"",OR(NOT(ISNUMBER(J1075)),N(J1075)&lt;0)),"Compteur invalide",IF(OR(AND(K1075&lt;&gt;"",OR(NOT(ISNUMBER(K1075)),N(K1075)&lt;0)),AND(L1075&lt;&gt;"",OR(NOT(ISNUMBER(L1075)),N(L1075)&lt;0))),"Durée invalide",IF(OR(AND(N1075&lt;&gt;"",OR(NOT(ISNUMBER(N1075)),N(N1075)&lt;0)),AND(P1075&lt;&gt;"",OR(NOT(ISNUMBER(P1075)),N(P1075)&lt;0))),"Coût invalide",IF(AND(M1075&lt;&gt;"",ISNA(MATCH(M1075,tech_name,0))),"Technicien inconnu",IF(AND(I1075="Terminée",S1075&gt;p_today),"Terminée à une date future",IF(AND(I1075="Terminée",V1075=0),"Durée d'intervention manquante",IF(AND(I1075="Terminée",E1075="Préventif",T1075=0,OR(IFERROR(INDEX(pl_trig,MATCH(F1075,pl_num,0))&amp;"","")="Compteur",IFERROR(INDEX(pl_trig,MATCH(F1075,pl_num,0))&amp;"","")="Au premier des deux")),"Compteur manquant (plan au compteur)","OK"))))))))))))))))))</f>
        <v/>
      </c>
      <c r="S1075" s="67">
        <f>IF(AND(ISNUMBER(B1075),N(B1075)&gt;0),INT(B1075),0)</f>
        <v>0.0</v>
      </c>
      <c r="T1075" s="67">
        <f>IF(AND(ISNUMBER(J1075),N(J1075)&gt;=0),N(J1075),0)</f>
        <v>0.0</v>
      </c>
      <c r="U1075" s="67">
        <f>IF(AND(ISNUMBER(K1075),N(K1075)&gt;0),N(K1075),0)</f>
        <v>0.0</v>
      </c>
      <c r="V1075" s="67">
        <f>IF(AND(ISNUMBER(L1075),N(L1075)&gt;0),N(L1075),0)</f>
        <v>0.0</v>
      </c>
      <c r="W1075" s="67">
        <f>IF(AND(I1075="Terminée",S1075&gt;0,C1075&lt;&gt;"",ISNUMBER(MATCH(C1075,eq_code,0))),1,0)</f>
        <v>0.0</v>
      </c>
      <c r="X1075" s="67">
        <f>IF(AND(W1075=1,E1075="Préventif"),1,0)</f>
        <v>0.0</v>
      </c>
      <c r="Y1075" s="67">
        <f>IF(AND(ISNUMBER(N1075),N(N1075)&gt;0),N(N1075),0)</f>
        <v>0.0</v>
      </c>
      <c r="Z1075" s="67">
        <f>IF(AND(ISNUMBER(P1075),N(P1075)&gt;0),N(P1075),0)</f>
        <v>0.0</v>
      </c>
    </row>
    <row r="1076">
      <c r="A1076" s="79" t="str">
        <f>IF(COUNTA(B1076:C1076,E1076:G1076,I1076)=0,"","BI-"&amp;RIGHT("0000"&amp;(ROW()-5),4))</f>
        <v/>
      </c>
      <c r="B1076" s="72" t="n"/>
      <c r="C1076" s="66" t="n"/>
      <c r="D1076" s="67" t="str">
        <f>IF(C1076="","",IFERROR(INDEX(eq_des,MATCH(C1076,eq_code,0))&amp;"","Équipement inconnu"))</f>
        <v/>
      </c>
      <c r="E1076" s="68" t="n"/>
      <c r="F1076" s="68" t="n"/>
      <c r="G1076" s="66" t="n"/>
      <c r="H1076" s="66" t="n"/>
      <c r="I1076" s="68" t="n"/>
      <c r="J1076" s="73" t="n"/>
      <c r="K1076" s="71" t="n"/>
      <c r="L1076" s="71" t="n"/>
      <c r="M1076" s="66" t="n"/>
      <c r="N1076" s="80" t="n"/>
      <c r="O1076" s="81" t="str">
        <f>IF(A1076="","",ROUND(V1076*IFERROR(N(INDEX(tech_rate,MATCH(M1076,tech_name,0))),0),2))</f>
        <v/>
      </c>
      <c r="P1076" s="80" t="n"/>
      <c r="Q1076" s="81" t="str">
        <f>IF(A1076="","",ROUND(Y1076+O1076+Z1076,2))</f>
        <v/>
      </c>
      <c r="R1076" s="79" t="str">
        <f>IF(A1076="","",IF(S1076=0,"Date manquante ou invalide",IF(C1076="","Équipement manquant",IF(ISNA(MATCH(C1076,eq_code,0)),"Équipement inconnu",IF(E1076="","Type manquant",IF(AND(E1076&lt;&gt;"Préventif",E1076&lt;&gt;"Correctif",E1076&lt;&gt;"Amélioratif"),"Type inconnu",IF(I1076="","Statut manquant",IF(AND(I1076&lt;&gt;"Terminée",I1076&lt;&gt;"En cours",I1076&lt;&gt;"À faire",I1076&lt;&gt;"Annulée"),"Statut inconnu",IF(AND(E1076="Préventif",F1076=""),"Plan manquant (préventif)",IF(AND(F1076&lt;&gt;"",ISNA(MATCH(F1076,pl_num,0))),"Plan inconnu",IF(AND(F1076&lt;&gt;"",IFERROR(INDEX(pl_eq,MATCH(F1076,pl_num,0))&amp;"",C1076)&lt;&gt;C1076),"Plan d'un autre équipement",IF(AND(J1076&lt;&gt;"",OR(NOT(ISNUMBER(J1076)),N(J1076)&lt;0)),"Compteur invalide",IF(OR(AND(K1076&lt;&gt;"",OR(NOT(ISNUMBER(K1076)),N(K1076)&lt;0)),AND(L1076&lt;&gt;"",OR(NOT(ISNUMBER(L1076)),N(L1076)&lt;0))),"Durée invalide",IF(OR(AND(N1076&lt;&gt;"",OR(NOT(ISNUMBER(N1076)),N(N1076)&lt;0)),AND(P1076&lt;&gt;"",OR(NOT(ISNUMBER(P1076)),N(P1076)&lt;0))),"Coût invalide",IF(AND(M1076&lt;&gt;"",ISNA(MATCH(M1076,tech_name,0))),"Technicien inconnu",IF(AND(I1076="Terminée",S1076&gt;p_today),"Terminée à une date future",IF(AND(I1076="Terminée",V1076=0),"Durée d'intervention manquante",IF(AND(I1076="Terminée",E1076="Préventif",T1076=0,OR(IFERROR(INDEX(pl_trig,MATCH(F1076,pl_num,0))&amp;"","")="Compteur",IFERROR(INDEX(pl_trig,MATCH(F1076,pl_num,0))&amp;"","")="Au premier des deux")),"Compteur manquant (plan au compteur)","OK"))))))))))))))))))</f>
        <v/>
      </c>
      <c r="S1076" s="67">
        <f>IF(AND(ISNUMBER(B1076),N(B1076)&gt;0),INT(B1076),0)</f>
        <v>0.0</v>
      </c>
      <c r="T1076" s="67">
        <f>IF(AND(ISNUMBER(J1076),N(J1076)&gt;=0),N(J1076),0)</f>
        <v>0.0</v>
      </c>
      <c r="U1076" s="67">
        <f>IF(AND(ISNUMBER(K1076),N(K1076)&gt;0),N(K1076),0)</f>
        <v>0.0</v>
      </c>
      <c r="V1076" s="67">
        <f>IF(AND(ISNUMBER(L1076),N(L1076)&gt;0),N(L1076),0)</f>
        <v>0.0</v>
      </c>
      <c r="W1076" s="67">
        <f>IF(AND(I1076="Terminée",S1076&gt;0,C1076&lt;&gt;"",ISNUMBER(MATCH(C1076,eq_code,0))),1,0)</f>
        <v>0.0</v>
      </c>
      <c r="X1076" s="67">
        <f>IF(AND(W1076=1,E1076="Préventif"),1,0)</f>
        <v>0.0</v>
      </c>
      <c r="Y1076" s="67">
        <f>IF(AND(ISNUMBER(N1076),N(N1076)&gt;0),N(N1076),0)</f>
        <v>0.0</v>
      </c>
      <c r="Z1076" s="67">
        <f>IF(AND(ISNUMBER(P1076),N(P1076)&gt;0),N(P1076),0)</f>
        <v>0.0</v>
      </c>
    </row>
    <row r="1077">
      <c r="A1077" s="79" t="str">
        <f>IF(COUNTA(B1077:C1077,E1077:G1077,I1077)=0,"","BI-"&amp;RIGHT("0000"&amp;(ROW()-5),4))</f>
        <v/>
      </c>
      <c r="B1077" s="72" t="n"/>
      <c r="C1077" s="66" t="n"/>
      <c r="D1077" s="67" t="str">
        <f>IF(C1077="","",IFERROR(INDEX(eq_des,MATCH(C1077,eq_code,0))&amp;"","Équipement inconnu"))</f>
        <v/>
      </c>
      <c r="E1077" s="68" t="n"/>
      <c r="F1077" s="68" t="n"/>
      <c r="G1077" s="66" t="n"/>
      <c r="H1077" s="66" t="n"/>
      <c r="I1077" s="68" t="n"/>
      <c r="J1077" s="73" t="n"/>
      <c r="K1077" s="71" t="n"/>
      <c r="L1077" s="71" t="n"/>
      <c r="M1077" s="66" t="n"/>
      <c r="N1077" s="80" t="n"/>
      <c r="O1077" s="81" t="str">
        <f>IF(A1077="","",ROUND(V1077*IFERROR(N(INDEX(tech_rate,MATCH(M1077,tech_name,0))),0),2))</f>
        <v/>
      </c>
      <c r="P1077" s="80" t="n"/>
      <c r="Q1077" s="81" t="str">
        <f>IF(A1077="","",ROUND(Y1077+O1077+Z1077,2))</f>
        <v/>
      </c>
      <c r="R1077" s="79" t="str">
        <f>IF(A1077="","",IF(S1077=0,"Date manquante ou invalide",IF(C1077="","Équipement manquant",IF(ISNA(MATCH(C1077,eq_code,0)),"Équipement inconnu",IF(E1077="","Type manquant",IF(AND(E1077&lt;&gt;"Préventif",E1077&lt;&gt;"Correctif",E1077&lt;&gt;"Amélioratif"),"Type inconnu",IF(I1077="","Statut manquant",IF(AND(I1077&lt;&gt;"Terminée",I1077&lt;&gt;"En cours",I1077&lt;&gt;"À faire",I1077&lt;&gt;"Annulée"),"Statut inconnu",IF(AND(E1077="Préventif",F1077=""),"Plan manquant (préventif)",IF(AND(F1077&lt;&gt;"",ISNA(MATCH(F1077,pl_num,0))),"Plan inconnu",IF(AND(F1077&lt;&gt;"",IFERROR(INDEX(pl_eq,MATCH(F1077,pl_num,0))&amp;"",C1077)&lt;&gt;C1077),"Plan d'un autre équipement",IF(AND(J1077&lt;&gt;"",OR(NOT(ISNUMBER(J1077)),N(J1077)&lt;0)),"Compteur invalide",IF(OR(AND(K1077&lt;&gt;"",OR(NOT(ISNUMBER(K1077)),N(K1077)&lt;0)),AND(L1077&lt;&gt;"",OR(NOT(ISNUMBER(L1077)),N(L1077)&lt;0))),"Durée invalide",IF(OR(AND(N1077&lt;&gt;"",OR(NOT(ISNUMBER(N1077)),N(N1077)&lt;0)),AND(P1077&lt;&gt;"",OR(NOT(ISNUMBER(P1077)),N(P1077)&lt;0))),"Coût invalide",IF(AND(M1077&lt;&gt;"",ISNA(MATCH(M1077,tech_name,0))),"Technicien inconnu",IF(AND(I1077="Terminée",S1077&gt;p_today),"Terminée à une date future",IF(AND(I1077="Terminée",V1077=0),"Durée d'intervention manquante",IF(AND(I1077="Terminée",E1077="Préventif",T1077=0,OR(IFERROR(INDEX(pl_trig,MATCH(F1077,pl_num,0))&amp;"","")="Compteur",IFERROR(INDEX(pl_trig,MATCH(F1077,pl_num,0))&amp;"","")="Au premier des deux")),"Compteur manquant (plan au compteur)","OK"))))))))))))))))))</f>
        <v/>
      </c>
      <c r="S1077" s="67">
        <f>IF(AND(ISNUMBER(B1077),N(B1077)&gt;0),INT(B1077),0)</f>
        <v>0.0</v>
      </c>
      <c r="T1077" s="67">
        <f>IF(AND(ISNUMBER(J1077),N(J1077)&gt;=0),N(J1077),0)</f>
        <v>0.0</v>
      </c>
      <c r="U1077" s="67">
        <f>IF(AND(ISNUMBER(K1077),N(K1077)&gt;0),N(K1077),0)</f>
        <v>0.0</v>
      </c>
      <c r="V1077" s="67">
        <f>IF(AND(ISNUMBER(L1077),N(L1077)&gt;0),N(L1077),0)</f>
        <v>0.0</v>
      </c>
      <c r="W1077" s="67">
        <f>IF(AND(I1077="Terminée",S1077&gt;0,C1077&lt;&gt;"",ISNUMBER(MATCH(C1077,eq_code,0))),1,0)</f>
        <v>0.0</v>
      </c>
      <c r="X1077" s="67">
        <f>IF(AND(W1077=1,E1077="Préventif"),1,0)</f>
        <v>0.0</v>
      </c>
      <c r="Y1077" s="67">
        <f>IF(AND(ISNUMBER(N1077),N(N1077)&gt;0),N(N1077),0)</f>
        <v>0.0</v>
      </c>
      <c r="Z1077" s="67">
        <f>IF(AND(ISNUMBER(P1077),N(P1077)&gt;0),N(P1077),0)</f>
        <v>0.0</v>
      </c>
    </row>
    <row r="1078">
      <c r="A1078" s="79" t="str">
        <f>IF(COUNTA(B1078:C1078,E1078:G1078,I1078)=0,"","BI-"&amp;RIGHT("0000"&amp;(ROW()-5),4))</f>
        <v/>
      </c>
      <c r="B1078" s="72" t="n"/>
      <c r="C1078" s="66" t="n"/>
      <c r="D1078" s="67" t="str">
        <f>IF(C1078="","",IFERROR(INDEX(eq_des,MATCH(C1078,eq_code,0))&amp;"","Équipement inconnu"))</f>
        <v/>
      </c>
      <c r="E1078" s="68" t="n"/>
      <c r="F1078" s="68" t="n"/>
      <c r="G1078" s="66" t="n"/>
      <c r="H1078" s="66" t="n"/>
      <c r="I1078" s="68" t="n"/>
      <c r="J1078" s="73" t="n"/>
      <c r="K1078" s="71" t="n"/>
      <c r="L1078" s="71" t="n"/>
      <c r="M1078" s="66" t="n"/>
      <c r="N1078" s="80" t="n"/>
      <c r="O1078" s="81" t="str">
        <f>IF(A1078="","",ROUND(V1078*IFERROR(N(INDEX(tech_rate,MATCH(M1078,tech_name,0))),0),2))</f>
        <v/>
      </c>
      <c r="P1078" s="80" t="n"/>
      <c r="Q1078" s="81" t="str">
        <f>IF(A1078="","",ROUND(Y1078+O1078+Z1078,2))</f>
        <v/>
      </c>
      <c r="R1078" s="79" t="str">
        <f>IF(A1078="","",IF(S1078=0,"Date manquante ou invalide",IF(C1078="","Équipement manquant",IF(ISNA(MATCH(C1078,eq_code,0)),"Équipement inconnu",IF(E1078="","Type manquant",IF(AND(E1078&lt;&gt;"Préventif",E1078&lt;&gt;"Correctif",E1078&lt;&gt;"Amélioratif"),"Type inconnu",IF(I1078="","Statut manquant",IF(AND(I1078&lt;&gt;"Terminée",I1078&lt;&gt;"En cours",I1078&lt;&gt;"À faire",I1078&lt;&gt;"Annulée"),"Statut inconnu",IF(AND(E1078="Préventif",F1078=""),"Plan manquant (préventif)",IF(AND(F1078&lt;&gt;"",ISNA(MATCH(F1078,pl_num,0))),"Plan inconnu",IF(AND(F1078&lt;&gt;"",IFERROR(INDEX(pl_eq,MATCH(F1078,pl_num,0))&amp;"",C1078)&lt;&gt;C1078),"Plan d'un autre équipement",IF(AND(J1078&lt;&gt;"",OR(NOT(ISNUMBER(J1078)),N(J1078)&lt;0)),"Compteur invalide",IF(OR(AND(K1078&lt;&gt;"",OR(NOT(ISNUMBER(K1078)),N(K1078)&lt;0)),AND(L1078&lt;&gt;"",OR(NOT(ISNUMBER(L1078)),N(L1078)&lt;0))),"Durée invalide",IF(OR(AND(N1078&lt;&gt;"",OR(NOT(ISNUMBER(N1078)),N(N1078)&lt;0)),AND(P1078&lt;&gt;"",OR(NOT(ISNUMBER(P1078)),N(P1078)&lt;0))),"Coût invalide",IF(AND(M1078&lt;&gt;"",ISNA(MATCH(M1078,tech_name,0))),"Technicien inconnu",IF(AND(I1078="Terminée",S1078&gt;p_today),"Terminée à une date future",IF(AND(I1078="Terminée",V1078=0),"Durée d'intervention manquante",IF(AND(I1078="Terminée",E1078="Préventif",T1078=0,OR(IFERROR(INDEX(pl_trig,MATCH(F1078,pl_num,0))&amp;"","")="Compteur",IFERROR(INDEX(pl_trig,MATCH(F1078,pl_num,0))&amp;"","")="Au premier des deux")),"Compteur manquant (plan au compteur)","OK"))))))))))))))))))</f>
        <v/>
      </c>
      <c r="S1078" s="67">
        <f>IF(AND(ISNUMBER(B1078),N(B1078)&gt;0),INT(B1078),0)</f>
        <v>0.0</v>
      </c>
      <c r="T1078" s="67">
        <f>IF(AND(ISNUMBER(J1078),N(J1078)&gt;=0),N(J1078),0)</f>
        <v>0.0</v>
      </c>
      <c r="U1078" s="67">
        <f>IF(AND(ISNUMBER(K1078),N(K1078)&gt;0),N(K1078),0)</f>
        <v>0.0</v>
      </c>
      <c r="V1078" s="67">
        <f>IF(AND(ISNUMBER(L1078),N(L1078)&gt;0),N(L1078),0)</f>
        <v>0.0</v>
      </c>
      <c r="W1078" s="67">
        <f>IF(AND(I1078="Terminée",S1078&gt;0,C1078&lt;&gt;"",ISNUMBER(MATCH(C1078,eq_code,0))),1,0)</f>
        <v>0.0</v>
      </c>
      <c r="X1078" s="67">
        <f>IF(AND(W1078=1,E1078="Préventif"),1,0)</f>
        <v>0.0</v>
      </c>
      <c r="Y1078" s="67">
        <f>IF(AND(ISNUMBER(N1078),N(N1078)&gt;0),N(N1078),0)</f>
        <v>0.0</v>
      </c>
      <c r="Z1078" s="67">
        <f>IF(AND(ISNUMBER(P1078),N(P1078)&gt;0),N(P1078),0)</f>
        <v>0.0</v>
      </c>
    </row>
    <row r="1079">
      <c r="A1079" s="79" t="str">
        <f>IF(COUNTA(B1079:C1079,E1079:G1079,I1079)=0,"","BI-"&amp;RIGHT("0000"&amp;(ROW()-5),4))</f>
        <v/>
      </c>
      <c r="B1079" s="72" t="n"/>
      <c r="C1079" s="66" t="n"/>
      <c r="D1079" s="67" t="str">
        <f>IF(C1079="","",IFERROR(INDEX(eq_des,MATCH(C1079,eq_code,0))&amp;"","Équipement inconnu"))</f>
        <v/>
      </c>
      <c r="E1079" s="68" t="n"/>
      <c r="F1079" s="68" t="n"/>
      <c r="G1079" s="66" t="n"/>
      <c r="H1079" s="66" t="n"/>
      <c r="I1079" s="68" t="n"/>
      <c r="J1079" s="73" t="n"/>
      <c r="K1079" s="71" t="n"/>
      <c r="L1079" s="71" t="n"/>
      <c r="M1079" s="66" t="n"/>
      <c r="N1079" s="80" t="n"/>
      <c r="O1079" s="81" t="str">
        <f>IF(A1079="","",ROUND(V1079*IFERROR(N(INDEX(tech_rate,MATCH(M1079,tech_name,0))),0),2))</f>
        <v/>
      </c>
      <c r="P1079" s="80" t="n"/>
      <c r="Q1079" s="81" t="str">
        <f>IF(A1079="","",ROUND(Y1079+O1079+Z1079,2))</f>
        <v/>
      </c>
      <c r="R1079" s="79" t="str">
        <f>IF(A1079="","",IF(S1079=0,"Date manquante ou invalide",IF(C1079="","Équipement manquant",IF(ISNA(MATCH(C1079,eq_code,0)),"Équipement inconnu",IF(E1079="","Type manquant",IF(AND(E1079&lt;&gt;"Préventif",E1079&lt;&gt;"Correctif",E1079&lt;&gt;"Amélioratif"),"Type inconnu",IF(I1079="","Statut manquant",IF(AND(I1079&lt;&gt;"Terminée",I1079&lt;&gt;"En cours",I1079&lt;&gt;"À faire",I1079&lt;&gt;"Annulée"),"Statut inconnu",IF(AND(E1079="Préventif",F1079=""),"Plan manquant (préventif)",IF(AND(F1079&lt;&gt;"",ISNA(MATCH(F1079,pl_num,0))),"Plan inconnu",IF(AND(F1079&lt;&gt;"",IFERROR(INDEX(pl_eq,MATCH(F1079,pl_num,0))&amp;"",C1079)&lt;&gt;C1079),"Plan d'un autre équipement",IF(AND(J1079&lt;&gt;"",OR(NOT(ISNUMBER(J1079)),N(J1079)&lt;0)),"Compteur invalide",IF(OR(AND(K1079&lt;&gt;"",OR(NOT(ISNUMBER(K1079)),N(K1079)&lt;0)),AND(L1079&lt;&gt;"",OR(NOT(ISNUMBER(L1079)),N(L1079)&lt;0))),"Durée invalide",IF(OR(AND(N1079&lt;&gt;"",OR(NOT(ISNUMBER(N1079)),N(N1079)&lt;0)),AND(P1079&lt;&gt;"",OR(NOT(ISNUMBER(P1079)),N(P1079)&lt;0))),"Coût invalide",IF(AND(M1079&lt;&gt;"",ISNA(MATCH(M1079,tech_name,0))),"Technicien inconnu",IF(AND(I1079="Terminée",S1079&gt;p_today),"Terminée à une date future",IF(AND(I1079="Terminée",V1079=0),"Durée d'intervention manquante",IF(AND(I1079="Terminée",E1079="Préventif",T1079=0,OR(IFERROR(INDEX(pl_trig,MATCH(F1079,pl_num,0))&amp;"","")="Compteur",IFERROR(INDEX(pl_trig,MATCH(F1079,pl_num,0))&amp;"","")="Au premier des deux")),"Compteur manquant (plan au compteur)","OK"))))))))))))))))))</f>
        <v/>
      </c>
      <c r="S1079" s="67">
        <f>IF(AND(ISNUMBER(B1079),N(B1079)&gt;0),INT(B1079),0)</f>
        <v>0.0</v>
      </c>
      <c r="T1079" s="67">
        <f>IF(AND(ISNUMBER(J1079),N(J1079)&gt;=0),N(J1079),0)</f>
        <v>0.0</v>
      </c>
      <c r="U1079" s="67">
        <f>IF(AND(ISNUMBER(K1079),N(K1079)&gt;0),N(K1079),0)</f>
        <v>0.0</v>
      </c>
      <c r="V1079" s="67">
        <f>IF(AND(ISNUMBER(L1079),N(L1079)&gt;0),N(L1079),0)</f>
        <v>0.0</v>
      </c>
      <c r="W1079" s="67">
        <f>IF(AND(I1079="Terminée",S1079&gt;0,C1079&lt;&gt;"",ISNUMBER(MATCH(C1079,eq_code,0))),1,0)</f>
        <v>0.0</v>
      </c>
      <c r="X1079" s="67">
        <f>IF(AND(W1079=1,E1079="Préventif"),1,0)</f>
        <v>0.0</v>
      </c>
      <c r="Y1079" s="67">
        <f>IF(AND(ISNUMBER(N1079),N(N1079)&gt;0),N(N1079),0)</f>
        <v>0.0</v>
      </c>
      <c r="Z1079" s="67">
        <f>IF(AND(ISNUMBER(P1079),N(P1079)&gt;0),N(P1079),0)</f>
        <v>0.0</v>
      </c>
    </row>
    <row r="1080">
      <c r="A1080" s="79" t="str">
        <f>IF(COUNTA(B1080:C1080,E1080:G1080,I1080)=0,"","BI-"&amp;RIGHT("0000"&amp;(ROW()-5),4))</f>
        <v/>
      </c>
      <c r="B1080" s="72" t="n"/>
      <c r="C1080" s="66" t="n"/>
      <c r="D1080" s="67" t="str">
        <f>IF(C1080="","",IFERROR(INDEX(eq_des,MATCH(C1080,eq_code,0))&amp;"","Équipement inconnu"))</f>
        <v/>
      </c>
      <c r="E1080" s="68" t="n"/>
      <c r="F1080" s="68" t="n"/>
      <c r="G1080" s="66" t="n"/>
      <c r="H1080" s="66" t="n"/>
      <c r="I1080" s="68" t="n"/>
      <c r="J1080" s="73" t="n"/>
      <c r="K1080" s="71" t="n"/>
      <c r="L1080" s="71" t="n"/>
      <c r="M1080" s="66" t="n"/>
      <c r="N1080" s="80" t="n"/>
      <c r="O1080" s="81" t="str">
        <f>IF(A1080="","",ROUND(V1080*IFERROR(N(INDEX(tech_rate,MATCH(M1080,tech_name,0))),0),2))</f>
        <v/>
      </c>
      <c r="P1080" s="80" t="n"/>
      <c r="Q1080" s="81" t="str">
        <f>IF(A1080="","",ROUND(Y1080+O1080+Z1080,2))</f>
        <v/>
      </c>
      <c r="R1080" s="79" t="str">
        <f>IF(A1080="","",IF(S1080=0,"Date manquante ou invalide",IF(C1080="","Équipement manquant",IF(ISNA(MATCH(C1080,eq_code,0)),"Équipement inconnu",IF(E1080="","Type manquant",IF(AND(E1080&lt;&gt;"Préventif",E1080&lt;&gt;"Correctif",E1080&lt;&gt;"Amélioratif"),"Type inconnu",IF(I1080="","Statut manquant",IF(AND(I1080&lt;&gt;"Terminée",I1080&lt;&gt;"En cours",I1080&lt;&gt;"À faire",I1080&lt;&gt;"Annulée"),"Statut inconnu",IF(AND(E1080="Préventif",F1080=""),"Plan manquant (préventif)",IF(AND(F1080&lt;&gt;"",ISNA(MATCH(F1080,pl_num,0))),"Plan inconnu",IF(AND(F1080&lt;&gt;"",IFERROR(INDEX(pl_eq,MATCH(F1080,pl_num,0))&amp;"",C1080)&lt;&gt;C1080),"Plan d'un autre équipement",IF(AND(J1080&lt;&gt;"",OR(NOT(ISNUMBER(J1080)),N(J1080)&lt;0)),"Compteur invalide",IF(OR(AND(K1080&lt;&gt;"",OR(NOT(ISNUMBER(K1080)),N(K1080)&lt;0)),AND(L1080&lt;&gt;"",OR(NOT(ISNUMBER(L1080)),N(L1080)&lt;0))),"Durée invalide",IF(OR(AND(N1080&lt;&gt;"",OR(NOT(ISNUMBER(N1080)),N(N1080)&lt;0)),AND(P1080&lt;&gt;"",OR(NOT(ISNUMBER(P1080)),N(P1080)&lt;0))),"Coût invalide",IF(AND(M1080&lt;&gt;"",ISNA(MATCH(M1080,tech_name,0))),"Technicien inconnu",IF(AND(I1080="Terminée",S1080&gt;p_today),"Terminée à une date future",IF(AND(I1080="Terminée",V1080=0),"Durée d'intervention manquante",IF(AND(I1080="Terminée",E1080="Préventif",T1080=0,OR(IFERROR(INDEX(pl_trig,MATCH(F1080,pl_num,0))&amp;"","")="Compteur",IFERROR(INDEX(pl_trig,MATCH(F1080,pl_num,0))&amp;"","")="Au premier des deux")),"Compteur manquant (plan au compteur)","OK"))))))))))))))))))</f>
        <v/>
      </c>
      <c r="S1080" s="67">
        <f>IF(AND(ISNUMBER(B1080),N(B1080)&gt;0),INT(B1080),0)</f>
        <v>0.0</v>
      </c>
      <c r="T1080" s="67">
        <f>IF(AND(ISNUMBER(J1080),N(J1080)&gt;=0),N(J1080),0)</f>
        <v>0.0</v>
      </c>
      <c r="U1080" s="67">
        <f>IF(AND(ISNUMBER(K1080),N(K1080)&gt;0),N(K1080),0)</f>
        <v>0.0</v>
      </c>
      <c r="V1080" s="67">
        <f>IF(AND(ISNUMBER(L1080),N(L1080)&gt;0),N(L1080),0)</f>
        <v>0.0</v>
      </c>
      <c r="W1080" s="67">
        <f>IF(AND(I1080="Terminée",S1080&gt;0,C1080&lt;&gt;"",ISNUMBER(MATCH(C1080,eq_code,0))),1,0)</f>
        <v>0.0</v>
      </c>
      <c r="X1080" s="67">
        <f>IF(AND(W1080=1,E1080="Préventif"),1,0)</f>
        <v>0.0</v>
      </c>
      <c r="Y1080" s="67">
        <f>IF(AND(ISNUMBER(N1080),N(N1080)&gt;0),N(N1080),0)</f>
        <v>0.0</v>
      </c>
      <c r="Z1080" s="67">
        <f>IF(AND(ISNUMBER(P1080),N(P1080)&gt;0),N(P1080),0)</f>
        <v>0.0</v>
      </c>
    </row>
    <row r="1081">
      <c r="A1081" s="79" t="str">
        <f>IF(COUNTA(B1081:C1081,E1081:G1081,I1081)=0,"","BI-"&amp;RIGHT("0000"&amp;(ROW()-5),4))</f>
        <v/>
      </c>
      <c r="B1081" s="72" t="n"/>
      <c r="C1081" s="66" t="n"/>
      <c r="D1081" s="67" t="str">
        <f>IF(C1081="","",IFERROR(INDEX(eq_des,MATCH(C1081,eq_code,0))&amp;"","Équipement inconnu"))</f>
        <v/>
      </c>
      <c r="E1081" s="68" t="n"/>
      <c r="F1081" s="68" t="n"/>
      <c r="G1081" s="66" t="n"/>
      <c r="H1081" s="66" t="n"/>
      <c r="I1081" s="68" t="n"/>
      <c r="J1081" s="73" t="n"/>
      <c r="K1081" s="71" t="n"/>
      <c r="L1081" s="71" t="n"/>
      <c r="M1081" s="66" t="n"/>
      <c r="N1081" s="80" t="n"/>
      <c r="O1081" s="81" t="str">
        <f>IF(A1081="","",ROUND(V1081*IFERROR(N(INDEX(tech_rate,MATCH(M1081,tech_name,0))),0),2))</f>
        <v/>
      </c>
      <c r="P1081" s="80" t="n"/>
      <c r="Q1081" s="81" t="str">
        <f>IF(A1081="","",ROUND(Y1081+O1081+Z1081,2))</f>
        <v/>
      </c>
      <c r="R1081" s="79" t="str">
        <f>IF(A1081="","",IF(S1081=0,"Date manquante ou invalide",IF(C1081="","Équipement manquant",IF(ISNA(MATCH(C1081,eq_code,0)),"Équipement inconnu",IF(E1081="","Type manquant",IF(AND(E1081&lt;&gt;"Préventif",E1081&lt;&gt;"Correctif",E1081&lt;&gt;"Amélioratif"),"Type inconnu",IF(I1081="","Statut manquant",IF(AND(I1081&lt;&gt;"Terminée",I1081&lt;&gt;"En cours",I1081&lt;&gt;"À faire",I1081&lt;&gt;"Annulée"),"Statut inconnu",IF(AND(E1081="Préventif",F1081=""),"Plan manquant (préventif)",IF(AND(F1081&lt;&gt;"",ISNA(MATCH(F1081,pl_num,0))),"Plan inconnu",IF(AND(F1081&lt;&gt;"",IFERROR(INDEX(pl_eq,MATCH(F1081,pl_num,0))&amp;"",C1081)&lt;&gt;C1081),"Plan d'un autre équipement",IF(AND(J1081&lt;&gt;"",OR(NOT(ISNUMBER(J1081)),N(J1081)&lt;0)),"Compteur invalide",IF(OR(AND(K1081&lt;&gt;"",OR(NOT(ISNUMBER(K1081)),N(K1081)&lt;0)),AND(L1081&lt;&gt;"",OR(NOT(ISNUMBER(L1081)),N(L1081)&lt;0))),"Durée invalide",IF(OR(AND(N1081&lt;&gt;"",OR(NOT(ISNUMBER(N1081)),N(N1081)&lt;0)),AND(P1081&lt;&gt;"",OR(NOT(ISNUMBER(P1081)),N(P1081)&lt;0))),"Coût invalide",IF(AND(M1081&lt;&gt;"",ISNA(MATCH(M1081,tech_name,0))),"Technicien inconnu",IF(AND(I1081="Terminée",S1081&gt;p_today),"Terminée à une date future",IF(AND(I1081="Terminée",V1081=0),"Durée d'intervention manquante",IF(AND(I1081="Terminée",E1081="Préventif",T1081=0,OR(IFERROR(INDEX(pl_trig,MATCH(F1081,pl_num,0))&amp;"","")="Compteur",IFERROR(INDEX(pl_trig,MATCH(F1081,pl_num,0))&amp;"","")="Au premier des deux")),"Compteur manquant (plan au compteur)","OK"))))))))))))))))))</f>
        <v/>
      </c>
      <c r="S1081" s="67">
        <f>IF(AND(ISNUMBER(B1081),N(B1081)&gt;0),INT(B1081),0)</f>
        <v>0.0</v>
      </c>
      <c r="T1081" s="67">
        <f>IF(AND(ISNUMBER(J1081),N(J1081)&gt;=0),N(J1081),0)</f>
        <v>0.0</v>
      </c>
      <c r="U1081" s="67">
        <f>IF(AND(ISNUMBER(K1081),N(K1081)&gt;0),N(K1081),0)</f>
        <v>0.0</v>
      </c>
      <c r="V1081" s="67">
        <f>IF(AND(ISNUMBER(L1081),N(L1081)&gt;0),N(L1081),0)</f>
        <v>0.0</v>
      </c>
      <c r="W1081" s="67">
        <f>IF(AND(I1081="Terminée",S1081&gt;0,C1081&lt;&gt;"",ISNUMBER(MATCH(C1081,eq_code,0))),1,0)</f>
        <v>0.0</v>
      </c>
      <c r="X1081" s="67">
        <f>IF(AND(W1081=1,E1081="Préventif"),1,0)</f>
        <v>0.0</v>
      </c>
      <c r="Y1081" s="67">
        <f>IF(AND(ISNUMBER(N1081),N(N1081)&gt;0),N(N1081),0)</f>
        <v>0.0</v>
      </c>
      <c r="Z1081" s="67">
        <f>IF(AND(ISNUMBER(P1081),N(P1081)&gt;0),N(P1081),0)</f>
        <v>0.0</v>
      </c>
    </row>
    <row r="1082">
      <c r="A1082" s="79" t="str">
        <f>IF(COUNTA(B1082:C1082,E1082:G1082,I1082)=0,"","BI-"&amp;RIGHT("0000"&amp;(ROW()-5),4))</f>
        <v/>
      </c>
      <c r="B1082" s="72" t="n"/>
      <c r="C1082" s="66" t="n"/>
      <c r="D1082" s="67" t="str">
        <f>IF(C1082="","",IFERROR(INDEX(eq_des,MATCH(C1082,eq_code,0))&amp;"","Équipement inconnu"))</f>
        <v/>
      </c>
      <c r="E1082" s="68" t="n"/>
      <c r="F1082" s="68" t="n"/>
      <c r="G1082" s="66" t="n"/>
      <c r="H1082" s="66" t="n"/>
      <c r="I1082" s="68" t="n"/>
      <c r="J1082" s="73" t="n"/>
      <c r="K1082" s="71" t="n"/>
      <c r="L1082" s="71" t="n"/>
      <c r="M1082" s="66" t="n"/>
      <c r="N1082" s="80" t="n"/>
      <c r="O1082" s="81" t="str">
        <f>IF(A1082="","",ROUND(V1082*IFERROR(N(INDEX(tech_rate,MATCH(M1082,tech_name,0))),0),2))</f>
        <v/>
      </c>
      <c r="P1082" s="80" t="n"/>
      <c r="Q1082" s="81" t="str">
        <f>IF(A1082="","",ROUND(Y1082+O1082+Z1082,2))</f>
        <v/>
      </c>
      <c r="R1082" s="79" t="str">
        <f>IF(A1082="","",IF(S1082=0,"Date manquante ou invalide",IF(C1082="","Équipement manquant",IF(ISNA(MATCH(C1082,eq_code,0)),"Équipement inconnu",IF(E1082="","Type manquant",IF(AND(E1082&lt;&gt;"Préventif",E1082&lt;&gt;"Correctif",E1082&lt;&gt;"Amélioratif"),"Type inconnu",IF(I1082="","Statut manquant",IF(AND(I1082&lt;&gt;"Terminée",I1082&lt;&gt;"En cours",I1082&lt;&gt;"À faire",I1082&lt;&gt;"Annulée"),"Statut inconnu",IF(AND(E1082="Préventif",F1082=""),"Plan manquant (préventif)",IF(AND(F1082&lt;&gt;"",ISNA(MATCH(F1082,pl_num,0))),"Plan inconnu",IF(AND(F1082&lt;&gt;"",IFERROR(INDEX(pl_eq,MATCH(F1082,pl_num,0))&amp;"",C1082)&lt;&gt;C1082),"Plan d'un autre équipement",IF(AND(J1082&lt;&gt;"",OR(NOT(ISNUMBER(J1082)),N(J1082)&lt;0)),"Compteur invalide",IF(OR(AND(K1082&lt;&gt;"",OR(NOT(ISNUMBER(K1082)),N(K1082)&lt;0)),AND(L1082&lt;&gt;"",OR(NOT(ISNUMBER(L1082)),N(L1082)&lt;0))),"Durée invalide",IF(OR(AND(N1082&lt;&gt;"",OR(NOT(ISNUMBER(N1082)),N(N1082)&lt;0)),AND(P1082&lt;&gt;"",OR(NOT(ISNUMBER(P1082)),N(P1082)&lt;0))),"Coût invalide",IF(AND(M1082&lt;&gt;"",ISNA(MATCH(M1082,tech_name,0))),"Technicien inconnu",IF(AND(I1082="Terminée",S1082&gt;p_today),"Terminée à une date future",IF(AND(I1082="Terminée",V1082=0),"Durée d'intervention manquante",IF(AND(I1082="Terminée",E1082="Préventif",T1082=0,OR(IFERROR(INDEX(pl_trig,MATCH(F1082,pl_num,0))&amp;"","")="Compteur",IFERROR(INDEX(pl_trig,MATCH(F1082,pl_num,0))&amp;"","")="Au premier des deux")),"Compteur manquant (plan au compteur)","OK"))))))))))))))))))</f>
        <v/>
      </c>
      <c r="S1082" s="67">
        <f>IF(AND(ISNUMBER(B1082),N(B1082)&gt;0),INT(B1082),0)</f>
        <v>0.0</v>
      </c>
      <c r="T1082" s="67">
        <f>IF(AND(ISNUMBER(J1082),N(J1082)&gt;=0),N(J1082),0)</f>
        <v>0.0</v>
      </c>
      <c r="U1082" s="67">
        <f>IF(AND(ISNUMBER(K1082),N(K1082)&gt;0),N(K1082),0)</f>
        <v>0.0</v>
      </c>
      <c r="V1082" s="67">
        <f>IF(AND(ISNUMBER(L1082),N(L1082)&gt;0),N(L1082),0)</f>
        <v>0.0</v>
      </c>
      <c r="W1082" s="67">
        <f>IF(AND(I1082="Terminée",S1082&gt;0,C1082&lt;&gt;"",ISNUMBER(MATCH(C1082,eq_code,0))),1,0)</f>
        <v>0.0</v>
      </c>
      <c r="X1082" s="67">
        <f>IF(AND(W1082=1,E1082="Préventif"),1,0)</f>
        <v>0.0</v>
      </c>
      <c r="Y1082" s="67">
        <f>IF(AND(ISNUMBER(N1082),N(N1082)&gt;0),N(N1082),0)</f>
        <v>0.0</v>
      </c>
      <c r="Z1082" s="67">
        <f>IF(AND(ISNUMBER(P1082),N(P1082)&gt;0),N(P1082),0)</f>
        <v>0.0</v>
      </c>
    </row>
    <row r="1083">
      <c r="A1083" s="79" t="str">
        <f>IF(COUNTA(B1083:C1083,E1083:G1083,I1083)=0,"","BI-"&amp;RIGHT("0000"&amp;(ROW()-5),4))</f>
        <v/>
      </c>
      <c r="B1083" s="72" t="n"/>
      <c r="C1083" s="66" t="n"/>
      <c r="D1083" s="67" t="str">
        <f>IF(C1083="","",IFERROR(INDEX(eq_des,MATCH(C1083,eq_code,0))&amp;"","Équipement inconnu"))</f>
        <v/>
      </c>
      <c r="E1083" s="68" t="n"/>
      <c r="F1083" s="68" t="n"/>
      <c r="G1083" s="66" t="n"/>
      <c r="H1083" s="66" t="n"/>
      <c r="I1083" s="68" t="n"/>
      <c r="J1083" s="73" t="n"/>
      <c r="K1083" s="71" t="n"/>
      <c r="L1083" s="71" t="n"/>
      <c r="M1083" s="66" t="n"/>
      <c r="N1083" s="80" t="n"/>
      <c r="O1083" s="81" t="str">
        <f>IF(A1083="","",ROUND(V1083*IFERROR(N(INDEX(tech_rate,MATCH(M1083,tech_name,0))),0),2))</f>
        <v/>
      </c>
      <c r="P1083" s="80" t="n"/>
      <c r="Q1083" s="81" t="str">
        <f>IF(A1083="","",ROUND(Y1083+O1083+Z1083,2))</f>
        <v/>
      </c>
      <c r="R1083" s="79" t="str">
        <f>IF(A1083="","",IF(S1083=0,"Date manquante ou invalide",IF(C1083="","Équipement manquant",IF(ISNA(MATCH(C1083,eq_code,0)),"Équipement inconnu",IF(E1083="","Type manquant",IF(AND(E1083&lt;&gt;"Préventif",E1083&lt;&gt;"Correctif",E1083&lt;&gt;"Amélioratif"),"Type inconnu",IF(I1083="","Statut manquant",IF(AND(I1083&lt;&gt;"Terminée",I1083&lt;&gt;"En cours",I1083&lt;&gt;"À faire",I1083&lt;&gt;"Annulée"),"Statut inconnu",IF(AND(E1083="Préventif",F1083=""),"Plan manquant (préventif)",IF(AND(F1083&lt;&gt;"",ISNA(MATCH(F1083,pl_num,0))),"Plan inconnu",IF(AND(F1083&lt;&gt;"",IFERROR(INDEX(pl_eq,MATCH(F1083,pl_num,0))&amp;"",C1083)&lt;&gt;C1083),"Plan d'un autre équipement",IF(AND(J1083&lt;&gt;"",OR(NOT(ISNUMBER(J1083)),N(J1083)&lt;0)),"Compteur invalide",IF(OR(AND(K1083&lt;&gt;"",OR(NOT(ISNUMBER(K1083)),N(K1083)&lt;0)),AND(L1083&lt;&gt;"",OR(NOT(ISNUMBER(L1083)),N(L1083)&lt;0))),"Durée invalide",IF(OR(AND(N1083&lt;&gt;"",OR(NOT(ISNUMBER(N1083)),N(N1083)&lt;0)),AND(P1083&lt;&gt;"",OR(NOT(ISNUMBER(P1083)),N(P1083)&lt;0))),"Coût invalide",IF(AND(M1083&lt;&gt;"",ISNA(MATCH(M1083,tech_name,0))),"Technicien inconnu",IF(AND(I1083="Terminée",S1083&gt;p_today),"Terminée à une date future",IF(AND(I1083="Terminée",V1083=0),"Durée d'intervention manquante",IF(AND(I1083="Terminée",E1083="Préventif",T1083=0,OR(IFERROR(INDEX(pl_trig,MATCH(F1083,pl_num,0))&amp;"","")="Compteur",IFERROR(INDEX(pl_trig,MATCH(F1083,pl_num,0))&amp;"","")="Au premier des deux")),"Compteur manquant (plan au compteur)","OK"))))))))))))))))))</f>
        <v/>
      </c>
      <c r="S1083" s="67">
        <f>IF(AND(ISNUMBER(B1083),N(B1083)&gt;0),INT(B1083),0)</f>
        <v>0.0</v>
      </c>
      <c r="T1083" s="67">
        <f>IF(AND(ISNUMBER(J1083),N(J1083)&gt;=0),N(J1083),0)</f>
        <v>0.0</v>
      </c>
      <c r="U1083" s="67">
        <f>IF(AND(ISNUMBER(K1083),N(K1083)&gt;0),N(K1083),0)</f>
        <v>0.0</v>
      </c>
      <c r="V1083" s="67">
        <f>IF(AND(ISNUMBER(L1083),N(L1083)&gt;0),N(L1083),0)</f>
        <v>0.0</v>
      </c>
      <c r="W1083" s="67">
        <f>IF(AND(I1083="Terminée",S1083&gt;0,C1083&lt;&gt;"",ISNUMBER(MATCH(C1083,eq_code,0))),1,0)</f>
        <v>0.0</v>
      </c>
      <c r="X1083" s="67">
        <f>IF(AND(W1083=1,E1083="Préventif"),1,0)</f>
        <v>0.0</v>
      </c>
      <c r="Y1083" s="67">
        <f>IF(AND(ISNUMBER(N1083),N(N1083)&gt;0),N(N1083),0)</f>
        <v>0.0</v>
      </c>
      <c r="Z1083" s="67">
        <f>IF(AND(ISNUMBER(P1083),N(P1083)&gt;0),N(P1083),0)</f>
        <v>0.0</v>
      </c>
    </row>
    <row r="1084">
      <c r="A1084" s="79" t="str">
        <f>IF(COUNTA(B1084:C1084,E1084:G1084,I1084)=0,"","BI-"&amp;RIGHT("0000"&amp;(ROW()-5),4))</f>
        <v/>
      </c>
      <c r="B1084" s="72" t="n"/>
      <c r="C1084" s="66" t="n"/>
      <c r="D1084" s="67" t="str">
        <f>IF(C1084="","",IFERROR(INDEX(eq_des,MATCH(C1084,eq_code,0))&amp;"","Équipement inconnu"))</f>
        <v/>
      </c>
      <c r="E1084" s="68" t="n"/>
      <c r="F1084" s="68" t="n"/>
      <c r="G1084" s="66" t="n"/>
      <c r="H1084" s="66" t="n"/>
      <c r="I1084" s="68" t="n"/>
      <c r="J1084" s="73" t="n"/>
      <c r="K1084" s="71" t="n"/>
      <c r="L1084" s="71" t="n"/>
      <c r="M1084" s="66" t="n"/>
      <c r="N1084" s="80" t="n"/>
      <c r="O1084" s="81" t="str">
        <f>IF(A1084="","",ROUND(V1084*IFERROR(N(INDEX(tech_rate,MATCH(M1084,tech_name,0))),0),2))</f>
        <v/>
      </c>
      <c r="P1084" s="80" t="n"/>
      <c r="Q1084" s="81" t="str">
        <f>IF(A1084="","",ROUND(Y1084+O1084+Z1084,2))</f>
        <v/>
      </c>
      <c r="R1084" s="79" t="str">
        <f>IF(A1084="","",IF(S1084=0,"Date manquante ou invalide",IF(C1084="","Équipement manquant",IF(ISNA(MATCH(C1084,eq_code,0)),"Équipement inconnu",IF(E1084="","Type manquant",IF(AND(E1084&lt;&gt;"Préventif",E1084&lt;&gt;"Correctif",E1084&lt;&gt;"Amélioratif"),"Type inconnu",IF(I1084="","Statut manquant",IF(AND(I1084&lt;&gt;"Terminée",I1084&lt;&gt;"En cours",I1084&lt;&gt;"À faire",I1084&lt;&gt;"Annulée"),"Statut inconnu",IF(AND(E1084="Préventif",F1084=""),"Plan manquant (préventif)",IF(AND(F1084&lt;&gt;"",ISNA(MATCH(F1084,pl_num,0))),"Plan inconnu",IF(AND(F1084&lt;&gt;"",IFERROR(INDEX(pl_eq,MATCH(F1084,pl_num,0))&amp;"",C1084)&lt;&gt;C1084),"Plan d'un autre équipement",IF(AND(J1084&lt;&gt;"",OR(NOT(ISNUMBER(J1084)),N(J1084)&lt;0)),"Compteur invalide",IF(OR(AND(K1084&lt;&gt;"",OR(NOT(ISNUMBER(K1084)),N(K1084)&lt;0)),AND(L1084&lt;&gt;"",OR(NOT(ISNUMBER(L1084)),N(L1084)&lt;0))),"Durée invalide",IF(OR(AND(N1084&lt;&gt;"",OR(NOT(ISNUMBER(N1084)),N(N1084)&lt;0)),AND(P1084&lt;&gt;"",OR(NOT(ISNUMBER(P1084)),N(P1084)&lt;0))),"Coût invalide",IF(AND(M1084&lt;&gt;"",ISNA(MATCH(M1084,tech_name,0))),"Technicien inconnu",IF(AND(I1084="Terminée",S1084&gt;p_today),"Terminée à une date future",IF(AND(I1084="Terminée",V1084=0),"Durée d'intervention manquante",IF(AND(I1084="Terminée",E1084="Préventif",T1084=0,OR(IFERROR(INDEX(pl_trig,MATCH(F1084,pl_num,0))&amp;"","")="Compteur",IFERROR(INDEX(pl_trig,MATCH(F1084,pl_num,0))&amp;"","")="Au premier des deux")),"Compteur manquant (plan au compteur)","OK"))))))))))))))))))</f>
        <v/>
      </c>
      <c r="S1084" s="67">
        <f>IF(AND(ISNUMBER(B1084),N(B1084)&gt;0),INT(B1084),0)</f>
        <v>0.0</v>
      </c>
      <c r="T1084" s="67">
        <f>IF(AND(ISNUMBER(J1084),N(J1084)&gt;=0),N(J1084),0)</f>
        <v>0.0</v>
      </c>
      <c r="U1084" s="67">
        <f>IF(AND(ISNUMBER(K1084),N(K1084)&gt;0),N(K1084),0)</f>
        <v>0.0</v>
      </c>
      <c r="V1084" s="67">
        <f>IF(AND(ISNUMBER(L1084),N(L1084)&gt;0),N(L1084),0)</f>
        <v>0.0</v>
      </c>
      <c r="W1084" s="67">
        <f>IF(AND(I1084="Terminée",S1084&gt;0,C1084&lt;&gt;"",ISNUMBER(MATCH(C1084,eq_code,0))),1,0)</f>
        <v>0.0</v>
      </c>
      <c r="X1084" s="67">
        <f>IF(AND(W1084=1,E1084="Préventif"),1,0)</f>
        <v>0.0</v>
      </c>
      <c r="Y1084" s="67">
        <f>IF(AND(ISNUMBER(N1084),N(N1084)&gt;0),N(N1084),0)</f>
        <v>0.0</v>
      </c>
      <c r="Z1084" s="67">
        <f>IF(AND(ISNUMBER(P1084),N(P1084)&gt;0),N(P1084),0)</f>
        <v>0.0</v>
      </c>
    </row>
    <row r="1085">
      <c r="A1085" s="79" t="str">
        <f>IF(COUNTA(B1085:C1085,E1085:G1085,I1085)=0,"","BI-"&amp;RIGHT("0000"&amp;(ROW()-5),4))</f>
        <v/>
      </c>
      <c r="B1085" s="72" t="n"/>
      <c r="C1085" s="66" t="n"/>
      <c r="D1085" s="67" t="str">
        <f>IF(C1085="","",IFERROR(INDEX(eq_des,MATCH(C1085,eq_code,0))&amp;"","Équipement inconnu"))</f>
        <v/>
      </c>
      <c r="E1085" s="68" t="n"/>
      <c r="F1085" s="68" t="n"/>
      <c r="G1085" s="66" t="n"/>
      <c r="H1085" s="66" t="n"/>
      <c r="I1085" s="68" t="n"/>
      <c r="J1085" s="73" t="n"/>
      <c r="K1085" s="71" t="n"/>
      <c r="L1085" s="71" t="n"/>
      <c r="M1085" s="66" t="n"/>
      <c r="N1085" s="80" t="n"/>
      <c r="O1085" s="81" t="str">
        <f>IF(A1085="","",ROUND(V1085*IFERROR(N(INDEX(tech_rate,MATCH(M1085,tech_name,0))),0),2))</f>
        <v/>
      </c>
      <c r="P1085" s="80" t="n"/>
      <c r="Q1085" s="81" t="str">
        <f>IF(A1085="","",ROUND(Y1085+O1085+Z1085,2))</f>
        <v/>
      </c>
      <c r="R1085" s="79" t="str">
        <f>IF(A1085="","",IF(S1085=0,"Date manquante ou invalide",IF(C1085="","Équipement manquant",IF(ISNA(MATCH(C1085,eq_code,0)),"Équipement inconnu",IF(E1085="","Type manquant",IF(AND(E1085&lt;&gt;"Préventif",E1085&lt;&gt;"Correctif",E1085&lt;&gt;"Amélioratif"),"Type inconnu",IF(I1085="","Statut manquant",IF(AND(I1085&lt;&gt;"Terminée",I1085&lt;&gt;"En cours",I1085&lt;&gt;"À faire",I1085&lt;&gt;"Annulée"),"Statut inconnu",IF(AND(E1085="Préventif",F1085=""),"Plan manquant (préventif)",IF(AND(F1085&lt;&gt;"",ISNA(MATCH(F1085,pl_num,0))),"Plan inconnu",IF(AND(F1085&lt;&gt;"",IFERROR(INDEX(pl_eq,MATCH(F1085,pl_num,0))&amp;"",C1085)&lt;&gt;C1085),"Plan d'un autre équipement",IF(AND(J1085&lt;&gt;"",OR(NOT(ISNUMBER(J1085)),N(J1085)&lt;0)),"Compteur invalide",IF(OR(AND(K1085&lt;&gt;"",OR(NOT(ISNUMBER(K1085)),N(K1085)&lt;0)),AND(L1085&lt;&gt;"",OR(NOT(ISNUMBER(L1085)),N(L1085)&lt;0))),"Durée invalide",IF(OR(AND(N1085&lt;&gt;"",OR(NOT(ISNUMBER(N1085)),N(N1085)&lt;0)),AND(P1085&lt;&gt;"",OR(NOT(ISNUMBER(P1085)),N(P1085)&lt;0))),"Coût invalide",IF(AND(M1085&lt;&gt;"",ISNA(MATCH(M1085,tech_name,0))),"Technicien inconnu",IF(AND(I1085="Terminée",S1085&gt;p_today),"Terminée à une date future",IF(AND(I1085="Terminée",V1085=0),"Durée d'intervention manquante",IF(AND(I1085="Terminée",E1085="Préventif",T1085=0,OR(IFERROR(INDEX(pl_trig,MATCH(F1085,pl_num,0))&amp;"","")="Compteur",IFERROR(INDEX(pl_trig,MATCH(F1085,pl_num,0))&amp;"","")="Au premier des deux")),"Compteur manquant (plan au compteur)","OK"))))))))))))))))))</f>
        <v/>
      </c>
      <c r="S1085" s="67">
        <f>IF(AND(ISNUMBER(B1085),N(B1085)&gt;0),INT(B1085),0)</f>
        <v>0.0</v>
      </c>
      <c r="T1085" s="67">
        <f>IF(AND(ISNUMBER(J1085),N(J1085)&gt;=0),N(J1085),0)</f>
        <v>0.0</v>
      </c>
      <c r="U1085" s="67">
        <f>IF(AND(ISNUMBER(K1085),N(K1085)&gt;0),N(K1085),0)</f>
        <v>0.0</v>
      </c>
      <c r="V1085" s="67">
        <f>IF(AND(ISNUMBER(L1085),N(L1085)&gt;0),N(L1085),0)</f>
        <v>0.0</v>
      </c>
      <c r="W1085" s="67">
        <f>IF(AND(I1085="Terminée",S1085&gt;0,C1085&lt;&gt;"",ISNUMBER(MATCH(C1085,eq_code,0))),1,0)</f>
        <v>0.0</v>
      </c>
      <c r="X1085" s="67">
        <f>IF(AND(W1085=1,E1085="Préventif"),1,0)</f>
        <v>0.0</v>
      </c>
      <c r="Y1085" s="67">
        <f>IF(AND(ISNUMBER(N1085),N(N1085)&gt;0),N(N1085),0)</f>
        <v>0.0</v>
      </c>
      <c r="Z1085" s="67">
        <f>IF(AND(ISNUMBER(P1085),N(P1085)&gt;0),N(P1085),0)</f>
        <v>0.0</v>
      </c>
    </row>
    <row r="1086">
      <c r="A1086" s="79" t="str">
        <f>IF(COUNTA(B1086:C1086,E1086:G1086,I1086)=0,"","BI-"&amp;RIGHT("0000"&amp;(ROW()-5),4))</f>
        <v/>
      </c>
      <c r="B1086" s="72" t="n"/>
      <c r="C1086" s="66" t="n"/>
      <c r="D1086" s="67" t="str">
        <f>IF(C1086="","",IFERROR(INDEX(eq_des,MATCH(C1086,eq_code,0))&amp;"","Équipement inconnu"))</f>
        <v/>
      </c>
      <c r="E1086" s="68" t="n"/>
      <c r="F1086" s="68" t="n"/>
      <c r="G1086" s="66" t="n"/>
      <c r="H1086" s="66" t="n"/>
      <c r="I1086" s="68" t="n"/>
      <c r="J1086" s="73" t="n"/>
      <c r="K1086" s="71" t="n"/>
      <c r="L1086" s="71" t="n"/>
      <c r="M1086" s="66" t="n"/>
      <c r="N1086" s="80" t="n"/>
      <c r="O1086" s="81" t="str">
        <f>IF(A1086="","",ROUND(V1086*IFERROR(N(INDEX(tech_rate,MATCH(M1086,tech_name,0))),0),2))</f>
        <v/>
      </c>
      <c r="P1086" s="80" t="n"/>
      <c r="Q1086" s="81" t="str">
        <f>IF(A1086="","",ROUND(Y1086+O1086+Z1086,2))</f>
        <v/>
      </c>
      <c r="R1086" s="79" t="str">
        <f>IF(A1086="","",IF(S1086=0,"Date manquante ou invalide",IF(C1086="","Équipement manquant",IF(ISNA(MATCH(C1086,eq_code,0)),"Équipement inconnu",IF(E1086="","Type manquant",IF(AND(E1086&lt;&gt;"Préventif",E1086&lt;&gt;"Correctif",E1086&lt;&gt;"Amélioratif"),"Type inconnu",IF(I1086="","Statut manquant",IF(AND(I1086&lt;&gt;"Terminée",I1086&lt;&gt;"En cours",I1086&lt;&gt;"À faire",I1086&lt;&gt;"Annulée"),"Statut inconnu",IF(AND(E1086="Préventif",F1086=""),"Plan manquant (préventif)",IF(AND(F1086&lt;&gt;"",ISNA(MATCH(F1086,pl_num,0))),"Plan inconnu",IF(AND(F1086&lt;&gt;"",IFERROR(INDEX(pl_eq,MATCH(F1086,pl_num,0))&amp;"",C1086)&lt;&gt;C1086),"Plan d'un autre équipement",IF(AND(J1086&lt;&gt;"",OR(NOT(ISNUMBER(J1086)),N(J1086)&lt;0)),"Compteur invalide",IF(OR(AND(K1086&lt;&gt;"",OR(NOT(ISNUMBER(K1086)),N(K1086)&lt;0)),AND(L1086&lt;&gt;"",OR(NOT(ISNUMBER(L1086)),N(L1086)&lt;0))),"Durée invalide",IF(OR(AND(N1086&lt;&gt;"",OR(NOT(ISNUMBER(N1086)),N(N1086)&lt;0)),AND(P1086&lt;&gt;"",OR(NOT(ISNUMBER(P1086)),N(P1086)&lt;0))),"Coût invalide",IF(AND(M1086&lt;&gt;"",ISNA(MATCH(M1086,tech_name,0))),"Technicien inconnu",IF(AND(I1086="Terminée",S1086&gt;p_today),"Terminée à une date future",IF(AND(I1086="Terminée",V1086=0),"Durée d'intervention manquante",IF(AND(I1086="Terminée",E1086="Préventif",T1086=0,OR(IFERROR(INDEX(pl_trig,MATCH(F1086,pl_num,0))&amp;"","")="Compteur",IFERROR(INDEX(pl_trig,MATCH(F1086,pl_num,0))&amp;"","")="Au premier des deux")),"Compteur manquant (plan au compteur)","OK"))))))))))))))))))</f>
        <v/>
      </c>
      <c r="S1086" s="67">
        <f>IF(AND(ISNUMBER(B1086),N(B1086)&gt;0),INT(B1086),0)</f>
        <v>0.0</v>
      </c>
      <c r="T1086" s="67">
        <f>IF(AND(ISNUMBER(J1086),N(J1086)&gt;=0),N(J1086),0)</f>
        <v>0.0</v>
      </c>
      <c r="U1086" s="67">
        <f>IF(AND(ISNUMBER(K1086),N(K1086)&gt;0),N(K1086),0)</f>
        <v>0.0</v>
      </c>
      <c r="V1086" s="67">
        <f>IF(AND(ISNUMBER(L1086),N(L1086)&gt;0),N(L1086),0)</f>
        <v>0.0</v>
      </c>
      <c r="W1086" s="67">
        <f>IF(AND(I1086="Terminée",S1086&gt;0,C1086&lt;&gt;"",ISNUMBER(MATCH(C1086,eq_code,0))),1,0)</f>
        <v>0.0</v>
      </c>
      <c r="X1086" s="67">
        <f>IF(AND(W1086=1,E1086="Préventif"),1,0)</f>
        <v>0.0</v>
      </c>
      <c r="Y1086" s="67">
        <f>IF(AND(ISNUMBER(N1086),N(N1086)&gt;0),N(N1086),0)</f>
        <v>0.0</v>
      </c>
      <c r="Z1086" s="67">
        <f>IF(AND(ISNUMBER(P1086),N(P1086)&gt;0),N(P1086),0)</f>
        <v>0.0</v>
      </c>
    </row>
    <row r="1087">
      <c r="A1087" s="79" t="str">
        <f>IF(COUNTA(B1087:C1087,E1087:G1087,I1087)=0,"","BI-"&amp;RIGHT("0000"&amp;(ROW()-5),4))</f>
        <v/>
      </c>
      <c r="B1087" s="72" t="n"/>
      <c r="C1087" s="66" t="n"/>
      <c r="D1087" s="67" t="str">
        <f>IF(C1087="","",IFERROR(INDEX(eq_des,MATCH(C1087,eq_code,0))&amp;"","Équipement inconnu"))</f>
        <v/>
      </c>
      <c r="E1087" s="68" t="n"/>
      <c r="F1087" s="68" t="n"/>
      <c r="G1087" s="66" t="n"/>
      <c r="H1087" s="66" t="n"/>
      <c r="I1087" s="68" t="n"/>
      <c r="J1087" s="73" t="n"/>
      <c r="K1087" s="71" t="n"/>
      <c r="L1087" s="71" t="n"/>
      <c r="M1087" s="66" t="n"/>
      <c r="N1087" s="80" t="n"/>
      <c r="O1087" s="81" t="str">
        <f>IF(A1087="","",ROUND(V1087*IFERROR(N(INDEX(tech_rate,MATCH(M1087,tech_name,0))),0),2))</f>
        <v/>
      </c>
      <c r="P1087" s="80" t="n"/>
      <c r="Q1087" s="81" t="str">
        <f>IF(A1087="","",ROUND(Y1087+O1087+Z1087,2))</f>
        <v/>
      </c>
      <c r="R1087" s="79" t="str">
        <f>IF(A1087="","",IF(S1087=0,"Date manquante ou invalide",IF(C1087="","Équipement manquant",IF(ISNA(MATCH(C1087,eq_code,0)),"Équipement inconnu",IF(E1087="","Type manquant",IF(AND(E1087&lt;&gt;"Préventif",E1087&lt;&gt;"Correctif",E1087&lt;&gt;"Amélioratif"),"Type inconnu",IF(I1087="","Statut manquant",IF(AND(I1087&lt;&gt;"Terminée",I1087&lt;&gt;"En cours",I1087&lt;&gt;"À faire",I1087&lt;&gt;"Annulée"),"Statut inconnu",IF(AND(E1087="Préventif",F1087=""),"Plan manquant (préventif)",IF(AND(F1087&lt;&gt;"",ISNA(MATCH(F1087,pl_num,0))),"Plan inconnu",IF(AND(F1087&lt;&gt;"",IFERROR(INDEX(pl_eq,MATCH(F1087,pl_num,0))&amp;"",C1087)&lt;&gt;C1087),"Plan d'un autre équipement",IF(AND(J1087&lt;&gt;"",OR(NOT(ISNUMBER(J1087)),N(J1087)&lt;0)),"Compteur invalide",IF(OR(AND(K1087&lt;&gt;"",OR(NOT(ISNUMBER(K1087)),N(K1087)&lt;0)),AND(L1087&lt;&gt;"",OR(NOT(ISNUMBER(L1087)),N(L1087)&lt;0))),"Durée invalide",IF(OR(AND(N1087&lt;&gt;"",OR(NOT(ISNUMBER(N1087)),N(N1087)&lt;0)),AND(P1087&lt;&gt;"",OR(NOT(ISNUMBER(P1087)),N(P1087)&lt;0))),"Coût invalide",IF(AND(M1087&lt;&gt;"",ISNA(MATCH(M1087,tech_name,0))),"Technicien inconnu",IF(AND(I1087="Terminée",S1087&gt;p_today),"Terminée à une date future",IF(AND(I1087="Terminée",V1087=0),"Durée d'intervention manquante",IF(AND(I1087="Terminée",E1087="Préventif",T1087=0,OR(IFERROR(INDEX(pl_trig,MATCH(F1087,pl_num,0))&amp;"","")="Compteur",IFERROR(INDEX(pl_trig,MATCH(F1087,pl_num,0))&amp;"","")="Au premier des deux")),"Compteur manquant (plan au compteur)","OK"))))))))))))))))))</f>
        <v/>
      </c>
      <c r="S1087" s="67">
        <f>IF(AND(ISNUMBER(B1087),N(B1087)&gt;0),INT(B1087),0)</f>
        <v>0.0</v>
      </c>
      <c r="T1087" s="67">
        <f>IF(AND(ISNUMBER(J1087),N(J1087)&gt;=0),N(J1087),0)</f>
        <v>0.0</v>
      </c>
      <c r="U1087" s="67">
        <f>IF(AND(ISNUMBER(K1087),N(K1087)&gt;0),N(K1087),0)</f>
        <v>0.0</v>
      </c>
      <c r="V1087" s="67">
        <f>IF(AND(ISNUMBER(L1087),N(L1087)&gt;0),N(L1087),0)</f>
        <v>0.0</v>
      </c>
      <c r="W1087" s="67">
        <f>IF(AND(I1087="Terminée",S1087&gt;0,C1087&lt;&gt;"",ISNUMBER(MATCH(C1087,eq_code,0))),1,0)</f>
        <v>0.0</v>
      </c>
      <c r="X1087" s="67">
        <f>IF(AND(W1087=1,E1087="Préventif"),1,0)</f>
        <v>0.0</v>
      </c>
      <c r="Y1087" s="67">
        <f>IF(AND(ISNUMBER(N1087),N(N1087)&gt;0),N(N1087),0)</f>
        <v>0.0</v>
      </c>
      <c r="Z1087" s="67">
        <f>IF(AND(ISNUMBER(P1087),N(P1087)&gt;0),N(P1087),0)</f>
        <v>0.0</v>
      </c>
    </row>
    <row r="1088">
      <c r="A1088" s="79" t="str">
        <f>IF(COUNTA(B1088:C1088,E1088:G1088,I1088)=0,"","BI-"&amp;RIGHT("0000"&amp;(ROW()-5),4))</f>
        <v/>
      </c>
      <c r="B1088" s="72" t="n"/>
      <c r="C1088" s="66" t="n"/>
      <c r="D1088" s="67" t="str">
        <f>IF(C1088="","",IFERROR(INDEX(eq_des,MATCH(C1088,eq_code,0))&amp;"","Équipement inconnu"))</f>
        <v/>
      </c>
      <c r="E1088" s="68" t="n"/>
      <c r="F1088" s="68" t="n"/>
      <c r="G1088" s="66" t="n"/>
      <c r="H1088" s="66" t="n"/>
      <c r="I1088" s="68" t="n"/>
      <c r="J1088" s="73" t="n"/>
      <c r="K1088" s="71" t="n"/>
      <c r="L1088" s="71" t="n"/>
      <c r="M1088" s="66" t="n"/>
      <c r="N1088" s="80" t="n"/>
      <c r="O1088" s="81" t="str">
        <f>IF(A1088="","",ROUND(V1088*IFERROR(N(INDEX(tech_rate,MATCH(M1088,tech_name,0))),0),2))</f>
        <v/>
      </c>
      <c r="P1088" s="80" t="n"/>
      <c r="Q1088" s="81" t="str">
        <f>IF(A1088="","",ROUND(Y1088+O1088+Z1088,2))</f>
        <v/>
      </c>
      <c r="R1088" s="79" t="str">
        <f>IF(A1088="","",IF(S1088=0,"Date manquante ou invalide",IF(C1088="","Équipement manquant",IF(ISNA(MATCH(C1088,eq_code,0)),"Équipement inconnu",IF(E1088="","Type manquant",IF(AND(E1088&lt;&gt;"Préventif",E1088&lt;&gt;"Correctif",E1088&lt;&gt;"Amélioratif"),"Type inconnu",IF(I1088="","Statut manquant",IF(AND(I1088&lt;&gt;"Terminée",I1088&lt;&gt;"En cours",I1088&lt;&gt;"À faire",I1088&lt;&gt;"Annulée"),"Statut inconnu",IF(AND(E1088="Préventif",F1088=""),"Plan manquant (préventif)",IF(AND(F1088&lt;&gt;"",ISNA(MATCH(F1088,pl_num,0))),"Plan inconnu",IF(AND(F1088&lt;&gt;"",IFERROR(INDEX(pl_eq,MATCH(F1088,pl_num,0))&amp;"",C1088)&lt;&gt;C1088),"Plan d'un autre équipement",IF(AND(J1088&lt;&gt;"",OR(NOT(ISNUMBER(J1088)),N(J1088)&lt;0)),"Compteur invalide",IF(OR(AND(K1088&lt;&gt;"",OR(NOT(ISNUMBER(K1088)),N(K1088)&lt;0)),AND(L1088&lt;&gt;"",OR(NOT(ISNUMBER(L1088)),N(L1088)&lt;0))),"Durée invalide",IF(OR(AND(N1088&lt;&gt;"",OR(NOT(ISNUMBER(N1088)),N(N1088)&lt;0)),AND(P1088&lt;&gt;"",OR(NOT(ISNUMBER(P1088)),N(P1088)&lt;0))),"Coût invalide",IF(AND(M1088&lt;&gt;"",ISNA(MATCH(M1088,tech_name,0))),"Technicien inconnu",IF(AND(I1088="Terminée",S1088&gt;p_today),"Terminée à une date future",IF(AND(I1088="Terminée",V1088=0),"Durée d'intervention manquante",IF(AND(I1088="Terminée",E1088="Préventif",T1088=0,OR(IFERROR(INDEX(pl_trig,MATCH(F1088,pl_num,0))&amp;"","")="Compteur",IFERROR(INDEX(pl_trig,MATCH(F1088,pl_num,0))&amp;"","")="Au premier des deux")),"Compteur manquant (plan au compteur)","OK"))))))))))))))))))</f>
        <v/>
      </c>
      <c r="S1088" s="67">
        <f>IF(AND(ISNUMBER(B1088),N(B1088)&gt;0),INT(B1088),0)</f>
        <v>0.0</v>
      </c>
      <c r="T1088" s="67">
        <f>IF(AND(ISNUMBER(J1088),N(J1088)&gt;=0),N(J1088),0)</f>
        <v>0.0</v>
      </c>
      <c r="U1088" s="67">
        <f>IF(AND(ISNUMBER(K1088),N(K1088)&gt;0),N(K1088),0)</f>
        <v>0.0</v>
      </c>
      <c r="V1088" s="67">
        <f>IF(AND(ISNUMBER(L1088),N(L1088)&gt;0),N(L1088),0)</f>
        <v>0.0</v>
      </c>
      <c r="W1088" s="67">
        <f>IF(AND(I1088="Terminée",S1088&gt;0,C1088&lt;&gt;"",ISNUMBER(MATCH(C1088,eq_code,0))),1,0)</f>
        <v>0.0</v>
      </c>
      <c r="X1088" s="67">
        <f>IF(AND(W1088=1,E1088="Préventif"),1,0)</f>
        <v>0.0</v>
      </c>
      <c r="Y1088" s="67">
        <f>IF(AND(ISNUMBER(N1088),N(N1088)&gt;0),N(N1088),0)</f>
        <v>0.0</v>
      </c>
      <c r="Z1088" s="67">
        <f>IF(AND(ISNUMBER(P1088),N(P1088)&gt;0),N(P1088),0)</f>
        <v>0.0</v>
      </c>
    </row>
    <row r="1089">
      <c r="A1089" s="79" t="str">
        <f>IF(COUNTA(B1089:C1089,E1089:G1089,I1089)=0,"","BI-"&amp;RIGHT("0000"&amp;(ROW()-5),4))</f>
        <v/>
      </c>
      <c r="B1089" s="72" t="n"/>
      <c r="C1089" s="66" t="n"/>
      <c r="D1089" s="67" t="str">
        <f>IF(C1089="","",IFERROR(INDEX(eq_des,MATCH(C1089,eq_code,0))&amp;"","Équipement inconnu"))</f>
        <v/>
      </c>
      <c r="E1089" s="68" t="n"/>
      <c r="F1089" s="68" t="n"/>
      <c r="G1089" s="66" t="n"/>
      <c r="H1089" s="66" t="n"/>
      <c r="I1089" s="68" t="n"/>
      <c r="J1089" s="73" t="n"/>
      <c r="K1089" s="71" t="n"/>
      <c r="L1089" s="71" t="n"/>
      <c r="M1089" s="66" t="n"/>
      <c r="N1089" s="80" t="n"/>
      <c r="O1089" s="81" t="str">
        <f>IF(A1089="","",ROUND(V1089*IFERROR(N(INDEX(tech_rate,MATCH(M1089,tech_name,0))),0),2))</f>
        <v/>
      </c>
      <c r="P1089" s="80" t="n"/>
      <c r="Q1089" s="81" t="str">
        <f>IF(A1089="","",ROUND(Y1089+O1089+Z1089,2))</f>
        <v/>
      </c>
      <c r="R1089" s="79" t="str">
        <f>IF(A1089="","",IF(S1089=0,"Date manquante ou invalide",IF(C1089="","Équipement manquant",IF(ISNA(MATCH(C1089,eq_code,0)),"Équipement inconnu",IF(E1089="","Type manquant",IF(AND(E1089&lt;&gt;"Préventif",E1089&lt;&gt;"Correctif",E1089&lt;&gt;"Amélioratif"),"Type inconnu",IF(I1089="","Statut manquant",IF(AND(I1089&lt;&gt;"Terminée",I1089&lt;&gt;"En cours",I1089&lt;&gt;"À faire",I1089&lt;&gt;"Annulée"),"Statut inconnu",IF(AND(E1089="Préventif",F1089=""),"Plan manquant (préventif)",IF(AND(F1089&lt;&gt;"",ISNA(MATCH(F1089,pl_num,0))),"Plan inconnu",IF(AND(F1089&lt;&gt;"",IFERROR(INDEX(pl_eq,MATCH(F1089,pl_num,0))&amp;"",C1089)&lt;&gt;C1089),"Plan d'un autre équipement",IF(AND(J1089&lt;&gt;"",OR(NOT(ISNUMBER(J1089)),N(J1089)&lt;0)),"Compteur invalide",IF(OR(AND(K1089&lt;&gt;"",OR(NOT(ISNUMBER(K1089)),N(K1089)&lt;0)),AND(L1089&lt;&gt;"",OR(NOT(ISNUMBER(L1089)),N(L1089)&lt;0))),"Durée invalide",IF(OR(AND(N1089&lt;&gt;"",OR(NOT(ISNUMBER(N1089)),N(N1089)&lt;0)),AND(P1089&lt;&gt;"",OR(NOT(ISNUMBER(P1089)),N(P1089)&lt;0))),"Coût invalide",IF(AND(M1089&lt;&gt;"",ISNA(MATCH(M1089,tech_name,0))),"Technicien inconnu",IF(AND(I1089="Terminée",S1089&gt;p_today),"Terminée à une date future",IF(AND(I1089="Terminée",V1089=0),"Durée d'intervention manquante",IF(AND(I1089="Terminée",E1089="Préventif",T1089=0,OR(IFERROR(INDEX(pl_trig,MATCH(F1089,pl_num,0))&amp;"","")="Compteur",IFERROR(INDEX(pl_trig,MATCH(F1089,pl_num,0))&amp;"","")="Au premier des deux")),"Compteur manquant (plan au compteur)","OK"))))))))))))))))))</f>
        <v/>
      </c>
      <c r="S1089" s="67">
        <f>IF(AND(ISNUMBER(B1089),N(B1089)&gt;0),INT(B1089),0)</f>
        <v>0.0</v>
      </c>
      <c r="T1089" s="67">
        <f>IF(AND(ISNUMBER(J1089),N(J1089)&gt;=0),N(J1089),0)</f>
        <v>0.0</v>
      </c>
      <c r="U1089" s="67">
        <f>IF(AND(ISNUMBER(K1089),N(K1089)&gt;0),N(K1089),0)</f>
        <v>0.0</v>
      </c>
      <c r="V1089" s="67">
        <f>IF(AND(ISNUMBER(L1089),N(L1089)&gt;0),N(L1089),0)</f>
        <v>0.0</v>
      </c>
      <c r="W1089" s="67">
        <f>IF(AND(I1089="Terminée",S1089&gt;0,C1089&lt;&gt;"",ISNUMBER(MATCH(C1089,eq_code,0))),1,0)</f>
        <v>0.0</v>
      </c>
      <c r="X1089" s="67">
        <f>IF(AND(W1089=1,E1089="Préventif"),1,0)</f>
        <v>0.0</v>
      </c>
      <c r="Y1089" s="67">
        <f>IF(AND(ISNUMBER(N1089),N(N1089)&gt;0),N(N1089),0)</f>
        <v>0.0</v>
      </c>
      <c r="Z1089" s="67">
        <f>IF(AND(ISNUMBER(P1089),N(P1089)&gt;0),N(P1089),0)</f>
        <v>0.0</v>
      </c>
    </row>
    <row r="1090">
      <c r="A1090" s="79" t="str">
        <f>IF(COUNTA(B1090:C1090,E1090:G1090,I1090)=0,"","BI-"&amp;RIGHT("0000"&amp;(ROW()-5),4))</f>
        <v/>
      </c>
      <c r="B1090" s="72" t="n"/>
      <c r="C1090" s="66" t="n"/>
      <c r="D1090" s="67" t="str">
        <f>IF(C1090="","",IFERROR(INDEX(eq_des,MATCH(C1090,eq_code,0))&amp;"","Équipement inconnu"))</f>
        <v/>
      </c>
      <c r="E1090" s="68" t="n"/>
      <c r="F1090" s="68" t="n"/>
      <c r="G1090" s="66" t="n"/>
      <c r="H1090" s="66" t="n"/>
      <c r="I1090" s="68" t="n"/>
      <c r="J1090" s="73" t="n"/>
      <c r="K1090" s="71" t="n"/>
      <c r="L1090" s="71" t="n"/>
      <c r="M1090" s="66" t="n"/>
      <c r="N1090" s="80" t="n"/>
      <c r="O1090" s="81" t="str">
        <f>IF(A1090="","",ROUND(V1090*IFERROR(N(INDEX(tech_rate,MATCH(M1090,tech_name,0))),0),2))</f>
        <v/>
      </c>
      <c r="P1090" s="80" t="n"/>
      <c r="Q1090" s="81" t="str">
        <f>IF(A1090="","",ROUND(Y1090+O1090+Z1090,2))</f>
        <v/>
      </c>
      <c r="R1090" s="79" t="str">
        <f>IF(A1090="","",IF(S1090=0,"Date manquante ou invalide",IF(C1090="","Équipement manquant",IF(ISNA(MATCH(C1090,eq_code,0)),"Équipement inconnu",IF(E1090="","Type manquant",IF(AND(E1090&lt;&gt;"Préventif",E1090&lt;&gt;"Correctif",E1090&lt;&gt;"Amélioratif"),"Type inconnu",IF(I1090="","Statut manquant",IF(AND(I1090&lt;&gt;"Terminée",I1090&lt;&gt;"En cours",I1090&lt;&gt;"À faire",I1090&lt;&gt;"Annulée"),"Statut inconnu",IF(AND(E1090="Préventif",F1090=""),"Plan manquant (préventif)",IF(AND(F1090&lt;&gt;"",ISNA(MATCH(F1090,pl_num,0))),"Plan inconnu",IF(AND(F1090&lt;&gt;"",IFERROR(INDEX(pl_eq,MATCH(F1090,pl_num,0))&amp;"",C1090)&lt;&gt;C1090),"Plan d'un autre équipement",IF(AND(J1090&lt;&gt;"",OR(NOT(ISNUMBER(J1090)),N(J1090)&lt;0)),"Compteur invalide",IF(OR(AND(K1090&lt;&gt;"",OR(NOT(ISNUMBER(K1090)),N(K1090)&lt;0)),AND(L1090&lt;&gt;"",OR(NOT(ISNUMBER(L1090)),N(L1090)&lt;0))),"Durée invalide",IF(OR(AND(N1090&lt;&gt;"",OR(NOT(ISNUMBER(N1090)),N(N1090)&lt;0)),AND(P1090&lt;&gt;"",OR(NOT(ISNUMBER(P1090)),N(P1090)&lt;0))),"Coût invalide",IF(AND(M1090&lt;&gt;"",ISNA(MATCH(M1090,tech_name,0))),"Technicien inconnu",IF(AND(I1090="Terminée",S1090&gt;p_today),"Terminée à une date future",IF(AND(I1090="Terminée",V1090=0),"Durée d'intervention manquante",IF(AND(I1090="Terminée",E1090="Préventif",T1090=0,OR(IFERROR(INDEX(pl_trig,MATCH(F1090,pl_num,0))&amp;"","")="Compteur",IFERROR(INDEX(pl_trig,MATCH(F1090,pl_num,0))&amp;"","")="Au premier des deux")),"Compteur manquant (plan au compteur)","OK"))))))))))))))))))</f>
        <v/>
      </c>
      <c r="S1090" s="67">
        <f>IF(AND(ISNUMBER(B1090),N(B1090)&gt;0),INT(B1090),0)</f>
        <v>0.0</v>
      </c>
      <c r="T1090" s="67">
        <f>IF(AND(ISNUMBER(J1090),N(J1090)&gt;=0),N(J1090),0)</f>
        <v>0.0</v>
      </c>
      <c r="U1090" s="67">
        <f>IF(AND(ISNUMBER(K1090),N(K1090)&gt;0),N(K1090),0)</f>
        <v>0.0</v>
      </c>
      <c r="V1090" s="67">
        <f>IF(AND(ISNUMBER(L1090),N(L1090)&gt;0),N(L1090),0)</f>
        <v>0.0</v>
      </c>
      <c r="W1090" s="67">
        <f>IF(AND(I1090="Terminée",S1090&gt;0,C1090&lt;&gt;"",ISNUMBER(MATCH(C1090,eq_code,0))),1,0)</f>
        <v>0.0</v>
      </c>
      <c r="X1090" s="67">
        <f>IF(AND(W1090=1,E1090="Préventif"),1,0)</f>
        <v>0.0</v>
      </c>
      <c r="Y1090" s="67">
        <f>IF(AND(ISNUMBER(N1090),N(N1090)&gt;0),N(N1090),0)</f>
        <v>0.0</v>
      </c>
      <c r="Z1090" s="67">
        <f>IF(AND(ISNUMBER(P1090),N(P1090)&gt;0),N(P1090),0)</f>
        <v>0.0</v>
      </c>
    </row>
    <row r="1091">
      <c r="A1091" s="79" t="str">
        <f>IF(COUNTA(B1091:C1091,E1091:G1091,I1091)=0,"","BI-"&amp;RIGHT("0000"&amp;(ROW()-5),4))</f>
        <v/>
      </c>
      <c r="B1091" s="72" t="n"/>
      <c r="C1091" s="66" t="n"/>
      <c r="D1091" s="67" t="str">
        <f>IF(C1091="","",IFERROR(INDEX(eq_des,MATCH(C1091,eq_code,0))&amp;"","Équipement inconnu"))</f>
        <v/>
      </c>
      <c r="E1091" s="68" t="n"/>
      <c r="F1091" s="68" t="n"/>
      <c r="G1091" s="66" t="n"/>
      <c r="H1091" s="66" t="n"/>
      <c r="I1091" s="68" t="n"/>
      <c r="J1091" s="73" t="n"/>
      <c r="K1091" s="71" t="n"/>
      <c r="L1091" s="71" t="n"/>
      <c r="M1091" s="66" t="n"/>
      <c r="N1091" s="80" t="n"/>
      <c r="O1091" s="81" t="str">
        <f>IF(A1091="","",ROUND(V1091*IFERROR(N(INDEX(tech_rate,MATCH(M1091,tech_name,0))),0),2))</f>
        <v/>
      </c>
      <c r="P1091" s="80" t="n"/>
      <c r="Q1091" s="81" t="str">
        <f>IF(A1091="","",ROUND(Y1091+O1091+Z1091,2))</f>
        <v/>
      </c>
      <c r="R1091" s="79" t="str">
        <f>IF(A1091="","",IF(S1091=0,"Date manquante ou invalide",IF(C1091="","Équipement manquant",IF(ISNA(MATCH(C1091,eq_code,0)),"Équipement inconnu",IF(E1091="","Type manquant",IF(AND(E1091&lt;&gt;"Préventif",E1091&lt;&gt;"Correctif",E1091&lt;&gt;"Amélioratif"),"Type inconnu",IF(I1091="","Statut manquant",IF(AND(I1091&lt;&gt;"Terminée",I1091&lt;&gt;"En cours",I1091&lt;&gt;"À faire",I1091&lt;&gt;"Annulée"),"Statut inconnu",IF(AND(E1091="Préventif",F1091=""),"Plan manquant (préventif)",IF(AND(F1091&lt;&gt;"",ISNA(MATCH(F1091,pl_num,0))),"Plan inconnu",IF(AND(F1091&lt;&gt;"",IFERROR(INDEX(pl_eq,MATCH(F1091,pl_num,0))&amp;"",C1091)&lt;&gt;C1091),"Plan d'un autre équipement",IF(AND(J1091&lt;&gt;"",OR(NOT(ISNUMBER(J1091)),N(J1091)&lt;0)),"Compteur invalide",IF(OR(AND(K1091&lt;&gt;"",OR(NOT(ISNUMBER(K1091)),N(K1091)&lt;0)),AND(L1091&lt;&gt;"",OR(NOT(ISNUMBER(L1091)),N(L1091)&lt;0))),"Durée invalide",IF(OR(AND(N1091&lt;&gt;"",OR(NOT(ISNUMBER(N1091)),N(N1091)&lt;0)),AND(P1091&lt;&gt;"",OR(NOT(ISNUMBER(P1091)),N(P1091)&lt;0))),"Coût invalide",IF(AND(M1091&lt;&gt;"",ISNA(MATCH(M1091,tech_name,0))),"Technicien inconnu",IF(AND(I1091="Terminée",S1091&gt;p_today),"Terminée à une date future",IF(AND(I1091="Terminée",V1091=0),"Durée d'intervention manquante",IF(AND(I1091="Terminée",E1091="Préventif",T1091=0,OR(IFERROR(INDEX(pl_trig,MATCH(F1091,pl_num,0))&amp;"","")="Compteur",IFERROR(INDEX(pl_trig,MATCH(F1091,pl_num,0))&amp;"","")="Au premier des deux")),"Compteur manquant (plan au compteur)","OK"))))))))))))))))))</f>
        <v/>
      </c>
      <c r="S1091" s="67">
        <f>IF(AND(ISNUMBER(B1091),N(B1091)&gt;0),INT(B1091),0)</f>
        <v>0.0</v>
      </c>
      <c r="T1091" s="67">
        <f>IF(AND(ISNUMBER(J1091),N(J1091)&gt;=0),N(J1091),0)</f>
        <v>0.0</v>
      </c>
      <c r="U1091" s="67">
        <f>IF(AND(ISNUMBER(K1091),N(K1091)&gt;0),N(K1091),0)</f>
        <v>0.0</v>
      </c>
      <c r="V1091" s="67">
        <f>IF(AND(ISNUMBER(L1091),N(L1091)&gt;0),N(L1091),0)</f>
        <v>0.0</v>
      </c>
      <c r="W1091" s="67">
        <f>IF(AND(I1091="Terminée",S1091&gt;0,C1091&lt;&gt;"",ISNUMBER(MATCH(C1091,eq_code,0))),1,0)</f>
        <v>0.0</v>
      </c>
      <c r="X1091" s="67">
        <f>IF(AND(W1091=1,E1091="Préventif"),1,0)</f>
        <v>0.0</v>
      </c>
      <c r="Y1091" s="67">
        <f>IF(AND(ISNUMBER(N1091),N(N1091)&gt;0),N(N1091),0)</f>
        <v>0.0</v>
      </c>
      <c r="Z1091" s="67">
        <f>IF(AND(ISNUMBER(P1091),N(P1091)&gt;0),N(P1091),0)</f>
        <v>0.0</v>
      </c>
    </row>
    <row r="1092">
      <c r="A1092" s="79" t="str">
        <f>IF(COUNTA(B1092:C1092,E1092:G1092,I1092)=0,"","BI-"&amp;RIGHT("0000"&amp;(ROW()-5),4))</f>
        <v/>
      </c>
      <c r="B1092" s="72" t="n"/>
      <c r="C1092" s="66" t="n"/>
      <c r="D1092" s="67" t="str">
        <f>IF(C1092="","",IFERROR(INDEX(eq_des,MATCH(C1092,eq_code,0))&amp;"","Équipement inconnu"))</f>
        <v/>
      </c>
      <c r="E1092" s="68" t="n"/>
      <c r="F1092" s="68" t="n"/>
      <c r="G1092" s="66" t="n"/>
      <c r="H1092" s="66" t="n"/>
      <c r="I1092" s="68" t="n"/>
      <c r="J1092" s="73" t="n"/>
      <c r="K1092" s="71" t="n"/>
      <c r="L1092" s="71" t="n"/>
      <c r="M1092" s="66" t="n"/>
      <c r="N1092" s="80" t="n"/>
      <c r="O1092" s="81" t="str">
        <f>IF(A1092="","",ROUND(V1092*IFERROR(N(INDEX(tech_rate,MATCH(M1092,tech_name,0))),0),2))</f>
        <v/>
      </c>
      <c r="P1092" s="80" t="n"/>
      <c r="Q1092" s="81" t="str">
        <f>IF(A1092="","",ROUND(Y1092+O1092+Z1092,2))</f>
        <v/>
      </c>
      <c r="R1092" s="79" t="str">
        <f>IF(A1092="","",IF(S1092=0,"Date manquante ou invalide",IF(C1092="","Équipement manquant",IF(ISNA(MATCH(C1092,eq_code,0)),"Équipement inconnu",IF(E1092="","Type manquant",IF(AND(E1092&lt;&gt;"Préventif",E1092&lt;&gt;"Correctif",E1092&lt;&gt;"Amélioratif"),"Type inconnu",IF(I1092="","Statut manquant",IF(AND(I1092&lt;&gt;"Terminée",I1092&lt;&gt;"En cours",I1092&lt;&gt;"À faire",I1092&lt;&gt;"Annulée"),"Statut inconnu",IF(AND(E1092="Préventif",F1092=""),"Plan manquant (préventif)",IF(AND(F1092&lt;&gt;"",ISNA(MATCH(F1092,pl_num,0))),"Plan inconnu",IF(AND(F1092&lt;&gt;"",IFERROR(INDEX(pl_eq,MATCH(F1092,pl_num,0))&amp;"",C1092)&lt;&gt;C1092),"Plan d'un autre équipement",IF(AND(J1092&lt;&gt;"",OR(NOT(ISNUMBER(J1092)),N(J1092)&lt;0)),"Compteur invalide",IF(OR(AND(K1092&lt;&gt;"",OR(NOT(ISNUMBER(K1092)),N(K1092)&lt;0)),AND(L1092&lt;&gt;"",OR(NOT(ISNUMBER(L1092)),N(L1092)&lt;0))),"Durée invalide",IF(OR(AND(N1092&lt;&gt;"",OR(NOT(ISNUMBER(N1092)),N(N1092)&lt;0)),AND(P1092&lt;&gt;"",OR(NOT(ISNUMBER(P1092)),N(P1092)&lt;0))),"Coût invalide",IF(AND(M1092&lt;&gt;"",ISNA(MATCH(M1092,tech_name,0))),"Technicien inconnu",IF(AND(I1092="Terminée",S1092&gt;p_today),"Terminée à une date future",IF(AND(I1092="Terminée",V1092=0),"Durée d'intervention manquante",IF(AND(I1092="Terminée",E1092="Préventif",T1092=0,OR(IFERROR(INDEX(pl_trig,MATCH(F1092,pl_num,0))&amp;"","")="Compteur",IFERROR(INDEX(pl_trig,MATCH(F1092,pl_num,0))&amp;"","")="Au premier des deux")),"Compteur manquant (plan au compteur)","OK"))))))))))))))))))</f>
        <v/>
      </c>
      <c r="S1092" s="67">
        <f>IF(AND(ISNUMBER(B1092),N(B1092)&gt;0),INT(B1092),0)</f>
        <v>0.0</v>
      </c>
      <c r="T1092" s="67">
        <f>IF(AND(ISNUMBER(J1092),N(J1092)&gt;=0),N(J1092),0)</f>
        <v>0.0</v>
      </c>
      <c r="U1092" s="67">
        <f>IF(AND(ISNUMBER(K1092),N(K1092)&gt;0),N(K1092),0)</f>
        <v>0.0</v>
      </c>
      <c r="V1092" s="67">
        <f>IF(AND(ISNUMBER(L1092),N(L1092)&gt;0),N(L1092),0)</f>
        <v>0.0</v>
      </c>
      <c r="W1092" s="67">
        <f>IF(AND(I1092="Terminée",S1092&gt;0,C1092&lt;&gt;"",ISNUMBER(MATCH(C1092,eq_code,0))),1,0)</f>
        <v>0.0</v>
      </c>
      <c r="X1092" s="67">
        <f>IF(AND(W1092=1,E1092="Préventif"),1,0)</f>
        <v>0.0</v>
      </c>
      <c r="Y1092" s="67">
        <f>IF(AND(ISNUMBER(N1092),N(N1092)&gt;0),N(N1092),0)</f>
        <v>0.0</v>
      </c>
      <c r="Z1092" s="67">
        <f>IF(AND(ISNUMBER(P1092),N(P1092)&gt;0),N(P1092),0)</f>
        <v>0.0</v>
      </c>
    </row>
    <row r="1093">
      <c r="A1093" s="79" t="str">
        <f>IF(COUNTA(B1093:C1093,E1093:G1093,I1093)=0,"","BI-"&amp;RIGHT("0000"&amp;(ROW()-5),4))</f>
        <v/>
      </c>
      <c r="B1093" s="72" t="n"/>
      <c r="C1093" s="66" t="n"/>
      <c r="D1093" s="67" t="str">
        <f>IF(C1093="","",IFERROR(INDEX(eq_des,MATCH(C1093,eq_code,0))&amp;"","Équipement inconnu"))</f>
        <v/>
      </c>
      <c r="E1093" s="68" t="n"/>
      <c r="F1093" s="68" t="n"/>
      <c r="G1093" s="66" t="n"/>
      <c r="H1093" s="66" t="n"/>
      <c r="I1093" s="68" t="n"/>
      <c r="J1093" s="73" t="n"/>
      <c r="K1093" s="71" t="n"/>
      <c r="L1093" s="71" t="n"/>
      <c r="M1093" s="66" t="n"/>
      <c r="N1093" s="80" t="n"/>
      <c r="O1093" s="81" t="str">
        <f>IF(A1093="","",ROUND(V1093*IFERROR(N(INDEX(tech_rate,MATCH(M1093,tech_name,0))),0),2))</f>
        <v/>
      </c>
      <c r="P1093" s="80" t="n"/>
      <c r="Q1093" s="81" t="str">
        <f>IF(A1093="","",ROUND(Y1093+O1093+Z1093,2))</f>
        <v/>
      </c>
      <c r="R1093" s="79" t="str">
        <f>IF(A1093="","",IF(S1093=0,"Date manquante ou invalide",IF(C1093="","Équipement manquant",IF(ISNA(MATCH(C1093,eq_code,0)),"Équipement inconnu",IF(E1093="","Type manquant",IF(AND(E1093&lt;&gt;"Préventif",E1093&lt;&gt;"Correctif",E1093&lt;&gt;"Amélioratif"),"Type inconnu",IF(I1093="","Statut manquant",IF(AND(I1093&lt;&gt;"Terminée",I1093&lt;&gt;"En cours",I1093&lt;&gt;"À faire",I1093&lt;&gt;"Annulée"),"Statut inconnu",IF(AND(E1093="Préventif",F1093=""),"Plan manquant (préventif)",IF(AND(F1093&lt;&gt;"",ISNA(MATCH(F1093,pl_num,0))),"Plan inconnu",IF(AND(F1093&lt;&gt;"",IFERROR(INDEX(pl_eq,MATCH(F1093,pl_num,0))&amp;"",C1093)&lt;&gt;C1093),"Plan d'un autre équipement",IF(AND(J1093&lt;&gt;"",OR(NOT(ISNUMBER(J1093)),N(J1093)&lt;0)),"Compteur invalide",IF(OR(AND(K1093&lt;&gt;"",OR(NOT(ISNUMBER(K1093)),N(K1093)&lt;0)),AND(L1093&lt;&gt;"",OR(NOT(ISNUMBER(L1093)),N(L1093)&lt;0))),"Durée invalide",IF(OR(AND(N1093&lt;&gt;"",OR(NOT(ISNUMBER(N1093)),N(N1093)&lt;0)),AND(P1093&lt;&gt;"",OR(NOT(ISNUMBER(P1093)),N(P1093)&lt;0))),"Coût invalide",IF(AND(M1093&lt;&gt;"",ISNA(MATCH(M1093,tech_name,0))),"Technicien inconnu",IF(AND(I1093="Terminée",S1093&gt;p_today),"Terminée à une date future",IF(AND(I1093="Terminée",V1093=0),"Durée d'intervention manquante",IF(AND(I1093="Terminée",E1093="Préventif",T1093=0,OR(IFERROR(INDEX(pl_trig,MATCH(F1093,pl_num,0))&amp;"","")="Compteur",IFERROR(INDEX(pl_trig,MATCH(F1093,pl_num,0))&amp;"","")="Au premier des deux")),"Compteur manquant (plan au compteur)","OK"))))))))))))))))))</f>
        <v/>
      </c>
      <c r="S1093" s="67">
        <f>IF(AND(ISNUMBER(B1093),N(B1093)&gt;0),INT(B1093),0)</f>
        <v>0.0</v>
      </c>
      <c r="T1093" s="67">
        <f>IF(AND(ISNUMBER(J1093),N(J1093)&gt;=0),N(J1093),0)</f>
        <v>0.0</v>
      </c>
      <c r="U1093" s="67">
        <f>IF(AND(ISNUMBER(K1093),N(K1093)&gt;0),N(K1093),0)</f>
        <v>0.0</v>
      </c>
      <c r="V1093" s="67">
        <f>IF(AND(ISNUMBER(L1093),N(L1093)&gt;0),N(L1093),0)</f>
        <v>0.0</v>
      </c>
      <c r="W1093" s="67">
        <f>IF(AND(I1093="Terminée",S1093&gt;0,C1093&lt;&gt;"",ISNUMBER(MATCH(C1093,eq_code,0))),1,0)</f>
        <v>0.0</v>
      </c>
      <c r="X1093" s="67">
        <f>IF(AND(W1093=1,E1093="Préventif"),1,0)</f>
        <v>0.0</v>
      </c>
      <c r="Y1093" s="67">
        <f>IF(AND(ISNUMBER(N1093),N(N1093)&gt;0),N(N1093),0)</f>
        <v>0.0</v>
      </c>
      <c r="Z1093" s="67">
        <f>IF(AND(ISNUMBER(P1093),N(P1093)&gt;0),N(P1093),0)</f>
        <v>0.0</v>
      </c>
    </row>
    <row r="1094">
      <c r="A1094" s="79" t="str">
        <f>IF(COUNTA(B1094:C1094,E1094:G1094,I1094)=0,"","BI-"&amp;RIGHT("0000"&amp;(ROW()-5),4))</f>
        <v/>
      </c>
      <c r="B1094" s="72" t="n"/>
      <c r="C1094" s="66" t="n"/>
      <c r="D1094" s="67" t="str">
        <f>IF(C1094="","",IFERROR(INDEX(eq_des,MATCH(C1094,eq_code,0))&amp;"","Équipement inconnu"))</f>
        <v/>
      </c>
      <c r="E1094" s="68" t="n"/>
      <c r="F1094" s="68" t="n"/>
      <c r="G1094" s="66" t="n"/>
      <c r="H1094" s="66" t="n"/>
      <c r="I1094" s="68" t="n"/>
      <c r="J1094" s="73" t="n"/>
      <c r="K1094" s="71" t="n"/>
      <c r="L1094" s="71" t="n"/>
      <c r="M1094" s="66" t="n"/>
      <c r="N1094" s="80" t="n"/>
      <c r="O1094" s="81" t="str">
        <f>IF(A1094="","",ROUND(V1094*IFERROR(N(INDEX(tech_rate,MATCH(M1094,tech_name,0))),0),2))</f>
        <v/>
      </c>
      <c r="P1094" s="80" t="n"/>
      <c r="Q1094" s="81" t="str">
        <f>IF(A1094="","",ROUND(Y1094+O1094+Z1094,2))</f>
        <v/>
      </c>
      <c r="R1094" s="79" t="str">
        <f>IF(A1094="","",IF(S1094=0,"Date manquante ou invalide",IF(C1094="","Équipement manquant",IF(ISNA(MATCH(C1094,eq_code,0)),"Équipement inconnu",IF(E1094="","Type manquant",IF(AND(E1094&lt;&gt;"Préventif",E1094&lt;&gt;"Correctif",E1094&lt;&gt;"Amélioratif"),"Type inconnu",IF(I1094="","Statut manquant",IF(AND(I1094&lt;&gt;"Terminée",I1094&lt;&gt;"En cours",I1094&lt;&gt;"À faire",I1094&lt;&gt;"Annulée"),"Statut inconnu",IF(AND(E1094="Préventif",F1094=""),"Plan manquant (préventif)",IF(AND(F1094&lt;&gt;"",ISNA(MATCH(F1094,pl_num,0))),"Plan inconnu",IF(AND(F1094&lt;&gt;"",IFERROR(INDEX(pl_eq,MATCH(F1094,pl_num,0))&amp;"",C1094)&lt;&gt;C1094),"Plan d'un autre équipement",IF(AND(J1094&lt;&gt;"",OR(NOT(ISNUMBER(J1094)),N(J1094)&lt;0)),"Compteur invalide",IF(OR(AND(K1094&lt;&gt;"",OR(NOT(ISNUMBER(K1094)),N(K1094)&lt;0)),AND(L1094&lt;&gt;"",OR(NOT(ISNUMBER(L1094)),N(L1094)&lt;0))),"Durée invalide",IF(OR(AND(N1094&lt;&gt;"",OR(NOT(ISNUMBER(N1094)),N(N1094)&lt;0)),AND(P1094&lt;&gt;"",OR(NOT(ISNUMBER(P1094)),N(P1094)&lt;0))),"Coût invalide",IF(AND(M1094&lt;&gt;"",ISNA(MATCH(M1094,tech_name,0))),"Technicien inconnu",IF(AND(I1094="Terminée",S1094&gt;p_today),"Terminée à une date future",IF(AND(I1094="Terminée",V1094=0),"Durée d'intervention manquante",IF(AND(I1094="Terminée",E1094="Préventif",T1094=0,OR(IFERROR(INDEX(pl_trig,MATCH(F1094,pl_num,0))&amp;"","")="Compteur",IFERROR(INDEX(pl_trig,MATCH(F1094,pl_num,0))&amp;"","")="Au premier des deux")),"Compteur manquant (plan au compteur)","OK"))))))))))))))))))</f>
        <v/>
      </c>
      <c r="S1094" s="67">
        <f>IF(AND(ISNUMBER(B1094),N(B1094)&gt;0),INT(B1094),0)</f>
        <v>0.0</v>
      </c>
      <c r="T1094" s="67">
        <f>IF(AND(ISNUMBER(J1094),N(J1094)&gt;=0),N(J1094),0)</f>
        <v>0.0</v>
      </c>
      <c r="U1094" s="67">
        <f>IF(AND(ISNUMBER(K1094),N(K1094)&gt;0),N(K1094),0)</f>
        <v>0.0</v>
      </c>
      <c r="V1094" s="67">
        <f>IF(AND(ISNUMBER(L1094),N(L1094)&gt;0),N(L1094),0)</f>
        <v>0.0</v>
      </c>
      <c r="W1094" s="67">
        <f>IF(AND(I1094="Terminée",S1094&gt;0,C1094&lt;&gt;"",ISNUMBER(MATCH(C1094,eq_code,0))),1,0)</f>
        <v>0.0</v>
      </c>
      <c r="X1094" s="67">
        <f>IF(AND(W1094=1,E1094="Préventif"),1,0)</f>
        <v>0.0</v>
      </c>
      <c r="Y1094" s="67">
        <f>IF(AND(ISNUMBER(N1094),N(N1094)&gt;0),N(N1094),0)</f>
        <v>0.0</v>
      </c>
      <c r="Z1094" s="67">
        <f>IF(AND(ISNUMBER(P1094),N(P1094)&gt;0),N(P1094),0)</f>
        <v>0.0</v>
      </c>
    </row>
    <row r="1095">
      <c r="A1095" s="79" t="str">
        <f>IF(COUNTA(B1095:C1095,E1095:G1095,I1095)=0,"","BI-"&amp;RIGHT("0000"&amp;(ROW()-5),4))</f>
        <v/>
      </c>
      <c r="B1095" s="72" t="n"/>
      <c r="C1095" s="66" t="n"/>
      <c r="D1095" s="67" t="str">
        <f>IF(C1095="","",IFERROR(INDEX(eq_des,MATCH(C1095,eq_code,0))&amp;"","Équipement inconnu"))</f>
        <v/>
      </c>
      <c r="E1095" s="68" t="n"/>
      <c r="F1095" s="68" t="n"/>
      <c r="G1095" s="66" t="n"/>
      <c r="H1095" s="66" t="n"/>
      <c r="I1095" s="68" t="n"/>
      <c r="J1095" s="73" t="n"/>
      <c r="K1095" s="71" t="n"/>
      <c r="L1095" s="71" t="n"/>
      <c r="M1095" s="66" t="n"/>
      <c r="N1095" s="80" t="n"/>
      <c r="O1095" s="81" t="str">
        <f>IF(A1095="","",ROUND(V1095*IFERROR(N(INDEX(tech_rate,MATCH(M1095,tech_name,0))),0),2))</f>
        <v/>
      </c>
      <c r="P1095" s="80" t="n"/>
      <c r="Q1095" s="81" t="str">
        <f>IF(A1095="","",ROUND(Y1095+O1095+Z1095,2))</f>
        <v/>
      </c>
      <c r="R1095" s="79" t="str">
        <f>IF(A1095="","",IF(S1095=0,"Date manquante ou invalide",IF(C1095="","Équipement manquant",IF(ISNA(MATCH(C1095,eq_code,0)),"Équipement inconnu",IF(E1095="","Type manquant",IF(AND(E1095&lt;&gt;"Préventif",E1095&lt;&gt;"Correctif",E1095&lt;&gt;"Amélioratif"),"Type inconnu",IF(I1095="","Statut manquant",IF(AND(I1095&lt;&gt;"Terminée",I1095&lt;&gt;"En cours",I1095&lt;&gt;"À faire",I1095&lt;&gt;"Annulée"),"Statut inconnu",IF(AND(E1095="Préventif",F1095=""),"Plan manquant (préventif)",IF(AND(F1095&lt;&gt;"",ISNA(MATCH(F1095,pl_num,0))),"Plan inconnu",IF(AND(F1095&lt;&gt;"",IFERROR(INDEX(pl_eq,MATCH(F1095,pl_num,0))&amp;"",C1095)&lt;&gt;C1095),"Plan d'un autre équipement",IF(AND(J1095&lt;&gt;"",OR(NOT(ISNUMBER(J1095)),N(J1095)&lt;0)),"Compteur invalide",IF(OR(AND(K1095&lt;&gt;"",OR(NOT(ISNUMBER(K1095)),N(K1095)&lt;0)),AND(L1095&lt;&gt;"",OR(NOT(ISNUMBER(L1095)),N(L1095)&lt;0))),"Durée invalide",IF(OR(AND(N1095&lt;&gt;"",OR(NOT(ISNUMBER(N1095)),N(N1095)&lt;0)),AND(P1095&lt;&gt;"",OR(NOT(ISNUMBER(P1095)),N(P1095)&lt;0))),"Coût invalide",IF(AND(M1095&lt;&gt;"",ISNA(MATCH(M1095,tech_name,0))),"Technicien inconnu",IF(AND(I1095="Terminée",S1095&gt;p_today),"Terminée à une date future",IF(AND(I1095="Terminée",V1095=0),"Durée d'intervention manquante",IF(AND(I1095="Terminée",E1095="Préventif",T1095=0,OR(IFERROR(INDEX(pl_trig,MATCH(F1095,pl_num,0))&amp;"","")="Compteur",IFERROR(INDEX(pl_trig,MATCH(F1095,pl_num,0))&amp;"","")="Au premier des deux")),"Compteur manquant (plan au compteur)","OK"))))))))))))))))))</f>
        <v/>
      </c>
      <c r="S1095" s="67">
        <f>IF(AND(ISNUMBER(B1095),N(B1095)&gt;0),INT(B1095),0)</f>
        <v>0.0</v>
      </c>
      <c r="T1095" s="67">
        <f>IF(AND(ISNUMBER(J1095),N(J1095)&gt;=0),N(J1095),0)</f>
        <v>0.0</v>
      </c>
      <c r="U1095" s="67">
        <f>IF(AND(ISNUMBER(K1095),N(K1095)&gt;0),N(K1095),0)</f>
        <v>0.0</v>
      </c>
      <c r="V1095" s="67">
        <f>IF(AND(ISNUMBER(L1095),N(L1095)&gt;0),N(L1095),0)</f>
        <v>0.0</v>
      </c>
      <c r="W1095" s="67">
        <f>IF(AND(I1095="Terminée",S1095&gt;0,C1095&lt;&gt;"",ISNUMBER(MATCH(C1095,eq_code,0))),1,0)</f>
        <v>0.0</v>
      </c>
      <c r="X1095" s="67">
        <f>IF(AND(W1095=1,E1095="Préventif"),1,0)</f>
        <v>0.0</v>
      </c>
      <c r="Y1095" s="67">
        <f>IF(AND(ISNUMBER(N1095),N(N1095)&gt;0),N(N1095),0)</f>
        <v>0.0</v>
      </c>
      <c r="Z1095" s="67">
        <f>IF(AND(ISNUMBER(P1095),N(P1095)&gt;0),N(P1095),0)</f>
        <v>0.0</v>
      </c>
    </row>
    <row r="1096">
      <c r="A1096" s="79" t="str">
        <f>IF(COUNTA(B1096:C1096,E1096:G1096,I1096)=0,"","BI-"&amp;RIGHT("0000"&amp;(ROW()-5),4))</f>
        <v/>
      </c>
      <c r="B1096" s="72" t="n"/>
      <c r="C1096" s="66" t="n"/>
      <c r="D1096" s="67" t="str">
        <f>IF(C1096="","",IFERROR(INDEX(eq_des,MATCH(C1096,eq_code,0))&amp;"","Équipement inconnu"))</f>
        <v/>
      </c>
      <c r="E1096" s="68" t="n"/>
      <c r="F1096" s="68" t="n"/>
      <c r="G1096" s="66" t="n"/>
      <c r="H1096" s="66" t="n"/>
      <c r="I1096" s="68" t="n"/>
      <c r="J1096" s="73" t="n"/>
      <c r="K1096" s="71" t="n"/>
      <c r="L1096" s="71" t="n"/>
      <c r="M1096" s="66" t="n"/>
      <c r="N1096" s="80" t="n"/>
      <c r="O1096" s="81" t="str">
        <f>IF(A1096="","",ROUND(V1096*IFERROR(N(INDEX(tech_rate,MATCH(M1096,tech_name,0))),0),2))</f>
        <v/>
      </c>
      <c r="P1096" s="80" t="n"/>
      <c r="Q1096" s="81" t="str">
        <f>IF(A1096="","",ROUND(Y1096+O1096+Z1096,2))</f>
        <v/>
      </c>
      <c r="R1096" s="79" t="str">
        <f>IF(A1096="","",IF(S1096=0,"Date manquante ou invalide",IF(C1096="","Équipement manquant",IF(ISNA(MATCH(C1096,eq_code,0)),"Équipement inconnu",IF(E1096="","Type manquant",IF(AND(E1096&lt;&gt;"Préventif",E1096&lt;&gt;"Correctif",E1096&lt;&gt;"Amélioratif"),"Type inconnu",IF(I1096="","Statut manquant",IF(AND(I1096&lt;&gt;"Terminée",I1096&lt;&gt;"En cours",I1096&lt;&gt;"À faire",I1096&lt;&gt;"Annulée"),"Statut inconnu",IF(AND(E1096="Préventif",F1096=""),"Plan manquant (préventif)",IF(AND(F1096&lt;&gt;"",ISNA(MATCH(F1096,pl_num,0))),"Plan inconnu",IF(AND(F1096&lt;&gt;"",IFERROR(INDEX(pl_eq,MATCH(F1096,pl_num,0))&amp;"",C1096)&lt;&gt;C1096),"Plan d'un autre équipement",IF(AND(J1096&lt;&gt;"",OR(NOT(ISNUMBER(J1096)),N(J1096)&lt;0)),"Compteur invalide",IF(OR(AND(K1096&lt;&gt;"",OR(NOT(ISNUMBER(K1096)),N(K1096)&lt;0)),AND(L1096&lt;&gt;"",OR(NOT(ISNUMBER(L1096)),N(L1096)&lt;0))),"Durée invalide",IF(OR(AND(N1096&lt;&gt;"",OR(NOT(ISNUMBER(N1096)),N(N1096)&lt;0)),AND(P1096&lt;&gt;"",OR(NOT(ISNUMBER(P1096)),N(P1096)&lt;0))),"Coût invalide",IF(AND(M1096&lt;&gt;"",ISNA(MATCH(M1096,tech_name,0))),"Technicien inconnu",IF(AND(I1096="Terminée",S1096&gt;p_today),"Terminée à une date future",IF(AND(I1096="Terminée",V1096=0),"Durée d'intervention manquante",IF(AND(I1096="Terminée",E1096="Préventif",T1096=0,OR(IFERROR(INDEX(pl_trig,MATCH(F1096,pl_num,0))&amp;"","")="Compteur",IFERROR(INDEX(pl_trig,MATCH(F1096,pl_num,0))&amp;"","")="Au premier des deux")),"Compteur manquant (plan au compteur)","OK"))))))))))))))))))</f>
        <v/>
      </c>
      <c r="S1096" s="67">
        <f>IF(AND(ISNUMBER(B1096),N(B1096)&gt;0),INT(B1096),0)</f>
        <v>0.0</v>
      </c>
      <c r="T1096" s="67">
        <f>IF(AND(ISNUMBER(J1096),N(J1096)&gt;=0),N(J1096),0)</f>
        <v>0.0</v>
      </c>
      <c r="U1096" s="67">
        <f>IF(AND(ISNUMBER(K1096),N(K1096)&gt;0),N(K1096),0)</f>
        <v>0.0</v>
      </c>
      <c r="V1096" s="67">
        <f>IF(AND(ISNUMBER(L1096),N(L1096)&gt;0),N(L1096),0)</f>
        <v>0.0</v>
      </c>
      <c r="W1096" s="67">
        <f>IF(AND(I1096="Terminée",S1096&gt;0,C1096&lt;&gt;"",ISNUMBER(MATCH(C1096,eq_code,0))),1,0)</f>
        <v>0.0</v>
      </c>
      <c r="X1096" s="67">
        <f>IF(AND(W1096=1,E1096="Préventif"),1,0)</f>
        <v>0.0</v>
      </c>
      <c r="Y1096" s="67">
        <f>IF(AND(ISNUMBER(N1096),N(N1096)&gt;0),N(N1096),0)</f>
        <v>0.0</v>
      </c>
      <c r="Z1096" s="67">
        <f>IF(AND(ISNUMBER(P1096),N(P1096)&gt;0),N(P1096),0)</f>
        <v>0.0</v>
      </c>
    </row>
    <row r="1097">
      <c r="A1097" s="79" t="str">
        <f>IF(COUNTA(B1097:C1097,E1097:G1097,I1097)=0,"","BI-"&amp;RIGHT("0000"&amp;(ROW()-5),4))</f>
        <v/>
      </c>
      <c r="B1097" s="72" t="n"/>
      <c r="C1097" s="66" t="n"/>
      <c r="D1097" s="67" t="str">
        <f>IF(C1097="","",IFERROR(INDEX(eq_des,MATCH(C1097,eq_code,0))&amp;"","Équipement inconnu"))</f>
        <v/>
      </c>
      <c r="E1097" s="68" t="n"/>
      <c r="F1097" s="68" t="n"/>
      <c r="G1097" s="66" t="n"/>
      <c r="H1097" s="66" t="n"/>
      <c r="I1097" s="68" t="n"/>
      <c r="J1097" s="73" t="n"/>
      <c r="K1097" s="71" t="n"/>
      <c r="L1097" s="71" t="n"/>
      <c r="M1097" s="66" t="n"/>
      <c r="N1097" s="80" t="n"/>
      <c r="O1097" s="81" t="str">
        <f>IF(A1097="","",ROUND(V1097*IFERROR(N(INDEX(tech_rate,MATCH(M1097,tech_name,0))),0),2))</f>
        <v/>
      </c>
      <c r="P1097" s="80" t="n"/>
      <c r="Q1097" s="81" t="str">
        <f>IF(A1097="","",ROUND(Y1097+O1097+Z1097,2))</f>
        <v/>
      </c>
      <c r="R1097" s="79" t="str">
        <f>IF(A1097="","",IF(S1097=0,"Date manquante ou invalide",IF(C1097="","Équipement manquant",IF(ISNA(MATCH(C1097,eq_code,0)),"Équipement inconnu",IF(E1097="","Type manquant",IF(AND(E1097&lt;&gt;"Préventif",E1097&lt;&gt;"Correctif",E1097&lt;&gt;"Amélioratif"),"Type inconnu",IF(I1097="","Statut manquant",IF(AND(I1097&lt;&gt;"Terminée",I1097&lt;&gt;"En cours",I1097&lt;&gt;"À faire",I1097&lt;&gt;"Annulée"),"Statut inconnu",IF(AND(E1097="Préventif",F1097=""),"Plan manquant (préventif)",IF(AND(F1097&lt;&gt;"",ISNA(MATCH(F1097,pl_num,0))),"Plan inconnu",IF(AND(F1097&lt;&gt;"",IFERROR(INDEX(pl_eq,MATCH(F1097,pl_num,0))&amp;"",C1097)&lt;&gt;C1097),"Plan d'un autre équipement",IF(AND(J1097&lt;&gt;"",OR(NOT(ISNUMBER(J1097)),N(J1097)&lt;0)),"Compteur invalide",IF(OR(AND(K1097&lt;&gt;"",OR(NOT(ISNUMBER(K1097)),N(K1097)&lt;0)),AND(L1097&lt;&gt;"",OR(NOT(ISNUMBER(L1097)),N(L1097)&lt;0))),"Durée invalide",IF(OR(AND(N1097&lt;&gt;"",OR(NOT(ISNUMBER(N1097)),N(N1097)&lt;0)),AND(P1097&lt;&gt;"",OR(NOT(ISNUMBER(P1097)),N(P1097)&lt;0))),"Coût invalide",IF(AND(M1097&lt;&gt;"",ISNA(MATCH(M1097,tech_name,0))),"Technicien inconnu",IF(AND(I1097="Terminée",S1097&gt;p_today),"Terminée à une date future",IF(AND(I1097="Terminée",V1097=0),"Durée d'intervention manquante",IF(AND(I1097="Terminée",E1097="Préventif",T1097=0,OR(IFERROR(INDEX(pl_trig,MATCH(F1097,pl_num,0))&amp;"","")="Compteur",IFERROR(INDEX(pl_trig,MATCH(F1097,pl_num,0))&amp;"","")="Au premier des deux")),"Compteur manquant (plan au compteur)","OK"))))))))))))))))))</f>
        <v/>
      </c>
      <c r="S1097" s="67">
        <f>IF(AND(ISNUMBER(B1097),N(B1097)&gt;0),INT(B1097),0)</f>
        <v>0.0</v>
      </c>
      <c r="T1097" s="67">
        <f>IF(AND(ISNUMBER(J1097),N(J1097)&gt;=0),N(J1097),0)</f>
        <v>0.0</v>
      </c>
      <c r="U1097" s="67">
        <f>IF(AND(ISNUMBER(K1097),N(K1097)&gt;0),N(K1097),0)</f>
        <v>0.0</v>
      </c>
      <c r="V1097" s="67">
        <f>IF(AND(ISNUMBER(L1097),N(L1097)&gt;0),N(L1097),0)</f>
        <v>0.0</v>
      </c>
      <c r="W1097" s="67">
        <f>IF(AND(I1097="Terminée",S1097&gt;0,C1097&lt;&gt;"",ISNUMBER(MATCH(C1097,eq_code,0))),1,0)</f>
        <v>0.0</v>
      </c>
      <c r="X1097" s="67">
        <f>IF(AND(W1097=1,E1097="Préventif"),1,0)</f>
        <v>0.0</v>
      </c>
      <c r="Y1097" s="67">
        <f>IF(AND(ISNUMBER(N1097),N(N1097)&gt;0),N(N1097),0)</f>
        <v>0.0</v>
      </c>
      <c r="Z1097" s="67">
        <f>IF(AND(ISNUMBER(P1097),N(P1097)&gt;0),N(P1097),0)</f>
        <v>0.0</v>
      </c>
    </row>
    <row r="1098">
      <c r="A1098" s="79" t="str">
        <f>IF(COUNTA(B1098:C1098,E1098:G1098,I1098)=0,"","BI-"&amp;RIGHT("0000"&amp;(ROW()-5),4))</f>
        <v/>
      </c>
      <c r="B1098" s="72" t="n"/>
      <c r="C1098" s="66" t="n"/>
      <c r="D1098" s="67" t="str">
        <f>IF(C1098="","",IFERROR(INDEX(eq_des,MATCH(C1098,eq_code,0))&amp;"","Équipement inconnu"))</f>
        <v/>
      </c>
      <c r="E1098" s="68" t="n"/>
      <c r="F1098" s="68" t="n"/>
      <c r="G1098" s="66" t="n"/>
      <c r="H1098" s="66" t="n"/>
      <c r="I1098" s="68" t="n"/>
      <c r="J1098" s="73" t="n"/>
      <c r="K1098" s="71" t="n"/>
      <c r="L1098" s="71" t="n"/>
      <c r="M1098" s="66" t="n"/>
      <c r="N1098" s="80" t="n"/>
      <c r="O1098" s="81" t="str">
        <f>IF(A1098="","",ROUND(V1098*IFERROR(N(INDEX(tech_rate,MATCH(M1098,tech_name,0))),0),2))</f>
        <v/>
      </c>
      <c r="P1098" s="80" t="n"/>
      <c r="Q1098" s="81" t="str">
        <f>IF(A1098="","",ROUND(Y1098+O1098+Z1098,2))</f>
        <v/>
      </c>
      <c r="R1098" s="79" t="str">
        <f>IF(A1098="","",IF(S1098=0,"Date manquante ou invalide",IF(C1098="","Équipement manquant",IF(ISNA(MATCH(C1098,eq_code,0)),"Équipement inconnu",IF(E1098="","Type manquant",IF(AND(E1098&lt;&gt;"Préventif",E1098&lt;&gt;"Correctif",E1098&lt;&gt;"Amélioratif"),"Type inconnu",IF(I1098="","Statut manquant",IF(AND(I1098&lt;&gt;"Terminée",I1098&lt;&gt;"En cours",I1098&lt;&gt;"À faire",I1098&lt;&gt;"Annulée"),"Statut inconnu",IF(AND(E1098="Préventif",F1098=""),"Plan manquant (préventif)",IF(AND(F1098&lt;&gt;"",ISNA(MATCH(F1098,pl_num,0))),"Plan inconnu",IF(AND(F1098&lt;&gt;"",IFERROR(INDEX(pl_eq,MATCH(F1098,pl_num,0))&amp;"",C1098)&lt;&gt;C1098),"Plan d'un autre équipement",IF(AND(J1098&lt;&gt;"",OR(NOT(ISNUMBER(J1098)),N(J1098)&lt;0)),"Compteur invalide",IF(OR(AND(K1098&lt;&gt;"",OR(NOT(ISNUMBER(K1098)),N(K1098)&lt;0)),AND(L1098&lt;&gt;"",OR(NOT(ISNUMBER(L1098)),N(L1098)&lt;0))),"Durée invalide",IF(OR(AND(N1098&lt;&gt;"",OR(NOT(ISNUMBER(N1098)),N(N1098)&lt;0)),AND(P1098&lt;&gt;"",OR(NOT(ISNUMBER(P1098)),N(P1098)&lt;0))),"Coût invalide",IF(AND(M1098&lt;&gt;"",ISNA(MATCH(M1098,tech_name,0))),"Technicien inconnu",IF(AND(I1098="Terminée",S1098&gt;p_today),"Terminée à une date future",IF(AND(I1098="Terminée",V1098=0),"Durée d'intervention manquante",IF(AND(I1098="Terminée",E1098="Préventif",T1098=0,OR(IFERROR(INDEX(pl_trig,MATCH(F1098,pl_num,0))&amp;"","")="Compteur",IFERROR(INDEX(pl_trig,MATCH(F1098,pl_num,0))&amp;"","")="Au premier des deux")),"Compteur manquant (plan au compteur)","OK"))))))))))))))))))</f>
        <v/>
      </c>
      <c r="S1098" s="67">
        <f>IF(AND(ISNUMBER(B1098),N(B1098)&gt;0),INT(B1098),0)</f>
        <v>0.0</v>
      </c>
      <c r="T1098" s="67">
        <f>IF(AND(ISNUMBER(J1098),N(J1098)&gt;=0),N(J1098),0)</f>
        <v>0.0</v>
      </c>
      <c r="U1098" s="67">
        <f>IF(AND(ISNUMBER(K1098),N(K1098)&gt;0),N(K1098),0)</f>
        <v>0.0</v>
      </c>
      <c r="V1098" s="67">
        <f>IF(AND(ISNUMBER(L1098),N(L1098)&gt;0),N(L1098),0)</f>
        <v>0.0</v>
      </c>
      <c r="W1098" s="67">
        <f>IF(AND(I1098="Terminée",S1098&gt;0,C1098&lt;&gt;"",ISNUMBER(MATCH(C1098,eq_code,0))),1,0)</f>
        <v>0.0</v>
      </c>
      <c r="X1098" s="67">
        <f>IF(AND(W1098=1,E1098="Préventif"),1,0)</f>
        <v>0.0</v>
      </c>
      <c r="Y1098" s="67">
        <f>IF(AND(ISNUMBER(N1098),N(N1098)&gt;0),N(N1098),0)</f>
        <v>0.0</v>
      </c>
      <c r="Z1098" s="67">
        <f>IF(AND(ISNUMBER(P1098),N(P1098)&gt;0),N(P1098),0)</f>
        <v>0.0</v>
      </c>
    </row>
    <row r="1099">
      <c r="A1099" s="79" t="str">
        <f>IF(COUNTA(B1099:C1099,E1099:G1099,I1099)=0,"","BI-"&amp;RIGHT("0000"&amp;(ROW()-5),4))</f>
        <v/>
      </c>
      <c r="B1099" s="72" t="n"/>
      <c r="C1099" s="66" t="n"/>
      <c r="D1099" s="67" t="str">
        <f>IF(C1099="","",IFERROR(INDEX(eq_des,MATCH(C1099,eq_code,0))&amp;"","Équipement inconnu"))</f>
        <v/>
      </c>
      <c r="E1099" s="68" t="n"/>
      <c r="F1099" s="68" t="n"/>
      <c r="G1099" s="66" t="n"/>
      <c r="H1099" s="66" t="n"/>
      <c r="I1099" s="68" t="n"/>
      <c r="J1099" s="73" t="n"/>
      <c r="K1099" s="71" t="n"/>
      <c r="L1099" s="71" t="n"/>
      <c r="M1099" s="66" t="n"/>
      <c r="N1099" s="80" t="n"/>
      <c r="O1099" s="81" t="str">
        <f>IF(A1099="","",ROUND(V1099*IFERROR(N(INDEX(tech_rate,MATCH(M1099,tech_name,0))),0),2))</f>
        <v/>
      </c>
      <c r="P1099" s="80" t="n"/>
      <c r="Q1099" s="81" t="str">
        <f>IF(A1099="","",ROUND(Y1099+O1099+Z1099,2))</f>
        <v/>
      </c>
      <c r="R1099" s="79" t="str">
        <f>IF(A1099="","",IF(S1099=0,"Date manquante ou invalide",IF(C1099="","Équipement manquant",IF(ISNA(MATCH(C1099,eq_code,0)),"Équipement inconnu",IF(E1099="","Type manquant",IF(AND(E1099&lt;&gt;"Préventif",E1099&lt;&gt;"Correctif",E1099&lt;&gt;"Amélioratif"),"Type inconnu",IF(I1099="","Statut manquant",IF(AND(I1099&lt;&gt;"Terminée",I1099&lt;&gt;"En cours",I1099&lt;&gt;"À faire",I1099&lt;&gt;"Annulée"),"Statut inconnu",IF(AND(E1099="Préventif",F1099=""),"Plan manquant (préventif)",IF(AND(F1099&lt;&gt;"",ISNA(MATCH(F1099,pl_num,0))),"Plan inconnu",IF(AND(F1099&lt;&gt;"",IFERROR(INDEX(pl_eq,MATCH(F1099,pl_num,0))&amp;"",C1099)&lt;&gt;C1099),"Plan d'un autre équipement",IF(AND(J1099&lt;&gt;"",OR(NOT(ISNUMBER(J1099)),N(J1099)&lt;0)),"Compteur invalide",IF(OR(AND(K1099&lt;&gt;"",OR(NOT(ISNUMBER(K1099)),N(K1099)&lt;0)),AND(L1099&lt;&gt;"",OR(NOT(ISNUMBER(L1099)),N(L1099)&lt;0))),"Durée invalide",IF(OR(AND(N1099&lt;&gt;"",OR(NOT(ISNUMBER(N1099)),N(N1099)&lt;0)),AND(P1099&lt;&gt;"",OR(NOT(ISNUMBER(P1099)),N(P1099)&lt;0))),"Coût invalide",IF(AND(M1099&lt;&gt;"",ISNA(MATCH(M1099,tech_name,0))),"Technicien inconnu",IF(AND(I1099="Terminée",S1099&gt;p_today),"Terminée à une date future",IF(AND(I1099="Terminée",V1099=0),"Durée d'intervention manquante",IF(AND(I1099="Terminée",E1099="Préventif",T1099=0,OR(IFERROR(INDEX(pl_trig,MATCH(F1099,pl_num,0))&amp;"","")="Compteur",IFERROR(INDEX(pl_trig,MATCH(F1099,pl_num,0))&amp;"","")="Au premier des deux")),"Compteur manquant (plan au compteur)","OK"))))))))))))))))))</f>
        <v/>
      </c>
      <c r="S1099" s="67">
        <f>IF(AND(ISNUMBER(B1099),N(B1099)&gt;0),INT(B1099),0)</f>
        <v>0.0</v>
      </c>
      <c r="T1099" s="67">
        <f>IF(AND(ISNUMBER(J1099),N(J1099)&gt;=0),N(J1099),0)</f>
        <v>0.0</v>
      </c>
      <c r="U1099" s="67">
        <f>IF(AND(ISNUMBER(K1099),N(K1099)&gt;0),N(K1099),0)</f>
        <v>0.0</v>
      </c>
      <c r="V1099" s="67">
        <f>IF(AND(ISNUMBER(L1099),N(L1099)&gt;0),N(L1099),0)</f>
        <v>0.0</v>
      </c>
      <c r="W1099" s="67">
        <f>IF(AND(I1099="Terminée",S1099&gt;0,C1099&lt;&gt;"",ISNUMBER(MATCH(C1099,eq_code,0))),1,0)</f>
        <v>0.0</v>
      </c>
      <c r="X1099" s="67">
        <f>IF(AND(W1099=1,E1099="Préventif"),1,0)</f>
        <v>0.0</v>
      </c>
      <c r="Y1099" s="67">
        <f>IF(AND(ISNUMBER(N1099),N(N1099)&gt;0),N(N1099),0)</f>
        <v>0.0</v>
      </c>
      <c r="Z1099" s="67">
        <f>IF(AND(ISNUMBER(P1099),N(P1099)&gt;0),N(P1099),0)</f>
        <v>0.0</v>
      </c>
    </row>
    <row r="1100">
      <c r="A1100" s="79" t="str">
        <f>IF(COUNTA(B1100:C1100,E1100:G1100,I1100)=0,"","BI-"&amp;RIGHT("0000"&amp;(ROW()-5),4))</f>
        <v/>
      </c>
      <c r="B1100" s="72" t="n"/>
      <c r="C1100" s="66" t="n"/>
      <c r="D1100" s="67" t="str">
        <f>IF(C1100="","",IFERROR(INDEX(eq_des,MATCH(C1100,eq_code,0))&amp;"","Équipement inconnu"))</f>
        <v/>
      </c>
      <c r="E1100" s="68" t="n"/>
      <c r="F1100" s="68" t="n"/>
      <c r="G1100" s="66" t="n"/>
      <c r="H1100" s="66" t="n"/>
      <c r="I1100" s="68" t="n"/>
      <c r="J1100" s="73" t="n"/>
      <c r="K1100" s="71" t="n"/>
      <c r="L1100" s="71" t="n"/>
      <c r="M1100" s="66" t="n"/>
      <c r="N1100" s="80" t="n"/>
      <c r="O1100" s="81" t="str">
        <f>IF(A1100="","",ROUND(V1100*IFERROR(N(INDEX(tech_rate,MATCH(M1100,tech_name,0))),0),2))</f>
        <v/>
      </c>
      <c r="P1100" s="80" t="n"/>
      <c r="Q1100" s="81" t="str">
        <f>IF(A1100="","",ROUND(Y1100+O1100+Z1100,2))</f>
        <v/>
      </c>
      <c r="R1100" s="79" t="str">
        <f>IF(A1100="","",IF(S1100=0,"Date manquante ou invalide",IF(C1100="","Équipement manquant",IF(ISNA(MATCH(C1100,eq_code,0)),"Équipement inconnu",IF(E1100="","Type manquant",IF(AND(E1100&lt;&gt;"Préventif",E1100&lt;&gt;"Correctif",E1100&lt;&gt;"Amélioratif"),"Type inconnu",IF(I1100="","Statut manquant",IF(AND(I1100&lt;&gt;"Terminée",I1100&lt;&gt;"En cours",I1100&lt;&gt;"À faire",I1100&lt;&gt;"Annulée"),"Statut inconnu",IF(AND(E1100="Préventif",F1100=""),"Plan manquant (préventif)",IF(AND(F1100&lt;&gt;"",ISNA(MATCH(F1100,pl_num,0))),"Plan inconnu",IF(AND(F1100&lt;&gt;"",IFERROR(INDEX(pl_eq,MATCH(F1100,pl_num,0))&amp;"",C1100)&lt;&gt;C1100),"Plan d'un autre équipement",IF(AND(J1100&lt;&gt;"",OR(NOT(ISNUMBER(J1100)),N(J1100)&lt;0)),"Compteur invalide",IF(OR(AND(K1100&lt;&gt;"",OR(NOT(ISNUMBER(K1100)),N(K1100)&lt;0)),AND(L1100&lt;&gt;"",OR(NOT(ISNUMBER(L1100)),N(L1100)&lt;0))),"Durée invalide",IF(OR(AND(N1100&lt;&gt;"",OR(NOT(ISNUMBER(N1100)),N(N1100)&lt;0)),AND(P1100&lt;&gt;"",OR(NOT(ISNUMBER(P1100)),N(P1100)&lt;0))),"Coût invalide",IF(AND(M1100&lt;&gt;"",ISNA(MATCH(M1100,tech_name,0))),"Technicien inconnu",IF(AND(I1100="Terminée",S1100&gt;p_today),"Terminée à une date future",IF(AND(I1100="Terminée",V1100=0),"Durée d'intervention manquante",IF(AND(I1100="Terminée",E1100="Préventif",T1100=0,OR(IFERROR(INDEX(pl_trig,MATCH(F1100,pl_num,0))&amp;"","")="Compteur",IFERROR(INDEX(pl_trig,MATCH(F1100,pl_num,0))&amp;"","")="Au premier des deux")),"Compteur manquant (plan au compteur)","OK"))))))))))))))))))</f>
        <v/>
      </c>
      <c r="S1100" s="67">
        <f>IF(AND(ISNUMBER(B1100),N(B1100)&gt;0),INT(B1100),0)</f>
        <v>0.0</v>
      </c>
      <c r="T1100" s="67">
        <f>IF(AND(ISNUMBER(J1100),N(J1100)&gt;=0),N(J1100),0)</f>
        <v>0.0</v>
      </c>
      <c r="U1100" s="67">
        <f>IF(AND(ISNUMBER(K1100),N(K1100)&gt;0),N(K1100),0)</f>
        <v>0.0</v>
      </c>
      <c r="V1100" s="67">
        <f>IF(AND(ISNUMBER(L1100),N(L1100)&gt;0),N(L1100),0)</f>
        <v>0.0</v>
      </c>
      <c r="W1100" s="67">
        <f>IF(AND(I1100="Terminée",S1100&gt;0,C1100&lt;&gt;"",ISNUMBER(MATCH(C1100,eq_code,0))),1,0)</f>
        <v>0.0</v>
      </c>
      <c r="X1100" s="67">
        <f>IF(AND(W1100=1,E1100="Préventif"),1,0)</f>
        <v>0.0</v>
      </c>
      <c r="Y1100" s="67">
        <f>IF(AND(ISNUMBER(N1100),N(N1100)&gt;0),N(N1100),0)</f>
        <v>0.0</v>
      </c>
      <c r="Z1100" s="67">
        <f>IF(AND(ISNUMBER(P1100),N(P1100)&gt;0),N(P1100),0)</f>
        <v>0.0</v>
      </c>
    </row>
    <row r="1101">
      <c r="A1101" s="79" t="str">
        <f>IF(COUNTA(B1101:C1101,E1101:G1101,I1101)=0,"","BI-"&amp;RIGHT("0000"&amp;(ROW()-5),4))</f>
        <v/>
      </c>
      <c r="B1101" s="72" t="n"/>
      <c r="C1101" s="66" t="n"/>
      <c r="D1101" s="67" t="str">
        <f>IF(C1101="","",IFERROR(INDEX(eq_des,MATCH(C1101,eq_code,0))&amp;"","Équipement inconnu"))</f>
        <v/>
      </c>
      <c r="E1101" s="68" t="n"/>
      <c r="F1101" s="68" t="n"/>
      <c r="G1101" s="66" t="n"/>
      <c r="H1101" s="66" t="n"/>
      <c r="I1101" s="68" t="n"/>
      <c r="J1101" s="73" t="n"/>
      <c r="K1101" s="71" t="n"/>
      <c r="L1101" s="71" t="n"/>
      <c r="M1101" s="66" t="n"/>
      <c r="N1101" s="80" t="n"/>
      <c r="O1101" s="81" t="str">
        <f>IF(A1101="","",ROUND(V1101*IFERROR(N(INDEX(tech_rate,MATCH(M1101,tech_name,0))),0),2))</f>
        <v/>
      </c>
      <c r="P1101" s="80" t="n"/>
      <c r="Q1101" s="81" t="str">
        <f>IF(A1101="","",ROUND(Y1101+O1101+Z1101,2))</f>
        <v/>
      </c>
      <c r="R1101" s="79" t="str">
        <f>IF(A1101="","",IF(S1101=0,"Date manquante ou invalide",IF(C1101="","Équipement manquant",IF(ISNA(MATCH(C1101,eq_code,0)),"Équipement inconnu",IF(E1101="","Type manquant",IF(AND(E1101&lt;&gt;"Préventif",E1101&lt;&gt;"Correctif",E1101&lt;&gt;"Amélioratif"),"Type inconnu",IF(I1101="","Statut manquant",IF(AND(I1101&lt;&gt;"Terminée",I1101&lt;&gt;"En cours",I1101&lt;&gt;"À faire",I1101&lt;&gt;"Annulée"),"Statut inconnu",IF(AND(E1101="Préventif",F1101=""),"Plan manquant (préventif)",IF(AND(F1101&lt;&gt;"",ISNA(MATCH(F1101,pl_num,0))),"Plan inconnu",IF(AND(F1101&lt;&gt;"",IFERROR(INDEX(pl_eq,MATCH(F1101,pl_num,0))&amp;"",C1101)&lt;&gt;C1101),"Plan d'un autre équipement",IF(AND(J1101&lt;&gt;"",OR(NOT(ISNUMBER(J1101)),N(J1101)&lt;0)),"Compteur invalide",IF(OR(AND(K1101&lt;&gt;"",OR(NOT(ISNUMBER(K1101)),N(K1101)&lt;0)),AND(L1101&lt;&gt;"",OR(NOT(ISNUMBER(L1101)),N(L1101)&lt;0))),"Durée invalide",IF(OR(AND(N1101&lt;&gt;"",OR(NOT(ISNUMBER(N1101)),N(N1101)&lt;0)),AND(P1101&lt;&gt;"",OR(NOT(ISNUMBER(P1101)),N(P1101)&lt;0))),"Coût invalide",IF(AND(M1101&lt;&gt;"",ISNA(MATCH(M1101,tech_name,0))),"Technicien inconnu",IF(AND(I1101="Terminée",S1101&gt;p_today),"Terminée à une date future",IF(AND(I1101="Terminée",V1101=0),"Durée d'intervention manquante",IF(AND(I1101="Terminée",E1101="Préventif",T1101=0,OR(IFERROR(INDEX(pl_trig,MATCH(F1101,pl_num,0))&amp;"","")="Compteur",IFERROR(INDEX(pl_trig,MATCH(F1101,pl_num,0))&amp;"","")="Au premier des deux")),"Compteur manquant (plan au compteur)","OK"))))))))))))))))))</f>
        <v/>
      </c>
      <c r="S1101" s="67">
        <f>IF(AND(ISNUMBER(B1101),N(B1101)&gt;0),INT(B1101),0)</f>
        <v>0.0</v>
      </c>
      <c r="T1101" s="67">
        <f>IF(AND(ISNUMBER(J1101),N(J1101)&gt;=0),N(J1101),0)</f>
        <v>0.0</v>
      </c>
      <c r="U1101" s="67">
        <f>IF(AND(ISNUMBER(K1101),N(K1101)&gt;0),N(K1101),0)</f>
        <v>0.0</v>
      </c>
      <c r="V1101" s="67">
        <f>IF(AND(ISNUMBER(L1101),N(L1101)&gt;0),N(L1101),0)</f>
        <v>0.0</v>
      </c>
      <c r="W1101" s="67">
        <f>IF(AND(I1101="Terminée",S1101&gt;0,C1101&lt;&gt;"",ISNUMBER(MATCH(C1101,eq_code,0))),1,0)</f>
        <v>0.0</v>
      </c>
      <c r="X1101" s="67">
        <f>IF(AND(W1101=1,E1101="Préventif"),1,0)</f>
        <v>0.0</v>
      </c>
      <c r="Y1101" s="67">
        <f>IF(AND(ISNUMBER(N1101),N(N1101)&gt;0),N(N1101),0)</f>
        <v>0.0</v>
      </c>
      <c r="Z1101" s="67">
        <f>IF(AND(ISNUMBER(P1101),N(P1101)&gt;0),N(P1101),0)</f>
        <v>0.0</v>
      </c>
    </row>
    <row r="1102">
      <c r="A1102" s="79" t="str">
        <f>IF(COUNTA(B1102:C1102,E1102:G1102,I1102)=0,"","BI-"&amp;RIGHT("0000"&amp;(ROW()-5),4))</f>
        <v/>
      </c>
      <c r="B1102" s="72" t="n"/>
      <c r="C1102" s="66" t="n"/>
      <c r="D1102" s="67" t="str">
        <f>IF(C1102="","",IFERROR(INDEX(eq_des,MATCH(C1102,eq_code,0))&amp;"","Équipement inconnu"))</f>
        <v/>
      </c>
      <c r="E1102" s="68" t="n"/>
      <c r="F1102" s="68" t="n"/>
      <c r="G1102" s="66" t="n"/>
      <c r="H1102" s="66" t="n"/>
      <c r="I1102" s="68" t="n"/>
      <c r="J1102" s="73" t="n"/>
      <c r="K1102" s="71" t="n"/>
      <c r="L1102" s="71" t="n"/>
      <c r="M1102" s="66" t="n"/>
      <c r="N1102" s="80" t="n"/>
      <c r="O1102" s="81" t="str">
        <f>IF(A1102="","",ROUND(V1102*IFERROR(N(INDEX(tech_rate,MATCH(M1102,tech_name,0))),0),2))</f>
        <v/>
      </c>
      <c r="P1102" s="80" t="n"/>
      <c r="Q1102" s="81" t="str">
        <f>IF(A1102="","",ROUND(Y1102+O1102+Z1102,2))</f>
        <v/>
      </c>
      <c r="R1102" s="79" t="str">
        <f>IF(A1102="","",IF(S1102=0,"Date manquante ou invalide",IF(C1102="","Équipement manquant",IF(ISNA(MATCH(C1102,eq_code,0)),"Équipement inconnu",IF(E1102="","Type manquant",IF(AND(E1102&lt;&gt;"Préventif",E1102&lt;&gt;"Correctif",E1102&lt;&gt;"Amélioratif"),"Type inconnu",IF(I1102="","Statut manquant",IF(AND(I1102&lt;&gt;"Terminée",I1102&lt;&gt;"En cours",I1102&lt;&gt;"À faire",I1102&lt;&gt;"Annulée"),"Statut inconnu",IF(AND(E1102="Préventif",F1102=""),"Plan manquant (préventif)",IF(AND(F1102&lt;&gt;"",ISNA(MATCH(F1102,pl_num,0))),"Plan inconnu",IF(AND(F1102&lt;&gt;"",IFERROR(INDEX(pl_eq,MATCH(F1102,pl_num,0))&amp;"",C1102)&lt;&gt;C1102),"Plan d'un autre équipement",IF(AND(J1102&lt;&gt;"",OR(NOT(ISNUMBER(J1102)),N(J1102)&lt;0)),"Compteur invalide",IF(OR(AND(K1102&lt;&gt;"",OR(NOT(ISNUMBER(K1102)),N(K1102)&lt;0)),AND(L1102&lt;&gt;"",OR(NOT(ISNUMBER(L1102)),N(L1102)&lt;0))),"Durée invalide",IF(OR(AND(N1102&lt;&gt;"",OR(NOT(ISNUMBER(N1102)),N(N1102)&lt;0)),AND(P1102&lt;&gt;"",OR(NOT(ISNUMBER(P1102)),N(P1102)&lt;0))),"Coût invalide",IF(AND(M1102&lt;&gt;"",ISNA(MATCH(M1102,tech_name,0))),"Technicien inconnu",IF(AND(I1102="Terminée",S1102&gt;p_today),"Terminée à une date future",IF(AND(I1102="Terminée",V1102=0),"Durée d'intervention manquante",IF(AND(I1102="Terminée",E1102="Préventif",T1102=0,OR(IFERROR(INDEX(pl_trig,MATCH(F1102,pl_num,0))&amp;"","")="Compteur",IFERROR(INDEX(pl_trig,MATCH(F1102,pl_num,0))&amp;"","")="Au premier des deux")),"Compteur manquant (plan au compteur)","OK"))))))))))))))))))</f>
        <v/>
      </c>
      <c r="S1102" s="67">
        <f>IF(AND(ISNUMBER(B1102),N(B1102)&gt;0),INT(B1102),0)</f>
        <v>0.0</v>
      </c>
      <c r="T1102" s="67">
        <f>IF(AND(ISNUMBER(J1102),N(J1102)&gt;=0),N(J1102),0)</f>
        <v>0.0</v>
      </c>
      <c r="U1102" s="67">
        <f>IF(AND(ISNUMBER(K1102),N(K1102)&gt;0),N(K1102),0)</f>
        <v>0.0</v>
      </c>
      <c r="V1102" s="67">
        <f>IF(AND(ISNUMBER(L1102),N(L1102)&gt;0),N(L1102),0)</f>
        <v>0.0</v>
      </c>
      <c r="W1102" s="67">
        <f>IF(AND(I1102="Terminée",S1102&gt;0,C1102&lt;&gt;"",ISNUMBER(MATCH(C1102,eq_code,0))),1,0)</f>
        <v>0.0</v>
      </c>
      <c r="X1102" s="67">
        <f>IF(AND(W1102=1,E1102="Préventif"),1,0)</f>
        <v>0.0</v>
      </c>
      <c r="Y1102" s="67">
        <f>IF(AND(ISNUMBER(N1102),N(N1102)&gt;0),N(N1102),0)</f>
        <v>0.0</v>
      </c>
      <c r="Z1102" s="67">
        <f>IF(AND(ISNUMBER(P1102),N(P1102)&gt;0),N(P1102),0)</f>
        <v>0.0</v>
      </c>
    </row>
    <row r="1103">
      <c r="A1103" s="79" t="str">
        <f>IF(COUNTA(B1103:C1103,E1103:G1103,I1103)=0,"","BI-"&amp;RIGHT("0000"&amp;(ROW()-5),4))</f>
        <v/>
      </c>
      <c r="B1103" s="72" t="n"/>
      <c r="C1103" s="66" t="n"/>
      <c r="D1103" s="67" t="str">
        <f>IF(C1103="","",IFERROR(INDEX(eq_des,MATCH(C1103,eq_code,0))&amp;"","Équipement inconnu"))</f>
        <v/>
      </c>
      <c r="E1103" s="68" t="n"/>
      <c r="F1103" s="68" t="n"/>
      <c r="G1103" s="66" t="n"/>
      <c r="H1103" s="66" t="n"/>
      <c r="I1103" s="68" t="n"/>
      <c r="J1103" s="73" t="n"/>
      <c r="K1103" s="71" t="n"/>
      <c r="L1103" s="71" t="n"/>
      <c r="M1103" s="66" t="n"/>
      <c r="N1103" s="80" t="n"/>
      <c r="O1103" s="81" t="str">
        <f>IF(A1103="","",ROUND(V1103*IFERROR(N(INDEX(tech_rate,MATCH(M1103,tech_name,0))),0),2))</f>
        <v/>
      </c>
      <c r="P1103" s="80" t="n"/>
      <c r="Q1103" s="81" t="str">
        <f>IF(A1103="","",ROUND(Y1103+O1103+Z1103,2))</f>
        <v/>
      </c>
      <c r="R1103" s="79" t="str">
        <f>IF(A1103="","",IF(S1103=0,"Date manquante ou invalide",IF(C1103="","Équipement manquant",IF(ISNA(MATCH(C1103,eq_code,0)),"Équipement inconnu",IF(E1103="","Type manquant",IF(AND(E1103&lt;&gt;"Préventif",E1103&lt;&gt;"Correctif",E1103&lt;&gt;"Amélioratif"),"Type inconnu",IF(I1103="","Statut manquant",IF(AND(I1103&lt;&gt;"Terminée",I1103&lt;&gt;"En cours",I1103&lt;&gt;"À faire",I1103&lt;&gt;"Annulée"),"Statut inconnu",IF(AND(E1103="Préventif",F1103=""),"Plan manquant (préventif)",IF(AND(F1103&lt;&gt;"",ISNA(MATCH(F1103,pl_num,0))),"Plan inconnu",IF(AND(F1103&lt;&gt;"",IFERROR(INDEX(pl_eq,MATCH(F1103,pl_num,0))&amp;"",C1103)&lt;&gt;C1103),"Plan d'un autre équipement",IF(AND(J1103&lt;&gt;"",OR(NOT(ISNUMBER(J1103)),N(J1103)&lt;0)),"Compteur invalide",IF(OR(AND(K1103&lt;&gt;"",OR(NOT(ISNUMBER(K1103)),N(K1103)&lt;0)),AND(L1103&lt;&gt;"",OR(NOT(ISNUMBER(L1103)),N(L1103)&lt;0))),"Durée invalide",IF(OR(AND(N1103&lt;&gt;"",OR(NOT(ISNUMBER(N1103)),N(N1103)&lt;0)),AND(P1103&lt;&gt;"",OR(NOT(ISNUMBER(P1103)),N(P1103)&lt;0))),"Coût invalide",IF(AND(M1103&lt;&gt;"",ISNA(MATCH(M1103,tech_name,0))),"Technicien inconnu",IF(AND(I1103="Terminée",S1103&gt;p_today),"Terminée à une date future",IF(AND(I1103="Terminée",V1103=0),"Durée d'intervention manquante",IF(AND(I1103="Terminée",E1103="Préventif",T1103=0,OR(IFERROR(INDEX(pl_trig,MATCH(F1103,pl_num,0))&amp;"","")="Compteur",IFERROR(INDEX(pl_trig,MATCH(F1103,pl_num,0))&amp;"","")="Au premier des deux")),"Compteur manquant (plan au compteur)","OK"))))))))))))))))))</f>
        <v/>
      </c>
      <c r="S1103" s="67">
        <f>IF(AND(ISNUMBER(B1103),N(B1103)&gt;0),INT(B1103),0)</f>
        <v>0.0</v>
      </c>
      <c r="T1103" s="67">
        <f>IF(AND(ISNUMBER(J1103),N(J1103)&gt;=0),N(J1103),0)</f>
        <v>0.0</v>
      </c>
      <c r="U1103" s="67">
        <f>IF(AND(ISNUMBER(K1103),N(K1103)&gt;0),N(K1103),0)</f>
        <v>0.0</v>
      </c>
      <c r="V1103" s="67">
        <f>IF(AND(ISNUMBER(L1103),N(L1103)&gt;0),N(L1103),0)</f>
        <v>0.0</v>
      </c>
      <c r="W1103" s="67">
        <f>IF(AND(I1103="Terminée",S1103&gt;0,C1103&lt;&gt;"",ISNUMBER(MATCH(C1103,eq_code,0))),1,0)</f>
        <v>0.0</v>
      </c>
      <c r="X1103" s="67">
        <f>IF(AND(W1103=1,E1103="Préventif"),1,0)</f>
        <v>0.0</v>
      </c>
      <c r="Y1103" s="67">
        <f>IF(AND(ISNUMBER(N1103),N(N1103)&gt;0),N(N1103),0)</f>
        <v>0.0</v>
      </c>
      <c r="Z1103" s="67">
        <f>IF(AND(ISNUMBER(P1103),N(P1103)&gt;0),N(P1103),0)</f>
        <v>0.0</v>
      </c>
    </row>
    <row r="1104">
      <c r="A1104" s="79" t="str">
        <f>IF(COUNTA(B1104:C1104,E1104:G1104,I1104)=0,"","BI-"&amp;RIGHT("0000"&amp;(ROW()-5),4))</f>
        <v/>
      </c>
      <c r="B1104" s="72" t="n"/>
      <c r="C1104" s="66" t="n"/>
      <c r="D1104" s="67" t="str">
        <f>IF(C1104="","",IFERROR(INDEX(eq_des,MATCH(C1104,eq_code,0))&amp;"","Équipement inconnu"))</f>
        <v/>
      </c>
      <c r="E1104" s="68" t="n"/>
      <c r="F1104" s="68" t="n"/>
      <c r="G1104" s="66" t="n"/>
      <c r="H1104" s="66" t="n"/>
      <c r="I1104" s="68" t="n"/>
      <c r="J1104" s="73" t="n"/>
      <c r="K1104" s="71" t="n"/>
      <c r="L1104" s="71" t="n"/>
      <c r="M1104" s="66" t="n"/>
      <c r="N1104" s="80" t="n"/>
      <c r="O1104" s="81" t="str">
        <f>IF(A1104="","",ROUND(V1104*IFERROR(N(INDEX(tech_rate,MATCH(M1104,tech_name,0))),0),2))</f>
        <v/>
      </c>
      <c r="P1104" s="80" t="n"/>
      <c r="Q1104" s="81" t="str">
        <f>IF(A1104="","",ROUND(Y1104+O1104+Z1104,2))</f>
        <v/>
      </c>
      <c r="R1104" s="79" t="str">
        <f>IF(A1104="","",IF(S1104=0,"Date manquante ou invalide",IF(C1104="","Équipement manquant",IF(ISNA(MATCH(C1104,eq_code,0)),"Équipement inconnu",IF(E1104="","Type manquant",IF(AND(E1104&lt;&gt;"Préventif",E1104&lt;&gt;"Correctif",E1104&lt;&gt;"Amélioratif"),"Type inconnu",IF(I1104="","Statut manquant",IF(AND(I1104&lt;&gt;"Terminée",I1104&lt;&gt;"En cours",I1104&lt;&gt;"À faire",I1104&lt;&gt;"Annulée"),"Statut inconnu",IF(AND(E1104="Préventif",F1104=""),"Plan manquant (préventif)",IF(AND(F1104&lt;&gt;"",ISNA(MATCH(F1104,pl_num,0))),"Plan inconnu",IF(AND(F1104&lt;&gt;"",IFERROR(INDEX(pl_eq,MATCH(F1104,pl_num,0))&amp;"",C1104)&lt;&gt;C1104),"Plan d'un autre équipement",IF(AND(J1104&lt;&gt;"",OR(NOT(ISNUMBER(J1104)),N(J1104)&lt;0)),"Compteur invalide",IF(OR(AND(K1104&lt;&gt;"",OR(NOT(ISNUMBER(K1104)),N(K1104)&lt;0)),AND(L1104&lt;&gt;"",OR(NOT(ISNUMBER(L1104)),N(L1104)&lt;0))),"Durée invalide",IF(OR(AND(N1104&lt;&gt;"",OR(NOT(ISNUMBER(N1104)),N(N1104)&lt;0)),AND(P1104&lt;&gt;"",OR(NOT(ISNUMBER(P1104)),N(P1104)&lt;0))),"Coût invalide",IF(AND(M1104&lt;&gt;"",ISNA(MATCH(M1104,tech_name,0))),"Technicien inconnu",IF(AND(I1104="Terminée",S1104&gt;p_today),"Terminée à une date future",IF(AND(I1104="Terminée",V1104=0),"Durée d'intervention manquante",IF(AND(I1104="Terminée",E1104="Préventif",T1104=0,OR(IFERROR(INDEX(pl_trig,MATCH(F1104,pl_num,0))&amp;"","")="Compteur",IFERROR(INDEX(pl_trig,MATCH(F1104,pl_num,0))&amp;"","")="Au premier des deux")),"Compteur manquant (plan au compteur)","OK"))))))))))))))))))</f>
        <v/>
      </c>
      <c r="S1104" s="67">
        <f>IF(AND(ISNUMBER(B1104),N(B1104)&gt;0),INT(B1104),0)</f>
        <v>0.0</v>
      </c>
      <c r="T1104" s="67">
        <f>IF(AND(ISNUMBER(J1104),N(J1104)&gt;=0),N(J1104),0)</f>
        <v>0.0</v>
      </c>
      <c r="U1104" s="67">
        <f>IF(AND(ISNUMBER(K1104),N(K1104)&gt;0),N(K1104),0)</f>
        <v>0.0</v>
      </c>
      <c r="V1104" s="67">
        <f>IF(AND(ISNUMBER(L1104),N(L1104)&gt;0),N(L1104),0)</f>
        <v>0.0</v>
      </c>
      <c r="W1104" s="67">
        <f>IF(AND(I1104="Terminée",S1104&gt;0,C1104&lt;&gt;"",ISNUMBER(MATCH(C1104,eq_code,0))),1,0)</f>
        <v>0.0</v>
      </c>
      <c r="X1104" s="67">
        <f>IF(AND(W1104=1,E1104="Préventif"),1,0)</f>
        <v>0.0</v>
      </c>
      <c r="Y1104" s="67">
        <f>IF(AND(ISNUMBER(N1104),N(N1104)&gt;0),N(N1104),0)</f>
        <v>0.0</v>
      </c>
      <c r="Z1104" s="67">
        <f>IF(AND(ISNUMBER(P1104),N(P1104)&gt;0),N(P1104),0)</f>
        <v>0.0</v>
      </c>
    </row>
    <row r="1105">
      <c r="A1105" s="79" t="str">
        <f>IF(COUNTA(B1105:C1105,E1105:G1105,I1105)=0,"","BI-"&amp;RIGHT("0000"&amp;(ROW()-5),4))</f>
        <v/>
      </c>
      <c r="B1105" s="72" t="n"/>
      <c r="C1105" s="66" t="n"/>
      <c r="D1105" s="67" t="str">
        <f>IF(C1105="","",IFERROR(INDEX(eq_des,MATCH(C1105,eq_code,0))&amp;"","Équipement inconnu"))</f>
        <v/>
      </c>
      <c r="E1105" s="68" t="n"/>
      <c r="F1105" s="68" t="n"/>
      <c r="G1105" s="66" t="n"/>
      <c r="H1105" s="66" t="n"/>
      <c r="I1105" s="68" t="n"/>
      <c r="J1105" s="73" t="n"/>
      <c r="K1105" s="71" t="n"/>
      <c r="L1105" s="71" t="n"/>
      <c r="M1105" s="66" t="n"/>
      <c r="N1105" s="80" t="n"/>
      <c r="O1105" s="81" t="str">
        <f>IF(A1105="","",ROUND(V1105*IFERROR(N(INDEX(tech_rate,MATCH(M1105,tech_name,0))),0),2))</f>
        <v/>
      </c>
      <c r="P1105" s="80" t="n"/>
      <c r="Q1105" s="81" t="str">
        <f>IF(A1105="","",ROUND(Y1105+O1105+Z1105,2))</f>
        <v/>
      </c>
      <c r="R1105" s="79" t="str">
        <f>IF(A1105="","",IF(S1105=0,"Date manquante ou invalide",IF(C1105="","Équipement manquant",IF(ISNA(MATCH(C1105,eq_code,0)),"Équipement inconnu",IF(E1105="","Type manquant",IF(AND(E1105&lt;&gt;"Préventif",E1105&lt;&gt;"Correctif",E1105&lt;&gt;"Amélioratif"),"Type inconnu",IF(I1105="","Statut manquant",IF(AND(I1105&lt;&gt;"Terminée",I1105&lt;&gt;"En cours",I1105&lt;&gt;"À faire",I1105&lt;&gt;"Annulée"),"Statut inconnu",IF(AND(E1105="Préventif",F1105=""),"Plan manquant (préventif)",IF(AND(F1105&lt;&gt;"",ISNA(MATCH(F1105,pl_num,0))),"Plan inconnu",IF(AND(F1105&lt;&gt;"",IFERROR(INDEX(pl_eq,MATCH(F1105,pl_num,0))&amp;"",C1105)&lt;&gt;C1105),"Plan d'un autre équipement",IF(AND(J1105&lt;&gt;"",OR(NOT(ISNUMBER(J1105)),N(J1105)&lt;0)),"Compteur invalide",IF(OR(AND(K1105&lt;&gt;"",OR(NOT(ISNUMBER(K1105)),N(K1105)&lt;0)),AND(L1105&lt;&gt;"",OR(NOT(ISNUMBER(L1105)),N(L1105)&lt;0))),"Durée invalide",IF(OR(AND(N1105&lt;&gt;"",OR(NOT(ISNUMBER(N1105)),N(N1105)&lt;0)),AND(P1105&lt;&gt;"",OR(NOT(ISNUMBER(P1105)),N(P1105)&lt;0))),"Coût invalide",IF(AND(M1105&lt;&gt;"",ISNA(MATCH(M1105,tech_name,0))),"Technicien inconnu",IF(AND(I1105="Terminée",S1105&gt;p_today),"Terminée à une date future",IF(AND(I1105="Terminée",V1105=0),"Durée d'intervention manquante",IF(AND(I1105="Terminée",E1105="Préventif",T1105=0,OR(IFERROR(INDEX(pl_trig,MATCH(F1105,pl_num,0))&amp;"","")="Compteur",IFERROR(INDEX(pl_trig,MATCH(F1105,pl_num,0))&amp;"","")="Au premier des deux")),"Compteur manquant (plan au compteur)","OK"))))))))))))))))))</f>
        <v/>
      </c>
      <c r="S1105" s="67">
        <f>IF(AND(ISNUMBER(B1105),N(B1105)&gt;0),INT(B1105),0)</f>
        <v>0.0</v>
      </c>
      <c r="T1105" s="67">
        <f>IF(AND(ISNUMBER(J1105),N(J1105)&gt;=0),N(J1105),0)</f>
        <v>0.0</v>
      </c>
      <c r="U1105" s="67">
        <f>IF(AND(ISNUMBER(K1105),N(K1105)&gt;0),N(K1105),0)</f>
        <v>0.0</v>
      </c>
      <c r="V1105" s="67">
        <f>IF(AND(ISNUMBER(L1105),N(L1105)&gt;0),N(L1105),0)</f>
        <v>0.0</v>
      </c>
      <c r="W1105" s="67">
        <f>IF(AND(I1105="Terminée",S1105&gt;0,C1105&lt;&gt;"",ISNUMBER(MATCH(C1105,eq_code,0))),1,0)</f>
        <v>0.0</v>
      </c>
      <c r="X1105" s="67">
        <f>IF(AND(W1105=1,E1105="Préventif"),1,0)</f>
        <v>0.0</v>
      </c>
      <c r="Y1105" s="67">
        <f>IF(AND(ISNUMBER(N1105),N(N1105)&gt;0),N(N1105),0)</f>
        <v>0.0</v>
      </c>
      <c r="Z1105" s="67">
        <f>IF(AND(ISNUMBER(P1105),N(P1105)&gt;0),N(P1105),0)</f>
        <v>0.0</v>
      </c>
    </row>
    <row r="1106">
      <c r="A1106" s="79" t="str">
        <f>IF(COUNTA(B1106:C1106,E1106:G1106,I1106)=0,"","BI-"&amp;RIGHT("0000"&amp;(ROW()-5),4))</f>
        <v/>
      </c>
      <c r="B1106" s="72" t="n"/>
      <c r="C1106" s="66" t="n"/>
      <c r="D1106" s="67" t="str">
        <f>IF(C1106="","",IFERROR(INDEX(eq_des,MATCH(C1106,eq_code,0))&amp;"","Équipement inconnu"))</f>
        <v/>
      </c>
      <c r="E1106" s="68" t="n"/>
      <c r="F1106" s="68" t="n"/>
      <c r="G1106" s="66" t="n"/>
      <c r="H1106" s="66" t="n"/>
      <c r="I1106" s="68" t="n"/>
      <c r="J1106" s="73" t="n"/>
      <c r="K1106" s="71" t="n"/>
      <c r="L1106" s="71" t="n"/>
      <c r="M1106" s="66" t="n"/>
      <c r="N1106" s="80" t="n"/>
      <c r="O1106" s="81" t="str">
        <f>IF(A1106="","",ROUND(V1106*IFERROR(N(INDEX(tech_rate,MATCH(M1106,tech_name,0))),0),2))</f>
        <v/>
      </c>
      <c r="P1106" s="80" t="n"/>
      <c r="Q1106" s="81" t="str">
        <f>IF(A1106="","",ROUND(Y1106+O1106+Z1106,2))</f>
        <v/>
      </c>
      <c r="R1106" s="79" t="str">
        <f>IF(A1106="","",IF(S1106=0,"Date manquante ou invalide",IF(C1106="","Équipement manquant",IF(ISNA(MATCH(C1106,eq_code,0)),"Équipement inconnu",IF(E1106="","Type manquant",IF(AND(E1106&lt;&gt;"Préventif",E1106&lt;&gt;"Correctif",E1106&lt;&gt;"Amélioratif"),"Type inconnu",IF(I1106="","Statut manquant",IF(AND(I1106&lt;&gt;"Terminée",I1106&lt;&gt;"En cours",I1106&lt;&gt;"À faire",I1106&lt;&gt;"Annulée"),"Statut inconnu",IF(AND(E1106="Préventif",F1106=""),"Plan manquant (préventif)",IF(AND(F1106&lt;&gt;"",ISNA(MATCH(F1106,pl_num,0))),"Plan inconnu",IF(AND(F1106&lt;&gt;"",IFERROR(INDEX(pl_eq,MATCH(F1106,pl_num,0))&amp;"",C1106)&lt;&gt;C1106),"Plan d'un autre équipement",IF(AND(J1106&lt;&gt;"",OR(NOT(ISNUMBER(J1106)),N(J1106)&lt;0)),"Compteur invalide",IF(OR(AND(K1106&lt;&gt;"",OR(NOT(ISNUMBER(K1106)),N(K1106)&lt;0)),AND(L1106&lt;&gt;"",OR(NOT(ISNUMBER(L1106)),N(L1106)&lt;0))),"Durée invalide",IF(OR(AND(N1106&lt;&gt;"",OR(NOT(ISNUMBER(N1106)),N(N1106)&lt;0)),AND(P1106&lt;&gt;"",OR(NOT(ISNUMBER(P1106)),N(P1106)&lt;0))),"Coût invalide",IF(AND(M1106&lt;&gt;"",ISNA(MATCH(M1106,tech_name,0))),"Technicien inconnu",IF(AND(I1106="Terminée",S1106&gt;p_today),"Terminée à une date future",IF(AND(I1106="Terminée",V1106=0),"Durée d'intervention manquante",IF(AND(I1106="Terminée",E1106="Préventif",T1106=0,OR(IFERROR(INDEX(pl_trig,MATCH(F1106,pl_num,0))&amp;"","")="Compteur",IFERROR(INDEX(pl_trig,MATCH(F1106,pl_num,0))&amp;"","")="Au premier des deux")),"Compteur manquant (plan au compteur)","OK"))))))))))))))))))</f>
        <v/>
      </c>
      <c r="S1106" s="67">
        <f>IF(AND(ISNUMBER(B1106),N(B1106)&gt;0),INT(B1106),0)</f>
        <v>0.0</v>
      </c>
      <c r="T1106" s="67">
        <f>IF(AND(ISNUMBER(J1106),N(J1106)&gt;=0),N(J1106),0)</f>
        <v>0.0</v>
      </c>
      <c r="U1106" s="67">
        <f>IF(AND(ISNUMBER(K1106),N(K1106)&gt;0),N(K1106),0)</f>
        <v>0.0</v>
      </c>
      <c r="V1106" s="67">
        <f>IF(AND(ISNUMBER(L1106),N(L1106)&gt;0),N(L1106),0)</f>
        <v>0.0</v>
      </c>
      <c r="W1106" s="67">
        <f>IF(AND(I1106="Terminée",S1106&gt;0,C1106&lt;&gt;"",ISNUMBER(MATCH(C1106,eq_code,0))),1,0)</f>
        <v>0.0</v>
      </c>
      <c r="X1106" s="67">
        <f>IF(AND(W1106=1,E1106="Préventif"),1,0)</f>
        <v>0.0</v>
      </c>
      <c r="Y1106" s="67">
        <f>IF(AND(ISNUMBER(N1106),N(N1106)&gt;0),N(N1106),0)</f>
        <v>0.0</v>
      </c>
      <c r="Z1106" s="67">
        <f>IF(AND(ISNUMBER(P1106),N(P1106)&gt;0),N(P1106),0)</f>
        <v>0.0</v>
      </c>
    </row>
    <row r="1107">
      <c r="A1107" s="79" t="str">
        <f>IF(COUNTA(B1107:C1107,E1107:G1107,I1107)=0,"","BI-"&amp;RIGHT("0000"&amp;(ROW()-5),4))</f>
        <v/>
      </c>
      <c r="B1107" s="72" t="n"/>
      <c r="C1107" s="66" t="n"/>
      <c r="D1107" s="67" t="str">
        <f>IF(C1107="","",IFERROR(INDEX(eq_des,MATCH(C1107,eq_code,0))&amp;"","Équipement inconnu"))</f>
        <v/>
      </c>
      <c r="E1107" s="68" t="n"/>
      <c r="F1107" s="68" t="n"/>
      <c r="G1107" s="66" t="n"/>
      <c r="H1107" s="66" t="n"/>
      <c r="I1107" s="68" t="n"/>
      <c r="J1107" s="73" t="n"/>
      <c r="K1107" s="71" t="n"/>
      <c r="L1107" s="71" t="n"/>
      <c r="M1107" s="66" t="n"/>
      <c r="N1107" s="80" t="n"/>
      <c r="O1107" s="81" t="str">
        <f>IF(A1107="","",ROUND(V1107*IFERROR(N(INDEX(tech_rate,MATCH(M1107,tech_name,0))),0),2))</f>
        <v/>
      </c>
      <c r="P1107" s="80" t="n"/>
      <c r="Q1107" s="81" t="str">
        <f>IF(A1107="","",ROUND(Y1107+O1107+Z1107,2))</f>
        <v/>
      </c>
      <c r="R1107" s="79" t="str">
        <f>IF(A1107="","",IF(S1107=0,"Date manquante ou invalide",IF(C1107="","Équipement manquant",IF(ISNA(MATCH(C1107,eq_code,0)),"Équipement inconnu",IF(E1107="","Type manquant",IF(AND(E1107&lt;&gt;"Préventif",E1107&lt;&gt;"Correctif",E1107&lt;&gt;"Amélioratif"),"Type inconnu",IF(I1107="","Statut manquant",IF(AND(I1107&lt;&gt;"Terminée",I1107&lt;&gt;"En cours",I1107&lt;&gt;"À faire",I1107&lt;&gt;"Annulée"),"Statut inconnu",IF(AND(E1107="Préventif",F1107=""),"Plan manquant (préventif)",IF(AND(F1107&lt;&gt;"",ISNA(MATCH(F1107,pl_num,0))),"Plan inconnu",IF(AND(F1107&lt;&gt;"",IFERROR(INDEX(pl_eq,MATCH(F1107,pl_num,0))&amp;"",C1107)&lt;&gt;C1107),"Plan d'un autre équipement",IF(AND(J1107&lt;&gt;"",OR(NOT(ISNUMBER(J1107)),N(J1107)&lt;0)),"Compteur invalide",IF(OR(AND(K1107&lt;&gt;"",OR(NOT(ISNUMBER(K1107)),N(K1107)&lt;0)),AND(L1107&lt;&gt;"",OR(NOT(ISNUMBER(L1107)),N(L1107)&lt;0))),"Durée invalide",IF(OR(AND(N1107&lt;&gt;"",OR(NOT(ISNUMBER(N1107)),N(N1107)&lt;0)),AND(P1107&lt;&gt;"",OR(NOT(ISNUMBER(P1107)),N(P1107)&lt;0))),"Coût invalide",IF(AND(M1107&lt;&gt;"",ISNA(MATCH(M1107,tech_name,0))),"Technicien inconnu",IF(AND(I1107="Terminée",S1107&gt;p_today),"Terminée à une date future",IF(AND(I1107="Terminée",V1107=0),"Durée d'intervention manquante",IF(AND(I1107="Terminée",E1107="Préventif",T1107=0,OR(IFERROR(INDEX(pl_trig,MATCH(F1107,pl_num,0))&amp;"","")="Compteur",IFERROR(INDEX(pl_trig,MATCH(F1107,pl_num,0))&amp;"","")="Au premier des deux")),"Compteur manquant (plan au compteur)","OK"))))))))))))))))))</f>
        <v/>
      </c>
      <c r="S1107" s="67">
        <f>IF(AND(ISNUMBER(B1107),N(B1107)&gt;0),INT(B1107),0)</f>
        <v>0.0</v>
      </c>
      <c r="T1107" s="67">
        <f>IF(AND(ISNUMBER(J1107),N(J1107)&gt;=0),N(J1107),0)</f>
        <v>0.0</v>
      </c>
      <c r="U1107" s="67">
        <f>IF(AND(ISNUMBER(K1107),N(K1107)&gt;0),N(K1107),0)</f>
        <v>0.0</v>
      </c>
      <c r="V1107" s="67">
        <f>IF(AND(ISNUMBER(L1107),N(L1107)&gt;0),N(L1107),0)</f>
        <v>0.0</v>
      </c>
      <c r="W1107" s="67">
        <f>IF(AND(I1107="Terminée",S1107&gt;0,C1107&lt;&gt;"",ISNUMBER(MATCH(C1107,eq_code,0))),1,0)</f>
        <v>0.0</v>
      </c>
      <c r="X1107" s="67">
        <f>IF(AND(W1107=1,E1107="Préventif"),1,0)</f>
        <v>0.0</v>
      </c>
      <c r="Y1107" s="67">
        <f>IF(AND(ISNUMBER(N1107),N(N1107)&gt;0),N(N1107),0)</f>
        <v>0.0</v>
      </c>
      <c r="Z1107" s="67">
        <f>IF(AND(ISNUMBER(P1107),N(P1107)&gt;0),N(P1107),0)</f>
        <v>0.0</v>
      </c>
    </row>
    <row r="1108">
      <c r="A1108" s="79" t="str">
        <f>IF(COUNTA(B1108:C1108,E1108:G1108,I1108)=0,"","BI-"&amp;RIGHT("0000"&amp;(ROW()-5),4))</f>
        <v/>
      </c>
      <c r="B1108" s="72" t="n"/>
      <c r="C1108" s="66" t="n"/>
      <c r="D1108" s="67" t="str">
        <f>IF(C1108="","",IFERROR(INDEX(eq_des,MATCH(C1108,eq_code,0))&amp;"","Équipement inconnu"))</f>
        <v/>
      </c>
      <c r="E1108" s="68" t="n"/>
      <c r="F1108" s="68" t="n"/>
      <c r="G1108" s="66" t="n"/>
      <c r="H1108" s="66" t="n"/>
      <c r="I1108" s="68" t="n"/>
      <c r="J1108" s="73" t="n"/>
      <c r="K1108" s="71" t="n"/>
      <c r="L1108" s="71" t="n"/>
      <c r="M1108" s="66" t="n"/>
      <c r="N1108" s="80" t="n"/>
      <c r="O1108" s="81" t="str">
        <f>IF(A1108="","",ROUND(V1108*IFERROR(N(INDEX(tech_rate,MATCH(M1108,tech_name,0))),0),2))</f>
        <v/>
      </c>
      <c r="P1108" s="80" t="n"/>
      <c r="Q1108" s="81" t="str">
        <f>IF(A1108="","",ROUND(Y1108+O1108+Z1108,2))</f>
        <v/>
      </c>
      <c r="R1108" s="79" t="str">
        <f>IF(A1108="","",IF(S1108=0,"Date manquante ou invalide",IF(C1108="","Équipement manquant",IF(ISNA(MATCH(C1108,eq_code,0)),"Équipement inconnu",IF(E1108="","Type manquant",IF(AND(E1108&lt;&gt;"Préventif",E1108&lt;&gt;"Correctif",E1108&lt;&gt;"Amélioratif"),"Type inconnu",IF(I1108="","Statut manquant",IF(AND(I1108&lt;&gt;"Terminée",I1108&lt;&gt;"En cours",I1108&lt;&gt;"À faire",I1108&lt;&gt;"Annulée"),"Statut inconnu",IF(AND(E1108="Préventif",F1108=""),"Plan manquant (préventif)",IF(AND(F1108&lt;&gt;"",ISNA(MATCH(F1108,pl_num,0))),"Plan inconnu",IF(AND(F1108&lt;&gt;"",IFERROR(INDEX(pl_eq,MATCH(F1108,pl_num,0))&amp;"",C1108)&lt;&gt;C1108),"Plan d'un autre équipement",IF(AND(J1108&lt;&gt;"",OR(NOT(ISNUMBER(J1108)),N(J1108)&lt;0)),"Compteur invalide",IF(OR(AND(K1108&lt;&gt;"",OR(NOT(ISNUMBER(K1108)),N(K1108)&lt;0)),AND(L1108&lt;&gt;"",OR(NOT(ISNUMBER(L1108)),N(L1108)&lt;0))),"Durée invalide",IF(OR(AND(N1108&lt;&gt;"",OR(NOT(ISNUMBER(N1108)),N(N1108)&lt;0)),AND(P1108&lt;&gt;"",OR(NOT(ISNUMBER(P1108)),N(P1108)&lt;0))),"Coût invalide",IF(AND(M1108&lt;&gt;"",ISNA(MATCH(M1108,tech_name,0))),"Technicien inconnu",IF(AND(I1108="Terminée",S1108&gt;p_today),"Terminée à une date future",IF(AND(I1108="Terminée",V1108=0),"Durée d'intervention manquante",IF(AND(I1108="Terminée",E1108="Préventif",T1108=0,OR(IFERROR(INDEX(pl_trig,MATCH(F1108,pl_num,0))&amp;"","")="Compteur",IFERROR(INDEX(pl_trig,MATCH(F1108,pl_num,0))&amp;"","")="Au premier des deux")),"Compteur manquant (plan au compteur)","OK"))))))))))))))))))</f>
        <v/>
      </c>
      <c r="S1108" s="67">
        <f>IF(AND(ISNUMBER(B1108),N(B1108)&gt;0),INT(B1108),0)</f>
        <v>0.0</v>
      </c>
      <c r="T1108" s="67">
        <f>IF(AND(ISNUMBER(J1108),N(J1108)&gt;=0),N(J1108),0)</f>
        <v>0.0</v>
      </c>
      <c r="U1108" s="67">
        <f>IF(AND(ISNUMBER(K1108),N(K1108)&gt;0),N(K1108),0)</f>
        <v>0.0</v>
      </c>
      <c r="V1108" s="67">
        <f>IF(AND(ISNUMBER(L1108),N(L1108)&gt;0),N(L1108),0)</f>
        <v>0.0</v>
      </c>
      <c r="W1108" s="67">
        <f>IF(AND(I1108="Terminée",S1108&gt;0,C1108&lt;&gt;"",ISNUMBER(MATCH(C1108,eq_code,0))),1,0)</f>
        <v>0.0</v>
      </c>
      <c r="X1108" s="67">
        <f>IF(AND(W1108=1,E1108="Préventif"),1,0)</f>
        <v>0.0</v>
      </c>
      <c r="Y1108" s="67">
        <f>IF(AND(ISNUMBER(N1108),N(N1108)&gt;0),N(N1108),0)</f>
        <v>0.0</v>
      </c>
      <c r="Z1108" s="67">
        <f>IF(AND(ISNUMBER(P1108),N(P1108)&gt;0),N(P1108),0)</f>
        <v>0.0</v>
      </c>
    </row>
    <row r="1109">
      <c r="A1109" s="79" t="str">
        <f>IF(COUNTA(B1109:C1109,E1109:G1109,I1109)=0,"","BI-"&amp;RIGHT("0000"&amp;(ROW()-5),4))</f>
        <v/>
      </c>
      <c r="B1109" s="72" t="n"/>
      <c r="C1109" s="66" t="n"/>
      <c r="D1109" s="67" t="str">
        <f>IF(C1109="","",IFERROR(INDEX(eq_des,MATCH(C1109,eq_code,0))&amp;"","Équipement inconnu"))</f>
        <v/>
      </c>
      <c r="E1109" s="68" t="n"/>
      <c r="F1109" s="68" t="n"/>
      <c r="G1109" s="66" t="n"/>
      <c r="H1109" s="66" t="n"/>
      <c r="I1109" s="68" t="n"/>
      <c r="J1109" s="73" t="n"/>
      <c r="K1109" s="71" t="n"/>
      <c r="L1109" s="71" t="n"/>
      <c r="M1109" s="66" t="n"/>
      <c r="N1109" s="80" t="n"/>
      <c r="O1109" s="81" t="str">
        <f>IF(A1109="","",ROUND(V1109*IFERROR(N(INDEX(tech_rate,MATCH(M1109,tech_name,0))),0),2))</f>
        <v/>
      </c>
      <c r="P1109" s="80" t="n"/>
      <c r="Q1109" s="81" t="str">
        <f>IF(A1109="","",ROUND(Y1109+O1109+Z1109,2))</f>
        <v/>
      </c>
      <c r="R1109" s="79" t="str">
        <f>IF(A1109="","",IF(S1109=0,"Date manquante ou invalide",IF(C1109="","Équipement manquant",IF(ISNA(MATCH(C1109,eq_code,0)),"Équipement inconnu",IF(E1109="","Type manquant",IF(AND(E1109&lt;&gt;"Préventif",E1109&lt;&gt;"Correctif",E1109&lt;&gt;"Amélioratif"),"Type inconnu",IF(I1109="","Statut manquant",IF(AND(I1109&lt;&gt;"Terminée",I1109&lt;&gt;"En cours",I1109&lt;&gt;"À faire",I1109&lt;&gt;"Annulée"),"Statut inconnu",IF(AND(E1109="Préventif",F1109=""),"Plan manquant (préventif)",IF(AND(F1109&lt;&gt;"",ISNA(MATCH(F1109,pl_num,0))),"Plan inconnu",IF(AND(F1109&lt;&gt;"",IFERROR(INDEX(pl_eq,MATCH(F1109,pl_num,0))&amp;"",C1109)&lt;&gt;C1109),"Plan d'un autre équipement",IF(AND(J1109&lt;&gt;"",OR(NOT(ISNUMBER(J1109)),N(J1109)&lt;0)),"Compteur invalide",IF(OR(AND(K1109&lt;&gt;"",OR(NOT(ISNUMBER(K1109)),N(K1109)&lt;0)),AND(L1109&lt;&gt;"",OR(NOT(ISNUMBER(L1109)),N(L1109)&lt;0))),"Durée invalide",IF(OR(AND(N1109&lt;&gt;"",OR(NOT(ISNUMBER(N1109)),N(N1109)&lt;0)),AND(P1109&lt;&gt;"",OR(NOT(ISNUMBER(P1109)),N(P1109)&lt;0))),"Coût invalide",IF(AND(M1109&lt;&gt;"",ISNA(MATCH(M1109,tech_name,0))),"Technicien inconnu",IF(AND(I1109="Terminée",S1109&gt;p_today),"Terminée à une date future",IF(AND(I1109="Terminée",V1109=0),"Durée d'intervention manquante",IF(AND(I1109="Terminée",E1109="Préventif",T1109=0,OR(IFERROR(INDEX(pl_trig,MATCH(F1109,pl_num,0))&amp;"","")="Compteur",IFERROR(INDEX(pl_trig,MATCH(F1109,pl_num,0))&amp;"","")="Au premier des deux")),"Compteur manquant (plan au compteur)","OK"))))))))))))))))))</f>
        <v/>
      </c>
      <c r="S1109" s="67">
        <f>IF(AND(ISNUMBER(B1109),N(B1109)&gt;0),INT(B1109),0)</f>
        <v>0.0</v>
      </c>
      <c r="T1109" s="67">
        <f>IF(AND(ISNUMBER(J1109),N(J1109)&gt;=0),N(J1109),0)</f>
        <v>0.0</v>
      </c>
      <c r="U1109" s="67">
        <f>IF(AND(ISNUMBER(K1109),N(K1109)&gt;0),N(K1109),0)</f>
        <v>0.0</v>
      </c>
      <c r="V1109" s="67">
        <f>IF(AND(ISNUMBER(L1109),N(L1109)&gt;0),N(L1109),0)</f>
        <v>0.0</v>
      </c>
      <c r="W1109" s="67">
        <f>IF(AND(I1109="Terminée",S1109&gt;0,C1109&lt;&gt;"",ISNUMBER(MATCH(C1109,eq_code,0))),1,0)</f>
        <v>0.0</v>
      </c>
      <c r="X1109" s="67">
        <f>IF(AND(W1109=1,E1109="Préventif"),1,0)</f>
        <v>0.0</v>
      </c>
      <c r="Y1109" s="67">
        <f>IF(AND(ISNUMBER(N1109),N(N1109)&gt;0),N(N1109),0)</f>
        <v>0.0</v>
      </c>
      <c r="Z1109" s="67">
        <f>IF(AND(ISNUMBER(P1109),N(P1109)&gt;0),N(P1109),0)</f>
        <v>0.0</v>
      </c>
    </row>
    <row r="1110">
      <c r="A1110" s="79" t="str">
        <f>IF(COUNTA(B1110:C1110,E1110:G1110,I1110)=0,"","BI-"&amp;RIGHT("0000"&amp;(ROW()-5),4))</f>
        <v/>
      </c>
      <c r="B1110" s="72" t="n"/>
      <c r="C1110" s="66" t="n"/>
      <c r="D1110" s="67" t="str">
        <f>IF(C1110="","",IFERROR(INDEX(eq_des,MATCH(C1110,eq_code,0))&amp;"","Équipement inconnu"))</f>
        <v/>
      </c>
      <c r="E1110" s="68" t="n"/>
      <c r="F1110" s="68" t="n"/>
      <c r="G1110" s="66" t="n"/>
      <c r="H1110" s="66" t="n"/>
      <c r="I1110" s="68" t="n"/>
      <c r="J1110" s="73" t="n"/>
      <c r="K1110" s="71" t="n"/>
      <c r="L1110" s="71" t="n"/>
      <c r="M1110" s="66" t="n"/>
      <c r="N1110" s="80" t="n"/>
      <c r="O1110" s="81" t="str">
        <f>IF(A1110="","",ROUND(V1110*IFERROR(N(INDEX(tech_rate,MATCH(M1110,tech_name,0))),0),2))</f>
        <v/>
      </c>
      <c r="P1110" s="80" t="n"/>
      <c r="Q1110" s="81" t="str">
        <f>IF(A1110="","",ROUND(Y1110+O1110+Z1110,2))</f>
        <v/>
      </c>
      <c r="R1110" s="79" t="str">
        <f>IF(A1110="","",IF(S1110=0,"Date manquante ou invalide",IF(C1110="","Équipement manquant",IF(ISNA(MATCH(C1110,eq_code,0)),"Équipement inconnu",IF(E1110="","Type manquant",IF(AND(E1110&lt;&gt;"Préventif",E1110&lt;&gt;"Correctif",E1110&lt;&gt;"Amélioratif"),"Type inconnu",IF(I1110="","Statut manquant",IF(AND(I1110&lt;&gt;"Terminée",I1110&lt;&gt;"En cours",I1110&lt;&gt;"À faire",I1110&lt;&gt;"Annulée"),"Statut inconnu",IF(AND(E1110="Préventif",F1110=""),"Plan manquant (préventif)",IF(AND(F1110&lt;&gt;"",ISNA(MATCH(F1110,pl_num,0))),"Plan inconnu",IF(AND(F1110&lt;&gt;"",IFERROR(INDEX(pl_eq,MATCH(F1110,pl_num,0))&amp;"",C1110)&lt;&gt;C1110),"Plan d'un autre équipement",IF(AND(J1110&lt;&gt;"",OR(NOT(ISNUMBER(J1110)),N(J1110)&lt;0)),"Compteur invalide",IF(OR(AND(K1110&lt;&gt;"",OR(NOT(ISNUMBER(K1110)),N(K1110)&lt;0)),AND(L1110&lt;&gt;"",OR(NOT(ISNUMBER(L1110)),N(L1110)&lt;0))),"Durée invalide",IF(OR(AND(N1110&lt;&gt;"",OR(NOT(ISNUMBER(N1110)),N(N1110)&lt;0)),AND(P1110&lt;&gt;"",OR(NOT(ISNUMBER(P1110)),N(P1110)&lt;0))),"Coût invalide",IF(AND(M1110&lt;&gt;"",ISNA(MATCH(M1110,tech_name,0))),"Technicien inconnu",IF(AND(I1110="Terminée",S1110&gt;p_today),"Terminée à une date future",IF(AND(I1110="Terminée",V1110=0),"Durée d'intervention manquante",IF(AND(I1110="Terminée",E1110="Préventif",T1110=0,OR(IFERROR(INDEX(pl_trig,MATCH(F1110,pl_num,0))&amp;"","")="Compteur",IFERROR(INDEX(pl_trig,MATCH(F1110,pl_num,0))&amp;"","")="Au premier des deux")),"Compteur manquant (plan au compteur)","OK"))))))))))))))))))</f>
        <v/>
      </c>
      <c r="S1110" s="67">
        <f>IF(AND(ISNUMBER(B1110),N(B1110)&gt;0),INT(B1110),0)</f>
        <v>0.0</v>
      </c>
      <c r="T1110" s="67">
        <f>IF(AND(ISNUMBER(J1110),N(J1110)&gt;=0),N(J1110),0)</f>
        <v>0.0</v>
      </c>
      <c r="U1110" s="67">
        <f>IF(AND(ISNUMBER(K1110),N(K1110)&gt;0),N(K1110),0)</f>
        <v>0.0</v>
      </c>
      <c r="V1110" s="67">
        <f>IF(AND(ISNUMBER(L1110),N(L1110)&gt;0),N(L1110),0)</f>
        <v>0.0</v>
      </c>
      <c r="W1110" s="67">
        <f>IF(AND(I1110="Terminée",S1110&gt;0,C1110&lt;&gt;"",ISNUMBER(MATCH(C1110,eq_code,0))),1,0)</f>
        <v>0.0</v>
      </c>
      <c r="X1110" s="67">
        <f>IF(AND(W1110=1,E1110="Préventif"),1,0)</f>
        <v>0.0</v>
      </c>
      <c r="Y1110" s="67">
        <f>IF(AND(ISNUMBER(N1110),N(N1110)&gt;0),N(N1110),0)</f>
        <v>0.0</v>
      </c>
      <c r="Z1110" s="67">
        <f>IF(AND(ISNUMBER(P1110),N(P1110)&gt;0),N(P1110),0)</f>
        <v>0.0</v>
      </c>
    </row>
    <row r="1111">
      <c r="A1111" s="79" t="str">
        <f>IF(COUNTA(B1111:C1111,E1111:G1111,I1111)=0,"","BI-"&amp;RIGHT("0000"&amp;(ROW()-5),4))</f>
        <v/>
      </c>
      <c r="B1111" s="72" t="n"/>
      <c r="C1111" s="66" t="n"/>
      <c r="D1111" s="67" t="str">
        <f>IF(C1111="","",IFERROR(INDEX(eq_des,MATCH(C1111,eq_code,0))&amp;"","Équipement inconnu"))</f>
        <v/>
      </c>
      <c r="E1111" s="68" t="n"/>
      <c r="F1111" s="68" t="n"/>
      <c r="G1111" s="66" t="n"/>
      <c r="H1111" s="66" t="n"/>
      <c r="I1111" s="68" t="n"/>
      <c r="J1111" s="73" t="n"/>
      <c r="K1111" s="71" t="n"/>
      <c r="L1111" s="71" t="n"/>
      <c r="M1111" s="66" t="n"/>
      <c r="N1111" s="80" t="n"/>
      <c r="O1111" s="81" t="str">
        <f>IF(A1111="","",ROUND(V1111*IFERROR(N(INDEX(tech_rate,MATCH(M1111,tech_name,0))),0),2))</f>
        <v/>
      </c>
      <c r="P1111" s="80" t="n"/>
      <c r="Q1111" s="81" t="str">
        <f>IF(A1111="","",ROUND(Y1111+O1111+Z1111,2))</f>
        <v/>
      </c>
      <c r="R1111" s="79" t="str">
        <f>IF(A1111="","",IF(S1111=0,"Date manquante ou invalide",IF(C1111="","Équipement manquant",IF(ISNA(MATCH(C1111,eq_code,0)),"Équipement inconnu",IF(E1111="","Type manquant",IF(AND(E1111&lt;&gt;"Préventif",E1111&lt;&gt;"Correctif",E1111&lt;&gt;"Amélioratif"),"Type inconnu",IF(I1111="","Statut manquant",IF(AND(I1111&lt;&gt;"Terminée",I1111&lt;&gt;"En cours",I1111&lt;&gt;"À faire",I1111&lt;&gt;"Annulée"),"Statut inconnu",IF(AND(E1111="Préventif",F1111=""),"Plan manquant (préventif)",IF(AND(F1111&lt;&gt;"",ISNA(MATCH(F1111,pl_num,0))),"Plan inconnu",IF(AND(F1111&lt;&gt;"",IFERROR(INDEX(pl_eq,MATCH(F1111,pl_num,0))&amp;"",C1111)&lt;&gt;C1111),"Plan d'un autre équipement",IF(AND(J1111&lt;&gt;"",OR(NOT(ISNUMBER(J1111)),N(J1111)&lt;0)),"Compteur invalide",IF(OR(AND(K1111&lt;&gt;"",OR(NOT(ISNUMBER(K1111)),N(K1111)&lt;0)),AND(L1111&lt;&gt;"",OR(NOT(ISNUMBER(L1111)),N(L1111)&lt;0))),"Durée invalide",IF(OR(AND(N1111&lt;&gt;"",OR(NOT(ISNUMBER(N1111)),N(N1111)&lt;0)),AND(P1111&lt;&gt;"",OR(NOT(ISNUMBER(P1111)),N(P1111)&lt;0))),"Coût invalide",IF(AND(M1111&lt;&gt;"",ISNA(MATCH(M1111,tech_name,0))),"Technicien inconnu",IF(AND(I1111="Terminée",S1111&gt;p_today),"Terminée à une date future",IF(AND(I1111="Terminée",V1111=0),"Durée d'intervention manquante",IF(AND(I1111="Terminée",E1111="Préventif",T1111=0,OR(IFERROR(INDEX(pl_trig,MATCH(F1111,pl_num,0))&amp;"","")="Compteur",IFERROR(INDEX(pl_trig,MATCH(F1111,pl_num,0))&amp;"","")="Au premier des deux")),"Compteur manquant (plan au compteur)","OK"))))))))))))))))))</f>
        <v/>
      </c>
      <c r="S1111" s="67">
        <f>IF(AND(ISNUMBER(B1111),N(B1111)&gt;0),INT(B1111),0)</f>
        <v>0.0</v>
      </c>
      <c r="T1111" s="67">
        <f>IF(AND(ISNUMBER(J1111),N(J1111)&gt;=0),N(J1111),0)</f>
        <v>0.0</v>
      </c>
      <c r="U1111" s="67">
        <f>IF(AND(ISNUMBER(K1111),N(K1111)&gt;0),N(K1111),0)</f>
        <v>0.0</v>
      </c>
      <c r="V1111" s="67">
        <f>IF(AND(ISNUMBER(L1111),N(L1111)&gt;0),N(L1111),0)</f>
        <v>0.0</v>
      </c>
      <c r="W1111" s="67">
        <f>IF(AND(I1111="Terminée",S1111&gt;0,C1111&lt;&gt;"",ISNUMBER(MATCH(C1111,eq_code,0))),1,0)</f>
        <v>0.0</v>
      </c>
      <c r="X1111" s="67">
        <f>IF(AND(W1111=1,E1111="Préventif"),1,0)</f>
        <v>0.0</v>
      </c>
      <c r="Y1111" s="67">
        <f>IF(AND(ISNUMBER(N1111),N(N1111)&gt;0),N(N1111),0)</f>
        <v>0.0</v>
      </c>
      <c r="Z1111" s="67">
        <f>IF(AND(ISNUMBER(P1111),N(P1111)&gt;0),N(P1111),0)</f>
        <v>0.0</v>
      </c>
    </row>
    <row r="1112">
      <c r="A1112" s="79" t="str">
        <f>IF(COUNTA(B1112:C1112,E1112:G1112,I1112)=0,"","BI-"&amp;RIGHT("0000"&amp;(ROW()-5),4))</f>
        <v/>
      </c>
      <c r="B1112" s="72" t="n"/>
      <c r="C1112" s="66" t="n"/>
      <c r="D1112" s="67" t="str">
        <f>IF(C1112="","",IFERROR(INDEX(eq_des,MATCH(C1112,eq_code,0))&amp;"","Équipement inconnu"))</f>
        <v/>
      </c>
      <c r="E1112" s="68" t="n"/>
      <c r="F1112" s="68" t="n"/>
      <c r="G1112" s="66" t="n"/>
      <c r="H1112" s="66" t="n"/>
      <c r="I1112" s="68" t="n"/>
      <c r="J1112" s="73" t="n"/>
      <c r="K1112" s="71" t="n"/>
      <c r="L1112" s="71" t="n"/>
      <c r="M1112" s="66" t="n"/>
      <c r="N1112" s="80" t="n"/>
      <c r="O1112" s="81" t="str">
        <f>IF(A1112="","",ROUND(V1112*IFERROR(N(INDEX(tech_rate,MATCH(M1112,tech_name,0))),0),2))</f>
        <v/>
      </c>
      <c r="P1112" s="80" t="n"/>
      <c r="Q1112" s="81" t="str">
        <f>IF(A1112="","",ROUND(Y1112+O1112+Z1112,2))</f>
        <v/>
      </c>
      <c r="R1112" s="79" t="str">
        <f>IF(A1112="","",IF(S1112=0,"Date manquante ou invalide",IF(C1112="","Équipement manquant",IF(ISNA(MATCH(C1112,eq_code,0)),"Équipement inconnu",IF(E1112="","Type manquant",IF(AND(E1112&lt;&gt;"Préventif",E1112&lt;&gt;"Correctif",E1112&lt;&gt;"Amélioratif"),"Type inconnu",IF(I1112="","Statut manquant",IF(AND(I1112&lt;&gt;"Terminée",I1112&lt;&gt;"En cours",I1112&lt;&gt;"À faire",I1112&lt;&gt;"Annulée"),"Statut inconnu",IF(AND(E1112="Préventif",F1112=""),"Plan manquant (préventif)",IF(AND(F1112&lt;&gt;"",ISNA(MATCH(F1112,pl_num,0))),"Plan inconnu",IF(AND(F1112&lt;&gt;"",IFERROR(INDEX(pl_eq,MATCH(F1112,pl_num,0))&amp;"",C1112)&lt;&gt;C1112),"Plan d'un autre équipement",IF(AND(J1112&lt;&gt;"",OR(NOT(ISNUMBER(J1112)),N(J1112)&lt;0)),"Compteur invalide",IF(OR(AND(K1112&lt;&gt;"",OR(NOT(ISNUMBER(K1112)),N(K1112)&lt;0)),AND(L1112&lt;&gt;"",OR(NOT(ISNUMBER(L1112)),N(L1112)&lt;0))),"Durée invalide",IF(OR(AND(N1112&lt;&gt;"",OR(NOT(ISNUMBER(N1112)),N(N1112)&lt;0)),AND(P1112&lt;&gt;"",OR(NOT(ISNUMBER(P1112)),N(P1112)&lt;0))),"Coût invalide",IF(AND(M1112&lt;&gt;"",ISNA(MATCH(M1112,tech_name,0))),"Technicien inconnu",IF(AND(I1112="Terminée",S1112&gt;p_today),"Terminée à une date future",IF(AND(I1112="Terminée",V1112=0),"Durée d'intervention manquante",IF(AND(I1112="Terminée",E1112="Préventif",T1112=0,OR(IFERROR(INDEX(pl_trig,MATCH(F1112,pl_num,0))&amp;"","")="Compteur",IFERROR(INDEX(pl_trig,MATCH(F1112,pl_num,0))&amp;"","")="Au premier des deux")),"Compteur manquant (plan au compteur)","OK"))))))))))))))))))</f>
        <v/>
      </c>
      <c r="S1112" s="67">
        <f>IF(AND(ISNUMBER(B1112),N(B1112)&gt;0),INT(B1112),0)</f>
        <v>0.0</v>
      </c>
      <c r="T1112" s="67">
        <f>IF(AND(ISNUMBER(J1112),N(J1112)&gt;=0),N(J1112),0)</f>
        <v>0.0</v>
      </c>
      <c r="U1112" s="67">
        <f>IF(AND(ISNUMBER(K1112),N(K1112)&gt;0),N(K1112),0)</f>
        <v>0.0</v>
      </c>
      <c r="V1112" s="67">
        <f>IF(AND(ISNUMBER(L1112),N(L1112)&gt;0),N(L1112),0)</f>
        <v>0.0</v>
      </c>
      <c r="W1112" s="67">
        <f>IF(AND(I1112="Terminée",S1112&gt;0,C1112&lt;&gt;"",ISNUMBER(MATCH(C1112,eq_code,0))),1,0)</f>
        <v>0.0</v>
      </c>
      <c r="X1112" s="67">
        <f>IF(AND(W1112=1,E1112="Préventif"),1,0)</f>
        <v>0.0</v>
      </c>
      <c r="Y1112" s="67">
        <f>IF(AND(ISNUMBER(N1112),N(N1112)&gt;0),N(N1112),0)</f>
        <v>0.0</v>
      </c>
      <c r="Z1112" s="67">
        <f>IF(AND(ISNUMBER(P1112),N(P1112)&gt;0),N(P1112),0)</f>
        <v>0.0</v>
      </c>
    </row>
    <row r="1113">
      <c r="A1113" s="79" t="str">
        <f>IF(COUNTA(B1113:C1113,E1113:G1113,I1113)=0,"","BI-"&amp;RIGHT("0000"&amp;(ROW()-5),4))</f>
        <v/>
      </c>
      <c r="B1113" s="72" t="n"/>
      <c r="C1113" s="66" t="n"/>
      <c r="D1113" s="67" t="str">
        <f>IF(C1113="","",IFERROR(INDEX(eq_des,MATCH(C1113,eq_code,0))&amp;"","Équipement inconnu"))</f>
        <v/>
      </c>
      <c r="E1113" s="68" t="n"/>
      <c r="F1113" s="68" t="n"/>
      <c r="G1113" s="66" t="n"/>
      <c r="H1113" s="66" t="n"/>
      <c r="I1113" s="68" t="n"/>
      <c r="J1113" s="73" t="n"/>
      <c r="K1113" s="71" t="n"/>
      <c r="L1113" s="71" t="n"/>
      <c r="M1113" s="66" t="n"/>
      <c r="N1113" s="80" t="n"/>
      <c r="O1113" s="81" t="str">
        <f>IF(A1113="","",ROUND(V1113*IFERROR(N(INDEX(tech_rate,MATCH(M1113,tech_name,0))),0),2))</f>
        <v/>
      </c>
      <c r="P1113" s="80" t="n"/>
      <c r="Q1113" s="81" t="str">
        <f>IF(A1113="","",ROUND(Y1113+O1113+Z1113,2))</f>
        <v/>
      </c>
      <c r="R1113" s="79" t="str">
        <f>IF(A1113="","",IF(S1113=0,"Date manquante ou invalide",IF(C1113="","Équipement manquant",IF(ISNA(MATCH(C1113,eq_code,0)),"Équipement inconnu",IF(E1113="","Type manquant",IF(AND(E1113&lt;&gt;"Préventif",E1113&lt;&gt;"Correctif",E1113&lt;&gt;"Amélioratif"),"Type inconnu",IF(I1113="","Statut manquant",IF(AND(I1113&lt;&gt;"Terminée",I1113&lt;&gt;"En cours",I1113&lt;&gt;"À faire",I1113&lt;&gt;"Annulée"),"Statut inconnu",IF(AND(E1113="Préventif",F1113=""),"Plan manquant (préventif)",IF(AND(F1113&lt;&gt;"",ISNA(MATCH(F1113,pl_num,0))),"Plan inconnu",IF(AND(F1113&lt;&gt;"",IFERROR(INDEX(pl_eq,MATCH(F1113,pl_num,0))&amp;"",C1113)&lt;&gt;C1113),"Plan d'un autre équipement",IF(AND(J1113&lt;&gt;"",OR(NOT(ISNUMBER(J1113)),N(J1113)&lt;0)),"Compteur invalide",IF(OR(AND(K1113&lt;&gt;"",OR(NOT(ISNUMBER(K1113)),N(K1113)&lt;0)),AND(L1113&lt;&gt;"",OR(NOT(ISNUMBER(L1113)),N(L1113)&lt;0))),"Durée invalide",IF(OR(AND(N1113&lt;&gt;"",OR(NOT(ISNUMBER(N1113)),N(N1113)&lt;0)),AND(P1113&lt;&gt;"",OR(NOT(ISNUMBER(P1113)),N(P1113)&lt;0))),"Coût invalide",IF(AND(M1113&lt;&gt;"",ISNA(MATCH(M1113,tech_name,0))),"Technicien inconnu",IF(AND(I1113="Terminée",S1113&gt;p_today),"Terminée à une date future",IF(AND(I1113="Terminée",V1113=0),"Durée d'intervention manquante",IF(AND(I1113="Terminée",E1113="Préventif",T1113=0,OR(IFERROR(INDEX(pl_trig,MATCH(F1113,pl_num,0))&amp;"","")="Compteur",IFERROR(INDEX(pl_trig,MATCH(F1113,pl_num,0))&amp;"","")="Au premier des deux")),"Compteur manquant (plan au compteur)","OK"))))))))))))))))))</f>
        <v/>
      </c>
      <c r="S1113" s="67">
        <f>IF(AND(ISNUMBER(B1113),N(B1113)&gt;0),INT(B1113),0)</f>
        <v>0.0</v>
      </c>
      <c r="T1113" s="67">
        <f>IF(AND(ISNUMBER(J1113),N(J1113)&gt;=0),N(J1113),0)</f>
        <v>0.0</v>
      </c>
      <c r="U1113" s="67">
        <f>IF(AND(ISNUMBER(K1113),N(K1113)&gt;0),N(K1113),0)</f>
        <v>0.0</v>
      </c>
      <c r="V1113" s="67">
        <f>IF(AND(ISNUMBER(L1113),N(L1113)&gt;0),N(L1113),0)</f>
        <v>0.0</v>
      </c>
      <c r="W1113" s="67">
        <f>IF(AND(I1113="Terminée",S1113&gt;0,C1113&lt;&gt;"",ISNUMBER(MATCH(C1113,eq_code,0))),1,0)</f>
        <v>0.0</v>
      </c>
      <c r="X1113" s="67">
        <f>IF(AND(W1113=1,E1113="Préventif"),1,0)</f>
        <v>0.0</v>
      </c>
      <c r="Y1113" s="67">
        <f>IF(AND(ISNUMBER(N1113),N(N1113)&gt;0),N(N1113),0)</f>
        <v>0.0</v>
      </c>
      <c r="Z1113" s="67">
        <f>IF(AND(ISNUMBER(P1113),N(P1113)&gt;0),N(P1113),0)</f>
        <v>0.0</v>
      </c>
    </row>
    <row r="1114">
      <c r="A1114" s="79" t="str">
        <f>IF(COUNTA(B1114:C1114,E1114:G1114,I1114)=0,"","BI-"&amp;RIGHT("0000"&amp;(ROW()-5),4))</f>
        <v/>
      </c>
      <c r="B1114" s="72" t="n"/>
      <c r="C1114" s="66" t="n"/>
      <c r="D1114" s="67" t="str">
        <f>IF(C1114="","",IFERROR(INDEX(eq_des,MATCH(C1114,eq_code,0))&amp;"","Équipement inconnu"))</f>
        <v/>
      </c>
      <c r="E1114" s="68" t="n"/>
      <c r="F1114" s="68" t="n"/>
      <c r="G1114" s="66" t="n"/>
      <c r="H1114" s="66" t="n"/>
      <c r="I1114" s="68" t="n"/>
      <c r="J1114" s="73" t="n"/>
      <c r="K1114" s="71" t="n"/>
      <c r="L1114" s="71" t="n"/>
      <c r="M1114" s="66" t="n"/>
      <c r="N1114" s="80" t="n"/>
      <c r="O1114" s="81" t="str">
        <f>IF(A1114="","",ROUND(V1114*IFERROR(N(INDEX(tech_rate,MATCH(M1114,tech_name,0))),0),2))</f>
        <v/>
      </c>
      <c r="P1114" s="80" t="n"/>
      <c r="Q1114" s="81" t="str">
        <f>IF(A1114="","",ROUND(Y1114+O1114+Z1114,2))</f>
        <v/>
      </c>
      <c r="R1114" s="79" t="str">
        <f>IF(A1114="","",IF(S1114=0,"Date manquante ou invalide",IF(C1114="","Équipement manquant",IF(ISNA(MATCH(C1114,eq_code,0)),"Équipement inconnu",IF(E1114="","Type manquant",IF(AND(E1114&lt;&gt;"Préventif",E1114&lt;&gt;"Correctif",E1114&lt;&gt;"Amélioratif"),"Type inconnu",IF(I1114="","Statut manquant",IF(AND(I1114&lt;&gt;"Terminée",I1114&lt;&gt;"En cours",I1114&lt;&gt;"À faire",I1114&lt;&gt;"Annulée"),"Statut inconnu",IF(AND(E1114="Préventif",F1114=""),"Plan manquant (préventif)",IF(AND(F1114&lt;&gt;"",ISNA(MATCH(F1114,pl_num,0))),"Plan inconnu",IF(AND(F1114&lt;&gt;"",IFERROR(INDEX(pl_eq,MATCH(F1114,pl_num,0))&amp;"",C1114)&lt;&gt;C1114),"Plan d'un autre équipement",IF(AND(J1114&lt;&gt;"",OR(NOT(ISNUMBER(J1114)),N(J1114)&lt;0)),"Compteur invalide",IF(OR(AND(K1114&lt;&gt;"",OR(NOT(ISNUMBER(K1114)),N(K1114)&lt;0)),AND(L1114&lt;&gt;"",OR(NOT(ISNUMBER(L1114)),N(L1114)&lt;0))),"Durée invalide",IF(OR(AND(N1114&lt;&gt;"",OR(NOT(ISNUMBER(N1114)),N(N1114)&lt;0)),AND(P1114&lt;&gt;"",OR(NOT(ISNUMBER(P1114)),N(P1114)&lt;0))),"Coût invalide",IF(AND(M1114&lt;&gt;"",ISNA(MATCH(M1114,tech_name,0))),"Technicien inconnu",IF(AND(I1114="Terminée",S1114&gt;p_today),"Terminée à une date future",IF(AND(I1114="Terminée",V1114=0),"Durée d'intervention manquante",IF(AND(I1114="Terminée",E1114="Préventif",T1114=0,OR(IFERROR(INDEX(pl_trig,MATCH(F1114,pl_num,0))&amp;"","")="Compteur",IFERROR(INDEX(pl_trig,MATCH(F1114,pl_num,0))&amp;"","")="Au premier des deux")),"Compteur manquant (plan au compteur)","OK"))))))))))))))))))</f>
        <v/>
      </c>
      <c r="S1114" s="67">
        <f>IF(AND(ISNUMBER(B1114),N(B1114)&gt;0),INT(B1114),0)</f>
        <v>0.0</v>
      </c>
      <c r="T1114" s="67">
        <f>IF(AND(ISNUMBER(J1114),N(J1114)&gt;=0),N(J1114),0)</f>
        <v>0.0</v>
      </c>
      <c r="U1114" s="67">
        <f>IF(AND(ISNUMBER(K1114),N(K1114)&gt;0),N(K1114),0)</f>
        <v>0.0</v>
      </c>
      <c r="V1114" s="67">
        <f>IF(AND(ISNUMBER(L1114),N(L1114)&gt;0),N(L1114),0)</f>
        <v>0.0</v>
      </c>
      <c r="W1114" s="67">
        <f>IF(AND(I1114="Terminée",S1114&gt;0,C1114&lt;&gt;"",ISNUMBER(MATCH(C1114,eq_code,0))),1,0)</f>
        <v>0.0</v>
      </c>
      <c r="X1114" s="67">
        <f>IF(AND(W1114=1,E1114="Préventif"),1,0)</f>
        <v>0.0</v>
      </c>
      <c r="Y1114" s="67">
        <f>IF(AND(ISNUMBER(N1114),N(N1114)&gt;0),N(N1114),0)</f>
        <v>0.0</v>
      </c>
      <c r="Z1114" s="67">
        <f>IF(AND(ISNUMBER(P1114),N(P1114)&gt;0),N(P1114),0)</f>
        <v>0.0</v>
      </c>
    </row>
    <row r="1115">
      <c r="A1115" s="79" t="str">
        <f>IF(COUNTA(B1115:C1115,E1115:G1115,I1115)=0,"","BI-"&amp;RIGHT("0000"&amp;(ROW()-5),4))</f>
        <v/>
      </c>
      <c r="B1115" s="72" t="n"/>
      <c r="C1115" s="66" t="n"/>
      <c r="D1115" s="67" t="str">
        <f>IF(C1115="","",IFERROR(INDEX(eq_des,MATCH(C1115,eq_code,0))&amp;"","Équipement inconnu"))</f>
        <v/>
      </c>
      <c r="E1115" s="68" t="n"/>
      <c r="F1115" s="68" t="n"/>
      <c r="G1115" s="66" t="n"/>
      <c r="H1115" s="66" t="n"/>
      <c r="I1115" s="68" t="n"/>
      <c r="J1115" s="73" t="n"/>
      <c r="K1115" s="71" t="n"/>
      <c r="L1115" s="71" t="n"/>
      <c r="M1115" s="66" t="n"/>
      <c r="N1115" s="80" t="n"/>
      <c r="O1115" s="81" t="str">
        <f>IF(A1115="","",ROUND(V1115*IFERROR(N(INDEX(tech_rate,MATCH(M1115,tech_name,0))),0),2))</f>
        <v/>
      </c>
      <c r="P1115" s="80" t="n"/>
      <c r="Q1115" s="81" t="str">
        <f>IF(A1115="","",ROUND(Y1115+O1115+Z1115,2))</f>
        <v/>
      </c>
      <c r="R1115" s="79" t="str">
        <f>IF(A1115="","",IF(S1115=0,"Date manquante ou invalide",IF(C1115="","Équipement manquant",IF(ISNA(MATCH(C1115,eq_code,0)),"Équipement inconnu",IF(E1115="","Type manquant",IF(AND(E1115&lt;&gt;"Préventif",E1115&lt;&gt;"Correctif",E1115&lt;&gt;"Amélioratif"),"Type inconnu",IF(I1115="","Statut manquant",IF(AND(I1115&lt;&gt;"Terminée",I1115&lt;&gt;"En cours",I1115&lt;&gt;"À faire",I1115&lt;&gt;"Annulée"),"Statut inconnu",IF(AND(E1115="Préventif",F1115=""),"Plan manquant (préventif)",IF(AND(F1115&lt;&gt;"",ISNA(MATCH(F1115,pl_num,0))),"Plan inconnu",IF(AND(F1115&lt;&gt;"",IFERROR(INDEX(pl_eq,MATCH(F1115,pl_num,0))&amp;"",C1115)&lt;&gt;C1115),"Plan d'un autre équipement",IF(AND(J1115&lt;&gt;"",OR(NOT(ISNUMBER(J1115)),N(J1115)&lt;0)),"Compteur invalide",IF(OR(AND(K1115&lt;&gt;"",OR(NOT(ISNUMBER(K1115)),N(K1115)&lt;0)),AND(L1115&lt;&gt;"",OR(NOT(ISNUMBER(L1115)),N(L1115)&lt;0))),"Durée invalide",IF(OR(AND(N1115&lt;&gt;"",OR(NOT(ISNUMBER(N1115)),N(N1115)&lt;0)),AND(P1115&lt;&gt;"",OR(NOT(ISNUMBER(P1115)),N(P1115)&lt;0))),"Coût invalide",IF(AND(M1115&lt;&gt;"",ISNA(MATCH(M1115,tech_name,0))),"Technicien inconnu",IF(AND(I1115="Terminée",S1115&gt;p_today),"Terminée à une date future",IF(AND(I1115="Terminée",V1115=0),"Durée d'intervention manquante",IF(AND(I1115="Terminée",E1115="Préventif",T1115=0,OR(IFERROR(INDEX(pl_trig,MATCH(F1115,pl_num,0))&amp;"","")="Compteur",IFERROR(INDEX(pl_trig,MATCH(F1115,pl_num,0))&amp;"","")="Au premier des deux")),"Compteur manquant (plan au compteur)","OK"))))))))))))))))))</f>
        <v/>
      </c>
      <c r="S1115" s="67">
        <f>IF(AND(ISNUMBER(B1115),N(B1115)&gt;0),INT(B1115),0)</f>
        <v>0.0</v>
      </c>
      <c r="T1115" s="67">
        <f>IF(AND(ISNUMBER(J1115),N(J1115)&gt;=0),N(J1115),0)</f>
        <v>0.0</v>
      </c>
      <c r="U1115" s="67">
        <f>IF(AND(ISNUMBER(K1115),N(K1115)&gt;0),N(K1115),0)</f>
        <v>0.0</v>
      </c>
      <c r="V1115" s="67">
        <f>IF(AND(ISNUMBER(L1115),N(L1115)&gt;0),N(L1115),0)</f>
        <v>0.0</v>
      </c>
      <c r="W1115" s="67">
        <f>IF(AND(I1115="Terminée",S1115&gt;0,C1115&lt;&gt;"",ISNUMBER(MATCH(C1115,eq_code,0))),1,0)</f>
        <v>0.0</v>
      </c>
      <c r="X1115" s="67">
        <f>IF(AND(W1115=1,E1115="Préventif"),1,0)</f>
        <v>0.0</v>
      </c>
      <c r="Y1115" s="67">
        <f>IF(AND(ISNUMBER(N1115),N(N1115)&gt;0),N(N1115),0)</f>
        <v>0.0</v>
      </c>
      <c r="Z1115" s="67">
        <f>IF(AND(ISNUMBER(P1115),N(P1115)&gt;0),N(P1115),0)</f>
        <v>0.0</v>
      </c>
    </row>
    <row r="1116">
      <c r="A1116" s="79" t="str">
        <f>IF(COUNTA(B1116:C1116,E1116:G1116,I1116)=0,"","BI-"&amp;RIGHT("0000"&amp;(ROW()-5),4))</f>
        <v/>
      </c>
      <c r="B1116" s="72" t="n"/>
      <c r="C1116" s="66" t="n"/>
      <c r="D1116" s="67" t="str">
        <f>IF(C1116="","",IFERROR(INDEX(eq_des,MATCH(C1116,eq_code,0))&amp;"","Équipement inconnu"))</f>
        <v/>
      </c>
      <c r="E1116" s="68" t="n"/>
      <c r="F1116" s="68" t="n"/>
      <c r="G1116" s="66" t="n"/>
      <c r="H1116" s="66" t="n"/>
      <c r="I1116" s="68" t="n"/>
      <c r="J1116" s="73" t="n"/>
      <c r="K1116" s="71" t="n"/>
      <c r="L1116" s="71" t="n"/>
      <c r="M1116" s="66" t="n"/>
      <c r="N1116" s="80" t="n"/>
      <c r="O1116" s="81" t="str">
        <f>IF(A1116="","",ROUND(V1116*IFERROR(N(INDEX(tech_rate,MATCH(M1116,tech_name,0))),0),2))</f>
        <v/>
      </c>
      <c r="P1116" s="80" t="n"/>
      <c r="Q1116" s="81" t="str">
        <f>IF(A1116="","",ROUND(Y1116+O1116+Z1116,2))</f>
        <v/>
      </c>
      <c r="R1116" s="79" t="str">
        <f>IF(A1116="","",IF(S1116=0,"Date manquante ou invalide",IF(C1116="","Équipement manquant",IF(ISNA(MATCH(C1116,eq_code,0)),"Équipement inconnu",IF(E1116="","Type manquant",IF(AND(E1116&lt;&gt;"Préventif",E1116&lt;&gt;"Correctif",E1116&lt;&gt;"Amélioratif"),"Type inconnu",IF(I1116="","Statut manquant",IF(AND(I1116&lt;&gt;"Terminée",I1116&lt;&gt;"En cours",I1116&lt;&gt;"À faire",I1116&lt;&gt;"Annulée"),"Statut inconnu",IF(AND(E1116="Préventif",F1116=""),"Plan manquant (préventif)",IF(AND(F1116&lt;&gt;"",ISNA(MATCH(F1116,pl_num,0))),"Plan inconnu",IF(AND(F1116&lt;&gt;"",IFERROR(INDEX(pl_eq,MATCH(F1116,pl_num,0))&amp;"",C1116)&lt;&gt;C1116),"Plan d'un autre équipement",IF(AND(J1116&lt;&gt;"",OR(NOT(ISNUMBER(J1116)),N(J1116)&lt;0)),"Compteur invalide",IF(OR(AND(K1116&lt;&gt;"",OR(NOT(ISNUMBER(K1116)),N(K1116)&lt;0)),AND(L1116&lt;&gt;"",OR(NOT(ISNUMBER(L1116)),N(L1116)&lt;0))),"Durée invalide",IF(OR(AND(N1116&lt;&gt;"",OR(NOT(ISNUMBER(N1116)),N(N1116)&lt;0)),AND(P1116&lt;&gt;"",OR(NOT(ISNUMBER(P1116)),N(P1116)&lt;0))),"Coût invalide",IF(AND(M1116&lt;&gt;"",ISNA(MATCH(M1116,tech_name,0))),"Technicien inconnu",IF(AND(I1116="Terminée",S1116&gt;p_today),"Terminée à une date future",IF(AND(I1116="Terminée",V1116=0),"Durée d'intervention manquante",IF(AND(I1116="Terminée",E1116="Préventif",T1116=0,OR(IFERROR(INDEX(pl_trig,MATCH(F1116,pl_num,0))&amp;"","")="Compteur",IFERROR(INDEX(pl_trig,MATCH(F1116,pl_num,0))&amp;"","")="Au premier des deux")),"Compteur manquant (plan au compteur)","OK"))))))))))))))))))</f>
        <v/>
      </c>
      <c r="S1116" s="67">
        <f>IF(AND(ISNUMBER(B1116),N(B1116)&gt;0),INT(B1116),0)</f>
        <v>0.0</v>
      </c>
      <c r="T1116" s="67">
        <f>IF(AND(ISNUMBER(J1116),N(J1116)&gt;=0),N(J1116),0)</f>
        <v>0.0</v>
      </c>
      <c r="U1116" s="67">
        <f>IF(AND(ISNUMBER(K1116),N(K1116)&gt;0),N(K1116),0)</f>
        <v>0.0</v>
      </c>
      <c r="V1116" s="67">
        <f>IF(AND(ISNUMBER(L1116),N(L1116)&gt;0),N(L1116),0)</f>
        <v>0.0</v>
      </c>
      <c r="W1116" s="67">
        <f>IF(AND(I1116="Terminée",S1116&gt;0,C1116&lt;&gt;"",ISNUMBER(MATCH(C1116,eq_code,0))),1,0)</f>
        <v>0.0</v>
      </c>
      <c r="X1116" s="67">
        <f>IF(AND(W1116=1,E1116="Préventif"),1,0)</f>
        <v>0.0</v>
      </c>
      <c r="Y1116" s="67">
        <f>IF(AND(ISNUMBER(N1116),N(N1116)&gt;0),N(N1116),0)</f>
        <v>0.0</v>
      </c>
      <c r="Z1116" s="67">
        <f>IF(AND(ISNUMBER(P1116),N(P1116)&gt;0),N(P1116),0)</f>
        <v>0.0</v>
      </c>
    </row>
    <row r="1117">
      <c r="A1117" s="79" t="str">
        <f>IF(COUNTA(B1117:C1117,E1117:G1117,I1117)=0,"","BI-"&amp;RIGHT("0000"&amp;(ROW()-5),4))</f>
        <v/>
      </c>
      <c r="B1117" s="72" t="n"/>
      <c r="C1117" s="66" t="n"/>
      <c r="D1117" s="67" t="str">
        <f>IF(C1117="","",IFERROR(INDEX(eq_des,MATCH(C1117,eq_code,0))&amp;"","Équipement inconnu"))</f>
        <v/>
      </c>
      <c r="E1117" s="68" t="n"/>
      <c r="F1117" s="68" t="n"/>
      <c r="G1117" s="66" t="n"/>
      <c r="H1117" s="66" t="n"/>
      <c r="I1117" s="68" t="n"/>
      <c r="J1117" s="73" t="n"/>
      <c r="K1117" s="71" t="n"/>
      <c r="L1117" s="71" t="n"/>
      <c r="M1117" s="66" t="n"/>
      <c r="N1117" s="80" t="n"/>
      <c r="O1117" s="81" t="str">
        <f>IF(A1117="","",ROUND(V1117*IFERROR(N(INDEX(tech_rate,MATCH(M1117,tech_name,0))),0),2))</f>
        <v/>
      </c>
      <c r="P1117" s="80" t="n"/>
      <c r="Q1117" s="81" t="str">
        <f>IF(A1117="","",ROUND(Y1117+O1117+Z1117,2))</f>
        <v/>
      </c>
      <c r="R1117" s="79" t="str">
        <f>IF(A1117="","",IF(S1117=0,"Date manquante ou invalide",IF(C1117="","Équipement manquant",IF(ISNA(MATCH(C1117,eq_code,0)),"Équipement inconnu",IF(E1117="","Type manquant",IF(AND(E1117&lt;&gt;"Préventif",E1117&lt;&gt;"Correctif",E1117&lt;&gt;"Amélioratif"),"Type inconnu",IF(I1117="","Statut manquant",IF(AND(I1117&lt;&gt;"Terminée",I1117&lt;&gt;"En cours",I1117&lt;&gt;"À faire",I1117&lt;&gt;"Annulée"),"Statut inconnu",IF(AND(E1117="Préventif",F1117=""),"Plan manquant (préventif)",IF(AND(F1117&lt;&gt;"",ISNA(MATCH(F1117,pl_num,0))),"Plan inconnu",IF(AND(F1117&lt;&gt;"",IFERROR(INDEX(pl_eq,MATCH(F1117,pl_num,0))&amp;"",C1117)&lt;&gt;C1117),"Plan d'un autre équipement",IF(AND(J1117&lt;&gt;"",OR(NOT(ISNUMBER(J1117)),N(J1117)&lt;0)),"Compteur invalide",IF(OR(AND(K1117&lt;&gt;"",OR(NOT(ISNUMBER(K1117)),N(K1117)&lt;0)),AND(L1117&lt;&gt;"",OR(NOT(ISNUMBER(L1117)),N(L1117)&lt;0))),"Durée invalide",IF(OR(AND(N1117&lt;&gt;"",OR(NOT(ISNUMBER(N1117)),N(N1117)&lt;0)),AND(P1117&lt;&gt;"",OR(NOT(ISNUMBER(P1117)),N(P1117)&lt;0))),"Coût invalide",IF(AND(M1117&lt;&gt;"",ISNA(MATCH(M1117,tech_name,0))),"Technicien inconnu",IF(AND(I1117="Terminée",S1117&gt;p_today),"Terminée à une date future",IF(AND(I1117="Terminée",V1117=0),"Durée d'intervention manquante",IF(AND(I1117="Terminée",E1117="Préventif",T1117=0,OR(IFERROR(INDEX(pl_trig,MATCH(F1117,pl_num,0))&amp;"","")="Compteur",IFERROR(INDEX(pl_trig,MATCH(F1117,pl_num,0))&amp;"","")="Au premier des deux")),"Compteur manquant (plan au compteur)","OK"))))))))))))))))))</f>
        <v/>
      </c>
      <c r="S1117" s="67">
        <f>IF(AND(ISNUMBER(B1117),N(B1117)&gt;0),INT(B1117),0)</f>
        <v>0.0</v>
      </c>
      <c r="T1117" s="67">
        <f>IF(AND(ISNUMBER(J1117),N(J1117)&gt;=0),N(J1117),0)</f>
        <v>0.0</v>
      </c>
      <c r="U1117" s="67">
        <f>IF(AND(ISNUMBER(K1117),N(K1117)&gt;0),N(K1117),0)</f>
        <v>0.0</v>
      </c>
      <c r="V1117" s="67">
        <f>IF(AND(ISNUMBER(L1117),N(L1117)&gt;0),N(L1117),0)</f>
        <v>0.0</v>
      </c>
      <c r="W1117" s="67">
        <f>IF(AND(I1117="Terminée",S1117&gt;0,C1117&lt;&gt;"",ISNUMBER(MATCH(C1117,eq_code,0))),1,0)</f>
        <v>0.0</v>
      </c>
      <c r="X1117" s="67">
        <f>IF(AND(W1117=1,E1117="Préventif"),1,0)</f>
        <v>0.0</v>
      </c>
      <c r="Y1117" s="67">
        <f>IF(AND(ISNUMBER(N1117),N(N1117)&gt;0),N(N1117),0)</f>
        <v>0.0</v>
      </c>
      <c r="Z1117" s="67">
        <f>IF(AND(ISNUMBER(P1117),N(P1117)&gt;0),N(P1117),0)</f>
        <v>0.0</v>
      </c>
    </row>
    <row r="1118">
      <c r="A1118" s="79" t="str">
        <f>IF(COUNTA(B1118:C1118,E1118:G1118,I1118)=0,"","BI-"&amp;RIGHT("0000"&amp;(ROW()-5),4))</f>
        <v/>
      </c>
      <c r="B1118" s="72" t="n"/>
      <c r="C1118" s="66" t="n"/>
      <c r="D1118" s="67" t="str">
        <f>IF(C1118="","",IFERROR(INDEX(eq_des,MATCH(C1118,eq_code,0))&amp;"","Équipement inconnu"))</f>
        <v/>
      </c>
      <c r="E1118" s="68" t="n"/>
      <c r="F1118" s="68" t="n"/>
      <c r="G1118" s="66" t="n"/>
      <c r="H1118" s="66" t="n"/>
      <c r="I1118" s="68" t="n"/>
      <c r="J1118" s="73" t="n"/>
      <c r="K1118" s="71" t="n"/>
      <c r="L1118" s="71" t="n"/>
      <c r="M1118" s="66" t="n"/>
      <c r="N1118" s="80" t="n"/>
      <c r="O1118" s="81" t="str">
        <f>IF(A1118="","",ROUND(V1118*IFERROR(N(INDEX(tech_rate,MATCH(M1118,tech_name,0))),0),2))</f>
        <v/>
      </c>
      <c r="P1118" s="80" t="n"/>
      <c r="Q1118" s="81" t="str">
        <f>IF(A1118="","",ROUND(Y1118+O1118+Z1118,2))</f>
        <v/>
      </c>
      <c r="R1118" s="79" t="str">
        <f>IF(A1118="","",IF(S1118=0,"Date manquante ou invalide",IF(C1118="","Équipement manquant",IF(ISNA(MATCH(C1118,eq_code,0)),"Équipement inconnu",IF(E1118="","Type manquant",IF(AND(E1118&lt;&gt;"Préventif",E1118&lt;&gt;"Correctif",E1118&lt;&gt;"Amélioratif"),"Type inconnu",IF(I1118="","Statut manquant",IF(AND(I1118&lt;&gt;"Terminée",I1118&lt;&gt;"En cours",I1118&lt;&gt;"À faire",I1118&lt;&gt;"Annulée"),"Statut inconnu",IF(AND(E1118="Préventif",F1118=""),"Plan manquant (préventif)",IF(AND(F1118&lt;&gt;"",ISNA(MATCH(F1118,pl_num,0))),"Plan inconnu",IF(AND(F1118&lt;&gt;"",IFERROR(INDEX(pl_eq,MATCH(F1118,pl_num,0))&amp;"",C1118)&lt;&gt;C1118),"Plan d'un autre équipement",IF(AND(J1118&lt;&gt;"",OR(NOT(ISNUMBER(J1118)),N(J1118)&lt;0)),"Compteur invalide",IF(OR(AND(K1118&lt;&gt;"",OR(NOT(ISNUMBER(K1118)),N(K1118)&lt;0)),AND(L1118&lt;&gt;"",OR(NOT(ISNUMBER(L1118)),N(L1118)&lt;0))),"Durée invalide",IF(OR(AND(N1118&lt;&gt;"",OR(NOT(ISNUMBER(N1118)),N(N1118)&lt;0)),AND(P1118&lt;&gt;"",OR(NOT(ISNUMBER(P1118)),N(P1118)&lt;0))),"Coût invalide",IF(AND(M1118&lt;&gt;"",ISNA(MATCH(M1118,tech_name,0))),"Technicien inconnu",IF(AND(I1118="Terminée",S1118&gt;p_today),"Terminée à une date future",IF(AND(I1118="Terminée",V1118=0),"Durée d'intervention manquante",IF(AND(I1118="Terminée",E1118="Préventif",T1118=0,OR(IFERROR(INDEX(pl_trig,MATCH(F1118,pl_num,0))&amp;"","")="Compteur",IFERROR(INDEX(pl_trig,MATCH(F1118,pl_num,0))&amp;"","")="Au premier des deux")),"Compteur manquant (plan au compteur)","OK"))))))))))))))))))</f>
        <v/>
      </c>
      <c r="S1118" s="67">
        <f>IF(AND(ISNUMBER(B1118),N(B1118)&gt;0),INT(B1118),0)</f>
        <v>0.0</v>
      </c>
      <c r="T1118" s="67">
        <f>IF(AND(ISNUMBER(J1118),N(J1118)&gt;=0),N(J1118),0)</f>
        <v>0.0</v>
      </c>
      <c r="U1118" s="67">
        <f>IF(AND(ISNUMBER(K1118),N(K1118)&gt;0),N(K1118),0)</f>
        <v>0.0</v>
      </c>
      <c r="V1118" s="67">
        <f>IF(AND(ISNUMBER(L1118),N(L1118)&gt;0),N(L1118),0)</f>
        <v>0.0</v>
      </c>
      <c r="W1118" s="67">
        <f>IF(AND(I1118="Terminée",S1118&gt;0,C1118&lt;&gt;"",ISNUMBER(MATCH(C1118,eq_code,0))),1,0)</f>
        <v>0.0</v>
      </c>
      <c r="X1118" s="67">
        <f>IF(AND(W1118=1,E1118="Préventif"),1,0)</f>
        <v>0.0</v>
      </c>
      <c r="Y1118" s="67">
        <f>IF(AND(ISNUMBER(N1118),N(N1118)&gt;0),N(N1118),0)</f>
        <v>0.0</v>
      </c>
      <c r="Z1118" s="67">
        <f>IF(AND(ISNUMBER(P1118),N(P1118)&gt;0),N(P1118),0)</f>
        <v>0.0</v>
      </c>
    </row>
    <row r="1119">
      <c r="A1119" s="79" t="str">
        <f>IF(COUNTA(B1119:C1119,E1119:G1119,I1119)=0,"","BI-"&amp;RIGHT("0000"&amp;(ROW()-5),4))</f>
        <v/>
      </c>
      <c r="B1119" s="72" t="n"/>
      <c r="C1119" s="66" t="n"/>
      <c r="D1119" s="67" t="str">
        <f>IF(C1119="","",IFERROR(INDEX(eq_des,MATCH(C1119,eq_code,0))&amp;"","Équipement inconnu"))</f>
        <v/>
      </c>
      <c r="E1119" s="68" t="n"/>
      <c r="F1119" s="68" t="n"/>
      <c r="G1119" s="66" t="n"/>
      <c r="H1119" s="66" t="n"/>
      <c r="I1119" s="68" t="n"/>
      <c r="J1119" s="73" t="n"/>
      <c r="K1119" s="71" t="n"/>
      <c r="L1119" s="71" t="n"/>
      <c r="M1119" s="66" t="n"/>
      <c r="N1119" s="80" t="n"/>
      <c r="O1119" s="81" t="str">
        <f>IF(A1119="","",ROUND(V1119*IFERROR(N(INDEX(tech_rate,MATCH(M1119,tech_name,0))),0),2))</f>
        <v/>
      </c>
      <c r="P1119" s="80" t="n"/>
      <c r="Q1119" s="81" t="str">
        <f>IF(A1119="","",ROUND(Y1119+O1119+Z1119,2))</f>
        <v/>
      </c>
      <c r="R1119" s="79" t="str">
        <f>IF(A1119="","",IF(S1119=0,"Date manquante ou invalide",IF(C1119="","Équipement manquant",IF(ISNA(MATCH(C1119,eq_code,0)),"Équipement inconnu",IF(E1119="","Type manquant",IF(AND(E1119&lt;&gt;"Préventif",E1119&lt;&gt;"Correctif",E1119&lt;&gt;"Amélioratif"),"Type inconnu",IF(I1119="","Statut manquant",IF(AND(I1119&lt;&gt;"Terminée",I1119&lt;&gt;"En cours",I1119&lt;&gt;"À faire",I1119&lt;&gt;"Annulée"),"Statut inconnu",IF(AND(E1119="Préventif",F1119=""),"Plan manquant (préventif)",IF(AND(F1119&lt;&gt;"",ISNA(MATCH(F1119,pl_num,0))),"Plan inconnu",IF(AND(F1119&lt;&gt;"",IFERROR(INDEX(pl_eq,MATCH(F1119,pl_num,0))&amp;"",C1119)&lt;&gt;C1119),"Plan d'un autre équipement",IF(AND(J1119&lt;&gt;"",OR(NOT(ISNUMBER(J1119)),N(J1119)&lt;0)),"Compteur invalide",IF(OR(AND(K1119&lt;&gt;"",OR(NOT(ISNUMBER(K1119)),N(K1119)&lt;0)),AND(L1119&lt;&gt;"",OR(NOT(ISNUMBER(L1119)),N(L1119)&lt;0))),"Durée invalide",IF(OR(AND(N1119&lt;&gt;"",OR(NOT(ISNUMBER(N1119)),N(N1119)&lt;0)),AND(P1119&lt;&gt;"",OR(NOT(ISNUMBER(P1119)),N(P1119)&lt;0))),"Coût invalide",IF(AND(M1119&lt;&gt;"",ISNA(MATCH(M1119,tech_name,0))),"Technicien inconnu",IF(AND(I1119="Terminée",S1119&gt;p_today),"Terminée à une date future",IF(AND(I1119="Terminée",V1119=0),"Durée d'intervention manquante",IF(AND(I1119="Terminée",E1119="Préventif",T1119=0,OR(IFERROR(INDEX(pl_trig,MATCH(F1119,pl_num,0))&amp;"","")="Compteur",IFERROR(INDEX(pl_trig,MATCH(F1119,pl_num,0))&amp;"","")="Au premier des deux")),"Compteur manquant (plan au compteur)","OK"))))))))))))))))))</f>
        <v/>
      </c>
      <c r="S1119" s="67">
        <f>IF(AND(ISNUMBER(B1119),N(B1119)&gt;0),INT(B1119),0)</f>
        <v>0.0</v>
      </c>
      <c r="T1119" s="67">
        <f>IF(AND(ISNUMBER(J1119),N(J1119)&gt;=0),N(J1119),0)</f>
        <v>0.0</v>
      </c>
      <c r="U1119" s="67">
        <f>IF(AND(ISNUMBER(K1119),N(K1119)&gt;0),N(K1119),0)</f>
        <v>0.0</v>
      </c>
      <c r="V1119" s="67">
        <f>IF(AND(ISNUMBER(L1119),N(L1119)&gt;0),N(L1119),0)</f>
        <v>0.0</v>
      </c>
      <c r="W1119" s="67">
        <f>IF(AND(I1119="Terminée",S1119&gt;0,C1119&lt;&gt;"",ISNUMBER(MATCH(C1119,eq_code,0))),1,0)</f>
        <v>0.0</v>
      </c>
      <c r="X1119" s="67">
        <f>IF(AND(W1119=1,E1119="Préventif"),1,0)</f>
        <v>0.0</v>
      </c>
      <c r="Y1119" s="67">
        <f>IF(AND(ISNUMBER(N1119),N(N1119)&gt;0),N(N1119),0)</f>
        <v>0.0</v>
      </c>
      <c r="Z1119" s="67">
        <f>IF(AND(ISNUMBER(P1119),N(P1119)&gt;0),N(P1119),0)</f>
        <v>0.0</v>
      </c>
    </row>
    <row r="1120">
      <c r="A1120" s="79" t="str">
        <f>IF(COUNTA(B1120:C1120,E1120:G1120,I1120)=0,"","BI-"&amp;RIGHT("0000"&amp;(ROW()-5),4))</f>
        <v/>
      </c>
      <c r="B1120" s="72" t="n"/>
      <c r="C1120" s="66" t="n"/>
      <c r="D1120" s="67" t="str">
        <f>IF(C1120="","",IFERROR(INDEX(eq_des,MATCH(C1120,eq_code,0))&amp;"","Équipement inconnu"))</f>
        <v/>
      </c>
      <c r="E1120" s="68" t="n"/>
      <c r="F1120" s="68" t="n"/>
      <c r="G1120" s="66" t="n"/>
      <c r="H1120" s="66" t="n"/>
      <c r="I1120" s="68" t="n"/>
      <c r="J1120" s="73" t="n"/>
      <c r="K1120" s="71" t="n"/>
      <c r="L1120" s="71" t="n"/>
      <c r="M1120" s="66" t="n"/>
      <c r="N1120" s="80" t="n"/>
      <c r="O1120" s="81" t="str">
        <f>IF(A1120="","",ROUND(V1120*IFERROR(N(INDEX(tech_rate,MATCH(M1120,tech_name,0))),0),2))</f>
        <v/>
      </c>
      <c r="P1120" s="80" t="n"/>
      <c r="Q1120" s="81" t="str">
        <f>IF(A1120="","",ROUND(Y1120+O1120+Z1120,2))</f>
        <v/>
      </c>
      <c r="R1120" s="79" t="str">
        <f>IF(A1120="","",IF(S1120=0,"Date manquante ou invalide",IF(C1120="","Équipement manquant",IF(ISNA(MATCH(C1120,eq_code,0)),"Équipement inconnu",IF(E1120="","Type manquant",IF(AND(E1120&lt;&gt;"Préventif",E1120&lt;&gt;"Correctif",E1120&lt;&gt;"Amélioratif"),"Type inconnu",IF(I1120="","Statut manquant",IF(AND(I1120&lt;&gt;"Terminée",I1120&lt;&gt;"En cours",I1120&lt;&gt;"À faire",I1120&lt;&gt;"Annulée"),"Statut inconnu",IF(AND(E1120="Préventif",F1120=""),"Plan manquant (préventif)",IF(AND(F1120&lt;&gt;"",ISNA(MATCH(F1120,pl_num,0))),"Plan inconnu",IF(AND(F1120&lt;&gt;"",IFERROR(INDEX(pl_eq,MATCH(F1120,pl_num,0))&amp;"",C1120)&lt;&gt;C1120),"Plan d'un autre équipement",IF(AND(J1120&lt;&gt;"",OR(NOT(ISNUMBER(J1120)),N(J1120)&lt;0)),"Compteur invalide",IF(OR(AND(K1120&lt;&gt;"",OR(NOT(ISNUMBER(K1120)),N(K1120)&lt;0)),AND(L1120&lt;&gt;"",OR(NOT(ISNUMBER(L1120)),N(L1120)&lt;0))),"Durée invalide",IF(OR(AND(N1120&lt;&gt;"",OR(NOT(ISNUMBER(N1120)),N(N1120)&lt;0)),AND(P1120&lt;&gt;"",OR(NOT(ISNUMBER(P1120)),N(P1120)&lt;0))),"Coût invalide",IF(AND(M1120&lt;&gt;"",ISNA(MATCH(M1120,tech_name,0))),"Technicien inconnu",IF(AND(I1120="Terminée",S1120&gt;p_today),"Terminée à une date future",IF(AND(I1120="Terminée",V1120=0),"Durée d'intervention manquante",IF(AND(I1120="Terminée",E1120="Préventif",T1120=0,OR(IFERROR(INDEX(pl_trig,MATCH(F1120,pl_num,0))&amp;"","")="Compteur",IFERROR(INDEX(pl_trig,MATCH(F1120,pl_num,0))&amp;"","")="Au premier des deux")),"Compteur manquant (plan au compteur)","OK"))))))))))))))))))</f>
        <v/>
      </c>
      <c r="S1120" s="67">
        <f>IF(AND(ISNUMBER(B1120),N(B1120)&gt;0),INT(B1120),0)</f>
        <v>0.0</v>
      </c>
      <c r="T1120" s="67">
        <f>IF(AND(ISNUMBER(J1120),N(J1120)&gt;=0),N(J1120),0)</f>
        <v>0.0</v>
      </c>
      <c r="U1120" s="67">
        <f>IF(AND(ISNUMBER(K1120),N(K1120)&gt;0),N(K1120),0)</f>
        <v>0.0</v>
      </c>
      <c r="V1120" s="67">
        <f>IF(AND(ISNUMBER(L1120),N(L1120)&gt;0),N(L1120),0)</f>
        <v>0.0</v>
      </c>
      <c r="W1120" s="67">
        <f>IF(AND(I1120="Terminée",S1120&gt;0,C1120&lt;&gt;"",ISNUMBER(MATCH(C1120,eq_code,0))),1,0)</f>
        <v>0.0</v>
      </c>
      <c r="X1120" s="67">
        <f>IF(AND(W1120=1,E1120="Préventif"),1,0)</f>
        <v>0.0</v>
      </c>
      <c r="Y1120" s="67">
        <f>IF(AND(ISNUMBER(N1120),N(N1120)&gt;0),N(N1120),0)</f>
        <v>0.0</v>
      </c>
      <c r="Z1120" s="67">
        <f>IF(AND(ISNUMBER(P1120),N(P1120)&gt;0),N(P1120),0)</f>
        <v>0.0</v>
      </c>
    </row>
    <row r="1121">
      <c r="A1121" s="79" t="str">
        <f>IF(COUNTA(B1121:C1121,E1121:G1121,I1121)=0,"","BI-"&amp;RIGHT("0000"&amp;(ROW()-5),4))</f>
        <v/>
      </c>
      <c r="B1121" s="72" t="n"/>
      <c r="C1121" s="66" t="n"/>
      <c r="D1121" s="67" t="str">
        <f>IF(C1121="","",IFERROR(INDEX(eq_des,MATCH(C1121,eq_code,0))&amp;"","Équipement inconnu"))</f>
        <v/>
      </c>
      <c r="E1121" s="68" t="n"/>
      <c r="F1121" s="68" t="n"/>
      <c r="G1121" s="66" t="n"/>
      <c r="H1121" s="66" t="n"/>
      <c r="I1121" s="68" t="n"/>
      <c r="J1121" s="73" t="n"/>
      <c r="K1121" s="71" t="n"/>
      <c r="L1121" s="71" t="n"/>
      <c r="M1121" s="66" t="n"/>
      <c r="N1121" s="80" t="n"/>
      <c r="O1121" s="81" t="str">
        <f>IF(A1121="","",ROUND(V1121*IFERROR(N(INDEX(tech_rate,MATCH(M1121,tech_name,0))),0),2))</f>
        <v/>
      </c>
      <c r="P1121" s="80" t="n"/>
      <c r="Q1121" s="81" t="str">
        <f>IF(A1121="","",ROUND(Y1121+O1121+Z1121,2))</f>
        <v/>
      </c>
      <c r="R1121" s="79" t="str">
        <f>IF(A1121="","",IF(S1121=0,"Date manquante ou invalide",IF(C1121="","Équipement manquant",IF(ISNA(MATCH(C1121,eq_code,0)),"Équipement inconnu",IF(E1121="","Type manquant",IF(AND(E1121&lt;&gt;"Préventif",E1121&lt;&gt;"Correctif",E1121&lt;&gt;"Amélioratif"),"Type inconnu",IF(I1121="","Statut manquant",IF(AND(I1121&lt;&gt;"Terminée",I1121&lt;&gt;"En cours",I1121&lt;&gt;"À faire",I1121&lt;&gt;"Annulée"),"Statut inconnu",IF(AND(E1121="Préventif",F1121=""),"Plan manquant (préventif)",IF(AND(F1121&lt;&gt;"",ISNA(MATCH(F1121,pl_num,0))),"Plan inconnu",IF(AND(F1121&lt;&gt;"",IFERROR(INDEX(pl_eq,MATCH(F1121,pl_num,0))&amp;"",C1121)&lt;&gt;C1121),"Plan d'un autre équipement",IF(AND(J1121&lt;&gt;"",OR(NOT(ISNUMBER(J1121)),N(J1121)&lt;0)),"Compteur invalide",IF(OR(AND(K1121&lt;&gt;"",OR(NOT(ISNUMBER(K1121)),N(K1121)&lt;0)),AND(L1121&lt;&gt;"",OR(NOT(ISNUMBER(L1121)),N(L1121)&lt;0))),"Durée invalide",IF(OR(AND(N1121&lt;&gt;"",OR(NOT(ISNUMBER(N1121)),N(N1121)&lt;0)),AND(P1121&lt;&gt;"",OR(NOT(ISNUMBER(P1121)),N(P1121)&lt;0))),"Coût invalide",IF(AND(M1121&lt;&gt;"",ISNA(MATCH(M1121,tech_name,0))),"Technicien inconnu",IF(AND(I1121="Terminée",S1121&gt;p_today),"Terminée à une date future",IF(AND(I1121="Terminée",V1121=0),"Durée d'intervention manquante",IF(AND(I1121="Terminée",E1121="Préventif",T1121=0,OR(IFERROR(INDEX(pl_trig,MATCH(F1121,pl_num,0))&amp;"","")="Compteur",IFERROR(INDEX(pl_trig,MATCH(F1121,pl_num,0))&amp;"","")="Au premier des deux")),"Compteur manquant (plan au compteur)","OK"))))))))))))))))))</f>
        <v/>
      </c>
      <c r="S1121" s="67">
        <f>IF(AND(ISNUMBER(B1121),N(B1121)&gt;0),INT(B1121),0)</f>
        <v>0.0</v>
      </c>
      <c r="T1121" s="67">
        <f>IF(AND(ISNUMBER(J1121),N(J1121)&gt;=0),N(J1121),0)</f>
        <v>0.0</v>
      </c>
      <c r="U1121" s="67">
        <f>IF(AND(ISNUMBER(K1121),N(K1121)&gt;0),N(K1121),0)</f>
        <v>0.0</v>
      </c>
      <c r="V1121" s="67">
        <f>IF(AND(ISNUMBER(L1121),N(L1121)&gt;0),N(L1121),0)</f>
        <v>0.0</v>
      </c>
      <c r="W1121" s="67">
        <f>IF(AND(I1121="Terminée",S1121&gt;0,C1121&lt;&gt;"",ISNUMBER(MATCH(C1121,eq_code,0))),1,0)</f>
        <v>0.0</v>
      </c>
      <c r="X1121" s="67">
        <f>IF(AND(W1121=1,E1121="Préventif"),1,0)</f>
        <v>0.0</v>
      </c>
      <c r="Y1121" s="67">
        <f>IF(AND(ISNUMBER(N1121),N(N1121)&gt;0),N(N1121),0)</f>
        <v>0.0</v>
      </c>
      <c r="Z1121" s="67">
        <f>IF(AND(ISNUMBER(P1121),N(P1121)&gt;0),N(P1121),0)</f>
        <v>0.0</v>
      </c>
    </row>
    <row r="1122">
      <c r="A1122" s="79" t="str">
        <f>IF(COUNTA(B1122:C1122,E1122:G1122,I1122)=0,"","BI-"&amp;RIGHT("0000"&amp;(ROW()-5),4))</f>
        <v/>
      </c>
      <c r="B1122" s="72" t="n"/>
      <c r="C1122" s="66" t="n"/>
      <c r="D1122" s="67" t="str">
        <f>IF(C1122="","",IFERROR(INDEX(eq_des,MATCH(C1122,eq_code,0))&amp;"","Équipement inconnu"))</f>
        <v/>
      </c>
      <c r="E1122" s="68" t="n"/>
      <c r="F1122" s="68" t="n"/>
      <c r="G1122" s="66" t="n"/>
      <c r="H1122" s="66" t="n"/>
      <c r="I1122" s="68" t="n"/>
      <c r="J1122" s="73" t="n"/>
      <c r="K1122" s="71" t="n"/>
      <c r="L1122" s="71" t="n"/>
      <c r="M1122" s="66" t="n"/>
      <c r="N1122" s="80" t="n"/>
      <c r="O1122" s="81" t="str">
        <f>IF(A1122="","",ROUND(V1122*IFERROR(N(INDEX(tech_rate,MATCH(M1122,tech_name,0))),0),2))</f>
        <v/>
      </c>
      <c r="P1122" s="80" t="n"/>
      <c r="Q1122" s="81" t="str">
        <f>IF(A1122="","",ROUND(Y1122+O1122+Z1122,2))</f>
        <v/>
      </c>
      <c r="R1122" s="79" t="str">
        <f>IF(A1122="","",IF(S1122=0,"Date manquante ou invalide",IF(C1122="","Équipement manquant",IF(ISNA(MATCH(C1122,eq_code,0)),"Équipement inconnu",IF(E1122="","Type manquant",IF(AND(E1122&lt;&gt;"Préventif",E1122&lt;&gt;"Correctif",E1122&lt;&gt;"Amélioratif"),"Type inconnu",IF(I1122="","Statut manquant",IF(AND(I1122&lt;&gt;"Terminée",I1122&lt;&gt;"En cours",I1122&lt;&gt;"À faire",I1122&lt;&gt;"Annulée"),"Statut inconnu",IF(AND(E1122="Préventif",F1122=""),"Plan manquant (préventif)",IF(AND(F1122&lt;&gt;"",ISNA(MATCH(F1122,pl_num,0))),"Plan inconnu",IF(AND(F1122&lt;&gt;"",IFERROR(INDEX(pl_eq,MATCH(F1122,pl_num,0))&amp;"",C1122)&lt;&gt;C1122),"Plan d'un autre équipement",IF(AND(J1122&lt;&gt;"",OR(NOT(ISNUMBER(J1122)),N(J1122)&lt;0)),"Compteur invalide",IF(OR(AND(K1122&lt;&gt;"",OR(NOT(ISNUMBER(K1122)),N(K1122)&lt;0)),AND(L1122&lt;&gt;"",OR(NOT(ISNUMBER(L1122)),N(L1122)&lt;0))),"Durée invalide",IF(OR(AND(N1122&lt;&gt;"",OR(NOT(ISNUMBER(N1122)),N(N1122)&lt;0)),AND(P1122&lt;&gt;"",OR(NOT(ISNUMBER(P1122)),N(P1122)&lt;0))),"Coût invalide",IF(AND(M1122&lt;&gt;"",ISNA(MATCH(M1122,tech_name,0))),"Technicien inconnu",IF(AND(I1122="Terminée",S1122&gt;p_today),"Terminée à une date future",IF(AND(I1122="Terminée",V1122=0),"Durée d'intervention manquante",IF(AND(I1122="Terminée",E1122="Préventif",T1122=0,OR(IFERROR(INDEX(pl_trig,MATCH(F1122,pl_num,0))&amp;"","")="Compteur",IFERROR(INDEX(pl_trig,MATCH(F1122,pl_num,0))&amp;"","")="Au premier des deux")),"Compteur manquant (plan au compteur)","OK"))))))))))))))))))</f>
        <v/>
      </c>
      <c r="S1122" s="67">
        <f>IF(AND(ISNUMBER(B1122),N(B1122)&gt;0),INT(B1122),0)</f>
        <v>0.0</v>
      </c>
      <c r="T1122" s="67">
        <f>IF(AND(ISNUMBER(J1122),N(J1122)&gt;=0),N(J1122),0)</f>
        <v>0.0</v>
      </c>
      <c r="U1122" s="67">
        <f>IF(AND(ISNUMBER(K1122),N(K1122)&gt;0),N(K1122),0)</f>
        <v>0.0</v>
      </c>
      <c r="V1122" s="67">
        <f>IF(AND(ISNUMBER(L1122),N(L1122)&gt;0),N(L1122),0)</f>
        <v>0.0</v>
      </c>
      <c r="W1122" s="67">
        <f>IF(AND(I1122="Terminée",S1122&gt;0,C1122&lt;&gt;"",ISNUMBER(MATCH(C1122,eq_code,0))),1,0)</f>
        <v>0.0</v>
      </c>
      <c r="X1122" s="67">
        <f>IF(AND(W1122=1,E1122="Préventif"),1,0)</f>
        <v>0.0</v>
      </c>
      <c r="Y1122" s="67">
        <f>IF(AND(ISNUMBER(N1122),N(N1122)&gt;0),N(N1122),0)</f>
        <v>0.0</v>
      </c>
      <c r="Z1122" s="67">
        <f>IF(AND(ISNUMBER(P1122),N(P1122)&gt;0),N(P1122),0)</f>
        <v>0.0</v>
      </c>
    </row>
    <row r="1123">
      <c r="A1123" s="79" t="str">
        <f>IF(COUNTA(B1123:C1123,E1123:G1123,I1123)=0,"","BI-"&amp;RIGHT("0000"&amp;(ROW()-5),4))</f>
        <v/>
      </c>
      <c r="B1123" s="72" t="n"/>
      <c r="C1123" s="66" t="n"/>
      <c r="D1123" s="67" t="str">
        <f>IF(C1123="","",IFERROR(INDEX(eq_des,MATCH(C1123,eq_code,0))&amp;"","Équipement inconnu"))</f>
        <v/>
      </c>
      <c r="E1123" s="68" t="n"/>
      <c r="F1123" s="68" t="n"/>
      <c r="G1123" s="66" t="n"/>
      <c r="H1123" s="66" t="n"/>
      <c r="I1123" s="68" t="n"/>
      <c r="J1123" s="73" t="n"/>
      <c r="K1123" s="71" t="n"/>
      <c r="L1123" s="71" t="n"/>
      <c r="M1123" s="66" t="n"/>
      <c r="N1123" s="80" t="n"/>
      <c r="O1123" s="81" t="str">
        <f>IF(A1123="","",ROUND(V1123*IFERROR(N(INDEX(tech_rate,MATCH(M1123,tech_name,0))),0),2))</f>
        <v/>
      </c>
      <c r="P1123" s="80" t="n"/>
      <c r="Q1123" s="81" t="str">
        <f>IF(A1123="","",ROUND(Y1123+O1123+Z1123,2))</f>
        <v/>
      </c>
      <c r="R1123" s="79" t="str">
        <f>IF(A1123="","",IF(S1123=0,"Date manquante ou invalide",IF(C1123="","Équipement manquant",IF(ISNA(MATCH(C1123,eq_code,0)),"Équipement inconnu",IF(E1123="","Type manquant",IF(AND(E1123&lt;&gt;"Préventif",E1123&lt;&gt;"Correctif",E1123&lt;&gt;"Amélioratif"),"Type inconnu",IF(I1123="","Statut manquant",IF(AND(I1123&lt;&gt;"Terminée",I1123&lt;&gt;"En cours",I1123&lt;&gt;"À faire",I1123&lt;&gt;"Annulée"),"Statut inconnu",IF(AND(E1123="Préventif",F1123=""),"Plan manquant (préventif)",IF(AND(F1123&lt;&gt;"",ISNA(MATCH(F1123,pl_num,0))),"Plan inconnu",IF(AND(F1123&lt;&gt;"",IFERROR(INDEX(pl_eq,MATCH(F1123,pl_num,0))&amp;"",C1123)&lt;&gt;C1123),"Plan d'un autre équipement",IF(AND(J1123&lt;&gt;"",OR(NOT(ISNUMBER(J1123)),N(J1123)&lt;0)),"Compteur invalide",IF(OR(AND(K1123&lt;&gt;"",OR(NOT(ISNUMBER(K1123)),N(K1123)&lt;0)),AND(L1123&lt;&gt;"",OR(NOT(ISNUMBER(L1123)),N(L1123)&lt;0))),"Durée invalide",IF(OR(AND(N1123&lt;&gt;"",OR(NOT(ISNUMBER(N1123)),N(N1123)&lt;0)),AND(P1123&lt;&gt;"",OR(NOT(ISNUMBER(P1123)),N(P1123)&lt;0))),"Coût invalide",IF(AND(M1123&lt;&gt;"",ISNA(MATCH(M1123,tech_name,0))),"Technicien inconnu",IF(AND(I1123="Terminée",S1123&gt;p_today),"Terminée à une date future",IF(AND(I1123="Terminée",V1123=0),"Durée d'intervention manquante",IF(AND(I1123="Terminée",E1123="Préventif",T1123=0,OR(IFERROR(INDEX(pl_trig,MATCH(F1123,pl_num,0))&amp;"","")="Compteur",IFERROR(INDEX(pl_trig,MATCH(F1123,pl_num,0))&amp;"","")="Au premier des deux")),"Compteur manquant (plan au compteur)","OK"))))))))))))))))))</f>
        <v/>
      </c>
      <c r="S1123" s="67">
        <f>IF(AND(ISNUMBER(B1123),N(B1123)&gt;0),INT(B1123),0)</f>
        <v>0.0</v>
      </c>
      <c r="T1123" s="67">
        <f>IF(AND(ISNUMBER(J1123),N(J1123)&gt;=0),N(J1123),0)</f>
        <v>0.0</v>
      </c>
      <c r="U1123" s="67">
        <f>IF(AND(ISNUMBER(K1123),N(K1123)&gt;0),N(K1123),0)</f>
        <v>0.0</v>
      </c>
      <c r="V1123" s="67">
        <f>IF(AND(ISNUMBER(L1123),N(L1123)&gt;0),N(L1123),0)</f>
        <v>0.0</v>
      </c>
      <c r="W1123" s="67">
        <f>IF(AND(I1123="Terminée",S1123&gt;0,C1123&lt;&gt;"",ISNUMBER(MATCH(C1123,eq_code,0))),1,0)</f>
        <v>0.0</v>
      </c>
      <c r="X1123" s="67">
        <f>IF(AND(W1123=1,E1123="Préventif"),1,0)</f>
        <v>0.0</v>
      </c>
      <c r="Y1123" s="67">
        <f>IF(AND(ISNUMBER(N1123),N(N1123)&gt;0),N(N1123),0)</f>
        <v>0.0</v>
      </c>
      <c r="Z1123" s="67">
        <f>IF(AND(ISNUMBER(P1123),N(P1123)&gt;0),N(P1123),0)</f>
        <v>0.0</v>
      </c>
    </row>
    <row r="1124">
      <c r="A1124" s="79" t="str">
        <f>IF(COUNTA(B1124:C1124,E1124:G1124,I1124)=0,"","BI-"&amp;RIGHT("0000"&amp;(ROW()-5),4))</f>
        <v/>
      </c>
      <c r="B1124" s="72" t="n"/>
      <c r="C1124" s="66" t="n"/>
      <c r="D1124" s="67" t="str">
        <f>IF(C1124="","",IFERROR(INDEX(eq_des,MATCH(C1124,eq_code,0))&amp;"","Équipement inconnu"))</f>
        <v/>
      </c>
      <c r="E1124" s="68" t="n"/>
      <c r="F1124" s="68" t="n"/>
      <c r="G1124" s="66" t="n"/>
      <c r="H1124" s="66" t="n"/>
      <c r="I1124" s="68" t="n"/>
      <c r="J1124" s="73" t="n"/>
      <c r="K1124" s="71" t="n"/>
      <c r="L1124" s="71" t="n"/>
      <c r="M1124" s="66" t="n"/>
      <c r="N1124" s="80" t="n"/>
      <c r="O1124" s="81" t="str">
        <f>IF(A1124="","",ROUND(V1124*IFERROR(N(INDEX(tech_rate,MATCH(M1124,tech_name,0))),0),2))</f>
        <v/>
      </c>
      <c r="P1124" s="80" t="n"/>
      <c r="Q1124" s="81" t="str">
        <f>IF(A1124="","",ROUND(Y1124+O1124+Z1124,2))</f>
        <v/>
      </c>
      <c r="R1124" s="79" t="str">
        <f>IF(A1124="","",IF(S1124=0,"Date manquante ou invalide",IF(C1124="","Équipement manquant",IF(ISNA(MATCH(C1124,eq_code,0)),"Équipement inconnu",IF(E1124="","Type manquant",IF(AND(E1124&lt;&gt;"Préventif",E1124&lt;&gt;"Correctif",E1124&lt;&gt;"Amélioratif"),"Type inconnu",IF(I1124="","Statut manquant",IF(AND(I1124&lt;&gt;"Terminée",I1124&lt;&gt;"En cours",I1124&lt;&gt;"À faire",I1124&lt;&gt;"Annulée"),"Statut inconnu",IF(AND(E1124="Préventif",F1124=""),"Plan manquant (préventif)",IF(AND(F1124&lt;&gt;"",ISNA(MATCH(F1124,pl_num,0))),"Plan inconnu",IF(AND(F1124&lt;&gt;"",IFERROR(INDEX(pl_eq,MATCH(F1124,pl_num,0))&amp;"",C1124)&lt;&gt;C1124),"Plan d'un autre équipement",IF(AND(J1124&lt;&gt;"",OR(NOT(ISNUMBER(J1124)),N(J1124)&lt;0)),"Compteur invalide",IF(OR(AND(K1124&lt;&gt;"",OR(NOT(ISNUMBER(K1124)),N(K1124)&lt;0)),AND(L1124&lt;&gt;"",OR(NOT(ISNUMBER(L1124)),N(L1124)&lt;0))),"Durée invalide",IF(OR(AND(N1124&lt;&gt;"",OR(NOT(ISNUMBER(N1124)),N(N1124)&lt;0)),AND(P1124&lt;&gt;"",OR(NOT(ISNUMBER(P1124)),N(P1124)&lt;0))),"Coût invalide",IF(AND(M1124&lt;&gt;"",ISNA(MATCH(M1124,tech_name,0))),"Technicien inconnu",IF(AND(I1124="Terminée",S1124&gt;p_today),"Terminée à une date future",IF(AND(I1124="Terminée",V1124=0),"Durée d'intervention manquante",IF(AND(I1124="Terminée",E1124="Préventif",T1124=0,OR(IFERROR(INDEX(pl_trig,MATCH(F1124,pl_num,0))&amp;"","")="Compteur",IFERROR(INDEX(pl_trig,MATCH(F1124,pl_num,0))&amp;"","")="Au premier des deux")),"Compteur manquant (plan au compteur)","OK"))))))))))))))))))</f>
        <v/>
      </c>
      <c r="S1124" s="67">
        <f>IF(AND(ISNUMBER(B1124),N(B1124)&gt;0),INT(B1124),0)</f>
        <v>0.0</v>
      </c>
      <c r="T1124" s="67">
        <f>IF(AND(ISNUMBER(J1124),N(J1124)&gt;=0),N(J1124),0)</f>
        <v>0.0</v>
      </c>
      <c r="U1124" s="67">
        <f>IF(AND(ISNUMBER(K1124),N(K1124)&gt;0),N(K1124),0)</f>
        <v>0.0</v>
      </c>
      <c r="V1124" s="67">
        <f>IF(AND(ISNUMBER(L1124),N(L1124)&gt;0),N(L1124),0)</f>
        <v>0.0</v>
      </c>
      <c r="W1124" s="67">
        <f>IF(AND(I1124="Terminée",S1124&gt;0,C1124&lt;&gt;"",ISNUMBER(MATCH(C1124,eq_code,0))),1,0)</f>
        <v>0.0</v>
      </c>
      <c r="X1124" s="67">
        <f>IF(AND(W1124=1,E1124="Préventif"),1,0)</f>
        <v>0.0</v>
      </c>
      <c r="Y1124" s="67">
        <f>IF(AND(ISNUMBER(N1124),N(N1124)&gt;0),N(N1124),0)</f>
        <v>0.0</v>
      </c>
      <c r="Z1124" s="67">
        <f>IF(AND(ISNUMBER(P1124),N(P1124)&gt;0),N(P1124),0)</f>
        <v>0.0</v>
      </c>
    </row>
    <row r="1125">
      <c r="A1125" s="79" t="str">
        <f>IF(COUNTA(B1125:C1125,E1125:G1125,I1125)=0,"","BI-"&amp;RIGHT("0000"&amp;(ROW()-5),4))</f>
        <v/>
      </c>
      <c r="B1125" s="72" t="n"/>
      <c r="C1125" s="66" t="n"/>
      <c r="D1125" s="67" t="str">
        <f>IF(C1125="","",IFERROR(INDEX(eq_des,MATCH(C1125,eq_code,0))&amp;"","Équipement inconnu"))</f>
        <v/>
      </c>
      <c r="E1125" s="68" t="n"/>
      <c r="F1125" s="68" t="n"/>
      <c r="G1125" s="66" t="n"/>
      <c r="H1125" s="66" t="n"/>
      <c r="I1125" s="68" t="n"/>
      <c r="J1125" s="73" t="n"/>
      <c r="K1125" s="71" t="n"/>
      <c r="L1125" s="71" t="n"/>
      <c r="M1125" s="66" t="n"/>
      <c r="N1125" s="80" t="n"/>
      <c r="O1125" s="81" t="str">
        <f>IF(A1125="","",ROUND(V1125*IFERROR(N(INDEX(tech_rate,MATCH(M1125,tech_name,0))),0),2))</f>
        <v/>
      </c>
      <c r="P1125" s="80" t="n"/>
      <c r="Q1125" s="81" t="str">
        <f>IF(A1125="","",ROUND(Y1125+O1125+Z1125,2))</f>
        <v/>
      </c>
      <c r="R1125" s="79" t="str">
        <f>IF(A1125="","",IF(S1125=0,"Date manquante ou invalide",IF(C1125="","Équipement manquant",IF(ISNA(MATCH(C1125,eq_code,0)),"Équipement inconnu",IF(E1125="","Type manquant",IF(AND(E1125&lt;&gt;"Préventif",E1125&lt;&gt;"Correctif",E1125&lt;&gt;"Amélioratif"),"Type inconnu",IF(I1125="","Statut manquant",IF(AND(I1125&lt;&gt;"Terminée",I1125&lt;&gt;"En cours",I1125&lt;&gt;"À faire",I1125&lt;&gt;"Annulée"),"Statut inconnu",IF(AND(E1125="Préventif",F1125=""),"Plan manquant (préventif)",IF(AND(F1125&lt;&gt;"",ISNA(MATCH(F1125,pl_num,0))),"Plan inconnu",IF(AND(F1125&lt;&gt;"",IFERROR(INDEX(pl_eq,MATCH(F1125,pl_num,0))&amp;"",C1125)&lt;&gt;C1125),"Plan d'un autre équipement",IF(AND(J1125&lt;&gt;"",OR(NOT(ISNUMBER(J1125)),N(J1125)&lt;0)),"Compteur invalide",IF(OR(AND(K1125&lt;&gt;"",OR(NOT(ISNUMBER(K1125)),N(K1125)&lt;0)),AND(L1125&lt;&gt;"",OR(NOT(ISNUMBER(L1125)),N(L1125)&lt;0))),"Durée invalide",IF(OR(AND(N1125&lt;&gt;"",OR(NOT(ISNUMBER(N1125)),N(N1125)&lt;0)),AND(P1125&lt;&gt;"",OR(NOT(ISNUMBER(P1125)),N(P1125)&lt;0))),"Coût invalide",IF(AND(M1125&lt;&gt;"",ISNA(MATCH(M1125,tech_name,0))),"Technicien inconnu",IF(AND(I1125="Terminée",S1125&gt;p_today),"Terminée à une date future",IF(AND(I1125="Terminée",V1125=0),"Durée d'intervention manquante",IF(AND(I1125="Terminée",E1125="Préventif",T1125=0,OR(IFERROR(INDEX(pl_trig,MATCH(F1125,pl_num,0))&amp;"","")="Compteur",IFERROR(INDEX(pl_trig,MATCH(F1125,pl_num,0))&amp;"","")="Au premier des deux")),"Compteur manquant (plan au compteur)","OK"))))))))))))))))))</f>
        <v/>
      </c>
      <c r="S1125" s="67">
        <f>IF(AND(ISNUMBER(B1125),N(B1125)&gt;0),INT(B1125),0)</f>
        <v>0.0</v>
      </c>
      <c r="T1125" s="67">
        <f>IF(AND(ISNUMBER(J1125),N(J1125)&gt;=0),N(J1125),0)</f>
        <v>0.0</v>
      </c>
      <c r="U1125" s="67">
        <f>IF(AND(ISNUMBER(K1125),N(K1125)&gt;0),N(K1125),0)</f>
        <v>0.0</v>
      </c>
      <c r="V1125" s="67">
        <f>IF(AND(ISNUMBER(L1125),N(L1125)&gt;0),N(L1125),0)</f>
        <v>0.0</v>
      </c>
      <c r="W1125" s="67">
        <f>IF(AND(I1125="Terminée",S1125&gt;0,C1125&lt;&gt;"",ISNUMBER(MATCH(C1125,eq_code,0))),1,0)</f>
        <v>0.0</v>
      </c>
      <c r="X1125" s="67">
        <f>IF(AND(W1125=1,E1125="Préventif"),1,0)</f>
        <v>0.0</v>
      </c>
      <c r="Y1125" s="67">
        <f>IF(AND(ISNUMBER(N1125),N(N1125)&gt;0),N(N1125),0)</f>
        <v>0.0</v>
      </c>
      <c r="Z1125" s="67">
        <f>IF(AND(ISNUMBER(P1125),N(P1125)&gt;0),N(P1125),0)</f>
        <v>0.0</v>
      </c>
    </row>
    <row r="1126">
      <c r="A1126" s="79" t="str">
        <f>IF(COUNTA(B1126:C1126,E1126:G1126,I1126)=0,"","BI-"&amp;RIGHT("0000"&amp;(ROW()-5),4))</f>
        <v/>
      </c>
      <c r="B1126" s="72" t="n"/>
      <c r="C1126" s="66" t="n"/>
      <c r="D1126" s="67" t="str">
        <f>IF(C1126="","",IFERROR(INDEX(eq_des,MATCH(C1126,eq_code,0))&amp;"","Équipement inconnu"))</f>
        <v/>
      </c>
      <c r="E1126" s="68" t="n"/>
      <c r="F1126" s="68" t="n"/>
      <c r="G1126" s="66" t="n"/>
      <c r="H1126" s="66" t="n"/>
      <c r="I1126" s="68" t="n"/>
      <c r="J1126" s="73" t="n"/>
      <c r="K1126" s="71" t="n"/>
      <c r="L1126" s="71" t="n"/>
      <c r="M1126" s="66" t="n"/>
      <c r="N1126" s="80" t="n"/>
      <c r="O1126" s="81" t="str">
        <f>IF(A1126="","",ROUND(V1126*IFERROR(N(INDEX(tech_rate,MATCH(M1126,tech_name,0))),0),2))</f>
        <v/>
      </c>
      <c r="P1126" s="80" t="n"/>
      <c r="Q1126" s="81" t="str">
        <f>IF(A1126="","",ROUND(Y1126+O1126+Z1126,2))</f>
        <v/>
      </c>
      <c r="R1126" s="79" t="str">
        <f>IF(A1126="","",IF(S1126=0,"Date manquante ou invalide",IF(C1126="","Équipement manquant",IF(ISNA(MATCH(C1126,eq_code,0)),"Équipement inconnu",IF(E1126="","Type manquant",IF(AND(E1126&lt;&gt;"Préventif",E1126&lt;&gt;"Correctif",E1126&lt;&gt;"Amélioratif"),"Type inconnu",IF(I1126="","Statut manquant",IF(AND(I1126&lt;&gt;"Terminée",I1126&lt;&gt;"En cours",I1126&lt;&gt;"À faire",I1126&lt;&gt;"Annulée"),"Statut inconnu",IF(AND(E1126="Préventif",F1126=""),"Plan manquant (préventif)",IF(AND(F1126&lt;&gt;"",ISNA(MATCH(F1126,pl_num,0))),"Plan inconnu",IF(AND(F1126&lt;&gt;"",IFERROR(INDEX(pl_eq,MATCH(F1126,pl_num,0))&amp;"",C1126)&lt;&gt;C1126),"Plan d'un autre équipement",IF(AND(J1126&lt;&gt;"",OR(NOT(ISNUMBER(J1126)),N(J1126)&lt;0)),"Compteur invalide",IF(OR(AND(K1126&lt;&gt;"",OR(NOT(ISNUMBER(K1126)),N(K1126)&lt;0)),AND(L1126&lt;&gt;"",OR(NOT(ISNUMBER(L1126)),N(L1126)&lt;0))),"Durée invalide",IF(OR(AND(N1126&lt;&gt;"",OR(NOT(ISNUMBER(N1126)),N(N1126)&lt;0)),AND(P1126&lt;&gt;"",OR(NOT(ISNUMBER(P1126)),N(P1126)&lt;0))),"Coût invalide",IF(AND(M1126&lt;&gt;"",ISNA(MATCH(M1126,tech_name,0))),"Technicien inconnu",IF(AND(I1126="Terminée",S1126&gt;p_today),"Terminée à une date future",IF(AND(I1126="Terminée",V1126=0),"Durée d'intervention manquante",IF(AND(I1126="Terminée",E1126="Préventif",T1126=0,OR(IFERROR(INDEX(pl_trig,MATCH(F1126,pl_num,0))&amp;"","")="Compteur",IFERROR(INDEX(pl_trig,MATCH(F1126,pl_num,0))&amp;"","")="Au premier des deux")),"Compteur manquant (plan au compteur)","OK"))))))))))))))))))</f>
        <v/>
      </c>
      <c r="S1126" s="67">
        <f>IF(AND(ISNUMBER(B1126),N(B1126)&gt;0),INT(B1126),0)</f>
        <v>0.0</v>
      </c>
      <c r="T1126" s="67">
        <f>IF(AND(ISNUMBER(J1126),N(J1126)&gt;=0),N(J1126),0)</f>
        <v>0.0</v>
      </c>
      <c r="U1126" s="67">
        <f>IF(AND(ISNUMBER(K1126),N(K1126)&gt;0),N(K1126),0)</f>
        <v>0.0</v>
      </c>
      <c r="V1126" s="67">
        <f>IF(AND(ISNUMBER(L1126),N(L1126)&gt;0),N(L1126),0)</f>
        <v>0.0</v>
      </c>
      <c r="W1126" s="67">
        <f>IF(AND(I1126="Terminée",S1126&gt;0,C1126&lt;&gt;"",ISNUMBER(MATCH(C1126,eq_code,0))),1,0)</f>
        <v>0.0</v>
      </c>
      <c r="X1126" s="67">
        <f>IF(AND(W1126=1,E1126="Préventif"),1,0)</f>
        <v>0.0</v>
      </c>
      <c r="Y1126" s="67">
        <f>IF(AND(ISNUMBER(N1126),N(N1126)&gt;0),N(N1126),0)</f>
        <v>0.0</v>
      </c>
      <c r="Z1126" s="67">
        <f>IF(AND(ISNUMBER(P1126),N(P1126)&gt;0),N(P1126),0)</f>
        <v>0.0</v>
      </c>
    </row>
    <row r="1127">
      <c r="A1127" s="79" t="str">
        <f>IF(COUNTA(B1127:C1127,E1127:G1127,I1127)=0,"","BI-"&amp;RIGHT("0000"&amp;(ROW()-5),4))</f>
        <v/>
      </c>
      <c r="B1127" s="72" t="n"/>
      <c r="C1127" s="66" t="n"/>
      <c r="D1127" s="67" t="str">
        <f>IF(C1127="","",IFERROR(INDEX(eq_des,MATCH(C1127,eq_code,0))&amp;"","Équipement inconnu"))</f>
        <v/>
      </c>
      <c r="E1127" s="68" t="n"/>
      <c r="F1127" s="68" t="n"/>
      <c r="G1127" s="66" t="n"/>
      <c r="H1127" s="66" t="n"/>
      <c r="I1127" s="68" t="n"/>
      <c r="J1127" s="73" t="n"/>
      <c r="K1127" s="71" t="n"/>
      <c r="L1127" s="71" t="n"/>
      <c r="M1127" s="66" t="n"/>
      <c r="N1127" s="80" t="n"/>
      <c r="O1127" s="81" t="str">
        <f>IF(A1127="","",ROUND(V1127*IFERROR(N(INDEX(tech_rate,MATCH(M1127,tech_name,0))),0),2))</f>
        <v/>
      </c>
      <c r="P1127" s="80" t="n"/>
      <c r="Q1127" s="81" t="str">
        <f>IF(A1127="","",ROUND(Y1127+O1127+Z1127,2))</f>
        <v/>
      </c>
      <c r="R1127" s="79" t="str">
        <f>IF(A1127="","",IF(S1127=0,"Date manquante ou invalide",IF(C1127="","Équipement manquant",IF(ISNA(MATCH(C1127,eq_code,0)),"Équipement inconnu",IF(E1127="","Type manquant",IF(AND(E1127&lt;&gt;"Préventif",E1127&lt;&gt;"Correctif",E1127&lt;&gt;"Amélioratif"),"Type inconnu",IF(I1127="","Statut manquant",IF(AND(I1127&lt;&gt;"Terminée",I1127&lt;&gt;"En cours",I1127&lt;&gt;"À faire",I1127&lt;&gt;"Annulée"),"Statut inconnu",IF(AND(E1127="Préventif",F1127=""),"Plan manquant (préventif)",IF(AND(F1127&lt;&gt;"",ISNA(MATCH(F1127,pl_num,0))),"Plan inconnu",IF(AND(F1127&lt;&gt;"",IFERROR(INDEX(pl_eq,MATCH(F1127,pl_num,0))&amp;"",C1127)&lt;&gt;C1127),"Plan d'un autre équipement",IF(AND(J1127&lt;&gt;"",OR(NOT(ISNUMBER(J1127)),N(J1127)&lt;0)),"Compteur invalide",IF(OR(AND(K1127&lt;&gt;"",OR(NOT(ISNUMBER(K1127)),N(K1127)&lt;0)),AND(L1127&lt;&gt;"",OR(NOT(ISNUMBER(L1127)),N(L1127)&lt;0))),"Durée invalide",IF(OR(AND(N1127&lt;&gt;"",OR(NOT(ISNUMBER(N1127)),N(N1127)&lt;0)),AND(P1127&lt;&gt;"",OR(NOT(ISNUMBER(P1127)),N(P1127)&lt;0))),"Coût invalide",IF(AND(M1127&lt;&gt;"",ISNA(MATCH(M1127,tech_name,0))),"Technicien inconnu",IF(AND(I1127="Terminée",S1127&gt;p_today),"Terminée à une date future",IF(AND(I1127="Terminée",V1127=0),"Durée d'intervention manquante",IF(AND(I1127="Terminée",E1127="Préventif",T1127=0,OR(IFERROR(INDEX(pl_trig,MATCH(F1127,pl_num,0))&amp;"","")="Compteur",IFERROR(INDEX(pl_trig,MATCH(F1127,pl_num,0))&amp;"","")="Au premier des deux")),"Compteur manquant (plan au compteur)","OK"))))))))))))))))))</f>
        <v/>
      </c>
      <c r="S1127" s="67">
        <f>IF(AND(ISNUMBER(B1127),N(B1127)&gt;0),INT(B1127),0)</f>
        <v>0.0</v>
      </c>
      <c r="T1127" s="67">
        <f>IF(AND(ISNUMBER(J1127),N(J1127)&gt;=0),N(J1127),0)</f>
        <v>0.0</v>
      </c>
      <c r="U1127" s="67">
        <f>IF(AND(ISNUMBER(K1127),N(K1127)&gt;0),N(K1127),0)</f>
        <v>0.0</v>
      </c>
      <c r="V1127" s="67">
        <f>IF(AND(ISNUMBER(L1127),N(L1127)&gt;0),N(L1127),0)</f>
        <v>0.0</v>
      </c>
      <c r="W1127" s="67">
        <f>IF(AND(I1127="Terminée",S1127&gt;0,C1127&lt;&gt;"",ISNUMBER(MATCH(C1127,eq_code,0))),1,0)</f>
        <v>0.0</v>
      </c>
      <c r="X1127" s="67">
        <f>IF(AND(W1127=1,E1127="Préventif"),1,0)</f>
        <v>0.0</v>
      </c>
      <c r="Y1127" s="67">
        <f>IF(AND(ISNUMBER(N1127),N(N1127)&gt;0),N(N1127),0)</f>
        <v>0.0</v>
      </c>
      <c r="Z1127" s="67">
        <f>IF(AND(ISNUMBER(P1127),N(P1127)&gt;0),N(P1127),0)</f>
        <v>0.0</v>
      </c>
    </row>
    <row r="1128">
      <c r="A1128" s="79" t="str">
        <f>IF(COUNTA(B1128:C1128,E1128:G1128,I1128)=0,"","BI-"&amp;RIGHT("0000"&amp;(ROW()-5),4))</f>
        <v/>
      </c>
      <c r="B1128" s="72" t="n"/>
      <c r="C1128" s="66" t="n"/>
      <c r="D1128" s="67" t="str">
        <f>IF(C1128="","",IFERROR(INDEX(eq_des,MATCH(C1128,eq_code,0))&amp;"","Équipement inconnu"))</f>
        <v/>
      </c>
      <c r="E1128" s="68" t="n"/>
      <c r="F1128" s="68" t="n"/>
      <c r="G1128" s="66" t="n"/>
      <c r="H1128" s="66" t="n"/>
      <c r="I1128" s="68" t="n"/>
      <c r="J1128" s="73" t="n"/>
      <c r="K1128" s="71" t="n"/>
      <c r="L1128" s="71" t="n"/>
      <c r="M1128" s="66" t="n"/>
      <c r="N1128" s="80" t="n"/>
      <c r="O1128" s="81" t="str">
        <f>IF(A1128="","",ROUND(V1128*IFERROR(N(INDEX(tech_rate,MATCH(M1128,tech_name,0))),0),2))</f>
        <v/>
      </c>
      <c r="P1128" s="80" t="n"/>
      <c r="Q1128" s="81" t="str">
        <f>IF(A1128="","",ROUND(Y1128+O1128+Z1128,2))</f>
        <v/>
      </c>
      <c r="R1128" s="79" t="str">
        <f>IF(A1128="","",IF(S1128=0,"Date manquante ou invalide",IF(C1128="","Équipement manquant",IF(ISNA(MATCH(C1128,eq_code,0)),"Équipement inconnu",IF(E1128="","Type manquant",IF(AND(E1128&lt;&gt;"Préventif",E1128&lt;&gt;"Correctif",E1128&lt;&gt;"Amélioratif"),"Type inconnu",IF(I1128="","Statut manquant",IF(AND(I1128&lt;&gt;"Terminée",I1128&lt;&gt;"En cours",I1128&lt;&gt;"À faire",I1128&lt;&gt;"Annulée"),"Statut inconnu",IF(AND(E1128="Préventif",F1128=""),"Plan manquant (préventif)",IF(AND(F1128&lt;&gt;"",ISNA(MATCH(F1128,pl_num,0))),"Plan inconnu",IF(AND(F1128&lt;&gt;"",IFERROR(INDEX(pl_eq,MATCH(F1128,pl_num,0))&amp;"",C1128)&lt;&gt;C1128),"Plan d'un autre équipement",IF(AND(J1128&lt;&gt;"",OR(NOT(ISNUMBER(J1128)),N(J1128)&lt;0)),"Compteur invalide",IF(OR(AND(K1128&lt;&gt;"",OR(NOT(ISNUMBER(K1128)),N(K1128)&lt;0)),AND(L1128&lt;&gt;"",OR(NOT(ISNUMBER(L1128)),N(L1128)&lt;0))),"Durée invalide",IF(OR(AND(N1128&lt;&gt;"",OR(NOT(ISNUMBER(N1128)),N(N1128)&lt;0)),AND(P1128&lt;&gt;"",OR(NOT(ISNUMBER(P1128)),N(P1128)&lt;0))),"Coût invalide",IF(AND(M1128&lt;&gt;"",ISNA(MATCH(M1128,tech_name,0))),"Technicien inconnu",IF(AND(I1128="Terminée",S1128&gt;p_today),"Terminée à une date future",IF(AND(I1128="Terminée",V1128=0),"Durée d'intervention manquante",IF(AND(I1128="Terminée",E1128="Préventif",T1128=0,OR(IFERROR(INDEX(pl_trig,MATCH(F1128,pl_num,0))&amp;"","")="Compteur",IFERROR(INDEX(pl_trig,MATCH(F1128,pl_num,0))&amp;"","")="Au premier des deux")),"Compteur manquant (plan au compteur)","OK"))))))))))))))))))</f>
        <v/>
      </c>
      <c r="S1128" s="67">
        <f>IF(AND(ISNUMBER(B1128),N(B1128)&gt;0),INT(B1128),0)</f>
        <v>0.0</v>
      </c>
      <c r="T1128" s="67">
        <f>IF(AND(ISNUMBER(J1128),N(J1128)&gt;=0),N(J1128),0)</f>
        <v>0.0</v>
      </c>
      <c r="U1128" s="67">
        <f>IF(AND(ISNUMBER(K1128),N(K1128)&gt;0),N(K1128),0)</f>
        <v>0.0</v>
      </c>
      <c r="V1128" s="67">
        <f>IF(AND(ISNUMBER(L1128),N(L1128)&gt;0),N(L1128),0)</f>
        <v>0.0</v>
      </c>
      <c r="W1128" s="67">
        <f>IF(AND(I1128="Terminée",S1128&gt;0,C1128&lt;&gt;"",ISNUMBER(MATCH(C1128,eq_code,0))),1,0)</f>
        <v>0.0</v>
      </c>
      <c r="X1128" s="67">
        <f>IF(AND(W1128=1,E1128="Préventif"),1,0)</f>
        <v>0.0</v>
      </c>
      <c r="Y1128" s="67">
        <f>IF(AND(ISNUMBER(N1128),N(N1128)&gt;0),N(N1128),0)</f>
        <v>0.0</v>
      </c>
      <c r="Z1128" s="67">
        <f>IF(AND(ISNUMBER(P1128),N(P1128)&gt;0),N(P1128),0)</f>
        <v>0.0</v>
      </c>
    </row>
    <row r="1129">
      <c r="A1129" s="79" t="str">
        <f>IF(COUNTA(B1129:C1129,E1129:G1129,I1129)=0,"","BI-"&amp;RIGHT("0000"&amp;(ROW()-5),4))</f>
        <v/>
      </c>
      <c r="B1129" s="72" t="n"/>
      <c r="C1129" s="66" t="n"/>
      <c r="D1129" s="67" t="str">
        <f>IF(C1129="","",IFERROR(INDEX(eq_des,MATCH(C1129,eq_code,0))&amp;"","Équipement inconnu"))</f>
        <v/>
      </c>
      <c r="E1129" s="68" t="n"/>
      <c r="F1129" s="68" t="n"/>
      <c r="G1129" s="66" t="n"/>
      <c r="H1129" s="66" t="n"/>
      <c r="I1129" s="68" t="n"/>
      <c r="J1129" s="73" t="n"/>
      <c r="K1129" s="71" t="n"/>
      <c r="L1129" s="71" t="n"/>
      <c r="M1129" s="66" t="n"/>
      <c r="N1129" s="80" t="n"/>
      <c r="O1129" s="81" t="str">
        <f>IF(A1129="","",ROUND(V1129*IFERROR(N(INDEX(tech_rate,MATCH(M1129,tech_name,0))),0),2))</f>
        <v/>
      </c>
      <c r="P1129" s="80" t="n"/>
      <c r="Q1129" s="81" t="str">
        <f>IF(A1129="","",ROUND(Y1129+O1129+Z1129,2))</f>
        <v/>
      </c>
      <c r="R1129" s="79" t="str">
        <f>IF(A1129="","",IF(S1129=0,"Date manquante ou invalide",IF(C1129="","Équipement manquant",IF(ISNA(MATCH(C1129,eq_code,0)),"Équipement inconnu",IF(E1129="","Type manquant",IF(AND(E1129&lt;&gt;"Préventif",E1129&lt;&gt;"Correctif",E1129&lt;&gt;"Amélioratif"),"Type inconnu",IF(I1129="","Statut manquant",IF(AND(I1129&lt;&gt;"Terminée",I1129&lt;&gt;"En cours",I1129&lt;&gt;"À faire",I1129&lt;&gt;"Annulée"),"Statut inconnu",IF(AND(E1129="Préventif",F1129=""),"Plan manquant (préventif)",IF(AND(F1129&lt;&gt;"",ISNA(MATCH(F1129,pl_num,0))),"Plan inconnu",IF(AND(F1129&lt;&gt;"",IFERROR(INDEX(pl_eq,MATCH(F1129,pl_num,0))&amp;"",C1129)&lt;&gt;C1129),"Plan d'un autre équipement",IF(AND(J1129&lt;&gt;"",OR(NOT(ISNUMBER(J1129)),N(J1129)&lt;0)),"Compteur invalide",IF(OR(AND(K1129&lt;&gt;"",OR(NOT(ISNUMBER(K1129)),N(K1129)&lt;0)),AND(L1129&lt;&gt;"",OR(NOT(ISNUMBER(L1129)),N(L1129)&lt;0))),"Durée invalide",IF(OR(AND(N1129&lt;&gt;"",OR(NOT(ISNUMBER(N1129)),N(N1129)&lt;0)),AND(P1129&lt;&gt;"",OR(NOT(ISNUMBER(P1129)),N(P1129)&lt;0))),"Coût invalide",IF(AND(M1129&lt;&gt;"",ISNA(MATCH(M1129,tech_name,0))),"Technicien inconnu",IF(AND(I1129="Terminée",S1129&gt;p_today),"Terminée à une date future",IF(AND(I1129="Terminée",V1129=0),"Durée d'intervention manquante",IF(AND(I1129="Terminée",E1129="Préventif",T1129=0,OR(IFERROR(INDEX(pl_trig,MATCH(F1129,pl_num,0))&amp;"","")="Compteur",IFERROR(INDEX(pl_trig,MATCH(F1129,pl_num,0))&amp;"","")="Au premier des deux")),"Compteur manquant (plan au compteur)","OK"))))))))))))))))))</f>
        <v/>
      </c>
      <c r="S1129" s="67">
        <f>IF(AND(ISNUMBER(B1129),N(B1129)&gt;0),INT(B1129),0)</f>
        <v>0.0</v>
      </c>
      <c r="T1129" s="67">
        <f>IF(AND(ISNUMBER(J1129),N(J1129)&gt;=0),N(J1129),0)</f>
        <v>0.0</v>
      </c>
      <c r="U1129" s="67">
        <f>IF(AND(ISNUMBER(K1129),N(K1129)&gt;0),N(K1129),0)</f>
        <v>0.0</v>
      </c>
      <c r="V1129" s="67">
        <f>IF(AND(ISNUMBER(L1129),N(L1129)&gt;0),N(L1129),0)</f>
        <v>0.0</v>
      </c>
      <c r="W1129" s="67">
        <f>IF(AND(I1129="Terminée",S1129&gt;0,C1129&lt;&gt;"",ISNUMBER(MATCH(C1129,eq_code,0))),1,0)</f>
        <v>0.0</v>
      </c>
      <c r="X1129" s="67">
        <f>IF(AND(W1129=1,E1129="Préventif"),1,0)</f>
        <v>0.0</v>
      </c>
      <c r="Y1129" s="67">
        <f>IF(AND(ISNUMBER(N1129),N(N1129)&gt;0),N(N1129),0)</f>
        <v>0.0</v>
      </c>
      <c r="Z1129" s="67">
        <f>IF(AND(ISNUMBER(P1129),N(P1129)&gt;0),N(P1129),0)</f>
        <v>0.0</v>
      </c>
    </row>
    <row r="1130">
      <c r="A1130" s="79" t="str">
        <f>IF(COUNTA(B1130:C1130,E1130:G1130,I1130)=0,"","BI-"&amp;RIGHT("0000"&amp;(ROW()-5),4))</f>
        <v/>
      </c>
      <c r="B1130" s="72" t="n"/>
      <c r="C1130" s="66" t="n"/>
      <c r="D1130" s="67" t="str">
        <f>IF(C1130="","",IFERROR(INDEX(eq_des,MATCH(C1130,eq_code,0))&amp;"","Équipement inconnu"))</f>
        <v/>
      </c>
      <c r="E1130" s="68" t="n"/>
      <c r="F1130" s="68" t="n"/>
      <c r="G1130" s="66" t="n"/>
      <c r="H1130" s="66" t="n"/>
      <c r="I1130" s="68" t="n"/>
      <c r="J1130" s="73" t="n"/>
      <c r="K1130" s="71" t="n"/>
      <c r="L1130" s="71" t="n"/>
      <c r="M1130" s="66" t="n"/>
      <c r="N1130" s="80" t="n"/>
      <c r="O1130" s="81" t="str">
        <f>IF(A1130="","",ROUND(V1130*IFERROR(N(INDEX(tech_rate,MATCH(M1130,tech_name,0))),0),2))</f>
        <v/>
      </c>
      <c r="P1130" s="80" t="n"/>
      <c r="Q1130" s="81" t="str">
        <f>IF(A1130="","",ROUND(Y1130+O1130+Z1130,2))</f>
        <v/>
      </c>
      <c r="R1130" s="79" t="str">
        <f>IF(A1130="","",IF(S1130=0,"Date manquante ou invalide",IF(C1130="","Équipement manquant",IF(ISNA(MATCH(C1130,eq_code,0)),"Équipement inconnu",IF(E1130="","Type manquant",IF(AND(E1130&lt;&gt;"Préventif",E1130&lt;&gt;"Correctif",E1130&lt;&gt;"Amélioratif"),"Type inconnu",IF(I1130="","Statut manquant",IF(AND(I1130&lt;&gt;"Terminée",I1130&lt;&gt;"En cours",I1130&lt;&gt;"À faire",I1130&lt;&gt;"Annulée"),"Statut inconnu",IF(AND(E1130="Préventif",F1130=""),"Plan manquant (préventif)",IF(AND(F1130&lt;&gt;"",ISNA(MATCH(F1130,pl_num,0))),"Plan inconnu",IF(AND(F1130&lt;&gt;"",IFERROR(INDEX(pl_eq,MATCH(F1130,pl_num,0))&amp;"",C1130)&lt;&gt;C1130),"Plan d'un autre équipement",IF(AND(J1130&lt;&gt;"",OR(NOT(ISNUMBER(J1130)),N(J1130)&lt;0)),"Compteur invalide",IF(OR(AND(K1130&lt;&gt;"",OR(NOT(ISNUMBER(K1130)),N(K1130)&lt;0)),AND(L1130&lt;&gt;"",OR(NOT(ISNUMBER(L1130)),N(L1130)&lt;0))),"Durée invalide",IF(OR(AND(N1130&lt;&gt;"",OR(NOT(ISNUMBER(N1130)),N(N1130)&lt;0)),AND(P1130&lt;&gt;"",OR(NOT(ISNUMBER(P1130)),N(P1130)&lt;0))),"Coût invalide",IF(AND(M1130&lt;&gt;"",ISNA(MATCH(M1130,tech_name,0))),"Technicien inconnu",IF(AND(I1130="Terminée",S1130&gt;p_today),"Terminée à une date future",IF(AND(I1130="Terminée",V1130=0),"Durée d'intervention manquante",IF(AND(I1130="Terminée",E1130="Préventif",T1130=0,OR(IFERROR(INDEX(pl_trig,MATCH(F1130,pl_num,0))&amp;"","")="Compteur",IFERROR(INDEX(pl_trig,MATCH(F1130,pl_num,0))&amp;"","")="Au premier des deux")),"Compteur manquant (plan au compteur)","OK"))))))))))))))))))</f>
        <v/>
      </c>
      <c r="S1130" s="67">
        <f>IF(AND(ISNUMBER(B1130),N(B1130)&gt;0),INT(B1130),0)</f>
        <v>0.0</v>
      </c>
      <c r="T1130" s="67">
        <f>IF(AND(ISNUMBER(J1130),N(J1130)&gt;=0),N(J1130),0)</f>
        <v>0.0</v>
      </c>
      <c r="U1130" s="67">
        <f>IF(AND(ISNUMBER(K1130),N(K1130)&gt;0),N(K1130),0)</f>
        <v>0.0</v>
      </c>
      <c r="V1130" s="67">
        <f>IF(AND(ISNUMBER(L1130),N(L1130)&gt;0),N(L1130),0)</f>
        <v>0.0</v>
      </c>
      <c r="W1130" s="67">
        <f>IF(AND(I1130="Terminée",S1130&gt;0,C1130&lt;&gt;"",ISNUMBER(MATCH(C1130,eq_code,0))),1,0)</f>
        <v>0.0</v>
      </c>
      <c r="X1130" s="67">
        <f>IF(AND(W1130=1,E1130="Préventif"),1,0)</f>
        <v>0.0</v>
      </c>
      <c r="Y1130" s="67">
        <f>IF(AND(ISNUMBER(N1130),N(N1130)&gt;0),N(N1130),0)</f>
        <v>0.0</v>
      </c>
      <c r="Z1130" s="67">
        <f>IF(AND(ISNUMBER(P1130),N(P1130)&gt;0),N(P1130),0)</f>
        <v>0.0</v>
      </c>
    </row>
    <row r="1131">
      <c r="A1131" s="79" t="str">
        <f>IF(COUNTA(B1131:C1131,E1131:G1131,I1131)=0,"","BI-"&amp;RIGHT("0000"&amp;(ROW()-5),4))</f>
        <v/>
      </c>
      <c r="B1131" s="72" t="n"/>
      <c r="C1131" s="66" t="n"/>
      <c r="D1131" s="67" t="str">
        <f>IF(C1131="","",IFERROR(INDEX(eq_des,MATCH(C1131,eq_code,0))&amp;"","Équipement inconnu"))</f>
        <v/>
      </c>
      <c r="E1131" s="68" t="n"/>
      <c r="F1131" s="68" t="n"/>
      <c r="G1131" s="66" t="n"/>
      <c r="H1131" s="66" t="n"/>
      <c r="I1131" s="68" t="n"/>
      <c r="J1131" s="73" t="n"/>
      <c r="K1131" s="71" t="n"/>
      <c r="L1131" s="71" t="n"/>
      <c r="M1131" s="66" t="n"/>
      <c r="N1131" s="80" t="n"/>
      <c r="O1131" s="81" t="str">
        <f>IF(A1131="","",ROUND(V1131*IFERROR(N(INDEX(tech_rate,MATCH(M1131,tech_name,0))),0),2))</f>
        <v/>
      </c>
      <c r="P1131" s="80" t="n"/>
      <c r="Q1131" s="81" t="str">
        <f>IF(A1131="","",ROUND(Y1131+O1131+Z1131,2))</f>
        <v/>
      </c>
      <c r="R1131" s="79" t="str">
        <f>IF(A1131="","",IF(S1131=0,"Date manquante ou invalide",IF(C1131="","Équipement manquant",IF(ISNA(MATCH(C1131,eq_code,0)),"Équipement inconnu",IF(E1131="","Type manquant",IF(AND(E1131&lt;&gt;"Préventif",E1131&lt;&gt;"Correctif",E1131&lt;&gt;"Amélioratif"),"Type inconnu",IF(I1131="","Statut manquant",IF(AND(I1131&lt;&gt;"Terminée",I1131&lt;&gt;"En cours",I1131&lt;&gt;"À faire",I1131&lt;&gt;"Annulée"),"Statut inconnu",IF(AND(E1131="Préventif",F1131=""),"Plan manquant (préventif)",IF(AND(F1131&lt;&gt;"",ISNA(MATCH(F1131,pl_num,0))),"Plan inconnu",IF(AND(F1131&lt;&gt;"",IFERROR(INDEX(pl_eq,MATCH(F1131,pl_num,0))&amp;"",C1131)&lt;&gt;C1131),"Plan d'un autre équipement",IF(AND(J1131&lt;&gt;"",OR(NOT(ISNUMBER(J1131)),N(J1131)&lt;0)),"Compteur invalide",IF(OR(AND(K1131&lt;&gt;"",OR(NOT(ISNUMBER(K1131)),N(K1131)&lt;0)),AND(L1131&lt;&gt;"",OR(NOT(ISNUMBER(L1131)),N(L1131)&lt;0))),"Durée invalide",IF(OR(AND(N1131&lt;&gt;"",OR(NOT(ISNUMBER(N1131)),N(N1131)&lt;0)),AND(P1131&lt;&gt;"",OR(NOT(ISNUMBER(P1131)),N(P1131)&lt;0))),"Coût invalide",IF(AND(M1131&lt;&gt;"",ISNA(MATCH(M1131,tech_name,0))),"Technicien inconnu",IF(AND(I1131="Terminée",S1131&gt;p_today),"Terminée à une date future",IF(AND(I1131="Terminée",V1131=0),"Durée d'intervention manquante",IF(AND(I1131="Terminée",E1131="Préventif",T1131=0,OR(IFERROR(INDEX(pl_trig,MATCH(F1131,pl_num,0))&amp;"","")="Compteur",IFERROR(INDEX(pl_trig,MATCH(F1131,pl_num,0))&amp;"","")="Au premier des deux")),"Compteur manquant (plan au compteur)","OK"))))))))))))))))))</f>
        <v/>
      </c>
      <c r="S1131" s="67">
        <f>IF(AND(ISNUMBER(B1131),N(B1131)&gt;0),INT(B1131),0)</f>
        <v>0.0</v>
      </c>
      <c r="T1131" s="67">
        <f>IF(AND(ISNUMBER(J1131),N(J1131)&gt;=0),N(J1131),0)</f>
        <v>0.0</v>
      </c>
      <c r="U1131" s="67">
        <f>IF(AND(ISNUMBER(K1131),N(K1131)&gt;0),N(K1131),0)</f>
        <v>0.0</v>
      </c>
      <c r="V1131" s="67">
        <f>IF(AND(ISNUMBER(L1131),N(L1131)&gt;0),N(L1131),0)</f>
        <v>0.0</v>
      </c>
      <c r="W1131" s="67">
        <f>IF(AND(I1131="Terminée",S1131&gt;0,C1131&lt;&gt;"",ISNUMBER(MATCH(C1131,eq_code,0))),1,0)</f>
        <v>0.0</v>
      </c>
      <c r="X1131" s="67">
        <f>IF(AND(W1131=1,E1131="Préventif"),1,0)</f>
        <v>0.0</v>
      </c>
      <c r="Y1131" s="67">
        <f>IF(AND(ISNUMBER(N1131),N(N1131)&gt;0),N(N1131),0)</f>
        <v>0.0</v>
      </c>
      <c r="Z1131" s="67">
        <f>IF(AND(ISNUMBER(P1131),N(P1131)&gt;0),N(P1131),0)</f>
        <v>0.0</v>
      </c>
    </row>
    <row r="1132">
      <c r="A1132" s="79" t="str">
        <f>IF(COUNTA(B1132:C1132,E1132:G1132,I1132)=0,"","BI-"&amp;RIGHT("0000"&amp;(ROW()-5),4))</f>
        <v/>
      </c>
      <c r="B1132" s="72" t="n"/>
      <c r="C1132" s="66" t="n"/>
      <c r="D1132" s="67" t="str">
        <f>IF(C1132="","",IFERROR(INDEX(eq_des,MATCH(C1132,eq_code,0))&amp;"","Équipement inconnu"))</f>
        <v/>
      </c>
      <c r="E1132" s="68" t="n"/>
      <c r="F1132" s="68" t="n"/>
      <c r="G1132" s="66" t="n"/>
      <c r="H1132" s="66" t="n"/>
      <c r="I1132" s="68" t="n"/>
      <c r="J1132" s="73" t="n"/>
      <c r="K1132" s="71" t="n"/>
      <c r="L1132" s="71" t="n"/>
      <c r="M1132" s="66" t="n"/>
      <c r="N1132" s="80" t="n"/>
      <c r="O1132" s="81" t="str">
        <f>IF(A1132="","",ROUND(V1132*IFERROR(N(INDEX(tech_rate,MATCH(M1132,tech_name,0))),0),2))</f>
        <v/>
      </c>
      <c r="P1132" s="80" t="n"/>
      <c r="Q1132" s="81" t="str">
        <f>IF(A1132="","",ROUND(Y1132+O1132+Z1132,2))</f>
        <v/>
      </c>
      <c r="R1132" s="79" t="str">
        <f>IF(A1132="","",IF(S1132=0,"Date manquante ou invalide",IF(C1132="","Équipement manquant",IF(ISNA(MATCH(C1132,eq_code,0)),"Équipement inconnu",IF(E1132="","Type manquant",IF(AND(E1132&lt;&gt;"Préventif",E1132&lt;&gt;"Correctif",E1132&lt;&gt;"Amélioratif"),"Type inconnu",IF(I1132="","Statut manquant",IF(AND(I1132&lt;&gt;"Terminée",I1132&lt;&gt;"En cours",I1132&lt;&gt;"À faire",I1132&lt;&gt;"Annulée"),"Statut inconnu",IF(AND(E1132="Préventif",F1132=""),"Plan manquant (préventif)",IF(AND(F1132&lt;&gt;"",ISNA(MATCH(F1132,pl_num,0))),"Plan inconnu",IF(AND(F1132&lt;&gt;"",IFERROR(INDEX(pl_eq,MATCH(F1132,pl_num,0))&amp;"",C1132)&lt;&gt;C1132),"Plan d'un autre équipement",IF(AND(J1132&lt;&gt;"",OR(NOT(ISNUMBER(J1132)),N(J1132)&lt;0)),"Compteur invalide",IF(OR(AND(K1132&lt;&gt;"",OR(NOT(ISNUMBER(K1132)),N(K1132)&lt;0)),AND(L1132&lt;&gt;"",OR(NOT(ISNUMBER(L1132)),N(L1132)&lt;0))),"Durée invalide",IF(OR(AND(N1132&lt;&gt;"",OR(NOT(ISNUMBER(N1132)),N(N1132)&lt;0)),AND(P1132&lt;&gt;"",OR(NOT(ISNUMBER(P1132)),N(P1132)&lt;0))),"Coût invalide",IF(AND(M1132&lt;&gt;"",ISNA(MATCH(M1132,tech_name,0))),"Technicien inconnu",IF(AND(I1132="Terminée",S1132&gt;p_today),"Terminée à une date future",IF(AND(I1132="Terminée",V1132=0),"Durée d'intervention manquante",IF(AND(I1132="Terminée",E1132="Préventif",T1132=0,OR(IFERROR(INDEX(pl_trig,MATCH(F1132,pl_num,0))&amp;"","")="Compteur",IFERROR(INDEX(pl_trig,MATCH(F1132,pl_num,0))&amp;"","")="Au premier des deux")),"Compteur manquant (plan au compteur)","OK"))))))))))))))))))</f>
        <v/>
      </c>
      <c r="S1132" s="67">
        <f>IF(AND(ISNUMBER(B1132),N(B1132)&gt;0),INT(B1132),0)</f>
        <v>0.0</v>
      </c>
      <c r="T1132" s="67">
        <f>IF(AND(ISNUMBER(J1132),N(J1132)&gt;=0),N(J1132),0)</f>
        <v>0.0</v>
      </c>
      <c r="U1132" s="67">
        <f>IF(AND(ISNUMBER(K1132),N(K1132)&gt;0),N(K1132),0)</f>
        <v>0.0</v>
      </c>
      <c r="V1132" s="67">
        <f>IF(AND(ISNUMBER(L1132),N(L1132)&gt;0),N(L1132),0)</f>
        <v>0.0</v>
      </c>
      <c r="W1132" s="67">
        <f>IF(AND(I1132="Terminée",S1132&gt;0,C1132&lt;&gt;"",ISNUMBER(MATCH(C1132,eq_code,0))),1,0)</f>
        <v>0.0</v>
      </c>
      <c r="X1132" s="67">
        <f>IF(AND(W1132=1,E1132="Préventif"),1,0)</f>
        <v>0.0</v>
      </c>
      <c r="Y1132" s="67">
        <f>IF(AND(ISNUMBER(N1132),N(N1132)&gt;0),N(N1132),0)</f>
        <v>0.0</v>
      </c>
      <c r="Z1132" s="67">
        <f>IF(AND(ISNUMBER(P1132),N(P1132)&gt;0),N(P1132),0)</f>
        <v>0.0</v>
      </c>
    </row>
    <row r="1133">
      <c r="A1133" s="79" t="str">
        <f>IF(COUNTA(B1133:C1133,E1133:G1133,I1133)=0,"","BI-"&amp;RIGHT("0000"&amp;(ROW()-5),4))</f>
        <v/>
      </c>
      <c r="B1133" s="72" t="n"/>
      <c r="C1133" s="66" t="n"/>
      <c r="D1133" s="67" t="str">
        <f>IF(C1133="","",IFERROR(INDEX(eq_des,MATCH(C1133,eq_code,0))&amp;"","Équipement inconnu"))</f>
        <v/>
      </c>
      <c r="E1133" s="68" t="n"/>
      <c r="F1133" s="68" t="n"/>
      <c r="G1133" s="66" t="n"/>
      <c r="H1133" s="66" t="n"/>
      <c r="I1133" s="68" t="n"/>
      <c r="J1133" s="73" t="n"/>
      <c r="K1133" s="71" t="n"/>
      <c r="L1133" s="71" t="n"/>
      <c r="M1133" s="66" t="n"/>
      <c r="N1133" s="80" t="n"/>
      <c r="O1133" s="81" t="str">
        <f>IF(A1133="","",ROUND(V1133*IFERROR(N(INDEX(tech_rate,MATCH(M1133,tech_name,0))),0),2))</f>
        <v/>
      </c>
      <c r="P1133" s="80" t="n"/>
      <c r="Q1133" s="81" t="str">
        <f>IF(A1133="","",ROUND(Y1133+O1133+Z1133,2))</f>
        <v/>
      </c>
      <c r="R1133" s="79" t="str">
        <f>IF(A1133="","",IF(S1133=0,"Date manquante ou invalide",IF(C1133="","Équipement manquant",IF(ISNA(MATCH(C1133,eq_code,0)),"Équipement inconnu",IF(E1133="","Type manquant",IF(AND(E1133&lt;&gt;"Préventif",E1133&lt;&gt;"Correctif",E1133&lt;&gt;"Amélioratif"),"Type inconnu",IF(I1133="","Statut manquant",IF(AND(I1133&lt;&gt;"Terminée",I1133&lt;&gt;"En cours",I1133&lt;&gt;"À faire",I1133&lt;&gt;"Annulée"),"Statut inconnu",IF(AND(E1133="Préventif",F1133=""),"Plan manquant (préventif)",IF(AND(F1133&lt;&gt;"",ISNA(MATCH(F1133,pl_num,0))),"Plan inconnu",IF(AND(F1133&lt;&gt;"",IFERROR(INDEX(pl_eq,MATCH(F1133,pl_num,0))&amp;"",C1133)&lt;&gt;C1133),"Plan d'un autre équipement",IF(AND(J1133&lt;&gt;"",OR(NOT(ISNUMBER(J1133)),N(J1133)&lt;0)),"Compteur invalide",IF(OR(AND(K1133&lt;&gt;"",OR(NOT(ISNUMBER(K1133)),N(K1133)&lt;0)),AND(L1133&lt;&gt;"",OR(NOT(ISNUMBER(L1133)),N(L1133)&lt;0))),"Durée invalide",IF(OR(AND(N1133&lt;&gt;"",OR(NOT(ISNUMBER(N1133)),N(N1133)&lt;0)),AND(P1133&lt;&gt;"",OR(NOT(ISNUMBER(P1133)),N(P1133)&lt;0))),"Coût invalide",IF(AND(M1133&lt;&gt;"",ISNA(MATCH(M1133,tech_name,0))),"Technicien inconnu",IF(AND(I1133="Terminée",S1133&gt;p_today),"Terminée à une date future",IF(AND(I1133="Terminée",V1133=0),"Durée d'intervention manquante",IF(AND(I1133="Terminée",E1133="Préventif",T1133=0,OR(IFERROR(INDEX(pl_trig,MATCH(F1133,pl_num,0))&amp;"","")="Compteur",IFERROR(INDEX(pl_trig,MATCH(F1133,pl_num,0))&amp;"","")="Au premier des deux")),"Compteur manquant (plan au compteur)","OK"))))))))))))))))))</f>
        <v/>
      </c>
      <c r="S1133" s="67">
        <f>IF(AND(ISNUMBER(B1133),N(B1133)&gt;0),INT(B1133),0)</f>
        <v>0.0</v>
      </c>
      <c r="T1133" s="67">
        <f>IF(AND(ISNUMBER(J1133),N(J1133)&gt;=0),N(J1133),0)</f>
        <v>0.0</v>
      </c>
      <c r="U1133" s="67">
        <f>IF(AND(ISNUMBER(K1133),N(K1133)&gt;0),N(K1133),0)</f>
        <v>0.0</v>
      </c>
      <c r="V1133" s="67">
        <f>IF(AND(ISNUMBER(L1133),N(L1133)&gt;0),N(L1133),0)</f>
        <v>0.0</v>
      </c>
      <c r="W1133" s="67">
        <f>IF(AND(I1133="Terminée",S1133&gt;0,C1133&lt;&gt;"",ISNUMBER(MATCH(C1133,eq_code,0))),1,0)</f>
        <v>0.0</v>
      </c>
      <c r="X1133" s="67">
        <f>IF(AND(W1133=1,E1133="Préventif"),1,0)</f>
        <v>0.0</v>
      </c>
      <c r="Y1133" s="67">
        <f>IF(AND(ISNUMBER(N1133),N(N1133)&gt;0),N(N1133),0)</f>
        <v>0.0</v>
      </c>
      <c r="Z1133" s="67">
        <f>IF(AND(ISNUMBER(P1133),N(P1133)&gt;0),N(P1133),0)</f>
        <v>0.0</v>
      </c>
    </row>
    <row r="1134">
      <c r="A1134" s="79" t="str">
        <f>IF(COUNTA(B1134:C1134,E1134:G1134,I1134)=0,"","BI-"&amp;RIGHT("0000"&amp;(ROW()-5),4))</f>
        <v/>
      </c>
      <c r="B1134" s="72" t="n"/>
      <c r="C1134" s="66" t="n"/>
      <c r="D1134" s="67" t="str">
        <f>IF(C1134="","",IFERROR(INDEX(eq_des,MATCH(C1134,eq_code,0))&amp;"","Équipement inconnu"))</f>
        <v/>
      </c>
      <c r="E1134" s="68" t="n"/>
      <c r="F1134" s="68" t="n"/>
      <c r="G1134" s="66" t="n"/>
      <c r="H1134" s="66" t="n"/>
      <c r="I1134" s="68" t="n"/>
      <c r="J1134" s="73" t="n"/>
      <c r="K1134" s="71" t="n"/>
      <c r="L1134" s="71" t="n"/>
      <c r="M1134" s="66" t="n"/>
      <c r="N1134" s="80" t="n"/>
      <c r="O1134" s="81" t="str">
        <f>IF(A1134="","",ROUND(V1134*IFERROR(N(INDEX(tech_rate,MATCH(M1134,tech_name,0))),0),2))</f>
        <v/>
      </c>
      <c r="P1134" s="80" t="n"/>
      <c r="Q1134" s="81" t="str">
        <f>IF(A1134="","",ROUND(Y1134+O1134+Z1134,2))</f>
        <v/>
      </c>
      <c r="R1134" s="79" t="str">
        <f>IF(A1134="","",IF(S1134=0,"Date manquante ou invalide",IF(C1134="","Équipement manquant",IF(ISNA(MATCH(C1134,eq_code,0)),"Équipement inconnu",IF(E1134="","Type manquant",IF(AND(E1134&lt;&gt;"Préventif",E1134&lt;&gt;"Correctif",E1134&lt;&gt;"Amélioratif"),"Type inconnu",IF(I1134="","Statut manquant",IF(AND(I1134&lt;&gt;"Terminée",I1134&lt;&gt;"En cours",I1134&lt;&gt;"À faire",I1134&lt;&gt;"Annulée"),"Statut inconnu",IF(AND(E1134="Préventif",F1134=""),"Plan manquant (préventif)",IF(AND(F1134&lt;&gt;"",ISNA(MATCH(F1134,pl_num,0))),"Plan inconnu",IF(AND(F1134&lt;&gt;"",IFERROR(INDEX(pl_eq,MATCH(F1134,pl_num,0))&amp;"",C1134)&lt;&gt;C1134),"Plan d'un autre équipement",IF(AND(J1134&lt;&gt;"",OR(NOT(ISNUMBER(J1134)),N(J1134)&lt;0)),"Compteur invalide",IF(OR(AND(K1134&lt;&gt;"",OR(NOT(ISNUMBER(K1134)),N(K1134)&lt;0)),AND(L1134&lt;&gt;"",OR(NOT(ISNUMBER(L1134)),N(L1134)&lt;0))),"Durée invalide",IF(OR(AND(N1134&lt;&gt;"",OR(NOT(ISNUMBER(N1134)),N(N1134)&lt;0)),AND(P1134&lt;&gt;"",OR(NOT(ISNUMBER(P1134)),N(P1134)&lt;0))),"Coût invalide",IF(AND(M1134&lt;&gt;"",ISNA(MATCH(M1134,tech_name,0))),"Technicien inconnu",IF(AND(I1134="Terminée",S1134&gt;p_today),"Terminée à une date future",IF(AND(I1134="Terminée",V1134=0),"Durée d'intervention manquante",IF(AND(I1134="Terminée",E1134="Préventif",T1134=0,OR(IFERROR(INDEX(pl_trig,MATCH(F1134,pl_num,0))&amp;"","")="Compteur",IFERROR(INDEX(pl_trig,MATCH(F1134,pl_num,0))&amp;"","")="Au premier des deux")),"Compteur manquant (plan au compteur)","OK"))))))))))))))))))</f>
        <v/>
      </c>
      <c r="S1134" s="67">
        <f>IF(AND(ISNUMBER(B1134),N(B1134)&gt;0),INT(B1134),0)</f>
        <v>0.0</v>
      </c>
      <c r="T1134" s="67">
        <f>IF(AND(ISNUMBER(J1134),N(J1134)&gt;=0),N(J1134),0)</f>
        <v>0.0</v>
      </c>
      <c r="U1134" s="67">
        <f>IF(AND(ISNUMBER(K1134),N(K1134)&gt;0),N(K1134),0)</f>
        <v>0.0</v>
      </c>
      <c r="V1134" s="67">
        <f>IF(AND(ISNUMBER(L1134),N(L1134)&gt;0),N(L1134),0)</f>
        <v>0.0</v>
      </c>
      <c r="W1134" s="67">
        <f>IF(AND(I1134="Terminée",S1134&gt;0,C1134&lt;&gt;"",ISNUMBER(MATCH(C1134,eq_code,0))),1,0)</f>
        <v>0.0</v>
      </c>
      <c r="X1134" s="67">
        <f>IF(AND(W1134=1,E1134="Préventif"),1,0)</f>
        <v>0.0</v>
      </c>
      <c r="Y1134" s="67">
        <f>IF(AND(ISNUMBER(N1134),N(N1134)&gt;0),N(N1134),0)</f>
        <v>0.0</v>
      </c>
      <c r="Z1134" s="67">
        <f>IF(AND(ISNUMBER(P1134),N(P1134)&gt;0),N(P1134),0)</f>
        <v>0.0</v>
      </c>
    </row>
    <row r="1135">
      <c r="A1135" s="79" t="str">
        <f>IF(COUNTA(B1135:C1135,E1135:G1135,I1135)=0,"","BI-"&amp;RIGHT("0000"&amp;(ROW()-5),4))</f>
        <v/>
      </c>
      <c r="B1135" s="72" t="n"/>
      <c r="C1135" s="66" t="n"/>
      <c r="D1135" s="67" t="str">
        <f>IF(C1135="","",IFERROR(INDEX(eq_des,MATCH(C1135,eq_code,0))&amp;"","Équipement inconnu"))</f>
        <v/>
      </c>
      <c r="E1135" s="68" t="n"/>
      <c r="F1135" s="68" t="n"/>
      <c r="G1135" s="66" t="n"/>
      <c r="H1135" s="66" t="n"/>
      <c r="I1135" s="68" t="n"/>
      <c r="J1135" s="73" t="n"/>
      <c r="K1135" s="71" t="n"/>
      <c r="L1135" s="71" t="n"/>
      <c r="M1135" s="66" t="n"/>
      <c r="N1135" s="80" t="n"/>
      <c r="O1135" s="81" t="str">
        <f>IF(A1135="","",ROUND(V1135*IFERROR(N(INDEX(tech_rate,MATCH(M1135,tech_name,0))),0),2))</f>
        <v/>
      </c>
      <c r="P1135" s="80" t="n"/>
      <c r="Q1135" s="81" t="str">
        <f>IF(A1135="","",ROUND(Y1135+O1135+Z1135,2))</f>
        <v/>
      </c>
      <c r="R1135" s="79" t="str">
        <f>IF(A1135="","",IF(S1135=0,"Date manquante ou invalide",IF(C1135="","Équipement manquant",IF(ISNA(MATCH(C1135,eq_code,0)),"Équipement inconnu",IF(E1135="","Type manquant",IF(AND(E1135&lt;&gt;"Préventif",E1135&lt;&gt;"Correctif",E1135&lt;&gt;"Amélioratif"),"Type inconnu",IF(I1135="","Statut manquant",IF(AND(I1135&lt;&gt;"Terminée",I1135&lt;&gt;"En cours",I1135&lt;&gt;"À faire",I1135&lt;&gt;"Annulée"),"Statut inconnu",IF(AND(E1135="Préventif",F1135=""),"Plan manquant (préventif)",IF(AND(F1135&lt;&gt;"",ISNA(MATCH(F1135,pl_num,0))),"Plan inconnu",IF(AND(F1135&lt;&gt;"",IFERROR(INDEX(pl_eq,MATCH(F1135,pl_num,0))&amp;"",C1135)&lt;&gt;C1135),"Plan d'un autre équipement",IF(AND(J1135&lt;&gt;"",OR(NOT(ISNUMBER(J1135)),N(J1135)&lt;0)),"Compteur invalide",IF(OR(AND(K1135&lt;&gt;"",OR(NOT(ISNUMBER(K1135)),N(K1135)&lt;0)),AND(L1135&lt;&gt;"",OR(NOT(ISNUMBER(L1135)),N(L1135)&lt;0))),"Durée invalide",IF(OR(AND(N1135&lt;&gt;"",OR(NOT(ISNUMBER(N1135)),N(N1135)&lt;0)),AND(P1135&lt;&gt;"",OR(NOT(ISNUMBER(P1135)),N(P1135)&lt;0))),"Coût invalide",IF(AND(M1135&lt;&gt;"",ISNA(MATCH(M1135,tech_name,0))),"Technicien inconnu",IF(AND(I1135="Terminée",S1135&gt;p_today),"Terminée à une date future",IF(AND(I1135="Terminée",V1135=0),"Durée d'intervention manquante",IF(AND(I1135="Terminée",E1135="Préventif",T1135=0,OR(IFERROR(INDEX(pl_trig,MATCH(F1135,pl_num,0))&amp;"","")="Compteur",IFERROR(INDEX(pl_trig,MATCH(F1135,pl_num,0))&amp;"","")="Au premier des deux")),"Compteur manquant (plan au compteur)","OK"))))))))))))))))))</f>
        <v/>
      </c>
      <c r="S1135" s="67">
        <f>IF(AND(ISNUMBER(B1135),N(B1135)&gt;0),INT(B1135),0)</f>
        <v>0.0</v>
      </c>
      <c r="T1135" s="67">
        <f>IF(AND(ISNUMBER(J1135),N(J1135)&gt;=0),N(J1135),0)</f>
        <v>0.0</v>
      </c>
      <c r="U1135" s="67">
        <f>IF(AND(ISNUMBER(K1135),N(K1135)&gt;0),N(K1135),0)</f>
        <v>0.0</v>
      </c>
      <c r="V1135" s="67">
        <f>IF(AND(ISNUMBER(L1135),N(L1135)&gt;0),N(L1135),0)</f>
        <v>0.0</v>
      </c>
      <c r="W1135" s="67">
        <f>IF(AND(I1135="Terminée",S1135&gt;0,C1135&lt;&gt;"",ISNUMBER(MATCH(C1135,eq_code,0))),1,0)</f>
        <v>0.0</v>
      </c>
      <c r="X1135" s="67">
        <f>IF(AND(W1135=1,E1135="Préventif"),1,0)</f>
        <v>0.0</v>
      </c>
      <c r="Y1135" s="67">
        <f>IF(AND(ISNUMBER(N1135),N(N1135)&gt;0),N(N1135),0)</f>
        <v>0.0</v>
      </c>
      <c r="Z1135" s="67">
        <f>IF(AND(ISNUMBER(P1135),N(P1135)&gt;0),N(P1135),0)</f>
        <v>0.0</v>
      </c>
    </row>
    <row r="1136">
      <c r="A1136" s="79" t="str">
        <f>IF(COUNTA(B1136:C1136,E1136:G1136,I1136)=0,"","BI-"&amp;RIGHT("0000"&amp;(ROW()-5),4))</f>
        <v/>
      </c>
      <c r="B1136" s="72" t="n"/>
      <c r="C1136" s="66" t="n"/>
      <c r="D1136" s="67" t="str">
        <f>IF(C1136="","",IFERROR(INDEX(eq_des,MATCH(C1136,eq_code,0))&amp;"","Équipement inconnu"))</f>
        <v/>
      </c>
      <c r="E1136" s="68" t="n"/>
      <c r="F1136" s="68" t="n"/>
      <c r="G1136" s="66" t="n"/>
      <c r="H1136" s="66" t="n"/>
      <c r="I1136" s="68" t="n"/>
      <c r="J1136" s="73" t="n"/>
      <c r="K1136" s="71" t="n"/>
      <c r="L1136" s="71" t="n"/>
      <c r="M1136" s="66" t="n"/>
      <c r="N1136" s="80" t="n"/>
      <c r="O1136" s="81" t="str">
        <f>IF(A1136="","",ROUND(V1136*IFERROR(N(INDEX(tech_rate,MATCH(M1136,tech_name,0))),0),2))</f>
        <v/>
      </c>
      <c r="P1136" s="80" t="n"/>
      <c r="Q1136" s="81" t="str">
        <f>IF(A1136="","",ROUND(Y1136+O1136+Z1136,2))</f>
        <v/>
      </c>
      <c r="R1136" s="79" t="str">
        <f>IF(A1136="","",IF(S1136=0,"Date manquante ou invalide",IF(C1136="","Équipement manquant",IF(ISNA(MATCH(C1136,eq_code,0)),"Équipement inconnu",IF(E1136="","Type manquant",IF(AND(E1136&lt;&gt;"Préventif",E1136&lt;&gt;"Correctif",E1136&lt;&gt;"Amélioratif"),"Type inconnu",IF(I1136="","Statut manquant",IF(AND(I1136&lt;&gt;"Terminée",I1136&lt;&gt;"En cours",I1136&lt;&gt;"À faire",I1136&lt;&gt;"Annulée"),"Statut inconnu",IF(AND(E1136="Préventif",F1136=""),"Plan manquant (préventif)",IF(AND(F1136&lt;&gt;"",ISNA(MATCH(F1136,pl_num,0))),"Plan inconnu",IF(AND(F1136&lt;&gt;"",IFERROR(INDEX(pl_eq,MATCH(F1136,pl_num,0))&amp;"",C1136)&lt;&gt;C1136),"Plan d'un autre équipement",IF(AND(J1136&lt;&gt;"",OR(NOT(ISNUMBER(J1136)),N(J1136)&lt;0)),"Compteur invalide",IF(OR(AND(K1136&lt;&gt;"",OR(NOT(ISNUMBER(K1136)),N(K1136)&lt;0)),AND(L1136&lt;&gt;"",OR(NOT(ISNUMBER(L1136)),N(L1136)&lt;0))),"Durée invalide",IF(OR(AND(N1136&lt;&gt;"",OR(NOT(ISNUMBER(N1136)),N(N1136)&lt;0)),AND(P1136&lt;&gt;"",OR(NOT(ISNUMBER(P1136)),N(P1136)&lt;0))),"Coût invalide",IF(AND(M1136&lt;&gt;"",ISNA(MATCH(M1136,tech_name,0))),"Technicien inconnu",IF(AND(I1136="Terminée",S1136&gt;p_today),"Terminée à une date future",IF(AND(I1136="Terminée",V1136=0),"Durée d'intervention manquante",IF(AND(I1136="Terminée",E1136="Préventif",T1136=0,OR(IFERROR(INDEX(pl_trig,MATCH(F1136,pl_num,0))&amp;"","")="Compteur",IFERROR(INDEX(pl_trig,MATCH(F1136,pl_num,0))&amp;"","")="Au premier des deux")),"Compteur manquant (plan au compteur)","OK"))))))))))))))))))</f>
        <v/>
      </c>
      <c r="S1136" s="67">
        <f>IF(AND(ISNUMBER(B1136),N(B1136)&gt;0),INT(B1136),0)</f>
        <v>0.0</v>
      </c>
      <c r="T1136" s="67">
        <f>IF(AND(ISNUMBER(J1136),N(J1136)&gt;=0),N(J1136),0)</f>
        <v>0.0</v>
      </c>
      <c r="U1136" s="67">
        <f>IF(AND(ISNUMBER(K1136),N(K1136)&gt;0),N(K1136),0)</f>
        <v>0.0</v>
      </c>
      <c r="V1136" s="67">
        <f>IF(AND(ISNUMBER(L1136),N(L1136)&gt;0),N(L1136),0)</f>
        <v>0.0</v>
      </c>
      <c r="W1136" s="67">
        <f>IF(AND(I1136="Terminée",S1136&gt;0,C1136&lt;&gt;"",ISNUMBER(MATCH(C1136,eq_code,0))),1,0)</f>
        <v>0.0</v>
      </c>
      <c r="X1136" s="67">
        <f>IF(AND(W1136=1,E1136="Préventif"),1,0)</f>
        <v>0.0</v>
      </c>
      <c r="Y1136" s="67">
        <f>IF(AND(ISNUMBER(N1136),N(N1136)&gt;0),N(N1136),0)</f>
        <v>0.0</v>
      </c>
      <c r="Z1136" s="67">
        <f>IF(AND(ISNUMBER(P1136),N(P1136)&gt;0),N(P1136),0)</f>
        <v>0.0</v>
      </c>
    </row>
    <row r="1137">
      <c r="A1137" s="79" t="str">
        <f>IF(COUNTA(B1137:C1137,E1137:G1137,I1137)=0,"","BI-"&amp;RIGHT("0000"&amp;(ROW()-5),4))</f>
        <v/>
      </c>
      <c r="B1137" s="72" t="n"/>
      <c r="C1137" s="66" t="n"/>
      <c r="D1137" s="67" t="str">
        <f>IF(C1137="","",IFERROR(INDEX(eq_des,MATCH(C1137,eq_code,0))&amp;"","Équipement inconnu"))</f>
        <v/>
      </c>
      <c r="E1137" s="68" t="n"/>
      <c r="F1137" s="68" t="n"/>
      <c r="G1137" s="66" t="n"/>
      <c r="H1137" s="66" t="n"/>
      <c r="I1137" s="68" t="n"/>
      <c r="J1137" s="73" t="n"/>
      <c r="K1137" s="71" t="n"/>
      <c r="L1137" s="71" t="n"/>
      <c r="M1137" s="66" t="n"/>
      <c r="N1137" s="80" t="n"/>
      <c r="O1137" s="81" t="str">
        <f>IF(A1137="","",ROUND(V1137*IFERROR(N(INDEX(tech_rate,MATCH(M1137,tech_name,0))),0),2))</f>
        <v/>
      </c>
      <c r="P1137" s="80" t="n"/>
      <c r="Q1137" s="81" t="str">
        <f>IF(A1137="","",ROUND(Y1137+O1137+Z1137,2))</f>
        <v/>
      </c>
      <c r="R1137" s="79" t="str">
        <f>IF(A1137="","",IF(S1137=0,"Date manquante ou invalide",IF(C1137="","Équipement manquant",IF(ISNA(MATCH(C1137,eq_code,0)),"Équipement inconnu",IF(E1137="","Type manquant",IF(AND(E1137&lt;&gt;"Préventif",E1137&lt;&gt;"Correctif",E1137&lt;&gt;"Amélioratif"),"Type inconnu",IF(I1137="","Statut manquant",IF(AND(I1137&lt;&gt;"Terminée",I1137&lt;&gt;"En cours",I1137&lt;&gt;"À faire",I1137&lt;&gt;"Annulée"),"Statut inconnu",IF(AND(E1137="Préventif",F1137=""),"Plan manquant (préventif)",IF(AND(F1137&lt;&gt;"",ISNA(MATCH(F1137,pl_num,0))),"Plan inconnu",IF(AND(F1137&lt;&gt;"",IFERROR(INDEX(pl_eq,MATCH(F1137,pl_num,0))&amp;"",C1137)&lt;&gt;C1137),"Plan d'un autre équipement",IF(AND(J1137&lt;&gt;"",OR(NOT(ISNUMBER(J1137)),N(J1137)&lt;0)),"Compteur invalide",IF(OR(AND(K1137&lt;&gt;"",OR(NOT(ISNUMBER(K1137)),N(K1137)&lt;0)),AND(L1137&lt;&gt;"",OR(NOT(ISNUMBER(L1137)),N(L1137)&lt;0))),"Durée invalide",IF(OR(AND(N1137&lt;&gt;"",OR(NOT(ISNUMBER(N1137)),N(N1137)&lt;0)),AND(P1137&lt;&gt;"",OR(NOT(ISNUMBER(P1137)),N(P1137)&lt;0))),"Coût invalide",IF(AND(M1137&lt;&gt;"",ISNA(MATCH(M1137,tech_name,0))),"Technicien inconnu",IF(AND(I1137="Terminée",S1137&gt;p_today),"Terminée à une date future",IF(AND(I1137="Terminée",V1137=0),"Durée d'intervention manquante",IF(AND(I1137="Terminée",E1137="Préventif",T1137=0,OR(IFERROR(INDEX(pl_trig,MATCH(F1137,pl_num,0))&amp;"","")="Compteur",IFERROR(INDEX(pl_trig,MATCH(F1137,pl_num,0))&amp;"","")="Au premier des deux")),"Compteur manquant (plan au compteur)","OK"))))))))))))))))))</f>
        <v/>
      </c>
      <c r="S1137" s="67">
        <f>IF(AND(ISNUMBER(B1137),N(B1137)&gt;0),INT(B1137),0)</f>
        <v>0.0</v>
      </c>
      <c r="T1137" s="67">
        <f>IF(AND(ISNUMBER(J1137),N(J1137)&gt;=0),N(J1137),0)</f>
        <v>0.0</v>
      </c>
      <c r="U1137" s="67">
        <f>IF(AND(ISNUMBER(K1137),N(K1137)&gt;0),N(K1137),0)</f>
        <v>0.0</v>
      </c>
      <c r="V1137" s="67">
        <f>IF(AND(ISNUMBER(L1137),N(L1137)&gt;0),N(L1137),0)</f>
        <v>0.0</v>
      </c>
      <c r="W1137" s="67">
        <f>IF(AND(I1137="Terminée",S1137&gt;0,C1137&lt;&gt;"",ISNUMBER(MATCH(C1137,eq_code,0))),1,0)</f>
        <v>0.0</v>
      </c>
      <c r="X1137" s="67">
        <f>IF(AND(W1137=1,E1137="Préventif"),1,0)</f>
        <v>0.0</v>
      </c>
      <c r="Y1137" s="67">
        <f>IF(AND(ISNUMBER(N1137),N(N1137)&gt;0),N(N1137),0)</f>
        <v>0.0</v>
      </c>
      <c r="Z1137" s="67">
        <f>IF(AND(ISNUMBER(P1137),N(P1137)&gt;0),N(P1137),0)</f>
        <v>0.0</v>
      </c>
    </row>
    <row r="1138">
      <c r="A1138" s="79" t="str">
        <f>IF(COUNTA(B1138:C1138,E1138:G1138,I1138)=0,"","BI-"&amp;RIGHT("0000"&amp;(ROW()-5),4))</f>
        <v/>
      </c>
      <c r="B1138" s="72" t="n"/>
      <c r="C1138" s="66" t="n"/>
      <c r="D1138" s="67" t="str">
        <f>IF(C1138="","",IFERROR(INDEX(eq_des,MATCH(C1138,eq_code,0))&amp;"","Équipement inconnu"))</f>
        <v/>
      </c>
      <c r="E1138" s="68" t="n"/>
      <c r="F1138" s="68" t="n"/>
      <c r="G1138" s="66" t="n"/>
      <c r="H1138" s="66" t="n"/>
      <c r="I1138" s="68" t="n"/>
      <c r="J1138" s="73" t="n"/>
      <c r="K1138" s="71" t="n"/>
      <c r="L1138" s="71" t="n"/>
      <c r="M1138" s="66" t="n"/>
      <c r="N1138" s="80" t="n"/>
      <c r="O1138" s="81" t="str">
        <f>IF(A1138="","",ROUND(V1138*IFERROR(N(INDEX(tech_rate,MATCH(M1138,tech_name,0))),0),2))</f>
        <v/>
      </c>
      <c r="P1138" s="80" t="n"/>
      <c r="Q1138" s="81" t="str">
        <f>IF(A1138="","",ROUND(Y1138+O1138+Z1138,2))</f>
        <v/>
      </c>
      <c r="R1138" s="79" t="str">
        <f>IF(A1138="","",IF(S1138=0,"Date manquante ou invalide",IF(C1138="","Équipement manquant",IF(ISNA(MATCH(C1138,eq_code,0)),"Équipement inconnu",IF(E1138="","Type manquant",IF(AND(E1138&lt;&gt;"Préventif",E1138&lt;&gt;"Correctif",E1138&lt;&gt;"Amélioratif"),"Type inconnu",IF(I1138="","Statut manquant",IF(AND(I1138&lt;&gt;"Terminée",I1138&lt;&gt;"En cours",I1138&lt;&gt;"À faire",I1138&lt;&gt;"Annulée"),"Statut inconnu",IF(AND(E1138="Préventif",F1138=""),"Plan manquant (préventif)",IF(AND(F1138&lt;&gt;"",ISNA(MATCH(F1138,pl_num,0))),"Plan inconnu",IF(AND(F1138&lt;&gt;"",IFERROR(INDEX(pl_eq,MATCH(F1138,pl_num,0))&amp;"",C1138)&lt;&gt;C1138),"Plan d'un autre équipement",IF(AND(J1138&lt;&gt;"",OR(NOT(ISNUMBER(J1138)),N(J1138)&lt;0)),"Compteur invalide",IF(OR(AND(K1138&lt;&gt;"",OR(NOT(ISNUMBER(K1138)),N(K1138)&lt;0)),AND(L1138&lt;&gt;"",OR(NOT(ISNUMBER(L1138)),N(L1138)&lt;0))),"Durée invalide",IF(OR(AND(N1138&lt;&gt;"",OR(NOT(ISNUMBER(N1138)),N(N1138)&lt;0)),AND(P1138&lt;&gt;"",OR(NOT(ISNUMBER(P1138)),N(P1138)&lt;0))),"Coût invalide",IF(AND(M1138&lt;&gt;"",ISNA(MATCH(M1138,tech_name,0))),"Technicien inconnu",IF(AND(I1138="Terminée",S1138&gt;p_today),"Terminée à une date future",IF(AND(I1138="Terminée",V1138=0),"Durée d'intervention manquante",IF(AND(I1138="Terminée",E1138="Préventif",T1138=0,OR(IFERROR(INDEX(pl_trig,MATCH(F1138,pl_num,0))&amp;"","")="Compteur",IFERROR(INDEX(pl_trig,MATCH(F1138,pl_num,0))&amp;"","")="Au premier des deux")),"Compteur manquant (plan au compteur)","OK"))))))))))))))))))</f>
        <v/>
      </c>
      <c r="S1138" s="67">
        <f>IF(AND(ISNUMBER(B1138),N(B1138)&gt;0),INT(B1138),0)</f>
        <v>0.0</v>
      </c>
      <c r="T1138" s="67">
        <f>IF(AND(ISNUMBER(J1138),N(J1138)&gt;=0),N(J1138),0)</f>
        <v>0.0</v>
      </c>
      <c r="U1138" s="67">
        <f>IF(AND(ISNUMBER(K1138),N(K1138)&gt;0),N(K1138),0)</f>
        <v>0.0</v>
      </c>
      <c r="V1138" s="67">
        <f>IF(AND(ISNUMBER(L1138),N(L1138)&gt;0),N(L1138),0)</f>
        <v>0.0</v>
      </c>
      <c r="W1138" s="67">
        <f>IF(AND(I1138="Terminée",S1138&gt;0,C1138&lt;&gt;"",ISNUMBER(MATCH(C1138,eq_code,0))),1,0)</f>
        <v>0.0</v>
      </c>
      <c r="X1138" s="67">
        <f>IF(AND(W1138=1,E1138="Préventif"),1,0)</f>
        <v>0.0</v>
      </c>
      <c r="Y1138" s="67">
        <f>IF(AND(ISNUMBER(N1138),N(N1138)&gt;0),N(N1138),0)</f>
        <v>0.0</v>
      </c>
      <c r="Z1138" s="67">
        <f>IF(AND(ISNUMBER(P1138),N(P1138)&gt;0),N(P1138),0)</f>
        <v>0.0</v>
      </c>
    </row>
    <row r="1139">
      <c r="A1139" s="79" t="str">
        <f>IF(COUNTA(B1139:C1139,E1139:G1139,I1139)=0,"","BI-"&amp;RIGHT("0000"&amp;(ROW()-5),4))</f>
        <v/>
      </c>
      <c r="B1139" s="72" t="n"/>
      <c r="C1139" s="66" t="n"/>
      <c r="D1139" s="67" t="str">
        <f>IF(C1139="","",IFERROR(INDEX(eq_des,MATCH(C1139,eq_code,0))&amp;"","Équipement inconnu"))</f>
        <v/>
      </c>
      <c r="E1139" s="68" t="n"/>
      <c r="F1139" s="68" t="n"/>
      <c r="G1139" s="66" t="n"/>
      <c r="H1139" s="66" t="n"/>
      <c r="I1139" s="68" t="n"/>
      <c r="J1139" s="73" t="n"/>
      <c r="K1139" s="71" t="n"/>
      <c r="L1139" s="71" t="n"/>
      <c r="M1139" s="66" t="n"/>
      <c r="N1139" s="80" t="n"/>
      <c r="O1139" s="81" t="str">
        <f>IF(A1139="","",ROUND(V1139*IFERROR(N(INDEX(tech_rate,MATCH(M1139,tech_name,0))),0),2))</f>
        <v/>
      </c>
      <c r="P1139" s="80" t="n"/>
      <c r="Q1139" s="81" t="str">
        <f>IF(A1139="","",ROUND(Y1139+O1139+Z1139,2))</f>
        <v/>
      </c>
      <c r="R1139" s="79" t="str">
        <f>IF(A1139="","",IF(S1139=0,"Date manquante ou invalide",IF(C1139="","Équipement manquant",IF(ISNA(MATCH(C1139,eq_code,0)),"Équipement inconnu",IF(E1139="","Type manquant",IF(AND(E1139&lt;&gt;"Préventif",E1139&lt;&gt;"Correctif",E1139&lt;&gt;"Amélioratif"),"Type inconnu",IF(I1139="","Statut manquant",IF(AND(I1139&lt;&gt;"Terminée",I1139&lt;&gt;"En cours",I1139&lt;&gt;"À faire",I1139&lt;&gt;"Annulée"),"Statut inconnu",IF(AND(E1139="Préventif",F1139=""),"Plan manquant (préventif)",IF(AND(F1139&lt;&gt;"",ISNA(MATCH(F1139,pl_num,0))),"Plan inconnu",IF(AND(F1139&lt;&gt;"",IFERROR(INDEX(pl_eq,MATCH(F1139,pl_num,0))&amp;"",C1139)&lt;&gt;C1139),"Plan d'un autre équipement",IF(AND(J1139&lt;&gt;"",OR(NOT(ISNUMBER(J1139)),N(J1139)&lt;0)),"Compteur invalide",IF(OR(AND(K1139&lt;&gt;"",OR(NOT(ISNUMBER(K1139)),N(K1139)&lt;0)),AND(L1139&lt;&gt;"",OR(NOT(ISNUMBER(L1139)),N(L1139)&lt;0))),"Durée invalide",IF(OR(AND(N1139&lt;&gt;"",OR(NOT(ISNUMBER(N1139)),N(N1139)&lt;0)),AND(P1139&lt;&gt;"",OR(NOT(ISNUMBER(P1139)),N(P1139)&lt;0))),"Coût invalide",IF(AND(M1139&lt;&gt;"",ISNA(MATCH(M1139,tech_name,0))),"Technicien inconnu",IF(AND(I1139="Terminée",S1139&gt;p_today),"Terminée à une date future",IF(AND(I1139="Terminée",V1139=0),"Durée d'intervention manquante",IF(AND(I1139="Terminée",E1139="Préventif",T1139=0,OR(IFERROR(INDEX(pl_trig,MATCH(F1139,pl_num,0))&amp;"","")="Compteur",IFERROR(INDEX(pl_trig,MATCH(F1139,pl_num,0))&amp;"","")="Au premier des deux")),"Compteur manquant (plan au compteur)","OK"))))))))))))))))))</f>
        <v/>
      </c>
      <c r="S1139" s="67">
        <f>IF(AND(ISNUMBER(B1139),N(B1139)&gt;0),INT(B1139),0)</f>
        <v>0.0</v>
      </c>
      <c r="T1139" s="67">
        <f>IF(AND(ISNUMBER(J1139),N(J1139)&gt;=0),N(J1139),0)</f>
        <v>0.0</v>
      </c>
      <c r="U1139" s="67">
        <f>IF(AND(ISNUMBER(K1139),N(K1139)&gt;0),N(K1139),0)</f>
        <v>0.0</v>
      </c>
      <c r="V1139" s="67">
        <f>IF(AND(ISNUMBER(L1139),N(L1139)&gt;0),N(L1139),0)</f>
        <v>0.0</v>
      </c>
      <c r="W1139" s="67">
        <f>IF(AND(I1139="Terminée",S1139&gt;0,C1139&lt;&gt;"",ISNUMBER(MATCH(C1139,eq_code,0))),1,0)</f>
        <v>0.0</v>
      </c>
      <c r="X1139" s="67">
        <f>IF(AND(W1139=1,E1139="Préventif"),1,0)</f>
        <v>0.0</v>
      </c>
      <c r="Y1139" s="67">
        <f>IF(AND(ISNUMBER(N1139),N(N1139)&gt;0),N(N1139),0)</f>
        <v>0.0</v>
      </c>
      <c r="Z1139" s="67">
        <f>IF(AND(ISNUMBER(P1139),N(P1139)&gt;0),N(P1139),0)</f>
        <v>0.0</v>
      </c>
    </row>
    <row r="1140">
      <c r="A1140" s="79" t="str">
        <f>IF(COUNTA(B1140:C1140,E1140:G1140,I1140)=0,"","BI-"&amp;RIGHT("0000"&amp;(ROW()-5),4))</f>
        <v/>
      </c>
      <c r="B1140" s="72" t="n"/>
      <c r="C1140" s="66" t="n"/>
      <c r="D1140" s="67" t="str">
        <f>IF(C1140="","",IFERROR(INDEX(eq_des,MATCH(C1140,eq_code,0))&amp;"","Équipement inconnu"))</f>
        <v/>
      </c>
      <c r="E1140" s="68" t="n"/>
      <c r="F1140" s="68" t="n"/>
      <c r="G1140" s="66" t="n"/>
      <c r="H1140" s="66" t="n"/>
      <c r="I1140" s="68" t="n"/>
      <c r="J1140" s="73" t="n"/>
      <c r="K1140" s="71" t="n"/>
      <c r="L1140" s="71" t="n"/>
      <c r="M1140" s="66" t="n"/>
      <c r="N1140" s="80" t="n"/>
      <c r="O1140" s="81" t="str">
        <f>IF(A1140="","",ROUND(V1140*IFERROR(N(INDEX(tech_rate,MATCH(M1140,tech_name,0))),0),2))</f>
        <v/>
      </c>
      <c r="P1140" s="80" t="n"/>
      <c r="Q1140" s="81" t="str">
        <f>IF(A1140="","",ROUND(Y1140+O1140+Z1140,2))</f>
        <v/>
      </c>
      <c r="R1140" s="79" t="str">
        <f>IF(A1140="","",IF(S1140=0,"Date manquante ou invalide",IF(C1140="","Équipement manquant",IF(ISNA(MATCH(C1140,eq_code,0)),"Équipement inconnu",IF(E1140="","Type manquant",IF(AND(E1140&lt;&gt;"Préventif",E1140&lt;&gt;"Correctif",E1140&lt;&gt;"Amélioratif"),"Type inconnu",IF(I1140="","Statut manquant",IF(AND(I1140&lt;&gt;"Terminée",I1140&lt;&gt;"En cours",I1140&lt;&gt;"À faire",I1140&lt;&gt;"Annulée"),"Statut inconnu",IF(AND(E1140="Préventif",F1140=""),"Plan manquant (préventif)",IF(AND(F1140&lt;&gt;"",ISNA(MATCH(F1140,pl_num,0))),"Plan inconnu",IF(AND(F1140&lt;&gt;"",IFERROR(INDEX(pl_eq,MATCH(F1140,pl_num,0))&amp;"",C1140)&lt;&gt;C1140),"Plan d'un autre équipement",IF(AND(J1140&lt;&gt;"",OR(NOT(ISNUMBER(J1140)),N(J1140)&lt;0)),"Compteur invalide",IF(OR(AND(K1140&lt;&gt;"",OR(NOT(ISNUMBER(K1140)),N(K1140)&lt;0)),AND(L1140&lt;&gt;"",OR(NOT(ISNUMBER(L1140)),N(L1140)&lt;0))),"Durée invalide",IF(OR(AND(N1140&lt;&gt;"",OR(NOT(ISNUMBER(N1140)),N(N1140)&lt;0)),AND(P1140&lt;&gt;"",OR(NOT(ISNUMBER(P1140)),N(P1140)&lt;0))),"Coût invalide",IF(AND(M1140&lt;&gt;"",ISNA(MATCH(M1140,tech_name,0))),"Technicien inconnu",IF(AND(I1140="Terminée",S1140&gt;p_today),"Terminée à une date future",IF(AND(I1140="Terminée",V1140=0),"Durée d'intervention manquante",IF(AND(I1140="Terminée",E1140="Préventif",T1140=0,OR(IFERROR(INDEX(pl_trig,MATCH(F1140,pl_num,0))&amp;"","")="Compteur",IFERROR(INDEX(pl_trig,MATCH(F1140,pl_num,0))&amp;"","")="Au premier des deux")),"Compteur manquant (plan au compteur)","OK"))))))))))))))))))</f>
        <v/>
      </c>
      <c r="S1140" s="67">
        <f>IF(AND(ISNUMBER(B1140),N(B1140)&gt;0),INT(B1140),0)</f>
        <v>0.0</v>
      </c>
      <c r="T1140" s="67">
        <f>IF(AND(ISNUMBER(J1140),N(J1140)&gt;=0),N(J1140),0)</f>
        <v>0.0</v>
      </c>
      <c r="U1140" s="67">
        <f>IF(AND(ISNUMBER(K1140),N(K1140)&gt;0),N(K1140),0)</f>
        <v>0.0</v>
      </c>
      <c r="V1140" s="67">
        <f>IF(AND(ISNUMBER(L1140),N(L1140)&gt;0),N(L1140),0)</f>
        <v>0.0</v>
      </c>
      <c r="W1140" s="67">
        <f>IF(AND(I1140="Terminée",S1140&gt;0,C1140&lt;&gt;"",ISNUMBER(MATCH(C1140,eq_code,0))),1,0)</f>
        <v>0.0</v>
      </c>
      <c r="X1140" s="67">
        <f>IF(AND(W1140=1,E1140="Préventif"),1,0)</f>
        <v>0.0</v>
      </c>
      <c r="Y1140" s="67">
        <f>IF(AND(ISNUMBER(N1140),N(N1140)&gt;0),N(N1140),0)</f>
        <v>0.0</v>
      </c>
      <c r="Z1140" s="67">
        <f>IF(AND(ISNUMBER(P1140),N(P1140)&gt;0),N(P1140),0)</f>
        <v>0.0</v>
      </c>
    </row>
    <row r="1141">
      <c r="A1141" s="79" t="str">
        <f>IF(COUNTA(B1141:C1141,E1141:G1141,I1141)=0,"","BI-"&amp;RIGHT("0000"&amp;(ROW()-5),4))</f>
        <v/>
      </c>
      <c r="B1141" s="72" t="n"/>
      <c r="C1141" s="66" t="n"/>
      <c r="D1141" s="67" t="str">
        <f>IF(C1141="","",IFERROR(INDEX(eq_des,MATCH(C1141,eq_code,0))&amp;"","Équipement inconnu"))</f>
        <v/>
      </c>
      <c r="E1141" s="68" t="n"/>
      <c r="F1141" s="68" t="n"/>
      <c r="G1141" s="66" t="n"/>
      <c r="H1141" s="66" t="n"/>
      <c r="I1141" s="68" t="n"/>
      <c r="J1141" s="73" t="n"/>
      <c r="K1141" s="71" t="n"/>
      <c r="L1141" s="71" t="n"/>
      <c r="M1141" s="66" t="n"/>
      <c r="N1141" s="80" t="n"/>
      <c r="O1141" s="81" t="str">
        <f>IF(A1141="","",ROUND(V1141*IFERROR(N(INDEX(tech_rate,MATCH(M1141,tech_name,0))),0),2))</f>
        <v/>
      </c>
      <c r="P1141" s="80" t="n"/>
      <c r="Q1141" s="81" t="str">
        <f>IF(A1141="","",ROUND(Y1141+O1141+Z1141,2))</f>
        <v/>
      </c>
      <c r="R1141" s="79" t="str">
        <f>IF(A1141="","",IF(S1141=0,"Date manquante ou invalide",IF(C1141="","Équipement manquant",IF(ISNA(MATCH(C1141,eq_code,0)),"Équipement inconnu",IF(E1141="","Type manquant",IF(AND(E1141&lt;&gt;"Préventif",E1141&lt;&gt;"Correctif",E1141&lt;&gt;"Amélioratif"),"Type inconnu",IF(I1141="","Statut manquant",IF(AND(I1141&lt;&gt;"Terminée",I1141&lt;&gt;"En cours",I1141&lt;&gt;"À faire",I1141&lt;&gt;"Annulée"),"Statut inconnu",IF(AND(E1141="Préventif",F1141=""),"Plan manquant (préventif)",IF(AND(F1141&lt;&gt;"",ISNA(MATCH(F1141,pl_num,0))),"Plan inconnu",IF(AND(F1141&lt;&gt;"",IFERROR(INDEX(pl_eq,MATCH(F1141,pl_num,0))&amp;"",C1141)&lt;&gt;C1141),"Plan d'un autre équipement",IF(AND(J1141&lt;&gt;"",OR(NOT(ISNUMBER(J1141)),N(J1141)&lt;0)),"Compteur invalide",IF(OR(AND(K1141&lt;&gt;"",OR(NOT(ISNUMBER(K1141)),N(K1141)&lt;0)),AND(L1141&lt;&gt;"",OR(NOT(ISNUMBER(L1141)),N(L1141)&lt;0))),"Durée invalide",IF(OR(AND(N1141&lt;&gt;"",OR(NOT(ISNUMBER(N1141)),N(N1141)&lt;0)),AND(P1141&lt;&gt;"",OR(NOT(ISNUMBER(P1141)),N(P1141)&lt;0))),"Coût invalide",IF(AND(M1141&lt;&gt;"",ISNA(MATCH(M1141,tech_name,0))),"Technicien inconnu",IF(AND(I1141="Terminée",S1141&gt;p_today),"Terminée à une date future",IF(AND(I1141="Terminée",V1141=0),"Durée d'intervention manquante",IF(AND(I1141="Terminée",E1141="Préventif",T1141=0,OR(IFERROR(INDEX(pl_trig,MATCH(F1141,pl_num,0))&amp;"","")="Compteur",IFERROR(INDEX(pl_trig,MATCH(F1141,pl_num,0))&amp;"","")="Au premier des deux")),"Compteur manquant (plan au compteur)","OK"))))))))))))))))))</f>
        <v/>
      </c>
      <c r="S1141" s="67">
        <f>IF(AND(ISNUMBER(B1141),N(B1141)&gt;0),INT(B1141),0)</f>
        <v>0.0</v>
      </c>
      <c r="T1141" s="67">
        <f>IF(AND(ISNUMBER(J1141),N(J1141)&gt;=0),N(J1141),0)</f>
        <v>0.0</v>
      </c>
      <c r="U1141" s="67">
        <f>IF(AND(ISNUMBER(K1141),N(K1141)&gt;0),N(K1141),0)</f>
        <v>0.0</v>
      </c>
      <c r="V1141" s="67">
        <f>IF(AND(ISNUMBER(L1141),N(L1141)&gt;0),N(L1141),0)</f>
        <v>0.0</v>
      </c>
      <c r="W1141" s="67">
        <f>IF(AND(I1141="Terminée",S1141&gt;0,C1141&lt;&gt;"",ISNUMBER(MATCH(C1141,eq_code,0))),1,0)</f>
        <v>0.0</v>
      </c>
      <c r="X1141" s="67">
        <f>IF(AND(W1141=1,E1141="Préventif"),1,0)</f>
        <v>0.0</v>
      </c>
      <c r="Y1141" s="67">
        <f>IF(AND(ISNUMBER(N1141),N(N1141)&gt;0),N(N1141),0)</f>
        <v>0.0</v>
      </c>
      <c r="Z1141" s="67">
        <f>IF(AND(ISNUMBER(P1141),N(P1141)&gt;0),N(P1141),0)</f>
        <v>0.0</v>
      </c>
    </row>
    <row r="1142">
      <c r="A1142" s="79" t="str">
        <f>IF(COUNTA(B1142:C1142,E1142:G1142,I1142)=0,"","BI-"&amp;RIGHT("0000"&amp;(ROW()-5),4))</f>
        <v/>
      </c>
      <c r="B1142" s="72" t="n"/>
      <c r="C1142" s="66" t="n"/>
      <c r="D1142" s="67" t="str">
        <f>IF(C1142="","",IFERROR(INDEX(eq_des,MATCH(C1142,eq_code,0))&amp;"","Équipement inconnu"))</f>
        <v/>
      </c>
      <c r="E1142" s="68" t="n"/>
      <c r="F1142" s="68" t="n"/>
      <c r="G1142" s="66" t="n"/>
      <c r="H1142" s="66" t="n"/>
      <c r="I1142" s="68" t="n"/>
      <c r="J1142" s="73" t="n"/>
      <c r="K1142" s="71" t="n"/>
      <c r="L1142" s="71" t="n"/>
      <c r="M1142" s="66" t="n"/>
      <c r="N1142" s="80" t="n"/>
      <c r="O1142" s="81" t="str">
        <f>IF(A1142="","",ROUND(V1142*IFERROR(N(INDEX(tech_rate,MATCH(M1142,tech_name,0))),0),2))</f>
        <v/>
      </c>
      <c r="P1142" s="80" t="n"/>
      <c r="Q1142" s="81" t="str">
        <f>IF(A1142="","",ROUND(Y1142+O1142+Z1142,2))</f>
        <v/>
      </c>
      <c r="R1142" s="79" t="str">
        <f>IF(A1142="","",IF(S1142=0,"Date manquante ou invalide",IF(C1142="","Équipement manquant",IF(ISNA(MATCH(C1142,eq_code,0)),"Équipement inconnu",IF(E1142="","Type manquant",IF(AND(E1142&lt;&gt;"Préventif",E1142&lt;&gt;"Correctif",E1142&lt;&gt;"Amélioratif"),"Type inconnu",IF(I1142="","Statut manquant",IF(AND(I1142&lt;&gt;"Terminée",I1142&lt;&gt;"En cours",I1142&lt;&gt;"À faire",I1142&lt;&gt;"Annulée"),"Statut inconnu",IF(AND(E1142="Préventif",F1142=""),"Plan manquant (préventif)",IF(AND(F1142&lt;&gt;"",ISNA(MATCH(F1142,pl_num,0))),"Plan inconnu",IF(AND(F1142&lt;&gt;"",IFERROR(INDEX(pl_eq,MATCH(F1142,pl_num,0))&amp;"",C1142)&lt;&gt;C1142),"Plan d'un autre équipement",IF(AND(J1142&lt;&gt;"",OR(NOT(ISNUMBER(J1142)),N(J1142)&lt;0)),"Compteur invalide",IF(OR(AND(K1142&lt;&gt;"",OR(NOT(ISNUMBER(K1142)),N(K1142)&lt;0)),AND(L1142&lt;&gt;"",OR(NOT(ISNUMBER(L1142)),N(L1142)&lt;0))),"Durée invalide",IF(OR(AND(N1142&lt;&gt;"",OR(NOT(ISNUMBER(N1142)),N(N1142)&lt;0)),AND(P1142&lt;&gt;"",OR(NOT(ISNUMBER(P1142)),N(P1142)&lt;0))),"Coût invalide",IF(AND(M1142&lt;&gt;"",ISNA(MATCH(M1142,tech_name,0))),"Technicien inconnu",IF(AND(I1142="Terminée",S1142&gt;p_today),"Terminée à une date future",IF(AND(I1142="Terminée",V1142=0),"Durée d'intervention manquante",IF(AND(I1142="Terminée",E1142="Préventif",T1142=0,OR(IFERROR(INDEX(pl_trig,MATCH(F1142,pl_num,0))&amp;"","")="Compteur",IFERROR(INDEX(pl_trig,MATCH(F1142,pl_num,0))&amp;"","")="Au premier des deux")),"Compteur manquant (plan au compteur)","OK"))))))))))))))))))</f>
        <v/>
      </c>
      <c r="S1142" s="67">
        <f>IF(AND(ISNUMBER(B1142),N(B1142)&gt;0),INT(B1142),0)</f>
        <v>0.0</v>
      </c>
      <c r="T1142" s="67">
        <f>IF(AND(ISNUMBER(J1142),N(J1142)&gt;=0),N(J1142),0)</f>
        <v>0.0</v>
      </c>
      <c r="U1142" s="67">
        <f>IF(AND(ISNUMBER(K1142),N(K1142)&gt;0),N(K1142),0)</f>
        <v>0.0</v>
      </c>
      <c r="V1142" s="67">
        <f>IF(AND(ISNUMBER(L1142),N(L1142)&gt;0),N(L1142),0)</f>
        <v>0.0</v>
      </c>
      <c r="W1142" s="67">
        <f>IF(AND(I1142="Terminée",S1142&gt;0,C1142&lt;&gt;"",ISNUMBER(MATCH(C1142,eq_code,0))),1,0)</f>
        <v>0.0</v>
      </c>
      <c r="X1142" s="67">
        <f>IF(AND(W1142=1,E1142="Préventif"),1,0)</f>
        <v>0.0</v>
      </c>
      <c r="Y1142" s="67">
        <f>IF(AND(ISNUMBER(N1142),N(N1142)&gt;0),N(N1142),0)</f>
        <v>0.0</v>
      </c>
      <c r="Z1142" s="67">
        <f>IF(AND(ISNUMBER(P1142),N(P1142)&gt;0),N(P1142),0)</f>
        <v>0.0</v>
      </c>
    </row>
    <row r="1143">
      <c r="A1143" s="79" t="str">
        <f>IF(COUNTA(B1143:C1143,E1143:G1143,I1143)=0,"","BI-"&amp;RIGHT("0000"&amp;(ROW()-5),4))</f>
        <v/>
      </c>
      <c r="B1143" s="72" t="n"/>
      <c r="C1143" s="66" t="n"/>
      <c r="D1143" s="67" t="str">
        <f>IF(C1143="","",IFERROR(INDEX(eq_des,MATCH(C1143,eq_code,0))&amp;"","Équipement inconnu"))</f>
        <v/>
      </c>
      <c r="E1143" s="68" t="n"/>
      <c r="F1143" s="68" t="n"/>
      <c r="G1143" s="66" t="n"/>
      <c r="H1143" s="66" t="n"/>
      <c r="I1143" s="68" t="n"/>
      <c r="J1143" s="73" t="n"/>
      <c r="K1143" s="71" t="n"/>
      <c r="L1143" s="71" t="n"/>
      <c r="M1143" s="66" t="n"/>
      <c r="N1143" s="80" t="n"/>
      <c r="O1143" s="81" t="str">
        <f>IF(A1143="","",ROUND(V1143*IFERROR(N(INDEX(tech_rate,MATCH(M1143,tech_name,0))),0),2))</f>
        <v/>
      </c>
      <c r="P1143" s="80" t="n"/>
      <c r="Q1143" s="81" t="str">
        <f>IF(A1143="","",ROUND(Y1143+O1143+Z1143,2))</f>
        <v/>
      </c>
      <c r="R1143" s="79" t="str">
        <f>IF(A1143="","",IF(S1143=0,"Date manquante ou invalide",IF(C1143="","Équipement manquant",IF(ISNA(MATCH(C1143,eq_code,0)),"Équipement inconnu",IF(E1143="","Type manquant",IF(AND(E1143&lt;&gt;"Préventif",E1143&lt;&gt;"Correctif",E1143&lt;&gt;"Amélioratif"),"Type inconnu",IF(I1143="","Statut manquant",IF(AND(I1143&lt;&gt;"Terminée",I1143&lt;&gt;"En cours",I1143&lt;&gt;"À faire",I1143&lt;&gt;"Annulée"),"Statut inconnu",IF(AND(E1143="Préventif",F1143=""),"Plan manquant (préventif)",IF(AND(F1143&lt;&gt;"",ISNA(MATCH(F1143,pl_num,0))),"Plan inconnu",IF(AND(F1143&lt;&gt;"",IFERROR(INDEX(pl_eq,MATCH(F1143,pl_num,0))&amp;"",C1143)&lt;&gt;C1143),"Plan d'un autre équipement",IF(AND(J1143&lt;&gt;"",OR(NOT(ISNUMBER(J1143)),N(J1143)&lt;0)),"Compteur invalide",IF(OR(AND(K1143&lt;&gt;"",OR(NOT(ISNUMBER(K1143)),N(K1143)&lt;0)),AND(L1143&lt;&gt;"",OR(NOT(ISNUMBER(L1143)),N(L1143)&lt;0))),"Durée invalide",IF(OR(AND(N1143&lt;&gt;"",OR(NOT(ISNUMBER(N1143)),N(N1143)&lt;0)),AND(P1143&lt;&gt;"",OR(NOT(ISNUMBER(P1143)),N(P1143)&lt;0))),"Coût invalide",IF(AND(M1143&lt;&gt;"",ISNA(MATCH(M1143,tech_name,0))),"Technicien inconnu",IF(AND(I1143="Terminée",S1143&gt;p_today),"Terminée à une date future",IF(AND(I1143="Terminée",V1143=0),"Durée d'intervention manquante",IF(AND(I1143="Terminée",E1143="Préventif",T1143=0,OR(IFERROR(INDEX(pl_trig,MATCH(F1143,pl_num,0))&amp;"","")="Compteur",IFERROR(INDEX(pl_trig,MATCH(F1143,pl_num,0))&amp;"","")="Au premier des deux")),"Compteur manquant (plan au compteur)","OK"))))))))))))))))))</f>
        <v/>
      </c>
      <c r="S1143" s="67">
        <f>IF(AND(ISNUMBER(B1143),N(B1143)&gt;0),INT(B1143),0)</f>
        <v>0.0</v>
      </c>
      <c r="T1143" s="67">
        <f>IF(AND(ISNUMBER(J1143),N(J1143)&gt;=0),N(J1143),0)</f>
        <v>0.0</v>
      </c>
      <c r="U1143" s="67">
        <f>IF(AND(ISNUMBER(K1143),N(K1143)&gt;0),N(K1143),0)</f>
        <v>0.0</v>
      </c>
      <c r="V1143" s="67">
        <f>IF(AND(ISNUMBER(L1143),N(L1143)&gt;0),N(L1143),0)</f>
        <v>0.0</v>
      </c>
      <c r="W1143" s="67">
        <f>IF(AND(I1143="Terminée",S1143&gt;0,C1143&lt;&gt;"",ISNUMBER(MATCH(C1143,eq_code,0))),1,0)</f>
        <v>0.0</v>
      </c>
      <c r="X1143" s="67">
        <f>IF(AND(W1143=1,E1143="Préventif"),1,0)</f>
        <v>0.0</v>
      </c>
      <c r="Y1143" s="67">
        <f>IF(AND(ISNUMBER(N1143),N(N1143)&gt;0),N(N1143),0)</f>
        <v>0.0</v>
      </c>
      <c r="Z1143" s="67">
        <f>IF(AND(ISNUMBER(P1143),N(P1143)&gt;0),N(P1143),0)</f>
        <v>0.0</v>
      </c>
    </row>
    <row r="1144">
      <c r="A1144" s="79" t="str">
        <f>IF(COUNTA(B1144:C1144,E1144:G1144,I1144)=0,"","BI-"&amp;RIGHT("0000"&amp;(ROW()-5),4))</f>
        <v/>
      </c>
      <c r="B1144" s="72" t="n"/>
      <c r="C1144" s="66" t="n"/>
      <c r="D1144" s="67" t="str">
        <f>IF(C1144="","",IFERROR(INDEX(eq_des,MATCH(C1144,eq_code,0))&amp;"","Équipement inconnu"))</f>
        <v/>
      </c>
      <c r="E1144" s="68" t="n"/>
      <c r="F1144" s="68" t="n"/>
      <c r="G1144" s="66" t="n"/>
      <c r="H1144" s="66" t="n"/>
      <c r="I1144" s="68" t="n"/>
      <c r="J1144" s="73" t="n"/>
      <c r="K1144" s="71" t="n"/>
      <c r="L1144" s="71" t="n"/>
      <c r="M1144" s="66" t="n"/>
      <c r="N1144" s="80" t="n"/>
      <c r="O1144" s="81" t="str">
        <f>IF(A1144="","",ROUND(V1144*IFERROR(N(INDEX(tech_rate,MATCH(M1144,tech_name,0))),0),2))</f>
        <v/>
      </c>
      <c r="P1144" s="80" t="n"/>
      <c r="Q1144" s="81" t="str">
        <f>IF(A1144="","",ROUND(Y1144+O1144+Z1144,2))</f>
        <v/>
      </c>
      <c r="R1144" s="79" t="str">
        <f>IF(A1144="","",IF(S1144=0,"Date manquante ou invalide",IF(C1144="","Équipement manquant",IF(ISNA(MATCH(C1144,eq_code,0)),"Équipement inconnu",IF(E1144="","Type manquant",IF(AND(E1144&lt;&gt;"Préventif",E1144&lt;&gt;"Correctif",E1144&lt;&gt;"Amélioratif"),"Type inconnu",IF(I1144="","Statut manquant",IF(AND(I1144&lt;&gt;"Terminée",I1144&lt;&gt;"En cours",I1144&lt;&gt;"À faire",I1144&lt;&gt;"Annulée"),"Statut inconnu",IF(AND(E1144="Préventif",F1144=""),"Plan manquant (préventif)",IF(AND(F1144&lt;&gt;"",ISNA(MATCH(F1144,pl_num,0))),"Plan inconnu",IF(AND(F1144&lt;&gt;"",IFERROR(INDEX(pl_eq,MATCH(F1144,pl_num,0))&amp;"",C1144)&lt;&gt;C1144),"Plan d'un autre équipement",IF(AND(J1144&lt;&gt;"",OR(NOT(ISNUMBER(J1144)),N(J1144)&lt;0)),"Compteur invalide",IF(OR(AND(K1144&lt;&gt;"",OR(NOT(ISNUMBER(K1144)),N(K1144)&lt;0)),AND(L1144&lt;&gt;"",OR(NOT(ISNUMBER(L1144)),N(L1144)&lt;0))),"Durée invalide",IF(OR(AND(N1144&lt;&gt;"",OR(NOT(ISNUMBER(N1144)),N(N1144)&lt;0)),AND(P1144&lt;&gt;"",OR(NOT(ISNUMBER(P1144)),N(P1144)&lt;0))),"Coût invalide",IF(AND(M1144&lt;&gt;"",ISNA(MATCH(M1144,tech_name,0))),"Technicien inconnu",IF(AND(I1144="Terminée",S1144&gt;p_today),"Terminée à une date future",IF(AND(I1144="Terminée",V1144=0),"Durée d'intervention manquante",IF(AND(I1144="Terminée",E1144="Préventif",T1144=0,OR(IFERROR(INDEX(pl_trig,MATCH(F1144,pl_num,0))&amp;"","")="Compteur",IFERROR(INDEX(pl_trig,MATCH(F1144,pl_num,0))&amp;"","")="Au premier des deux")),"Compteur manquant (plan au compteur)","OK"))))))))))))))))))</f>
        <v/>
      </c>
      <c r="S1144" s="67">
        <f>IF(AND(ISNUMBER(B1144),N(B1144)&gt;0),INT(B1144),0)</f>
        <v>0.0</v>
      </c>
      <c r="T1144" s="67">
        <f>IF(AND(ISNUMBER(J1144),N(J1144)&gt;=0),N(J1144),0)</f>
        <v>0.0</v>
      </c>
      <c r="U1144" s="67">
        <f>IF(AND(ISNUMBER(K1144),N(K1144)&gt;0),N(K1144),0)</f>
        <v>0.0</v>
      </c>
      <c r="V1144" s="67">
        <f>IF(AND(ISNUMBER(L1144),N(L1144)&gt;0),N(L1144),0)</f>
        <v>0.0</v>
      </c>
      <c r="W1144" s="67">
        <f>IF(AND(I1144="Terminée",S1144&gt;0,C1144&lt;&gt;"",ISNUMBER(MATCH(C1144,eq_code,0))),1,0)</f>
        <v>0.0</v>
      </c>
      <c r="X1144" s="67">
        <f>IF(AND(W1144=1,E1144="Préventif"),1,0)</f>
        <v>0.0</v>
      </c>
      <c r="Y1144" s="67">
        <f>IF(AND(ISNUMBER(N1144),N(N1144)&gt;0),N(N1144),0)</f>
        <v>0.0</v>
      </c>
      <c r="Z1144" s="67">
        <f>IF(AND(ISNUMBER(P1144),N(P1144)&gt;0),N(P1144),0)</f>
        <v>0.0</v>
      </c>
    </row>
    <row r="1145">
      <c r="A1145" s="79" t="str">
        <f>IF(COUNTA(B1145:C1145,E1145:G1145,I1145)=0,"","BI-"&amp;RIGHT("0000"&amp;(ROW()-5),4))</f>
        <v/>
      </c>
      <c r="B1145" s="72" t="n"/>
      <c r="C1145" s="66" t="n"/>
      <c r="D1145" s="67" t="str">
        <f>IF(C1145="","",IFERROR(INDEX(eq_des,MATCH(C1145,eq_code,0))&amp;"","Équipement inconnu"))</f>
        <v/>
      </c>
      <c r="E1145" s="68" t="n"/>
      <c r="F1145" s="68" t="n"/>
      <c r="G1145" s="66" t="n"/>
      <c r="H1145" s="66" t="n"/>
      <c r="I1145" s="68" t="n"/>
      <c r="J1145" s="73" t="n"/>
      <c r="K1145" s="71" t="n"/>
      <c r="L1145" s="71" t="n"/>
      <c r="M1145" s="66" t="n"/>
      <c r="N1145" s="80" t="n"/>
      <c r="O1145" s="81" t="str">
        <f>IF(A1145="","",ROUND(V1145*IFERROR(N(INDEX(tech_rate,MATCH(M1145,tech_name,0))),0),2))</f>
        <v/>
      </c>
      <c r="P1145" s="80" t="n"/>
      <c r="Q1145" s="81" t="str">
        <f>IF(A1145="","",ROUND(Y1145+O1145+Z1145,2))</f>
        <v/>
      </c>
      <c r="R1145" s="79" t="str">
        <f>IF(A1145="","",IF(S1145=0,"Date manquante ou invalide",IF(C1145="","Équipement manquant",IF(ISNA(MATCH(C1145,eq_code,0)),"Équipement inconnu",IF(E1145="","Type manquant",IF(AND(E1145&lt;&gt;"Préventif",E1145&lt;&gt;"Correctif",E1145&lt;&gt;"Amélioratif"),"Type inconnu",IF(I1145="","Statut manquant",IF(AND(I1145&lt;&gt;"Terminée",I1145&lt;&gt;"En cours",I1145&lt;&gt;"À faire",I1145&lt;&gt;"Annulée"),"Statut inconnu",IF(AND(E1145="Préventif",F1145=""),"Plan manquant (préventif)",IF(AND(F1145&lt;&gt;"",ISNA(MATCH(F1145,pl_num,0))),"Plan inconnu",IF(AND(F1145&lt;&gt;"",IFERROR(INDEX(pl_eq,MATCH(F1145,pl_num,0))&amp;"",C1145)&lt;&gt;C1145),"Plan d'un autre équipement",IF(AND(J1145&lt;&gt;"",OR(NOT(ISNUMBER(J1145)),N(J1145)&lt;0)),"Compteur invalide",IF(OR(AND(K1145&lt;&gt;"",OR(NOT(ISNUMBER(K1145)),N(K1145)&lt;0)),AND(L1145&lt;&gt;"",OR(NOT(ISNUMBER(L1145)),N(L1145)&lt;0))),"Durée invalide",IF(OR(AND(N1145&lt;&gt;"",OR(NOT(ISNUMBER(N1145)),N(N1145)&lt;0)),AND(P1145&lt;&gt;"",OR(NOT(ISNUMBER(P1145)),N(P1145)&lt;0))),"Coût invalide",IF(AND(M1145&lt;&gt;"",ISNA(MATCH(M1145,tech_name,0))),"Technicien inconnu",IF(AND(I1145="Terminée",S1145&gt;p_today),"Terminée à une date future",IF(AND(I1145="Terminée",V1145=0),"Durée d'intervention manquante",IF(AND(I1145="Terminée",E1145="Préventif",T1145=0,OR(IFERROR(INDEX(pl_trig,MATCH(F1145,pl_num,0))&amp;"","")="Compteur",IFERROR(INDEX(pl_trig,MATCH(F1145,pl_num,0))&amp;"","")="Au premier des deux")),"Compteur manquant (plan au compteur)","OK"))))))))))))))))))</f>
        <v/>
      </c>
      <c r="S1145" s="67">
        <f>IF(AND(ISNUMBER(B1145),N(B1145)&gt;0),INT(B1145),0)</f>
        <v>0.0</v>
      </c>
      <c r="T1145" s="67">
        <f>IF(AND(ISNUMBER(J1145),N(J1145)&gt;=0),N(J1145),0)</f>
        <v>0.0</v>
      </c>
      <c r="U1145" s="67">
        <f>IF(AND(ISNUMBER(K1145),N(K1145)&gt;0),N(K1145),0)</f>
        <v>0.0</v>
      </c>
      <c r="V1145" s="67">
        <f>IF(AND(ISNUMBER(L1145),N(L1145)&gt;0),N(L1145),0)</f>
        <v>0.0</v>
      </c>
      <c r="W1145" s="67">
        <f>IF(AND(I1145="Terminée",S1145&gt;0,C1145&lt;&gt;"",ISNUMBER(MATCH(C1145,eq_code,0))),1,0)</f>
        <v>0.0</v>
      </c>
      <c r="X1145" s="67">
        <f>IF(AND(W1145=1,E1145="Préventif"),1,0)</f>
        <v>0.0</v>
      </c>
      <c r="Y1145" s="67">
        <f>IF(AND(ISNUMBER(N1145),N(N1145)&gt;0),N(N1145),0)</f>
        <v>0.0</v>
      </c>
      <c r="Z1145" s="67">
        <f>IF(AND(ISNUMBER(P1145),N(P1145)&gt;0),N(P1145),0)</f>
        <v>0.0</v>
      </c>
    </row>
    <row r="1146">
      <c r="A1146" s="79" t="str">
        <f>IF(COUNTA(B1146:C1146,E1146:G1146,I1146)=0,"","BI-"&amp;RIGHT("0000"&amp;(ROW()-5),4))</f>
        <v/>
      </c>
      <c r="B1146" s="72" t="n"/>
      <c r="C1146" s="66" t="n"/>
      <c r="D1146" s="67" t="str">
        <f>IF(C1146="","",IFERROR(INDEX(eq_des,MATCH(C1146,eq_code,0))&amp;"","Équipement inconnu"))</f>
        <v/>
      </c>
      <c r="E1146" s="68" t="n"/>
      <c r="F1146" s="68" t="n"/>
      <c r="G1146" s="66" t="n"/>
      <c r="H1146" s="66" t="n"/>
      <c r="I1146" s="68" t="n"/>
      <c r="J1146" s="73" t="n"/>
      <c r="K1146" s="71" t="n"/>
      <c r="L1146" s="71" t="n"/>
      <c r="M1146" s="66" t="n"/>
      <c r="N1146" s="80" t="n"/>
      <c r="O1146" s="81" t="str">
        <f>IF(A1146="","",ROUND(V1146*IFERROR(N(INDEX(tech_rate,MATCH(M1146,tech_name,0))),0),2))</f>
        <v/>
      </c>
      <c r="P1146" s="80" t="n"/>
      <c r="Q1146" s="81" t="str">
        <f>IF(A1146="","",ROUND(Y1146+O1146+Z1146,2))</f>
        <v/>
      </c>
      <c r="R1146" s="79" t="str">
        <f>IF(A1146="","",IF(S1146=0,"Date manquante ou invalide",IF(C1146="","Équipement manquant",IF(ISNA(MATCH(C1146,eq_code,0)),"Équipement inconnu",IF(E1146="","Type manquant",IF(AND(E1146&lt;&gt;"Préventif",E1146&lt;&gt;"Correctif",E1146&lt;&gt;"Amélioratif"),"Type inconnu",IF(I1146="","Statut manquant",IF(AND(I1146&lt;&gt;"Terminée",I1146&lt;&gt;"En cours",I1146&lt;&gt;"À faire",I1146&lt;&gt;"Annulée"),"Statut inconnu",IF(AND(E1146="Préventif",F1146=""),"Plan manquant (préventif)",IF(AND(F1146&lt;&gt;"",ISNA(MATCH(F1146,pl_num,0))),"Plan inconnu",IF(AND(F1146&lt;&gt;"",IFERROR(INDEX(pl_eq,MATCH(F1146,pl_num,0))&amp;"",C1146)&lt;&gt;C1146),"Plan d'un autre équipement",IF(AND(J1146&lt;&gt;"",OR(NOT(ISNUMBER(J1146)),N(J1146)&lt;0)),"Compteur invalide",IF(OR(AND(K1146&lt;&gt;"",OR(NOT(ISNUMBER(K1146)),N(K1146)&lt;0)),AND(L1146&lt;&gt;"",OR(NOT(ISNUMBER(L1146)),N(L1146)&lt;0))),"Durée invalide",IF(OR(AND(N1146&lt;&gt;"",OR(NOT(ISNUMBER(N1146)),N(N1146)&lt;0)),AND(P1146&lt;&gt;"",OR(NOT(ISNUMBER(P1146)),N(P1146)&lt;0))),"Coût invalide",IF(AND(M1146&lt;&gt;"",ISNA(MATCH(M1146,tech_name,0))),"Technicien inconnu",IF(AND(I1146="Terminée",S1146&gt;p_today),"Terminée à une date future",IF(AND(I1146="Terminée",V1146=0),"Durée d'intervention manquante",IF(AND(I1146="Terminée",E1146="Préventif",T1146=0,OR(IFERROR(INDEX(pl_trig,MATCH(F1146,pl_num,0))&amp;"","")="Compteur",IFERROR(INDEX(pl_trig,MATCH(F1146,pl_num,0))&amp;"","")="Au premier des deux")),"Compteur manquant (plan au compteur)","OK"))))))))))))))))))</f>
        <v/>
      </c>
      <c r="S1146" s="67">
        <f>IF(AND(ISNUMBER(B1146),N(B1146)&gt;0),INT(B1146),0)</f>
        <v>0.0</v>
      </c>
      <c r="T1146" s="67">
        <f>IF(AND(ISNUMBER(J1146),N(J1146)&gt;=0),N(J1146),0)</f>
        <v>0.0</v>
      </c>
      <c r="U1146" s="67">
        <f>IF(AND(ISNUMBER(K1146),N(K1146)&gt;0),N(K1146),0)</f>
        <v>0.0</v>
      </c>
      <c r="V1146" s="67">
        <f>IF(AND(ISNUMBER(L1146),N(L1146)&gt;0),N(L1146),0)</f>
        <v>0.0</v>
      </c>
      <c r="W1146" s="67">
        <f>IF(AND(I1146="Terminée",S1146&gt;0,C1146&lt;&gt;"",ISNUMBER(MATCH(C1146,eq_code,0))),1,0)</f>
        <v>0.0</v>
      </c>
      <c r="X1146" s="67">
        <f>IF(AND(W1146=1,E1146="Préventif"),1,0)</f>
        <v>0.0</v>
      </c>
      <c r="Y1146" s="67">
        <f>IF(AND(ISNUMBER(N1146),N(N1146)&gt;0),N(N1146),0)</f>
        <v>0.0</v>
      </c>
      <c r="Z1146" s="67">
        <f>IF(AND(ISNUMBER(P1146),N(P1146)&gt;0),N(P1146),0)</f>
        <v>0.0</v>
      </c>
    </row>
    <row r="1147">
      <c r="A1147" s="79" t="str">
        <f>IF(COUNTA(B1147:C1147,E1147:G1147,I1147)=0,"","BI-"&amp;RIGHT("0000"&amp;(ROW()-5),4))</f>
        <v/>
      </c>
      <c r="B1147" s="72" t="n"/>
      <c r="C1147" s="66" t="n"/>
      <c r="D1147" s="67" t="str">
        <f>IF(C1147="","",IFERROR(INDEX(eq_des,MATCH(C1147,eq_code,0))&amp;"","Équipement inconnu"))</f>
        <v/>
      </c>
      <c r="E1147" s="68" t="n"/>
      <c r="F1147" s="68" t="n"/>
      <c r="G1147" s="66" t="n"/>
      <c r="H1147" s="66" t="n"/>
      <c r="I1147" s="68" t="n"/>
      <c r="J1147" s="73" t="n"/>
      <c r="K1147" s="71" t="n"/>
      <c r="L1147" s="71" t="n"/>
      <c r="M1147" s="66" t="n"/>
      <c r="N1147" s="80" t="n"/>
      <c r="O1147" s="81" t="str">
        <f>IF(A1147="","",ROUND(V1147*IFERROR(N(INDEX(tech_rate,MATCH(M1147,tech_name,0))),0),2))</f>
        <v/>
      </c>
      <c r="P1147" s="80" t="n"/>
      <c r="Q1147" s="81" t="str">
        <f>IF(A1147="","",ROUND(Y1147+O1147+Z1147,2))</f>
        <v/>
      </c>
      <c r="R1147" s="79" t="str">
        <f>IF(A1147="","",IF(S1147=0,"Date manquante ou invalide",IF(C1147="","Équipement manquant",IF(ISNA(MATCH(C1147,eq_code,0)),"Équipement inconnu",IF(E1147="","Type manquant",IF(AND(E1147&lt;&gt;"Préventif",E1147&lt;&gt;"Correctif",E1147&lt;&gt;"Amélioratif"),"Type inconnu",IF(I1147="","Statut manquant",IF(AND(I1147&lt;&gt;"Terminée",I1147&lt;&gt;"En cours",I1147&lt;&gt;"À faire",I1147&lt;&gt;"Annulée"),"Statut inconnu",IF(AND(E1147="Préventif",F1147=""),"Plan manquant (préventif)",IF(AND(F1147&lt;&gt;"",ISNA(MATCH(F1147,pl_num,0))),"Plan inconnu",IF(AND(F1147&lt;&gt;"",IFERROR(INDEX(pl_eq,MATCH(F1147,pl_num,0))&amp;"",C1147)&lt;&gt;C1147),"Plan d'un autre équipement",IF(AND(J1147&lt;&gt;"",OR(NOT(ISNUMBER(J1147)),N(J1147)&lt;0)),"Compteur invalide",IF(OR(AND(K1147&lt;&gt;"",OR(NOT(ISNUMBER(K1147)),N(K1147)&lt;0)),AND(L1147&lt;&gt;"",OR(NOT(ISNUMBER(L1147)),N(L1147)&lt;0))),"Durée invalide",IF(OR(AND(N1147&lt;&gt;"",OR(NOT(ISNUMBER(N1147)),N(N1147)&lt;0)),AND(P1147&lt;&gt;"",OR(NOT(ISNUMBER(P1147)),N(P1147)&lt;0))),"Coût invalide",IF(AND(M1147&lt;&gt;"",ISNA(MATCH(M1147,tech_name,0))),"Technicien inconnu",IF(AND(I1147="Terminée",S1147&gt;p_today),"Terminée à une date future",IF(AND(I1147="Terminée",V1147=0),"Durée d'intervention manquante",IF(AND(I1147="Terminée",E1147="Préventif",T1147=0,OR(IFERROR(INDEX(pl_trig,MATCH(F1147,pl_num,0))&amp;"","")="Compteur",IFERROR(INDEX(pl_trig,MATCH(F1147,pl_num,0))&amp;"","")="Au premier des deux")),"Compteur manquant (plan au compteur)","OK"))))))))))))))))))</f>
        <v/>
      </c>
      <c r="S1147" s="67">
        <f>IF(AND(ISNUMBER(B1147),N(B1147)&gt;0),INT(B1147),0)</f>
        <v>0.0</v>
      </c>
      <c r="T1147" s="67">
        <f>IF(AND(ISNUMBER(J1147),N(J1147)&gt;=0),N(J1147),0)</f>
        <v>0.0</v>
      </c>
      <c r="U1147" s="67">
        <f>IF(AND(ISNUMBER(K1147),N(K1147)&gt;0),N(K1147),0)</f>
        <v>0.0</v>
      </c>
      <c r="V1147" s="67">
        <f>IF(AND(ISNUMBER(L1147),N(L1147)&gt;0),N(L1147),0)</f>
        <v>0.0</v>
      </c>
      <c r="W1147" s="67">
        <f>IF(AND(I1147="Terminée",S1147&gt;0,C1147&lt;&gt;"",ISNUMBER(MATCH(C1147,eq_code,0))),1,0)</f>
        <v>0.0</v>
      </c>
      <c r="X1147" s="67">
        <f>IF(AND(W1147=1,E1147="Préventif"),1,0)</f>
        <v>0.0</v>
      </c>
      <c r="Y1147" s="67">
        <f>IF(AND(ISNUMBER(N1147),N(N1147)&gt;0),N(N1147),0)</f>
        <v>0.0</v>
      </c>
      <c r="Z1147" s="67">
        <f>IF(AND(ISNUMBER(P1147),N(P1147)&gt;0),N(P1147),0)</f>
        <v>0.0</v>
      </c>
    </row>
    <row r="1148">
      <c r="A1148" s="79" t="str">
        <f>IF(COUNTA(B1148:C1148,E1148:G1148,I1148)=0,"","BI-"&amp;RIGHT("0000"&amp;(ROW()-5),4))</f>
        <v/>
      </c>
      <c r="B1148" s="72" t="n"/>
      <c r="C1148" s="66" t="n"/>
      <c r="D1148" s="67" t="str">
        <f>IF(C1148="","",IFERROR(INDEX(eq_des,MATCH(C1148,eq_code,0))&amp;"","Équipement inconnu"))</f>
        <v/>
      </c>
      <c r="E1148" s="68" t="n"/>
      <c r="F1148" s="68" t="n"/>
      <c r="G1148" s="66" t="n"/>
      <c r="H1148" s="66" t="n"/>
      <c r="I1148" s="68" t="n"/>
      <c r="J1148" s="73" t="n"/>
      <c r="K1148" s="71" t="n"/>
      <c r="L1148" s="71" t="n"/>
      <c r="M1148" s="66" t="n"/>
      <c r="N1148" s="80" t="n"/>
      <c r="O1148" s="81" t="str">
        <f>IF(A1148="","",ROUND(V1148*IFERROR(N(INDEX(tech_rate,MATCH(M1148,tech_name,0))),0),2))</f>
        <v/>
      </c>
      <c r="P1148" s="80" t="n"/>
      <c r="Q1148" s="81" t="str">
        <f>IF(A1148="","",ROUND(Y1148+O1148+Z1148,2))</f>
        <v/>
      </c>
      <c r="R1148" s="79" t="str">
        <f>IF(A1148="","",IF(S1148=0,"Date manquante ou invalide",IF(C1148="","Équipement manquant",IF(ISNA(MATCH(C1148,eq_code,0)),"Équipement inconnu",IF(E1148="","Type manquant",IF(AND(E1148&lt;&gt;"Préventif",E1148&lt;&gt;"Correctif",E1148&lt;&gt;"Amélioratif"),"Type inconnu",IF(I1148="","Statut manquant",IF(AND(I1148&lt;&gt;"Terminée",I1148&lt;&gt;"En cours",I1148&lt;&gt;"À faire",I1148&lt;&gt;"Annulée"),"Statut inconnu",IF(AND(E1148="Préventif",F1148=""),"Plan manquant (préventif)",IF(AND(F1148&lt;&gt;"",ISNA(MATCH(F1148,pl_num,0))),"Plan inconnu",IF(AND(F1148&lt;&gt;"",IFERROR(INDEX(pl_eq,MATCH(F1148,pl_num,0))&amp;"",C1148)&lt;&gt;C1148),"Plan d'un autre équipement",IF(AND(J1148&lt;&gt;"",OR(NOT(ISNUMBER(J1148)),N(J1148)&lt;0)),"Compteur invalide",IF(OR(AND(K1148&lt;&gt;"",OR(NOT(ISNUMBER(K1148)),N(K1148)&lt;0)),AND(L1148&lt;&gt;"",OR(NOT(ISNUMBER(L1148)),N(L1148)&lt;0))),"Durée invalide",IF(OR(AND(N1148&lt;&gt;"",OR(NOT(ISNUMBER(N1148)),N(N1148)&lt;0)),AND(P1148&lt;&gt;"",OR(NOT(ISNUMBER(P1148)),N(P1148)&lt;0))),"Coût invalide",IF(AND(M1148&lt;&gt;"",ISNA(MATCH(M1148,tech_name,0))),"Technicien inconnu",IF(AND(I1148="Terminée",S1148&gt;p_today),"Terminée à une date future",IF(AND(I1148="Terminée",V1148=0),"Durée d'intervention manquante",IF(AND(I1148="Terminée",E1148="Préventif",T1148=0,OR(IFERROR(INDEX(pl_trig,MATCH(F1148,pl_num,0))&amp;"","")="Compteur",IFERROR(INDEX(pl_trig,MATCH(F1148,pl_num,0))&amp;"","")="Au premier des deux")),"Compteur manquant (plan au compteur)","OK"))))))))))))))))))</f>
        <v/>
      </c>
      <c r="S1148" s="67">
        <f>IF(AND(ISNUMBER(B1148),N(B1148)&gt;0),INT(B1148),0)</f>
        <v>0.0</v>
      </c>
      <c r="T1148" s="67">
        <f>IF(AND(ISNUMBER(J1148),N(J1148)&gt;=0),N(J1148),0)</f>
        <v>0.0</v>
      </c>
      <c r="U1148" s="67">
        <f>IF(AND(ISNUMBER(K1148),N(K1148)&gt;0),N(K1148),0)</f>
        <v>0.0</v>
      </c>
      <c r="V1148" s="67">
        <f>IF(AND(ISNUMBER(L1148),N(L1148)&gt;0),N(L1148),0)</f>
        <v>0.0</v>
      </c>
      <c r="W1148" s="67">
        <f>IF(AND(I1148="Terminée",S1148&gt;0,C1148&lt;&gt;"",ISNUMBER(MATCH(C1148,eq_code,0))),1,0)</f>
        <v>0.0</v>
      </c>
      <c r="X1148" s="67">
        <f>IF(AND(W1148=1,E1148="Préventif"),1,0)</f>
        <v>0.0</v>
      </c>
      <c r="Y1148" s="67">
        <f>IF(AND(ISNUMBER(N1148),N(N1148)&gt;0),N(N1148),0)</f>
        <v>0.0</v>
      </c>
      <c r="Z1148" s="67">
        <f>IF(AND(ISNUMBER(P1148),N(P1148)&gt;0),N(P1148),0)</f>
        <v>0.0</v>
      </c>
    </row>
    <row r="1149">
      <c r="A1149" s="79" t="str">
        <f>IF(COUNTA(B1149:C1149,E1149:G1149,I1149)=0,"","BI-"&amp;RIGHT("0000"&amp;(ROW()-5),4))</f>
        <v/>
      </c>
      <c r="B1149" s="72" t="n"/>
      <c r="C1149" s="66" t="n"/>
      <c r="D1149" s="67" t="str">
        <f>IF(C1149="","",IFERROR(INDEX(eq_des,MATCH(C1149,eq_code,0))&amp;"","Équipement inconnu"))</f>
        <v/>
      </c>
      <c r="E1149" s="68" t="n"/>
      <c r="F1149" s="68" t="n"/>
      <c r="G1149" s="66" t="n"/>
      <c r="H1149" s="66" t="n"/>
      <c r="I1149" s="68" t="n"/>
      <c r="J1149" s="73" t="n"/>
      <c r="K1149" s="71" t="n"/>
      <c r="L1149" s="71" t="n"/>
      <c r="M1149" s="66" t="n"/>
      <c r="N1149" s="80" t="n"/>
      <c r="O1149" s="81" t="str">
        <f>IF(A1149="","",ROUND(V1149*IFERROR(N(INDEX(tech_rate,MATCH(M1149,tech_name,0))),0),2))</f>
        <v/>
      </c>
      <c r="P1149" s="80" t="n"/>
      <c r="Q1149" s="81" t="str">
        <f>IF(A1149="","",ROUND(Y1149+O1149+Z1149,2))</f>
        <v/>
      </c>
      <c r="R1149" s="79" t="str">
        <f>IF(A1149="","",IF(S1149=0,"Date manquante ou invalide",IF(C1149="","Équipement manquant",IF(ISNA(MATCH(C1149,eq_code,0)),"Équipement inconnu",IF(E1149="","Type manquant",IF(AND(E1149&lt;&gt;"Préventif",E1149&lt;&gt;"Correctif",E1149&lt;&gt;"Amélioratif"),"Type inconnu",IF(I1149="","Statut manquant",IF(AND(I1149&lt;&gt;"Terminée",I1149&lt;&gt;"En cours",I1149&lt;&gt;"À faire",I1149&lt;&gt;"Annulée"),"Statut inconnu",IF(AND(E1149="Préventif",F1149=""),"Plan manquant (préventif)",IF(AND(F1149&lt;&gt;"",ISNA(MATCH(F1149,pl_num,0))),"Plan inconnu",IF(AND(F1149&lt;&gt;"",IFERROR(INDEX(pl_eq,MATCH(F1149,pl_num,0))&amp;"",C1149)&lt;&gt;C1149),"Plan d'un autre équipement",IF(AND(J1149&lt;&gt;"",OR(NOT(ISNUMBER(J1149)),N(J1149)&lt;0)),"Compteur invalide",IF(OR(AND(K1149&lt;&gt;"",OR(NOT(ISNUMBER(K1149)),N(K1149)&lt;0)),AND(L1149&lt;&gt;"",OR(NOT(ISNUMBER(L1149)),N(L1149)&lt;0))),"Durée invalide",IF(OR(AND(N1149&lt;&gt;"",OR(NOT(ISNUMBER(N1149)),N(N1149)&lt;0)),AND(P1149&lt;&gt;"",OR(NOT(ISNUMBER(P1149)),N(P1149)&lt;0))),"Coût invalide",IF(AND(M1149&lt;&gt;"",ISNA(MATCH(M1149,tech_name,0))),"Technicien inconnu",IF(AND(I1149="Terminée",S1149&gt;p_today),"Terminée à une date future",IF(AND(I1149="Terminée",V1149=0),"Durée d'intervention manquante",IF(AND(I1149="Terminée",E1149="Préventif",T1149=0,OR(IFERROR(INDEX(pl_trig,MATCH(F1149,pl_num,0))&amp;"","")="Compteur",IFERROR(INDEX(pl_trig,MATCH(F1149,pl_num,0))&amp;"","")="Au premier des deux")),"Compteur manquant (plan au compteur)","OK"))))))))))))))))))</f>
        <v/>
      </c>
      <c r="S1149" s="67">
        <f>IF(AND(ISNUMBER(B1149),N(B1149)&gt;0),INT(B1149),0)</f>
        <v>0.0</v>
      </c>
      <c r="T1149" s="67">
        <f>IF(AND(ISNUMBER(J1149),N(J1149)&gt;=0),N(J1149),0)</f>
        <v>0.0</v>
      </c>
      <c r="U1149" s="67">
        <f>IF(AND(ISNUMBER(K1149),N(K1149)&gt;0),N(K1149),0)</f>
        <v>0.0</v>
      </c>
      <c r="V1149" s="67">
        <f>IF(AND(ISNUMBER(L1149),N(L1149)&gt;0),N(L1149),0)</f>
        <v>0.0</v>
      </c>
      <c r="W1149" s="67">
        <f>IF(AND(I1149="Terminée",S1149&gt;0,C1149&lt;&gt;"",ISNUMBER(MATCH(C1149,eq_code,0))),1,0)</f>
        <v>0.0</v>
      </c>
      <c r="X1149" s="67">
        <f>IF(AND(W1149=1,E1149="Préventif"),1,0)</f>
        <v>0.0</v>
      </c>
      <c r="Y1149" s="67">
        <f>IF(AND(ISNUMBER(N1149),N(N1149)&gt;0),N(N1149),0)</f>
        <v>0.0</v>
      </c>
      <c r="Z1149" s="67">
        <f>IF(AND(ISNUMBER(P1149),N(P1149)&gt;0),N(P1149),0)</f>
        <v>0.0</v>
      </c>
    </row>
    <row r="1150">
      <c r="A1150" s="79" t="str">
        <f>IF(COUNTA(B1150:C1150,E1150:G1150,I1150)=0,"","BI-"&amp;RIGHT("0000"&amp;(ROW()-5),4))</f>
        <v/>
      </c>
      <c r="B1150" s="72" t="n"/>
      <c r="C1150" s="66" t="n"/>
      <c r="D1150" s="67" t="str">
        <f>IF(C1150="","",IFERROR(INDEX(eq_des,MATCH(C1150,eq_code,0))&amp;"","Équipement inconnu"))</f>
        <v/>
      </c>
      <c r="E1150" s="68" t="n"/>
      <c r="F1150" s="68" t="n"/>
      <c r="G1150" s="66" t="n"/>
      <c r="H1150" s="66" t="n"/>
      <c r="I1150" s="68" t="n"/>
      <c r="J1150" s="73" t="n"/>
      <c r="K1150" s="71" t="n"/>
      <c r="L1150" s="71" t="n"/>
      <c r="M1150" s="66" t="n"/>
      <c r="N1150" s="80" t="n"/>
      <c r="O1150" s="81" t="str">
        <f>IF(A1150="","",ROUND(V1150*IFERROR(N(INDEX(tech_rate,MATCH(M1150,tech_name,0))),0),2))</f>
        <v/>
      </c>
      <c r="P1150" s="80" t="n"/>
      <c r="Q1150" s="81" t="str">
        <f>IF(A1150="","",ROUND(Y1150+O1150+Z1150,2))</f>
        <v/>
      </c>
      <c r="R1150" s="79" t="str">
        <f>IF(A1150="","",IF(S1150=0,"Date manquante ou invalide",IF(C1150="","Équipement manquant",IF(ISNA(MATCH(C1150,eq_code,0)),"Équipement inconnu",IF(E1150="","Type manquant",IF(AND(E1150&lt;&gt;"Préventif",E1150&lt;&gt;"Correctif",E1150&lt;&gt;"Amélioratif"),"Type inconnu",IF(I1150="","Statut manquant",IF(AND(I1150&lt;&gt;"Terminée",I1150&lt;&gt;"En cours",I1150&lt;&gt;"À faire",I1150&lt;&gt;"Annulée"),"Statut inconnu",IF(AND(E1150="Préventif",F1150=""),"Plan manquant (préventif)",IF(AND(F1150&lt;&gt;"",ISNA(MATCH(F1150,pl_num,0))),"Plan inconnu",IF(AND(F1150&lt;&gt;"",IFERROR(INDEX(pl_eq,MATCH(F1150,pl_num,0))&amp;"",C1150)&lt;&gt;C1150),"Plan d'un autre équipement",IF(AND(J1150&lt;&gt;"",OR(NOT(ISNUMBER(J1150)),N(J1150)&lt;0)),"Compteur invalide",IF(OR(AND(K1150&lt;&gt;"",OR(NOT(ISNUMBER(K1150)),N(K1150)&lt;0)),AND(L1150&lt;&gt;"",OR(NOT(ISNUMBER(L1150)),N(L1150)&lt;0))),"Durée invalide",IF(OR(AND(N1150&lt;&gt;"",OR(NOT(ISNUMBER(N1150)),N(N1150)&lt;0)),AND(P1150&lt;&gt;"",OR(NOT(ISNUMBER(P1150)),N(P1150)&lt;0))),"Coût invalide",IF(AND(M1150&lt;&gt;"",ISNA(MATCH(M1150,tech_name,0))),"Technicien inconnu",IF(AND(I1150="Terminée",S1150&gt;p_today),"Terminée à une date future",IF(AND(I1150="Terminée",V1150=0),"Durée d'intervention manquante",IF(AND(I1150="Terminée",E1150="Préventif",T1150=0,OR(IFERROR(INDEX(pl_trig,MATCH(F1150,pl_num,0))&amp;"","")="Compteur",IFERROR(INDEX(pl_trig,MATCH(F1150,pl_num,0))&amp;"","")="Au premier des deux")),"Compteur manquant (plan au compteur)","OK"))))))))))))))))))</f>
        <v/>
      </c>
      <c r="S1150" s="67">
        <f>IF(AND(ISNUMBER(B1150),N(B1150)&gt;0),INT(B1150),0)</f>
        <v>0.0</v>
      </c>
      <c r="T1150" s="67">
        <f>IF(AND(ISNUMBER(J1150),N(J1150)&gt;=0),N(J1150),0)</f>
        <v>0.0</v>
      </c>
      <c r="U1150" s="67">
        <f>IF(AND(ISNUMBER(K1150),N(K1150)&gt;0),N(K1150),0)</f>
        <v>0.0</v>
      </c>
      <c r="V1150" s="67">
        <f>IF(AND(ISNUMBER(L1150),N(L1150)&gt;0),N(L1150),0)</f>
        <v>0.0</v>
      </c>
      <c r="W1150" s="67">
        <f>IF(AND(I1150="Terminée",S1150&gt;0,C1150&lt;&gt;"",ISNUMBER(MATCH(C1150,eq_code,0))),1,0)</f>
        <v>0.0</v>
      </c>
      <c r="X1150" s="67">
        <f>IF(AND(W1150=1,E1150="Préventif"),1,0)</f>
        <v>0.0</v>
      </c>
      <c r="Y1150" s="67">
        <f>IF(AND(ISNUMBER(N1150),N(N1150)&gt;0),N(N1150),0)</f>
        <v>0.0</v>
      </c>
      <c r="Z1150" s="67">
        <f>IF(AND(ISNUMBER(P1150),N(P1150)&gt;0),N(P1150),0)</f>
        <v>0.0</v>
      </c>
    </row>
    <row r="1151">
      <c r="A1151" s="79" t="str">
        <f>IF(COUNTA(B1151:C1151,E1151:G1151,I1151)=0,"","BI-"&amp;RIGHT("0000"&amp;(ROW()-5),4))</f>
        <v/>
      </c>
      <c r="B1151" s="72" t="n"/>
      <c r="C1151" s="66" t="n"/>
      <c r="D1151" s="67" t="str">
        <f>IF(C1151="","",IFERROR(INDEX(eq_des,MATCH(C1151,eq_code,0))&amp;"","Équipement inconnu"))</f>
        <v/>
      </c>
      <c r="E1151" s="68" t="n"/>
      <c r="F1151" s="68" t="n"/>
      <c r="G1151" s="66" t="n"/>
      <c r="H1151" s="66" t="n"/>
      <c r="I1151" s="68" t="n"/>
      <c r="J1151" s="73" t="n"/>
      <c r="K1151" s="71" t="n"/>
      <c r="L1151" s="71" t="n"/>
      <c r="M1151" s="66" t="n"/>
      <c r="N1151" s="80" t="n"/>
      <c r="O1151" s="81" t="str">
        <f>IF(A1151="","",ROUND(V1151*IFERROR(N(INDEX(tech_rate,MATCH(M1151,tech_name,0))),0),2))</f>
        <v/>
      </c>
      <c r="P1151" s="80" t="n"/>
      <c r="Q1151" s="81" t="str">
        <f>IF(A1151="","",ROUND(Y1151+O1151+Z1151,2))</f>
        <v/>
      </c>
      <c r="R1151" s="79" t="str">
        <f>IF(A1151="","",IF(S1151=0,"Date manquante ou invalide",IF(C1151="","Équipement manquant",IF(ISNA(MATCH(C1151,eq_code,0)),"Équipement inconnu",IF(E1151="","Type manquant",IF(AND(E1151&lt;&gt;"Préventif",E1151&lt;&gt;"Correctif",E1151&lt;&gt;"Amélioratif"),"Type inconnu",IF(I1151="","Statut manquant",IF(AND(I1151&lt;&gt;"Terminée",I1151&lt;&gt;"En cours",I1151&lt;&gt;"À faire",I1151&lt;&gt;"Annulée"),"Statut inconnu",IF(AND(E1151="Préventif",F1151=""),"Plan manquant (préventif)",IF(AND(F1151&lt;&gt;"",ISNA(MATCH(F1151,pl_num,0))),"Plan inconnu",IF(AND(F1151&lt;&gt;"",IFERROR(INDEX(pl_eq,MATCH(F1151,pl_num,0))&amp;"",C1151)&lt;&gt;C1151),"Plan d'un autre équipement",IF(AND(J1151&lt;&gt;"",OR(NOT(ISNUMBER(J1151)),N(J1151)&lt;0)),"Compteur invalide",IF(OR(AND(K1151&lt;&gt;"",OR(NOT(ISNUMBER(K1151)),N(K1151)&lt;0)),AND(L1151&lt;&gt;"",OR(NOT(ISNUMBER(L1151)),N(L1151)&lt;0))),"Durée invalide",IF(OR(AND(N1151&lt;&gt;"",OR(NOT(ISNUMBER(N1151)),N(N1151)&lt;0)),AND(P1151&lt;&gt;"",OR(NOT(ISNUMBER(P1151)),N(P1151)&lt;0))),"Coût invalide",IF(AND(M1151&lt;&gt;"",ISNA(MATCH(M1151,tech_name,0))),"Technicien inconnu",IF(AND(I1151="Terminée",S1151&gt;p_today),"Terminée à une date future",IF(AND(I1151="Terminée",V1151=0),"Durée d'intervention manquante",IF(AND(I1151="Terminée",E1151="Préventif",T1151=0,OR(IFERROR(INDEX(pl_trig,MATCH(F1151,pl_num,0))&amp;"","")="Compteur",IFERROR(INDEX(pl_trig,MATCH(F1151,pl_num,0))&amp;"","")="Au premier des deux")),"Compteur manquant (plan au compteur)","OK"))))))))))))))))))</f>
        <v/>
      </c>
      <c r="S1151" s="67">
        <f>IF(AND(ISNUMBER(B1151),N(B1151)&gt;0),INT(B1151),0)</f>
        <v>0.0</v>
      </c>
      <c r="T1151" s="67">
        <f>IF(AND(ISNUMBER(J1151),N(J1151)&gt;=0),N(J1151),0)</f>
        <v>0.0</v>
      </c>
      <c r="U1151" s="67">
        <f>IF(AND(ISNUMBER(K1151),N(K1151)&gt;0),N(K1151),0)</f>
        <v>0.0</v>
      </c>
      <c r="V1151" s="67">
        <f>IF(AND(ISNUMBER(L1151),N(L1151)&gt;0),N(L1151),0)</f>
        <v>0.0</v>
      </c>
      <c r="W1151" s="67">
        <f>IF(AND(I1151="Terminée",S1151&gt;0,C1151&lt;&gt;"",ISNUMBER(MATCH(C1151,eq_code,0))),1,0)</f>
        <v>0.0</v>
      </c>
      <c r="X1151" s="67">
        <f>IF(AND(W1151=1,E1151="Préventif"),1,0)</f>
        <v>0.0</v>
      </c>
      <c r="Y1151" s="67">
        <f>IF(AND(ISNUMBER(N1151),N(N1151)&gt;0),N(N1151),0)</f>
        <v>0.0</v>
      </c>
      <c r="Z1151" s="67">
        <f>IF(AND(ISNUMBER(P1151),N(P1151)&gt;0),N(P1151),0)</f>
        <v>0.0</v>
      </c>
    </row>
    <row r="1152">
      <c r="A1152" s="79" t="str">
        <f>IF(COUNTA(B1152:C1152,E1152:G1152,I1152)=0,"","BI-"&amp;RIGHT("0000"&amp;(ROW()-5),4))</f>
        <v/>
      </c>
      <c r="B1152" s="72" t="n"/>
      <c r="C1152" s="66" t="n"/>
      <c r="D1152" s="67" t="str">
        <f>IF(C1152="","",IFERROR(INDEX(eq_des,MATCH(C1152,eq_code,0))&amp;"","Équipement inconnu"))</f>
        <v/>
      </c>
      <c r="E1152" s="68" t="n"/>
      <c r="F1152" s="68" t="n"/>
      <c r="G1152" s="66" t="n"/>
      <c r="H1152" s="66" t="n"/>
      <c r="I1152" s="68" t="n"/>
      <c r="J1152" s="73" t="n"/>
      <c r="K1152" s="71" t="n"/>
      <c r="L1152" s="71" t="n"/>
      <c r="M1152" s="66" t="n"/>
      <c r="N1152" s="80" t="n"/>
      <c r="O1152" s="81" t="str">
        <f>IF(A1152="","",ROUND(V1152*IFERROR(N(INDEX(tech_rate,MATCH(M1152,tech_name,0))),0),2))</f>
        <v/>
      </c>
      <c r="P1152" s="80" t="n"/>
      <c r="Q1152" s="81" t="str">
        <f>IF(A1152="","",ROUND(Y1152+O1152+Z1152,2))</f>
        <v/>
      </c>
      <c r="R1152" s="79" t="str">
        <f>IF(A1152="","",IF(S1152=0,"Date manquante ou invalide",IF(C1152="","Équipement manquant",IF(ISNA(MATCH(C1152,eq_code,0)),"Équipement inconnu",IF(E1152="","Type manquant",IF(AND(E1152&lt;&gt;"Préventif",E1152&lt;&gt;"Correctif",E1152&lt;&gt;"Amélioratif"),"Type inconnu",IF(I1152="","Statut manquant",IF(AND(I1152&lt;&gt;"Terminée",I1152&lt;&gt;"En cours",I1152&lt;&gt;"À faire",I1152&lt;&gt;"Annulée"),"Statut inconnu",IF(AND(E1152="Préventif",F1152=""),"Plan manquant (préventif)",IF(AND(F1152&lt;&gt;"",ISNA(MATCH(F1152,pl_num,0))),"Plan inconnu",IF(AND(F1152&lt;&gt;"",IFERROR(INDEX(pl_eq,MATCH(F1152,pl_num,0))&amp;"",C1152)&lt;&gt;C1152),"Plan d'un autre équipement",IF(AND(J1152&lt;&gt;"",OR(NOT(ISNUMBER(J1152)),N(J1152)&lt;0)),"Compteur invalide",IF(OR(AND(K1152&lt;&gt;"",OR(NOT(ISNUMBER(K1152)),N(K1152)&lt;0)),AND(L1152&lt;&gt;"",OR(NOT(ISNUMBER(L1152)),N(L1152)&lt;0))),"Durée invalide",IF(OR(AND(N1152&lt;&gt;"",OR(NOT(ISNUMBER(N1152)),N(N1152)&lt;0)),AND(P1152&lt;&gt;"",OR(NOT(ISNUMBER(P1152)),N(P1152)&lt;0))),"Coût invalide",IF(AND(M1152&lt;&gt;"",ISNA(MATCH(M1152,tech_name,0))),"Technicien inconnu",IF(AND(I1152="Terminée",S1152&gt;p_today),"Terminée à une date future",IF(AND(I1152="Terminée",V1152=0),"Durée d'intervention manquante",IF(AND(I1152="Terminée",E1152="Préventif",T1152=0,OR(IFERROR(INDEX(pl_trig,MATCH(F1152,pl_num,0))&amp;"","")="Compteur",IFERROR(INDEX(pl_trig,MATCH(F1152,pl_num,0))&amp;"","")="Au premier des deux")),"Compteur manquant (plan au compteur)","OK"))))))))))))))))))</f>
        <v/>
      </c>
      <c r="S1152" s="67">
        <f>IF(AND(ISNUMBER(B1152),N(B1152)&gt;0),INT(B1152),0)</f>
        <v>0.0</v>
      </c>
      <c r="T1152" s="67">
        <f>IF(AND(ISNUMBER(J1152),N(J1152)&gt;=0),N(J1152),0)</f>
        <v>0.0</v>
      </c>
      <c r="U1152" s="67">
        <f>IF(AND(ISNUMBER(K1152),N(K1152)&gt;0),N(K1152),0)</f>
        <v>0.0</v>
      </c>
      <c r="V1152" s="67">
        <f>IF(AND(ISNUMBER(L1152),N(L1152)&gt;0),N(L1152),0)</f>
        <v>0.0</v>
      </c>
      <c r="W1152" s="67">
        <f>IF(AND(I1152="Terminée",S1152&gt;0,C1152&lt;&gt;"",ISNUMBER(MATCH(C1152,eq_code,0))),1,0)</f>
        <v>0.0</v>
      </c>
      <c r="X1152" s="67">
        <f>IF(AND(W1152=1,E1152="Préventif"),1,0)</f>
        <v>0.0</v>
      </c>
      <c r="Y1152" s="67">
        <f>IF(AND(ISNUMBER(N1152),N(N1152)&gt;0),N(N1152),0)</f>
        <v>0.0</v>
      </c>
      <c r="Z1152" s="67">
        <f>IF(AND(ISNUMBER(P1152),N(P1152)&gt;0),N(P1152),0)</f>
        <v>0.0</v>
      </c>
    </row>
    <row r="1153">
      <c r="A1153" s="79" t="str">
        <f>IF(COUNTA(B1153:C1153,E1153:G1153,I1153)=0,"","BI-"&amp;RIGHT("0000"&amp;(ROW()-5),4))</f>
        <v/>
      </c>
      <c r="B1153" s="72" t="n"/>
      <c r="C1153" s="66" t="n"/>
      <c r="D1153" s="67" t="str">
        <f>IF(C1153="","",IFERROR(INDEX(eq_des,MATCH(C1153,eq_code,0))&amp;"","Équipement inconnu"))</f>
        <v/>
      </c>
      <c r="E1153" s="68" t="n"/>
      <c r="F1153" s="68" t="n"/>
      <c r="G1153" s="66" t="n"/>
      <c r="H1153" s="66" t="n"/>
      <c r="I1153" s="68" t="n"/>
      <c r="J1153" s="73" t="n"/>
      <c r="K1153" s="71" t="n"/>
      <c r="L1153" s="71" t="n"/>
      <c r="M1153" s="66" t="n"/>
      <c r="N1153" s="80" t="n"/>
      <c r="O1153" s="81" t="str">
        <f>IF(A1153="","",ROUND(V1153*IFERROR(N(INDEX(tech_rate,MATCH(M1153,tech_name,0))),0),2))</f>
        <v/>
      </c>
      <c r="P1153" s="80" t="n"/>
      <c r="Q1153" s="81" t="str">
        <f>IF(A1153="","",ROUND(Y1153+O1153+Z1153,2))</f>
        <v/>
      </c>
      <c r="R1153" s="79" t="str">
        <f>IF(A1153="","",IF(S1153=0,"Date manquante ou invalide",IF(C1153="","Équipement manquant",IF(ISNA(MATCH(C1153,eq_code,0)),"Équipement inconnu",IF(E1153="","Type manquant",IF(AND(E1153&lt;&gt;"Préventif",E1153&lt;&gt;"Correctif",E1153&lt;&gt;"Amélioratif"),"Type inconnu",IF(I1153="","Statut manquant",IF(AND(I1153&lt;&gt;"Terminée",I1153&lt;&gt;"En cours",I1153&lt;&gt;"À faire",I1153&lt;&gt;"Annulée"),"Statut inconnu",IF(AND(E1153="Préventif",F1153=""),"Plan manquant (préventif)",IF(AND(F1153&lt;&gt;"",ISNA(MATCH(F1153,pl_num,0))),"Plan inconnu",IF(AND(F1153&lt;&gt;"",IFERROR(INDEX(pl_eq,MATCH(F1153,pl_num,0))&amp;"",C1153)&lt;&gt;C1153),"Plan d'un autre équipement",IF(AND(J1153&lt;&gt;"",OR(NOT(ISNUMBER(J1153)),N(J1153)&lt;0)),"Compteur invalide",IF(OR(AND(K1153&lt;&gt;"",OR(NOT(ISNUMBER(K1153)),N(K1153)&lt;0)),AND(L1153&lt;&gt;"",OR(NOT(ISNUMBER(L1153)),N(L1153)&lt;0))),"Durée invalide",IF(OR(AND(N1153&lt;&gt;"",OR(NOT(ISNUMBER(N1153)),N(N1153)&lt;0)),AND(P1153&lt;&gt;"",OR(NOT(ISNUMBER(P1153)),N(P1153)&lt;0))),"Coût invalide",IF(AND(M1153&lt;&gt;"",ISNA(MATCH(M1153,tech_name,0))),"Technicien inconnu",IF(AND(I1153="Terminée",S1153&gt;p_today),"Terminée à une date future",IF(AND(I1153="Terminée",V1153=0),"Durée d'intervention manquante",IF(AND(I1153="Terminée",E1153="Préventif",T1153=0,OR(IFERROR(INDEX(pl_trig,MATCH(F1153,pl_num,0))&amp;"","")="Compteur",IFERROR(INDEX(pl_trig,MATCH(F1153,pl_num,0))&amp;"","")="Au premier des deux")),"Compteur manquant (plan au compteur)","OK"))))))))))))))))))</f>
        <v/>
      </c>
      <c r="S1153" s="67">
        <f>IF(AND(ISNUMBER(B1153),N(B1153)&gt;0),INT(B1153),0)</f>
        <v>0.0</v>
      </c>
      <c r="T1153" s="67">
        <f>IF(AND(ISNUMBER(J1153),N(J1153)&gt;=0),N(J1153),0)</f>
        <v>0.0</v>
      </c>
      <c r="U1153" s="67">
        <f>IF(AND(ISNUMBER(K1153),N(K1153)&gt;0),N(K1153),0)</f>
        <v>0.0</v>
      </c>
      <c r="V1153" s="67">
        <f>IF(AND(ISNUMBER(L1153),N(L1153)&gt;0),N(L1153),0)</f>
        <v>0.0</v>
      </c>
      <c r="W1153" s="67">
        <f>IF(AND(I1153="Terminée",S1153&gt;0,C1153&lt;&gt;"",ISNUMBER(MATCH(C1153,eq_code,0))),1,0)</f>
        <v>0.0</v>
      </c>
      <c r="X1153" s="67">
        <f>IF(AND(W1153=1,E1153="Préventif"),1,0)</f>
        <v>0.0</v>
      </c>
      <c r="Y1153" s="67">
        <f>IF(AND(ISNUMBER(N1153),N(N1153)&gt;0),N(N1153),0)</f>
        <v>0.0</v>
      </c>
      <c r="Z1153" s="67">
        <f>IF(AND(ISNUMBER(P1153),N(P1153)&gt;0),N(P1153),0)</f>
        <v>0.0</v>
      </c>
    </row>
    <row r="1154">
      <c r="A1154" s="79" t="str">
        <f>IF(COUNTA(B1154:C1154,E1154:G1154,I1154)=0,"","BI-"&amp;RIGHT("0000"&amp;(ROW()-5),4))</f>
        <v/>
      </c>
      <c r="B1154" s="72" t="n"/>
      <c r="C1154" s="66" t="n"/>
      <c r="D1154" s="67" t="str">
        <f>IF(C1154="","",IFERROR(INDEX(eq_des,MATCH(C1154,eq_code,0))&amp;"","Équipement inconnu"))</f>
        <v/>
      </c>
      <c r="E1154" s="68" t="n"/>
      <c r="F1154" s="68" t="n"/>
      <c r="G1154" s="66" t="n"/>
      <c r="H1154" s="66" t="n"/>
      <c r="I1154" s="68" t="n"/>
      <c r="J1154" s="73" t="n"/>
      <c r="K1154" s="71" t="n"/>
      <c r="L1154" s="71" t="n"/>
      <c r="M1154" s="66" t="n"/>
      <c r="N1154" s="80" t="n"/>
      <c r="O1154" s="81" t="str">
        <f>IF(A1154="","",ROUND(V1154*IFERROR(N(INDEX(tech_rate,MATCH(M1154,tech_name,0))),0),2))</f>
        <v/>
      </c>
      <c r="P1154" s="80" t="n"/>
      <c r="Q1154" s="81" t="str">
        <f>IF(A1154="","",ROUND(Y1154+O1154+Z1154,2))</f>
        <v/>
      </c>
      <c r="R1154" s="79" t="str">
        <f>IF(A1154="","",IF(S1154=0,"Date manquante ou invalide",IF(C1154="","Équipement manquant",IF(ISNA(MATCH(C1154,eq_code,0)),"Équipement inconnu",IF(E1154="","Type manquant",IF(AND(E1154&lt;&gt;"Préventif",E1154&lt;&gt;"Correctif",E1154&lt;&gt;"Amélioratif"),"Type inconnu",IF(I1154="","Statut manquant",IF(AND(I1154&lt;&gt;"Terminée",I1154&lt;&gt;"En cours",I1154&lt;&gt;"À faire",I1154&lt;&gt;"Annulée"),"Statut inconnu",IF(AND(E1154="Préventif",F1154=""),"Plan manquant (préventif)",IF(AND(F1154&lt;&gt;"",ISNA(MATCH(F1154,pl_num,0))),"Plan inconnu",IF(AND(F1154&lt;&gt;"",IFERROR(INDEX(pl_eq,MATCH(F1154,pl_num,0))&amp;"",C1154)&lt;&gt;C1154),"Plan d'un autre équipement",IF(AND(J1154&lt;&gt;"",OR(NOT(ISNUMBER(J1154)),N(J1154)&lt;0)),"Compteur invalide",IF(OR(AND(K1154&lt;&gt;"",OR(NOT(ISNUMBER(K1154)),N(K1154)&lt;0)),AND(L1154&lt;&gt;"",OR(NOT(ISNUMBER(L1154)),N(L1154)&lt;0))),"Durée invalide",IF(OR(AND(N1154&lt;&gt;"",OR(NOT(ISNUMBER(N1154)),N(N1154)&lt;0)),AND(P1154&lt;&gt;"",OR(NOT(ISNUMBER(P1154)),N(P1154)&lt;0))),"Coût invalide",IF(AND(M1154&lt;&gt;"",ISNA(MATCH(M1154,tech_name,0))),"Technicien inconnu",IF(AND(I1154="Terminée",S1154&gt;p_today),"Terminée à une date future",IF(AND(I1154="Terminée",V1154=0),"Durée d'intervention manquante",IF(AND(I1154="Terminée",E1154="Préventif",T1154=0,OR(IFERROR(INDEX(pl_trig,MATCH(F1154,pl_num,0))&amp;"","")="Compteur",IFERROR(INDEX(pl_trig,MATCH(F1154,pl_num,0))&amp;"","")="Au premier des deux")),"Compteur manquant (plan au compteur)","OK"))))))))))))))))))</f>
        <v/>
      </c>
      <c r="S1154" s="67">
        <f>IF(AND(ISNUMBER(B1154),N(B1154)&gt;0),INT(B1154),0)</f>
        <v>0.0</v>
      </c>
      <c r="T1154" s="67">
        <f>IF(AND(ISNUMBER(J1154),N(J1154)&gt;=0),N(J1154),0)</f>
        <v>0.0</v>
      </c>
      <c r="U1154" s="67">
        <f>IF(AND(ISNUMBER(K1154),N(K1154)&gt;0),N(K1154),0)</f>
        <v>0.0</v>
      </c>
      <c r="V1154" s="67">
        <f>IF(AND(ISNUMBER(L1154),N(L1154)&gt;0),N(L1154),0)</f>
        <v>0.0</v>
      </c>
      <c r="W1154" s="67">
        <f>IF(AND(I1154="Terminée",S1154&gt;0,C1154&lt;&gt;"",ISNUMBER(MATCH(C1154,eq_code,0))),1,0)</f>
        <v>0.0</v>
      </c>
      <c r="X1154" s="67">
        <f>IF(AND(W1154=1,E1154="Préventif"),1,0)</f>
        <v>0.0</v>
      </c>
      <c r="Y1154" s="67">
        <f>IF(AND(ISNUMBER(N1154),N(N1154)&gt;0),N(N1154),0)</f>
        <v>0.0</v>
      </c>
      <c r="Z1154" s="67">
        <f>IF(AND(ISNUMBER(P1154),N(P1154)&gt;0),N(P1154),0)</f>
        <v>0.0</v>
      </c>
    </row>
    <row r="1155">
      <c r="A1155" s="79" t="str">
        <f>IF(COUNTA(B1155:C1155,E1155:G1155,I1155)=0,"","BI-"&amp;RIGHT("0000"&amp;(ROW()-5),4))</f>
        <v/>
      </c>
      <c r="B1155" s="72" t="n"/>
      <c r="C1155" s="66" t="n"/>
      <c r="D1155" s="67" t="str">
        <f>IF(C1155="","",IFERROR(INDEX(eq_des,MATCH(C1155,eq_code,0))&amp;"","Équipement inconnu"))</f>
        <v/>
      </c>
      <c r="E1155" s="68" t="n"/>
      <c r="F1155" s="68" t="n"/>
      <c r="G1155" s="66" t="n"/>
      <c r="H1155" s="66" t="n"/>
      <c r="I1155" s="68" t="n"/>
      <c r="J1155" s="73" t="n"/>
      <c r="K1155" s="71" t="n"/>
      <c r="L1155" s="71" t="n"/>
      <c r="M1155" s="66" t="n"/>
      <c r="N1155" s="80" t="n"/>
      <c r="O1155" s="81" t="str">
        <f>IF(A1155="","",ROUND(V1155*IFERROR(N(INDEX(tech_rate,MATCH(M1155,tech_name,0))),0),2))</f>
        <v/>
      </c>
      <c r="P1155" s="80" t="n"/>
      <c r="Q1155" s="81" t="str">
        <f>IF(A1155="","",ROUND(Y1155+O1155+Z1155,2))</f>
        <v/>
      </c>
      <c r="R1155" s="79" t="str">
        <f>IF(A1155="","",IF(S1155=0,"Date manquante ou invalide",IF(C1155="","Équipement manquant",IF(ISNA(MATCH(C1155,eq_code,0)),"Équipement inconnu",IF(E1155="","Type manquant",IF(AND(E1155&lt;&gt;"Préventif",E1155&lt;&gt;"Correctif",E1155&lt;&gt;"Amélioratif"),"Type inconnu",IF(I1155="","Statut manquant",IF(AND(I1155&lt;&gt;"Terminée",I1155&lt;&gt;"En cours",I1155&lt;&gt;"À faire",I1155&lt;&gt;"Annulée"),"Statut inconnu",IF(AND(E1155="Préventif",F1155=""),"Plan manquant (préventif)",IF(AND(F1155&lt;&gt;"",ISNA(MATCH(F1155,pl_num,0))),"Plan inconnu",IF(AND(F1155&lt;&gt;"",IFERROR(INDEX(pl_eq,MATCH(F1155,pl_num,0))&amp;"",C1155)&lt;&gt;C1155),"Plan d'un autre équipement",IF(AND(J1155&lt;&gt;"",OR(NOT(ISNUMBER(J1155)),N(J1155)&lt;0)),"Compteur invalide",IF(OR(AND(K1155&lt;&gt;"",OR(NOT(ISNUMBER(K1155)),N(K1155)&lt;0)),AND(L1155&lt;&gt;"",OR(NOT(ISNUMBER(L1155)),N(L1155)&lt;0))),"Durée invalide",IF(OR(AND(N1155&lt;&gt;"",OR(NOT(ISNUMBER(N1155)),N(N1155)&lt;0)),AND(P1155&lt;&gt;"",OR(NOT(ISNUMBER(P1155)),N(P1155)&lt;0))),"Coût invalide",IF(AND(M1155&lt;&gt;"",ISNA(MATCH(M1155,tech_name,0))),"Technicien inconnu",IF(AND(I1155="Terminée",S1155&gt;p_today),"Terminée à une date future",IF(AND(I1155="Terminée",V1155=0),"Durée d'intervention manquante",IF(AND(I1155="Terminée",E1155="Préventif",T1155=0,OR(IFERROR(INDEX(pl_trig,MATCH(F1155,pl_num,0))&amp;"","")="Compteur",IFERROR(INDEX(pl_trig,MATCH(F1155,pl_num,0))&amp;"","")="Au premier des deux")),"Compteur manquant (plan au compteur)","OK"))))))))))))))))))</f>
        <v/>
      </c>
      <c r="S1155" s="67">
        <f>IF(AND(ISNUMBER(B1155),N(B1155)&gt;0),INT(B1155),0)</f>
        <v>0.0</v>
      </c>
      <c r="T1155" s="67">
        <f>IF(AND(ISNUMBER(J1155),N(J1155)&gt;=0),N(J1155),0)</f>
        <v>0.0</v>
      </c>
      <c r="U1155" s="67">
        <f>IF(AND(ISNUMBER(K1155),N(K1155)&gt;0),N(K1155),0)</f>
        <v>0.0</v>
      </c>
      <c r="V1155" s="67">
        <f>IF(AND(ISNUMBER(L1155),N(L1155)&gt;0),N(L1155),0)</f>
        <v>0.0</v>
      </c>
      <c r="W1155" s="67">
        <f>IF(AND(I1155="Terminée",S1155&gt;0,C1155&lt;&gt;"",ISNUMBER(MATCH(C1155,eq_code,0))),1,0)</f>
        <v>0.0</v>
      </c>
      <c r="X1155" s="67">
        <f>IF(AND(W1155=1,E1155="Préventif"),1,0)</f>
        <v>0.0</v>
      </c>
      <c r="Y1155" s="67">
        <f>IF(AND(ISNUMBER(N1155),N(N1155)&gt;0),N(N1155),0)</f>
        <v>0.0</v>
      </c>
      <c r="Z1155" s="67">
        <f>IF(AND(ISNUMBER(P1155),N(P1155)&gt;0),N(P1155),0)</f>
        <v>0.0</v>
      </c>
    </row>
    <row r="1156">
      <c r="A1156" s="79" t="str">
        <f>IF(COUNTA(B1156:C1156,E1156:G1156,I1156)=0,"","BI-"&amp;RIGHT("0000"&amp;(ROW()-5),4))</f>
        <v/>
      </c>
      <c r="B1156" s="72" t="n"/>
      <c r="C1156" s="66" t="n"/>
      <c r="D1156" s="67" t="str">
        <f>IF(C1156="","",IFERROR(INDEX(eq_des,MATCH(C1156,eq_code,0))&amp;"","Équipement inconnu"))</f>
        <v/>
      </c>
      <c r="E1156" s="68" t="n"/>
      <c r="F1156" s="68" t="n"/>
      <c r="G1156" s="66" t="n"/>
      <c r="H1156" s="66" t="n"/>
      <c r="I1156" s="68" t="n"/>
      <c r="J1156" s="73" t="n"/>
      <c r="K1156" s="71" t="n"/>
      <c r="L1156" s="71" t="n"/>
      <c r="M1156" s="66" t="n"/>
      <c r="N1156" s="80" t="n"/>
      <c r="O1156" s="81" t="str">
        <f>IF(A1156="","",ROUND(V1156*IFERROR(N(INDEX(tech_rate,MATCH(M1156,tech_name,0))),0),2))</f>
        <v/>
      </c>
      <c r="P1156" s="80" t="n"/>
      <c r="Q1156" s="81" t="str">
        <f>IF(A1156="","",ROUND(Y1156+O1156+Z1156,2))</f>
        <v/>
      </c>
      <c r="R1156" s="79" t="str">
        <f>IF(A1156="","",IF(S1156=0,"Date manquante ou invalide",IF(C1156="","Équipement manquant",IF(ISNA(MATCH(C1156,eq_code,0)),"Équipement inconnu",IF(E1156="","Type manquant",IF(AND(E1156&lt;&gt;"Préventif",E1156&lt;&gt;"Correctif",E1156&lt;&gt;"Amélioratif"),"Type inconnu",IF(I1156="","Statut manquant",IF(AND(I1156&lt;&gt;"Terminée",I1156&lt;&gt;"En cours",I1156&lt;&gt;"À faire",I1156&lt;&gt;"Annulée"),"Statut inconnu",IF(AND(E1156="Préventif",F1156=""),"Plan manquant (préventif)",IF(AND(F1156&lt;&gt;"",ISNA(MATCH(F1156,pl_num,0))),"Plan inconnu",IF(AND(F1156&lt;&gt;"",IFERROR(INDEX(pl_eq,MATCH(F1156,pl_num,0))&amp;"",C1156)&lt;&gt;C1156),"Plan d'un autre équipement",IF(AND(J1156&lt;&gt;"",OR(NOT(ISNUMBER(J1156)),N(J1156)&lt;0)),"Compteur invalide",IF(OR(AND(K1156&lt;&gt;"",OR(NOT(ISNUMBER(K1156)),N(K1156)&lt;0)),AND(L1156&lt;&gt;"",OR(NOT(ISNUMBER(L1156)),N(L1156)&lt;0))),"Durée invalide",IF(OR(AND(N1156&lt;&gt;"",OR(NOT(ISNUMBER(N1156)),N(N1156)&lt;0)),AND(P1156&lt;&gt;"",OR(NOT(ISNUMBER(P1156)),N(P1156)&lt;0))),"Coût invalide",IF(AND(M1156&lt;&gt;"",ISNA(MATCH(M1156,tech_name,0))),"Technicien inconnu",IF(AND(I1156="Terminée",S1156&gt;p_today),"Terminée à une date future",IF(AND(I1156="Terminée",V1156=0),"Durée d'intervention manquante",IF(AND(I1156="Terminée",E1156="Préventif",T1156=0,OR(IFERROR(INDEX(pl_trig,MATCH(F1156,pl_num,0))&amp;"","")="Compteur",IFERROR(INDEX(pl_trig,MATCH(F1156,pl_num,0))&amp;"","")="Au premier des deux")),"Compteur manquant (plan au compteur)","OK"))))))))))))))))))</f>
        <v/>
      </c>
      <c r="S1156" s="67">
        <f>IF(AND(ISNUMBER(B1156),N(B1156)&gt;0),INT(B1156),0)</f>
        <v>0.0</v>
      </c>
      <c r="T1156" s="67">
        <f>IF(AND(ISNUMBER(J1156),N(J1156)&gt;=0),N(J1156),0)</f>
        <v>0.0</v>
      </c>
      <c r="U1156" s="67">
        <f>IF(AND(ISNUMBER(K1156),N(K1156)&gt;0),N(K1156),0)</f>
        <v>0.0</v>
      </c>
      <c r="V1156" s="67">
        <f>IF(AND(ISNUMBER(L1156),N(L1156)&gt;0),N(L1156),0)</f>
        <v>0.0</v>
      </c>
      <c r="W1156" s="67">
        <f>IF(AND(I1156="Terminée",S1156&gt;0,C1156&lt;&gt;"",ISNUMBER(MATCH(C1156,eq_code,0))),1,0)</f>
        <v>0.0</v>
      </c>
      <c r="X1156" s="67">
        <f>IF(AND(W1156=1,E1156="Préventif"),1,0)</f>
        <v>0.0</v>
      </c>
      <c r="Y1156" s="67">
        <f>IF(AND(ISNUMBER(N1156),N(N1156)&gt;0),N(N1156),0)</f>
        <v>0.0</v>
      </c>
      <c r="Z1156" s="67">
        <f>IF(AND(ISNUMBER(P1156),N(P1156)&gt;0),N(P1156),0)</f>
        <v>0.0</v>
      </c>
    </row>
    <row r="1157">
      <c r="A1157" s="79" t="str">
        <f>IF(COUNTA(B1157:C1157,E1157:G1157,I1157)=0,"","BI-"&amp;RIGHT("0000"&amp;(ROW()-5),4))</f>
        <v/>
      </c>
      <c r="B1157" s="72" t="n"/>
      <c r="C1157" s="66" t="n"/>
      <c r="D1157" s="67" t="str">
        <f>IF(C1157="","",IFERROR(INDEX(eq_des,MATCH(C1157,eq_code,0))&amp;"","Équipement inconnu"))</f>
        <v/>
      </c>
      <c r="E1157" s="68" t="n"/>
      <c r="F1157" s="68" t="n"/>
      <c r="G1157" s="66" t="n"/>
      <c r="H1157" s="66" t="n"/>
      <c r="I1157" s="68" t="n"/>
      <c r="J1157" s="73" t="n"/>
      <c r="K1157" s="71" t="n"/>
      <c r="L1157" s="71" t="n"/>
      <c r="M1157" s="66" t="n"/>
      <c r="N1157" s="80" t="n"/>
      <c r="O1157" s="81" t="str">
        <f>IF(A1157="","",ROUND(V1157*IFERROR(N(INDEX(tech_rate,MATCH(M1157,tech_name,0))),0),2))</f>
        <v/>
      </c>
      <c r="P1157" s="80" t="n"/>
      <c r="Q1157" s="81" t="str">
        <f>IF(A1157="","",ROUND(Y1157+O1157+Z1157,2))</f>
        <v/>
      </c>
      <c r="R1157" s="79" t="str">
        <f>IF(A1157="","",IF(S1157=0,"Date manquante ou invalide",IF(C1157="","Équipement manquant",IF(ISNA(MATCH(C1157,eq_code,0)),"Équipement inconnu",IF(E1157="","Type manquant",IF(AND(E1157&lt;&gt;"Préventif",E1157&lt;&gt;"Correctif",E1157&lt;&gt;"Amélioratif"),"Type inconnu",IF(I1157="","Statut manquant",IF(AND(I1157&lt;&gt;"Terminée",I1157&lt;&gt;"En cours",I1157&lt;&gt;"À faire",I1157&lt;&gt;"Annulée"),"Statut inconnu",IF(AND(E1157="Préventif",F1157=""),"Plan manquant (préventif)",IF(AND(F1157&lt;&gt;"",ISNA(MATCH(F1157,pl_num,0))),"Plan inconnu",IF(AND(F1157&lt;&gt;"",IFERROR(INDEX(pl_eq,MATCH(F1157,pl_num,0))&amp;"",C1157)&lt;&gt;C1157),"Plan d'un autre équipement",IF(AND(J1157&lt;&gt;"",OR(NOT(ISNUMBER(J1157)),N(J1157)&lt;0)),"Compteur invalide",IF(OR(AND(K1157&lt;&gt;"",OR(NOT(ISNUMBER(K1157)),N(K1157)&lt;0)),AND(L1157&lt;&gt;"",OR(NOT(ISNUMBER(L1157)),N(L1157)&lt;0))),"Durée invalide",IF(OR(AND(N1157&lt;&gt;"",OR(NOT(ISNUMBER(N1157)),N(N1157)&lt;0)),AND(P1157&lt;&gt;"",OR(NOT(ISNUMBER(P1157)),N(P1157)&lt;0))),"Coût invalide",IF(AND(M1157&lt;&gt;"",ISNA(MATCH(M1157,tech_name,0))),"Technicien inconnu",IF(AND(I1157="Terminée",S1157&gt;p_today),"Terminée à une date future",IF(AND(I1157="Terminée",V1157=0),"Durée d'intervention manquante",IF(AND(I1157="Terminée",E1157="Préventif",T1157=0,OR(IFERROR(INDEX(pl_trig,MATCH(F1157,pl_num,0))&amp;"","")="Compteur",IFERROR(INDEX(pl_trig,MATCH(F1157,pl_num,0))&amp;"","")="Au premier des deux")),"Compteur manquant (plan au compteur)","OK"))))))))))))))))))</f>
        <v/>
      </c>
      <c r="S1157" s="67">
        <f>IF(AND(ISNUMBER(B1157),N(B1157)&gt;0),INT(B1157),0)</f>
        <v>0.0</v>
      </c>
      <c r="T1157" s="67">
        <f>IF(AND(ISNUMBER(J1157),N(J1157)&gt;=0),N(J1157),0)</f>
        <v>0.0</v>
      </c>
      <c r="U1157" s="67">
        <f>IF(AND(ISNUMBER(K1157),N(K1157)&gt;0),N(K1157),0)</f>
        <v>0.0</v>
      </c>
      <c r="V1157" s="67">
        <f>IF(AND(ISNUMBER(L1157),N(L1157)&gt;0),N(L1157),0)</f>
        <v>0.0</v>
      </c>
      <c r="W1157" s="67">
        <f>IF(AND(I1157="Terminée",S1157&gt;0,C1157&lt;&gt;"",ISNUMBER(MATCH(C1157,eq_code,0))),1,0)</f>
        <v>0.0</v>
      </c>
      <c r="X1157" s="67">
        <f>IF(AND(W1157=1,E1157="Préventif"),1,0)</f>
        <v>0.0</v>
      </c>
      <c r="Y1157" s="67">
        <f>IF(AND(ISNUMBER(N1157),N(N1157)&gt;0),N(N1157),0)</f>
        <v>0.0</v>
      </c>
      <c r="Z1157" s="67">
        <f>IF(AND(ISNUMBER(P1157),N(P1157)&gt;0),N(P1157),0)</f>
        <v>0.0</v>
      </c>
    </row>
    <row r="1158">
      <c r="A1158" s="79" t="str">
        <f>IF(COUNTA(B1158:C1158,E1158:G1158,I1158)=0,"","BI-"&amp;RIGHT("0000"&amp;(ROW()-5),4))</f>
        <v/>
      </c>
      <c r="B1158" s="72" t="n"/>
      <c r="C1158" s="66" t="n"/>
      <c r="D1158" s="67" t="str">
        <f>IF(C1158="","",IFERROR(INDEX(eq_des,MATCH(C1158,eq_code,0))&amp;"","Équipement inconnu"))</f>
        <v/>
      </c>
      <c r="E1158" s="68" t="n"/>
      <c r="F1158" s="68" t="n"/>
      <c r="G1158" s="66" t="n"/>
      <c r="H1158" s="66" t="n"/>
      <c r="I1158" s="68" t="n"/>
      <c r="J1158" s="73" t="n"/>
      <c r="K1158" s="71" t="n"/>
      <c r="L1158" s="71" t="n"/>
      <c r="M1158" s="66" t="n"/>
      <c r="N1158" s="80" t="n"/>
      <c r="O1158" s="81" t="str">
        <f>IF(A1158="","",ROUND(V1158*IFERROR(N(INDEX(tech_rate,MATCH(M1158,tech_name,0))),0),2))</f>
        <v/>
      </c>
      <c r="P1158" s="80" t="n"/>
      <c r="Q1158" s="81" t="str">
        <f>IF(A1158="","",ROUND(Y1158+O1158+Z1158,2))</f>
        <v/>
      </c>
      <c r="R1158" s="79" t="str">
        <f>IF(A1158="","",IF(S1158=0,"Date manquante ou invalide",IF(C1158="","Équipement manquant",IF(ISNA(MATCH(C1158,eq_code,0)),"Équipement inconnu",IF(E1158="","Type manquant",IF(AND(E1158&lt;&gt;"Préventif",E1158&lt;&gt;"Correctif",E1158&lt;&gt;"Amélioratif"),"Type inconnu",IF(I1158="","Statut manquant",IF(AND(I1158&lt;&gt;"Terminée",I1158&lt;&gt;"En cours",I1158&lt;&gt;"À faire",I1158&lt;&gt;"Annulée"),"Statut inconnu",IF(AND(E1158="Préventif",F1158=""),"Plan manquant (préventif)",IF(AND(F1158&lt;&gt;"",ISNA(MATCH(F1158,pl_num,0))),"Plan inconnu",IF(AND(F1158&lt;&gt;"",IFERROR(INDEX(pl_eq,MATCH(F1158,pl_num,0))&amp;"",C1158)&lt;&gt;C1158),"Plan d'un autre équipement",IF(AND(J1158&lt;&gt;"",OR(NOT(ISNUMBER(J1158)),N(J1158)&lt;0)),"Compteur invalide",IF(OR(AND(K1158&lt;&gt;"",OR(NOT(ISNUMBER(K1158)),N(K1158)&lt;0)),AND(L1158&lt;&gt;"",OR(NOT(ISNUMBER(L1158)),N(L1158)&lt;0))),"Durée invalide",IF(OR(AND(N1158&lt;&gt;"",OR(NOT(ISNUMBER(N1158)),N(N1158)&lt;0)),AND(P1158&lt;&gt;"",OR(NOT(ISNUMBER(P1158)),N(P1158)&lt;0))),"Coût invalide",IF(AND(M1158&lt;&gt;"",ISNA(MATCH(M1158,tech_name,0))),"Technicien inconnu",IF(AND(I1158="Terminée",S1158&gt;p_today),"Terminée à une date future",IF(AND(I1158="Terminée",V1158=0),"Durée d'intervention manquante",IF(AND(I1158="Terminée",E1158="Préventif",T1158=0,OR(IFERROR(INDEX(pl_trig,MATCH(F1158,pl_num,0))&amp;"","")="Compteur",IFERROR(INDEX(pl_trig,MATCH(F1158,pl_num,0))&amp;"","")="Au premier des deux")),"Compteur manquant (plan au compteur)","OK"))))))))))))))))))</f>
        <v/>
      </c>
      <c r="S1158" s="67">
        <f>IF(AND(ISNUMBER(B1158),N(B1158)&gt;0),INT(B1158),0)</f>
        <v>0.0</v>
      </c>
      <c r="T1158" s="67">
        <f>IF(AND(ISNUMBER(J1158),N(J1158)&gt;=0),N(J1158),0)</f>
        <v>0.0</v>
      </c>
      <c r="U1158" s="67">
        <f>IF(AND(ISNUMBER(K1158),N(K1158)&gt;0),N(K1158),0)</f>
        <v>0.0</v>
      </c>
      <c r="V1158" s="67">
        <f>IF(AND(ISNUMBER(L1158),N(L1158)&gt;0),N(L1158),0)</f>
        <v>0.0</v>
      </c>
      <c r="W1158" s="67">
        <f>IF(AND(I1158="Terminée",S1158&gt;0,C1158&lt;&gt;"",ISNUMBER(MATCH(C1158,eq_code,0))),1,0)</f>
        <v>0.0</v>
      </c>
      <c r="X1158" s="67">
        <f>IF(AND(W1158=1,E1158="Préventif"),1,0)</f>
        <v>0.0</v>
      </c>
      <c r="Y1158" s="67">
        <f>IF(AND(ISNUMBER(N1158),N(N1158)&gt;0),N(N1158),0)</f>
        <v>0.0</v>
      </c>
      <c r="Z1158" s="67">
        <f>IF(AND(ISNUMBER(P1158),N(P1158)&gt;0),N(P1158),0)</f>
        <v>0.0</v>
      </c>
    </row>
    <row r="1159">
      <c r="A1159" s="79" t="str">
        <f>IF(COUNTA(B1159:C1159,E1159:G1159,I1159)=0,"","BI-"&amp;RIGHT("0000"&amp;(ROW()-5),4))</f>
        <v/>
      </c>
      <c r="B1159" s="72" t="n"/>
      <c r="C1159" s="66" t="n"/>
      <c r="D1159" s="67" t="str">
        <f>IF(C1159="","",IFERROR(INDEX(eq_des,MATCH(C1159,eq_code,0))&amp;"","Équipement inconnu"))</f>
        <v/>
      </c>
      <c r="E1159" s="68" t="n"/>
      <c r="F1159" s="68" t="n"/>
      <c r="G1159" s="66" t="n"/>
      <c r="H1159" s="66" t="n"/>
      <c r="I1159" s="68" t="n"/>
      <c r="J1159" s="73" t="n"/>
      <c r="K1159" s="71" t="n"/>
      <c r="L1159" s="71" t="n"/>
      <c r="M1159" s="66" t="n"/>
      <c r="N1159" s="80" t="n"/>
      <c r="O1159" s="81" t="str">
        <f>IF(A1159="","",ROUND(V1159*IFERROR(N(INDEX(tech_rate,MATCH(M1159,tech_name,0))),0),2))</f>
        <v/>
      </c>
      <c r="P1159" s="80" t="n"/>
      <c r="Q1159" s="81" t="str">
        <f>IF(A1159="","",ROUND(Y1159+O1159+Z1159,2))</f>
        <v/>
      </c>
      <c r="R1159" s="79" t="str">
        <f>IF(A1159="","",IF(S1159=0,"Date manquante ou invalide",IF(C1159="","Équipement manquant",IF(ISNA(MATCH(C1159,eq_code,0)),"Équipement inconnu",IF(E1159="","Type manquant",IF(AND(E1159&lt;&gt;"Préventif",E1159&lt;&gt;"Correctif",E1159&lt;&gt;"Amélioratif"),"Type inconnu",IF(I1159="","Statut manquant",IF(AND(I1159&lt;&gt;"Terminée",I1159&lt;&gt;"En cours",I1159&lt;&gt;"À faire",I1159&lt;&gt;"Annulée"),"Statut inconnu",IF(AND(E1159="Préventif",F1159=""),"Plan manquant (préventif)",IF(AND(F1159&lt;&gt;"",ISNA(MATCH(F1159,pl_num,0))),"Plan inconnu",IF(AND(F1159&lt;&gt;"",IFERROR(INDEX(pl_eq,MATCH(F1159,pl_num,0))&amp;"",C1159)&lt;&gt;C1159),"Plan d'un autre équipement",IF(AND(J1159&lt;&gt;"",OR(NOT(ISNUMBER(J1159)),N(J1159)&lt;0)),"Compteur invalide",IF(OR(AND(K1159&lt;&gt;"",OR(NOT(ISNUMBER(K1159)),N(K1159)&lt;0)),AND(L1159&lt;&gt;"",OR(NOT(ISNUMBER(L1159)),N(L1159)&lt;0))),"Durée invalide",IF(OR(AND(N1159&lt;&gt;"",OR(NOT(ISNUMBER(N1159)),N(N1159)&lt;0)),AND(P1159&lt;&gt;"",OR(NOT(ISNUMBER(P1159)),N(P1159)&lt;0))),"Coût invalide",IF(AND(M1159&lt;&gt;"",ISNA(MATCH(M1159,tech_name,0))),"Technicien inconnu",IF(AND(I1159="Terminée",S1159&gt;p_today),"Terminée à une date future",IF(AND(I1159="Terminée",V1159=0),"Durée d'intervention manquante",IF(AND(I1159="Terminée",E1159="Préventif",T1159=0,OR(IFERROR(INDEX(pl_trig,MATCH(F1159,pl_num,0))&amp;"","")="Compteur",IFERROR(INDEX(pl_trig,MATCH(F1159,pl_num,0))&amp;"","")="Au premier des deux")),"Compteur manquant (plan au compteur)","OK"))))))))))))))))))</f>
        <v/>
      </c>
      <c r="S1159" s="67">
        <f>IF(AND(ISNUMBER(B1159),N(B1159)&gt;0),INT(B1159),0)</f>
        <v>0.0</v>
      </c>
      <c r="T1159" s="67">
        <f>IF(AND(ISNUMBER(J1159),N(J1159)&gt;=0),N(J1159),0)</f>
        <v>0.0</v>
      </c>
      <c r="U1159" s="67">
        <f>IF(AND(ISNUMBER(K1159),N(K1159)&gt;0),N(K1159),0)</f>
        <v>0.0</v>
      </c>
      <c r="V1159" s="67">
        <f>IF(AND(ISNUMBER(L1159),N(L1159)&gt;0),N(L1159),0)</f>
        <v>0.0</v>
      </c>
      <c r="W1159" s="67">
        <f>IF(AND(I1159="Terminée",S1159&gt;0,C1159&lt;&gt;"",ISNUMBER(MATCH(C1159,eq_code,0))),1,0)</f>
        <v>0.0</v>
      </c>
      <c r="X1159" s="67">
        <f>IF(AND(W1159=1,E1159="Préventif"),1,0)</f>
        <v>0.0</v>
      </c>
      <c r="Y1159" s="67">
        <f>IF(AND(ISNUMBER(N1159),N(N1159)&gt;0),N(N1159),0)</f>
        <v>0.0</v>
      </c>
      <c r="Z1159" s="67">
        <f>IF(AND(ISNUMBER(P1159),N(P1159)&gt;0),N(P1159),0)</f>
        <v>0.0</v>
      </c>
    </row>
    <row r="1160">
      <c r="A1160" s="79" t="str">
        <f>IF(COUNTA(B1160:C1160,E1160:G1160,I1160)=0,"","BI-"&amp;RIGHT("0000"&amp;(ROW()-5),4))</f>
        <v/>
      </c>
      <c r="B1160" s="72" t="n"/>
      <c r="C1160" s="66" t="n"/>
      <c r="D1160" s="67" t="str">
        <f>IF(C1160="","",IFERROR(INDEX(eq_des,MATCH(C1160,eq_code,0))&amp;"","Équipement inconnu"))</f>
        <v/>
      </c>
      <c r="E1160" s="68" t="n"/>
      <c r="F1160" s="68" t="n"/>
      <c r="G1160" s="66" t="n"/>
      <c r="H1160" s="66" t="n"/>
      <c r="I1160" s="68" t="n"/>
      <c r="J1160" s="73" t="n"/>
      <c r="K1160" s="71" t="n"/>
      <c r="L1160" s="71" t="n"/>
      <c r="M1160" s="66" t="n"/>
      <c r="N1160" s="80" t="n"/>
      <c r="O1160" s="81" t="str">
        <f>IF(A1160="","",ROUND(V1160*IFERROR(N(INDEX(tech_rate,MATCH(M1160,tech_name,0))),0),2))</f>
        <v/>
      </c>
      <c r="P1160" s="80" t="n"/>
      <c r="Q1160" s="81" t="str">
        <f>IF(A1160="","",ROUND(Y1160+O1160+Z1160,2))</f>
        <v/>
      </c>
      <c r="R1160" s="79" t="str">
        <f>IF(A1160="","",IF(S1160=0,"Date manquante ou invalide",IF(C1160="","Équipement manquant",IF(ISNA(MATCH(C1160,eq_code,0)),"Équipement inconnu",IF(E1160="","Type manquant",IF(AND(E1160&lt;&gt;"Préventif",E1160&lt;&gt;"Correctif",E1160&lt;&gt;"Amélioratif"),"Type inconnu",IF(I1160="","Statut manquant",IF(AND(I1160&lt;&gt;"Terminée",I1160&lt;&gt;"En cours",I1160&lt;&gt;"À faire",I1160&lt;&gt;"Annulée"),"Statut inconnu",IF(AND(E1160="Préventif",F1160=""),"Plan manquant (préventif)",IF(AND(F1160&lt;&gt;"",ISNA(MATCH(F1160,pl_num,0))),"Plan inconnu",IF(AND(F1160&lt;&gt;"",IFERROR(INDEX(pl_eq,MATCH(F1160,pl_num,0))&amp;"",C1160)&lt;&gt;C1160),"Plan d'un autre équipement",IF(AND(J1160&lt;&gt;"",OR(NOT(ISNUMBER(J1160)),N(J1160)&lt;0)),"Compteur invalide",IF(OR(AND(K1160&lt;&gt;"",OR(NOT(ISNUMBER(K1160)),N(K1160)&lt;0)),AND(L1160&lt;&gt;"",OR(NOT(ISNUMBER(L1160)),N(L1160)&lt;0))),"Durée invalide",IF(OR(AND(N1160&lt;&gt;"",OR(NOT(ISNUMBER(N1160)),N(N1160)&lt;0)),AND(P1160&lt;&gt;"",OR(NOT(ISNUMBER(P1160)),N(P1160)&lt;0))),"Coût invalide",IF(AND(M1160&lt;&gt;"",ISNA(MATCH(M1160,tech_name,0))),"Technicien inconnu",IF(AND(I1160="Terminée",S1160&gt;p_today),"Terminée à une date future",IF(AND(I1160="Terminée",V1160=0),"Durée d'intervention manquante",IF(AND(I1160="Terminée",E1160="Préventif",T1160=0,OR(IFERROR(INDEX(pl_trig,MATCH(F1160,pl_num,0))&amp;"","")="Compteur",IFERROR(INDEX(pl_trig,MATCH(F1160,pl_num,0))&amp;"","")="Au premier des deux")),"Compteur manquant (plan au compteur)","OK"))))))))))))))))))</f>
        <v/>
      </c>
      <c r="S1160" s="67">
        <f>IF(AND(ISNUMBER(B1160),N(B1160)&gt;0),INT(B1160),0)</f>
        <v>0.0</v>
      </c>
      <c r="T1160" s="67">
        <f>IF(AND(ISNUMBER(J1160),N(J1160)&gt;=0),N(J1160),0)</f>
        <v>0.0</v>
      </c>
      <c r="U1160" s="67">
        <f>IF(AND(ISNUMBER(K1160),N(K1160)&gt;0),N(K1160),0)</f>
        <v>0.0</v>
      </c>
      <c r="V1160" s="67">
        <f>IF(AND(ISNUMBER(L1160),N(L1160)&gt;0),N(L1160),0)</f>
        <v>0.0</v>
      </c>
      <c r="W1160" s="67">
        <f>IF(AND(I1160="Terminée",S1160&gt;0,C1160&lt;&gt;"",ISNUMBER(MATCH(C1160,eq_code,0))),1,0)</f>
        <v>0.0</v>
      </c>
      <c r="X1160" s="67">
        <f>IF(AND(W1160=1,E1160="Préventif"),1,0)</f>
        <v>0.0</v>
      </c>
      <c r="Y1160" s="67">
        <f>IF(AND(ISNUMBER(N1160),N(N1160)&gt;0),N(N1160),0)</f>
        <v>0.0</v>
      </c>
      <c r="Z1160" s="67">
        <f>IF(AND(ISNUMBER(P1160),N(P1160)&gt;0),N(P1160),0)</f>
        <v>0.0</v>
      </c>
    </row>
    <row r="1161">
      <c r="A1161" s="79" t="str">
        <f>IF(COUNTA(B1161:C1161,E1161:G1161,I1161)=0,"","BI-"&amp;RIGHT("0000"&amp;(ROW()-5),4))</f>
        <v/>
      </c>
      <c r="B1161" s="72" t="n"/>
      <c r="C1161" s="66" t="n"/>
      <c r="D1161" s="67" t="str">
        <f>IF(C1161="","",IFERROR(INDEX(eq_des,MATCH(C1161,eq_code,0))&amp;"","Équipement inconnu"))</f>
        <v/>
      </c>
      <c r="E1161" s="68" t="n"/>
      <c r="F1161" s="68" t="n"/>
      <c r="G1161" s="66" t="n"/>
      <c r="H1161" s="66" t="n"/>
      <c r="I1161" s="68" t="n"/>
      <c r="J1161" s="73" t="n"/>
      <c r="K1161" s="71" t="n"/>
      <c r="L1161" s="71" t="n"/>
      <c r="M1161" s="66" t="n"/>
      <c r="N1161" s="80" t="n"/>
      <c r="O1161" s="81" t="str">
        <f>IF(A1161="","",ROUND(V1161*IFERROR(N(INDEX(tech_rate,MATCH(M1161,tech_name,0))),0),2))</f>
        <v/>
      </c>
      <c r="P1161" s="80" t="n"/>
      <c r="Q1161" s="81" t="str">
        <f>IF(A1161="","",ROUND(Y1161+O1161+Z1161,2))</f>
        <v/>
      </c>
      <c r="R1161" s="79" t="str">
        <f>IF(A1161="","",IF(S1161=0,"Date manquante ou invalide",IF(C1161="","Équipement manquant",IF(ISNA(MATCH(C1161,eq_code,0)),"Équipement inconnu",IF(E1161="","Type manquant",IF(AND(E1161&lt;&gt;"Préventif",E1161&lt;&gt;"Correctif",E1161&lt;&gt;"Amélioratif"),"Type inconnu",IF(I1161="","Statut manquant",IF(AND(I1161&lt;&gt;"Terminée",I1161&lt;&gt;"En cours",I1161&lt;&gt;"À faire",I1161&lt;&gt;"Annulée"),"Statut inconnu",IF(AND(E1161="Préventif",F1161=""),"Plan manquant (préventif)",IF(AND(F1161&lt;&gt;"",ISNA(MATCH(F1161,pl_num,0))),"Plan inconnu",IF(AND(F1161&lt;&gt;"",IFERROR(INDEX(pl_eq,MATCH(F1161,pl_num,0))&amp;"",C1161)&lt;&gt;C1161),"Plan d'un autre équipement",IF(AND(J1161&lt;&gt;"",OR(NOT(ISNUMBER(J1161)),N(J1161)&lt;0)),"Compteur invalide",IF(OR(AND(K1161&lt;&gt;"",OR(NOT(ISNUMBER(K1161)),N(K1161)&lt;0)),AND(L1161&lt;&gt;"",OR(NOT(ISNUMBER(L1161)),N(L1161)&lt;0))),"Durée invalide",IF(OR(AND(N1161&lt;&gt;"",OR(NOT(ISNUMBER(N1161)),N(N1161)&lt;0)),AND(P1161&lt;&gt;"",OR(NOT(ISNUMBER(P1161)),N(P1161)&lt;0))),"Coût invalide",IF(AND(M1161&lt;&gt;"",ISNA(MATCH(M1161,tech_name,0))),"Technicien inconnu",IF(AND(I1161="Terminée",S1161&gt;p_today),"Terminée à une date future",IF(AND(I1161="Terminée",V1161=0),"Durée d'intervention manquante",IF(AND(I1161="Terminée",E1161="Préventif",T1161=0,OR(IFERROR(INDEX(pl_trig,MATCH(F1161,pl_num,0))&amp;"","")="Compteur",IFERROR(INDEX(pl_trig,MATCH(F1161,pl_num,0))&amp;"","")="Au premier des deux")),"Compteur manquant (plan au compteur)","OK"))))))))))))))))))</f>
        <v/>
      </c>
      <c r="S1161" s="67">
        <f>IF(AND(ISNUMBER(B1161),N(B1161)&gt;0),INT(B1161),0)</f>
        <v>0.0</v>
      </c>
      <c r="T1161" s="67">
        <f>IF(AND(ISNUMBER(J1161),N(J1161)&gt;=0),N(J1161),0)</f>
        <v>0.0</v>
      </c>
      <c r="U1161" s="67">
        <f>IF(AND(ISNUMBER(K1161),N(K1161)&gt;0),N(K1161),0)</f>
        <v>0.0</v>
      </c>
      <c r="V1161" s="67">
        <f>IF(AND(ISNUMBER(L1161),N(L1161)&gt;0),N(L1161),0)</f>
        <v>0.0</v>
      </c>
      <c r="W1161" s="67">
        <f>IF(AND(I1161="Terminée",S1161&gt;0,C1161&lt;&gt;"",ISNUMBER(MATCH(C1161,eq_code,0))),1,0)</f>
        <v>0.0</v>
      </c>
      <c r="X1161" s="67">
        <f>IF(AND(W1161=1,E1161="Préventif"),1,0)</f>
        <v>0.0</v>
      </c>
      <c r="Y1161" s="67">
        <f>IF(AND(ISNUMBER(N1161),N(N1161)&gt;0),N(N1161),0)</f>
        <v>0.0</v>
      </c>
      <c r="Z1161" s="67">
        <f>IF(AND(ISNUMBER(P1161),N(P1161)&gt;0),N(P1161),0)</f>
        <v>0.0</v>
      </c>
    </row>
    <row r="1162">
      <c r="A1162" s="79" t="str">
        <f>IF(COUNTA(B1162:C1162,E1162:G1162,I1162)=0,"","BI-"&amp;RIGHT("0000"&amp;(ROW()-5),4))</f>
        <v/>
      </c>
      <c r="B1162" s="72" t="n"/>
      <c r="C1162" s="66" t="n"/>
      <c r="D1162" s="67" t="str">
        <f>IF(C1162="","",IFERROR(INDEX(eq_des,MATCH(C1162,eq_code,0))&amp;"","Équipement inconnu"))</f>
        <v/>
      </c>
      <c r="E1162" s="68" t="n"/>
      <c r="F1162" s="68" t="n"/>
      <c r="G1162" s="66" t="n"/>
      <c r="H1162" s="66" t="n"/>
      <c r="I1162" s="68" t="n"/>
      <c r="J1162" s="73" t="n"/>
      <c r="K1162" s="71" t="n"/>
      <c r="L1162" s="71" t="n"/>
      <c r="M1162" s="66" t="n"/>
      <c r="N1162" s="80" t="n"/>
      <c r="O1162" s="81" t="str">
        <f>IF(A1162="","",ROUND(V1162*IFERROR(N(INDEX(tech_rate,MATCH(M1162,tech_name,0))),0),2))</f>
        <v/>
      </c>
      <c r="P1162" s="80" t="n"/>
      <c r="Q1162" s="81" t="str">
        <f>IF(A1162="","",ROUND(Y1162+O1162+Z1162,2))</f>
        <v/>
      </c>
      <c r="R1162" s="79" t="str">
        <f>IF(A1162="","",IF(S1162=0,"Date manquante ou invalide",IF(C1162="","Équipement manquant",IF(ISNA(MATCH(C1162,eq_code,0)),"Équipement inconnu",IF(E1162="","Type manquant",IF(AND(E1162&lt;&gt;"Préventif",E1162&lt;&gt;"Correctif",E1162&lt;&gt;"Amélioratif"),"Type inconnu",IF(I1162="","Statut manquant",IF(AND(I1162&lt;&gt;"Terminée",I1162&lt;&gt;"En cours",I1162&lt;&gt;"À faire",I1162&lt;&gt;"Annulée"),"Statut inconnu",IF(AND(E1162="Préventif",F1162=""),"Plan manquant (préventif)",IF(AND(F1162&lt;&gt;"",ISNA(MATCH(F1162,pl_num,0))),"Plan inconnu",IF(AND(F1162&lt;&gt;"",IFERROR(INDEX(pl_eq,MATCH(F1162,pl_num,0))&amp;"",C1162)&lt;&gt;C1162),"Plan d'un autre équipement",IF(AND(J1162&lt;&gt;"",OR(NOT(ISNUMBER(J1162)),N(J1162)&lt;0)),"Compteur invalide",IF(OR(AND(K1162&lt;&gt;"",OR(NOT(ISNUMBER(K1162)),N(K1162)&lt;0)),AND(L1162&lt;&gt;"",OR(NOT(ISNUMBER(L1162)),N(L1162)&lt;0))),"Durée invalide",IF(OR(AND(N1162&lt;&gt;"",OR(NOT(ISNUMBER(N1162)),N(N1162)&lt;0)),AND(P1162&lt;&gt;"",OR(NOT(ISNUMBER(P1162)),N(P1162)&lt;0))),"Coût invalide",IF(AND(M1162&lt;&gt;"",ISNA(MATCH(M1162,tech_name,0))),"Technicien inconnu",IF(AND(I1162="Terminée",S1162&gt;p_today),"Terminée à une date future",IF(AND(I1162="Terminée",V1162=0),"Durée d'intervention manquante",IF(AND(I1162="Terminée",E1162="Préventif",T1162=0,OR(IFERROR(INDEX(pl_trig,MATCH(F1162,pl_num,0))&amp;"","")="Compteur",IFERROR(INDEX(pl_trig,MATCH(F1162,pl_num,0))&amp;"","")="Au premier des deux")),"Compteur manquant (plan au compteur)","OK"))))))))))))))))))</f>
        <v/>
      </c>
      <c r="S1162" s="67">
        <f>IF(AND(ISNUMBER(B1162),N(B1162)&gt;0),INT(B1162),0)</f>
        <v>0.0</v>
      </c>
      <c r="T1162" s="67">
        <f>IF(AND(ISNUMBER(J1162),N(J1162)&gt;=0),N(J1162),0)</f>
        <v>0.0</v>
      </c>
      <c r="U1162" s="67">
        <f>IF(AND(ISNUMBER(K1162),N(K1162)&gt;0),N(K1162),0)</f>
        <v>0.0</v>
      </c>
      <c r="V1162" s="67">
        <f>IF(AND(ISNUMBER(L1162),N(L1162)&gt;0),N(L1162),0)</f>
        <v>0.0</v>
      </c>
      <c r="W1162" s="67">
        <f>IF(AND(I1162="Terminée",S1162&gt;0,C1162&lt;&gt;"",ISNUMBER(MATCH(C1162,eq_code,0))),1,0)</f>
        <v>0.0</v>
      </c>
      <c r="X1162" s="67">
        <f>IF(AND(W1162=1,E1162="Préventif"),1,0)</f>
        <v>0.0</v>
      </c>
      <c r="Y1162" s="67">
        <f>IF(AND(ISNUMBER(N1162),N(N1162)&gt;0),N(N1162),0)</f>
        <v>0.0</v>
      </c>
      <c r="Z1162" s="67">
        <f>IF(AND(ISNUMBER(P1162),N(P1162)&gt;0),N(P1162),0)</f>
        <v>0.0</v>
      </c>
    </row>
    <row r="1163">
      <c r="A1163" s="79" t="str">
        <f>IF(COUNTA(B1163:C1163,E1163:G1163,I1163)=0,"","BI-"&amp;RIGHT("0000"&amp;(ROW()-5),4))</f>
        <v/>
      </c>
      <c r="B1163" s="72" t="n"/>
      <c r="C1163" s="66" t="n"/>
      <c r="D1163" s="67" t="str">
        <f>IF(C1163="","",IFERROR(INDEX(eq_des,MATCH(C1163,eq_code,0))&amp;"","Équipement inconnu"))</f>
        <v/>
      </c>
      <c r="E1163" s="68" t="n"/>
      <c r="F1163" s="68" t="n"/>
      <c r="G1163" s="66" t="n"/>
      <c r="H1163" s="66" t="n"/>
      <c r="I1163" s="68" t="n"/>
      <c r="J1163" s="73" t="n"/>
      <c r="K1163" s="71" t="n"/>
      <c r="L1163" s="71" t="n"/>
      <c r="M1163" s="66" t="n"/>
      <c r="N1163" s="80" t="n"/>
      <c r="O1163" s="81" t="str">
        <f>IF(A1163="","",ROUND(V1163*IFERROR(N(INDEX(tech_rate,MATCH(M1163,tech_name,0))),0),2))</f>
        <v/>
      </c>
      <c r="P1163" s="80" t="n"/>
      <c r="Q1163" s="81" t="str">
        <f>IF(A1163="","",ROUND(Y1163+O1163+Z1163,2))</f>
        <v/>
      </c>
      <c r="R1163" s="79" t="str">
        <f>IF(A1163="","",IF(S1163=0,"Date manquante ou invalide",IF(C1163="","Équipement manquant",IF(ISNA(MATCH(C1163,eq_code,0)),"Équipement inconnu",IF(E1163="","Type manquant",IF(AND(E1163&lt;&gt;"Préventif",E1163&lt;&gt;"Correctif",E1163&lt;&gt;"Amélioratif"),"Type inconnu",IF(I1163="","Statut manquant",IF(AND(I1163&lt;&gt;"Terminée",I1163&lt;&gt;"En cours",I1163&lt;&gt;"À faire",I1163&lt;&gt;"Annulée"),"Statut inconnu",IF(AND(E1163="Préventif",F1163=""),"Plan manquant (préventif)",IF(AND(F1163&lt;&gt;"",ISNA(MATCH(F1163,pl_num,0))),"Plan inconnu",IF(AND(F1163&lt;&gt;"",IFERROR(INDEX(pl_eq,MATCH(F1163,pl_num,0))&amp;"",C1163)&lt;&gt;C1163),"Plan d'un autre équipement",IF(AND(J1163&lt;&gt;"",OR(NOT(ISNUMBER(J1163)),N(J1163)&lt;0)),"Compteur invalide",IF(OR(AND(K1163&lt;&gt;"",OR(NOT(ISNUMBER(K1163)),N(K1163)&lt;0)),AND(L1163&lt;&gt;"",OR(NOT(ISNUMBER(L1163)),N(L1163)&lt;0))),"Durée invalide",IF(OR(AND(N1163&lt;&gt;"",OR(NOT(ISNUMBER(N1163)),N(N1163)&lt;0)),AND(P1163&lt;&gt;"",OR(NOT(ISNUMBER(P1163)),N(P1163)&lt;0))),"Coût invalide",IF(AND(M1163&lt;&gt;"",ISNA(MATCH(M1163,tech_name,0))),"Technicien inconnu",IF(AND(I1163="Terminée",S1163&gt;p_today),"Terminée à une date future",IF(AND(I1163="Terminée",V1163=0),"Durée d'intervention manquante",IF(AND(I1163="Terminée",E1163="Préventif",T1163=0,OR(IFERROR(INDEX(pl_trig,MATCH(F1163,pl_num,0))&amp;"","")="Compteur",IFERROR(INDEX(pl_trig,MATCH(F1163,pl_num,0))&amp;"","")="Au premier des deux")),"Compteur manquant (plan au compteur)","OK"))))))))))))))))))</f>
        <v/>
      </c>
      <c r="S1163" s="67">
        <f>IF(AND(ISNUMBER(B1163),N(B1163)&gt;0),INT(B1163),0)</f>
        <v>0.0</v>
      </c>
      <c r="T1163" s="67">
        <f>IF(AND(ISNUMBER(J1163),N(J1163)&gt;=0),N(J1163),0)</f>
        <v>0.0</v>
      </c>
      <c r="U1163" s="67">
        <f>IF(AND(ISNUMBER(K1163),N(K1163)&gt;0),N(K1163),0)</f>
        <v>0.0</v>
      </c>
      <c r="V1163" s="67">
        <f>IF(AND(ISNUMBER(L1163),N(L1163)&gt;0),N(L1163),0)</f>
        <v>0.0</v>
      </c>
      <c r="W1163" s="67">
        <f>IF(AND(I1163="Terminée",S1163&gt;0,C1163&lt;&gt;"",ISNUMBER(MATCH(C1163,eq_code,0))),1,0)</f>
        <v>0.0</v>
      </c>
      <c r="X1163" s="67">
        <f>IF(AND(W1163=1,E1163="Préventif"),1,0)</f>
        <v>0.0</v>
      </c>
      <c r="Y1163" s="67">
        <f>IF(AND(ISNUMBER(N1163),N(N1163)&gt;0),N(N1163),0)</f>
        <v>0.0</v>
      </c>
      <c r="Z1163" s="67">
        <f>IF(AND(ISNUMBER(P1163),N(P1163)&gt;0),N(P1163),0)</f>
        <v>0.0</v>
      </c>
    </row>
    <row r="1164">
      <c r="A1164" s="79" t="str">
        <f>IF(COUNTA(B1164:C1164,E1164:G1164,I1164)=0,"","BI-"&amp;RIGHT("0000"&amp;(ROW()-5),4))</f>
        <v/>
      </c>
      <c r="B1164" s="72" t="n"/>
      <c r="C1164" s="66" t="n"/>
      <c r="D1164" s="67" t="str">
        <f>IF(C1164="","",IFERROR(INDEX(eq_des,MATCH(C1164,eq_code,0))&amp;"","Équipement inconnu"))</f>
        <v/>
      </c>
      <c r="E1164" s="68" t="n"/>
      <c r="F1164" s="68" t="n"/>
      <c r="G1164" s="66" t="n"/>
      <c r="H1164" s="66" t="n"/>
      <c r="I1164" s="68" t="n"/>
      <c r="J1164" s="73" t="n"/>
      <c r="K1164" s="71" t="n"/>
      <c r="L1164" s="71" t="n"/>
      <c r="M1164" s="66" t="n"/>
      <c r="N1164" s="80" t="n"/>
      <c r="O1164" s="81" t="str">
        <f>IF(A1164="","",ROUND(V1164*IFERROR(N(INDEX(tech_rate,MATCH(M1164,tech_name,0))),0),2))</f>
        <v/>
      </c>
      <c r="P1164" s="80" t="n"/>
      <c r="Q1164" s="81" t="str">
        <f>IF(A1164="","",ROUND(Y1164+O1164+Z1164,2))</f>
        <v/>
      </c>
      <c r="R1164" s="79" t="str">
        <f>IF(A1164="","",IF(S1164=0,"Date manquante ou invalide",IF(C1164="","Équipement manquant",IF(ISNA(MATCH(C1164,eq_code,0)),"Équipement inconnu",IF(E1164="","Type manquant",IF(AND(E1164&lt;&gt;"Préventif",E1164&lt;&gt;"Correctif",E1164&lt;&gt;"Amélioratif"),"Type inconnu",IF(I1164="","Statut manquant",IF(AND(I1164&lt;&gt;"Terminée",I1164&lt;&gt;"En cours",I1164&lt;&gt;"À faire",I1164&lt;&gt;"Annulée"),"Statut inconnu",IF(AND(E1164="Préventif",F1164=""),"Plan manquant (préventif)",IF(AND(F1164&lt;&gt;"",ISNA(MATCH(F1164,pl_num,0))),"Plan inconnu",IF(AND(F1164&lt;&gt;"",IFERROR(INDEX(pl_eq,MATCH(F1164,pl_num,0))&amp;"",C1164)&lt;&gt;C1164),"Plan d'un autre équipement",IF(AND(J1164&lt;&gt;"",OR(NOT(ISNUMBER(J1164)),N(J1164)&lt;0)),"Compteur invalide",IF(OR(AND(K1164&lt;&gt;"",OR(NOT(ISNUMBER(K1164)),N(K1164)&lt;0)),AND(L1164&lt;&gt;"",OR(NOT(ISNUMBER(L1164)),N(L1164)&lt;0))),"Durée invalide",IF(OR(AND(N1164&lt;&gt;"",OR(NOT(ISNUMBER(N1164)),N(N1164)&lt;0)),AND(P1164&lt;&gt;"",OR(NOT(ISNUMBER(P1164)),N(P1164)&lt;0))),"Coût invalide",IF(AND(M1164&lt;&gt;"",ISNA(MATCH(M1164,tech_name,0))),"Technicien inconnu",IF(AND(I1164="Terminée",S1164&gt;p_today),"Terminée à une date future",IF(AND(I1164="Terminée",V1164=0),"Durée d'intervention manquante",IF(AND(I1164="Terminée",E1164="Préventif",T1164=0,OR(IFERROR(INDEX(pl_trig,MATCH(F1164,pl_num,0))&amp;"","")="Compteur",IFERROR(INDEX(pl_trig,MATCH(F1164,pl_num,0))&amp;"","")="Au premier des deux")),"Compteur manquant (plan au compteur)","OK"))))))))))))))))))</f>
        <v/>
      </c>
      <c r="S1164" s="67">
        <f>IF(AND(ISNUMBER(B1164),N(B1164)&gt;0),INT(B1164),0)</f>
        <v>0.0</v>
      </c>
      <c r="T1164" s="67">
        <f>IF(AND(ISNUMBER(J1164),N(J1164)&gt;=0),N(J1164),0)</f>
        <v>0.0</v>
      </c>
      <c r="U1164" s="67">
        <f>IF(AND(ISNUMBER(K1164),N(K1164)&gt;0),N(K1164),0)</f>
        <v>0.0</v>
      </c>
      <c r="V1164" s="67">
        <f>IF(AND(ISNUMBER(L1164),N(L1164)&gt;0),N(L1164),0)</f>
        <v>0.0</v>
      </c>
      <c r="W1164" s="67">
        <f>IF(AND(I1164="Terminée",S1164&gt;0,C1164&lt;&gt;"",ISNUMBER(MATCH(C1164,eq_code,0))),1,0)</f>
        <v>0.0</v>
      </c>
      <c r="X1164" s="67">
        <f>IF(AND(W1164=1,E1164="Préventif"),1,0)</f>
        <v>0.0</v>
      </c>
      <c r="Y1164" s="67">
        <f>IF(AND(ISNUMBER(N1164),N(N1164)&gt;0),N(N1164),0)</f>
        <v>0.0</v>
      </c>
      <c r="Z1164" s="67">
        <f>IF(AND(ISNUMBER(P1164),N(P1164)&gt;0),N(P1164),0)</f>
        <v>0.0</v>
      </c>
    </row>
    <row r="1165">
      <c r="A1165" s="79" t="str">
        <f>IF(COUNTA(B1165:C1165,E1165:G1165,I1165)=0,"","BI-"&amp;RIGHT("0000"&amp;(ROW()-5),4))</f>
        <v/>
      </c>
      <c r="B1165" s="72" t="n"/>
      <c r="C1165" s="66" t="n"/>
      <c r="D1165" s="67" t="str">
        <f>IF(C1165="","",IFERROR(INDEX(eq_des,MATCH(C1165,eq_code,0))&amp;"","Équipement inconnu"))</f>
        <v/>
      </c>
      <c r="E1165" s="68" t="n"/>
      <c r="F1165" s="68" t="n"/>
      <c r="G1165" s="66" t="n"/>
      <c r="H1165" s="66" t="n"/>
      <c r="I1165" s="68" t="n"/>
      <c r="J1165" s="73" t="n"/>
      <c r="K1165" s="71" t="n"/>
      <c r="L1165" s="71" t="n"/>
      <c r="M1165" s="66" t="n"/>
      <c r="N1165" s="80" t="n"/>
      <c r="O1165" s="81" t="str">
        <f>IF(A1165="","",ROUND(V1165*IFERROR(N(INDEX(tech_rate,MATCH(M1165,tech_name,0))),0),2))</f>
        <v/>
      </c>
      <c r="P1165" s="80" t="n"/>
      <c r="Q1165" s="81" t="str">
        <f>IF(A1165="","",ROUND(Y1165+O1165+Z1165,2))</f>
        <v/>
      </c>
      <c r="R1165" s="79" t="str">
        <f>IF(A1165="","",IF(S1165=0,"Date manquante ou invalide",IF(C1165="","Équipement manquant",IF(ISNA(MATCH(C1165,eq_code,0)),"Équipement inconnu",IF(E1165="","Type manquant",IF(AND(E1165&lt;&gt;"Préventif",E1165&lt;&gt;"Correctif",E1165&lt;&gt;"Amélioratif"),"Type inconnu",IF(I1165="","Statut manquant",IF(AND(I1165&lt;&gt;"Terminée",I1165&lt;&gt;"En cours",I1165&lt;&gt;"À faire",I1165&lt;&gt;"Annulée"),"Statut inconnu",IF(AND(E1165="Préventif",F1165=""),"Plan manquant (préventif)",IF(AND(F1165&lt;&gt;"",ISNA(MATCH(F1165,pl_num,0))),"Plan inconnu",IF(AND(F1165&lt;&gt;"",IFERROR(INDEX(pl_eq,MATCH(F1165,pl_num,0))&amp;"",C1165)&lt;&gt;C1165),"Plan d'un autre équipement",IF(AND(J1165&lt;&gt;"",OR(NOT(ISNUMBER(J1165)),N(J1165)&lt;0)),"Compteur invalide",IF(OR(AND(K1165&lt;&gt;"",OR(NOT(ISNUMBER(K1165)),N(K1165)&lt;0)),AND(L1165&lt;&gt;"",OR(NOT(ISNUMBER(L1165)),N(L1165)&lt;0))),"Durée invalide",IF(OR(AND(N1165&lt;&gt;"",OR(NOT(ISNUMBER(N1165)),N(N1165)&lt;0)),AND(P1165&lt;&gt;"",OR(NOT(ISNUMBER(P1165)),N(P1165)&lt;0))),"Coût invalide",IF(AND(M1165&lt;&gt;"",ISNA(MATCH(M1165,tech_name,0))),"Technicien inconnu",IF(AND(I1165="Terminée",S1165&gt;p_today),"Terminée à une date future",IF(AND(I1165="Terminée",V1165=0),"Durée d'intervention manquante",IF(AND(I1165="Terminée",E1165="Préventif",T1165=0,OR(IFERROR(INDEX(pl_trig,MATCH(F1165,pl_num,0))&amp;"","")="Compteur",IFERROR(INDEX(pl_trig,MATCH(F1165,pl_num,0))&amp;"","")="Au premier des deux")),"Compteur manquant (plan au compteur)","OK"))))))))))))))))))</f>
        <v/>
      </c>
      <c r="S1165" s="67">
        <f>IF(AND(ISNUMBER(B1165),N(B1165)&gt;0),INT(B1165),0)</f>
        <v>0.0</v>
      </c>
      <c r="T1165" s="67">
        <f>IF(AND(ISNUMBER(J1165),N(J1165)&gt;=0),N(J1165),0)</f>
        <v>0.0</v>
      </c>
      <c r="U1165" s="67">
        <f>IF(AND(ISNUMBER(K1165),N(K1165)&gt;0),N(K1165),0)</f>
        <v>0.0</v>
      </c>
      <c r="V1165" s="67">
        <f>IF(AND(ISNUMBER(L1165),N(L1165)&gt;0),N(L1165),0)</f>
        <v>0.0</v>
      </c>
      <c r="W1165" s="67">
        <f>IF(AND(I1165="Terminée",S1165&gt;0,C1165&lt;&gt;"",ISNUMBER(MATCH(C1165,eq_code,0))),1,0)</f>
        <v>0.0</v>
      </c>
      <c r="X1165" s="67">
        <f>IF(AND(W1165=1,E1165="Préventif"),1,0)</f>
        <v>0.0</v>
      </c>
      <c r="Y1165" s="67">
        <f>IF(AND(ISNUMBER(N1165),N(N1165)&gt;0),N(N1165),0)</f>
        <v>0.0</v>
      </c>
      <c r="Z1165" s="67">
        <f>IF(AND(ISNUMBER(P1165),N(P1165)&gt;0),N(P1165),0)</f>
        <v>0.0</v>
      </c>
    </row>
    <row r="1166">
      <c r="A1166" s="79" t="str">
        <f>IF(COUNTA(B1166:C1166,E1166:G1166,I1166)=0,"","BI-"&amp;RIGHT("0000"&amp;(ROW()-5),4))</f>
        <v/>
      </c>
      <c r="B1166" s="72" t="n"/>
      <c r="C1166" s="66" t="n"/>
      <c r="D1166" s="67" t="str">
        <f>IF(C1166="","",IFERROR(INDEX(eq_des,MATCH(C1166,eq_code,0))&amp;"","Équipement inconnu"))</f>
        <v/>
      </c>
      <c r="E1166" s="68" t="n"/>
      <c r="F1166" s="68" t="n"/>
      <c r="G1166" s="66" t="n"/>
      <c r="H1166" s="66" t="n"/>
      <c r="I1166" s="68" t="n"/>
      <c r="J1166" s="73" t="n"/>
      <c r="K1166" s="71" t="n"/>
      <c r="L1166" s="71" t="n"/>
      <c r="M1166" s="66" t="n"/>
      <c r="N1166" s="80" t="n"/>
      <c r="O1166" s="81" t="str">
        <f>IF(A1166="","",ROUND(V1166*IFERROR(N(INDEX(tech_rate,MATCH(M1166,tech_name,0))),0),2))</f>
        <v/>
      </c>
      <c r="P1166" s="80" t="n"/>
      <c r="Q1166" s="81" t="str">
        <f>IF(A1166="","",ROUND(Y1166+O1166+Z1166,2))</f>
        <v/>
      </c>
      <c r="R1166" s="79" t="str">
        <f>IF(A1166="","",IF(S1166=0,"Date manquante ou invalide",IF(C1166="","Équipement manquant",IF(ISNA(MATCH(C1166,eq_code,0)),"Équipement inconnu",IF(E1166="","Type manquant",IF(AND(E1166&lt;&gt;"Préventif",E1166&lt;&gt;"Correctif",E1166&lt;&gt;"Amélioratif"),"Type inconnu",IF(I1166="","Statut manquant",IF(AND(I1166&lt;&gt;"Terminée",I1166&lt;&gt;"En cours",I1166&lt;&gt;"À faire",I1166&lt;&gt;"Annulée"),"Statut inconnu",IF(AND(E1166="Préventif",F1166=""),"Plan manquant (préventif)",IF(AND(F1166&lt;&gt;"",ISNA(MATCH(F1166,pl_num,0))),"Plan inconnu",IF(AND(F1166&lt;&gt;"",IFERROR(INDEX(pl_eq,MATCH(F1166,pl_num,0))&amp;"",C1166)&lt;&gt;C1166),"Plan d'un autre équipement",IF(AND(J1166&lt;&gt;"",OR(NOT(ISNUMBER(J1166)),N(J1166)&lt;0)),"Compteur invalide",IF(OR(AND(K1166&lt;&gt;"",OR(NOT(ISNUMBER(K1166)),N(K1166)&lt;0)),AND(L1166&lt;&gt;"",OR(NOT(ISNUMBER(L1166)),N(L1166)&lt;0))),"Durée invalide",IF(OR(AND(N1166&lt;&gt;"",OR(NOT(ISNUMBER(N1166)),N(N1166)&lt;0)),AND(P1166&lt;&gt;"",OR(NOT(ISNUMBER(P1166)),N(P1166)&lt;0))),"Coût invalide",IF(AND(M1166&lt;&gt;"",ISNA(MATCH(M1166,tech_name,0))),"Technicien inconnu",IF(AND(I1166="Terminée",S1166&gt;p_today),"Terminée à une date future",IF(AND(I1166="Terminée",V1166=0),"Durée d'intervention manquante",IF(AND(I1166="Terminée",E1166="Préventif",T1166=0,OR(IFERROR(INDEX(pl_trig,MATCH(F1166,pl_num,0))&amp;"","")="Compteur",IFERROR(INDEX(pl_trig,MATCH(F1166,pl_num,0))&amp;"","")="Au premier des deux")),"Compteur manquant (plan au compteur)","OK"))))))))))))))))))</f>
        <v/>
      </c>
      <c r="S1166" s="67">
        <f>IF(AND(ISNUMBER(B1166),N(B1166)&gt;0),INT(B1166),0)</f>
        <v>0.0</v>
      </c>
      <c r="T1166" s="67">
        <f>IF(AND(ISNUMBER(J1166),N(J1166)&gt;=0),N(J1166),0)</f>
        <v>0.0</v>
      </c>
      <c r="U1166" s="67">
        <f>IF(AND(ISNUMBER(K1166),N(K1166)&gt;0),N(K1166),0)</f>
        <v>0.0</v>
      </c>
      <c r="V1166" s="67">
        <f>IF(AND(ISNUMBER(L1166),N(L1166)&gt;0),N(L1166),0)</f>
        <v>0.0</v>
      </c>
      <c r="W1166" s="67">
        <f>IF(AND(I1166="Terminée",S1166&gt;0,C1166&lt;&gt;"",ISNUMBER(MATCH(C1166,eq_code,0))),1,0)</f>
        <v>0.0</v>
      </c>
      <c r="X1166" s="67">
        <f>IF(AND(W1166=1,E1166="Préventif"),1,0)</f>
        <v>0.0</v>
      </c>
      <c r="Y1166" s="67">
        <f>IF(AND(ISNUMBER(N1166),N(N1166)&gt;0),N(N1166),0)</f>
        <v>0.0</v>
      </c>
      <c r="Z1166" s="67">
        <f>IF(AND(ISNUMBER(P1166),N(P1166)&gt;0),N(P1166),0)</f>
        <v>0.0</v>
      </c>
    </row>
    <row r="1167">
      <c r="A1167" s="79" t="str">
        <f>IF(COUNTA(B1167:C1167,E1167:G1167,I1167)=0,"","BI-"&amp;RIGHT("0000"&amp;(ROW()-5),4))</f>
        <v/>
      </c>
      <c r="B1167" s="72" t="n"/>
      <c r="C1167" s="66" t="n"/>
      <c r="D1167" s="67" t="str">
        <f>IF(C1167="","",IFERROR(INDEX(eq_des,MATCH(C1167,eq_code,0))&amp;"","Équipement inconnu"))</f>
        <v/>
      </c>
      <c r="E1167" s="68" t="n"/>
      <c r="F1167" s="68" t="n"/>
      <c r="G1167" s="66" t="n"/>
      <c r="H1167" s="66" t="n"/>
      <c r="I1167" s="68" t="n"/>
      <c r="J1167" s="73" t="n"/>
      <c r="K1167" s="71" t="n"/>
      <c r="L1167" s="71" t="n"/>
      <c r="M1167" s="66" t="n"/>
      <c r="N1167" s="80" t="n"/>
      <c r="O1167" s="81" t="str">
        <f>IF(A1167="","",ROUND(V1167*IFERROR(N(INDEX(tech_rate,MATCH(M1167,tech_name,0))),0),2))</f>
        <v/>
      </c>
      <c r="P1167" s="80" t="n"/>
      <c r="Q1167" s="81" t="str">
        <f>IF(A1167="","",ROUND(Y1167+O1167+Z1167,2))</f>
        <v/>
      </c>
      <c r="R1167" s="79" t="str">
        <f>IF(A1167="","",IF(S1167=0,"Date manquante ou invalide",IF(C1167="","Équipement manquant",IF(ISNA(MATCH(C1167,eq_code,0)),"Équipement inconnu",IF(E1167="","Type manquant",IF(AND(E1167&lt;&gt;"Préventif",E1167&lt;&gt;"Correctif",E1167&lt;&gt;"Amélioratif"),"Type inconnu",IF(I1167="","Statut manquant",IF(AND(I1167&lt;&gt;"Terminée",I1167&lt;&gt;"En cours",I1167&lt;&gt;"À faire",I1167&lt;&gt;"Annulée"),"Statut inconnu",IF(AND(E1167="Préventif",F1167=""),"Plan manquant (préventif)",IF(AND(F1167&lt;&gt;"",ISNA(MATCH(F1167,pl_num,0))),"Plan inconnu",IF(AND(F1167&lt;&gt;"",IFERROR(INDEX(pl_eq,MATCH(F1167,pl_num,0))&amp;"",C1167)&lt;&gt;C1167),"Plan d'un autre équipement",IF(AND(J1167&lt;&gt;"",OR(NOT(ISNUMBER(J1167)),N(J1167)&lt;0)),"Compteur invalide",IF(OR(AND(K1167&lt;&gt;"",OR(NOT(ISNUMBER(K1167)),N(K1167)&lt;0)),AND(L1167&lt;&gt;"",OR(NOT(ISNUMBER(L1167)),N(L1167)&lt;0))),"Durée invalide",IF(OR(AND(N1167&lt;&gt;"",OR(NOT(ISNUMBER(N1167)),N(N1167)&lt;0)),AND(P1167&lt;&gt;"",OR(NOT(ISNUMBER(P1167)),N(P1167)&lt;0))),"Coût invalide",IF(AND(M1167&lt;&gt;"",ISNA(MATCH(M1167,tech_name,0))),"Technicien inconnu",IF(AND(I1167="Terminée",S1167&gt;p_today),"Terminée à une date future",IF(AND(I1167="Terminée",V1167=0),"Durée d'intervention manquante",IF(AND(I1167="Terminée",E1167="Préventif",T1167=0,OR(IFERROR(INDEX(pl_trig,MATCH(F1167,pl_num,0))&amp;"","")="Compteur",IFERROR(INDEX(pl_trig,MATCH(F1167,pl_num,0))&amp;"","")="Au premier des deux")),"Compteur manquant (plan au compteur)","OK"))))))))))))))))))</f>
        <v/>
      </c>
      <c r="S1167" s="67">
        <f>IF(AND(ISNUMBER(B1167),N(B1167)&gt;0),INT(B1167),0)</f>
        <v>0.0</v>
      </c>
      <c r="T1167" s="67">
        <f>IF(AND(ISNUMBER(J1167),N(J1167)&gt;=0),N(J1167),0)</f>
        <v>0.0</v>
      </c>
      <c r="U1167" s="67">
        <f>IF(AND(ISNUMBER(K1167),N(K1167)&gt;0),N(K1167),0)</f>
        <v>0.0</v>
      </c>
      <c r="V1167" s="67">
        <f>IF(AND(ISNUMBER(L1167),N(L1167)&gt;0),N(L1167),0)</f>
        <v>0.0</v>
      </c>
      <c r="W1167" s="67">
        <f>IF(AND(I1167="Terminée",S1167&gt;0,C1167&lt;&gt;"",ISNUMBER(MATCH(C1167,eq_code,0))),1,0)</f>
        <v>0.0</v>
      </c>
      <c r="X1167" s="67">
        <f>IF(AND(W1167=1,E1167="Préventif"),1,0)</f>
        <v>0.0</v>
      </c>
      <c r="Y1167" s="67">
        <f>IF(AND(ISNUMBER(N1167),N(N1167)&gt;0),N(N1167),0)</f>
        <v>0.0</v>
      </c>
      <c r="Z1167" s="67">
        <f>IF(AND(ISNUMBER(P1167),N(P1167)&gt;0),N(P1167),0)</f>
        <v>0.0</v>
      </c>
    </row>
    <row r="1168">
      <c r="A1168" s="79" t="str">
        <f>IF(COUNTA(B1168:C1168,E1168:G1168,I1168)=0,"","BI-"&amp;RIGHT("0000"&amp;(ROW()-5),4))</f>
        <v/>
      </c>
      <c r="B1168" s="72" t="n"/>
      <c r="C1168" s="66" t="n"/>
      <c r="D1168" s="67" t="str">
        <f>IF(C1168="","",IFERROR(INDEX(eq_des,MATCH(C1168,eq_code,0))&amp;"","Équipement inconnu"))</f>
        <v/>
      </c>
      <c r="E1168" s="68" t="n"/>
      <c r="F1168" s="68" t="n"/>
      <c r="G1168" s="66" t="n"/>
      <c r="H1168" s="66" t="n"/>
      <c r="I1168" s="68" t="n"/>
      <c r="J1168" s="73" t="n"/>
      <c r="K1168" s="71" t="n"/>
      <c r="L1168" s="71" t="n"/>
      <c r="M1168" s="66" t="n"/>
      <c r="N1168" s="80" t="n"/>
      <c r="O1168" s="81" t="str">
        <f>IF(A1168="","",ROUND(V1168*IFERROR(N(INDEX(tech_rate,MATCH(M1168,tech_name,0))),0),2))</f>
        <v/>
      </c>
      <c r="P1168" s="80" t="n"/>
      <c r="Q1168" s="81" t="str">
        <f>IF(A1168="","",ROUND(Y1168+O1168+Z1168,2))</f>
        <v/>
      </c>
      <c r="R1168" s="79" t="str">
        <f>IF(A1168="","",IF(S1168=0,"Date manquante ou invalide",IF(C1168="","Équipement manquant",IF(ISNA(MATCH(C1168,eq_code,0)),"Équipement inconnu",IF(E1168="","Type manquant",IF(AND(E1168&lt;&gt;"Préventif",E1168&lt;&gt;"Correctif",E1168&lt;&gt;"Amélioratif"),"Type inconnu",IF(I1168="","Statut manquant",IF(AND(I1168&lt;&gt;"Terminée",I1168&lt;&gt;"En cours",I1168&lt;&gt;"À faire",I1168&lt;&gt;"Annulée"),"Statut inconnu",IF(AND(E1168="Préventif",F1168=""),"Plan manquant (préventif)",IF(AND(F1168&lt;&gt;"",ISNA(MATCH(F1168,pl_num,0))),"Plan inconnu",IF(AND(F1168&lt;&gt;"",IFERROR(INDEX(pl_eq,MATCH(F1168,pl_num,0))&amp;"",C1168)&lt;&gt;C1168),"Plan d'un autre équipement",IF(AND(J1168&lt;&gt;"",OR(NOT(ISNUMBER(J1168)),N(J1168)&lt;0)),"Compteur invalide",IF(OR(AND(K1168&lt;&gt;"",OR(NOT(ISNUMBER(K1168)),N(K1168)&lt;0)),AND(L1168&lt;&gt;"",OR(NOT(ISNUMBER(L1168)),N(L1168)&lt;0))),"Durée invalide",IF(OR(AND(N1168&lt;&gt;"",OR(NOT(ISNUMBER(N1168)),N(N1168)&lt;0)),AND(P1168&lt;&gt;"",OR(NOT(ISNUMBER(P1168)),N(P1168)&lt;0))),"Coût invalide",IF(AND(M1168&lt;&gt;"",ISNA(MATCH(M1168,tech_name,0))),"Technicien inconnu",IF(AND(I1168="Terminée",S1168&gt;p_today),"Terminée à une date future",IF(AND(I1168="Terminée",V1168=0),"Durée d'intervention manquante",IF(AND(I1168="Terminée",E1168="Préventif",T1168=0,OR(IFERROR(INDEX(pl_trig,MATCH(F1168,pl_num,0))&amp;"","")="Compteur",IFERROR(INDEX(pl_trig,MATCH(F1168,pl_num,0))&amp;"","")="Au premier des deux")),"Compteur manquant (plan au compteur)","OK"))))))))))))))))))</f>
        <v/>
      </c>
      <c r="S1168" s="67">
        <f>IF(AND(ISNUMBER(B1168),N(B1168)&gt;0),INT(B1168),0)</f>
        <v>0.0</v>
      </c>
      <c r="T1168" s="67">
        <f>IF(AND(ISNUMBER(J1168),N(J1168)&gt;=0),N(J1168),0)</f>
        <v>0.0</v>
      </c>
      <c r="U1168" s="67">
        <f>IF(AND(ISNUMBER(K1168),N(K1168)&gt;0),N(K1168),0)</f>
        <v>0.0</v>
      </c>
      <c r="V1168" s="67">
        <f>IF(AND(ISNUMBER(L1168),N(L1168)&gt;0),N(L1168),0)</f>
        <v>0.0</v>
      </c>
      <c r="W1168" s="67">
        <f>IF(AND(I1168="Terminée",S1168&gt;0,C1168&lt;&gt;"",ISNUMBER(MATCH(C1168,eq_code,0))),1,0)</f>
        <v>0.0</v>
      </c>
      <c r="X1168" s="67">
        <f>IF(AND(W1168=1,E1168="Préventif"),1,0)</f>
        <v>0.0</v>
      </c>
      <c r="Y1168" s="67">
        <f>IF(AND(ISNUMBER(N1168),N(N1168)&gt;0),N(N1168),0)</f>
        <v>0.0</v>
      </c>
      <c r="Z1168" s="67">
        <f>IF(AND(ISNUMBER(P1168),N(P1168)&gt;0),N(P1168),0)</f>
        <v>0.0</v>
      </c>
    </row>
    <row r="1169">
      <c r="A1169" s="79" t="str">
        <f>IF(COUNTA(B1169:C1169,E1169:G1169,I1169)=0,"","BI-"&amp;RIGHT("0000"&amp;(ROW()-5),4))</f>
        <v/>
      </c>
      <c r="B1169" s="72" t="n"/>
      <c r="C1169" s="66" t="n"/>
      <c r="D1169" s="67" t="str">
        <f>IF(C1169="","",IFERROR(INDEX(eq_des,MATCH(C1169,eq_code,0))&amp;"","Équipement inconnu"))</f>
        <v/>
      </c>
      <c r="E1169" s="68" t="n"/>
      <c r="F1169" s="68" t="n"/>
      <c r="G1169" s="66" t="n"/>
      <c r="H1169" s="66" t="n"/>
      <c r="I1169" s="68" t="n"/>
      <c r="J1169" s="73" t="n"/>
      <c r="K1169" s="71" t="n"/>
      <c r="L1169" s="71" t="n"/>
      <c r="M1169" s="66" t="n"/>
      <c r="N1169" s="80" t="n"/>
      <c r="O1169" s="81" t="str">
        <f>IF(A1169="","",ROUND(V1169*IFERROR(N(INDEX(tech_rate,MATCH(M1169,tech_name,0))),0),2))</f>
        <v/>
      </c>
      <c r="P1169" s="80" t="n"/>
      <c r="Q1169" s="81" t="str">
        <f>IF(A1169="","",ROUND(Y1169+O1169+Z1169,2))</f>
        <v/>
      </c>
      <c r="R1169" s="79" t="str">
        <f>IF(A1169="","",IF(S1169=0,"Date manquante ou invalide",IF(C1169="","Équipement manquant",IF(ISNA(MATCH(C1169,eq_code,0)),"Équipement inconnu",IF(E1169="","Type manquant",IF(AND(E1169&lt;&gt;"Préventif",E1169&lt;&gt;"Correctif",E1169&lt;&gt;"Amélioratif"),"Type inconnu",IF(I1169="","Statut manquant",IF(AND(I1169&lt;&gt;"Terminée",I1169&lt;&gt;"En cours",I1169&lt;&gt;"À faire",I1169&lt;&gt;"Annulée"),"Statut inconnu",IF(AND(E1169="Préventif",F1169=""),"Plan manquant (préventif)",IF(AND(F1169&lt;&gt;"",ISNA(MATCH(F1169,pl_num,0))),"Plan inconnu",IF(AND(F1169&lt;&gt;"",IFERROR(INDEX(pl_eq,MATCH(F1169,pl_num,0))&amp;"",C1169)&lt;&gt;C1169),"Plan d'un autre équipement",IF(AND(J1169&lt;&gt;"",OR(NOT(ISNUMBER(J1169)),N(J1169)&lt;0)),"Compteur invalide",IF(OR(AND(K1169&lt;&gt;"",OR(NOT(ISNUMBER(K1169)),N(K1169)&lt;0)),AND(L1169&lt;&gt;"",OR(NOT(ISNUMBER(L1169)),N(L1169)&lt;0))),"Durée invalide",IF(OR(AND(N1169&lt;&gt;"",OR(NOT(ISNUMBER(N1169)),N(N1169)&lt;0)),AND(P1169&lt;&gt;"",OR(NOT(ISNUMBER(P1169)),N(P1169)&lt;0))),"Coût invalide",IF(AND(M1169&lt;&gt;"",ISNA(MATCH(M1169,tech_name,0))),"Technicien inconnu",IF(AND(I1169="Terminée",S1169&gt;p_today),"Terminée à une date future",IF(AND(I1169="Terminée",V1169=0),"Durée d'intervention manquante",IF(AND(I1169="Terminée",E1169="Préventif",T1169=0,OR(IFERROR(INDEX(pl_trig,MATCH(F1169,pl_num,0))&amp;"","")="Compteur",IFERROR(INDEX(pl_trig,MATCH(F1169,pl_num,0))&amp;"","")="Au premier des deux")),"Compteur manquant (plan au compteur)","OK"))))))))))))))))))</f>
        <v/>
      </c>
      <c r="S1169" s="67">
        <f>IF(AND(ISNUMBER(B1169),N(B1169)&gt;0),INT(B1169),0)</f>
        <v>0.0</v>
      </c>
      <c r="T1169" s="67">
        <f>IF(AND(ISNUMBER(J1169),N(J1169)&gt;=0),N(J1169),0)</f>
        <v>0.0</v>
      </c>
      <c r="U1169" s="67">
        <f>IF(AND(ISNUMBER(K1169),N(K1169)&gt;0),N(K1169),0)</f>
        <v>0.0</v>
      </c>
      <c r="V1169" s="67">
        <f>IF(AND(ISNUMBER(L1169),N(L1169)&gt;0),N(L1169),0)</f>
        <v>0.0</v>
      </c>
      <c r="W1169" s="67">
        <f>IF(AND(I1169="Terminée",S1169&gt;0,C1169&lt;&gt;"",ISNUMBER(MATCH(C1169,eq_code,0))),1,0)</f>
        <v>0.0</v>
      </c>
      <c r="X1169" s="67">
        <f>IF(AND(W1169=1,E1169="Préventif"),1,0)</f>
        <v>0.0</v>
      </c>
      <c r="Y1169" s="67">
        <f>IF(AND(ISNUMBER(N1169),N(N1169)&gt;0),N(N1169),0)</f>
        <v>0.0</v>
      </c>
      <c r="Z1169" s="67">
        <f>IF(AND(ISNUMBER(P1169),N(P1169)&gt;0),N(P1169),0)</f>
        <v>0.0</v>
      </c>
    </row>
    <row r="1170">
      <c r="A1170" s="79" t="str">
        <f>IF(COUNTA(B1170:C1170,E1170:G1170,I1170)=0,"","BI-"&amp;RIGHT("0000"&amp;(ROW()-5),4))</f>
        <v/>
      </c>
      <c r="B1170" s="72" t="n"/>
      <c r="C1170" s="66" t="n"/>
      <c r="D1170" s="67" t="str">
        <f>IF(C1170="","",IFERROR(INDEX(eq_des,MATCH(C1170,eq_code,0))&amp;"","Équipement inconnu"))</f>
        <v/>
      </c>
      <c r="E1170" s="68" t="n"/>
      <c r="F1170" s="68" t="n"/>
      <c r="G1170" s="66" t="n"/>
      <c r="H1170" s="66" t="n"/>
      <c r="I1170" s="68" t="n"/>
      <c r="J1170" s="73" t="n"/>
      <c r="K1170" s="71" t="n"/>
      <c r="L1170" s="71" t="n"/>
      <c r="M1170" s="66" t="n"/>
      <c r="N1170" s="80" t="n"/>
      <c r="O1170" s="81" t="str">
        <f>IF(A1170="","",ROUND(V1170*IFERROR(N(INDEX(tech_rate,MATCH(M1170,tech_name,0))),0),2))</f>
        <v/>
      </c>
      <c r="P1170" s="80" t="n"/>
      <c r="Q1170" s="81" t="str">
        <f>IF(A1170="","",ROUND(Y1170+O1170+Z1170,2))</f>
        <v/>
      </c>
      <c r="R1170" s="79" t="str">
        <f>IF(A1170="","",IF(S1170=0,"Date manquante ou invalide",IF(C1170="","Équipement manquant",IF(ISNA(MATCH(C1170,eq_code,0)),"Équipement inconnu",IF(E1170="","Type manquant",IF(AND(E1170&lt;&gt;"Préventif",E1170&lt;&gt;"Correctif",E1170&lt;&gt;"Amélioratif"),"Type inconnu",IF(I1170="","Statut manquant",IF(AND(I1170&lt;&gt;"Terminée",I1170&lt;&gt;"En cours",I1170&lt;&gt;"À faire",I1170&lt;&gt;"Annulée"),"Statut inconnu",IF(AND(E1170="Préventif",F1170=""),"Plan manquant (préventif)",IF(AND(F1170&lt;&gt;"",ISNA(MATCH(F1170,pl_num,0))),"Plan inconnu",IF(AND(F1170&lt;&gt;"",IFERROR(INDEX(pl_eq,MATCH(F1170,pl_num,0))&amp;"",C1170)&lt;&gt;C1170),"Plan d'un autre équipement",IF(AND(J1170&lt;&gt;"",OR(NOT(ISNUMBER(J1170)),N(J1170)&lt;0)),"Compteur invalide",IF(OR(AND(K1170&lt;&gt;"",OR(NOT(ISNUMBER(K1170)),N(K1170)&lt;0)),AND(L1170&lt;&gt;"",OR(NOT(ISNUMBER(L1170)),N(L1170)&lt;0))),"Durée invalide",IF(OR(AND(N1170&lt;&gt;"",OR(NOT(ISNUMBER(N1170)),N(N1170)&lt;0)),AND(P1170&lt;&gt;"",OR(NOT(ISNUMBER(P1170)),N(P1170)&lt;0))),"Coût invalide",IF(AND(M1170&lt;&gt;"",ISNA(MATCH(M1170,tech_name,0))),"Technicien inconnu",IF(AND(I1170="Terminée",S1170&gt;p_today),"Terminée à une date future",IF(AND(I1170="Terminée",V1170=0),"Durée d'intervention manquante",IF(AND(I1170="Terminée",E1170="Préventif",T1170=0,OR(IFERROR(INDEX(pl_trig,MATCH(F1170,pl_num,0))&amp;"","")="Compteur",IFERROR(INDEX(pl_trig,MATCH(F1170,pl_num,0))&amp;"","")="Au premier des deux")),"Compteur manquant (plan au compteur)","OK"))))))))))))))))))</f>
        <v/>
      </c>
      <c r="S1170" s="67">
        <f>IF(AND(ISNUMBER(B1170),N(B1170)&gt;0),INT(B1170),0)</f>
        <v>0.0</v>
      </c>
      <c r="T1170" s="67">
        <f>IF(AND(ISNUMBER(J1170),N(J1170)&gt;=0),N(J1170),0)</f>
        <v>0.0</v>
      </c>
      <c r="U1170" s="67">
        <f>IF(AND(ISNUMBER(K1170),N(K1170)&gt;0),N(K1170),0)</f>
        <v>0.0</v>
      </c>
      <c r="V1170" s="67">
        <f>IF(AND(ISNUMBER(L1170),N(L1170)&gt;0),N(L1170),0)</f>
        <v>0.0</v>
      </c>
      <c r="W1170" s="67">
        <f>IF(AND(I1170="Terminée",S1170&gt;0,C1170&lt;&gt;"",ISNUMBER(MATCH(C1170,eq_code,0))),1,0)</f>
        <v>0.0</v>
      </c>
      <c r="X1170" s="67">
        <f>IF(AND(W1170=1,E1170="Préventif"),1,0)</f>
        <v>0.0</v>
      </c>
      <c r="Y1170" s="67">
        <f>IF(AND(ISNUMBER(N1170),N(N1170)&gt;0),N(N1170),0)</f>
        <v>0.0</v>
      </c>
      <c r="Z1170" s="67">
        <f>IF(AND(ISNUMBER(P1170),N(P1170)&gt;0),N(P1170),0)</f>
        <v>0.0</v>
      </c>
    </row>
    <row r="1171">
      <c r="A1171" s="79" t="str">
        <f>IF(COUNTA(B1171:C1171,E1171:G1171,I1171)=0,"","BI-"&amp;RIGHT("0000"&amp;(ROW()-5),4))</f>
        <v/>
      </c>
      <c r="B1171" s="72" t="n"/>
      <c r="C1171" s="66" t="n"/>
      <c r="D1171" s="67" t="str">
        <f>IF(C1171="","",IFERROR(INDEX(eq_des,MATCH(C1171,eq_code,0))&amp;"","Équipement inconnu"))</f>
        <v/>
      </c>
      <c r="E1171" s="68" t="n"/>
      <c r="F1171" s="68" t="n"/>
      <c r="G1171" s="66" t="n"/>
      <c r="H1171" s="66" t="n"/>
      <c r="I1171" s="68" t="n"/>
      <c r="J1171" s="73" t="n"/>
      <c r="K1171" s="71" t="n"/>
      <c r="L1171" s="71" t="n"/>
      <c r="M1171" s="66" t="n"/>
      <c r="N1171" s="80" t="n"/>
      <c r="O1171" s="81" t="str">
        <f>IF(A1171="","",ROUND(V1171*IFERROR(N(INDEX(tech_rate,MATCH(M1171,tech_name,0))),0),2))</f>
        <v/>
      </c>
      <c r="P1171" s="80" t="n"/>
      <c r="Q1171" s="81" t="str">
        <f>IF(A1171="","",ROUND(Y1171+O1171+Z1171,2))</f>
        <v/>
      </c>
      <c r="R1171" s="79" t="str">
        <f>IF(A1171="","",IF(S1171=0,"Date manquante ou invalide",IF(C1171="","Équipement manquant",IF(ISNA(MATCH(C1171,eq_code,0)),"Équipement inconnu",IF(E1171="","Type manquant",IF(AND(E1171&lt;&gt;"Préventif",E1171&lt;&gt;"Correctif",E1171&lt;&gt;"Amélioratif"),"Type inconnu",IF(I1171="","Statut manquant",IF(AND(I1171&lt;&gt;"Terminée",I1171&lt;&gt;"En cours",I1171&lt;&gt;"À faire",I1171&lt;&gt;"Annulée"),"Statut inconnu",IF(AND(E1171="Préventif",F1171=""),"Plan manquant (préventif)",IF(AND(F1171&lt;&gt;"",ISNA(MATCH(F1171,pl_num,0))),"Plan inconnu",IF(AND(F1171&lt;&gt;"",IFERROR(INDEX(pl_eq,MATCH(F1171,pl_num,0))&amp;"",C1171)&lt;&gt;C1171),"Plan d'un autre équipement",IF(AND(J1171&lt;&gt;"",OR(NOT(ISNUMBER(J1171)),N(J1171)&lt;0)),"Compteur invalide",IF(OR(AND(K1171&lt;&gt;"",OR(NOT(ISNUMBER(K1171)),N(K1171)&lt;0)),AND(L1171&lt;&gt;"",OR(NOT(ISNUMBER(L1171)),N(L1171)&lt;0))),"Durée invalide",IF(OR(AND(N1171&lt;&gt;"",OR(NOT(ISNUMBER(N1171)),N(N1171)&lt;0)),AND(P1171&lt;&gt;"",OR(NOT(ISNUMBER(P1171)),N(P1171)&lt;0))),"Coût invalide",IF(AND(M1171&lt;&gt;"",ISNA(MATCH(M1171,tech_name,0))),"Technicien inconnu",IF(AND(I1171="Terminée",S1171&gt;p_today),"Terminée à une date future",IF(AND(I1171="Terminée",V1171=0),"Durée d'intervention manquante",IF(AND(I1171="Terminée",E1171="Préventif",T1171=0,OR(IFERROR(INDEX(pl_trig,MATCH(F1171,pl_num,0))&amp;"","")="Compteur",IFERROR(INDEX(pl_trig,MATCH(F1171,pl_num,0))&amp;"","")="Au premier des deux")),"Compteur manquant (plan au compteur)","OK"))))))))))))))))))</f>
        <v/>
      </c>
      <c r="S1171" s="67">
        <f>IF(AND(ISNUMBER(B1171),N(B1171)&gt;0),INT(B1171),0)</f>
        <v>0.0</v>
      </c>
      <c r="T1171" s="67">
        <f>IF(AND(ISNUMBER(J1171),N(J1171)&gt;=0),N(J1171),0)</f>
        <v>0.0</v>
      </c>
      <c r="U1171" s="67">
        <f>IF(AND(ISNUMBER(K1171),N(K1171)&gt;0),N(K1171),0)</f>
        <v>0.0</v>
      </c>
      <c r="V1171" s="67">
        <f>IF(AND(ISNUMBER(L1171),N(L1171)&gt;0),N(L1171),0)</f>
        <v>0.0</v>
      </c>
      <c r="W1171" s="67">
        <f>IF(AND(I1171="Terminée",S1171&gt;0,C1171&lt;&gt;"",ISNUMBER(MATCH(C1171,eq_code,0))),1,0)</f>
        <v>0.0</v>
      </c>
      <c r="X1171" s="67">
        <f>IF(AND(W1171=1,E1171="Préventif"),1,0)</f>
        <v>0.0</v>
      </c>
      <c r="Y1171" s="67">
        <f>IF(AND(ISNUMBER(N1171),N(N1171)&gt;0),N(N1171),0)</f>
        <v>0.0</v>
      </c>
      <c r="Z1171" s="67">
        <f>IF(AND(ISNUMBER(P1171),N(P1171)&gt;0),N(P1171),0)</f>
        <v>0.0</v>
      </c>
    </row>
    <row r="1172">
      <c r="A1172" s="79" t="str">
        <f>IF(COUNTA(B1172:C1172,E1172:G1172,I1172)=0,"","BI-"&amp;RIGHT("0000"&amp;(ROW()-5),4))</f>
        <v/>
      </c>
      <c r="B1172" s="72" t="n"/>
      <c r="C1172" s="66" t="n"/>
      <c r="D1172" s="67" t="str">
        <f>IF(C1172="","",IFERROR(INDEX(eq_des,MATCH(C1172,eq_code,0))&amp;"","Équipement inconnu"))</f>
        <v/>
      </c>
      <c r="E1172" s="68" t="n"/>
      <c r="F1172" s="68" t="n"/>
      <c r="G1172" s="66" t="n"/>
      <c r="H1172" s="66" t="n"/>
      <c r="I1172" s="68" t="n"/>
      <c r="J1172" s="73" t="n"/>
      <c r="K1172" s="71" t="n"/>
      <c r="L1172" s="71" t="n"/>
      <c r="M1172" s="66" t="n"/>
      <c r="N1172" s="80" t="n"/>
      <c r="O1172" s="81" t="str">
        <f>IF(A1172="","",ROUND(V1172*IFERROR(N(INDEX(tech_rate,MATCH(M1172,tech_name,0))),0),2))</f>
        <v/>
      </c>
      <c r="P1172" s="80" t="n"/>
      <c r="Q1172" s="81" t="str">
        <f>IF(A1172="","",ROUND(Y1172+O1172+Z1172,2))</f>
        <v/>
      </c>
      <c r="R1172" s="79" t="str">
        <f>IF(A1172="","",IF(S1172=0,"Date manquante ou invalide",IF(C1172="","Équipement manquant",IF(ISNA(MATCH(C1172,eq_code,0)),"Équipement inconnu",IF(E1172="","Type manquant",IF(AND(E1172&lt;&gt;"Préventif",E1172&lt;&gt;"Correctif",E1172&lt;&gt;"Amélioratif"),"Type inconnu",IF(I1172="","Statut manquant",IF(AND(I1172&lt;&gt;"Terminée",I1172&lt;&gt;"En cours",I1172&lt;&gt;"À faire",I1172&lt;&gt;"Annulée"),"Statut inconnu",IF(AND(E1172="Préventif",F1172=""),"Plan manquant (préventif)",IF(AND(F1172&lt;&gt;"",ISNA(MATCH(F1172,pl_num,0))),"Plan inconnu",IF(AND(F1172&lt;&gt;"",IFERROR(INDEX(pl_eq,MATCH(F1172,pl_num,0))&amp;"",C1172)&lt;&gt;C1172),"Plan d'un autre équipement",IF(AND(J1172&lt;&gt;"",OR(NOT(ISNUMBER(J1172)),N(J1172)&lt;0)),"Compteur invalide",IF(OR(AND(K1172&lt;&gt;"",OR(NOT(ISNUMBER(K1172)),N(K1172)&lt;0)),AND(L1172&lt;&gt;"",OR(NOT(ISNUMBER(L1172)),N(L1172)&lt;0))),"Durée invalide",IF(OR(AND(N1172&lt;&gt;"",OR(NOT(ISNUMBER(N1172)),N(N1172)&lt;0)),AND(P1172&lt;&gt;"",OR(NOT(ISNUMBER(P1172)),N(P1172)&lt;0))),"Coût invalide",IF(AND(M1172&lt;&gt;"",ISNA(MATCH(M1172,tech_name,0))),"Technicien inconnu",IF(AND(I1172="Terminée",S1172&gt;p_today),"Terminée à une date future",IF(AND(I1172="Terminée",V1172=0),"Durée d'intervention manquante",IF(AND(I1172="Terminée",E1172="Préventif",T1172=0,OR(IFERROR(INDEX(pl_trig,MATCH(F1172,pl_num,0))&amp;"","")="Compteur",IFERROR(INDEX(pl_trig,MATCH(F1172,pl_num,0))&amp;"","")="Au premier des deux")),"Compteur manquant (plan au compteur)","OK"))))))))))))))))))</f>
        <v/>
      </c>
      <c r="S1172" s="67">
        <f>IF(AND(ISNUMBER(B1172),N(B1172)&gt;0),INT(B1172),0)</f>
        <v>0.0</v>
      </c>
      <c r="T1172" s="67">
        <f>IF(AND(ISNUMBER(J1172),N(J1172)&gt;=0),N(J1172),0)</f>
        <v>0.0</v>
      </c>
      <c r="U1172" s="67">
        <f>IF(AND(ISNUMBER(K1172),N(K1172)&gt;0),N(K1172),0)</f>
        <v>0.0</v>
      </c>
      <c r="V1172" s="67">
        <f>IF(AND(ISNUMBER(L1172),N(L1172)&gt;0),N(L1172),0)</f>
        <v>0.0</v>
      </c>
      <c r="W1172" s="67">
        <f>IF(AND(I1172="Terminée",S1172&gt;0,C1172&lt;&gt;"",ISNUMBER(MATCH(C1172,eq_code,0))),1,0)</f>
        <v>0.0</v>
      </c>
      <c r="X1172" s="67">
        <f>IF(AND(W1172=1,E1172="Préventif"),1,0)</f>
        <v>0.0</v>
      </c>
      <c r="Y1172" s="67">
        <f>IF(AND(ISNUMBER(N1172),N(N1172)&gt;0),N(N1172),0)</f>
        <v>0.0</v>
      </c>
      <c r="Z1172" s="67">
        <f>IF(AND(ISNUMBER(P1172),N(P1172)&gt;0),N(P1172),0)</f>
        <v>0.0</v>
      </c>
    </row>
    <row r="1173">
      <c r="A1173" s="79" t="str">
        <f>IF(COUNTA(B1173:C1173,E1173:G1173,I1173)=0,"","BI-"&amp;RIGHT("0000"&amp;(ROW()-5),4))</f>
        <v/>
      </c>
      <c r="B1173" s="72" t="n"/>
      <c r="C1173" s="66" t="n"/>
      <c r="D1173" s="67" t="str">
        <f>IF(C1173="","",IFERROR(INDEX(eq_des,MATCH(C1173,eq_code,0))&amp;"","Équipement inconnu"))</f>
        <v/>
      </c>
      <c r="E1173" s="68" t="n"/>
      <c r="F1173" s="68" t="n"/>
      <c r="G1173" s="66" t="n"/>
      <c r="H1173" s="66" t="n"/>
      <c r="I1173" s="68" t="n"/>
      <c r="J1173" s="73" t="n"/>
      <c r="K1173" s="71" t="n"/>
      <c r="L1173" s="71" t="n"/>
      <c r="M1173" s="66" t="n"/>
      <c r="N1173" s="80" t="n"/>
      <c r="O1173" s="81" t="str">
        <f>IF(A1173="","",ROUND(V1173*IFERROR(N(INDEX(tech_rate,MATCH(M1173,tech_name,0))),0),2))</f>
        <v/>
      </c>
      <c r="P1173" s="80" t="n"/>
      <c r="Q1173" s="81" t="str">
        <f>IF(A1173="","",ROUND(Y1173+O1173+Z1173,2))</f>
        <v/>
      </c>
      <c r="R1173" s="79" t="str">
        <f>IF(A1173="","",IF(S1173=0,"Date manquante ou invalide",IF(C1173="","Équipement manquant",IF(ISNA(MATCH(C1173,eq_code,0)),"Équipement inconnu",IF(E1173="","Type manquant",IF(AND(E1173&lt;&gt;"Préventif",E1173&lt;&gt;"Correctif",E1173&lt;&gt;"Amélioratif"),"Type inconnu",IF(I1173="","Statut manquant",IF(AND(I1173&lt;&gt;"Terminée",I1173&lt;&gt;"En cours",I1173&lt;&gt;"À faire",I1173&lt;&gt;"Annulée"),"Statut inconnu",IF(AND(E1173="Préventif",F1173=""),"Plan manquant (préventif)",IF(AND(F1173&lt;&gt;"",ISNA(MATCH(F1173,pl_num,0))),"Plan inconnu",IF(AND(F1173&lt;&gt;"",IFERROR(INDEX(pl_eq,MATCH(F1173,pl_num,0))&amp;"",C1173)&lt;&gt;C1173),"Plan d'un autre équipement",IF(AND(J1173&lt;&gt;"",OR(NOT(ISNUMBER(J1173)),N(J1173)&lt;0)),"Compteur invalide",IF(OR(AND(K1173&lt;&gt;"",OR(NOT(ISNUMBER(K1173)),N(K1173)&lt;0)),AND(L1173&lt;&gt;"",OR(NOT(ISNUMBER(L1173)),N(L1173)&lt;0))),"Durée invalide",IF(OR(AND(N1173&lt;&gt;"",OR(NOT(ISNUMBER(N1173)),N(N1173)&lt;0)),AND(P1173&lt;&gt;"",OR(NOT(ISNUMBER(P1173)),N(P1173)&lt;0))),"Coût invalide",IF(AND(M1173&lt;&gt;"",ISNA(MATCH(M1173,tech_name,0))),"Technicien inconnu",IF(AND(I1173="Terminée",S1173&gt;p_today),"Terminée à une date future",IF(AND(I1173="Terminée",V1173=0),"Durée d'intervention manquante",IF(AND(I1173="Terminée",E1173="Préventif",T1173=0,OR(IFERROR(INDEX(pl_trig,MATCH(F1173,pl_num,0))&amp;"","")="Compteur",IFERROR(INDEX(pl_trig,MATCH(F1173,pl_num,0))&amp;"","")="Au premier des deux")),"Compteur manquant (plan au compteur)","OK"))))))))))))))))))</f>
        <v/>
      </c>
      <c r="S1173" s="67">
        <f>IF(AND(ISNUMBER(B1173),N(B1173)&gt;0),INT(B1173),0)</f>
        <v>0.0</v>
      </c>
      <c r="T1173" s="67">
        <f>IF(AND(ISNUMBER(J1173),N(J1173)&gt;=0),N(J1173),0)</f>
        <v>0.0</v>
      </c>
      <c r="U1173" s="67">
        <f>IF(AND(ISNUMBER(K1173),N(K1173)&gt;0),N(K1173),0)</f>
        <v>0.0</v>
      </c>
      <c r="V1173" s="67">
        <f>IF(AND(ISNUMBER(L1173),N(L1173)&gt;0),N(L1173),0)</f>
        <v>0.0</v>
      </c>
      <c r="W1173" s="67">
        <f>IF(AND(I1173="Terminée",S1173&gt;0,C1173&lt;&gt;"",ISNUMBER(MATCH(C1173,eq_code,0))),1,0)</f>
        <v>0.0</v>
      </c>
      <c r="X1173" s="67">
        <f>IF(AND(W1173=1,E1173="Préventif"),1,0)</f>
        <v>0.0</v>
      </c>
      <c r="Y1173" s="67">
        <f>IF(AND(ISNUMBER(N1173),N(N1173)&gt;0),N(N1173),0)</f>
        <v>0.0</v>
      </c>
      <c r="Z1173" s="67">
        <f>IF(AND(ISNUMBER(P1173),N(P1173)&gt;0),N(P1173),0)</f>
        <v>0.0</v>
      </c>
    </row>
    <row r="1174">
      <c r="A1174" s="79" t="str">
        <f>IF(COUNTA(B1174:C1174,E1174:G1174,I1174)=0,"","BI-"&amp;RIGHT("0000"&amp;(ROW()-5),4))</f>
        <v/>
      </c>
      <c r="B1174" s="72" t="n"/>
      <c r="C1174" s="66" t="n"/>
      <c r="D1174" s="67" t="str">
        <f>IF(C1174="","",IFERROR(INDEX(eq_des,MATCH(C1174,eq_code,0))&amp;"","Équipement inconnu"))</f>
        <v/>
      </c>
      <c r="E1174" s="68" t="n"/>
      <c r="F1174" s="68" t="n"/>
      <c r="G1174" s="66" t="n"/>
      <c r="H1174" s="66" t="n"/>
      <c r="I1174" s="68" t="n"/>
      <c r="J1174" s="73" t="n"/>
      <c r="K1174" s="71" t="n"/>
      <c r="L1174" s="71" t="n"/>
      <c r="M1174" s="66" t="n"/>
      <c r="N1174" s="80" t="n"/>
      <c r="O1174" s="81" t="str">
        <f>IF(A1174="","",ROUND(V1174*IFERROR(N(INDEX(tech_rate,MATCH(M1174,tech_name,0))),0),2))</f>
        <v/>
      </c>
      <c r="P1174" s="80" t="n"/>
      <c r="Q1174" s="81" t="str">
        <f>IF(A1174="","",ROUND(Y1174+O1174+Z1174,2))</f>
        <v/>
      </c>
      <c r="R1174" s="79" t="str">
        <f>IF(A1174="","",IF(S1174=0,"Date manquante ou invalide",IF(C1174="","Équipement manquant",IF(ISNA(MATCH(C1174,eq_code,0)),"Équipement inconnu",IF(E1174="","Type manquant",IF(AND(E1174&lt;&gt;"Préventif",E1174&lt;&gt;"Correctif",E1174&lt;&gt;"Amélioratif"),"Type inconnu",IF(I1174="","Statut manquant",IF(AND(I1174&lt;&gt;"Terminée",I1174&lt;&gt;"En cours",I1174&lt;&gt;"À faire",I1174&lt;&gt;"Annulée"),"Statut inconnu",IF(AND(E1174="Préventif",F1174=""),"Plan manquant (préventif)",IF(AND(F1174&lt;&gt;"",ISNA(MATCH(F1174,pl_num,0))),"Plan inconnu",IF(AND(F1174&lt;&gt;"",IFERROR(INDEX(pl_eq,MATCH(F1174,pl_num,0))&amp;"",C1174)&lt;&gt;C1174),"Plan d'un autre équipement",IF(AND(J1174&lt;&gt;"",OR(NOT(ISNUMBER(J1174)),N(J1174)&lt;0)),"Compteur invalide",IF(OR(AND(K1174&lt;&gt;"",OR(NOT(ISNUMBER(K1174)),N(K1174)&lt;0)),AND(L1174&lt;&gt;"",OR(NOT(ISNUMBER(L1174)),N(L1174)&lt;0))),"Durée invalide",IF(OR(AND(N1174&lt;&gt;"",OR(NOT(ISNUMBER(N1174)),N(N1174)&lt;0)),AND(P1174&lt;&gt;"",OR(NOT(ISNUMBER(P1174)),N(P1174)&lt;0))),"Coût invalide",IF(AND(M1174&lt;&gt;"",ISNA(MATCH(M1174,tech_name,0))),"Technicien inconnu",IF(AND(I1174="Terminée",S1174&gt;p_today),"Terminée à une date future",IF(AND(I1174="Terminée",V1174=0),"Durée d'intervention manquante",IF(AND(I1174="Terminée",E1174="Préventif",T1174=0,OR(IFERROR(INDEX(pl_trig,MATCH(F1174,pl_num,0))&amp;"","")="Compteur",IFERROR(INDEX(pl_trig,MATCH(F1174,pl_num,0))&amp;"","")="Au premier des deux")),"Compteur manquant (plan au compteur)","OK"))))))))))))))))))</f>
        <v/>
      </c>
      <c r="S1174" s="67">
        <f>IF(AND(ISNUMBER(B1174),N(B1174)&gt;0),INT(B1174),0)</f>
        <v>0.0</v>
      </c>
      <c r="T1174" s="67">
        <f>IF(AND(ISNUMBER(J1174),N(J1174)&gt;=0),N(J1174),0)</f>
        <v>0.0</v>
      </c>
      <c r="U1174" s="67">
        <f>IF(AND(ISNUMBER(K1174),N(K1174)&gt;0),N(K1174),0)</f>
        <v>0.0</v>
      </c>
      <c r="V1174" s="67">
        <f>IF(AND(ISNUMBER(L1174),N(L1174)&gt;0),N(L1174),0)</f>
        <v>0.0</v>
      </c>
      <c r="W1174" s="67">
        <f>IF(AND(I1174="Terminée",S1174&gt;0,C1174&lt;&gt;"",ISNUMBER(MATCH(C1174,eq_code,0))),1,0)</f>
        <v>0.0</v>
      </c>
      <c r="X1174" s="67">
        <f>IF(AND(W1174=1,E1174="Préventif"),1,0)</f>
        <v>0.0</v>
      </c>
      <c r="Y1174" s="67">
        <f>IF(AND(ISNUMBER(N1174),N(N1174)&gt;0),N(N1174),0)</f>
        <v>0.0</v>
      </c>
      <c r="Z1174" s="67">
        <f>IF(AND(ISNUMBER(P1174),N(P1174)&gt;0),N(P1174),0)</f>
        <v>0.0</v>
      </c>
    </row>
    <row r="1175">
      <c r="A1175" s="79" t="str">
        <f>IF(COUNTA(B1175:C1175,E1175:G1175,I1175)=0,"","BI-"&amp;RIGHT("0000"&amp;(ROW()-5),4))</f>
        <v/>
      </c>
      <c r="B1175" s="72" t="n"/>
      <c r="C1175" s="66" t="n"/>
      <c r="D1175" s="67" t="str">
        <f>IF(C1175="","",IFERROR(INDEX(eq_des,MATCH(C1175,eq_code,0))&amp;"","Équipement inconnu"))</f>
        <v/>
      </c>
      <c r="E1175" s="68" t="n"/>
      <c r="F1175" s="68" t="n"/>
      <c r="G1175" s="66" t="n"/>
      <c r="H1175" s="66" t="n"/>
      <c r="I1175" s="68" t="n"/>
      <c r="J1175" s="73" t="n"/>
      <c r="K1175" s="71" t="n"/>
      <c r="L1175" s="71" t="n"/>
      <c r="M1175" s="66" t="n"/>
      <c r="N1175" s="80" t="n"/>
      <c r="O1175" s="81" t="str">
        <f>IF(A1175="","",ROUND(V1175*IFERROR(N(INDEX(tech_rate,MATCH(M1175,tech_name,0))),0),2))</f>
        <v/>
      </c>
      <c r="P1175" s="80" t="n"/>
      <c r="Q1175" s="81" t="str">
        <f>IF(A1175="","",ROUND(Y1175+O1175+Z1175,2))</f>
        <v/>
      </c>
      <c r="R1175" s="79" t="str">
        <f>IF(A1175="","",IF(S1175=0,"Date manquante ou invalide",IF(C1175="","Équipement manquant",IF(ISNA(MATCH(C1175,eq_code,0)),"Équipement inconnu",IF(E1175="","Type manquant",IF(AND(E1175&lt;&gt;"Préventif",E1175&lt;&gt;"Correctif",E1175&lt;&gt;"Amélioratif"),"Type inconnu",IF(I1175="","Statut manquant",IF(AND(I1175&lt;&gt;"Terminée",I1175&lt;&gt;"En cours",I1175&lt;&gt;"À faire",I1175&lt;&gt;"Annulée"),"Statut inconnu",IF(AND(E1175="Préventif",F1175=""),"Plan manquant (préventif)",IF(AND(F1175&lt;&gt;"",ISNA(MATCH(F1175,pl_num,0))),"Plan inconnu",IF(AND(F1175&lt;&gt;"",IFERROR(INDEX(pl_eq,MATCH(F1175,pl_num,0))&amp;"",C1175)&lt;&gt;C1175),"Plan d'un autre équipement",IF(AND(J1175&lt;&gt;"",OR(NOT(ISNUMBER(J1175)),N(J1175)&lt;0)),"Compteur invalide",IF(OR(AND(K1175&lt;&gt;"",OR(NOT(ISNUMBER(K1175)),N(K1175)&lt;0)),AND(L1175&lt;&gt;"",OR(NOT(ISNUMBER(L1175)),N(L1175)&lt;0))),"Durée invalide",IF(OR(AND(N1175&lt;&gt;"",OR(NOT(ISNUMBER(N1175)),N(N1175)&lt;0)),AND(P1175&lt;&gt;"",OR(NOT(ISNUMBER(P1175)),N(P1175)&lt;0))),"Coût invalide",IF(AND(M1175&lt;&gt;"",ISNA(MATCH(M1175,tech_name,0))),"Technicien inconnu",IF(AND(I1175="Terminée",S1175&gt;p_today),"Terminée à une date future",IF(AND(I1175="Terminée",V1175=0),"Durée d'intervention manquante",IF(AND(I1175="Terminée",E1175="Préventif",T1175=0,OR(IFERROR(INDEX(pl_trig,MATCH(F1175,pl_num,0))&amp;"","")="Compteur",IFERROR(INDEX(pl_trig,MATCH(F1175,pl_num,0))&amp;"","")="Au premier des deux")),"Compteur manquant (plan au compteur)","OK"))))))))))))))))))</f>
        <v/>
      </c>
      <c r="S1175" s="67">
        <f>IF(AND(ISNUMBER(B1175),N(B1175)&gt;0),INT(B1175),0)</f>
        <v>0.0</v>
      </c>
      <c r="T1175" s="67">
        <f>IF(AND(ISNUMBER(J1175),N(J1175)&gt;=0),N(J1175),0)</f>
        <v>0.0</v>
      </c>
      <c r="U1175" s="67">
        <f>IF(AND(ISNUMBER(K1175),N(K1175)&gt;0),N(K1175),0)</f>
        <v>0.0</v>
      </c>
      <c r="V1175" s="67">
        <f>IF(AND(ISNUMBER(L1175),N(L1175)&gt;0),N(L1175),0)</f>
        <v>0.0</v>
      </c>
      <c r="W1175" s="67">
        <f>IF(AND(I1175="Terminée",S1175&gt;0,C1175&lt;&gt;"",ISNUMBER(MATCH(C1175,eq_code,0))),1,0)</f>
        <v>0.0</v>
      </c>
      <c r="X1175" s="67">
        <f>IF(AND(W1175=1,E1175="Préventif"),1,0)</f>
        <v>0.0</v>
      </c>
      <c r="Y1175" s="67">
        <f>IF(AND(ISNUMBER(N1175),N(N1175)&gt;0),N(N1175),0)</f>
        <v>0.0</v>
      </c>
      <c r="Z1175" s="67">
        <f>IF(AND(ISNUMBER(P1175),N(P1175)&gt;0),N(P1175),0)</f>
        <v>0.0</v>
      </c>
    </row>
    <row r="1176">
      <c r="A1176" s="79" t="str">
        <f>IF(COUNTA(B1176:C1176,E1176:G1176,I1176)=0,"","BI-"&amp;RIGHT("0000"&amp;(ROW()-5),4))</f>
        <v/>
      </c>
      <c r="B1176" s="72" t="n"/>
      <c r="C1176" s="66" t="n"/>
      <c r="D1176" s="67" t="str">
        <f>IF(C1176="","",IFERROR(INDEX(eq_des,MATCH(C1176,eq_code,0))&amp;"","Équipement inconnu"))</f>
        <v/>
      </c>
      <c r="E1176" s="68" t="n"/>
      <c r="F1176" s="68" t="n"/>
      <c r="G1176" s="66" t="n"/>
      <c r="H1176" s="66" t="n"/>
      <c r="I1176" s="68" t="n"/>
      <c r="J1176" s="73" t="n"/>
      <c r="K1176" s="71" t="n"/>
      <c r="L1176" s="71" t="n"/>
      <c r="M1176" s="66" t="n"/>
      <c r="N1176" s="80" t="n"/>
      <c r="O1176" s="81" t="str">
        <f>IF(A1176="","",ROUND(V1176*IFERROR(N(INDEX(tech_rate,MATCH(M1176,tech_name,0))),0),2))</f>
        <v/>
      </c>
      <c r="P1176" s="80" t="n"/>
      <c r="Q1176" s="81" t="str">
        <f>IF(A1176="","",ROUND(Y1176+O1176+Z1176,2))</f>
        <v/>
      </c>
      <c r="R1176" s="79" t="str">
        <f>IF(A1176="","",IF(S1176=0,"Date manquante ou invalide",IF(C1176="","Équipement manquant",IF(ISNA(MATCH(C1176,eq_code,0)),"Équipement inconnu",IF(E1176="","Type manquant",IF(AND(E1176&lt;&gt;"Préventif",E1176&lt;&gt;"Correctif",E1176&lt;&gt;"Amélioratif"),"Type inconnu",IF(I1176="","Statut manquant",IF(AND(I1176&lt;&gt;"Terminée",I1176&lt;&gt;"En cours",I1176&lt;&gt;"À faire",I1176&lt;&gt;"Annulée"),"Statut inconnu",IF(AND(E1176="Préventif",F1176=""),"Plan manquant (préventif)",IF(AND(F1176&lt;&gt;"",ISNA(MATCH(F1176,pl_num,0))),"Plan inconnu",IF(AND(F1176&lt;&gt;"",IFERROR(INDEX(pl_eq,MATCH(F1176,pl_num,0))&amp;"",C1176)&lt;&gt;C1176),"Plan d'un autre équipement",IF(AND(J1176&lt;&gt;"",OR(NOT(ISNUMBER(J1176)),N(J1176)&lt;0)),"Compteur invalide",IF(OR(AND(K1176&lt;&gt;"",OR(NOT(ISNUMBER(K1176)),N(K1176)&lt;0)),AND(L1176&lt;&gt;"",OR(NOT(ISNUMBER(L1176)),N(L1176)&lt;0))),"Durée invalide",IF(OR(AND(N1176&lt;&gt;"",OR(NOT(ISNUMBER(N1176)),N(N1176)&lt;0)),AND(P1176&lt;&gt;"",OR(NOT(ISNUMBER(P1176)),N(P1176)&lt;0))),"Coût invalide",IF(AND(M1176&lt;&gt;"",ISNA(MATCH(M1176,tech_name,0))),"Technicien inconnu",IF(AND(I1176="Terminée",S1176&gt;p_today),"Terminée à une date future",IF(AND(I1176="Terminée",V1176=0),"Durée d'intervention manquante",IF(AND(I1176="Terminée",E1176="Préventif",T1176=0,OR(IFERROR(INDEX(pl_trig,MATCH(F1176,pl_num,0))&amp;"","")="Compteur",IFERROR(INDEX(pl_trig,MATCH(F1176,pl_num,0))&amp;"","")="Au premier des deux")),"Compteur manquant (plan au compteur)","OK"))))))))))))))))))</f>
        <v/>
      </c>
      <c r="S1176" s="67">
        <f>IF(AND(ISNUMBER(B1176),N(B1176)&gt;0),INT(B1176),0)</f>
        <v>0.0</v>
      </c>
      <c r="T1176" s="67">
        <f>IF(AND(ISNUMBER(J1176),N(J1176)&gt;=0),N(J1176),0)</f>
        <v>0.0</v>
      </c>
      <c r="U1176" s="67">
        <f>IF(AND(ISNUMBER(K1176),N(K1176)&gt;0),N(K1176),0)</f>
        <v>0.0</v>
      </c>
      <c r="V1176" s="67">
        <f>IF(AND(ISNUMBER(L1176),N(L1176)&gt;0),N(L1176),0)</f>
        <v>0.0</v>
      </c>
      <c r="W1176" s="67">
        <f>IF(AND(I1176="Terminée",S1176&gt;0,C1176&lt;&gt;"",ISNUMBER(MATCH(C1176,eq_code,0))),1,0)</f>
        <v>0.0</v>
      </c>
      <c r="X1176" s="67">
        <f>IF(AND(W1176=1,E1176="Préventif"),1,0)</f>
        <v>0.0</v>
      </c>
      <c r="Y1176" s="67">
        <f>IF(AND(ISNUMBER(N1176),N(N1176)&gt;0),N(N1176),0)</f>
        <v>0.0</v>
      </c>
      <c r="Z1176" s="67">
        <f>IF(AND(ISNUMBER(P1176),N(P1176)&gt;0),N(P1176),0)</f>
        <v>0.0</v>
      </c>
    </row>
    <row r="1177">
      <c r="A1177" s="79" t="str">
        <f>IF(COUNTA(B1177:C1177,E1177:G1177,I1177)=0,"","BI-"&amp;RIGHT("0000"&amp;(ROW()-5),4))</f>
        <v/>
      </c>
      <c r="B1177" s="72" t="n"/>
      <c r="C1177" s="66" t="n"/>
      <c r="D1177" s="67" t="str">
        <f>IF(C1177="","",IFERROR(INDEX(eq_des,MATCH(C1177,eq_code,0))&amp;"","Équipement inconnu"))</f>
        <v/>
      </c>
      <c r="E1177" s="68" t="n"/>
      <c r="F1177" s="68" t="n"/>
      <c r="G1177" s="66" t="n"/>
      <c r="H1177" s="66" t="n"/>
      <c r="I1177" s="68" t="n"/>
      <c r="J1177" s="73" t="n"/>
      <c r="K1177" s="71" t="n"/>
      <c r="L1177" s="71" t="n"/>
      <c r="M1177" s="66" t="n"/>
      <c r="N1177" s="80" t="n"/>
      <c r="O1177" s="81" t="str">
        <f>IF(A1177="","",ROUND(V1177*IFERROR(N(INDEX(tech_rate,MATCH(M1177,tech_name,0))),0),2))</f>
        <v/>
      </c>
      <c r="P1177" s="80" t="n"/>
      <c r="Q1177" s="81" t="str">
        <f>IF(A1177="","",ROUND(Y1177+O1177+Z1177,2))</f>
        <v/>
      </c>
      <c r="R1177" s="79" t="str">
        <f>IF(A1177="","",IF(S1177=0,"Date manquante ou invalide",IF(C1177="","Équipement manquant",IF(ISNA(MATCH(C1177,eq_code,0)),"Équipement inconnu",IF(E1177="","Type manquant",IF(AND(E1177&lt;&gt;"Préventif",E1177&lt;&gt;"Correctif",E1177&lt;&gt;"Amélioratif"),"Type inconnu",IF(I1177="","Statut manquant",IF(AND(I1177&lt;&gt;"Terminée",I1177&lt;&gt;"En cours",I1177&lt;&gt;"À faire",I1177&lt;&gt;"Annulée"),"Statut inconnu",IF(AND(E1177="Préventif",F1177=""),"Plan manquant (préventif)",IF(AND(F1177&lt;&gt;"",ISNA(MATCH(F1177,pl_num,0))),"Plan inconnu",IF(AND(F1177&lt;&gt;"",IFERROR(INDEX(pl_eq,MATCH(F1177,pl_num,0))&amp;"",C1177)&lt;&gt;C1177),"Plan d'un autre équipement",IF(AND(J1177&lt;&gt;"",OR(NOT(ISNUMBER(J1177)),N(J1177)&lt;0)),"Compteur invalide",IF(OR(AND(K1177&lt;&gt;"",OR(NOT(ISNUMBER(K1177)),N(K1177)&lt;0)),AND(L1177&lt;&gt;"",OR(NOT(ISNUMBER(L1177)),N(L1177)&lt;0))),"Durée invalide",IF(OR(AND(N1177&lt;&gt;"",OR(NOT(ISNUMBER(N1177)),N(N1177)&lt;0)),AND(P1177&lt;&gt;"",OR(NOT(ISNUMBER(P1177)),N(P1177)&lt;0))),"Coût invalide",IF(AND(M1177&lt;&gt;"",ISNA(MATCH(M1177,tech_name,0))),"Technicien inconnu",IF(AND(I1177="Terminée",S1177&gt;p_today),"Terminée à une date future",IF(AND(I1177="Terminée",V1177=0),"Durée d'intervention manquante",IF(AND(I1177="Terminée",E1177="Préventif",T1177=0,OR(IFERROR(INDEX(pl_trig,MATCH(F1177,pl_num,0))&amp;"","")="Compteur",IFERROR(INDEX(pl_trig,MATCH(F1177,pl_num,0))&amp;"","")="Au premier des deux")),"Compteur manquant (plan au compteur)","OK"))))))))))))))))))</f>
        <v/>
      </c>
      <c r="S1177" s="67">
        <f>IF(AND(ISNUMBER(B1177),N(B1177)&gt;0),INT(B1177),0)</f>
        <v>0.0</v>
      </c>
      <c r="T1177" s="67">
        <f>IF(AND(ISNUMBER(J1177),N(J1177)&gt;=0),N(J1177),0)</f>
        <v>0.0</v>
      </c>
      <c r="U1177" s="67">
        <f>IF(AND(ISNUMBER(K1177),N(K1177)&gt;0),N(K1177),0)</f>
        <v>0.0</v>
      </c>
      <c r="V1177" s="67">
        <f>IF(AND(ISNUMBER(L1177),N(L1177)&gt;0),N(L1177),0)</f>
        <v>0.0</v>
      </c>
      <c r="W1177" s="67">
        <f>IF(AND(I1177="Terminée",S1177&gt;0,C1177&lt;&gt;"",ISNUMBER(MATCH(C1177,eq_code,0))),1,0)</f>
        <v>0.0</v>
      </c>
      <c r="X1177" s="67">
        <f>IF(AND(W1177=1,E1177="Préventif"),1,0)</f>
        <v>0.0</v>
      </c>
      <c r="Y1177" s="67">
        <f>IF(AND(ISNUMBER(N1177),N(N1177)&gt;0),N(N1177),0)</f>
        <v>0.0</v>
      </c>
      <c r="Z1177" s="67">
        <f>IF(AND(ISNUMBER(P1177),N(P1177)&gt;0),N(P1177),0)</f>
        <v>0.0</v>
      </c>
    </row>
    <row r="1178">
      <c r="A1178" s="79" t="str">
        <f>IF(COUNTA(B1178:C1178,E1178:G1178,I1178)=0,"","BI-"&amp;RIGHT("0000"&amp;(ROW()-5),4))</f>
        <v/>
      </c>
      <c r="B1178" s="72" t="n"/>
      <c r="C1178" s="66" t="n"/>
      <c r="D1178" s="67" t="str">
        <f>IF(C1178="","",IFERROR(INDEX(eq_des,MATCH(C1178,eq_code,0))&amp;"","Équipement inconnu"))</f>
        <v/>
      </c>
      <c r="E1178" s="68" t="n"/>
      <c r="F1178" s="68" t="n"/>
      <c r="G1178" s="66" t="n"/>
      <c r="H1178" s="66" t="n"/>
      <c r="I1178" s="68" t="n"/>
      <c r="J1178" s="73" t="n"/>
      <c r="K1178" s="71" t="n"/>
      <c r="L1178" s="71" t="n"/>
      <c r="M1178" s="66" t="n"/>
      <c r="N1178" s="80" t="n"/>
      <c r="O1178" s="81" t="str">
        <f>IF(A1178="","",ROUND(V1178*IFERROR(N(INDEX(tech_rate,MATCH(M1178,tech_name,0))),0),2))</f>
        <v/>
      </c>
      <c r="P1178" s="80" t="n"/>
      <c r="Q1178" s="81" t="str">
        <f>IF(A1178="","",ROUND(Y1178+O1178+Z1178,2))</f>
        <v/>
      </c>
      <c r="R1178" s="79" t="str">
        <f>IF(A1178="","",IF(S1178=0,"Date manquante ou invalide",IF(C1178="","Équipement manquant",IF(ISNA(MATCH(C1178,eq_code,0)),"Équipement inconnu",IF(E1178="","Type manquant",IF(AND(E1178&lt;&gt;"Préventif",E1178&lt;&gt;"Correctif",E1178&lt;&gt;"Amélioratif"),"Type inconnu",IF(I1178="","Statut manquant",IF(AND(I1178&lt;&gt;"Terminée",I1178&lt;&gt;"En cours",I1178&lt;&gt;"À faire",I1178&lt;&gt;"Annulée"),"Statut inconnu",IF(AND(E1178="Préventif",F1178=""),"Plan manquant (préventif)",IF(AND(F1178&lt;&gt;"",ISNA(MATCH(F1178,pl_num,0))),"Plan inconnu",IF(AND(F1178&lt;&gt;"",IFERROR(INDEX(pl_eq,MATCH(F1178,pl_num,0))&amp;"",C1178)&lt;&gt;C1178),"Plan d'un autre équipement",IF(AND(J1178&lt;&gt;"",OR(NOT(ISNUMBER(J1178)),N(J1178)&lt;0)),"Compteur invalide",IF(OR(AND(K1178&lt;&gt;"",OR(NOT(ISNUMBER(K1178)),N(K1178)&lt;0)),AND(L1178&lt;&gt;"",OR(NOT(ISNUMBER(L1178)),N(L1178)&lt;0))),"Durée invalide",IF(OR(AND(N1178&lt;&gt;"",OR(NOT(ISNUMBER(N1178)),N(N1178)&lt;0)),AND(P1178&lt;&gt;"",OR(NOT(ISNUMBER(P1178)),N(P1178)&lt;0))),"Coût invalide",IF(AND(M1178&lt;&gt;"",ISNA(MATCH(M1178,tech_name,0))),"Technicien inconnu",IF(AND(I1178="Terminée",S1178&gt;p_today),"Terminée à une date future",IF(AND(I1178="Terminée",V1178=0),"Durée d'intervention manquante",IF(AND(I1178="Terminée",E1178="Préventif",T1178=0,OR(IFERROR(INDEX(pl_trig,MATCH(F1178,pl_num,0))&amp;"","")="Compteur",IFERROR(INDEX(pl_trig,MATCH(F1178,pl_num,0))&amp;"","")="Au premier des deux")),"Compteur manquant (plan au compteur)","OK"))))))))))))))))))</f>
        <v/>
      </c>
      <c r="S1178" s="67">
        <f>IF(AND(ISNUMBER(B1178),N(B1178)&gt;0),INT(B1178),0)</f>
        <v>0.0</v>
      </c>
      <c r="T1178" s="67">
        <f>IF(AND(ISNUMBER(J1178),N(J1178)&gt;=0),N(J1178),0)</f>
        <v>0.0</v>
      </c>
      <c r="U1178" s="67">
        <f>IF(AND(ISNUMBER(K1178),N(K1178)&gt;0),N(K1178),0)</f>
        <v>0.0</v>
      </c>
      <c r="V1178" s="67">
        <f>IF(AND(ISNUMBER(L1178),N(L1178)&gt;0),N(L1178),0)</f>
        <v>0.0</v>
      </c>
      <c r="W1178" s="67">
        <f>IF(AND(I1178="Terminée",S1178&gt;0,C1178&lt;&gt;"",ISNUMBER(MATCH(C1178,eq_code,0))),1,0)</f>
        <v>0.0</v>
      </c>
      <c r="X1178" s="67">
        <f>IF(AND(W1178=1,E1178="Préventif"),1,0)</f>
        <v>0.0</v>
      </c>
      <c r="Y1178" s="67">
        <f>IF(AND(ISNUMBER(N1178),N(N1178)&gt;0),N(N1178),0)</f>
        <v>0.0</v>
      </c>
      <c r="Z1178" s="67">
        <f>IF(AND(ISNUMBER(P1178),N(P1178)&gt;0),N(P1178),0)</f>
        <v>0.0</v>
      </c>
    </row>
    <row r="1179">
      <c r="A1179" s="79" t="str">
        <f>IF(COUNTA(B1179:C1179,E1179:G1179,I1179)=0,"","BI-"&amp;RIGHT("0000"&amp;(ROW()-5),4))</f>
        <v/>
      </c>
      <c r="B1179" s="72" t="n"/>
      <c r="C1179" s="66" t="n"/>
      <c r="D1179" s="67" t="str">
        <f>IF(C1179="","",IFERROR(INDEX(eq_des,MATCH(C1179,eq_code,0))&amp;"","Équipement inconnu"))</f>
        <v/>
      </c>
      <c r="E1179" s="68" t="n"/>
      <c r="F1179" s="68" t="n"/>
      <c r="G1179" s="66" t="n"/>
      <c r="H1179" s="66" t="n"/>
      <c r="I1179" s="68" t="n"/>
      <c r="J1179" s="73" t="n"/>
      <c r="K1179" s="71" t="n"/>
      <c r="L1179" s="71" t="n"/>
      <c r="M1179" s="66" t="n"/>
      <c r="N1179" s="80" t="n"/>
      <c r="O1179" s="81" t="str">
        <f>IF(A1179="","",ROUND(V1179*IFERROR(N(INDEX(tech_rate,MATCH(M1179,tech_name,0))),0),2))</f>
        <v/>
      </c>
      <c r="P1179" s="80" t="n"/>
      <c r="Q1179" s="81" t="str">
        <f>IF(A1179="","",ROUND(Y1179+O1179+Z1179,2))</f>
        <v/>
      </c>
      <c r="R1179" s="79" t="str">
        <f>IF(A1179="","",IF(S1179=0,"Date manquante ou invalide",IF(C1179="","Équipement manquant",IF(ISNA(MATCH(C1179,eq_code,0)),"Équipement inconnu",IF(E1179="","Type manquant",IF(AND(E1179&lt;&gt;"Préventif",E1179&lt;&gt;"Correctif",E1179&lt;&gt;"Amélioratif"),"Type inconnu",IF(I1179="","Statut manquant",IF(AND(I1179&lt;&gt;"Terminée",I1179&lt;&gt;"En cours",I1179&lt;&gt;"À faire",I1179&lt;&gt;"Annulée"),"Statut inconnu",IF(AND(E1179="Préventif",F1179=""),"Plan manquant (préventif)",IF(AND(F1179&lt;&gt;"",ISNA(MATCH(F1179,pl_num,0))),"Plan inconnu",IF(AND(F1179&lt;&gt;"",IFERROR(INDEX(pl_eq,MATCH(F1179,pl_num,0))&amp;"",C1179)&lt;&gt;C1179),"Plan d'un autre équipement",IF(AND(J1179&lt;&gt;"",OR(NOT(ISNUMBER(J1179)),N(J1179)&lt;0)),"Compteur invalide",IF(OR(AND(K1179&lt;&gt;"",OR(NOT(ISNUMBER(K1179)),N(K1179)&lt;0)),AND(L1179&lt;&gt;"",OR(NOT(ISNUMBER(L1179)),N(L1179)&lt;0))),"Durée invalide",IF(OR(AND(N1179&lt;&gt;"",OR(NOT(ISNUMBER(N1179)),N(N1179)&lt;0)),AND(P1179&lt;&gt;"",OR(NOT(ISNUMBER(P1179)),N(P1179)&lt;0))),"Coût invalide",IF(AND(M1179&lt;&gt;"",ISNA(MATCH(M1179,tech_name,0))),"Technicien inconnu",IF(AND(I1179="Terminée",S1179&gt;p_today),"Terminée à une date future",IF(AND(I1179="Terminée",V1179=0),"Durée d'intervention manquante",IF(AND(I1179="Terminée",E1179="Préventif",T1179=0,OR(IFERROR(INDEX(pl_trig,MATCH(F1179,pl_num,0))&amp;"","")="Compteur",IFERROR(INDEX(pl_trig,MATCH(F1179,pl_num,0))&amp;"","")="Au premier des deux")),"Compteur manquant (plan au compteur)","OK"))))))))))))))))))</f>
        <v/>
      </c>
      <c r="S1179" s="67">
        <f>IF(AND(ISNUMBER(B1179),N(B1179)&gt;0),INT(B1179),0)</f>
        <v>0.0</v>
      </c>
      <c r="T1179" s="67">
        <f>IF(AND(ISNUMBER(J1179),N(J1179)&gt;=0),N(J1179),0)</f>
        <v>0.0</v>
      </c>
      <c r="U1179" s="67">
        <f>IF(AND(ISNUMBER(K1179),N(K1179)&gt;0),N(K1179),0)</f>
        <v>0.0</v>
      </c>
      <c r="V1179" s="67">
        <f>IF(AND(ISNUMBER(L1179),N(L1179)&gt;0),N(L1179),0)</f>
        <v>0.0</v>
      </c>
      <c r="W1179" s="67">
        <f>IF(AND(I1179="Terminée",S1179&gt;0,C1179&lt;&gt;"",ISNUMBER(MATCH(C1179,eq_code,0))),1,0)</f>
        <v>0.0</v>
      </c>
      <c r="X1179" s="67">
        <f>IF(AND(W1179=1,E1179="Préventif"),1,0)</f>
        <v>0.0</v>
      </c>
      <c r="Y1179" s="67">
        <f>IF(AND(ISNUMBER(N1179),N(N1179)&gt;0),N(N1179),0)</f>
        <v>0.0</v>
      </c>
      <c r="Z1179" s="67">
        <f>IF(AND(ISNUMBER(P1179),N(P1179)&gt;0),N(P1179),0)</f>
        <v>0.0</v>
      </c>
    </row>
    <row r="1180">
      <c r="A1180" s="79" t="str">
        <f>IF(COUNTA(B1180:C1180,E1180:G1180,I1180)=0,"","BI-"&amp;RIGHT("0000"&amp;(ROW()-5),4))</f>
        <v/>
      </c>
      <c r="B1180" s="72" t="n"/>
      <c r="C1180" s="66" t="n"/>
      <c r="D1180" s="67" t="str">
        <f>IF(C1180="","",IFERROR(INDEX(eq_des,MATCH(C1180,eq_code,0))&amp;"","Équipement inconnu"))</f>
        <v/>
      </c>
      <c r="E1180" s="68" t="n"/>
      <c r="F1180" s="68" t="n"/>
      <c r="G1180" s="66" t="n"/>
      <c r="H1180" s="66" t="n"/>
      <c r="I1180" s="68" t="n"/>
      <c r="J1180" s="73" t="n"/>
      <c r="K1180" s="71" t="n"/>
      <c r="L1180" s="71" t="n"/>
      <c r="M1180" s="66" t="n"/>
      <c r="N1180" s="80" t="n"/>
      <c r="O1180" s="81" t="str">
        <f>IF(A1180="","",ROUND(V1180*IFERROR(N(INDEX(tech_rate,MATCH(M1180,tech_name,0))),0),2))</f>
        <v/>
      </c>
      <c r="P1180" s="80" t="n"/>
      <c r="Q1180" s="81" t="str">
        <f>IF(A1180="","",ROUND(Y1180+O1180+Z1180,2))</f>
        <v/>
      </c>
      <c r="R1180" s="79" t="str">
        <f>IF(A1180="","",IF(S1180=0,"Date manquante ou invalide",IF(C1180="","Équipement manquant",IF(ISNA(MATCH(C1180,eq_code,0)),"Équipement inconnu",IF(E1180="","Type manquant",IF(AND(E1180&lt;&gt;"Préventif",E1180&lt;&gt;"Correctif",E1180&lt;&gt;"Amélioratif"),"Type inconnu",IF(I1180="","Statut manquant",IF(AND(I1180&lt;&gt;"Terminée",I1180&lt;&gt;"En cours",I1180&lt;&gt;"À faire",I1180&lt;&gt;"Annulée"),"Statut inconnu",IF(AND(E1180="Préventif",F1180=""),"Plan manquant (préventif)",IF(AND(F1180&lt;&gt;"",ISNA(MATCH(F1180,pl_num,0))),"Plan inconnu",IF(AND(F1180&lt;&gt;"",IFERROR(INDEX(pl_eq,MATCH(F1180,pl_num,0))&amp;"",C1180)&lt;&gt;C1180),"Plan d'un autre équipement",IF(AND(J1180&lt;&gt;"",OR(NOT(ISNUMBER(J1180)),N(J1180)&lt;0)),"Compteur invalide",IF(OR(AND(K1180&lt;&gt;"",OR(NOT(ISNUMBER(K1180)),N(K1180)&lt;0)),AND(L1180&lt;&gt;"",OR(NOT(ISNUMBER(L1180)),N(L1180)&lt;0))),"Durée invalide",IF(OR(AND(N1180&lt;&gt;"",OR(NOT(ISNUMBER(N1180)),N(N1180)&lt;0)),AND(P1180&lt;&gt;"",OR(NOT(ISNUMBER(P1180)),N(P1180)&lt;0))),"Coût invalide",IF(AND(M1180&lt;&gt;"",ISNA(MATCH(M1180,tech_name,0))),"Technicien inconnu",IF(AND(I1180="Terminée",S1180&gt;p_today),"Terminée à une date future",IF(AND(I1180="Terminée",V1180=0),"Durée d'intervention manquante",IF(AND(I1180="Terminée",E1180="Préventif",T1180=0,OR(IFERROR(INDEX(pl_trig,MATCH(F1180,pl_num,0))&amp;"","")="Compteur",IFERROR(INDEX(pl_trig,MATCH(F1180,pl_num,0))&amp;"","")="Au premier des deux")),"Compteur manquant (plan au compteur)","OK"))))))))))))))))))</f>
        <v/>
      </c>
      <c r="S1180" s="67">
        <f>IF(AND(ISNUMBER(B1180),N(B1180)&gt;0),INT(B1180),0)</f>
        <v>0.0</v>
      </c>
      <c r="T1180" s="67">
        <f>IF(AND(ISNUMBER(J1180),N(J1180)&gt;=0),N(J1180),0)</f>
        <v>0.0</v>
      </c>
      <c r="U1180" s="67">
        <f>IF(AND(ISNUMBER(K1180),N(K1180)&gt;0),N(K1180),0)</f>
        <v>0.0</v>
      </c>
      <c r="V1180" s="67">
        <f>IF(AND(ISNUMBER(L1180),N(L1180)&gt;0),N(L1180),0)</f>
        <v>0.0</v>
      </c>
      <c r="W1180" s="67">
        <f>IF(AND(I1180="Terminée",S1180&gt;0,C1180&lt;&gt;"",ISNUMBER(MATCH(C1180,eq_code,0))),1,0)</f>
        <v>0.0</v>
      </c>
      <c r="X1180" s="67">
        <f>IF(AND(W1180=1,E1180="Préventif"),1,0)</f>
        <v>0.0</v>
      </c>
      <c r="Y1180" s="67">
        <f>IF(AND(ISNUMBER(N1180),N(N1180)&gt;0),N(N1180),0)</f>
        <v>0.0</v>
      </c>
      <c r="Z1180" s="67">
        <f>IF(AND(ISNUMBER(P1180),N(P1180)&gt;0),N(P1180),0)</f>
        <v>0.0</v>
      </c>
    </row>
    <row r="1181">
      <c r="A1181" s="79" t="str">
        <f>IF(COUNTA(B1181:C1181,E1181:G1181,I1181)=0,"","BI-"&amp;RIGHT("0000"&amp;(ROW()-5),4))</f>
        <v/>
      </c>
      <c r="B1181" s="72" t="n"/>
      <c r="C1181" s="66" t="n"/>
      <c r="D1181" s="67" t="str">
        <f>IF(C1181="","",IFERROR(INDEX(eq_des,MATCH(C1181,eq_code,0))&amp;"","Équipement inconnu"))</f>
        <v/>
      </c>
      <c r="E1181" s="68" t="n"/>
      <c r="F1181" s="68" t="n"/>
      <c r="G1181" s="66" t="n"/>
      <c r="H1181" s="66" t="n"/>
      <c r="I1181" s="68" t="n"/>
      <c r="J1181" s="73" t="n"/>
      <c r="K1181" s="71" t="n"/>
      <c r="L1181" s="71" t="n"/>
      <c r="M1181" s="66" t="n"/>
      <c r="N1181" s="80" t="n"/>
      <c r="O1181" s="81" t="str">
        <f>IF(A1181="","",ROUND(V1181*IFERROR(N(INDEX(tech_rate,MATCH(M1181,tech_name,0))),0),2))</f>
        <v/>
      </c>
      <c r="P1181" s="80" t="n"/>
      <c r="Q1181" s="81" t="str">
        <f>IF(A1181="","",ROUND(Y1181+O1181+Z1181,2))</f>
        <v/>
      </c>
      <c r="R1181" s="79" t="str">
        <f>IF(A1181="","",IF(S1181=0,"Date manquante ou invalide",IF(C1181="","Équipement manquant",IF(ISNA(MATCH(C1181,eq_code,0)),"Équipement inconnu",IF(E1181="","Type manquant",IF(AND(E1181&lt;&gt;"Préventif",E1181&lt;&gt;"Correctif",E1181&lt;&gt;"Amélioratif"),"Type inconnu",IF(I1181="","Statut manquant",IF(AND(I1181&lt;&gt;"Terminée",I1181&lt;&gt;"En cours",I1181&lt;&gt;"À faire",I1181&lt;&gt;"Annulée"),"Statut inconnu",IF(AND(E1181="Préventif",F1181=""),"Plan manquant (préventif)",IF(AND(F1181&lt;&gt;"",ISNA(MATCH(F1181,pl_num,0))),"Plan inconnu",IF(AND(F1181&lt;&gt;"",IFERROR(INDEX(pl_eq,MATCH(F1181,pl_num,0))&amp;"",C1181)&lt;&gt;C1181),"Plan d'un autre équipement",IF(AND(J1181&lt;&gt;"",OR(NOT(ISNUMBER(J1181)),N(J1181)&lt;0)),"Compteur invalide",IF(OR(AND(K1181&lt;&gt;"",OR(NOT(ISNUMBER(K1181)),N(K1181)&lt;0)),AND(L1181&lt;&gt;"",OR(NOT(ISNUMBER(L1181)),N(L1181)&lt;0))),"Durée invalide",IF(OR(AND(N1181&lt;&gt;"",OR(NOT(ISNUMBER(N1181)),N(N1181)&lt;0)),AND(P1181&lt;&gt;"",OR(NOT(ISNUMBER(P1181)),N(P1181)&lt;0))),"Coût invalide",IF(AND(M1181&lt;&gt;"",ISNA(MATCH(M1181,tech_name,0))),"Technicien inconnu",IF(AND(I1181="Terminée",S1181&gt;p_today),"Terminée à une date future",IF(AND(I1181="Terminée",V1181=0),"Durée d'intervention manquante",IF(AND(I1181="Terminée",E1181="Préventif",T1181=0,OR(IFERROR(INDEX(pl_trig,MATCH(F1181,pl_num,0))&amp;"","")="Compteur",IFERROR(INDEX(pl_trig,MATCH(F1181,pl_num,0))&amp;"","")="Au premier des deux")),"Compteur manquant (plan au compteur)","OK"))))))))))))))))))</f>
        <v/>
      </c>
      <c r="S1181" s="67">
        <f>IF(AND(ISNUMBER(B1181),N(B1181)&gt;0),INT(B1181),0)</f>
        <v>0.0</v>
      </c>
      <c r="T1181" s="67">
        <f>IF(AND(ISNUMBER(J1181),N(J1181)&gt;=0),N(J1181),0)</f>
        <v>0.0</v>
      </c>
      <c r="U1181" s="67">
        <f>IF(AND(ISNUMBER(K1181),N(K1181)&gt;0),N(K1181),0)</f>
        <v>0.0</v>
      </c>
      <c r="V1181" s="67">
        <f>IF(AND(ISNUMBER(L1181),N(L1181)&gt;0),N(L1181),0)</f>
        <v>0.0</v>
      </c>
      <c r="W1181" s="67">
        <f>IF(AND(I1181="Terminée",S1181&gt;0,C1181&lt;&gt;"",ISNUMBER(MATCH(C1181,eq_code,0))),1,0)</f>
        <v>0.0</v>
      </c>
      <c r="X1181" s="67">
        <f>IF(AND(W1181=1,E1181="Préventif"),1,0)</f>
        <v>0.0</v>
      </c>
      <c r="Y1181" s="67">
        <f>IF(AND(ISNUMBER(N1181),N(N1181)&gt;0),N(N1181),0)</f>
        <v>0.0</v>
      </c>
      <c r="Z1181" s="67">
        <f>IF(AND(ISNUMBER(P1181),N(P1181)&gt;0),N(P1181),0)</f>
        <v>0.0</v>
      </c>
    </row>
    <row r="1182">
      <c r="A1182" s="79" t="str">
        <f>IF(COUNTA(B1182:C1182,E1182:G1182,I1182)=0,"","BI-"&amp;RIGHT("0000"&amp;(ROW()-5),4))</f>
        <v/>
      </c>
      <c r="B1182" s="72" t="n"/>
      <c r="C1182" s="66" t="n"/>
      <c r="D1182" s="67" t="str">
        <f>IF(C1182="","",IFERROR(INDEX(eq_des,MATCH(C1182,eq_code,0))&amp;"","Équipement inconnu"))</f>
        <v/>
      </c>
      <c r="E1182" s="68" t="n"/>
      <c r="F1182" s="68" t="n"/>
      <c r="G1182" s="66" t="n"/>
      <c r="H1182" s="66" t="n"/>
      <c r="I1182" s="68" t="n"/>
      <c r="J1182" s="73" t="n"/>
      <c r="K1182" s="71" t="n"/>
      <c r="L1182" s="71" t="n"/>
      <c r="M1182" s="66" t="n"/>
      <c r="N1182" s="80" t="n"/>
      <c r="O1182" s="81" t="str">
        <f>IF(A1182="","",ROUND(V1182*IFERROR(N(INDEX(tech_rate,MATCH(M1182,tech_name,0))),0),2))</f>
        <v/>
      </c>
      <c r="P1182" s="80" t="n"/>
      <c r="Q1182" s="81" t="str">
        <f>IF(A1182="","",ROUND(Y1182+O1182+Z1182,2))</f>
        <v/>
      </c>
      <c r="R1182" s="79" t="str">
        <f>IF(A1182="","",IF(S1182=0,"Date manquante ou invalide",IF(C1182="","Équipement manquant",IF(ISNA(MATCH(C1182,eq_code,0)),"Équipement inconnu",IF(E1182="","Type manquant",IF(AND(E1182&lt;&gt;"Préventif",E1182&lt;&gt;"Correctif",E1182&lt;&gt;"Amélioratif"),"Type inconnu",IF(I1182="","Statut manquant",IF(AND(I1182&lt;&gt;"Terminée",I1182&lt;&gt;"En cours",I1182&lt;&gt;"À faire",I1182&lt;&gt;"Annulée"),"Statut inconnu",IF(AND(E1182="Préventif",F1182=""),"Plan manquant (préventif)",IF(AND(F1182&lt;&gt;"",ISNA(MATCH(F1182,pl_num,0))),"Plan inconnu",IF(AND(F1182&lt;&gt;"",IFERROR(INDEX(pl_eq,MATCH(F1182,pl_num,0))&amp;"",C1182)&lt;&gt;C1182),"Plan d'un autre équipement",IF(AND(J1182&lt;&gt;"",OR(NOT(ISNUMBER(J1182)),N(J1182)&lt;0)),"Compteur invalide",IF(OR(AND(K1182&lt;&gt;"",OR(NOT(ISNUMBER(K1182)),N(K1182)&lt;0)),AND(L1182&lt;&gt;"",OR(NOT(ISNUMBER(L1182)),N(L1182)&lt;0))),"Durée invalide",IF(OR(AND(N1182&lt;&gt;"",OR(NOT(ISNUMBER(N1182)),N(N1182)&lt;0)),AND(P1182&lt;&gt;"",OR(NOT(ISNUMBER(P1182)),N(P1182)&lt;0))),"Coût invalide",IF(AND(M1182&lt;&gt;"",ISNA(MATCH(M1182,tech_name,0))),"Technicien inconnu",IF(AND(I1182="Terminée",S1182&gt;p_today),"Terminée à une date future",IF(AND(I1182="Terminée",V1182=0),"Durée d'intervention manquante",IF(AND(I1182="Terminée",E1182="Préventif",T1182=0,OR(IFERROR(INDEX(pl_trig,MATCH(F1182,pl_num,0))&amp;"","")="Compteur",IFERROR(INDEX(pl_trig,MATCH(F1182,pl_num,0))&amp;"","")="Au premier des deux")),"Compteur manquant (plan au compteur)","OK"))))))))))))))))))</f>
        <v/>
      </c>
      <c r="S1182" s="67">
        <f>IF(AND(ISNUMBER(B1182),N(B1182)&gt;0),INT(B1182),0)</f>
        <v>0.0</v>
      </c>
      <c r="T1182" s="67">
        <f>IF(AND(ISNUMBER(J1182),N(J1182)&gt;=0),N(J1182),0)</f>
        <v>0.0</v>
      </c>
      <c r="U1182" s="67">
        <f>IF(AND(ISNUMBER(K1182),N(K1182)&gt;0),N(K1182),0)</f>
        <v>0.0</v>
      </c>
      <c r="V1182" s="67">
        <f>IF(AND(ISNUMBER(L1182),N(L1182)&gt;0),N(L1182),0)</f>
        <v>0.0</v>
      </c>
      <c r="W1182" s="67">
        <f>IF(AND(I1182="Terminée",S1182&gt;0,C1182&lt;&gt;"",ISNUMBER(MATCH(C1182,eq_code,0))),1,0)</f>
        <v>0.0</v>
      </c>
      <c r="X1182" s="67">
        <f>IF(AND(W1182=1,E1182="Préventif"),1,0)</f>
        <v>0.0</v>
      </c>
      <c r="Y1182" s="67">
        <f>IF(AND(ISNUMBER(N1182),N(N1182)&gt;0),N(N1182),0)</f>
        <v>0.0</v>
      </c>
      <c r="Z1182" s="67">
        <f>IF(AND(ISNUMBER(P1182),N(P1182)&gt;0),N(P1182),0)</f>
        <v>0.0</v>
      </c>
    </row>
    <row r="1183">
      <c r="A1183" s="79" t="str">
        <f>IF(COUNTA(B1183:C1183,E1183:G1183,I1183)=0,"","BI-"&amp;RIGHT("0000"&amp;(ROW()-5),4))</f>
        <v/>
      </c>
      <c r="B1183" s="72" t="n"/>
      <c r="C1183" s="66" t="n"/>
      <c r="D1183" s="67" t="str">
        <f>IF(C1183="","",IFERROR(INDEX(eq_des,MATCH(C1183,eq_code,0))&amp;"","Équipement inconnu"))</f>
        <v/>
      </c>
      <c r="E1183" s="68" t="n"/>
      <c r="F1183" s="68" t="n"/>
      <c r="G1183" s="66" t="n"/>
      <c r="H1183" s="66" t="n"/>
      <c r="I1183" s="68" t="n"/>
      <c r="J1183" s="73" t="n"/>
      <c r="K1183" s="71" t="n"/>
      <c r="L1183" s="71" t="n"/>
      <c r="M1183" s="66" t="n"/>
      <c r="N1183" s="80" t="n"/>
      <c r="O1183" s="81" t="str">
        <f>IF(A1183="","",ROUND(V1183*IFERROR(N(INDEX(tech_rate,MATCH(M1183,tech_name,0))),0),2))</f>
        <v/>
      </c>
      <c r="P1183" s="80" t="n"/>
      <c r="Q1183" s="81" t="str">
        <f>IF(A1183="","",ROUND(Y1183+O1183+Z1183,2))</f>
        <v/>
      </c>
      <c r="R1183" s="79" t="str">
        <f>IF(A1183="","",IF(S1183=0,"Date manquante ou invalide",IF(C1183="","Équipement manquant",IF(ISNA(MATCH(C1183,eq_code,0)),"Équipement inconnu",IF(E1183="","Type manquant",IF(AND(E1183&lt;&gt;"Préventif",E1183&lt;&gt;"Correctif",E1183&lt;&gt;"Amélioratif"),"Type inconnu",IF(I1183="","Statut manquant",IF(AND(I1183&lt;&gt;"Terminée",I1183&lt;&gt;"En cours",I1183&lt;&gt;"À faire",I1183&lt;&gt;"Annulée"),"Statut inconnu",IF(AND(E1183="Préventif",F1183=""),"Plan manquant (préventif)",IF(AND(F1183&lt;&gt;"",ISNA(MATCH(F1183,pl_num,0))),"Plan inconnu",IF(AND(F1183&lt;&gt;"",IFERROR(INDEX(pl_eq,MATCH(F1183,pl_num,0))&amp;"",C1183)&lt;&gt;C1183),"Plan d'un autre équipement",IF(AND(J1183&lt;&gt;"",OR(NOT(ISNUMBER(J1183)),N(J1183)&lt;0)),"Compteur invalide",IF(OR(AND(K1183&lt;&gt;"",OR(NOT(ISNUMBER(K1183)),N(K1183)&lt;0)),AND(L1183&lt;&gt;"",OR(NOT(ISNUMBER(L1183)),N(L1183)&lt;0))),"Durée invalide",IF(OR(AND(N1183&lt;&gt;"",OR(NOT(ISNUMBER(N1183)),N(N1183)&lt;0)),AND(P1183&lt;&gt;"",OR(NOT(ISNUMBER(P1183)),N(P1183)&lt;0))),"Coût invalide",IF(AND(M1183&lt;&gt;"",ISNA(MATCH(M1183,tech_name,0))),"Technicien inconnu",IF(AND(I1183="Terminée",S1183&gt;p_today),"Terminée à une date future",IF(AND(I1183="Terminée",V1183=0),"Durée d'intervention manquante",IF(AND(I1183="Terminée",E1183="Préventif",T1183=0,OR(IFERROR(INDEX(pl_trig,MATCH(F1183,pl_num,0))&amp;"","")="Compteur",IFERROR(INDEX(pl_trig,MATCH(F1183,pl_num,0))&amp;"","")="Au premier des deux")),"Compteur manquant (plan au compteur)","OK"))))))))))))))))))</f>
        <v/>
      </c>
      <c r="S1183" s="67">
        <f>IF(AND(ISNUMBER(B1183),N(B1183)&gt;0),INT(B1183),0)</f>
        <v>0.0</v>
      </c>
      <c r="T1183" s="67">
        <f>IF(AND(ISNUMBER(J1183),N(J1183)&gt;=0),N(J1183),0)</f>
        <v>0.0</v>
      </c>
      <c r="U1183" s="67">
        <f>IF(AND(ISNUMBER(K1183),N(K1183)&gt;0),N(K1183),0)</f>
        <v>0.0</v>
      </c>
      <c r="V1183" s="67">
        <f>IF(AND(ISNUMBER(L1183),N(L1183)&gt;0),N(L1183),0)</f>
        <v>0.0</v>
      </c>
      <c r="W1183" s="67">
        <f>IF(AND(I1183="Terminée",S1183&gt;0,C1183&lt;&gt;"",ISNUMBER(MATCH(C1183,eq_code,0))),1,0)</f>
        <v>0.0</v>
      </c>
      <c r="X1183" s="67">
        <f>IF(AND(W1183=1,E1183="Préventif"),1,0)</f>
        <v>0.0</v>
      </c>
      <c r="Y1183" s="67">
        <f>IF(AND(ISNUMBER(N1183),N(N1183)&gt;0),N(N1183),0)</f>
        <v>0.0</v>
      </c>
      <c r="Z1183" s="67">
        <f>IF(AND(ISNUMBER(P1183),N(P1183)&gt;0),N(P1183),0)</f>
        <v>0.0</v>
      </c>
    </row>
    <row r="1184">
      <c r="A1184" s="79" t="str">
        <f>IF(COUNTA(B1184:C1184,E1184:G1184,I1184)=0,"","BI-"&amp;RIGHT("0000"&amp;(ROW()-5),4))</f>
        <v/>
      </c>
      <c r="B1184" s="72" t="n"/>
      <c r="C1184" s="66" t="n"/>
      <c r="D1184" s="67" t="str">
        <f>IF(C1184="","",IFERROR(INDEX(eq_des,MATCH(C1184,eq_code,0))&amp;"","Équipement inconnu"))</f>
        <v/>
      </c>
      <c r="E1184" s="68" t="n"/>
      <c r="F1184" s="68" t="n"/>
      <c r="G1184" s="66" t="n"/>
      <c r="H1184" s="66" t="n"/>
      <c r="I1184" s="68" t="n"/>
      <c r="J1184" s="73" t="n"/>
      <c r="K1184" s="71" t="n"/>
      <c r="L1184" s="71" t="n"/>
      <c r="M1184" s="66" t="n"/>
      <c r="N1184" s="80" t="n"/>
      <c r="O1184" s="81" t="str">
        <f>IF(A1184="","",ROUND(V1184*IFERROR(N(INDEX(tech_rate,MATCH(M1184,tech_name,0))),0),2))</f>
        <v/>
      </c>
      <c r="P1184" s="80" t="n"/>
      <c r="Q1184" s="81" t="str">
        <f>IF(A1184="","",ROUND(Y1184+O1184+Z1184,2))</f>
        <v/>
      </c>
      <c r="R1184" s="79" t="str">
        <f>IF(A1184="","",IF(S1184=0,"Date manquante ou invalide",IF(C1184="","Équipement manquant",IF(ISNA(MATCH(C1184,eq_code,0)),"Équipement inconnu",IF(E1184="","Type manquant",IF(AND(E1184&lt;&gt;"Préventif",E1184&lt;&gt;"Correctif",E1184&lt;&gt;"Amélioratif"),"Type inconnu",IF(I1184="","Statut manquant",IF(AND(I1184&lt;&gt;"Terminée",I1184&lt;&gt;"En cours",I1184&lt;&gt;"À faire",I1184&lt;&gt;"Annulée"),"Statut inconnu",IF(AND(E1184="Préventif",F1184=""),"Plan manquant (préventif)",IF(AND(F1184&lt;&gt;"",ISNA(MATCH(F1184,pl_num,0))),"Plan inconnu",IF(AND(F1184&lt;&gt;"",IFERROR(INDEX(pl_eq,MATCH(F1184,pl_num,0))&amp;"",C1184)&lt;&gt;C1184),"Plan d'un autre équipement",IF(AND(J1184&lt;&gt;"",OR(NOT(ISNUMBER(J1184)),N(J1184)&lt;0)),"Compteur invalide",IF(OR(AND(K1184&lt;&gt;"",OR(NOT(ISNUMBER(K1184)),N(K1184)&lt;0)),AND(L1184&lt;&gt;"",OR(NOT(ISNUMBER(L1184)),N(L1184)&lt;0))),"Durée invalide",IF(OR(AND(N1184&lt;&gt;"",OR(NOT(ISNUMBER(N1184)),N(N1184)&lt;0)),AND(P1184&lt;&gt;"",OR(NOT(ISNUMBER(P1184)),N(P1184)&lt;0))),"Coût invalide",IF(AND(M1184&lt;&gt;"",ISNA(MATCH(M1184,tech_name,0))),"Technicien inconnu",IF(AND(I1184="Terminée",S1184&gt;p_today),"Terminée à une date future",IF(AND(I1184="Terminée",V1184=0),"Durée d'intervention manquante",IF(AND(I1184="Terminée",E1184="Préventif",T1184=0,OR(IFERROR(INDEX(pl_trig,MATCH(F1184,pl_num,0))&amp;"","")="Compteur",IFERROR(INDEX(pl_trig,MATCH(F1184,pl_num,0))&amp;"","")="Au premier des deux")),"Compteur manquant (plan au compteur)","OK"))))))))))))))))))</f>
        <v/>
      </c>
      <c r="S1184" s="67">
        <f>IF(AND(ISNUMBER(B1184),N(B1184)&gt;0),INT(B1184),0)</f>
        <v>0.0</v>
      </c>
      <c r="T1184" s="67">
        <f>IF(AND(ISNUMBER(J1184),N(J1184)&gt;=0),N(J1184),0)</f>
        <v>0.0</v>
      </c>
      <c r="U1184" s="67">
        <f>IF(AND(ISNUMBER(K1184),N(K1184)&gt;0),N(K1184),0)</f>
        <v>0.0</v>
      </c>
      <c r="V1184" s="67">
        <f>IF(AND(ISNUMBER(L1184),N(L1184)&gt;0),N(L1184),0)</f>
        <v>0.0</v>
      </c>
      <c r="W1184" s="67">
        <f>IF(AND(I1184="Terminée",S1184&gt;0,C1184&lt;&gt;"",ISNUMBER(MATCH(C1184,eq_code,0))),1,0)</f>
        <v>0.0</v>
      </c>
      <c r="X1184" s="67">
        <f>IF(AND(W1184=1,E1184="Préventif"),1,0)</f>
        <v>0.0</v>
      </c>
      <c r="Y1184" s="67">
        <f>IF(AND(ISNUMBER(N1184),N(N1184)&gt;0),N(N1184),0)</f>
        <v>0.0</v>
      </c>
      <c r="Z1184" s="67">
        <f>IF(AND(ISNUMBER(P1184),N(P1184)&gt;0),N(P1184),0)</f>
        <v>0.0</v>
      </c>
    </row>
    <row r="1185">
      <c r="A1185" s="79" t="str">
        <f>IF(COUNTA(B1185:C1185,E1185:G1185,I1185)=0,"","BI-"&amp;RIGHT("0000"&amp;(ROW()-5),4))</f>
        <v/>
      </c>
      <c r="B1185" s="72" t="n"/>
      <c r="C1185" s="66" t="n"/>
      <c r="D1185" s="67" t="str">
        <f>IF(C1185="","",IFERROR(INDEX(eq_des,MATCH(C1185,eq_code,0))&amp;"","Équipement inconnu"))</f>
        <v/>
      </c>
      <c r="E1185" s="68" t="n"/>
      <c r="F1185" s="68" t="n"/>
      <c r="G1185" s="66" t="n"/>
      <c r="H1185" s="66" t="n"/>
      <c r="I1185" s="68" t="n"/>
      <c r="J1185" s="73" t="n"/>
      <c r="K1185" s="71" t="n"/>
      <c r="L1185" s="71" t="n"/>
      <c r="M1185" s="66" t="n"/>
      <c r="N1185" s="80" t="n"/>
      <c r="O1185" s="81" t="str">
        <f>IF(A1185="","",ROUND(V1185*IFERROR(N(INDEX(tech_rate,MATCH(M1185,tech_name,0))),0),2))</f>
        <v/>
      </c>
      <c r="P1185" s="80" t="n"/>
      <c r="Q1185" s="81" t="str">
        <f>IF(A1185="","",ROUND(Y1185+O1185+Z1185,2))</f>
        <v/>
      </c>
      <c r="R1185" s="79" t="str">
        <f>IF(A1185="","",IF(S1185=0,"Date manquante ou invalide",IF(C1185="","Équipement manquant",IF(ISNA(MATCH(C1185,eq_code,0)),"Équipement inconnu",IF(E1185="","Type manquant",IF(AND(E1185&lt;&gt;"Préventif",E1185&lt;&gt;"Correctif",E1185&lt;&gt;"Amélioratif"),"Type inconnu",IF(I1185="","Statut manquant",IF(AND(I1185&lt;&gt;"Terminée",I1185&lt;&gt;"En cours",I1185&lt;&gt;"À faire",I1185&lt;&gt;"Annulée"),"Statut inconnu",IF(AND(E1185="Préventif",F1185=""),"Plan manquant (préventif)",IF(AND(F1185&lt;&gt;"",ISNA(MATCH(F1185,pl_num,0))),"Plan inconnu",IF(AND(F1185&lt;&gt;"",IFERROR(INDEX(pl_eq,MATCH(F1185,pl_num,0))&amp;"",C1185)&lt;&gt;C1185),"Plan d'un autre équipement",IF(AND(J1185&lt;&gt;"",OR(NOT(ISNUMBER(J1185)),N(J1185)&lt;0)),"Compteur invalide",IF(OR(AND(K1185&lt;&gt;"",OR(NOT(ISNUMBER(K1185)),N(K1185)&lt;0)),AND(L1185&lt;&gt;"",OR(NOT(ISNUMBER(L1185)),N(L1185)&lt;0))),"Durée invalide",IF(OR(AND(N1185&lt;&gt;"",OR(NOT(ISNUMBER(N1185)),N(N1185)&lt;0)),AND(P1185&lt;&gt;"",OR(NOT(ISNUMBER(P1185)),N(P1185)&lt;0))),"Coût invalide",IF(AND(M1185&lt;&gt;"",ISNA(MATCH(M1185,tech_name,0))),"Technicien inconnu",IF(AND(I1185="Terminée",S1185&gt;p_today),"Terminée à une date future",IF(AND(I1185="Terminée",V1185=0),"Durée d'intervention manquante",IF(AND(I1185="Terminée",E1185="Préventif",T1185=0,OR(IFERROR(INDEX(pl_trig,MATCH(F1185,pl_num,0))&amp;"","")="Compteur",IFERROR(INDEX(pl_trig,MATCH(F1185,pl_num,0))&amp;"","")="Au premier des deux")),"Compteur manquant (plan au compteur)","OK"))))))))))))))))))</f>
        <v/>
      </c>
      <c r="S1185" s="67">
        <f>IF(AND(ISNUMBER(B1185),N(B1185)&gt;0),INT(B1185),0)</f>
        <v>0.0</v>
      </c>
      <c r="T1185" s="67">
        <f>IF(AND(ISNUMBER(J1185),N(J1185)&gt;=0),N(J1185),0)</f>
        <v>0.0</v>
      </c>
      <c r="U1185" s="67">
        <f>IF(AND(ISNUMBER(K1185),N(K1185)&gt;0),N(K1185),0)</f>
        <v>0.0</v>
      </c>
      <c r="V1185" s="67">
        <f>IF(AND(ISNUMBER(L1185),N(L1185)&gt;0),N(L1185),0)</f>
        <v>0.0</v>
      </c>
      <c r="W1185" s="67">
        <f>IF(AND(I1185="Terminée",S1185&gt;0,C1185&lt;&gt;"",ISNUMBER(MATCH(C1185,eq_code,0))),1,0)</f>
        <v>0.0</v>
      </c>
      <c r="X1185" s="67">
        <f>IF(AND(W1185=1,E1185="Préventif"),1,0)</f>
        <v>0.0</v>
      </c>
      <c r="Y1185" s="67">
        <f>IF(AND(ISNUMBER(N1185),N(N1185)&gt;0),N(N1185),0)</f>
        <v>0.0</v>
      </c>
      <c r="Z1185" s="67">
        <f>IF(AND(ISNUMBER(P1185),N(P1185)&gt;0),N(P1185),0)</f>
        <v>0.0</v>
      </c>
    </row>
    <row r="1186">
      <c r="A1186" s="79" t="str">
        <f>IF(COUNTA(B1186:C1186,E1186:G1186,I1186)=0,"","BI-"&amp;RIGHT("0000"&amp;(ROW()-5),4))</f>
        <v/>
      </c>
      <c r="B1186" s="72" t="n"/>
      <c r="C1186" s="66" t="n"/>
      <c r="D1186" s="67" t="str">
        <f>IF(C1186="","",IFERROR(INDEX(eq_des,MATCH(C1186,eq_code,0))&amp;"","Équipement inconnu"))</f>
        <v/>
      </c>
      <c r="E1186" s="68" t="n"/>
      <c r="F1186" s="68" t="n"/>
      <c r="G1186" s="66" t="n"/>
      <c r="H1186" s="66" t="n"/>
      <c r="I1186" s="68" t="n"/>
      <c r="J1186" s="73" t="n"/>
      <c r="K1186" s="71" t="n"/>
      <c r="L1186" s="71" t="n"/>
      <c r="M1186" s="66" t="n"/>
      <c r="N1186" s="80" t="n"/>
      <c r="O1186" s="81" t="str">
        <f>IF(A1186="","",ROUND(V1186*IFERROR(N(INDEX(tech_rate,MATCH(M1186,tech_name,0))),0),2))</f>
        <v/>
      </c>
      <c r="P1186" s="80" t="n"/>
      <c r="Q1186" s="81" t="str">
        <f>IF(A1186="","",ROUND(Y1186+O1186+Z1186,2))</f>
        <v/>
      </c>
      <c r="R1186" s="79" t="str">
        <f>IF(A1186="","",IF(S1186=0,"Date manquante ou invalide",IF(C1186="","Équipement manquant",IF(ISNA(MATCH(C1186,eq_code,0)),"Équipement inconnu",IF(E1186="","Type manquant",IF(AND(E1186&lt;&gt;"Préventif",E1186&lt;&gt;"Correctif",E1186&lt;&gt;"Amélioratif"),"Type inconnu",IF(I1186="","Statut manquant",IF(AND(I1186&lt;&gt;"Terminée",I1186&lt;&gt;"En cours",I1186&lt;&gt;"À faire",I1186&lt;&gt;"Annulée"),"Statut inconnu",IF(AND(E1186="Préventif",F1186=""),"Plan manquant (préventif)",IF(AND(F1186&lt;&gt;"",ISNA(MATCH(F1186,pl_num,0))),"Plan inconnu",IF(AND(F1186&lt;&gt;"",IFERROR(INDEX(pl_eq,MATCH(F1186,pl_num,0))&amp;"",C1186)&lt;&gt;C1186),"Plan d'un autre équipement",IF(AND(J1186&lt;&gt;"",OR(NOT(ISNUMBER(J1186)),N(J1186)&lt;0)),"Compteur invalide",IF(OR(AND(K1186&lt;&gt;"",OR(NOT(ISNUMBER(K1186)),N(K1186)&lt;0)),AND(L1186&lt;&gt;"",OR(NOT(ISNUMBER(L1186)),N(L1186)&lt;0))),"Durée invalide",IF(OR(AND(N1186&lt;&gt;"",OR(NOT(ISNUMBER(N1186)),N(N1186)&lt;0)),AND(P1186&lt;&gt;"",OR(NOT(ISNUMBER(P1186)),N(P1186)&lt;0))),"Coût invalide",IF(AND(M1186&lt;&gt;"",ISNA(MATCH(M1186,tech_name,0))),"Technicien inconnu",IF(AND(I1186="Terminée",S1186&gt;p_today),"Terminée à une date future",IF(AND(I1186="Terminée",V1186=0),"Durée d'intervention manquante",IF(AND(I1186="Terminée",E1186="Préventif",T1186=0,OR(IFERROR(INDEX(pl_trig,MATCH(F1186,pl_num,0))&amp;"","")="Compteur",IFERROR(INDEX(pl_trig,MATCH(F1186,pl_num,0))&amp;"","")="Au premier des deux")),"Compteur manquant (plan au compteur)","OK"))))))))))))))))))</f>
        <v/>
      </c>
      <c r="S1186" s="67">
        <f>IF(AND(ISNUMBER(B1186),N(B1186)&gt;0),INT(B1186),0)</f>
        <v>0.0</v>
      </c>
      <c r="T1186" s="67">
        <f>IF(AND(ISNUMBER(J1186),N(J1186)&gt;=0),N(J1186),0)</f>
        <v>0.0</v>
      </c>
      <c r="U1186" s="67">
        <f>IF(AND(ISNUMBER(K1186),N(K1186)&gt;0),N(K1186),0)</f>
        <v>0.0</v>
      </c>
      <c r="V1186" s="67">
        <f>IF(AND(ISNUMBER(L1186),N(L1186)&gt;0),N(L1186),0)</f>
        <v>0.0</v>
      </c>
      <c r="W1186" s="67">
        <f>IF(AND(I1186="Terminée",S1186&gt;0,C1186&lt;&gt;"",ISNUMBER(MATCH(C1186,eq_code,0))),1,0)</f>
        <v>0.0</v>
      </c>
      <c r="X1186" s="67">
        <f>IF(AND(W1186=1,E1186="Préventif"),1,0)</f>
        <v>0.0</v>
      </c>
      <c r="Y1186" s="67">
        <f>IF(AND(ISNUMBER(N1186),N(N1186)&gt;0),N(N1186),0)</f>
        <v>0.0</v>
      </c>
      <c r="Z1186" s="67">
        <f>IF(AND(ISNUMBER(P1186),N(P1186)&gt;0),N(P1186),0)</f>
        <v>0.0</v>
      </c>
    </row>
    <row r="1187">
      <c r="A1187" s="79" t="str">
        <f>IF(COUNTA(B1187:C1187,E1187:G1187,I1187)=0,"","BI-"&amp;RIGHT("0000"&amp;(ROW()-5),4))</f>
        <v/>
      </c>
      <c r="B1187" s="72" t="n"/>
      <c r="C1187" s="66" t="n"/>
      <c r="D1187" s="67" t="str">
        <f>IF(C1187="","",IFERROR(INDEX(eq_des,MATCH(C1187,eq_code,0))&amp;"","Équipement inconnu"))</f>
        <v/>
      </c>
      <c r="E1187" s="68" t="n"/>
      <c r="F1187" s="68" t="n"/>
      <c r="G1187" s="66" t="n"/>
      <c r="H1187" s="66" t="n"/>
      <c r="I1187" s="68" t="n"/>
      <c r="J1187" s="73" t="n"/>
      <c r="K1187" s="71" t="n"/>
      <c r="L1187" s="71" t="n"/>
      <c r="M1187" s="66" t="n"/>
      <c r="N1187" s="80" t="n"/>
      <c r="O1187" s="81" t="str">
        <f>IF(A1187="","",ROUND(V1187*IFERROR(N(INDEX(tech_rate,MATCH(M1187,tech_name,0))),0),2))</f>
        <v/>
      </c>
      <c r="P1187" s="80" t="n"/>
      <c r="Q1187" s="81" t="str">
        <f>IF(A1187="","",ROUND(Y1187+O1187+Z1187,2))</f>
        <v/>
      </c>
      <c r="R1187" s="79" t="str">
        <f>IF(A1187="","",IF(S1187=0,"Date manquante ou invalide",IF(C1187="","Équipement manquant",IF(ISNA(MATCH(C1187,eq_code,0)),"Équipement inconnu",IF(E1187="","Type manquant",IF(AND(E1187&lt;&gt;"Préventif",E1187&lt;&gt;"Correctif",E1187&lt;&gt;"Amélioratif"),"Type inconnu",IF(I1187="","Statut manquant",IF(AND(I1187&lt;&gt;"Terminée",I1187&lt;&gt;"En cours",I1187&lt;&gt;"À faire",I1187&lt;&gt;"Annulée"),"Statut inconnu",IF(AND(E1187="Préventif",F1187=""),"Plan manquant (préventif)",IF(AND(F1187&lt;&gt;"",ISNA(MATCH(F1187,pl_num,0))),"Plan inconnu",IF(AND(F1187&lt;&gt;"",IFERROR(INDEX(pl_eq,MATCH(F1187,pl_num,0))&amp;"",C1187)&lt;&gt;C1187),"Plan d'un autre équipement",IF(AND(J1187&lt;&gt;"",OR(NOT(ISNUMBER(J1187)),N(J1187)&lt;0)),"Compteur invalide",IF(OR(AND(K1187&lt;&gt;"",OR(NOT(ISNUMBER(K1187)),N(K1187)&lt;0)),AND(L1187&lt;&gt;"",OR(NOT(ISNUMBER(L1187)),N(L1187)&lt;0))),"Durée invalide",IF(OR(AND(N1187&lt;&gt;"",OR(NOT(ISNUMBER(N1187)),N(N1187)&lt;0)),AND(P1187&lt;&gt;"",OR(NOT(ISNUMBER(P1187)),N(P1187)&lt;0))),"Coût invalide",IF(AND(M1187&lt;&gt;"",ISNA(MATCH(M1187,tech_name,0))),"Technicien inconnu",IF(AND(I1187="Terminée",S1187&gt;p_today),"Terminée à une date future",IF(AND(I1187="Terminée",V1187=0),"Durée d'intervention manquante",IF(AND(I1187="Terminée",E1187="Préventif",T1187=0,OR(IFERROR(INDEX(pl_trig,MATCH(F1187,pl_num,0))&amp;"","")="Compteur",IFERROR(INDEX(pl_trig,MATCH(F1187,pl_num,0))&amp;"","")="Au premier des deux")),"Compteur manquant (plan au compteur)","OK"))))))))))))))))))</f>
        <v/>
      </c>
      <c r="S1187" s="67">
        <f>IF(AND(ISNUMBER(B1187),N(B1187)&gt;0),INT(B1187),0)</f>
        <v>0.0</v>
      </c>
      <c r="T1187" s="67">
        <f>IF(AND(ISNUMBER(J1187),N(J1187)&gt;=0),N(J1187),0)</f>
        <v>0.0</v>
      </c>
      <c r="U1187" s="67">
        <f>IF(AND(ISNUMBER(K1187),N(K1187)&gt;0),N(K1187),0)</f>
        <v>0.0</v>
      </c>
      <c r="V1187" s="67">
        <f>IF(AND(ISNUMBER(L1187),N(L1187)&gt;0),N(L1187),0)</f>
        <v>0.0</v>
      </c>
      <c r="W1187" s="67">
        <f>IF(AND(I1187="Terminée",S1187&gt;0,C1187&lt;&gt;"",ISNUMBER(MATCH(C1187,eq_code,0))),1,0)</f>
        <v>0.0</v>
      </c>
      <c r="X1187" s="67">
        <f>IF(AND(W1187=1,E1187="Préventif"),1,0)</f>
        <v>0.0</v>
      </c>
      <c r="Y1187" s="67">
        <f>IF(AND(ISNUMBER(N1187),N(N1187)&gt;0),N(N1187),0)</f>
        <v>0.0</v>
      </c>
      <c r="Z1187" s="67">
        <f>IF(AND(ISNUMBER(P1187),N(P1187)&gt;0),N(P1187),0)</f>
        <v>0.0</v>
      </c>
    </row>
    <row r="1188">
      <c r="A1188" s="79" t="str">
        <f>IF(COUNTA(B1188:C1188,E1188:G1188,I1188)=0,"","BI-"&amp;RIGHT("0000"&amp;(ROW()-5),4))</f>
        <v/>
      </c>
      <c r="B1188" s="72" t="n"/>
      <c r="C1188" s="66" t="n"/>
      <c r="D1188" s="67" t="str">
        <f>IF(C1188="","",IFERROR(INDEX(eq_des,MATCH(C1188,eq_code,0))&amp;"","Équipement inconnu"))</f>
        <v/>
      </c>
      <c r="E1188" s="68" t="n"/>
      <c r="F1188" s="68" t="n"/>
      <c r="G1188" s="66" t="n"/>
      <c r="H1188" s="66" t="n"/>
      <c r="I1188" s="68" t="n"/>
      <c r="J1188" s="73" t="n"/>
      <c r="K1188" s="71" t="n"/>
      <c r="L1188" s="71" t="n"/>
      <c r="M1188" s="66" t="n"/>
      <c r="N1188" s="80" t="n"/>
      <c r="O1188" s="81" t="str">
        <f>IF(A1188="","",ROUND(V1188*IFERROR(N(INDEX(tech_rate,MATCH(M1188,tech_name,0))),0),2))</f>
        <v/>
      </c>
      <c r="P1188" s="80" t="n"/>
      <c r="Q1188" s="81" t="str">
        <f>IF(A1188="","",ROUND(Y1188+O1188+Z1188,2))</f>
        <v/>
      </c>
      <c r="R1188" s="79" t="str">
        <f>IF(A1188="","",IF(S1188=0,"Date manquante ou invalide",IF(C1188="","Équipement manquant",IF(ISNA(MATCH(C1188,eq_code,0)),"Équipement inconnu",IF(E1188="","Type manquant",IF(AND(E1188&lt;&gt;"Préventif",E1188&lt;&gt;"Correctif",E1188&lt;&gt;"Amélioratif"),"Type inconnu",IF(I1188="","Statut manquant",IF(AND(I1188&lt;&gt;"Terminée",I1188&lt;&gt;"En cours",I1188&lt;&gt;"À faire",I1188&lt;&gt;"Annulée"),"Statut inconnu",IF(AND(E1188="Préventif",F1188=""),"Plan manquant (préventif)",IF(AND(F1188&lt;&gt;"",ISNA(MATCH(F1188,pl_num,0))),"Plan inconnu",IF(AND(F1188&lt;&gt;"",IFERROR(INDEX(pl_eq,MATCH(F1188,pl_num,0))&amp;"",C1188)&lt;&gt;C1188),"Plan d'un autre équipement",IF(AND(J1188&lt;&gt;"",OR(NOT(ISNUMBER(J1188)),N(J1188)&lt;0)),"Compteur invalide",IF(OR(AND(K1188&lt;&gt;"",OR(NOT(ISNUMBER(K1188)),N(K1188)&lt;0)),AND(L1188&lt;&gt;"",OR(NOT(ISNUMBER(L1188)),N(L1188)&lt;0))),"Durée invalide",IF(OR(AND(N1188&lt;&gt;"",OR(NOT(ISNUMBER(N1188)),N(N1188)&lt;0)),AND(P1188&lt;&gt;"",OR(NOT(ISNUMBER(P1188)),N(P1188)&lt;0))),"Coût invalide",IF(AND(M1188&lt;&gt;"",ISNA(MATCH(M1188,tech_name,0))),"Technicien inconnu",IF(AND(I1188="Terminée",S1188&gt;p_today),"Terminée à une date future",IF(AND(I1188="Terminée",V1188=0),"Durée d'intervention manquante",IF(AND(I1188="Terminée",E1188="Préventif",T1188=0,OR(IFERROR(INDEX(pl_trig,MATCH(F1188,pl_num,0))&amp;"","")="Compteur",IFERROR(INDEX(pl_trig,MATCH(F1188,pl_num,0))&amp;"","")="Au premier des deux")),"Compteur manquant (plan au compteur)","OK"))))))))))))))))))</f>
        <v/>
      </c>
      <c r="S1188" s="67">
        <f>IF(AND(ISNUMBER(B1188),N(B1188)&gt;0),INT(B1188),0)</f>
        <v>0.0</v>
      </c>
      <c r="T1188" s="67">
        <f>IF(AND(ISNUMBER(J1188),N(J1188)&gt;=0),N(J1188),0)</f>
        <v>0.0</v>
      </c>
      <c r="U1188" s="67">
        <f>IF(AND(ISNUMBER(K1188),N(K1188)&gt;0),N(K1188),0)</f>
        <v>0.0</v>
      </c>
      <c r="V1188" s="67">
        <f>IF(AND(ISNUMBER(L1188),N(L1188)&gt;0),N(L1188),0)</f>
        <v>0.0</v>
      </c>
      <c r="W1188" s="67">
        <f>IF(AND(I1188="Terminée",S1188&gt;0,C1188&lt;&gt;"",ISNUMBER(MATCH(C1188,eq_code,0))),1,0)</f>
        <v>0.0</v>
      </c>
      <c r="X1188" s="67">
        <f>IF(AND(W1188=1,E1188="Préventif"),1,0)</f>
        <v>0.0</v>
      </c>
      <c r="Y1188" s="67">
        <f>IF(AND(ISNUMBER(N1188),N(N1188)&gt;0),N(N1188),0)</f>
        <v>0.0</v>
      </c>
      <c r="Z1188" s="67">
        <f>IF(AND(ISNUMBER(P1188),N(P1188)&gt;0),N(P1188),0)</f>
        <v>0.0</v>
      </c>
    </row>
    <row r="1189">
      <c r="A1189" s="79" t="str">
        <f>IF(COUNTA(B1189:C1189,E1189:G1189,I1189)=0,"","BI-"&amp;RIGHT("0000"&amp;(ROW()-5),4))</f>
        <v/>
      </c>
      <c r="B1189" s="72" t="n"/>
      <c r="C1189" s="66" t="n"/>
      <c r="D1189" s="67" t="str">
        <f>IF(C1189="","",IFERROR(INDEX(eq_des,MATCH(C1189,eq_code,0))&amp;"","Équipement inconnu"))</f>
        <v/>
      </c>
      <c r="E1189" s="68" t="n"/>
      <c r="F1189" s="68" t="n"/>
      <c r="G1189" s="66" t="n"/>
      <c r="H1189" s="66" t="n"/>
      <c r="I1189" s="68" t="n"/>
      <c r="J1189" s="73" t="n"/>
      <c r="K1189" s="71" t="n"/>
      <c r="L1189" s="71" t="n"/>
      <c r="M1189" s="66" t="n"/>
      <c r="N1189" s="80" t="n"/>
      <c r="O1189" s="81" t="str">
        <f>IF(A1189="","",ROUND(V1189*IFERROR(N(INDEX(tech_rate,MATCH(M1189,tech_name,0))),0),2))</f>
        <v/>
      </c>
      <c r="P1189" s="80" t="n"/>
      <c r="Q1189" s="81" t="str">
        <f>IF(A1189="","",ROUND(Y1189+O1189+Z1189,2))</f>
        <v/>
      </c>
      <c r="R1189" s="79" t="str">
        <f>IF(A1189="","",IF(S1189=0,"Date manquante ou invalide",IF(C1189="","Équipement manquant",IF(ISNA(MATCH(C1189,eq_code,0)),"Équipement inconnu",IF(E1189="","Type manquant",IF(AND(E1189&lt;&gt;"Préventif",E1189&lt;&gt;"Correctif",E1189&lt;&gt;"Amélioratif"),"Type inconnu",IF(I1189="","Statut manquant",IF(AND(I1189&lt;&gt;"Terminée",I1189&lt;&gt;"En cours",I1189&lt;&gt;"À faire",I1189&lt;&gt;"Annulée"),"Statut inconnu",IF(AND(E1189="Préventif",F1189=""),"Plan manquant (préventif)",IF(AND(F1189&lt;&gt;"",ISNA(MATCH(F1189,pl_num,0))),"Plan inconnu",IF(AND(F1189&lt;&gt;"",IFERROR(INDEX(pl_eq,MATCH(F1189,pl_num,0))&amp;"",C1189)&lt;&gt;C1189),"Plan d'un autre équipement",IF(AND(J1189&lt;&gt;"",OR(NOT(ISNUMBER(J1189)),N(J1189)&lt;0)),"Compteur invalide",IF(OR(AND(K1189&lt;&gt;"",OR(NOT(ISNUMBER(K1189)),N(K1189)&lt;0)),AND(L1189&lt;&gt;"",OR(NOT(ISNUMBER(L1189)),N(L1189)&lt;0))),"Durée invalide",IF(OR(AND(N1189&lt;&gt;"",OR(NOT(ISNUMBER(N1189)),N(N1189)&lt;0)),AND(P1189&lt;&gt;"",OR(NOT(ISNUMBER(P1189)),N(P1189)&lt;0))),"Coût invalide",IF(AND(M1189&lt;&gt;"",ISNA(MATCH(M1189,tech_name,0))),"Technicien inconnu",IF(AND(I1189="Terminée",S1189&gt;p_today),"Terminée à une date future",IF(AND(I1189="Terminée",V1189=0),"Durée d'intervention manquante",IF(AND(I1189="Terminée",E1189="Préventif",T1189=0,OR(IFERROR(INDEX(pl_trig,MATCH(F1189,pl_num,0))&amp;"","")="Compteur",IFERROR(INDEX(pl_trig,MATCH(F1189,pl_num,0))&amp;"","")="Au premier des deux")),"Compteur manquant (plan au compteur)","OK"))))))))))))))))))</f>
        <v/>
      </c>
      <c r="S1189" s="67">
        <f>IF(AND(ISNUMBER(B1189),N(B1189)&gt;0),INT(B1189),0)</f>
        <v>0.0</v>
      </c>
      <c r="T1189" s="67">
        <f>IF(AND(ISNUMBER(J1189),N(J1189)&gt;=0),N(J1189),0)</f>
        <v>0.0</v>
      </c>
      <c r="U1189" s="67">
        <f>IF(AND(ISNUMBER(K1189),N(K1189)&gt;0),N(K1189),0)</f>
        <v>0.0</v>
      </c>
      <c r="V1189" s="67">
        <f>IF(AND(ISNUMBER(L1189),N(L1189)&gt;0),N(L1189),0)</f>
        <v>0.0</v>
      </c>
      <c r="W1189" s="67">
        <f>IF(AND(I1189="Terminée",S1189&gt;0,C1189&lt;&gt;"",ISNUMBER(MATCH(C1189,eq_code,0))),1,0)</f>
        <v>0.0</v>
      </c>
      <c r="X1189" s="67">
        <f>IF(AND(W1189=1,E1189="Préventif"),1,0)</f>
        <v>0.0</v>
      </c>
      <c r="Y1189" s="67">
        <f>IF(AND(ISNUMBER(N1189),N(N1189)&gt;0),N(N1189),0)</f>
        <v>0.0</v>
      </c>
      <c r="Z1189" s="67">
        <f>IF(AND(ISNUMBER(P1189),N(P1189)&gt;0),N(P1189),0)</f>
        <v>0.0</v>
      </c>
    </row>
    <row r="1190">
      <c r="A1190" s="79" t="str">
        <f>IF(COUNTA(B1190:C1190,E1190:G1190,I1190)=0,"","BI-"&amp;RIGHT("0000"&amp;(ROW()-5),4))</f>
        <v/>
      </c>
      <c r="B1190" s="72" t="n"/>
      <c r="C1190" s="66" t="n"/>
      <c r="D1190" s="67" t="str">
        <f>IF(C1190="","",IFERROR(INDEX(eq_des,MATCH(C1190,eq_code,0))&amp;"","Équipement inconnu"))</f>
        <v/>
      </c>
      <c r="E1190" s="68" t="n"/>
      <c r="F1190" s="68" t="n"/>
      <c r="G1190" s="66" t="n"/>
      <c r="H1190" s="66" t="n"/>
      <c r="I1190" s="68" t="n"/>
      <c r="J1190" s="73" t="n"/>
      <c r="K1190" s="71" t="n"/>
      <c r="L1190" s="71" t="n"/>
      <c r="M1190" s="66" t="n"/>
      <c r="N1190" s="80" t="n"/>
      <c r="O1190" s="81" t="str">
        <f>IF(A1190="","",ROUND(V1190*IFERROR(N(INDEX(tech_rate,MATCH(M1190,tech_name,0))),0),2))</f>
        <v/>
      </c>
      <c r="P1190" s="80" t="n"/>
      <c r="Q1190" s="81" t="str">
        <f>IF(A1190="","",ROUND(Y1190+O1190+Z1190,2))</f>
        <v/>
      </c>
      <c r="R1190" s="79" t="str">
        <f>IF(A1190="","",IF(S1190=0,"Date manquante ou invalide",IF(C1190="","Équipement manquant",IF(ISNA(MATCH(C1190,eq_code,0)),"Équipement inconnu",IF(E1190="","Type manquant",IF(AND(E1190&lt;&gt;"Préventif",E1190&lt;&gt;"Correctif",E1190&lt;&gt;"Amélioratif"),"Type inconnu",IF(I1190="","Statut manquant",IF(AND(I1190&lt;&gt;"Terminée",I1190&lt;&gt;"En cours",I1190&lt;&gt;"À faire",I1190&lt;&gt;"Annulée"),"Statut inconnu",IF(AND(E1190="Préventif",F1190=""),"Plan manquant (préventif)",IF(AND(F1190&lt;&gt;"",ISNA(MATCH(F1190,pl_num,0))),"Plan inconnu",IF(AND(F1190&lt;&gt;"",IFERROR(INDEX(pl_eq,MATCH(F1190,pl_num,0))&amp;"",C1190)&lt;&gt;C1190),"Plan d'un autre équipement",IF(AND(J1190&lt;&gt;"",OR(NOT(ISNUMBER(J1190)),N(J1190)&lt;0)),"Compteur invalide",IF(OR(AND(K1190&lt;&gt;"",OR(NOT(ISNUMBER(K1190)),N(K1190)&lt;0)),AND(L1190&lt;&gt;"",OR(NOT(ISNUMBER(L1190)),N(L1190)&lt;0))),"Durée invalide",IF(OR(AND(N1190&lt;&gt;"",OR(NOT(ISNUMBER(N1190)),N(N1190)&lt;0)),AND(P1190&lt;&gt;"",OR(NOT(ISNUMBER(P1190)),N(P1190)&lt;0))),"Coût invalide",IF(AND(M1190&lt;&gt;"",ISNA(MATCH(M1190,tech_name,0))),"Technicien inconnu",IF(AND(I1190="Terminée",S1190&gt;p_today),"Terminée à une date future",IF(AND(I1190="Terminée",V1190=0),"Durée d'intervention manquante",IF(AND(I1190="Terminée",E1190="Préventif",T1190=0,OR(IFERROR(INDEX(pl_trig,MATCH(F1190,pl_num,0))&amp;"","")="Compteur",IFERROR(INDEX(pl_trig,MATCH(F1190,pl_num,0))&amp;"","")="Au premier des deux")),"Compteur manquant (plan au compteur)","OK"))))))))))))))))))</f>
        <v/>
      </c>
      <c r="S1190" s="67">
        <f>IF(AND(ISNUMBER(B1190),N(B1190)&gt;0),INT(B1190),0)</f>
        <v>0.0</v>
      </c>
      <c r="T1190" s="67">
        <f>IF(AND(ISNUMBER(J1190),N(J1190)&gt;=0),N(J1190),0)</f>
        <v>0.0</v>
      </c>
      <c r="U1190" s="67">
        <f>IF(AND(ISNUMBER(K1190),N(K1190)&gt;0),N(K1190),0)</f>
        <v>0.0</v>
      </c>
      <c r="V1190" s="67">
        <f>IF(AND(ISNUMBER(L1190),N(L1190)&gt;0),N(L1190),0)</f>
        <v>0.0</v>
      </c>
      <c r="W1190" s="67">
        <f>IF(AND(I1190="Terminée",S1190&gt;0,C1190&lt;&gt;"",ISNUMBER(MATCH(C1190,eq_code,0))),1,0)</f>
        <v>0.0</v>
      </c>
      <c r="X1190" s="67">
        <f>IF(AND(W1190=1,E1190="Préventif"),1,0)</f>
        <v>0.0</v>
      </c>
      <c r="Y1190" s="67">
        <f>IF(AND(ISNUMBER(N1190),N(N1190)&gt;0),N(N1190),0)</f>
        <v>0.0</v>
      </c>
      <c r="Z1190" s="67">
        <f>IF(AND(ISNUMBER(P1190),N(P1190)&gt;0),N(P1190),0)</f>
        <v>0.0</v>
      </c>
    </row>
    <row r="1191">
      <c r="A1191" s="79" t="str">
        <f>IF(COUNTA(B1191:C1191,E1191:G1191,I1191)=0,"","BI-"&amp;RIGHT("0000"&amp;(ROW()-5),4))</f>
        <v/>
      </c>
      <c r="B1191" s="72" t="n"/>
      <c r="C1191" s="66" t="n"/>
      <c r="D1191" s="67" t="str">
        <f>IF(C1191="","",IFERROR(INDEX(eq_des,MATCH(C1191,eq_code,0))&amp;"","Équipement inconnu"))</f>
        <v/>
      </c>
      <c r="E1191" s="68" t="n"/>
      <c r="F1191" s="68" t="n"/>
      <c r="G1191" s="66" t="n"/>
      <c r="H1191" s="66" t="n"/>
      <c r="I1191" s="68" t="n"/>
      <c r="J1191" s="73" t="n"/>
      <c r="K1191" s="71" t="n"/>
      <c r="L1191" s="71" t="n"/>
      <c r="M1191" s="66" t="n"/>
      <c r="N1191" s="80" t="n"/>
      <c r="O1191" s="81" t="str">
        <f>IF(A1191="","",ROUND(V1191*IFERROR(N(INDEX(tech_rate,MATCH(M1191,tech_name,0))),0),2))</f>
        <v/>
      </c>
      <c r="P1191" s="80" t="n"/>
      <c r="Q1191" s="81" t="str">
        <f>IF(A1191="","",ROUND(Y1191+O1191+Z1191,2))</f>
        <v/>
      </c>
      <c r="R1191" s="79" t="str">
        <f>IF(A1191="","",IF(S1191=0,"Date manquante ou invalide",IF(C1191="","Équipement manquant",IF(ISNA(MATCH(C1191,eq_code,0)),"Équipement inconnu",IF(E1191="","Type manquant",IF(AND(E1191&lt;&gt;"Préventif",E1191&lt;&gt;"Correctif",E1191&lt;&gt;"Amélioratif"),"Type inconnu",IF(I1191="","Statut manquant",IF(AND(I1191&lt;&gt;"Terminée",I1191&lt;&gt;"En cours",I1191&lt;&gt;"À faire",I1191&lt;&gt;"Annulée"),"Statut inconnu",IF(AND(E1191="Préventif",F1191=""),"Plan manquant (préventif)",IF(AND(F1191&lt;&gt;"",ISNA(MATCH(F1191,pl_num,0))),"Plan inconnu",IF(AND(F1191&lt;&gt;"",IFERROR(INDEX(pl_eq,MATCH(F1191,pl_num,0))&amp;"",C1191)&lt;&gt;C1191),"Plan d'un autre équipement",IF(AND(J1191&lt;&gt;"",OR(NOT(ISNUMBER(J1191)),N(J1191)&lt;0)),"Compteur invalide",IF(OR(AND(K1191&lt;&gt;"",OR(NOT(ISNUMBER(K1191)),N(K1191)&lt;0)),AND(L1191&lt;&gt;"",OR(NOT(ISNUMBER(L1191)),N(L1191)&lt;0))),"Durée invalide",IF(OR(AND(N1191&lt;&gt;"",OR(NOT(ISNUMBER(N1191)),N(N1191)&lt;0)),AND(P1191&lt;&gt;"",OR(NOT(ISNUMBER(P1191)),N(P1191)&lt;0))),"Coût invalide",IF(AND(M1191&lt;&gt;"",ISNA(MATCH(M1191,tech_name,0))),"Technicien inconnu",IF(AND(I1191="Terminée",S1191&gt;p_today),"Terminée à une date future",IF(AND(I1191="Terminée",V1191=0),"Durée d'intervention manquante",IF(AND(I1191="Terminée",E1191="Préventif",T1191=0,OR(IFERROR(INDEX(pl_trig,MATCH(F1191,pl_num,0))&amp;"","")="Compteur",IFERROR(INDEX(pl_trig,MATCH(F1191,pl_num,0))&amp;"","")="Au premier des deux")),"Compteur manquant (plan au compteur)","OK"))))))))))))))))))</f>
        <v/>
      </c>
      <c r="S1191" s="67">
        <f>IF(AND(ISNUMBER(B1191),N(B1191)&gt;0),INT(B1191),0)</f>
        <v>0.0</v>
      </c>
      <c r="T1191" s="67">
        <f>IF(AND(ISNUMBER(J1191),N(J1191)&gt;=0),N(J1191),0)</f>
        <v>0.0</v>
      </c>
      <c r="U1191" s="67">
        <f>IF(AND(ISNUMBER(K1191),N(K1191)&gt;0),N(K1191),0)</f>
        <v>0.0</v>
      </c>
      <c r="V1191" s="67">
        <f>IF(AND(ISNUMBER(L1191),N(L1191)&gt;0),N(L1191),0)</f>
        <v>0.0</v>
      </c>
      <c r="W1191" s="67">
        <f>IF(AND(I1191="Terminée",S1191&gt;0,C1191&lt;&gt;"",ISNUMBER(MATCH(C1191,eq_code,0))),1,0)</f>
        <v>0.0</v>
      </c>
      <c r="X1191" s="67">
        <f>IF(AND(W1191=1,E1191="Préventif"),1,0)</f>
        <v>0.0</v>
      </c>
      <c r="Y1191" s="67">
        <f>IF(AND(ISNUMBER(N1191),N(N1191)&gt;0),N(N1191),0)</f>
        <v>0.0</v>
      </c>
      <c r="Z1191" s="67">
        <f>IF(AND(ISNUMBER(P1191),N(P1191)&gt;0),N(P1191),0)</f>
        <v>0.0</v>
      </c>
    </row>
    <row r="1192">
      <c r="A1192" s="79" t="str">
        <f>IF(COUNTA(B1192:C1192,E1192:G1192,I1192)=0,"","BI-"&amp;RIGHT("0000"&amp;(ROW()-5),4))</f>
        <v/>
      </c>
      <c r="B1192" s="72" t="n"/>
      <c r="C1192" s="66" t="n"/>
      <c r="D1192" s="67" t="str">
        <f>IF(C1192="","",IFERROR(INDEX(eq_des,MATCH(C1192,eq_code,0))&amp;"","Équipement inconnu"))</f>
        <v/>
      </c>
      <c r="E1192" s="68" t="n"/>
      <c r="F1192" s="68" t="n"/>
      <c r="G1192" s="66" t="n"/>
      <c r="H1192" s="66" t="n"/>
      <c r="I1192" s="68" t="n"/>
      <c r="J1192" s="73" t="n"/>
      <c r="K1192" s="71" t="n"/>
      <c r="L1192" s="71" t="n"/>
      <c r="M1192" s="66" t="n"/>
      <c r="N1192" s="80" t="n"/>
      <c r="O1192" s="81" t="str">
        <f>IF(A1192="","",ROUND(V1192*IFERROR(N(INDEX(tech_rate,MATCH(M1192,tech_name,0))),0),2))</f>
        <v/>
      </c>
      <c r="P1192" s="80" t="n"/>
      <c r="Q1192" s="81" t="str">
        <f>IF(A1192="","",ROUND(Y1192+O1192+Z1192,2))</f>
        <v/>
      </c>
      <c r="R1192" s="79" t="str">
        <f>IF(A1192="","",IF(S1192=0,"Date manquante ou invalide",IF(C1192="","Équipement manquant",IF(ISNA(MATCH(C1192,eq_code,0)),"Équipement inconnu",IF(E1192="","Type manquant",IF(AND(E1192&lt;&gt;"Préventif",E1192&lt;&gt;"Correctif",E1192&lt;&gt;"Amélioratif"),"Type inconnu",IF(I1192="","Statut manquant",IF(AND(I1192&lt;&gt;"Terminée",I1192&lt;&gt;"En cours",I1192&lt;&gt;"À faire",I1192&lt;&gt;"Annulée"),"Statut inconnu",IF(AND(E1192="Préventif",F1192=""),"Plan manquant (préventif)",IF(AND(F1192&lt;&gt;"",ISNA(MATCH(F1192,pl_num,0))),"Plan inconnu",IF(AND(F1192&lt;&gt;"",IFERROR(INDEX(pl_eq,MATCH(F1192,pl_num,0))&amp;"",C1192)&lt;&gt;C1192),"Plan d'un autre équipement",IF(AND(J1192&lt;&gt;"",OR(NOT(ISNUMBER(J1192)),N(J1192)&lt;0)),"Compteur invalide",IF(OR(AND(K1192&lt;&gt;"",OR(NOT(ISNUMBER(K1192)),N(K1192)&lt;0)),AND(L1192&lt;&gt;"",OR(NOT(ISNUMBER(L1192)),N(L1192)&lt;0))),"Durée invalide",IF(OR(AND(N1192&lt;&gt;"",OR(NOT(ISNUMBER(N1192)),N(N1192)&lt;0)),AND(P1192&lt;&gt;"",OR(NOT(ISNUMBER(P1192)),N(P1192)&lt;0))),"Coût invalide",IF(AND(M1192&lt;&gt;"",ISNA(MATCH(M1192,tech_name,0))),"Technicien inconnu",IF(AND(I1192="Terminée",S1192&gt;p_today),"Terminée à une date future",IF(AND(I1192="Terminée",V1192=0),"Durée d'intervention manquante",IF(AND(I1192="Terminée",E1192="Préventif",T1192=0,OR(IFERROR(INDEX(pl_trig,MATCH(F1192,pl_num,0))&amp;"","")="Compteur",IFERROR(INDEX(pl_trig,MATCH(F1192,pl_num,0))&amp;"","")="Au premier des deux")),"Compteur manquant (plan au compteur)","OK"))))))))))))))))))</f>
        <v/>
      </c>
      <c r="S1192" s="67">
        <f>IF(AND(ISNUMBER(B1192),N(B1192)&gt;0),INT(B1192),0)</f>
        <v>0.0</v>
      </c>
      <c r="T1192" s="67">
        <f>IF(AND(ISNUMBER(J1192),N(J1192)&gt;=0),N(J1192),0)</f>
        <v>0.0</v>
      </c>
      <c r="U1192" s="67">
        <f>IF(AND(ISNUMBER(K1192),N(K1192)&gt;0),N(K1192),0)</f>
        <v>0.0</v>
      </c>
      <c r="V1192" s="67">
        <f>IF(AND(ISNUMBER(L1192),N(L1192)&gt;0),N(L1192),0)</f>
        <v>0.0</v>
      </c>
      <c r="W1192" s="67">
        <f>IF(AND(I1192="Terminée",S1192&gt;0,C1192&lt;&gt;"",ISNUMBER(MATCH(C1192,eq_code,0))),1,0)</f>
        <v>0.0</v>
      </c>
      <c r="X1192" s="67">
        <f>IF(AND(W1192=1,E1192="Préventif"),1,0)</f>
        <v>0.0</v>
      </c>
      <c r="Y1192" s="67">
        <f>IF(AND(ISNUMBER(N1192),N(N1192)&gt;0),N(N1192),0)</f>
        <v>0.0</v>
      </c>
      <c r="Z1192" s="67">
        <f>IF(AND(ISNUMBER(P1192),N(P1192)&gt;0),N(P1192),0)</f>
        <v>0.0</v>
      </c>
    </row>
    <row r="1193">
      <c r="A1193" s="79" t="str">
        <f>IF(COUNTA(B1193:C1193,E1193:G1193,I1193)=0,"","BI-"&amp;RIGHT("0000"&amp;(ROW()-5),4))</f>
        <v/>
      </c>
      <c r="B1193" s="72" t="n"/>
      <c r="C1193" s="66" t="n"/>
      <c r="D1193" s="67" t="str">
        <f>IF(C1193="","",IFERROR(INDEX(eq_des,MATCH(C1193,eq_code,0))&amp;"","Équipement inconnu"))</f>
        <v/>
      </c>
      <c r="E1193" s="68" t="n"/>
      <c r="F1193" s="68" t="n"/>
      <c r="G1193" s="66" t="n"/>
      <c r="H1193" s="66" t="n"/>
      <c r="I1193" s="68" t="n"/>
      <c r="J1193" s="73" t="n"/>
      <c r="K1193" s="71" t="n"/>
      <c r="L1193" s="71" t="n"/>
      <c r="M1193" s="66" t="n"/>
      <c r="N1193" s="80" t="n"/>
      <c r="O1193" s="81" t="str">
        <f>IF(A1193="","",ROUND(V1193*IFERROR(N(INDEX(tech_rate,MATCH(M1193,tech_name,0))),0),2))</f>
        <v/>
      </c>
      <c r="P1193" s="80" t="n"/>
      <c r="Q1193" s="81" t="str">
        <f>IF(A1193="","",ROUND(Y1193+O1193+Z1193,2))</f>
        <v/>
      </c>
      <c r="R1193" s="79" t="str">
        <f>IF(A1193="","",IF(S1193=0,"Date manquante ou invalide",IF(C1193="","Équipement manquant",IF(ISNA(MATCH(C1193,eq_code,0)),"Équipement inconnu",IF(E1193="","Type manquant",IF(AND(E1193&lt;&gt;"Préventif",E1193&lt;&gt;"Correctif",E1193&lt;&gt;"Amélioratif"),"Type inconnu",IF(I1193="","Statut manquant",IF(AND(I1193&lt;&gt;"Terminée",I1193&lt;&gt;"En cours",I1193&lt;&gt;"À faire",I1193&lt;&gt;"Annulée"),"Statut inconnu",IF(AND(E1193="Préventif",F1193=""),"Plan manquant (préventif)",IF(AND(F1193&lt;&gt;"",ISNA(MATCH(F1193,pl_num,0))),"Plan inconnu",IF(AND(F1193&lt;&gt;"",IFERROR(INDEX(pl_eq,MATCH(F1193,pl_num,0))&amp;"",C1193)&lt;&gt;C1193),"Plan d'un autre équipement",IF(AND(J1193&lt;&gt;"",OR(NOT(ISNUMBER(J1193)),N(J1193)&lt;0)),"Compteur invalide",IF(OR(AND(K1193&lt;&gt;"",OR(NOT(ISNUMBER(K1193)),N(K1193)&lt;0)),AND(L1193&lt;&gt;"",OR(NOT(ISNUMBER(L1193)),N(L1193)&lt;0))),"Durée invalide",IF(OR(AND(N1193&lt;&gt;"",OR(NOT(ISNUMBER(N1193)),N(N1193)&lt;0)),AND(P1193&lt;&gt;"",OR(NOT(ISNUMBER(P1193)),N(P1193)&lt;0))),"Coût invalide",IF(AND(M1193&lt;&gt;"",ISNA(MATCH(M1193,tech_name,0))),"Technicien inconnu",IF(AND(I1193="Terminée",S1193&gt;p_today),"Terminée à une date future",IF(AND(I1193="Terminée",V1193=0),"Durée d'intervention manquante",IF(AND(I1193="Terminée",E1193="Préventif",T1193=0,OR(IFERROR(INDEX(pl_trig,MATCH(F1193,pl_num,0))&amp;"","")="Compteur",IFERROR(INDEX(pl_trig,MATCH(F1193,pl_num,0))&amp;"","")="Au premier des deux")),"Compteur manquant (plan au compteur)","OK"))))))))))))))))))</f>
        <v/>
      </c>
      <c r="S1193" s="67">
        <f>IF(AND(ISNUMBER(B1193),N(B1193)&gt;0),INT(B1193),0)</f>
        <v>0.0</v>
      </c>
      <c r="T1193" s="67">
        <f>IF(AND(ISNUMBER(J1193),N(J1193)&gt;=0),N(J1193),0)</f>
        <v>0.0</v>
      </c>
      <c r="U1193" s="67">
        <f>IF(AND(ISNUMBER(K1193),N(K1193)&gt;0),N(K1193),0)</f>
        <v>0.0</v>
      </c>
      <c r="V1193" s="67">
        <f>IF(AND(ISNUMBER(L1193),N(L1193)&gt;0),N(L1193),0)</f>
        <v>0.0</v>
      </c>
      <c r="W1193" s="67">
        <f>IF(AND(I1193="Terminée",S1193&gt;0,C1193&lt;&gt;"",ISNUMBER(MATCH(C1193,eq_code,0))),1,0)</f>
        <v>0.0</v>
      </c>
      <c r="X1193" s="67">
        <f>IF(AND(W1193=1,E1193="Préventif"),1,0)</f>
        <v>0.0</v>
      </c>
      <c r="Y1193" s="67">
        <f>IF(AND(ISNUMBER(N1193),N(N1193)&gt;0),N(N1193),0)</f>
        <v>0.0</v>
      </c>
      <c r="Z1193" s="67">
        <f>IF(AND(ISNUMBER(P1193),N(P1193)&gt;0),N(P1193),0)</f>
        <v>0.0</v>
      </c>
    </row>
    <row r="1194">
      <c r="A1194" s="79" t="str">
        <f>IF(COUNTA(B1194:C1194,E1194:G1194,I1194)=0,"","BI-"&amp;RIGHT("0000"&amp;(ROW()-5),4))</f>
        <v/>
      </c>
      <c r="B1194" s="72" t="n"/>
      <c r="C1194" s="66" t="n"/>
      <c r="D1194" s="67" t="str">
        <f>IF(C1194="","",IFERROR(INDEX(eq_des,MATCH(C1194,eq_code,0))&amp;"","Équipement inconnu"))</f>
        <v/>
      </c>
      <c r="E1194" s="68" t="n"/>
      <c r="F1194" s="68" t="n"/>
      <c r="G1194" s="66" t="n"/>
      <c r="H1194" s="66" t="n"/>
      <c r="I1194" s="68" t="n"/>
      <c r="J1194" s="73" t="n"/>
      <c r="K1194" s="71" t="n"/>
      <c r="L1194" s="71" t="n"/>
      <c r="M1194" s="66" t="n"/>
      <c r="N1194" s="80" t="n"/>
      <c r="O1194" s="81" t="str">
        <f>IF(A1194="","",ROUND(V1194*IFERROR(N(INDEX(tech_rate,MATCH(M1194,tech_name,0))),0),2))</f>
        <v/>
      </c>
      <c r="P1194" s="80" t="n"/>
      <c r="Q1194" s="81" t="str">
        <f>IF(A1194="","",ROUND(Y1194+O1194+Z1194,2))</f>
        <v/>
      </c>
      <c r="R1194" s="79" t="str">
        <f>IF(A1194="","",IF(S1194=0,"Date manquante ou invalide",IF(C1194="","Équipement manquant",IF(ISNA(MATCH(C1194,eq_code,0)),"Équipement inconnu",IF(E1194="","Type manquant",IF(AND(E1194&lt;&gt;"Préventif",E1194&lt;&gt;"Correctif",E1194&lt;&gt;"Amélioratif"),"Type inconnu",IF(I1194="","Statut manquant",IF(AND(I1194&lt;&gt;"Terminée",I1194&lt;&gt;"En cours",I1194&lt;&gt;"À faire",I1194&lt;&gt;"Annulée"),"Statut inconnu",IF(AND(E1194="Préventif",F1194=""),"Plan manquant (préventif)",IF(AND(F1194&lt;&gt;"",ISNA(MATCH(F1194,pl_num,0))),"Plan inconnu",IF(AND(F1194&lt;&gt;"",IFERROR(INDEX(pl_eq,MATCH(F1194,pl_num,0))&amp;"",C1194)&lt;&gt;C1194),"Plan d'un autre équipement",IF(AND(J1194&lt;&gt;"",OR(NOT(ISNUMBER(J1194)),N(J1194)&lt;0)),"Compteur invalide",IF(OR(AND(K1194&lt;&gt;"",OR(NOT(ISNUMBER(K1194)),N(K1194)&lt;0)),AND(L1194&lt;&gt;"",OR(NOT(ISNUMBER(L1194)),N(L1194)&lt;0))),"Durée invalide",IF(OR(AND(N1194&lt;&gt;"",OR(NOT(ISNUMBER(N1194)),N(N1194)&lt;0)),AND(P1194&lt;&gt;"",OR(NOT(ISNUMBER(P1194)),N(P1194)&lt;0))),"Coût invalide",IF(AND(M1194&lt;&gt;"",ISNA(MATCH(M1194,tech_name,0))),"Technicien inconnu",IF(AND(I1194="Terminée",S1194&gt;p_today),"Terminée à une date future",IF(AND(I1194="Terminée",V1194=0),"Durée d'intervention manquante",IF(AND(I1194="Terminée",E1194="Préventif",T1194=0,OR(IFERROR(INDEX(pl_trig,MATCH(F1194,pl_num,0))&amp;"","")="Compteur",IFERROR(INDEX(pl_trig,MATCH(F1194,pl_num,0))&amp;"","")="Au premier des deux")),"Compteur manquant (plan au compteur)","OK"))))))))))))))))))</f>
        <v/>
      </c>
      <c r="S1194" s="67">
        <f>IF(AND(ISNUMBER(B1194),N(B1194)&gt;0),INT(B1194),0)</f>
        <v>0.0</v>
      </c>
      <c r="T1194" s="67">
        <f>IF(AND(ISNUMBER(J1194),N(J1194)&gt;=0),N(J1194),0)</f>
        <v>0.0</v>
      </c>
      <c r="U1194" s="67">
        <f>IF(AND(ISNUMBER(K1194),N(K1194)&gt;0),N(K1194),0)</f>
        <v>0.0</v>
      </c>
      <c r="V1194" s="67">
        <f>IF(AND(ISNUMBER(L1194),N(L1194)&gt;0),N(L1194),0)</f>
        <v>0.0</v>
      </c>
      <c r="W1194" s="67">
        <f>IF(AND(I1194="Terminée",S1194&gt;0,C1194&lt;&gt;"",ISNUMBER(MATCH(C1194,eq_code,0))),1,0)</f>
        <v>0.0</v>
      </c>
      <c r="X1194" s="67">
        <f>IF(AND(W1194=1,E1194="Préventif"),1,0)</f>
        <v>0.0</v>
      </c>
      <c r="Y1194" s="67">
        <f>IF(AND(ISNUMBER(N1194),N(N1194)&gt;0),N(N1194),0)</f>
        <v>0.0</v>
      </c>
      <c r="Z1194" s="67">
        <f>IF(AND(ISNUMBER(P1194),N(P1194)&gt;0),N(P1194),0)</f>
        <v>0.0</v>
      </c>
    </row>
    <row r="1195">
      <c r="A1195" s="79" t="str">
        <f>IF(COUNTA(B1195:C1195,E1195:G1195,I1195)=0,"","BI-"&amp;RIGHT("0000"&amp;(ROW()-5),4))</f>
        <v/>
      </c>
      <c r="B1195" s="72" t="n"/>
      <c r="C1195" s="66" t="n"/>
      <c r="D1195" s="67" t="str">
        <f>IF(C1195="","",IFERROR(INDEX(eq_des,MATCH(C1195,eq_code,0))&amp;"","Équipement inconnu"))</f>
        <v/>
      </c>
      <c r="E1195" s="68" t="n"/>
      <c r="F1195" s="68" t="n"/>
      <c r="G1195" s="66" t="n"/>
      <c r="H1195" s="66" t="n"/>
      <c r="I1195" s="68" t="n"/>
      <c r="J1195" s="73" t="n"/>
      <c r="K1195" s="71" t="n"/>
      <c r="L1195" s="71" t="n"/>
      <c r="M1195" s="66" t="n"/>
      <c r="N1195" s="80" t="n"/>
      <c r="O1195" s="81" t="str">
        <f>IF(A1195="","",ROUND(V1195*IFERROR(N(INDEX(tech_rate,MATCH(M1195,tech_name,0))),0),2))</f>
        <v/>
      </c>
      <c r="P1195" s="80" t="n"/>
      <c r="Q1195" s="81" t="str">
        <f>IF(A1195="","",ROUND(Y1195+O1195+Z1195,2))</f>
        <v/>
      </c>
      <c r="R1195" s="79" t="str">
        <f>IF(A1195="","",IF(S1195=0,"Date manquante ou invalide",IF(C1195="","Équipement manquant",IF(ISNA(MATCH(C1195,eq_code,0)),"Équipement inconnu",IF(E1195="","Type manquant",IF(AND(E1195&lt;&gt;"Préventif",E1195&lt;&gt;"Correctif",E1195&lt;&gt;"Amélioratif"),"Type inconnu",IF(I1195="","Statut manquant",IF(AND(I1195&lt;&gt;"Terminée",I1195&lt;&gt;"En cours",I1195&lt;&gt;"À faire",I1195&lt;&gt;"Annulée"),"Statut inconnu",IF(AND(E1195="Préventif",F1195=""),"Plan manquant (préventif)",IF(AND(F1195&lt;&gt;"",ISNA(MATCH(F1195,pl_num,0))),"Plan inconnu",IF(AND(F1195&lt;&gt;"",IFERROR(INDEX(pl_eq,MATCH(F1195,pl_num,0))&amp;"",C1195)&lt;&gt;C1195),"Plan d'un autre équipement",IF(AND(J1195&lt;&gt;"",OR(NOT(ISNUMBER(J1195)),N(J1195)&lt;0)),"Compteur invalide",IF(OR(AND(K1195&lt;&gt;"",OR(NOT(ISNUMBER(K1195)),N(K1195)&lt;0)),AND(L1195&lt;&gt;"",OR(NOT(ISNUMBER(L1195)),N(L1195)&lt;0))),"Durée invalide",IF(OR(AND(N1195&lt;&gt;"",OR(NOT(ISNUMBER(N1195)),N(N1195)&lt;0)),AND(P1195&lt;&gt;"",OR(NOT(ISNUMBER(P1195)),N(P1195)&lt;0))),"Coût invalide",IF(AND(M1195&lt;&gt;"",ISNA(MATCH(M1195,tech_name,0))),"Technicien inconnu",IF(AND(I1195="Terminée",S1195&gt;p_today),"Terminée à une date future",IF(AND(I1195="Terminée",V1195=0),"Durée d'intervention manquante",IF(AND(I1195="Terminée",E1195="Préventif",T1195=0,OR(IFERROR(INDEX(pl_trig,MATCH(F1195,pl_num,0))&amp;"","")="Compteur",IFERROR(INDEX(pl_trig,MATCH(F1195,pl_num,0))&amp;"","")="Au premier des deux")),"Compteur manquant (plan au compteur)","OK"))))))))))))))))))</f>
        <v/>
      </c>
      <c r="S1195" s="67">
        <f>IF(AND(ISNUMBER(B1195),N(B1195)&gt;0),INT(B1195),0)</f>
        <v>0.0</v>
      </c>
      <c r="T1195" s="67">
        <f>IF(AND(ISNUMBER(J1195),N(J1195)&gt;=0),N(J1195),0)</f>
        <v>0.0</v>
      </c>
      <c r="U1195" s="67">
        <f>IF(AND(ISNUMBER(K1195),N(K1195)&gt;0),N(K1195),0)</f>
        <v>0.0</v>
      </c>
      <c r="V1195" s="67">
        <f>IF(AND(ISNUMBER(L1195),N(L1195)&gt;0),N(L1195),0)</f>
        <v>0.0</v>
      </c>
      <c r="W1195" s="67">
        <f>IF(AND(I1195="Terminée",S1195&gt;0,C1195&lt;&gt;"",ISNUMBER(MATCH(C1195,eq_code,0))),1,0)</f>
        <v>0.0</v>
      </c>
      <c r="X1195" s="67">
        <f>IF(AND(W1195=1,E1195="Préventif"),1,0)</f>
        <v>0.0</v>
      </c>
      <c r="Y1195" s="67">
        <f>IF(AND(ISNUMBER(N1195),N(N1195)&gt;0),N(N1195),0)</f>
        <v>0.0</v>
      </c>
      <c r="Z1195" s="67">
        <f>IF(AND(ISNUMBER(P1195),N(P1195)&gt;0),N(P1195),0)</f>
        <v>0.0</v>
      </c>
    </row>
    <row r="1196">
      <c r="A1196" s="79" t="str">
        <f>IF(COUNTA(B1196:C1196,E1196:G1196,I1196)=0,"","BI-"&amp;RIGHT("0000"&amp;(ROW()-5),4))</f>
        <v/>
      </c>
      <c r="B1196" s="72" t="n"/>
      <c r="C1196" s="66" t="n"/>
      <c r="D1196" s="67" t="str">
        <f>IF(C1196="","",IFERROR(INDEX(eq_des,MATCH(C1196,eq_code,0))&amp;"","Équipement inconnu"))</f>
        <v/>
      </c>
      <c r="E1196" s="68" t="n"/>
      <c r="F1196" s="68" t="n"/>
      <c r="G1196" s="66" t="n"/>
      <c r="H1196" s="66" t="n"/>
      <c r="I1196" s="68" t="n"/>
      <c r="J1196" s="73" t="n"/>
      <c r="K1196" s="71" t="n"/>
      <c r="L1196" s="71" t="n"/>
      <c r="M1196" s="66" t="n"/>
      <c r="N1196" s="80" t="n"/>
      <c r="O1196" s="81" t="str">
        <f>IF(A1196="","",ROUND(V1196*IFERROR(N(INDEX(tech_rate,MATCH(M1196,tech_name,0))),0),2))</f>
        <v/>
      </c>
      <c r="P1196" s="80" t="n"/>
      <c r="Q1196" s="81" t="str">
        <f>IF(A1196="","",ROUND(Y1196+O1196+Z1196,2))</f>
        <v/>
      </c>
      <c r="R1196" s="79" t="str">
        <f>IF(A1196="","",IF(S1196=0,"Date manquante ou invalide",IF(C1196="","Équipement manquant",IF(ISNA(MATCH(C1196,eq_code,0)),"Équipement inconnu",IF(E1196="","Type manquant",IF(AND(E1196&lt;&gt;"Préventif",E1196&lt;&gt;"Correctif",E1196&lt;&gt;"Amélioratif"),"Type inconnu",IF(I1196="","Statut manquant",IF(AND(I1196&lt;&gt;"Terminée",I1196&lt;&gt;"En cours",I1196&lt;&gt;"À faire",I1196&lt;&gt;"Annulée"),"Statut inconnu",IF(AND(E1196="Préventif",F1196=""),"Plan manquant (préventif)",IF(AND(F1196&lt;&gt;"",ISNA(MATCH(F1196,pl_num,0))),"Plan inconnu",IF(AND(F1196&lt;&gt;"",IFERROR(INDEX(pl_eq,MATCH(F1196,pl_num,0))&amp;"",C1196)&lt;&gt;C1196),"Plan d'un autre équipement",IF(AND(J1196&lt;&gt;"",OR(NOT(ISNUMBER(J1196)),N(J1196)&lt;0)),"Compteur invalide",IF(OR(AND(K1196&lt;&gt;"",OR(NOT(ISNUMBER(K1196)),N(K1196)&lt;0)),AND(L1196&lt;&gt;"",OR(NOT(ISNUMBER(L1196)),N(L1196)&lt;0))),"Durée invalide",IF(OR(AND(N1196&lt;&gt;"",OR(NOT(ISNUMBER(N1196)),N(N1196)&lt;0)),AND(P1196&lt;&gt;"",OR(NOT(ISNUMBER(P1196)),N(P1196)&lt;0))),"Coût invalide",IF(AND(M1196&lt;&gt;"",ISNA(MATCH(M1196,tech_name,0))),"Technicien inconnu",IF(AND(I1196="Terminée",S1196&gt;p_today),"Terminée à une date future",IF(AND(I1196="Terminée",V1196=0),"Durée d'intervention manquante",IF(AND(I1196="Terminée",E1196="Préventif",T1196=0,OR(IFERROR(INDEX(pl_trig,MATCH(F1196,pl_num,0))&amp;"","")="Compteur",IFERROR(INDEX(pl_trig,MATCH(F1196,pl_num,0))&amp;"","")="Au premier des deux")),"Compteur manquant (plan au compteur)","OK"))))))))))))))))))</f>
        <v/>
      </c>
      <c r="S1196" s="67">
        <f>IF(AND(ISNUMBER(B1196),N(B1196)&gt;0),INT(B1196),0)</f>
        <v>0.0</v>
      </c>
      <c r="T1196" s="67">
        <f>IF(AND(ISNUMBER(J1196),N(J1196)&gt;=0),N(J1196),0)</f>
        <v>0.0</v>
      </c>
      <c r="U1196" s="67">
        <f>IF(AND(ISNUMBER(K1196),N(K1196)&gt;0),N(K1196),0)</f>
        <v>0.0</v>
      </c>
      <c r="V1196" s="67">
        <f>IF(AND(ISNUMBER(L1196),N(L1196)&gt;0),N(L1196),0)</f>
        <v>0.0</v>
      </c>
      <c r="W1196" s="67">
        <f>IF(AND(I1196="Terminée",S1196&gt;0,C1196&lt;&gt;"",ISNUMBER(MATCH(C1196,eq_code,0))),1,0)</f>
        <v>0.0</v>
      </c>
      <c r="X1196" s="67">
        <f>IF(AND(W1196=1,E1196="Préventif"),1,0)</f>
        <v>0.0</v>
      </c>
      <c r="Y1196" s="67">
        <f>IF(AND(ISNUMBER(N1196),N(N1196)&gt;0),N(N1196),0)</f>
        <v>0.0</v>
      </c>
      <c r="Z1196" s="67">
        <f>IF(AND(ISNUMBER(P1196),N(P1196)&gt;0),N(P1196),0)</f>
        <v>0.0</v>
      </c>
    </row>
    <row r="1197">
      <c r="A1197" s="79" t="str">
        <f>IF(COUNTA(B1197:C1197,E1197:G1197,I1197)=0,"","BI-"&amp;RIGHT("0000"&amp;(ROW()-5),4))</f>
        <v/>
      </c>
      <c r="B1197" s="72" t="n"/>
      <c r="C1197" s="66" t="n"/>
      <c r="D1197" s="67" t="str">
        <f>IF(C1197="","",IFERROR(INDEX(eq_des,MATCH(C1197,eq_code,0))&amp;"","Équipement inconnu"))</f>
        <v/>
      </c>
      <c r="E1197" s="68" t="n"/>
      <c r="F1197" s="68" t="n"/>
      <c r="G1197" s="66" t="n"/>
      <c r="H1197" s="66" t="n"/>
      <c r="I1197" s="68" t="n"/>
      <c r="J1197" s="73" t="n"/>
      <c r="K1197" s="71" t="n"/>
      <c r="L1197" s="71" t="n"/>
      <c r="M1197" s="66" t="n"/>
      <c r="N1197" s="80" t="n"/>
      <c r="O1197" s="81" t="str">
        <f>IF(A1197="","",ROUND(V1197*IFERROR(N(INDEX(tech_rate,MATCH(M1197,tech_name,0))),0),2))</f>
        <v/>
      </c>
      <c r="P1197" s="80" t="n"/>
      <c r="Q1197" s="81" t="str">
        <f>IF(A1197="","",ROUND(Y1197+O1197+Z1197,2))</f>
        <v/>
      </c>
      <c r="R1197" s="79" t="str">
        <f>IF(A1197="","",IF(S1197=0,"Date manquante ou invalide",IF(C1197="","Équipement manquant",IF(ISNA(MATCH(C1197,eq_code,0)),"Équipement inconnu",IF(E1197="","Type manquant",IF(AND(E1197&lt;&gt;"Préventif",E1197&lt;&gt;"Correctif",E1197&lt;&gt;"Amélioratif"),"Type inconnu",IF(I1197="","Statut manquant",IF(AND(I1197&lt;&gt;"Terminée",I1197&lt;&gt;"En cours",I1197&lt;&gt;"À faire",I1197&lt;&gt;"Annulée"),"Statut inconnu",IF(AND(E1197="Préventif",F1197=""),"Plan manquant (préventif)",IF(AND(F1197&lt;&gt;"",ISNA(MATCH(F1197,pl_num,0))),"Plan inconnu",IF(AND(F1197&lt;&gt;"",IFERROR(INDEX(pl_eq,MATCH(F1197,pl_num,0))&amp;"",C1197)&lt;&gt;C1197),"Plan d'un autre équipement",IF(AND(J1197&lt;&gt;"",OR(NOT(ISNUMBER(J1197)),N(J1197)&lt;0)),"Compteur invalide",IF(OR(AND(K1197&lt;&gt;"",OR(NOT(ISNUMBER(K1197)),N(K1197)&lt;0)),AND(L1197&lt;&gt;"",OR(NOT(ISNUMBER(L1197)),N(L1197)&lt;0))),"Durée invalide",IF(OR(AND(N1197&lt;&gt;"",OR(NOT(ISNUMBER(N1197)),N(N1197)&lt;0)),AND(P1197&lt;&gt;"",OR(NOT(ISNUMBER(P1197)),N(P1197)&lt;0))),"Coût invalide",IF(AND(M1197&lt;&gt;"",ISNA(MATCH(M1197,tech_name,0))),"Technicien inconnu",IF(AND(I1197="Terminée",S1197&gt;p_today),"Terminée à une date future",IF(AND(I1197="Terminée",V1197=0),"Durée d'intervention manquante",IF(AND(I1197="Terminée",E1197="Préventif",T1197=0,OR(IFERROR(INDEX(pl_trig,MATCH(F1197,pl_num,0))&amp;"","")="Compteur",IFERROR(INDEX(pl_trig,MATCH(F1197,pl_num,0))&amp;"","")="Au premier des deux")),"Compteur manquant (plan au compteur)","OK"))))))))))))))))))</f>
        <v/>
      </c>
      <c r="S1197" s="67">
        <f>IF(AND(ISNUMBER(B1197),N(B1197)&gt;0),INT(B1197),0)</f>
        <v>0.0</v>
      </c>
      <c r="T1197" s="67">
        <f>IF(AND(ISNUMBER(J1197),N(J1197)&gt;=0),N(J1197),0)</f>
        <v>0.0</v>
      </c>
      <c r="U1197" s="67">
        <f>IF(AND(ISNUMBER(K1197),N(K1197)&gt;0),N(K1197),0)</f>
        <v>0.0</v>
      </c>
      <c r="V1197" s="67">
        <f>IF(AND(ISNUMBER(L1197),N(L1197)&gt;0),N(L1197),0)</f>
        <v>0.0</v>
      </c>
      <c r="W1197" s="67">
        <f>IF(AND(I1197="Terminée",S1197&gt;0,C1197&lt;&gt;"",ISNUMBER(MATCH(C1197,eq_code,0))),1,0)</f>
        <v>0.0</v>
      </c>
      <c r="X1197" s="67">
        <f>IF(AND(W1197=1,E1197="Préventif"),1,0)</f>
        <v>0.0</v>
      </c>
      <c r="Y1197" s="67">
        <f>IF(AND(ISNUMBER(N1197),N(N1197)&gt;0),N(N1197),0)</f>
        <v>0.0</v>
      </c>
      <c r="Z1197" s="67">
        <f>IF(AND(ISNUMBER(P1197),N(P1197)&gt;0),N(P1197),0)</f>
        <v>0.0</v>
      </c>
    </row>
    <row r="1198">
      <c r="A1198" s="79" t="str">
        <f>IF(COUNTA(B1198:C1198,E1198:G1198,I1198)=0,"","BI-"&amp;RIGHT("0000"&amp;(ROW()-5),4))</f>
        <v/>
      </c>
      <c r="B1198" s="72" t="n"/>
      <c r="C1198" s="66" t="n"/>
      <c r="D1198" s="67" t="str">
        <f>IF(C1198="","",IFERROR(INDEX(eq_des,MATCH(C1198,eq_code,0))&amp;"","Équipement inconnu"))</f>
        <v/>
      </c>
      <c r="E1198" s="68" t="n"/>
      <c r="F1198" s="68" t="n"/>
      <c r="G1198" s="66" t="n"/>
      <c r="H1198" s="66" t="n"/>
      <c r="I1198" s="68" t="n"/>
      <c r="J1198" s="73" t="n"/>
      <c r="K1198" s="71" t="n"/>
      <c r="L1198" s="71" t="n"/>
      <c r="M1198" s="66" t="n"/>
      <c r="N1198" s="80" t="n"/>
      <c r="O1198" s="81" t="str">
        <f>IF(A1198="","",ROUND(V1198*IFERROR(N(INDEX(tech_rate,MATCH(M1198,tech_name,0))),0),2))</f>
        <v/>
      </c>
      <c r="P1198" s="80" t="n"/>
      <c r="Q1198" s="81" t="str">
        <f>IF(A1198="","",ROUND(Y1198+O1198+Z1198,2))</f>
        <v/>
      </c>
      <c r="R1198" s="79" t="str">
        <f>IF(A1198="","",IF(S1198=0,"Date manquante ou invalide",IF(C1198="","Équipement manquant",IF(ISNA(MATCH(C1198,eq_code,0)),"Équipement inconnu",IF(E1198="","Type manquant",IF(AND(E1198&lt;&gt;"Préventif",E1198&lt;&gt;"Correctif",E1198&lt;&gt;"Amélioratif"),"Type inconnu",IF(I1198="","Statut manquant",IF(AND(I1198&lt;&gt;"Terminée",I1198&lt;&gt;"En cours",I1198&lt;&gt;"À faire",I1198&lt;&gt;"Annulée"),"Statut inconnu",IF(AND(E1198="Préventif",F1198=""),"Plan manquant (préventif)",IF(AND(F1198&lt;&gt;"",ISNA(MATCH(F1198,pl_num,0))),"Plan inconnu",IF(AND(F1198&lt;&gt;"",IFERROR(INDEX(pl_eq,MATCH(F1198,pl_num,0))&amp;"",C1198)&lt;&gt;C1198),"Plan d'un autre équipement",IF(AND(J1198&lt;&gt;"",OR(NOT(ISNUMBER(J1198)),N(J1198)&lt;0)),"Compteur invalide",IF(OR(AND(K1198&lt;&gt;"",OR(NOT(ISNUMBER(K1198)),N(K1198)&lt;0)),AND(L1198&lt;&gt;"",OR(NOT(ISNUMBER(L1198)),N(L1198)&lt;0))),"Durée invalide",IF(OR(AND(N1198&lt;&gt;"",OR(NOT(ISNUMBER(N1198)),N(N1198)&lt;0)),AND(P1198&lt;&gt;"",OR(NOT(ISNUMBER(P1198)),N(P1198)&lt;0))),"Coût invalide",IF(AND(M1198&lt;&gt;"",ISNA(MATCH(M1198,tech_name,0))),"Technicien inconnu",IF(AND(I1198="Terminée",S1198&gt;p_today),"Terminée à une date future",IF(AND(I1198="Terminée",V1198=0),"Durée d'intervention manquante",IF(AND(I1198="Terminée",E1198="Préventif",T1198=0,OR(IFERROR(INDEX(pl_trig,MATCH(F1198,pl_num,0))&amp;"","")="Compteur",IFERROR(INDEX(pl_trig,MATCH(F1198,pl_num,0))&amp;"","")="Au premier des deux")),"Compteur manquant (plan au compteur)","OK"))))))))))))))))))</f>
        <v/>
      </c>
      <c r="S1198" s="67">
        <f>IF(AND(ISNUMBER(B1198),N(B1198)&gt;0),INT(B1198),0)</f>
        <v>0.0</v>
      </c>
      <c r="T1198" s="67">
        <f>IF(AND(ISNUMBER(J1198),N(J1198)&gt;=0),N(J1198),0)</f>
        <v>0.0</v>
      </c>
      <c r="U1198" s="67">
        <f>IF(AND(ISNUMBER(K1198),N(K1198)&gt;0),N(K1198),0)</f>
        <v>0.0</v>
      </c>
      <c r="V1198" s="67">
        <f>IF(AND(ISNUMBER(L1198),N(L1198)&gt;0),N(L1198),0)</f>
        <v>0.0</v>
      </c>
      <c r="W1198" s="67">
        <f>IF(AND(I1198="Terminée",S1198&gt;0,C1198&lt;&gt;"",ISNUMBER(MATCH(C1198,eq_code,0))),1,0)</f>
        <v>0.0</v>
      </c>
      <c r="X1198" s="67">
        <f>IF(AND(W1198=1,E1198="Préventif"),1,0)</f>
        <v>0.0</v>
      </c>
      <c r="Y1198" s="67">
        <f>IF(AND(ISNUMBER(N1198),N(N1198)&gt;0),N(N1198),0)</f>
        <v>0.0</v>
      </c>
      <c r="Z1198" s="67">
        <f>IF(AND(ISNUMBER(P1198),N(P1198)&gt;0),N(P1198),0)</f>
        <v>0.0</v>
      </c>
    </row>
    <row r="1199">
      <c r="A1199" s="79" t="str">
        <f>IF(COUNTA(B1199:C1199,E1199:G1199,I1199)=0,"","BI-"&amp;RIGHT("0000"&amp;(ROW()-5),4))</f>
        <v/>
      </c>
      <c r="B1199" s="72" t="n"/>
      <c r="C1199" s="66" t="n"/>
      <c r="D1199" s="67" t="str">
        <f>IF(C1199="","",IFERROR(INDEX(eq_des,MATCH(C1199,eq_code,0))&amp;"","Équipement inconnu"))</f>
        <v/>
      </c>
      <c r="E1199" s="68" t="n"/>
      <c r="F1199" s="68" t="n"/>
      <c r="G1199" s="66" t="n"/>
      <c r="H1199" s="66" t="n"/>
      <c r="I1199" s="68" t="n"/>
      <c r="J1199" s="73" t="n"/>
      <c r="K1199" s="71" t="n"/>
      <c r="L1199" s="71" t="n"/>
      <c r="M1199" s="66" t="n"/>
      <c r="N1199" s="80" t="n"/>
      <c r="O1199" s="81" t="str">
        <f>IF(A1199="","",ROUND(V1199*IFERROR(N(INDEX(tech_rate,MATCH(M1199,tech_name,0))),0),2))</f>
        <v/>
      </c>
      <c r="P1199" s="80" t="n"/>
      <c r="Q1199" s="81" t="str">
        <f>IF(A1199="","",ROUND(Y1199+O1199+Z1199,2))</f>
        <v/>
      </c>
      <c r="R1199" s="79" t="str">
        <f>IF(A1199="","",IF(S1199=0,"Date manquante ou invalide",IF(C1199="","Équipement manquant",IF(ISNA(MATCH(C1199,eq_code,0)),"Équipement inconnu",IF(E1199="","Type manquant",IF(AND(E1199&lt;&gt;"Préventif",E1199&lt;&gt;"Correctif",E1199&lt;&gt;"Amélioratif"),"Type inconnu",IF(I1199="","Statut manquant",IF(AND(I1199&lt;&gt;"Terminée",I1199&lt;&gt;"En cours",I1199&lt;&gt;"À faire",I1199&lt;&gt;"Annulée"),"Statut inconnu",IF(AND(E1199="Préventif",F1199=""),"Plan manquant (préventif)",IF(AND(F1199&lt;&gt;"",ISNA(MATCH(F1199,pl_num,0))),"Plan inconnu",IF(AND(F1199&lt;&gt;"",IFERROR(INDEX(pl_eq,MATCH(F1199,pl_num,0))&amp;"",C1199)&lt;&gt;C1199),"Plan d'un autre équipement",IF(AND(J1199&lt;&gt;"",OR(NOT(ISNUMBER(J1199)),N(J1199)&lt;0)),"Compteur invalide",IF(OR(AND(K1199&lt;&gt;"",OR(NOT(ISNUMBER(K1199)),N(K1199)&lt;0)),AND(L1199&lt;&gt;"",OR(NOT(ISNUMBER(L1199)),N(L1199)&lt;0))),"Durée invalide",IF(OR(AND(N1199&lt;&gt;"",OR(NOT(ISNUMBER(N1199)),N(N1199)&lt;0)),AND(P1199&lt;&gt;"",OR(NOT(ISNUMBER(P1199)),N(P1199)&lt;0))),"Coût invalide",IF(AND(M1199&lt;&gt;"",ISNA(MATCH(M1199,tech_name,0))),"Technicien inconnu",IF(AND(I1199="Terminée",S1199&gt;p_today),"Terminée à une date future",IF(AND(I1199="Terminée",V1199=0),"Durée d'intervention manquante",IF(AND(I1199="Terminée",E1199="Préventif",T1199=0,OR(IFERROR(INDEX(pl_trig,MATCH(F1199,pl_num,0))&amp;"","")="Compteur",IFERROR(INDEX(pl_trig,MATCH(F1199,pl_num,0))&amp;"","")="Au premier des deux")),"Compteur manquant (plan au compteur)","OK"))))))))))))))))))</f>
        <v/>
      </c>
      <c r="S1199" s="67">
        <f>IF(AND(ISNUMBER(B1199),N(B1199)&gt;0),INT(B1199),0)</f>
        <v>0.0</v>
      </c>
      <c r="T1199" s="67">
        <f>IF(AND(ISNUMBER(J1199),N(J1199)&gt;=0),N(J1199),0)</f>
        <v>0.0</v>
      </c>
      <c r="U1199" s="67">
        <f>IF(AND(ISNUMBER(K1199),N(K1199)&gt;0),N(K1199),0)</f>
        <v>0.0</v>
      </c>
      <c r="V1199" s="67">
        <f>IF(AND(ISNUMBER(L1199),N(L1199)&gt;0),N(L1199),0)</f>
        <v>0.0</v>
      </c>
      <c r="W1199" s="67">
        <f>IF(AND(I1199="Terminée",S1199&gt;0,C1199&lt;&gt;"",ISNUMBER(MATCH(C1199,eq_code,0))),1,0)</f>
        <v>0.0</v>
      </c>
      <c r="X1199" s="67">
        <f>IF(AND(W1199=1,E1199="Préventif"),1,0)</f>
        <v>0.0</v>
      </c>
      <c r="Y1199" s="67">
        <f>IF(AND(ISNUMBER(N1199),N(N1199)&gt;0),N(N1199),0)</f>
        <v>0.0</v>
      </c>
      <c r="Z1199" s="67">
        <f>IF(AND(ISNUMBER(P1199),N(P1199)&gt;0),N(P1199),0)</f>
        <v>0.0</v>
      </c>
    </row>
    <row r="1200">
      <c r="A1200" s="79" t="str">
        <f>IF(COUNTA(B1200:C1200,E1200:G1200,I1200)=0,"","BI-"&amp;RIGHT("0000"&amp;(ROW()-5),4))</f>
        <v/>
      </c>
      <c r="B1200" s="72" t="n"/>
      <c r="C1200" s="66" t="n"/>
      <c r="D1200" s="67" t="str">
        <f>IF(C1200="","",IFERROR(INDEX(eq_des,MATCH(C1200,eq_code,0))&amp;"","Équipement inconnu"))</f>
        <v/>
      </c>
      <c r="E1200" s="68" t="n"/>
      <c r="F1200" s="68" t="n"/>
      <c r="G1200" s="66" t="n"/>
      <c r="H1200" s="66" t="n"/>
      <c r="I1200" s="68" t="n"/>
      <c r="J1200" s="73" t="n"/>
      <c r="K1200" s="71" t="n"/>
      <c r="L1200" s="71" t="n"/>
      <c r="M1200" s="66" t="n"/>
      <c r="N1200" s="80" t="n"/>
      <c r="O1200" s="81" t="str">
        <f>IF(A1200="","",ROUND(V1200*IFERROR(N(INDEX(tech_rate,MATCH(M1200,tech_name,0))),0),2))</f>
        <v/>
      </c>
      <c r="P1200" s="80" t="n"/>
      <c r="Q1200" s="81" t="str">
        <f>IF(A1200="","",ROUND(Y1200+O1200+Z1200,2))</f>
        <v/>
      </c>
      <c r="R1200" s="79" t="str">
        <f>IF(A1200="","",IF(S1200=0,"Date manquante ou invalide",IF(C1200="","Équipement manquant",IF(ISNA(MATCH(C1200,eq_code,0)),"Équipement inconnu",IF(E1200="","Type manquant",IF(AND(E1200&lt;&gt;"Préventif",E1200&lt;&gt;"Correctif",E1200&lt;&gt;"Amélioratif"),"Type inconnu",IF(I1200="","Statut manquant",IF(AND(I1200&lt;&gt;"Terminée",I1200&lt;&gt;"En cours",I1200&lt;&gt;"À faire",I1200&lt;&gt;"Annulée"),"Statut inconnu",IF(AND(E1200="Préventif",F1200=""),"Plan manquant (préventif)",IF(AND(F1200&lt;&gt;"",ISNA(MATCH(F1200,pl_num,0))),"Plan inconnu",IF(AND(F1200&lt;&gt;"",IFERROR(INDEX(pl_eq,MATCH(F1200,pl_num,0))&amp;"",C1200)&lt;&gt;C1200),"Plan d'un autre équipement",IF(AND(J1200&lt;&gt;"",OR(NOT(ISNUMBER(J1200)),N(J1200)&lt;0)),"Compteur invalide",IF(OR(AND(K1200&lt;&gt;"",OR(NOT(ISNUMBER(K1200)),N(K1200)&lt;0)),AND(L1200&lt;&gt;"",OR(NOT(ISNUMBER(L1200)),N(L1200)&lt;0))),"Durée invalide",IF(OR(AND(N1200&lt;&gt;"",OR(NOT(ISNUMBER(N1200)),N(N1200)&lt;0)),AND(P1200&lt;&gt;"",OR(NOT(ISNUMBER(P1200)),N(P1200)&lt;0))),"Coût invalide",IF(AND(M1200&lt;&gt;"",ISNA(MATCH(M1200,tech_name,0))),"Technicien inconnu",IF(AND(I1200="Terminée",S1200&gt;p_today),"Terminée à une date future",IF(AND(I1200="Terminée",V1200=0),"Durée d'intervention manquante",IF(AND(I1200="Terminée",E1200="Préventif",T1200=0,OR(IFERROR(INDEX(pl_trig,MATCH(F1200,pl_num,0))&amp;"","")="Compteur",IFERROR(INDEX(pl_trig,MATCH(F1200,pl_num,0))&amp;"","")="Au premier des deux")),"Compteur manquant (plan au compteur)","OK"))))))))))))))))))</f>
        <v/>
      </c>
      <c r="S1200" s="67">
        <f>IF(AND(ISNUMBER(B1200),N(B1200)&gt;0),INT(B1200),0)</f>
        <v>0.0</v>
      </c>
      <c r="T1200" s="67">
        <f>IF(AND(ISNUMBER(J1200),N(J1200)&gt;=0),N(J1200),0)</f>
        <v>0.0</v>
      </c>
      <c r="U1200" s="67">
        <f>IF(AND(ISNUMBER(K1200),N(K1200)&gt;0),N(K1200),0)</f>
        <v>0.0</v>
      </c>
      <c r="V1200" s="67">
        <f>IF(AND(ISNUMBER(L1200),N(L1200)&gt;0),N(L1200),0)</f>
        <v>0.0</v>
      </c>
      <c r="W1200" s="67">
        <f>IF(AND(I1200="Terminée",S1200&gt;0,C1200&lt;&gt;"",ISNUMBER(MATCH(C1200,eq_code,0))),1,0)</f>
        <v>0.0</v>
      </c>
      <c r="X1200" s="67">
        <f>IF(AND(W1200=1,E1200="Préventif"),1,0)</f>
        <v>0.0</v>
      </c>
      <c r="Y1200" s="67">
        <f>IF(AND(ISNUMBER(N1200),N(N1200)&gt;0),N(N1200),0)</f>
        <v>0.0</v>
      </c>
      <c r="Z1200" s="67">
        <f>IF(AND(ISNUMBER(P1200),N(P1200)&gt;0),N(P1200),0)</f>
        <v>0.0</v>
      </c>
    </row>
    <row r="1201">
      <c r="A1201" s="79" t="str">
        <f>IF(COUNTA(B1201:C1201,E1201:G1201,I1201)=0,"","BI-"&amp;RIGHT("0000"&amp;(ROW()-5),4))</f>
        <v/>
      </c>
      <c r="B1201" s="72" t="n"/>
      <c r="C1201" s="66" t="n"/>
      <c r="D1201" s="67" t="str">
        <f>IF(C1201="","",IFERROR(INDEX(eq_des,MATCH(C1201,eq_code,0))&amp;"","Équipement inconnu"))</f>
        <v/>
      </c>
      <c r="E1201" s="68" t="n"/>
      <c r="F1201" s="68" t="n"/>
      <c r="G1201" s="66" t="n"/>
      <c r="H1201" s="66" t="n"/>
      <c r="I1201" s="68" t="n"/>
      <c r="J1201" s="73" t="n"/>
      <c r="K1201" s="71" t="n"/>
      <c r="L1201" s="71" t="n"/>
      <c r="M1201" s="66" t="n"/>
      <c r="N1201" s="80" t="n"/>
      <c r="O1201" s="81" t="str">
        <f>IF(A1201="","",ROUND(V1201*IFERROR(N(INDEX(tech_rate,MATCH(M1201,tech_name,0))),0),2))</f>
        <v/>
      </c>
      <c r="P1201" s="80" t="n"/>
      <c r="Q1201" s="81" t="str">
        <f>IF(A1201="","",ROUND(Y1201+O1201+Z1201,2))</f>
        <v/>
      </c>
      <c r="R1201" s="79" t="str">
        <f>IF(A1201="","",IF(S1201=0,"Date manquante ou invalide",IF(C1201="","Équipement manquant",IF(ISNA(MATCH(C1201,eq_code,0)),"Équipement inconnu",IF(E1201="","Type manquant",IF(AND(E1201&lt;&gt;"Préventif",E1201&lt;&gt;"Correctif",E1201&lt;&gt;"Amélioratif"),"Type inconnu",IF(I1201="","Statut manquant",IF(AND(I1201&lt;&gt;"Terminée",I1201&lt;&gt;"En cours",I1201&lt;&gt;"À faire",I1201&lt;&gt;"Annulée"),"Statut inconnu",IF(AND(E1201="Préventif",F1201=""),"Plan manquant (préventif)",IF(AND(F1201&lt;&gt;"",ISNA(MATCH(F1201,pl_num,0))),"Plan inconnu",IF(AND(F1201&lt;&gt;"",IFERROR(INDEX(pl_eq,MATCH(F1201,pl_num,0))&amp;"",C1201)&lt;&gt;C1201),"Plan d'un autre équipement",IF(AND(J1201&lt;&gt;"",OR(NOT(ISNUMBER(J1201)),N(J1201)&lt;0)),"Compteur invalide",IF(OR(AND(K1201&lt;&gt;"",OR(NOT(ISNUMBER(K1201)),N(K1201)&lt;0)),AND(L1201&lt;&gt;"",OR(NOT(ISNUMBER(L1201)),N(L1201)&lt;0))),"Durée invalide",IF(OR(AND(N1201&lt;&gt;"",OR(NOT(ISNUMBER(N1201)),N(N1201)&lt;0)),AND(P1201&lt;&gt;"",OR(NOT(ISNUMBER(P1201)),N(P1201)&lt;0))),"Coût invalide",IF(AND(M1201&lt;&gt;"",ISNA(MATCH(M1201,tech_name,0))),"Technicien inconnu",IF(AND(I1201="Terminée",S1201&gt;p_today),"Terminée à une date future",IF(AND(I1201="Terminée",V1201=0),"Durée d'intervention manquante",IF(AND(I1201="Terminée",E1201="Préventif",T1201=0,OR(IFERROR(INDEX(pl_trig,MATCH(F1201,pl_num,0))&amp;"","")="Compteur",IFERROR(INDEX(pl_trig,MATCH(F1201,pl_num,0))&amp;"","")="Au premier des deux")),"Compteur manquant (plan au compteur)","OK"))))))))))))))))))</f>
        <v/>
      </c>
      <c r="S1201" s="67">
        <f>IF(AND(ISNUMBER(B1201),N(B1201)&gt;0),INT(B1201),0)</f>
        <v>0.0</v>
      </c>
      <c r="T1201" s="67">
        <f>IF(AND(ISNUMBER(J1201),N(J1201)&gt;=0),N(J1201),0)</f>
        <v>0.0</v>
      </c>
      <c r="U1201" s="67">
        <f>IF(AND(ISNUMBER(K1201),N(K1201)&gt;0),N(K1201),0)</f>
        <v>0.0</v>
      </c>
      <c r="V1201" s="67">
        <f>IF(AND(ISNUMBER(L1201),N(L1201)&gt;0),N(L1201),0)</f>
        <v>0.0</v>
      </c>
      <c r="W1201" s="67">
        <f>IF(AND(I1201="Terminée",S1201&gt;0,C1201&lt;&gt;"",ISNUMBER(MATCH(C1201,eq_code,0))),1,0)</f>
        <v>0.0</v>
      </c>
      <c r="X1201" s="67">
        <f>IF(AND(W1201=1,E1201="Préventif"),1,0)</f>
        <v>0.0</v>
      </c>
      <c r="Y1201" s="67">
        <f>IF(AND(ISNUMBER(N1201),N(N1201)&gt;0),N(N1201),0)</f>
        <v>0.0</v>
      </c>
      <c r="Z1201" s="67">
        <f>IF(AND(ISNUMBER(P1201),N(P1201)&gt;0),N(P1201),0)</f>
        <v>0.0</v>
      </c>
    </row>
    <row r="1202">
      <c r="A1202" s="79" t="str">
        <f>IF(COUNTA(B1202:C1202,E1202:G1202,I1202)=0,"","BI-"&amp;RIGHT("0000"&amp;(ROW()-5),4))</f>
        <v/>
      </c>
      <c r="B1202" s="72" t="n"/>
      <c r="C1202" s="66" t="n"/>
      <c r="D1202" s="67" t="str">
        <f>IF(C1202="","",IFERROR(INDEX(eq_des,MATCH(C1202,eq_code,0))&amp;"","Équipement inconnu"))</f>
        <v/>
      </c>
      <c r="E1202" s="68" t="n"/>
      <c r="F1202" s="68" t="n"/>
      <c r="G1202" s="66" t="n"/>
      <c r="H1202" s="66" t="n"/>
      <c r="I1202" s="68" t="n"/>
      <c r="J1202" s="73" t="n"/>
      <c r="K1202" s="71" t="n"/>
      <c r="L1202" s="71" t="n"/>
      <c r="M1202" s="66" t="n"/>
      <c r="N1202" s="80" t="n"/>
      <c r="O1202" s="81" t="str">
        <f>IF(A1202="","",ROUND(V1202*IFERROR(N(INDEX(tech_rate,MATCH(M1202,tech_name,0))),0),2))</f>
        <v/>
      </c>
      <c r="P1202" s="80" t="n"/>
      <c r="Q1202" s="81" t="str">
        <f>IF(A1202="","",ROUND(Y1202+O1202+Z1202,2))</f>
        <v/>
      </c>
      <c r="R1202" s="79" t="str">
        <f>IF(A1202="","",IF(S1202=0,"Date manquante ou invalide",IF(C1202="","Équipement manquant",IF(ISNA(MATCH(C1202,eq_code,0)),"Équipement inconnu",IF(E1202="","Type manquant",IF(AND(E1202&lt;&gt;"Préventif",E1202&lt;&gt;"Correctif",E1202&lt;&gt;"Amélioratif"),"Type inconnu",IF(I1202="","Statut manquant",IF(AND(I1202&lt;&gt;"Terminée",I1202&lt;&gt;"En cours",I1202&lt;&gt;"À faire",I1202&lt;&gt;"Annulée"),"Statut inconnu",IF(AND(E1202="Préventif",F1202=""),"Plan manquant (préventif)",IF(AND(F1202&lt;&gt;"",ISNA(MATCH(F1202,pl_num,0))),"Plan inconnu",IF(AND(F1202&lt;&gt;"",IFERROR(INDEX(pl_eq,MATCH(F1202,pl_num,0))&amp;"",C1202)&lt;&gt;C1202),"Plan d'un autre équipement",IF(AND(J1202&lt;&gt;"",OR(NOT(ISNUMBER(J1202)),N(J1202)&lt;0)),"Compteur invalide",IF(OR(AND(K1202&lt;&gt;"",OR(NOT(ISNUMBER(K1202)),N(K1202)&lt;0)),AND(L1202&lt;&gt;"",OR(NOT(ISNUMBER(L1202)),N(L1202)&lt;0))),"Durée invalide",IF(OR(AND(N1202&lt;&gt;"",OR(NOT(ISNUMBER(N1202)),N(N1202)&lt;0)),AND(P1202&lt;&gt;"",OR(NOT(ISNUMBER(P1202)),N(P1202)&lt;0))),"Coût invalide",IF(AND(M1202&lt;&gt;"",ISNA(MATCH(M1202,tech_name,0))),"Technicien inconnu",IF(AND(I1202="Terminée",S1202&gt;p_today),"Terminée à une date future",IF(AND(I1202="Terminée",V1202=0),"Durée d'intervention manquante",IF(AND(I1202="Terminée",E1202="Préventif",T1202=0,OR(IFERROR(INDEX(pl_trig,MATCH(F1202,pl_num,0))&amp;"","")="Compteur",IFERROR(INDEX(pl_trig,MATCH(F1202,pl_num,0))&amp;"","")="Au premier des deux")),"Compteur manquant (plan au compteur)","OK"))))))))))))))))))</f>
        <v/>
      </c>
      <c r="S1202" s="67">
        <f>IF(AND(ISNUMBER(B1202),N(B1202)&gt;0),INT(B1202),0)</f>
        <v>0.0</v>
      </c>
      <c r="T1202" s="67">
        <f>IF(AND(ISNUMBER(J1202),N(J1202)&gt;=0),N(J1202),0)</f>
        <v>0.0</v>
      </c>
      <c r="U1202" s="67">
        <f>IF(AND(ISNUMBER(K1202),N(K1202)&gt;0),N(K1202),0)</f>
        <v>0.0</v>
      </c>
      <c r="V1202" s="67">
        <f>IF(AND(ISNUMBER(L1202),N(L1202)&gt;0),N(L1202),0)</f>
        <v>0.0</v>
      </c>
      <c r="W1202" s="67">
        <f>IF(AND(I1202="Terminée",S1202&gt;0,C1202&lt;&gt;"",ISNUMBER(MATCH(C1202,eq_code,0))),1,0)</f>
        <v>0.0</v>
      </c>
      <c r="X1202" s="67">
        <f>IF(AND(W1202=1,E1202="Préventif"),1,0)</f>
        <v>0.0</v>
      </c>
      <c r="Y1202" s="67">
        <f>IF(AND(ISNUMBER(N1202),N(N1202)&gt;0),N(N1202),0)</f>
        <v>0.0</v>
      </c>
      <c r="Z1202" s="67">
        <f>IF(AND(ISNUMBER(P1202),N(P1202)&gt;0),N(P1202),0)</f>
        <v>0.0</v>
      </c>
    </row>
    <row r="1203">
      <c r="A1203" s="79" t="str">
        <f>IF(COUNTA(B1203:C1203,E1203:G1203,I1203)=0,"","BI-"&amp;RIGHT("0000"&amp;(ROW()-5),4))</f>
        <v/>
      </c>
      <c r="B1203" s="72" t="n"/>
      <c r="C1203" s="66" t="n"/>
      <c r="D1203" s="67" t="str">
        <f>IF(C1203="","",IFERROR(INDEX(eq_des,MATCH(C1203,eq_code,0))&amp;"","Équipement inconnu"))</f>
        <v/>
      </c>
      <c r="E1203" s="68" t="n"/>
      <c r="F1203" s="68" t="n"/>
      <c r="G1203" s="66" t="n"/>
      <c r="H1203" s="66" t="n"/>
      <c r="I1203" s="68" t="n"/>
      <c r="J1203" s="73" t="n"/>
      <c r="K1203" s="71" t="n"/>
      <c r="L1203" s="71" t="n"/>
      <c r="M1203" s="66" t="n"/>
      <c r="N1203" s="80" t="n"/>
      <c r="O1203" s="81" t="str">
        <f>IF(A1203="","",ROUND(V1203*IFERROR(N(INDEX(tech_rate,MATCH(M1203,tech_name,0))),0),2))</f>
        <v/>
      </c>
      <c r="P1203" s="80" t="n"/>
      <c r="Q1203" s="81" t="str">
        <f>IF(A1203="","",ROUND(Y1203+O1203+Z1203,2))</f>
        <v/>
      </c>
      <c r="R1203" s="79" t="str">
        <f>IF(A1203="","",IF(S1203=0,"Date manquante ou invalide",IF(C1203="","Équipement manquant",IF(ISNA(MATCH(C1203,eq_code,0)),"Équipement inconnu",IF(E1203="","Type manquant",IF(AND(E1203&lt;&gt;"Préventif",E1203&lt;&gt;"Correctif",E1203&lt;&gt;"Amélioratif"),"Type inconnu",IF(I1203="","Statut manquant",IF(AND(I1203&lt;&gt;"Terminée",I1203&lt;&gt;"En cours",I1203&lt;&gt;"À faire",I1203&lt;&gt;"Annulée"),"Statut inconnu",IF(AND(E1203="Préventif",F1203=""),"Plan manquant (préventif)",IF(AND(F1203&lt;&gt;"",ISNA(MATCH(F1203,pl_num,0))),"Plan inconnu",IF(AND(F1203&lt;&gt;"",IFERROR(INDEX(pl_eq,MATCH(F1203,pl_num,0))&amp;"",C1203)&lt;&gt;C1203),"Plan d'un autre équipement",IF(AND(J1203&lt;&gt;"",OR(NOT(ISNUMBER(J1203)),N(J1203)&lt;0)),"Compteur invalide",IF(OR(AND(K1203&lt;&gt;"",OR(NOT(ISNUMBER(K1203)),N(K1203)&lt;0)),AND(L1203&lt;&gt;"",OR(NOT(ISNUMBER(L1203)),N(L1203)&lt;0))),"Durée invalide",IF(OR(AND(N1203&lt;&gt;"",OR(NOT(ISNUMBER(N1203)),N(N1203)&lt;0)),AND(P1203&lt;&gt;"",OR(NOT(ISNUMBER(P1203)),N(P1203)&lt;0))),"Coût invalide",IF(AND(M1203&lt;&gt;"",ISNA(MATCH(M1203,tech_name,0))),"Technicien inconnu",IF(AND(I1203="Terminée",S1203&gt;p_today),"Terminée à une date future",IF(AND(I1203="Terminée",V1203=0),"Durée d'intervention manquante",IF(AND(I1203="Terminée",E1203="Préventif",T1203=0,OR(IFERROR(INDEX(pl_trig,MATCH(F1203,pl_num,0))&amp;"","")="Compteur",IFERROR(INDEX(pl_trig,MATCH(F1203,pl_num,0))&amp;"","")="Au premier des deux")),"Compteur manquant (plan au compteur)","OK"))))))))))))))))))</f>
        <v/>
      </c>
      <c r="S1203" s="67">
        <f>IF(AND(ISNUMBER(B1203),N(B1203)&gt;0),INT(B1203),0)</f>
        <v>0.0</v>
      </c>
      <c r="T1203" s="67">
        <f>IF(AND(ISNUMBER(J1203),N(J1203)&gt;=0),N(J1203),0)</f>
        <v>0.0</v>
      </c>
      <c r="U1203" s="67">
        <f>IF(AND(ISNUMBER(K1203),N(K1203)&gt;0),N(K1203),0)</f>
        <v>0.0</v>
      </c>
      <c r="V1203" s="67">
        <f>IF(AND(ISNUMBER(L1203),N(L1203)&gt;0),N(L1203),0)</f>
        <v>0.0</v>
      </c>
      <c r="W1203" s="67">
        <f>IF(AND(I1203="Terminée",S1203&gt;0,C1203&lt;&gt;"",ISNUMBER(MATCH(C1203,eq_code,0))),1,0)</f>
        <v>0.0</v>
      </c>
      <c r="X1203" s="67">
        <f>IF(AND(W1203=1,E1203="Préventif"),1,0)</f>
        <v>0.0</v>
      </c>
      <c r="Y1203" s="67">
        <f>IF(AND(ISNUMBER(N1203),N(N1203)&gt;0),N(N1203),0)</f>
        <v>0.0</v>
      </c>
      <c r="Z1203" s="67">
        <f>IF(AND(ISNUMBER(P1203),N(P1203)&gt;0),N(P1203),0)</f>
        <v>0.0</v>
      </c>
    </row>
    <row r="1204">
      <c r="A1204" s="79" t="str">
        <f>IF(COUNTA(B1204:C1204,E1204:G1204,I1204)=0,"","BI-"&amp;RIGHT("0000"&amp;(ROW()-5),4))</f>
        <v/>
      </c>
      <c r="B1204" s="72" t="n"/>
      <c r="C1204" s="66" t="n"/>
      <c r="D1204" s="67" t="str">
        <f>IF(C1204="","",IFERROR(INDEX(eq_des,MATCH(C1204,eq_code,0))&amp;"","Équipement inconnu"))</f>
        <v/>
      </c>
      <c r="E1204" s="68" t="n"/>
      <c r="F1204" s="68" t="n"/>
      <c r="G1204" s="66" t="n"/>
      <c r="H1204" s="66" t="n"/>
      <c r="I1204" s="68" t="n"/>
      <c r="J1204" s="73" t="n"/>
      <c r="K1204" s="71" t="n"/>
      <c r="L1204" s="71" t="n"/>
      <c r="M1204" s="66" t="n"/>
      <c r="N1204" s="80" t="n"/>
      <c r="O1204" s="81" t="str">
        <f>IF(A1204="","",ROUND(V1204*IFERROR(N(INDEX(tech_rate,MATCH(M1204,tech_name,0))),0),2))</f>
        <v/>
      </c>
      <c r="P1204" s="80" t="n"/>
      <c r="Q1204" s="81" t="str">
        <f>IF(A1204="","",ROUND(Y1204+O1204+Z1204,2))</f>
        <v/>
      </c>
      <c r="R1204" s="79" t="str">
        <f>IF(A1204="","",IF(S1204=0,"Date manquante ou invalide",IF(C1204="","Équipement manquant",IF(ISNA(MATCH(C1204,eq_code,0)),"Équipement inconnu",IF(E1204="","Type manquant",IF(AND(E1204&lt;&gt;"Préventif",E1204&lt;&gt;"Correctif",E1204&lt;&gt;"Amélioratif"),"Type inconnu",IF(I1204="","Statut manquant",IF(AND(I1204&lt;&gt;"Terminée",I1204&lt;&gt;"En cours",I1204&lt;&gt;"À faire",I1204&lt;&gt;"Annulée"),"Statut inconnu",IF(AND(E1204="Préventif",F1204=""),"Plan manquant (préventif)",IF(AND(F1204&lt;&gt;"",ISNA(MATCH(F1204,pl_num,0))),"Plan inconnu",IF(AND(F1204&lt;&gt;"",IFERROR(INDEX(pl_eq,MATCH(F1204,pl_num,0))&amp;"",C1204)&lt;&gt;C1204),"Plan d'un autre équipement",IF(AND(J1204&lt;&gt;"",OR(NOT(ISNUMBER(J1204)),N(J1204)&lt;0)),"Compteur invalide",IF(OR(AND(K1204&lt;&gt;"",OR(NOT(ISNUMBER(K1204)),N(K1204)&lt;0)),AND(L1204&lt;&gt;"",OR(NOT(ISNUMBER(L1204)),N(L1204)&lt;0))),"Durée invalide",IF(OR(AND(N1204&lt;&gt;"",OR(NOT(ISNUMBER(N1204)),N(N1204)&lt;0)),AND(P1204&lt;&gt;"",OR(NOT(ISNUMBER(P1204)),N(P1204)&lt;0))),"Coût invalide",IF(AND(M1204&lt;&gt;"",ISNA(MATCH(M1204,tech_name,0))),"Technicien inconnu",IF(AND(I1204="Terminée",S1204&gt;p_today),"Terminée à une date future",IF(AND(I1204="Terminée",V1204=0),"Durée d'intervention manquante",IF(AND(I1204="Terminée",E1204="Préventif",T1204=0,OR(IFERROR(INDEX(pl_trig,MATCH(F1204,pl_num,0))&amp;"","")="Compteur",IFERROR(INDEX(pl_trig,MATCH(F1204,pl_num,0))&amp;"","")="Au premier des deux")),"Compteur manquant (plan au compteur)","OK"))))))))))))))))))</f>
        <v/>
      </c>
      <c r="S1204" s="67">
        <f>IF(AND(ISNUMBER(B1204),N(B1204)&gt;0),INT(B1204),0)</f>
        <v>0.0</v>
      </c>
      <c r="T1204" s="67">
        <f>IF(AND(ISNUMBER(J1204),N(J1204)&gt;=0),N(J1204),0)</f>
        <v>0.0</v>
      </c>
      <c r="U1204" s="67">
        <f>IF(AND(ISNUMBER(K1204),N(K1204)&gt;0),N(K1204),0)</f>
        <v>0.0</v>
      </c>
      <c r="V1204" s="67">
        <f>IF(AND(ISNUMBER(L1204),N(L1204)&gt;0),N(L1204),0)</f>
        <v>0.0</v>
      </c>
      <c r="W1204" s="67">
        <f>IF(AND(I1204="Terminée",S1204&gt;0,C1204&lt;&gt;"",ISNUMBER(MATCH(C1204,eq_code,0))),1,0)</f>
        <v>0.0</v>
      </c>
      <c r="X1204" s="67">
        <f>IF(AND(W1204=1,E1204="Préventif"),1,0)</f>
        <v>0.0</v>
      </c>
      <c r="Y1204" s="67">
        <f>IF(AND(ISNUMBER(N1204),N(N1204)&gt;0),N(N1204),0)</f>
        <v>0.0</v>
      </c>
      <c r="Z1204" s="67">
        <f>IF(AND(ISNUMBER(P1204),N(P1204)&gt;0),N(P1204),0)</f>
        <v>0.0</v>
      </c>
    </row>
    <row r="1205">
      <c r="A1205" s="79" t="str">
        <f>IF(COUNTA(B1205:C1205,E1205:G1205,I1205)=0,"","BI-"&amp;RIGHT("0000"&amp;(ROW()-5),4))</f>
        <v/>
      </c>
      <c r="B1205" s="72" t="n"/>
      <c r="C1205" s="66" t="n"/>
      <c r="D1205" s="67" t="str">
        <f>IF(C1205="","",IFERROR(INDEX(eq_des,MATCH(C1205,eq_code,0))&amp;"","Équipement inconnu"))</f>
        <v/>
      </c>
      <c r="E1205" s="68" t="n"/>
      <c r="F1205" s="68" t="n"/>
      <c r="G1205" s="66" t="n"/>
      <c r="H1205" s="66" t="n"/>
      <c r="I1205" s="68" t="n"/>
      <c r="J1205" s="73" t="n"/>
      <c r="K1205" s="71" t="n"/>
      <c r="L1205" s="71" t="n"/>
      <c r="M1205" s="66" t="n"/>
      <c r="N1205" s="80" t="n"/>
      <c r="O1205" s="81" t="str">
        <f>IF(A1205="","",ROUND(V1205*IFERROR(N(INDEX(tech_rate,MATCH(M1205,tech_name,0))),0),2))</f>
        <v/>
      </c>
      <c r="P1205" s="80" t="n"/>
      <c r="Q1205" s="81" t="str">
        <f>IF(A1205="","",ROUND(Y1205+O1205+Z1205,2))</f>
        <v/>
      </c>
      <c r="R1205" s="79" t="str">
        <f>IF(A1205="","",IF(S1205=0,"Date manquante ou invalide",IF(C1205="","Équipement manquant",IF(ISNA(MATCH(C1205,eq_code,0)),"Équipement inconnu",IF(E1205="","Type manquant",IF(AND(E1205&lt;&gt;"Préventif",E1205&lt;&gt;"Correctif",E1205&lt;&gt;"Amélioratif"),"Type inconnu",IF(I1205="","Statut manquant",IF(AND(I1205&lt;&gt;"Terminée",I1205&lt;&gt;"En cours",I1205&lt;&gt;"À faire",I1205&lt;&gt;"Annulée"),"Statut inconnu",IF(AND(E1205="Préventif",F1205=""),"Plan manquant (préventif)",IF(AND(F1205&lt;&gt;"",ISNA(MATCH(F1205,pl_num,0))),"Plan inconnu",IF(AND(F1205&lt;&gt;"",IFERROR(INDEX(pl_eq,MATCH(F1205,pl_num,0))&amp;"",C1205)&lt;&gt;C1205),"Plan d'un autre équipement",IF(AND(J1205&lt;&gt;"",OR(NOT(ISNUMBER(J1205)),N(J1205)&lt;0)),"Compteur invalide",IF(OR(AND(K1205&lt;&gt;"",OR(NOT(ISNUMBER(K1205)),N(K1205)&lt;0)),AND(L1205&lt;&gt;"",OR(NOT(ISNUMBER(L1205)),N(L1205)&lt;0))),"Durée invalide",IF(OR(AND(N1205&lt;&gt;"",OR(NOT(ISNUMBER(N1205)),N(N1205)&lt;0)),AND(P1205&lt;&gt;"",OR(NOT(ISNUMBER(P1205)),N(P1205)&lt;0))),"Coût invalide",IF(AND(M1205&lt;&gt;"",ISNA(MATCH(M1205,tech_name,0))),"Technicien inconnu",IF(AND(I1205="Terminée",S1205&gt;p_today),"Terminée à une date future",IF(AND(I1205="Terminée",V1205=0),"Durée d'intervention manquante",IF(AND(I1205="Terminée",E1205="Préventif",T1205=0,OR(IFERROR(INDEX(pl_trig,MATCH(F1205,pl_num,0))&amp;"","")="Compteur",IFERROR(INDEX(pl_trig,MATCH(F1205,pl_num,0))&amp;"","")="Au premier des deux")),"Compteur manquant (plan au compteur)","OK"))))))))))))))))))</f>
        <v/>
      </c>
      <c r="S1205" s="67">
        <f>IF(AND(ISNUMBER(B1205),N(B1205)&gt;0),INT(B1205),0)</f>
        <v>0.0</v>
      </c>
      <c r="T1205" s="67">
        <f>IF(AND(ISNUMBER(J1205),N(J1205)&gt;=0),N(J1205),0)</f>
        <v>0.0</v>
      </c>
      <c r="U1205" s="67">
        <f>IF(AND(ISNUMBER(K1205),N(K1205)&gt;0),N(K1205),0)</f>
        <v>0.0</v>
      </c>
      <c r="V1205" s="67">
        <f>IF(AND(ISNUMBER(L1205),N(L1205)&gt;0),N(L1205),0)</f>
        <v>0.0</v>
      </c>
      <c r="W1205" s="67">
        <f>IF(AND(I1205="Terminée",S1205&gt;0,C1205&lt;&gt;"",ISNUMBER(MATCH(C1205,eq_code,0))),1,0)</f>
        <v>0.0</v>
      </c>
      <c r="X1205" s="67">
        <f>IF(AND(W1205=1,E1205="Préventif"),1,0)</f>
        <v>0.0</v>
      </c>
      <c r="Y1205" s="67">
        <f>IF(AND(ISNUMBER(N1205),N(N1205)&gt;0),N(N1205),0)</f>
        <v>0.0</v>
      </c>
      <c r="Z1205" s="67">
        <f>IF(AND(ISNUMBER(P1205),N(P1205)&gt;0),N(P1205),0)</f>
        <v>0.0</v>
      </c>
    </row>
    <row r="1206">
      <c r="A1206" s="79" t="str">
        <f>IF(COUNTA(B1206:C1206,E1206:G1206,I1206)=0,"","BI-"&amp;RIGHT("0000"&amp;(ROW()-5),4))</f>
        <v/>
      </c>
      <c r="B1206" s="72" t="n"/>
      <c r="C1206" s="66" t="n"/>
      <c r="D1206" s="67" t="str">
        <f>IF(C1206="","",IFERROR(INDEX(eq_des,MATCH(C1206,eq_code,0))&amp;"","Équipement inconnu"))</f>
        <v/>
      </c>
      <c r="E1206" s="68" t="n"/>
      <c r="F1206" s="68" t="n"/>
      <c r="G1206" s="66" t="n"/>
      <c r="H1206" s="66" t="n"/>
      <c r="I1206" s="68" t="n"/>
      <c r="J1206" s="73" t="n"/>
      <c r="K1206" s="71" t="n"/>
      <c r="L1206" s="71" t="n"/>
      <c r="M1206" s="66" t="n"/>
      <c r="N1206" s="80" t="n"/>
      <c r="O1206" s="81" t="str">
        <f>IF(A1206="","",ROUND(V1206*IFERROR(N(INDEX(tech_rate,MATCH(M1206,tech_name,0))),0),2))</f>
        <v/>
      </c>
      <c r="P1206" s="80" t="n"/>
      <c r="Q1206" s="81" t="str">
        <f>IF(A1206="","",ROUND(Y1206+O1206+Z1206,2))</f>
        <v/>
      </c>
      <c r="R1206" s="79" t="str">
        <f>IF(A1206="","",IF(S1206=0,"Date manquante ou invalide",IF(C1206="","Équipement manquant",IF(ISNA(MATCH(C1206,eq_code,0)),"Équipement inconnu",IF(E1206="","Type manquant",IF(AND(E1206&lt;&gt;"Préventif",E1206&lt;&gt;"Correctif",E1206&lt;&gt;"Amélioratif"),"Type inconnu",IF(I1206="","Statut manquant",IF(AND(I1206&lt;&gt;"Terminée",I1206&lt;&gt;"En cours",I1206&lt;&gt;"À faire",I1206&lt;&gt;"Annulée"),"Statut inconnu",IF(AND(E1206="Préventif",F1206=""),"Plan manquant (préventif)",IF(AND(F1206&lt;&gt;"",ISNA(MATCH(F1206,pl_num,0))),"Plan inconnu",IF(AND(F1206&lt;&gt;"",IFERROR(INDEX(pl_eq,MATCH(F1206,pl_num,0))&amp;"",C1206)&lt;&gt;C1206),"Plan d'un autre équipement",IF(AND(J1206&lt;&gt;"",OR(NOT(ISNUMBER(J1206)),N(J1206)&lt;0)),"Compteur invalide",IF(OR(AND(K1206&lt;&gt;"",OR(NOT(ISNUMBER(K1206)),N(K1206)&lt;0)),AND(L1206&lt;&gt;"",OR(NOT(ISNUMBER(L1206)),N(L1206)&lt;0))),"Durée invalide",IF(OR(AND(N1206&lt;&gt;"",OR(NOT(ISNUMBER(N1206)),N(N1206)&lt;0)),AND(P1206&lt;&gt;"",OR(NOT(ISNUMBER(P1206)),N(P1206)&lt;0))),"Coût invalide",IF(AND(M1206&lt;&gt;"",ISNA(MATCH(M1206,tech_name,0))),"Technicien inconnu",IF(AND(I1206="Terminée",S1206&gt;p_today),"Terminée à une date future",IF(AND(I1206="Terminée",V1206=0),"Durée d'intervention manquante",IF(AND(I1206="Terminée",E1206="Préventif",T1206=0,OR(IFERROR(INDEX(pl_trig,MATCH(F1206,pl_num,0))&amp;"","")="Compteur",IFERROR(INDEX(pl_trig,MATCH(F1206,pl_num,0))&amp;"","")="Au premier des deux")),"Compteur manquant (plan au compteur)","OK"))))))))))))))))))</f>
        <v/>
      </c>
      <c r="S1206" s="67">
        <f>IF(AND(ISNUMBER(B1206),N(B1206)&gt;0),INT(B1206),0)</f>
        <v>0.0</v>
      </c>
      <c r="T1206" s="67">
        <f>IF(AND(ISNUMBER(J1206),N(J1206)&gt;=0),N(J1206),0)</f>
        <v>0.0</v>
      </c>
      <c r="U1206" s="67">
        <f>IF(AND(ISNUMBER(K1206),N(K1206)&gt;0),N(K1206),0)</f>
        <v>0.0</v>
      </c>
      <c r="V1206" s="67">
        <f>IF(AND(ISNUMBER(L1206),N(L1206)&gt;0),N(L1206),0)</f>
        <v>0.0</v>
      </c>
      <c r="W1206" s="67">
        <f>IF(AND(I1206="Terminée",S1206&gt;0,C1206&lt;&gt;"",ISNUMBER(MATCH(C1206,eq_code,0))),1,0)</f>
        <v>0.0</v>
      </c>
      <c r="X1206" s="67">
        <f>IF(AND(W1206=1,E1206="Préventif"),1,0)</f>
        <v>0.0</v>
      </c>
      <c r="Y1206" s="67">
        <f>IF(AND(ISNUMBER(N1206),N(N1206)&gt;0),N(N1206),0)</f>
        <v>0.0</v>
      </c>
      <c r="Z1206" s="67">
        <f>IF(AND(ISNUMBER(P1206),N(P1206)&gt;0),N(P1206),0)</f>
        <v>0.0</v>
      </c>
    </row>
    <row r="1207">
      <c r="A1207" s="79" t="str">
        <f>IF(COUNTA(B1207:C1207,E1207:G1207,I1207)=0,"","BI-"&amp;RIGHT("0000"&amp;(ROW()-5),4))</f>
        <v/>
      </c>
      <c r="B1207" s="72" t="n"/>
      <c r="C1207" s="66" t="n"/>
      <c r="D1207" s="67" t="str">
        <f>IF(C1207="","",IFERROR(INDEX(eq_des,MATCH(C1207,eq_code,0))&amp;"","Équipement inconnu"))</f>
        <v/>
      </c>
      <c r="E1207" s="68" t="n"/>
      <c r="F1207" s="68" t="n"/>
      <c r="G1207" s="66" t="n"/>
      <c r="H1207" s="66" t="n"/>
      <c r="I1207" s="68" t="n"/>
      <c r="J1207" s="73" t="n"/>
      <c r="K1207" s="71" t="n"/>
      <c r="L1207" s="71" t="n"/>
      <c r="M1207" s="66" t="n"/>
      <c r="N1207" s="80" t="n"/>
      <c r="O1207" s="81" t="str">
        <f>IF(A1207="","",ROUND(V1207*IFERROR(N(INDEX(tech_rate,MATCH(M1207,tech_name,0))),0),2))</f>
        <v/>
      </c>
      <c r="P1207" s="80" t="n"/>
      <c r="Q1207" s="81" t="str">
        <f>IF(A1207="","",ROUND(Y1207+O1207+Z1207,2))</f>
        <v/>
      </c>
      <c r="R1207" s="79" t="str">
        <f>IF(A1207="","",IF(S1207=0,"Date manquante ou invalide",IF(C1207="","Équipement manquant",IF(ISNA(MATCH(C1207,eq_code,0)),"Équipement inconnu",IF(E1207="","Type manquant",IF(AND(E1207&lt;&gt;"Préventif",E1207&lt;&gt;"Correctif",E1207&lt;&gt;"Amélioratif"),"Type inconnu",IF(I1207="","Statut manquant",IF(AND(I1207&lt;&gt;"Terminée",I1207&lt;&gt;"En cours",I1207&lt;&gt;"À faire",I1207&lt;&gt;"Annulée"),"Statut inconnu",IF(AND(E1207="Préventif",F1207=""),"Plan manquant (préventif)",IF(AND(F1207&lt;&gt;"",ISNA(MATCH(F1207,pl_num,0))),"Plan inconnu",IF(AND(F1207&lt;&gt;"",IFERROR(INDEX(pl_eq,MATCH(F1207,pl_num,0))&amp;"",C1207)&lt;&gt;C1207),"Plan d'un autre équipement",IF(AND(J1207&lt;&gt;"",OR(NOT(ISNUMBER(J1207)),N(J1207)&lt;0)),"Compteur invalide",IF(OR(AND(K1207&lt;&gt;"",OR(NOT(ISNUMBER(K1207)),N(K1207)&lt;0)),AND(L1207&lt;&gt;"",OR(NOT(ISNUMBER(L1207)),N(L1207)&lt;0))),"Durée invalide",IF(OR(AND(N1207&lt;&gt;"",OR(NOT(ISNUMBER(N1207)),N(N1207)&lt;0)),AND(P1207&lt;&gt;"",OR(NOT(ISNUMBER(P1207)),N(P1207)&lt;0))),"Coût invalide",IF(AND(M1207&lt;&gt;"",ISNA(MATCH(M1207,tech_name,0))),"Technicien inconnu",IF(AND(I1207="Terminée",S1207&gt;p_today),"Terminée à une date future",IF(AND(I1207="Terminée",V1207=0),"Durée d'intervention manquante",IF(AND(I1207="Terminée",E1207="Préventif",T1207=0,OR(IFERROR(INDEX(pl_trig,MATCH(F1207,pl_num,0))&amp;"","")="Compteur",IFERROR(INDEX(pl_trig,MATCH(F1207,pl_num,0))&amp;"","")="Au premier des deux")),"Compteur manquant (plan au compteur)","OK"))))))))))))))))))</f>
        <v/>
      </c>
      <c r="S1207" s="67">
        <f>IF(AND(ISNUMBER(B1207),N(B1207)&gt;0),INT(B1207),0)</f>
        <v>0.0</v>
      </c>
      <c r="T1207" s="67">
        <f>IF(AND(ISNUMBER(J1207),N(J1207)&gt;=0),N(J1207),0)</f>
        <v>0.0</v>
      </c>
      <c r="U1207" s="67">
        <f>IF(AND(ISNUMBER(K1207),N(K1207)&gt;0),N(K1207),0)</f>
        <v>0.0</v>
      </c>
      <c r="V1207" s="67">
        <f>IF(AND(ISNUMBER(L1207),N(L1207)&gt;0),N(L1207),0)</f>
        <v>0.0</v>
      </c>
      <c r="W1207" s="67">
        <f>IF(AND(I1207="Terminée",S1207&gt;0,C1207&lt;&gt;"",ISNUMBER(MATCH(C1207,eq_code,0))),1,0)</f>
        <v>0.0</v>
      </c>
      <c r="X1207" s="67">
        <f>IF(AND(W1207=1,E1207="Préventif"),1,0)</f>
        <v>0.0</v>
      </c>
      <c r="Y1207" s="67">
        <f>IF(AND(ISNUMBER(N1207),N(N1207)&gt;0),N(N1207),0)</f>
        <v>0.0</v>
      </c>
      <c r="Z1207" s="67">
        <f>IF(AND(ISNUMBER(P1207),N(P1207)&gt;0),N(P1207),0)</f>
        <v>0.0</v>
      </c>
    </row>
    <row r="1208">
      <c r="A1208" s="79" t="str">
        <f>IF(COUNTA(B1208:C1208,E1208:G1208,I1208)=0,"","BI-"&amp;RIGHT("0000"&amp;(ROW()-5),4))</f>
        <v/>
      </c>
      <c r="B1208" s="72" t="n"/>
      <c r="C1208" s="66" t="n"/>
      <c r="D1208" s="67" t="str">
        <f>IF(C1208="","",IFERROR(INDEX(eq_des,MATCH(C1208,eq_code,0))&amp;"","Équipement inconnu"))</f>
        <v/>
      </c>
      <c r="E1208" s="68" t="n"/>
      <c r="F1208" s="68" t="n"/>
      <c r="G1208" s="66" t="n"/>
      <c r="H1208" s="66" t="n"/>
      <c r="I1208" s="68" t="n"/>
      <c r="J1208" s="73" t="n"/>
      <c r="K1208" s="71" t="n"/>
      <c r="L1208" s="71" t="n"/>
      <c r="M1208" s="66" t="n"/>
      <c r="N1208" s="80" t="n"/>
      <c r="O1208" s="81" t="str">
        <f>IF(A1208="","",ROUND(V1208*IFERROR(N(INDEX(tech_rate,MATCH(M1208,tech_name,0))),0),2))</f>
        <v/>
      </c>
      <c r="P1208" s="80" t="n"/>
      <c r="Q1208" s="81" t="str">
        <f>IF(A1208="","",ROUND(Y1208+O1208+Z1208,2))</f>
        <v/>
      </c>
      <c r="R1208" s="79" t="str">
        <f>IF(A1208="","",IF(S1208=0,"Date manquante ou invalide",IF(C1208="","Équipement manquant",IF(ISNA(MATCH(C1208,eq_code,0)),"Équipement inconnu",IF(E1208="","Type manquant",IF(AND(E1208&lt;&gt;"Préventif",E1208&lt;&gt;"Correctif",E1208&lt;&gt;"Amélioratif"),"Type inconnu",IF(I1208="","Statut manquant",IF(AND(I1208&lt;&gt;"Terminée",I1208&lt;&gt;"En cours",I1208&lt;&gt;"À faire",I1208&lt;&gt;"Annulée"),"Statut inconnu",IF(AND(E1208="Préventif",F1208=""),"Plan manquant (préventif)",IF(AND(F1208&lt;&gt;"",ISNA(MATCH(F1208,pl_num,0))),"Plan inconnu",IF(AND(F1208&lt;&gt;"",IFERROR(INDEX(pl_eq,MATCH(F1208,pl_num,0))&amp;"",C1208)&lt;&gt;C1208),"Plan d'un autre équipement",IF(AND(J1208&lt;&gt;"",OR(NOT(ISNUMBER(J1208)),N(J1208)&lt;0)),"Compteur invalide",IF(OR(AND(K1208&lt;&gt;"",OR(NOT(ISNUMBER(K1208)),N(K1208)&lt;0)),AND(L1208&lt;&gt;"",OR(NOT(ISNUMBER(L1208)),N(L1208)&lt;0))),"Durée invalide",IF(OR(AND(N1208&lt;&gt;"",OR(NOT(ISNUMBER(N1208)),N(N1208)&lt;0)),AND(P1208&lt;&gt;"",OR(NOT(ISNUMBER(P1208)),N(P1208)&lt;0))),"Coût invalide",IF(AND(M1208&lt;&gt;"",ISNA(MATCH(M1208,tech_name,0))),"Technicien inconnu",IF(AND(I1208="Terminée",S1208&gt;p_today),"Terminée à une date future",IF(AND(I1208="Terminée",V1208=0),"Durée d'intervention manquante",IF(AND(I1208="Terminée",E1208="Préventif",T1208=0,OR(IFERROR(INDEX(pl_trig,MATCH(F1208,pl_num,0))&amp;"","")="Compteur",IFERROR(INDEX(pl_trig,MATCH(F1208,pl_num,0))&amp;"","")="Au premier des deux")),"Compteur manquant (plan au compteur)","OK"))))))))))))))))))</f>
        <v/>
      </c>
      <c r="S1208" s="67">
        <f>IF(AND(ISNUMBER(B1208),N(B1208)&gt;0),INT(B1208),0)</f>
        <v>0.0</v>
      </c>
      <c r="T1208" s="67">
        <f>IF(AND(ISNUMBER(J1208),N(J1208)&gt;=0),N(J1208),0)</f>
        <v>0.0</v>
      </c>
      <c r="U1208" s="67">
        <f>IF(AND(ISNUMBER(K1208),N(K1208)&gt;0),N(K1208),0)</f>
        <v>0.0</v>
      </c>
      <c r="V1208" s="67">
        <f>IF(AND(ISNUMBER(L1208),N(L1208)&gt;0),N(L1208),0)</f>
        <v>0.0</v>
      </c>
      <c r="W1208" s="67">
        <f>IF(AND(I1208="Terminée",S1208&gt;0,C1208&lt;&gt;"",ISNUMBER(MATCH(C1208,eq_code,0))),1,0)</f>
        <v>0.0</v>
      </c>
      <c r="X1208" s="67">
        <f>IF(AND(W1208=1,E1208="Préventif"),1,0)</f>
        <v>0.0</v>
      </c>
      <c r="Y1208" s="67">
        <f>IF(AND(ISNUMBER(N1208),N(N1208)&gt;0),N(N1208),0)</f>
        <v>0.0</v>
      </c>
      <c r="Z1208" s="67">
        <f>IF(AND(ISNUMBER(P1208),N(P1208)&gt;0),N(P1208),0)</f>
        <v>0.0</v>
      </c>
    </row>
    <row r="1209">
      <c r="A1209" s="79" t="str">
        <f>IF(COUNTA(B1209:C1209,E1209:G1209,I1209)=0,"","BI-"&amp;RIGHT("0000"&amp;(ROW()-5),4))</f>
        <v/>
      </c>
      <c r="B1209" s="72" t="n"/>
      <c r="C1209" s="66" t="n"/>
      <c r="D1209" s="67" t="str">
        <f>IF(C1209="","",IFERROR(INDEX(eq_des,MATCH(C1209,eq_code,0))&amp;"","Équipement inconnu"))</f>
        <v/>
      </c>
      <c r="E1209" s="68" t="n"/>
      <c r="F1209" s="68" t="n"/>
      <c r="G1209" s="66" t="n"/>
      <c r="H1209" s="66" t="n"/>
      <c r="I1209" s="68" t="n"/>
      <c r="J1209" s="73" t="n"/>
      <c r="K1209" s="71" t="n"/>
      <c r="L1209" s="71" t="n"/>
      <c r="M1209" s="66" t="n"/>
      <c r="N1209" s="80" t="n"/>
      <c r="O1209" s="81" t="str">
        <f>IF(A1209="","",ROUND(V1209*IFERROR(N(INDEX(tech_rate,MATCH(M1209,tech_name,0))),0),2))</f>
        <v/>
      </c>
      <c r="P1209" s="80" t="n"/>
      <c r="Q1209" s="81" t="str">
        <f>IF(A1209="","",ROUND(Y1209+O1209+Z1209,2))</f>
        <v/>
      </c>
      <c r="R1209" s="79" t="str">
        <f>IF(A1209="","",IF(S1209=0,"Date manquante ou invalide",IF(C1209="","Équipement manquant",IF(ISNA(MATCH(C1209,eq_code,0)),"Équipement inconnu",IF(E1209="","Type manquant",IF(AND(E1209&lt;&gt;"Préventif",E1209&lt;&gt;"Correctif",E1209&lt;&gt;"Amélioratif"),"Type inconnu",IF(I1209="","Statut manquant",IF(AND(I1209&lt;&gt;"Terminée",I1209&lt;&gt;"En cours",I1209&lt;&gt;"À faire",I1209&lt;&gt;"Annulée"),"Statut inconnu",IF(AND(E1209="Préventif",F1209=""),"Plan manquant (préventif)",IF(AND(F1209&lt;&gt;"",ISNA(MATCH(F1209,pl_num,0))),"Plan inconnu",IF(AND(F1209&lt;&gt;"",IFERROR(INDEX(pl_eq,MATCH(F1209,pl_num,0))&amp;"",C1209)&lt;&gt;C1209),"Plan d'un autre équipement",IF(AND(J1209&lt;&gt;"",OR(NOT(ISNUMBER(J1209)),N(J1209)&lt;0)),"Compteur invalide",IF(OR(AND(K1209&lt;&gt;"",OR(NOT(ISNUMBER(K1209)),N(K1209)&lt;0)),AND(L1209&lt;&gt;"",OR(NOT(ISNUMBER(L1209)),N(L1209)&lt;0))),"Durée invalide",IF(OR(AND(N1209&lt;&gt;"",OR(NOT(ISNUMBER(N1209)),N(N1209)&lt;0)),AND(P1209&lt;&gt;"",OR(NOT(ISNUMBER(P1209)),N(P1209)&lt;0))),"Coût invalide",IF(AND(M1209&lt;&gt;"",ISNA(MATCH(M1209,tech_name,0))),"Technicien inconnu",IF(AND(I1209="Terminée",S1209&gt;p_today),"Terminée à une date future",IF(AND(I1209="Terminée",V1209=0),"Durée d'intervention manquante",IF(AND(I1209="Terminée",E1209="Préventif",T1209=0,OR(IFERROR(INDEX(pl_trig,MATCH(F1209,pl_num,0))&amp;"","")="Compteur",IFERROR(INDEX(pl_trig,MATCH(F1209,pl_num,0))&amp;"","")="Au premier des deux")),"Compteur manquant (plan au compteur)","OK"))))))))))))))))))</f>
        <v/>
      </c>
      <c r="S1209" s="67">
        <f>IF(AND(ISNUMBER(B1209),N(B1209)&gt;0),INT(B1209),0)</f>
        <v>0.0</v>
      </c>
      <c r="T1209" s="67">
        <f>IF(AND(ISNUMBER(J1209),N(J1209)&gt;=0),N(J1209),0)</f>
        <v>0.0</v>
      </c>
      <c r="U1209" s="67">
        <f>IF(AND(ISNUMBER(K1209),N(K1209)&gt;0),N(K1209),0)</f>
        <v>0.0</v>
      </c>
      <c r="V1209" s="67">
        <f>IF(AND(ISNUMBER(L1209),N(L1209)&gt;0),N(L1209),0)</f>
        <v>0.0</v>
      </c>
      <c r="W1209" s="67">
        <f>IF(AND(I1209="Terminée",S1209&gt;0,C1209&lt;&gt;"",ISNUMBER(MATCH(C1209,eq_code,0))),1,0)</f>
        <v>0.0</v>
      </c>
      <c r="X1209" s="67">
        <f>IF(AND(W1209=1,E1209="Préventif"),1,0)</f>
        <v>0.0</v>
      </c>
      <c r="Y1209" s="67">
        <f>IF(AND(ISNUMBER(N1209),N(N1209)&gt;0),N(N1209),0)</f>
        <v>0.0</v>
      </c>
      <c r="Z1209" s="67">
        <f>IF(AND(ISNUMBER(P1209),N(P1209)&gt;0),N(P1209),0)</f>
        <v>0.0</v>
      </c>
    </row>
    <row r="1210">
      <c r="A1210" s="79" t="str">
        <f>IF(COUNTA(B1210:C1210,E1210:G1210,I1210)=0,"","BI-"&amp;RIGHT("0000"&amp;(ROW()-5),4))</f>
        <v/>
      </c>
      <c r="B1210" s="72" t="n"/>
      <c r="C1210" s="66" t="n"/>
      <c r="D1210" s="67" t="str">
        <f>IF(C1210="","",IFERROR(INDEX(eq_des,MATCH(C1210,eq_code,0))&amp;"","Équipement inconnu"))</f>
        <v/>
      </c>
      <c r="E1210" s="68" t="n"/>
      <c r="F1210" s="68" t="n"/>
      <c r="G1210" s="66" t="n"/>
      <c r="H1210" s="66" t="n"/>
      <c r="I1210" s="68" t="n"/>
      <c r="J1210" s="73" t="n"/>
      <c r="K1210" s="71" t="n"/>
      <c r="L1210" s="71" t="n"/>
      <c r="M1210" s="66" t="n"/>
      <c r="N1210" s="80" t="n"/>
      <c r="O1210" s="81" t="str">
        <f>IF(A1210="","",ROUND(V1210*IFERROR(N(INDEX(tech_rate,MATCH(M1210,tech_name,0))),0),2))</f>
        <v/>
      </c>
      <c r="P1210" s="80" t="n"/>
      <c r="Q1210" s="81" t="str">
        <f>IF(A1210="","",ROUND(Y1210+O1210+Z1210,2))</f>
        <v/>
      </c>
      <c r="R1210" s="79" t="str">
        <f>IF(A1210="","",IF(S1210=0,"Date manquante ou invalide",IF(C1210="","Équipement manquant",IF(ISNA(MATCH(C1210,eq_code,0)),"Équipement inconnu",IF(E1210="","Type manquant",IF(AND(E1210&lt;&gt;"Préventif",E1210&lt;&gt;"Correctif",E1210&lt;&gt;"Amélioratif"),"Type inconnu",IF(I1210="","Statut manquant",IF(AND(I1210&lt;&gt;"Terminée",I1210&lt;&gt;"En cours",I1210&lt;&gt;"À faire",I1210&lt;&gt;"Annulée"),"Statut inconnu",IF(AND(E1210="Préventif",F1210=""),"Plan manquant (préventif)",IF(AND(F1210&lt;&gt;"",ISNA(MATCH(F1210,pl_num,0))),"Plan inconnu",IF(AND(F1210&lt;&gt;"",IFERROR(INDEX(pl_eq,MATCH(F1210,pl_num,0))&amp;"",C1210)&lt;&gt;C1210),"Plan d'un autre équipement",IF(AND(J1210&lt;&gt;"",OR(NOT(ISNUMBER(J1210)),N(J1210)&lt;0)),"Compteur invalide",IF(OR(AND(K1210&lt;&gt;"",OR(NOT(ISNUMBER(K1210)),N(K1210)&lt;0)),AND(L1210&lt;&gt;"",OR(NOT(ISNUMBER(L1210)),N(L1210)&lt;0))),"Durée invalide",IF(OR(AND(N1210&lt;&gt;"",OR(NOT(ISNUMBER(N1210)),N(N1210)&lt;0)),AND(P1210&lt;&gt;"",OR(NOT(ISNUMBER(P1210)),N(P1210)&lt;0))),"Coût invalide",IF(AND(M1210&lt;&gt;"",ISNA(MATCH(M1210,tech_name,0))),"Technicien inconnu",IF(AND(I1210="Terminée",S1210&gt;p_today),"Terminée à une date future",IF(AND(I1210="Terminée",V1210=0),"Durée d'intervention manquante",IF(AND(I1210="Terminée",E1210="Préventif",T1210=0,OR(IFERROR(INDEX(pl_trig,MATCH(F1210,pl_num,0))&amp;"","")="Compteur",IFERROR(INDEX(pl_trig,MATCH(F1210,pl_num,0))&amp;"","")="Au premier des deux")),"Compteur manquant (plan au compteur)","OK"))))))))))))))))))</f>
        <v/>
      </c>
      <c r="S1210" s="67">
        <f>IF(AND(ISNUMBER(B1210),N(B1210)&gt;0),INT(B1210),0)</f>
        <v>0.0</v>
      </c>
      <c r="T1210" s="67">
        <f>IF(AND(ISNUMBER(J1210),N(J1210)&gt;=0),N(J1210),0)</f>
        <v>0.0</v>
      </c>
      <c r="U1210" s="67">
        <f>IF(AND(ISNUMBER(K1210),N(K1210)&gt;0),N(K1210),0)</f>
        <v>0.0</v>
      </c>
      <c r="V1210" s="67">
        <f>IF(AND(ISNUMBER(L1210),N(L1210)&gt;0),N(L1210),0)</f>
        <v>0.0</v>
      </c>
      <c r="W1210" s="67">
        <f>IF(AND(I1210="Terminée",S1210&gt;0,C1210&lt;&gt;"",ISNUMBER(MATCH(C1210,eq_code,0))),1,0)</f>
        <v>0.0</v>
      </c>
      <c r="X1210" s="67">
        <f>IF(AND(W1210=1,E1210="Préventif"),1,0)</f>
        <v>0.0</v>
      </c>
      <c r="Y1210" s="67">
        <f>IF(AND(ISNUMBER(N1210),N(N1210)&gt;0),N(N1210),0)</f>
        <v>0.0</v>
      </c>
      <c r="Z1210" s="67">
        <f>IF(AND(ISNUMBER(P1210),N(P1210)&gt;0),N(P1210),0)</f>
        <v>0.0</v>
      </c>
    </row>
    <row r="1211">
      <c r="A1211" s="79" t="str">
        <f>IF(COUNTA(B1211:C1211,E1211:G1211,I1211)=0,"","BI-"&amp;RIGHT("0000"&amp;(ROW()-5),4))</f>
        <v/>
      </c>
      <c r="B1211" s="72" t="n"/>
      <c r="C1211" s="66" t="n"/>
      <c r="D1211" s="67" t="str">
        <f>IF(C1211="","",IFERROR(INDEX(eq_des,MATCH(C1211,eq_code,0))&amp;"","Équipement inconnu"))</f>
        <v/>
      </c>
      <c r="E1211" s="68" t="n"/>
      <c r="F1211" s="68" t="n"/>
      <c r="G1211" s="66" t="n"/>
      <c r="H1211" s="66" t="n"/>
      <c r="I1211" s="68" t="n"/>
      <c r="J1211" s="73" t="n"/>
      <c r="K1211" s="71" t="n"/>
      <c r="L1211" s="71" t="n"/>
      <c r="M1211" s="66" t="n"/>
      <c r="N1211" s="80" t="n"/>
      <c r="O1211" s="81" t="str">
        <f>IF(A1211="","",ROUND(V1211*IFERROR(N(INDEX(tech_rate,MATCH(M1211,tech_name,0))),0),2))</f>
        <v/>
      </c>
      <c r="P1211" s="80" t="n"/>
      <c r="Q1211" s="81" t="str">
        <f>IF(A1211="","",ROUND(Y1211+O1211+Z1211,2))</f>
        <v/>
      </c>
      <c r="R1211" s="79" t="str">
        <f>IF(A1211="","",IF(S1211=0,"Date manquante ou invalide",IF(C1211="","Équipement manquant",IF(ISNA(MATCH(C1211,eq_code,0)),"Équipement inconnu",IF(E1211="","Type manquant",IF(AND(E1211&lt;&gt;"Préventif",E1211&lt;&gt;"Correctif",E1211&lt;&gt;"Amélioratif"),"Type inconnu",IF(I1211="","Statut manquant",IF(AND(I1211&lt;&gt;"Terminée",I1211&lt;&gt;"En cours",I1211&lt;&gt;"À faire",I1211&lt;&gt;"Annulée"),"Statut inconnu",IF(AND(E1211="Préventif",F1211=""),"Plan manquant (préventif)",IF(AND(F1211&lt;&gt;"",ISNA(MATCH(F1211,pl_num,0))),"Plan inconnu",IF(AND(F1211&lt;&gt;"",IFERROR(INDEX(pl_eq,MATCH(F1211,pl_num,0))&amp;"",C1211)&lt;&gt;C1211),"Plan d'un autre équipement",IF(AND(J1211&lt;&gt;"",OR(NOT(ISNUMBER(J1211)),N(J1211)&lt;0)),"Compteur invalide",IF(OR(AND(K1211&lt;&gt;"",OR(NOT(ISNUMBER(K1211)),N(K1211)&lt;0)),AND(L1211&lt;&gt;"",OR(NOT(ISNUMBER(L1211)),N(L1211)&lt;0))),"Durée invalide",IF(OR(AND(N1211&lt;&gt;"",OR(NOT(ISNUMBER(N1211)),N(N1211)&lt;0)),AND(P1211&lt;&gt;"",OR(NOT(ISNUMBER(P1211)),N(P1211)&lt;0))),"Coût invalide",IF(AND(M1211&lt;&gt;"",ISNA(MATCH(M1211,tech_name,0))),"Technicien inconnu",IF(AND(I1211="Terminée",S1211&gt;p_today),"Terminée à une date future",IF(AND(I1211="Terminée",V1211=0),"Durée d'intervention manquante",IF(AND(I1211="Terminée",E1211="Préventif",T1211=0,OR(IFERROR(INDEX(pl_trig,MATCH(F1211,pl_num,0))&amp;"","")="Compteur",IFERROR(INDEX(pl_trig,MATCH(F1211,pl_num,0))&amp;"","")="Au premier des deux")),"Compteur manquant (plan au compteur)","OK"))))))))))))))))))</f>
        <v/>
      </c>
      <c r="S1211" s="67">
        <f>IF(AND(ISNUMBER(B1211),N(B1211)&gt;0),INT(B1211),0)</f>
        <v>0.0</v>
      </c>
      <c r="T1211" s="67">
        <f>IF(AND(ISNUMBER(J1211),N(J1211)&gt;=0),N(J1211),0)</f>
        <v>0.0</v>
      </c>
      <c r="U1211" s="67">
        <f>IF(AND(ISNUMBER(K1211),N(K1211)&gt;0),N(K1211),0)</f>
        <v>0.0</v>
      </c>
      <c r="V1211" s="67">
        <f>IF(AND(ISNUMBER(L1211),N(L1211)&gt;0),N(L1211),0)</f>
        <v>0.0</v>
      </c>
      <c r="W1211" s="67">
        <f>IF(AND(I1211="Terminée",S1211&gt;0,C1211&lt;&gt;"",ISNUMBER(MATCH(C1211,eq_code,0))),1,0)</f>
        <v>0.0</v>
      </c>
      <c r="X1211" s="67">
        <f>IF(AND(W1211=1,E1211="Préventif"),1,0)</f>
        <v>0.0</v>
      </c>
      <c r="Y1211" s="67">
        <f>IF(AND(ISNUMBER(N1211),N(N1211)&gt;0),N(N1211),0)</f>
        <v>0.0</v>
      </c>
      <c r="Z1211" s="67">
        <f>IF(AND(ISNUMBER(P1211),N(P1211)&gt;0),N(P1211),0)</f>
        <v>0.0</v>
      </c>
    </row>
    <row r="1212">
      <c r="A1212" s="79" t="str">
        <f>IF(COUNTA(B1212:C1212,E1212:G1212,I1212)=0,"","BI-"&amp;RIGHT("0000"&amp;(ROW()-5),4))</f>
        <v/>
      </c>
      <c r="B1212" s="72" t="n"/>
      <c r="C1212" s="66" t="n"/>
      <c r="D1212" s="67" t="str">
        <f>IF(C1212="","",IFERROR(INDEX(eq_des,MATCH(C1212,eq_code,0))&amp;"","Équipement inconnu"))</f>
        <v/>
      </c>
      <c r="E1212" s="68" t="n"/>
      <c r="F1212" s="68" t="n"/>
      <c r="G1212" s="66" t="n"/>
      <c r="H1212" s="66" t="n"/>
      <c r="I1212" s="68" t="n"/>
      <c r="J1212" s="73" t="n"/>
      <c r="K1212" s="71" t="n"/>
      <c r="L1212" s="71" t="n"/>
      <c r="M1212" s="66" t="n"/>
      <c r="N1212" s="80" t="n"/>
      <c r="O1212" s="81" t="str">
        <f>IF(A1212="","",ROUND(V1212*IFERROR(N(INDEX(tech_rate,MATCH(M1212,tech_name,0))),0),2))</f>
        <v/>
      </c>
      <c r="P1212" s="80" t="n"/>
      <c r="Q1212" s="81" t="str">
        <f>IF(A1212="","",ROUND(Y1212+O1212+Z1212,2))</f>
        <v/>
      </c>
      <c r="R1212" s="79" t="str">
        <f>IF(A1212="","",IF(S1212=0,"Date manquante ou invalide",IF(C1212="","Équipement manquant",IF(ISNA(MATCH(C1212,eq_code,0)),"Équipement inconnu",IF(E1212="","Type manquant",IF(AND(E1212&lt;&gt;"Préventif",E1212&lt;&gt;"Correctif",E1212&lt;&gt;"Amélioratif"),"Type inconnu",IF(I1212="","Statut manquant",IF(AND(I1212&lt;&gt;"Terminée",I1212&lt;&gt;"En cours",I1212&lt;&gt;"À faire",I1212&lt;&gt;"Annulée"),"Statut inconnu",IF(AND(E1212="Préventif",F1212=""),"Plan manquant (préventif)",IF(AND(F1212&lt;&gt;"",ISNA(MATCH(F1212,pl_num,0))),"Plan inconnu",IF(AND(F1212&lt;&gt;"",IFERROR(INDEX(pl_eq,MATCH(F1212,pl_num,0))&amp;"",C1212)&lt;&gt;C1212),"Plan d'un autre équipement",IF(AND(J1212&lt;&gt;"",OR(NOT(ISNUMBER(J1212)),N(J1212)&lt;0)),"Compteur invalide",IF(OR(AND(K1212&lt;&gt;"",OR(NOT(ISNUMBER(K1212)),N(K1212)&lt;0)),AND(L1212&lt;&gt;"",OR(NOT(ISNUMBER(L1212)),N(L1212)&lt;0))),"Durée invalide",IF(OR(AND(N1212&lt;&gt;"",OR(NOT(ISNUMBER(N1212)),N(N1212)&lt;0)),AND(P1212&lt;&gt;"",OR(NOT(ISNUMBER(P1212)),N(P1212)&lt;0))),"Coût invalide",IF(AND(M1212&lt;&gt;"",ISNA(MATCH(M1212,tech_name,0))),"Technicien inconnu",IF(AND(I1212="Terminée",S1212&gt;p_today),"Terminée à une date future",IF(AND(I1212="Terminée",V1212=0),"Durée d'intervention manquante",IF(AND(I1212="Terminée",E1212="Préventif",T1212=0,OR(IFERROR(INDEX(pl_trig,MATCH(F1212,pl_num,0))&amp;"","")="Compteur",IFERROR(INDEX(pl_trig,MATCH(F1212,pl_num,0))&amp;"","")="Au premier des deux")),"Compteur manquant (plan au compteur)","OK"))))))))))))))))))</f>
        <v/>
      </c>
      <c r="S1212" s="67">
        <f>IF(AND(ISNUMBER(B1212),N(B1212)&gt;0),INT(B1212),0)</f>
        <v>0.0</v>
      </c>
      <c r="T1212" s="67">
        <f>IF(AND(ISNUMBER(J1212),N(J1212)&gt;=0),N(J1212),0)</f>
        <v>0.0</v>
      </c>
      <c r="U1212" s="67">
        <f>IF(AND(ISNUMBER(K1212),N(K1212)&gt;0),N(K1212),0)</f>
        <v>0.0</v>
      </c>
      <c r="V1212" s="67">
        <f>IF(AND(ISNUMBER(L1212),N(L1212)&gt;0),N(L1212),0)</f>
        <v>0.0</v>
      </c>
      <c r="W1212" s="67">
        <f>IF(AND(I1212="Terminée",S1212&gt;0,C1212&lt;&gt;"",ISNUMBER(MATCH(C1212,eq_code,0))),1,0)</f>
        <v>0.0</v>
      </c>
      <c r="X1212" s="67">
        <f>IF(AND(W1212=1,E1212="Préventif"),1,0)</f>
        <v>0.0</v>
      </c>
      <c r="Y1212" s="67">
        <f>IF(AND(ISNUMBER(N1212),N(N1212)&gt;0),N(N1212),0)</f>
        <v>0.0</v>
      </c>
      <c r="Z1212" s="67">
        <f>IF(AND(ISNUMBER(P1212),N(P1212)&gt;0),N(P1212),0)</f>
        <v>0.0</v>
      </c>
    </row>
    <row r="1213">
      <c r="A1213" s="79" t="str">
        <f>IF(COUNTA(B1213:C1213,E1213:G1213,I1213)=0,"","BI-"&amp;RIGHT("0000"&amp;(ROW()-5),4))</f>
        <v/>
      </c>
      <c r="B1213" s="72" t="n"/>
      <c r="C1213" s="66" t="n"/>
      <c r="D1213" s="67" t="str">
        <f>IF(C1213="","",IFERROR(INDEX(eq_des,MATCH(C1213,eq_code,0))&amp;"","Équipement inconnu"))</f>
        <v/>
      </c>
      <c r="E1213" s="68" t="n"/>
      <c r="F1213" s="68" t="n"/>
      <c r="G1213" s="66" t="n"/>
      <c r="H1213" s="66" t="n"/>
      <c r="I1213" s="68" t="n"/>
      <c r="J1213" s="73" t="n"/>
      <c r="K1213" s="71" t="n"/>
      <c r="L1213" s="71" t="n"/>
      <c r="M1213" s="66" t="n"/>
      <c r="N1213" s="80" t="n"/>
      <c r="O1213" s="81" t="str">
        <f>IF(A1213="","",ROUND(V1213*IFERROR(N(INDEX(tech_rate,MATCH(M1213,tech_name,0))),0),2))</f>
        <v/>
      </c>
      <c r="P1213" s="80" t="n"/>
      <c r="Q1213" s="81" t="str">
        <f>IF(A1213="","",ROUND(Y1213+O1213+Z1213,2))</f>
        <v/>
      </c>
      <c r="R1213" s="79" t="str">
        <f>IF(A1213="","",IF(S1213=0,"Date manquante ou invalide",IF(C1213="","Équipement manquant",IF(ISNA(MATCH(C1213,eq_code,0)),"Équipement inconnu",IF(E1213="","Type manquant",IF(AND(E1213&lt;&gt;"Préventif",E1213&lt;&gt;"Correctif",E1213&lt;&gt;"Amélioratif"),"Type inconnu",IF(I1213="","Statut manquant",IF(AND(I1213&lt;&gt;"Terminée",I1213&lt;&gt;"En cours",I1213&lt;&gt;"À faire",I1213&lt;&gt;"Annulée"),"Statut inconnu",IF(AND(E1213="Préventif",F1213=""),"Plan manquant (préventif)",IF(AND(F1213&lt;&gt;"",ISNA(MATCH(F1213,pl_num,0))),"Plan inconnu",IF(AND(F1213&lt;&gt;"",IFERROR(INDEX(pl_eq,MATCH(F1213,pl_num,0))&amp;"",C1213)&lt;&gt;C1213),"Plan d'un autre équipement",IF(AND(J1213&lt;&gt;"",OR(NOT(ISNUMBER(J1213)),N(J1213)&lt;0)),"Compteur invalide",IF(OR(AND(K1213&lt;&gt;"",OR(NOT(ISNUMBER(K1213)),N(K1213)&lt;0)),AND(L1213&lt;&gt;"",OR(NOT(ISNUMBER(L1213)),N(L1213)&lt;0))),"Durée invalide",IF(OR(AND(N1213&lt;&gt;"",OR(NOT(ISNUMBER(N1213)),N(N1213)&lt;0)),AND(P1213&lt;&gt;"",OR(NOT(ISNUMBER(P1213)),N(P1213)&lt;0))),"Coût invalide",IF(AND(M1213&lt;&gt;"",ISNA(MATCH(M1213,tech_name,0))),"Technicien inconnu",IF(AND(I1213="Terminée",S1213&gt;p_today),"Terminée à une date future",IF(AND(I1213="Terminée",V1213=0),"Durée d'intervention manquante",IF(AND(I1213="Terminée",E1213="Préventif",T1213=0,OR(IFERROR(INDEX(pl_trig,MATCH(F1213,pl_num,0))&amp;"","")="Compteur",IFERROR(INDEX(pl_trig,MATCH(F1213,pl_num,0))&amp;"","")="Au premier des deux")),"Compteur manquant (plan au compteur)","OK"))))))))))))))))))</f>
        <v/>
      </c>
      <c r="S1213" s="67">
        <f>IF(AND(ISNUMBER(B1213),N(B1213)&gt;0),INT(B1213),0)</f>
        <v>0.0</v>
      </c>
      <c r="T1213" s="67">
        <f>IF(AND(ISNUMBER(J1213),N(J1213)&gt;=0),N(J1213),0)</f>
        <v>0.0</v>
      </c>
      <c r="U1213" s="67">
        <f>IF(AND(ISNUMBER(K1213),N(K1213)&gt;0),N(K1213),0)</f>
        <v>0.0</v>
      </c>
      <c r="V1213" s="67">
        <f>IF(AND(ISNUMBER(L1213),N(L1213)&gt;0),N(L1213),0)</f>
        <v>0.0</v>
      </c>
      <c r="W1213" s="67">
        <f>IF(AND(I1213="Terminée",S1213&gt;0,C1213&lt;&gt;"",ISNUMBER(MATCH(C1213,eq_code,0))),1,0)</f>
        <v>0.0</v>
      </c>
      <c r="X1213" s="67">
        <f>IF(AND(W1213=1,E1213="Préventif"),1,0)</f>
        <v>0.0</v>
      </c>
      <c r="Y1213" s="67">
        <f>IF(AND(ISNUMBER(N1213),N(N1213)&gt;0),N(N1213),0)</f>
        <v>0.0</v>
      </c>
      <c r="Z1213" s="67">
        <f>IF(AND(ISNUMBER(P1213),N(P1213)&gt;0),N(P1213),0)</f>
        <v>0.0</v>
      </c>
    </row>
    <row r="1214">
      <c r="A1214" s="79" t="str">
        <f>IF(COUNTA(B1214:C1214,E1214:G1214,I1214)=0,"","BI-"&amp;RIGHT("0000"&amp;(ROW()-5),4))</f>
        <v/>
      </c>
      <c r="B1214" s="72" t="n"/>
      <c r="C1214" s="66" t="n"/>
      <c r="D1214" s="67" t="str">
        <f>IF(C1214="","",IFERROR(INDEX(eq_des,MATCH(C1214,eq_code,0))&amp;"","Équipement inconnu"))</f>
        <v/>
      </c>
      <c r="E1214" s="68" t="n"/>
      <c r="F1214" s="68" t="n"/>
      <c r="G1214" s="66" t="n"/>
      <c r="H1214" s="66" t="n"/>
      <c r="I1214" s="68" t="n"/>
      <c r="J1214" s="73" t="n"/>
      <c r="K1214" s="71" t="n"/>
      <c r="L1214" s="71" t="n"/>
      <c r="M1214" s="66" t="n"/>
      <c r="N1214" s="80" t="n"/>
      <c r="O1214" s="81" t="str">
        <f>IF(A1214="","",ROUND(V1214*IFERROR(N(INDEX(tech_rate,MATCH(M1214,tech_name,0))),0),2))</f>
        <v/>
      </c>
      <c r="P1214" s="80" t="n"/>
      <c r="Q1214" s="81" t="str">
        <f>IF(A1214="","",ROUND(Y1214+O1214+Z1214,2))</f>
        <v/>
      </c>
      <c r="R1214" s="79" t="str">
        <f>IF(A1214="","",IF(S1214=0,"Date manquante ou invalide",IF(C1214="","Équipement manquant",IF(ISNA(MATCH(C1214,eq_code,0)),"Équipement inconnu",IF(E1214="","Type manquant",IF(AND(E1214&lt;&gt;"Préventif",E1214&lt;&gt;"Correctif",E1214&lt;&gt;"Amélioratif"),"Type inconnu",IF(I1214="","Statut manquant",IF(AND(I1214&lt;&gt;"Terminée",I1214&lt;&gt;"En cours",I1214&lt;&gt;"À faire",I1214&lt;&gt;"Annulée"),"Statut inconnu",IF(AND(E1214="Préventif",F1214=""),"Plan manquant (préventif)",IF(AND(F1214&lt;&gt;"",ISNA(MATCH(F1214,pl_num,0))),"Plan inconnu",IF(AND(F1214&lt;&gt;"",IFERROR(INDEX(pl_eq,MATCH(F1214,pl_num,0))&amp;"",C1214)&lt;&gt;C1214),"Plan d'un autre équipement",IF(AND(J1214&lt;&gt;"",OR(NOT(ISNUMBER(J1214)),N(J1214)&lt;0)),"Compteur invalide",IF(OR(AND(K1214&lt;&gt;"",OR(NOT(ISNUMBER(K1214)),N(K1214)&lt;0)),AND(L1214&lt;&gt;"",OR(NOT(ISNUMBER(L1214)),N(L1214)&lt;0))),"Durée invalide",IF(OR(AND(N1214&lt;&gt;"",OR(NOT(ISNUMBER(N1214)),N(N1214)&lt;0)),AND(P1214&lt;&gt;"",OR(NOT(ISNUMBER(P1214)),N(P1214)&lt;0))),"Coût invalide",IF(AND(M1214&lt;&gt;"",ISNA(MATCH(M1214,tech_name,0))),"Technicien inconnu",IF(AND(I1214="Terminée",S1214&gt;p_today),"Terminée à une date future",IF(AND(I1214="Terminée",V1214=0),"Durée d'intervention manquante",IF(AND(I1214="Terminée",E1214="Préventif",T1214=0,OR(IFERROR(INDEX(pl_trig,MATCH(F1214,pl_num,0))&amp;"","")="Compteur",IFERROR(INDEX(pl_trig,MATCH(F1214,pl_num,0))&amp;"","")="Au premier des deux")),"Compteur manquant (plan au compteur)","OK"))))))))))))))))))</f>
        <v/>
      </c>
      <c r="S1214" s="67">
        <f>IF(AND(ISNUMBER(B1214),N(B1214)&gt;0),INT(B1214),0)</f>
        <v>0.0</v>
      </c>
      <c r="T1214" s="67">
        <f>IF(AND(ISNUMBER(J1214),N(J1214)&gt;=0),N(J1214),0)</f>
        <v>0.0</v>
      </c>
      <c r="U1214" s="67">
        <f>IF(AND(ISNUMBER(K1214),N(K1214)&gt;0),N(K1214),0)</f>
        <v>0.0</v>
      </c>
      <c r="V1214" s="67">
        <f>IF(AND(ISNUMBER(L1214),N(L1214)&gt;0),N(L1214),0)</f>
        <v>0.0</v>
      </c>
      <c r="W1214" s="67">
        <f>IF(AND(I1214="Terminée",S1214&gt;0,C1214&lt;&gt;"",ISNUMBER(MATCH(C1214,eq_code,0))),1,0)</f>
        <v>0.0</v>
      </c>
      <c r="X1214" s="67">
        <f>IF(AND(W1214=1,E1214="Préventif"),1,0)</f>
        <v>0.0</v>
      </c>
      <c r="Y1214" s="67">
        <f>IF(AND(ISNUMBER(N1214),N(N1214)&gt;0),N(N1214),0)</f>
        <v>0.0</v>
      </c>
      <c r="Z1214" s="67">
        <f>IF(AND(ISNUMBER(P1214),N(P1214)&gt;0),N(P1214),0)</f>
        <v>0.0</v>
      </c>
    </row>
    <row r="1215">
      <c r="A1215" s="79" t="str">
        <f>IF(COUNTA(B1215:C1215,E1215:G1215,I1215)=0,"","BI-"&amp;RIGHT("0000"&amp;(ROW()-5),4))</f>
        <v/>
      </c>
      <c r="B1215" s="72" t="n"/>
      <c r="C1215" s="66" t="n"/>
      <c r="D1215" s="67" t="str">
        <f>IF(C1215="","",IFERROR(INDEX(eq_des,MATCH(C1215,eq_code,0))&amp;"","Équipement inconnu"))</f>
        <v/>
      </c>
      <c r="E1215" s="68" t="n"/>
      <c r="F1215" s="68" t="n"/>
      <c r="G1215" s="66" t="n"/>
      <c r="H1215" s="66" t="n"/>
      <c r="I1215" s="68" t="n"/>
      <c r="J1215" s="73" t="n"/>
      <c r="K1215" s="71" t="n"/>
      <c r="L1215" s="71" t="n"/>
      <c r="M1215" s="66" t="n"/>
      <c r="N1215" s="80" t="n"/>
      <c r="O1215" s="81" t="str">
        <f>IF(A1215="","",ROUND(V1215*IFERROR(N(INDEX(tech_rate,MATCH(M1215,tech_name,0))),0),2))</f>
        <v/>
      </c>
      <c r="P1215" s="80" t="n"/>
      <c r="Q1215" s="81" t="str">
        <f>IF(A1215="","",ROUND(Y1215+O1215+Z1215,2))</f>
        <v/>
      </c>
      <c r="R1215" s="79" t="str">
        <f>IF(A1215="","",IF(S1215=0,"Date manquante ou invalide",IF(C1215="","Équipement manquant",IF(ISNA(MATCH(C1215,eq_code,0)),"Équipement inconnu",IF(E1215="","Type manquant",IF(AND(E1215&lt;&gt;"Préventif",E1215&lt;&gt;"Correctif",E1215&lt;&gt;"Amélioratif"),"Type inconnu",IF(I1215="","Statut manquant",IF(AND(I1215&lt;&gt;"Terminée",I1215&lt;&gt;"En cours",I1215&lt;&gt;"À faire",I1215&lt;&gt;"Annulée"),"Statut inconnu",IF(AND(E1215="Préventif",F1215=""),"Plan manquant (préventif)",IF(AND(F1215&lt;&gt;"",ISNA(MATCH(F1215,pl_num,0))),"Plan inconnu",IF(AND(F1215&lt;&gt;"",IFERROR(INDEX(pl_eq,MATCH(F1215,pl_num,0))&amp;"",C1215)&lt;&gt;C1215),"Plan d'un autre équipement",IF(AND(J1215&lt;&gt;"",OR(NOT(ISNUMBER(J1215)),N(J1215)&lt;0)),"Compteur invalide",IF(OR(AND(K1215&lt;&gt;"",OR(NOT(ISNUMBER(K1215)),N(K1215)&lt;0)),AND(L1215&lt;&gt;"",OR(NOT(ISNUMBER(L1215)),N(L1215)&lt;0))),"Durée invalide",IF(OR(AND(N1215&lt;&gt;"",OR(NOT(ISNUMBER(N1215)),N(N1215)&lt;0)),AND(P1215&lt;&gt;"",OR(NOT(ISNUMBER(P1215)),N(P1215)&lt;0))),"Coût invalide",IF(AND(M1215&lt;&gt;"",ISNA(MATCH(M1215,tech_name,0))),"Technicien inconnu",IF(AND(I1215="Terminée",S1215&gt;p_today),"Terminée à une date future",IF(AND(I1215="Terminée",V1215=0),"Durée d'intervention manquante",IF(AND(I1215="Terminée",E1215="Préventif",T1215=0,OR(IFERROR(INDEX(pl_trig,MATCH(F1215,pl_num,0))&amp;"","")="Compteur",IFERROR(INDEX(pl_trig,MATCH(F1215,pl_num,0))&amp;"","")="Au premier des deux")),"Compteur manquant (plan au compteur)","OK"))))))))))))))))))</f>
        <v/>
      </c>
      <c r="S1215" s="67">
        <f>IF(AND(ISNUMBER(B1215),N(B1215)&gt;0),INT(B1215),0)</f>
        <v>0.0</v>
      </c>
      <c r="T1215" s="67">
        <f>IF(AND(ISNUMBER(J1215),N(J1215)&gt;=0),N(J1215),0)</f>
        <v>0.0</v>
      </c>
      <c r="U1215" s="67">
        <f>IF(AND(ISNUMBER(K1215),N(K1215)&gt;0),N(K1215),0)</f>
        <v>0.0</v>
      </c>
      <c r="V1215" s="67">
        <f>IF(AND(ISNUMBER(L1215),N(L1215)&gt;0),N(L1215),0)</f>
        <v>0.0</v>
      </c>
      <c r="W1215" s="67">
        <f>IF(AND(I1215="Terminée",S1215&gt;0,C1215&lt;&gt;"",ISNUMBER(MATCH(C1215,eq_code,0))),1,0)</f>
        <v>0.0</v>
      </c>
      <c r="X1215" s="67">
        <f>IF(AND(W1215=1,E1215="Préventif"),1,0)</f>
        <v>0.0</v>
      </c>
      <c r="Y1215" s="67">
        <f>IF(AND(ISNUMBER(N1215),N(N1215)&gt;0),N(N1215),0)</f>
        <v>0.0</v>
      </c>
      <c r="Z1215" s="67">
        <f>IF(AND(ISNUMBER(P1215),N(P1215)&gt;0),N(P1215),0)</f>
        <v>0.0</v>
      </c>
    </row>
    <row r="1216">
      <c r="A1216" s="79" t="str">
        <f>IF(COUNTA(B1216:C1216,E1216:G1216,I1216)=0,"","BI-"&amp;RIGHT("0000"&amp;(ROW()-5),4))</f>
        <v/>
      </c>
      <c r="B1216" s="72" t="n"/>
      <c r="C1216" s="66" t="n"/>
      <c r="D1216" s="67" t="str">
        <f>IF(C1216="","",IFERROR(INDEX(eq_des,MATCH(C1216,eq_code,0))&amp;"","Équipement inconnu"))</f>
        <v/>
      </c>
      <c r="E1216" s="68" t="n"/>
      <c r="F1216" s="68" t="n"/>
      <c r="G1216" s="66" t="n"/>
      <c r="H1216" s="66" t="n"/>
      <c r="I1216" s="68" t="n"/>
      <c r="J1216" s="73" t="n"/>
      <c r="K1216" s="71" t="n"/>
      <c r="L1216" s="71" t="n"/>
      <c r="M1216" s="66" t="n"/>
      <c r="N1216" s="80" t="n"/>
      <c r="O1216" s="81" t="str">
        <f>IF(A1216="","",ROUND(V1216*IFERROR(N(INDEX(tech_rate,MATCH(M1216,tech_name,0))),0),2))</f>
        <v/>
      </c>
      <c r="P1216" s="80" t="n"/>
      <c r="Q1216" s="81" t="str">
        <f>IF(A1216="","",ROUND(Y1216+O1216+Z1216,2))</f>
        <v/>
      </c>
      <c r="R1216" s="79" t="str">
        <f>IF(A1216="","",IF(S1216=0,"Date manquante ou invalide",IF(C1216="","Équipement manquant",IF(ISNA(MATCH(C1216,eq_code,0)),"Équipement inconnu",IF(E1216="","Type manquant",IF(AND(E1216&lt;&gt;"Préventif",E1216&lt;&gt;"Correctif",E1216&lt;&gt;"Amélioratif"),"Type inconnu",IF(I1216="","Statut manquant",IF(AND(I1216&lt;&gt;"Terminée",I1216&lt;&gt;"En cours",I1216&lt;&gt;"À faire",I1216&lt;&gt;"Annulée"),"Statut inconnu",IF(AND(E1216="Préventif",F1216=""),"Plan manquant (préventif)",IF(AND(F1216&lt;&gt;"",ISNA(MATCH(F1216,pl_num,0))),"Plan inconnu",IF(AND(F1216&lt;&gt;"",IFERROR(INDEX(pl_eq,MATCH(F1216,pl_num,0))&amp;"",C1216)&lt;&gt;C1216),"Plan d'un autre équipement",IF(AND(J1216&lt;&gt;"",OR(NOT(ISNUMBER(J1216)),N(J1216)&lt;0)),"Compteur invalide",IF(OR(AND(K1216&lt;&gt;"",OR(NOT(ISNUMBER(K1216)),N(K1216)&lt;0)),AND(L1216&lt;&gt;"",OR(NOT(ISNUMBER(L1216)),N(L1216)&lt;0))),"Durée invalide",IF(OR(AND(N1216&lt;&gt;"",OR(NOT(ISNUMBER(N1216)),N(N1216)&lt;0)),AND(P1216&lt;&gt;"",OR(NOT(ISNUMBER(P1216)),N(P1216)&lt;0))),"Coût invalide",IF(AND(M1216&lt;&gt;"",ISNA(MATCH(M1216,tech_name,0))),"Technicien inconnu",IF(AND(I1216="Terminée",S1216&gt;p_today),"Terminée à une date future",IF(AND(I1216="Terminée",V1216=0),"Durée d'intervention manquante",IF(AND(I1216="Terminée",E1216="Préventif",T1216=0,OR(IFERROR(INDEX(pl_trig,MATCH(F1216,pl_num,0))&amp;"","")="Compteur",IFERROR(INDEX(pl_trig,MATCH(F1216,pl_num,0))&amp;"","")="Au premier des deux")),"Compteur manquant (plan au compteur)","OK"))))))))))))))))))</f>
        <v/>
      </c>
      <c r="S1216" s="67">
        <f>IF(AND(ISNUMBER(B1216),N(B1216)&gt;0),INT(B1216),0)</f>
        <v>0.0</v>
      </c>
      <c r="T1216" s="67">
        <f>IF(AND(ISNUMBER(J1216),N(J1216)&gt;=0),N(J1216),0)</f>
        <v>0.0</v>
      </c>
      <c r="U1216" s="67">
        <f>IF(AND(ISNUMBER(K1216),N(K1216)&gt;0),N(K1216),0)</f>
        <v>0.0</v>
      </c>
      <c r="V1216" s="67">
        <f>IF(AND(ISNUMBER(L1216),N(L1216)&gt;0),N(L1216),0)</f>
        <v>0.0</v>
      </c>
      <c r="W1216" s="67">
        <f>IF(AND(I1216="Terminée",S1216&gt;0,C1216&lt;&gt;"",ISNUMBER(MATCH(C1216,eq_code,0))),1,0)</f>
        <v>0.0</v>
      </c>
      <c r="X1216" s="67">
        <f>IF(AND(W1216=1,E1216="Préventif"),1,0)</f>
        <v>0.0</v>
      </c>
      <c r="Y1216" s="67">
        <f>IF(AND(ISNUMBER(N1216),N(N1216)&gt;0),N(N1216),0)</f>
        <v>0.0</v>
      </c>
      <c r="Z1216" s="67">
        <f>IF(AND(ISNUMBER(P1216),N(P1216)&gt;0),N(P1216),0)</f>
        <v>0.0</v>
      </c>
    </row>
    <row r="1217">
      <c r="A1217" s="79" t="str">
        <f>IF(COUNTA(B1217:C1217,E1217:G1217,I1217)=0,"","BI-"&amp;RIGHT("0000"&amp;(ROW()-5),4))</f>
        <v/>
      </c>
      <c r="B1217" s="72" t="n"/>
      <c r="C1217" s="66" t="n"/>
      <c r="D1217" s="67" t="str">
        <f>IF(C1217="","",IFERROR(INDEX(eq_des,MATCH(C1217,eq_code,0))&amp;"","Équipement inconnu"))</f>
        <v/>
      </c>
      <c r="E1217" s="68" t="n"/>
      <c r="F1217" s="68" t="n"/>
      <c r="G1217" s="66" t="n"/>
      <c r="H1217" s="66" t="n"/>
      <c r="I1217" s="68" t="n"/>
      <c r="J1217" s="73" t="n"/>
      <c r="K1217" s="71" t="n"/>
      <c r="L1217" s="71" t="n"/>
      <c r="M1217" s="66" t="n"/>
      <c r="N1217" s="80" t="n"/>
      <c r="O1217" s="81" t="str">
        <f>IF(A1217="","",ROUND(V1217*IFERROR(N(INDEX(tech_rate,MATCH(M1217,tech_name,0))),0),2))</f>
        <v/>
      </c>
      <c r="P1217" s="80" t="n"/>
      <c r="Q1217" s="81" t="str">
        <f>IF(A1217="","",ROUND(Y1217+O1217+Z1217,2))</f>
        <v/>
      </c>
      <c r="R1217" s="79" t="str">
        <f>IF(A1217="","",IF(S1217=0,"Date manquante ou invalide",IF(C1217="","Équipement manquant",IF(ISNA(MATCH(C1217,eq_code,0)),"Équipement inconnu",IF(E1217="","Type manquant",IF(AND(E1217&lt;&gt;"Préventif",E1217&lt;&gt;"Correctif",E1217&lt;&gt;"Amélioratif"),"Type inconnu",IF(I1217="","Statut manquant",IF(AND(I1217&lt;&gt;"Terminée",I1217&lt;&gt;"En cours",I1217&lt;&gt;"À faire",I1217&lt;&gt;"Annulée"),"Statut inconnu",IF(AND(E1217="Préventif",F1217=""),"Plan manquant (préventif)",IF(AND(F1217&lt;&gt;"",ISNA(MATCH(F1217,pl_num,0))),"Plan inconnu",IF(AND(F1217&lt;&gt;"",IFERROR(INDEX(pl_eq,MATCH(F1217,pl_num,0))&amp;"",C1217)&lt;&gt;C1217),"Plan d'un autre équipement",IF(AND(J1217&lt;&gt;"",OR(NOT(ISNUMBER(J1217)),N(J1217)&lt;0)),"Compteur invalide",IF(OR(AND(K1217&lt;&gt;"",OR(NOT(ISNUMBER(K1217)),N(K1217)&lt;0)),AND(L1217&lt;&gt;"",OR(NOT(ISNUMBER(L1217)),N(L1217)&lt;0))),"Durée invalide",IF(OR(AND(N1217&lt;&gt;"",OR(NOT(ISNUMBER(N1217)),N(N1217)&lt;0)),AND(P1217&lt;&gt;"",OR(NOT(ISNUMBER(P1217)),N(P1217)&lt;0))),"Coût invalide",IF(AND(M1217&lt;&gt;"",ISNA(MATCH(M1217,tech_name,0))),"Technicien inconnu",IF(AND(I1217="Terminée",S1217&gt;p_today),"Terminée à une date future",IF(AND(I1217="Terminée",V1217=0),"Durée d'intervention manquante",IF(AND(I1217="Terminée",E1217="Préventif",T1217=0,OR(IFERROR(INDEX(pl_trig,MATCH(F1217,pl_num,0))&amp;"","")="Compteur",IFERROR(INDEX(pl_trig,MATCH(F1217,pl_num,0))&amp;"","")="Au premier des deux")),"Compteur manquant (plan au compteur)","OK"))))))))))))))))))</f>
        <v/>
      </c>
      <c r="S1217" s="67">
        <f>IF(AND(ISNUMBER(B1217),N(B1217)&gt;0),INT(B1217),0)</f>
        <v>0.0</v>
      </c>
      <c r="T1217" s="67">
        <f>IF(AND(ISNUMBER(J1217),N(J1217)&gt;=0),N(J1217),0)</f>
        <v>0.0</v>
      </c>
      <c r="U1217" s="67">
        <f>IF(AND(ISNUMBER(K1217),N(K1217)&gt;0),N(K1217),0)</f>
        <v>0.0</v>
      </c>
      <c r="V1217" s="67">
        <f>IF(AND(ISNUMBER(L1217),N(L1217)&gt;0),N(L1217),0)</f>
        <v>0.0</v>
      </c>
      <c r="W1217" s="67">
        <f>IF(AND(I1217="Terminée",S1217&gt;0,C1217&lt;&gt;"",ISNUMBER(MATCH(C1217,eq_code,0))),1,0)</f>
        <v>0.0</v>
      </c>
      <c r="X1217" s="67">
        <f>IF(AND(W1217=1,E1217="Préventif"),1,0)</f>
        <v>0.0</v>
      </c>
      <c r="Y1217" s="67">
        <f>IF(AND(ISNUMBER(N1217),N(N1217)&gt;0),N(N1217),0)</f>
        <v>0.0</v>
      </c>
      <c r="Z1217" s="67">
        <f>IF(AND(ISNUMBER(P1217),N(P1217)&gt;0),N(P1217),0)</f>
        <v>0.0</v>
      </c>
    </row>
    <row r="1218">
      <c r="A1218" s="79" t="str">
        <f>IF(COUNTA(B1218:C1218,E1218:G1218,I1218)=0,"","BI-"&amp;RIGHT("0000"&amp;(ROW()-5),4))</f>
        <v/>
      </c>
      <c r="B1218" s="72" t="n"/>
      <c r="C1218" s="66" t="n"/>
      <c r="D1218" s="67" t="str">
        <f>IF(C1218="","",IFERROR(INDEX(eq_des,MATCH(C1218,eq_code,0))&amp;"","Équipement inconnu"))</f>
        <v/>
      </c>
      <c r="E1218" s="68" t="n"/>
      <c r="F1218" s="68" t="n"/>
      <c r="G1218" s="66" t="n"/>
      <c r="H1218" s="66" t="n"/>
      <c r="I1218" s="68" t="n"/>
      <c r="J1218" s="73" t="n"/>
      <c r="K1218" s="71" t="n"/>
      <c r="L1218" s="71" t="n"/>
      <c r="M1218" s="66" t="n"/>
      <c r="N1218" s="80" t="n"/>
      <c r="O1218" s="81" t="str">
        <f>IF(A1218="","",ROUND(V1218*IFERROR(N(INDEX(tech_rate,MATCH(M1218,tech_name,0))),0),2))</f>
        <v/>
      </c>
      <c r="P1218" s="80" t="n"/>
      <c r="Q1218" s="81" t="str">
        <f>IF(A1218="","",ROUND(Y1218+O1218+Z1218,2))</f>
        <v/>
      </c>
      <c r="R1218" s="79" t="str">
        <f>IF(A1218="","",IF(S1218=0,"Date manquante ou invalide",IF(C1218="","Équipement manquant",IF(ISNA(MATCH(C1218,eq_code,0)),"Équipement inconnu",IF(E1218="","Type manquant",IF(AND(E1218&lt;&gt;"Préventif",E1218&lt;&gt;"Correctif",E1218&lt;&gt;"Amélioratif"),"Type inconnu",IF(I1218="","Statut manquant",IF(AND(I1218&lt;&gt;"Terminée",I1218&lt;&gt;"En cours",I1218&lt;&gt;"À faire",I1218&lt;&gt;"Annulée"),"Statut inconnu",IF(AND(E1218="Préventif",F1218=""),"Plan manquant (préventif)",IF(AND(F1218&lt;&gt;"",ISNA(MATCH(F1218,pl_num,0))),"Plan inconnu",IF(AND(F1218&lt;&gt;"",IFERROR(INDEX(pl_eq,MATCH(F1218,pl_num,0))&amp;"",C1218)&lt;&gt;C1218),"Plan d'un autre équipement",IF(AND(J1218&lt;&gt;"",OR(NOT(ISNUMBER(J1218)),N(J1218)&lt;0)),"Compteur invalide",IF(OR(AND(K1218&lt;&gt;"",OR(NOT(ISNUMBER(K1218)),N(K1218)&lt;0)),AND(L1218&lt;&gt;"",OR(NOT(ISNUMBER(L1218)),N(L1218)&lt;0))),"Durée invalide",IF(OR(AND(N1218&lt;&gt;"",OR(NOT(ISNUMBER(N1218)),N(N1218)&lt;0)),AND(P1218&lt;&gt;"",OR(NOT(ISNUMBER(P1218)),N(P1218)&lt;0))),"Coût invalide",IF(AND(M1218&lt;&gt;"",ISNA(MATCH(M1218,tech_name,0))),"Technicien inconnu",IF(AND(I1218="Terminée",S1218&gt;p_today),"Terminée à une date future",IF(AND(I1218="Terminée",V1218=0),"Durée d'intervention manquante",IF(AND(I1218="Terminée",E1218="Préventif",T1218=0,OR(IFERROR(INDEX(pl_trig,MATCH(F1218,pl_num,0))&amp;"","")="Compteur",IFERROR(INDEX(pl_trig,MATCH(F1218,pl_num,0))&amp;"","")="Au premier des deux")),"Compteur manquant (plan au compteur)","OK"))))))))))))))))))</f>
        <v/>
      </c>
      <c r="S1218" s="67">
        <f>IF(AND(ISNUMBER(B1218),N(B1218)&gt;0),INT(B1218),0)</f>
        <v>0.0</v>
      </c>
      <c r="T1218" s="67">
        <f>IF(AND(ISNUMBER(J1218),N(J1218)&gt;=0),N(J1218),0)</f>
        <v>0.0</v>
      </c>
      <c r="U1218" s="67">
        <f>IF(AND(ISNUMBER(K1218),N(K1218)&gt;0),N(K1218),0)</f>
        <v>0.0</v>
      </c>
      <c r="V1218" s="67">
        <f>IF(AND(ISNUMBER(L1218),N(L1218)&gt;0),N(L1218),0)</f>
        <v>0.0</v>
      </c>
      <c r="W1218" s="67">
        <f>IF(AND(I1218="Terminée",S1218&gt;0,C1218&lt;&gt;"",ISNUMBER(MATCH(C1218,eq_code,0))),1,0)</f>
        <v>0.0</v>
      </c>
      <c r="X1218" s="67">
        <f>IF(AND(W1218=1,E1218="Préventif"),1,0)</f>
        <v>0.0</v>
      </c>
      <c r="Y1218" s="67">
        <f>IF(AND(ISNUMBER(N1218),N(N1218)&gt;0),N(N1218),0)</f>
        <v>0.0</v>
      </c>
      <c r="Z1218" s="67">
        <f>IF(AND(ISNUMBER(P1218),N(P1218)&gt;0),N(P1218),0)</f>
        <v>0.0</v>
      </c>
    </row>
    <row r="1219">
      <c r="A1219" s="79" t="str">
        <f>IF(COUNTA(B1219:C1219,E1219:G1219,I1219)=0,"","BI-"&amp;RIGHT("0000"&amp;(ROW()-5),4))</f>
        <v/>
      </c>
      <c r="B1219" s="72" t="n"/>
      <c r="C1219" s="66" t="n"/>
      <c r="D1219" s="67" t="str">
        <f>IF(C1219="","",IFERROR(INDEX(eq_des,MATCH(C1219,eq_code,0))&amp;"","Équipement inconnu"))</f>
        <v/>
      </c>
      <c r="E1219" s="68" t="n"/>
      <c r="F1219" s="68" t="n"/>
      <c r="G1219" s="66" t="n"/>
      <c r="H1219" s="66" t="n"/>
      <c r="I1219" s="68" t="n"/>
      <c r="J1219" s="73" t="n"/>
      <c r="K1219" s="71" t="n"/>
      <c r="L1219" s="71" t="n"/>
      <c r="M1219" s="66" t="n"/>
      <c r="N1219" s="80" t="n"/>
      <c r="O1219" s="81" t="str">
        <f>IF(A1219="","",ROUND(V1219*IFERROR(N(INDEX(tech_rate,MATCH(M1219,tech_name,0))),0),2))</f>
        <v/>
      </c>
      <c r="P1219" s="80" t="n"/>
      <c r="Q1219" s="81" t="str">
        <f>IF(A1219="","",ROUND(Y1219+O1219+Z1219,2))</f>
        <v/>
      </c>
      <c r="R1219" s="79" t="str">
        <f>IF(A1219="","",IF(S1219=0,"Date manquante ou invalide",IF(C1219="","Équipement manquant",IF(ISNA(MATCH(C1219,eq_code,0)),"Équipement inconnu",IF(E1219="","Type manquant",IF(AND(E1219&lt;&gt;"Préventif",E1219&lt;&gt;"Correctif",E1219&lt;&gt;"Amélioratif"),"Type inconnu",IF(I1219="","Statut manquant",IF(AND(I1219&lt;&gt;"Terminée",I1219&lt;&gt;"En cours",I1219&lt;&gt;"À faire",I1219&lt;&gt;"Annulée"),"Statut inconnu",IF(AND(E1219="Préventif",F1219=""),"Plan manquant (préventif)",IF(AND(F1219&lt;&gt;"",ISNA(MATCH(F1219,pl_num,0))),"Plan inconnu",IF(AND(F1219&lt;&gt;"",IFERROR(INDEX(pl_eq,MATCH(F1219,pl_num,0))&amp;"",C1219)&lt;&gt;C1219),"Plan d'un autre équipement",IF(AND(J1219&lt;&gt;"",OR(NOT(ISNUMBER(J1219)),N(J1219)&lt;0)),"Compteur invalide",IF(OR(AND(K1219&lt;&gt;"",OR(NOT(ISNUMBER(K1219)),N(K1219)&lt;0)),AND(L1219&lt;&gt;"",OR(NOT(ISNUMBER(L1219)),N(L1219)&lt;0))),"Durée invalide",IF(OR(AND(N1219&lt;&gt;"",OR(NOT(ISNUMBER(N1219)),N(N1219)&lt;0)),AND(P1219&lt;&gt;"",OR(NOT(ISNUMBER(P1219)),N(P1219)&lt;0))),"Coût invalide",IF(AND(M1219&lt;&gt;"",ISNA(MATCH(M1219,tech_name,0))),"Technicien inconnu",IF(AND(I1219="Terminée",S1219&gt;p_today),"Terminée à une date future",IF(AND(I1219="Terminée",V1219=0),"Durée d'intervention manquante",IF(AND(I1219="Terminée",E1219="Préventif",T1219=0,OR(IFERROR(INDEX(pl_trig,MATCH(F1219,pl_num,0))&amp;"","")="Compteur",IFERROR(INDEX(pl_trig,MATCH(F1219,pl_num,0))&amp;"","")="Au premier des deux")),"Compteur manquant (plan au compteur)","OK"))))))))))))))))))</f>
        <v/>
      </c>
      <c r="S1219" s="67">
        <f>IF(AND(ISNUMBER(B1219),N(B1219)&gt;0),INT(B1219),0)</f>
        <v>0.0</v>
      </c>
      <c r="T1219" s="67">
        <f>IF(AND(ISNUMBER(J1219),N(J1219)&gt;=0),N(J1219),0)</f>
        <v>0.0</v>
      </c>
      <c r="U1219" s="67">
        <f>IF(AND(ISNUMBER(K1219),N(K1219)&gt;0),N(K1219),0)</f>
        <v>0.0</v>
      </c>
      <c r="V1219" s="67">
        <f>IF(AND(ISNUMBER(L1219),N(L1219)&gt;0),N(L1219),0)</f>
        <v>0.0</v>
      </c>
      <c r="W1219" s="67">
        <f>IF(AND(I1219="Terminée",S1219&gt;0,C1219&lt;&gt;"",ISNUMBER(MATCH(C1219,eq_code,0))),1,0)</f>
        <v>0.0</v>
      </c>
      <c r="X1219" s="67">
        <f>IF(AND(W1219=1,E1219="Préventif"),1,0)</f>
        <v>0.0</v>
      </c>
      <c r="Y1219" s="67">
        <f>IF(AND(ISNUMBER(N1219),N(N1219)&gt;0),N(N1219),0)</f>
        <v>0.0</v>
      </c>
      <c r="Z1219" s="67">
        <f>IF(AND(ISNUMBER(P1219),N(P1219)&gt;0),N(P1219),0)</f>
        <v>0.0</v>
      </c>
    </row>
    <row r="1220">
      <c r="A1220" s="79" t="str">
        <f>IF(COUNTA(B1220:C1220,E1220:G1220,I1220)=0,"","BI-"&amp;RIGHT("0000"&amp;(ROW()-5),4))</f>
        <v/>
      </c>
      <c r="B1220" s="72" t="n"/>
      <c r="C1220" s="66" t="n"/>
      <c r="D1220" s="67" t="str">
        <f>IF(C1220="","",IFERROR(INDEX(eq_des,MATCH(C1220,eq_code,0))&amp;"","Équipement inconnu"))</f>
        <v/>
      </c>
      <c r="E1220" s="68" t="n"/>
      <c r="F1220" s="68" t="n"/>
      <c r="G1220" s="66" t="n"/>
      <c r="H1220" s="66" t="n"/>
      <c r="I1220" s="68" t="n"/>
      <c r="J1220" s="73" t="n"/>
      <c r="K1220" s="71" t="n"/>
      <c r="L1220" s="71" t="n"/>
      <c r="M1220" s="66" t="n"/>
      <c r="N1220" s="80" t="n"/>
      <c r="O1220" s="81" t="str">
        <f>IF(A1220="","",ROUND(V1220*IFERROR(N(INDEX(tech_rate,MATCH(M1220,tech_name,0))),0),2))</f>
        <v/>
      </c>
      <c r="P1220" s="80" t="n"/>
      <c r="Q1220" s="81" t="str">
        <f>IF(A1220="","",ROUND(Y1220+O1220+Z1220,2))</f>
        <v/>
      </c>
      <c r="R1220" s="79" t="str">
        <f>IF(A1220="","",IF(S1220=0,"Date manquante ou invalide",IF(C1220="","Équipement manquant",IF(ISNA(MATCH(C1220,eq_code,0)),"Équipement inconnu",IF(E1220="","Type manquant",IF(AND(E1220&lt;&gt;"Préventif",E1220&lt;&gt;"Correctif",E1220&lt;&gt;"Amélioratif"),"Type inconnu",IF(I1220="","Statut manquant",IF(AND(I1220&lt;&gt;"Terminée",I1220&lt;&gt;"En cours",I1220&lt;&gt;"À faire",I1220&lt;&gt;"Annulée"),"Statut inconnu",IF(AND(E1220="Préventif",F1220=""),"Plan manquant (préventif)",IF(AND(F1220&lt;&gt;"",ISNA(MATCH(F1220,pl_num,0))),"Plan inconnu",IF(AND(F1220&lt;&gt;"",IFERROR(INDEX(pl_eq,MATCH(F1220,pl_num,0))&amp;"",C1220)&lt;&gt;C1220),"Plan d'un autre équipement",IF(AND(J1220&lt;&gt;"",OR(NOT(ISNUMBER(J1220)),N(J1220)&lt;0)),"Compteur invalide",IF(OR(AND(K1220&lt;&gt;"",OR(NOT(ISNUMBER(K1220)),N(K1220)&lt;0)),AND(L1220&lt;&gt;"",OR(NOT(ISNUMBER(L1220)),N(L1220)&lt;0))),"Durée invalide",IF(OR(AND(N1220&lt;&gt;"",OR(NOT(ISNUMBER(N1220)),N(N1220)&lt;0)),AND(P1220&lt;&gt;"",OR(NOT(ISNUMBER(P1220)),N(P1220)&lt;0))),"Coût invalide",IF(AND(M1220&lt;&gt;"",ISNA(MATCH(M1220,tech_name,0))),"Technicien inconnu",IF(AND(I1220="Terminée",S1220&gt;p_today),"Terminée à une date future",IF(AND(I1220="Terminée",V1220=0),"Durée d'intervention manquante",IF(AND(I1220="Terminée",E1220="Préventif",T1220=0,OR(IFERROR(INDEX(pl_trig,MATCH(F1220,pl_num,0))&amp;"","")="Compteur",IFERROR(INDEX(pl_trig,MATCH(F1220,pl_num,0))&amp;"","")="Au premier des deux")),"Compteur manquant (plan au compteur)","OK"))))))))))))))))))</f>
        <v/>
      </c>
      <c r="S1220" s="67">
        <f>IF(AND(ISNUMBER(B1220),N(B1220)&gt;0),INT(B1220),0)</f>
        <v>0.0</v>
      </c>
      <c r="T1220" s="67">
        <f>IF(AND(ISNUMBER(J1220),N(J1220)&gt;=0),N(J1220),0)</f>
        <v>0.0</v>
      </c>
      <c r="U1220" s="67">
        <f>IF(AND(ISNUMBER(K1220),N(K1220)&gt;0),N(K1220),0)</f>
        <v>0.0</v>
      </c>
      <c r="V1220" s="67">
        <f>IF(AND(ISNUMBER(L1220),N(L1220)&gt;0),N(L1220),0)</f>
        <v>0.0</v>
      </c>
      <c r="W1220" s="67">
        <f>IF(AND(I1220="Terminée",S1220&gt;0,C1220&lt;&gt;"",ISNUMBER(MATCH(C1220,eq_code,0))),1,0)</f>
        <v>0.0</v>
      </c>
      <c r="X1220" s="67">
        <f>IF(AND(W1220=1,E1220="Préventif"),1,0)</f>
        <v>0.0</v>
      </c>
      <c r="Y1220" s="67">
        <f>IF(AND(ISNUMBER(N1220),N(N1220)&gt;0),N(N1220),0)</f>
        <v>0.0</v>
      </c>
      <c r="Z1220" s="67">
        <f>IF(AND(ISNUMBER(P1220),N(P1220)&gt;0),N(P1220),0)</f>
        <v>0.0</v>
      </c>
    </row>
    <row r="1221">
      <c r="A1221" s="79" t="str">
        <f>IF(COUNTA(B1221:C1221,E1221:G1221,I1221)=0,"","BI-"&amp;RIGHT("0000"&amp;(ROW()-5),4))</f>
        <v/>
      </c>
      <c r="B1221" s="72" t="n"/>
      <c r="C1221" s="66" t="n"/>
      <c r="D1221" s="67" t="str">
        <f>IF(C1221="","",IFERROR(INDEX(eq_des,MATCH(C1221,eq_code,0))&amp;"","Équipement inconnu"))</f>
        <v/>
      </c>
      <c r="E1221" s="68" t="n"/>
      <c r="F1221" s="68" t="n"/>
      <c r="G1221" s="66" t="n"/>
      <c r="H1221" s="66" t="n"/>
      <c r="I1221" s="68" t="n"/>
      <c r="J1221" s="73" t="n"/>
      <c r="K1221" s="71" t="n"/>
      <c r="L1221" s="71" t="n"/>
      <c r="M1221" s="66" t="n"/>
      <c r="N1221" s="80" t="n"/>
      <c r="O1221" s="81" t="str">
        <f>IF(A1221="","",ROUND(V1221*IFERROR(N(INDEX(tech_rate,MATCH(M1221,tech_name,0))),0),2))</f>
        <v/>
      </c>
      <c r="P1221" s="80" t="n"/>
      <c r="Q1221" s="81" t="str">
        <f>IF(A1221="","",ROUND(Y1221+O1221+Z1221,2))</f>
        <v/>
      </c>
      <c r="R1221" s="79" t="str">
        <f>IF(A1221="","",IF(S1221=0,"Date manquante ou invalide",IF(C1221="","Équipement manquant",IF(ISNA(MATCH(C1221,eq_code,0)),"Équipement inconnu",IF(E1221="","Type manquant",IF(AND(E1221&lt;&gt;"Préventif",E1221&lt;&gt;"Correctif",E1221&lt;&gt;"Amélioratif"),"Type inconnu",IF(I1221="","Statut manquant",IF(AND(I1221&lt;&gt;"Terminée",I1221&lt;&gt;"En cours",I1221&lt;&gt;"À faire",I1221&lt;&gt;"Annulée"),"Statut inconnu",IF(AND(E1221="Préventif",F1221=""),"Plan manquant (préventif)",IF(AND(F1221&lt;&gt;"",ISNA(MATCH(F1221,pl_num,0))),"Plan inconnu",IF(AND(F1221&lt;&gt;"",IFERROR(INDEX(pl_eq,MATCH(F1221,pl_num,0))&amp;"",C1221)&lt;&gt;C1221),"Plan d'un autre équipement",IF(AND(J1221&lt;&gt;"",OR(NOT(ISNUMBER(J1221)),N(J1221)&lt;0)),"Compteur invalide",IF(OR(AND(K1221&lt;&gt;"",OR(NOT(ISNUMBER(K1221)),N(K1221)&lt;0)),AND(L1221&lt;&gt;"",OR(NOT(ISNUMBER(L1221)),N(L1221)&lt;0))),"Durée invalide",IF(OR(AND(N1221&lt;&gt;"",OR(NOT(ISNUMBER(N1221)),N(N1221)&lt;0)),AND(P1221&lt;&gt;"",OR(NOT(ISNUMBER(P1221)),N(P1221)&lt;0))),"Coût invalide",IF(AND(M1221&lt;&gt;"",ISNA(MATCH(M1221,tech_name,0))),"Technicien inconnu",IF(AND(I1221="Terminée",S1221&gt;p_today),"Terminée à une date future",IF(AND(I1221="Terminée",V1221=0),"Durée d'intervention manquante",IF(AND(I1221="Terminée",E1221="Préventif",T1221=0,OR(IFERROR(INDEX(pl_trig,MATCH(F1221,pl_num,0))&amp;"","")="Compteur",IFERROR(INDEX(pl_trig,MATCH(F1221,pl_num,0))&amp;"","")="Au premier des deux")),"Compteur manquant (plan au compteur)","OK"))))))))))))))))))</f>
        <v/>
      </c>
      <c r="S1221" s="67">
        <f>IF(AND(ISNUMBER(B1221),N(B1221)&gt;0),INT(B1221),0)</f>
        <v>0.0</v>
      </c>
      <c r="T1221" s="67">
        <f>IF(AND(ISNUMBER(J1221),N(J1221)&gt;=0),N(J1221),0)</f>
        <v>0.0</v>
      </c>
      <c r="U1221" s="67">
        <f>IF(AND(ISNUMBER(K1221),N(K1221)&gt;0),N(K1221),0)</f>
        <v>0.0</v>
      </c>
      <c r="V1221" s="67">
        <f>IF(AND(ISNUMBER(L1221),N(L1221)&gt;0),N(L1221),0)</f>
        <v>0.0</v>
      </c>
      <c r="W1221" s="67">
        <f>IF(AND(I1221="Terminée",S1221&gt;0,C1221&lt;&gt;"",ISNUMBER(MATCH(C1221,eq_code,0))),1,0)</f>
        <v>0.0</v>
      </c>
      <c r="X1221" s="67">
        <f>IF(AND(W1221=1,E1221="Préventif"),1,0)</f>
        <v>0.0</v>
      </c>
      <c r="Y1221" s="67">
        <f>IF(AND(ISNUMBER(N1221),N(N1221)&gt;0),N(N1221),0)</f>
        <v>0.0</v>
      </c>
      <c r="Z1221" s="67">
        <f>IF(AND(ISNUMBER(P1221),N(P1221)&gt;0),N(P1221),0)</f>
        <v>0.0</v>
      </c>
    </row>
    <row r="1222">
      <c r="A1222" s="79" t="str">
        <f>IF(COUNTA(B1222:C1222,E1222:G1222,I1222)=0,"","BI-"&amp;RIGHT("0000"&amp;(ROW()-5),4))</f>
        <v/>
      </c>
      <c r="B1222" s="72" t="n"/>
      <c r="C1222" s="66" t="n"/>
      <c r="D1222" s="67" t="str">
        <f>IF(C1222="","",IFERROR(INDEX(eq_des,MATCH(C1222,eq_code,0))&amp;"","Équipement inconnu"))</f>
        <v/>
      </c>
      <c r="E1222" s="68" t="n"/>
      <c r="F1222" s="68" t="n"/>
      <c r="G1222" s="66" t="n"/>
      <c r="H1222" s="66" t="n"/>
      <c r="I1222" s="68" t="n"/>
      <c r="J1222" s="73" t="n"/>
      <c r="K1222" s="71" t="n"/>
      <c r="L1222" s="71" t="n"/>
      <c r="M1222" s="66" t="n"/>
      <c r="N1222" s="80" t="n"/>
      <c r="O1222" s="81" t="str">
        <f>IF(A1222="","",ROUND(V1222*IFERROR(N(INDEX(tech_rate,MATCH(M1222,tech_name,0))),0),2))</f>
        <v/>
      </c>
      <c r="P1222" s="80" t="n"/>
      <c r="Q1222" s="81" t="str">
        <f>IF(A1222="","",ROUND(Y1222+O1222+Z1222,2))</f>
        <v/>
      </c>
      <c r="R1222" s="79" t="str">
        <f>IF(A1222="","",IF(S1222=0,"Date manquante ou invalide",IF(C1222="","Équipement manquant",IF(ISNA(MATCH(C1222,eq_code,0)),"Équipement inconnu",IF(E1222="","Type manquant",IF(AND(E1222&lt;&gt;"Préventif",E1222&lt;&gt;"Correctif",E1222&lt;&gt;"Amélioratif"),"Type inconnu",IF(I1222="","Statut manquant",IF(AND(I1222&lt;&gt;"Terminée",I1222&lt;&gt;"En cours",I1222&lt;&gt;"À faire",I1222&lt;&gt;"Annulée"),"Statut inconnu",IF(AND(E1222="Préventif",F1222=""),"Plan manquant (préventif)",IF(AND(F1222&lt;&gt;"",ISNA(MATCH(F1222,pl_num,0))),"Plan inconnu",IF(AND(F1222&lt;&gt;"",IFERROR(INDEX(pl_eq,MATCH(F1222,pl_num,0))&amp;"",C1222)&lt;&gt;C1222),"Plan d'un autre équipement",IF(AND(J1222&lt;&gt;"",OR(NOT(ISNUMBER(J1222)),N(J1222)&lt;0)),"Compteur invalide",IF(OR(AND(K1222&lt;&gt;"",OR(NOT(ISNUMBER(K1222)),N(K1222)&lt;0)),AND(L1222&lt;&gt;"",OR(NOT(ISNUMBER(L1222)),N(L1222)&lt;0))),"Durée invalide",IF(OR(AND(N1222&lt;&gt;"",OR(NOT(ISNUMBER(N1222)),N(N1222)&lt;0)),AND(P1222&lt;&gt;"",OR(NOT(ISNUMBER(P1222)),N(P1222)&lt;0))),"Coût invalide",IF(AND(M1222&lt;&gt;"",ISNA(MATCH(M1222,tech_name,0))),"Technicien inconnu",IF(AND(I1222="Terminée",S1222&gt;p_today),"Terminée à une date future",IF(AND(I1222="Terminée",V1222=0),"Durée d'intervention manquante",IF(AND(I1222="Terminée",E1222="Préventif",T1222=0,OR(IFERROR(INDEX(pl_trig,MATCH(F1222,pl_num,0))&amp;"","")="Compteur",IFERROR(INDEX(pl_trig,MATCH(F1222,pl_num,0))&amp;"","")="Au premier des deux")),"Compteur manquant (plan au compteur)","OK"))))))))))))))))))</f>
        <v/>
      </c>
      <c r="S1222" s="67">
        <f>IF(AND(ISNUMBER(B1222),N(B1222)&gt;0),INT(B1222),0)</f>
        <v>0.0</v>
      </c>
      <c r="T1222" s="67">
        <f>IF(AND(ISNUMBER(J1222),N(J1222)&gt;=0),N(J1222),0)</f>
        <v>0.0</v>
      </c>
      <c r="U1222" s="67">
        <f>IF(AND(ISNUMBER(K1222),N(K1222)&gt;0),N(K1222),0)</f>
        <v>0.0</v>
      </c>
      <c r="V1222" s="67">
        <f>IF(AND(ISNUMBER(L1222),N(L1222)&gt;0),N(L1222),0)</f>
        <v>0.0</v>
      </c>
      <c r="W1222" s="67">
        <f>IF(AND(I1222="Terminée",S1222&gt;0,C1222&lt;&gt;"",ISNUMBER(MATCH(C1222,eq_code,0))),1,0)</f>
        <v>0.0</v>
      </c>
      <c r="X1222" s="67">
        <f>IF(AND(W1222=1,E1222="Préventif"),1,0)</f>
        <v>0.0</v>
      </c>
      <c r="Y1222" s="67">
        <f>IF(AND(ISNUMBER(N1222),N(N1222)&gt;0),N(N1222),0)</f>
        <v>0.0</v>
      </c>
      <c r="Z1222" s="67">
        <f>IF(AND(ISNUMBER(P1222),N(P1222)&gt;0),N(P1222),0)</f>
        <v>0.0</v>
      </c>
    </row>
    <row r="1223">
      <c r="A1223" s="79" t="str">
        <f>IF(COUNTA(B1223:C1223,E1223:G1223,I1223)=0,"","BI-"&amp;RIGHT("0000"&amp;(ROW()-5),4))</f>
        <v/>
      </c>
      <c r="B1223" s="72" t="n"/>
      <c r="C1223" s="66" t="n"/>
      <c r="D1223" s="67" t="str">
        <f>IF(C1223="","",IFERROR(INDEX(eq_des,MATCH(C1223,eq_code,0))&amp;"","Équipement inconnu"))</f>
        <v/>
      </c>
      <c r="E1223" s="68" t="n"/>
      <c r="F1223" s="68" t="n"/>
      <c r="G1223" s="66" t="n"/>
      <c r="H1223" s="66" t="n"/>
      <c r="I1223" s="68" t="n"/>
      <c r="J1223" s="73" t="n"/>
      <c r="K1223" s="71" t="n"/>
      <c r="L1223" s="71" t="n"/>
      <c r="M1223" s="66" t="n"/>
      <c r="N1223" s="80" t="n"/>
      <c r="O1223" s="81" t="str">
        <f>IF(A1223="","",ROUND(V1223*IFERROR(N(INDEX(tech_rate,MATCH(M1223,tech_name,0))),0),2))</f>
        <v/>
      </c>
      <c r="P1223" s="80" t="n"/>
      <c r="Q1223" s="81" t="str">
        <f>IF(A1223="","",ROUND(Y1223+O1223+Z1223,2))</f>
        <v/>
      </c>
      <c r="R1223" s="79" t="str">
        <f>IF(A1223="","",IF(S1223=0,"Date manquante ou invalide",IF(C1223="","Équipement manquant",IF(ISNA(MATCH(C1223,eq_code,0)),"Équipement inconnu",IF(E1223="","Type manquant",IF(AND(E1223&lt;&gt;"Préventif",E1223&lt;&gt;"Correctif",E1223&lt;&gt;"Amélioratif"),"Type inconnu",IF(I1223="","Statut manquant",IF(AND(I1223&lt;&gt;"Terminée",I1223&lt;&gt;"En cours",I1223&lt;&gt;"À faire",I1223&lt;&gt;"Annulée"),"Statut inconnu",IF(AND(E1223="Préventif",F1223=""),"Plan manquant (préventif)",IF(AND(F1223&lt;&gt;"",ISNA(MATCH(F1223,pl_num,0))),"Plan inconnu",IF(AND(F1223&lt;&gt;"",IFERROR(INDEX(pl_eq,MATCH(F1223,pl_num,0))&amp;"",C1223)&lt;&gt;C1223),"Plan d'un autre équipement",IF(AND(J1223&lt;&gt;"",OR(NOT(ISNUMBER(J1223)),N(J1223)&lt;0)),"Compteur invalide",IF(OR(AND(K1223&lt;&gt;"",OR(NOT(ISNUMBER(K1223)),N(K1223)&lt;0)),AND(L1223&lt;&gt;"",OR(NOT(ISNUMBER(L1223)),N(L1223)&lt;0))),"Durée invalide",IF(OR(AND(N1223&lt;&gt;"",OR(NOT(ISNUMBER(N1223)),N(N1223)&lt;0)),AND(P1223&lt;&gt;"",OR(NOT(ISNUMBER(P1223)),N(P1223)&lt;0))),"Coût invalide",IF(AND(M1223&lt;&gt;"",ISNA(MATCH(M1223,tech_name,0))),"Technicien inconnu",IF(AND(I1223="Terminée",S1223&gt;p_today),"Terminée à une date future",IF(AND(I1223="Terminée",V1223=0),"Durée d'intervention manquante",IF(AND(I1223="Terminée",E1223="Préventif",T1223=0,OR(IFERROR(INDEX(pl_trig,MATCH(F1223,pl_num,0))&amp;"","")="Compteur",IFERROR(INDEX(pl_trig,MATCH(F1223,pl_num,0))&amp;"","")="Au premier des deux")),"Compteur manquant (plan au compteur)","OK"))))))))))))))))))</f>
        <v/>
      </c>
      <c r="S1223" s="67">
        <f>IF(AND(ISNUMBER(B1223),N(B1223)&gt;0),INT(B1223),0)</f>
        <v>0.0</v>
      </c>
      <c r="T1223" s="67">
        <f>IF(AND(ISNUMBER(J1223),N(J1223)&gt;=0),N(J1223),0)</f>
        <v>0.0</v>
      </c>
      <c r="U1223" s="67">
        <f>IF(AND(ISNUMBER(K1223),N(K1223)&gt;0),N(K1223),0)</f>
        <v>0.0</v>
      </c>
      <c r="V1223" s="67">
        <f>IF(AND(ISNUMBER(L1223),N(L1223)&gt;0),N(L1223),0)</f>
        <v>0.0</v>
      </c>
      <c r="W1223" s="67">
        <f>IF(AND(I1223="Terminée",S1223&gt;0,C1223&lt;&gt;"",ISNUMBER(MATCH(C1223,eq_code,0))),1,0)</f>
        <v>0.0</v>
      </c>
      <c r="X1223" s="67">
        <f>IF(AND(W1223=1,E1223="Préventif"),1,0)</f>
        <v>0.0</v>
      </c>
      <c r="Y1223" s="67">
        <f>IF(AND(ISNUMBER(N1223),N(N1223)&gt;0),N(N1223),0)</f>
        <v>0.0</v>
      </c>
      <c r="Z1223" s="67">
        <f>IF(AND(ISNUMBER(P1223),N(P1223)&gt;0),N(P1223),0)</f>
        <v>0.0</v>
      </c>
    </row>
    <row r="1224">
      <c r="A1224" s="79" t="str">
        <f>IF(COUNTA(B1224:C1224,E1224:G1224,I1224)=0,"","BI-"&amp;RIGHT("0000"&amp;(ROW()-5),4))</f>
        <v/>
      </c>
      <c r="B1224" s="72" t="n"/>
      <c r="C1224" s="66" t="n"/>
      <c r="D1224" s="67" t="str">
        <f>IF(C1224="","",IFERROR(INDEX(eq_des,MATCH(C1224,eq_code,0))&amp;"","Équipement inconnu"))</f>
        <v/>
      </c>
      <c r="E1224" s="68" t="n"/>
      <c r="F1224" s="68" t="n"/>
      <c r="G1224" s="66" t="n"/>
      <c r="H1224" s="66" t="n"/>
      <c r="I1224" s="68" t="n"/>
      <c r="J1224" s="73" t="n"/>
      <c r="K1224" s="71" t="n"/>
      <c r="L1224" s="71" t="n"/>
      <c r="M1224" s="66" t="n"/>
      <c r="N1224" s="80" t="n"/>
      <c r="O1224" s="81" t="str">
        <f>IF(A1224="","",ROUND(V1224*IFERROR(N(INDEX(tech_rate,MATCH(M1224,tech_name,0))),0),2))</f>
        <v/>
      </c>
      <c r="P1224" s="80" t="n"/>
      <c r="Q1224" s="81" t="str">
        <f>IF(A1224="","",ROUND(Y1224+O1224+Z1224,2))</f>
        <v/>
      </c>
      <c r="R1224" s="79" t="str">
        <f>IF(A1224="","",IF(S1224=0,"Date manquante ou invalide",IF(C1224="","Équipement manquant",IF(ISNA(MATCH(C1224,eq_code,0)),"Équipement inconnu",IF(E1224="","Type manquant",IF(AND(E1224&lt;&gt;"Préventif",E1224&lt;&gt;"Correctif",E1224&lt;&gt;"Amélioratif"),"Type inconnu",IF(I1224="","Statut manquant",IF(AND(I1224&lt;&gt;"Terminée",I1224&lt;&gt;"En cours",I1224&lt;&gt;"À faire",I1224&lt;&gt;"Annulée"),"Statut inconnu",IF(AND(E1224="Préventif",F1224=""),"Plan manquant (préventif)",IF(AND(F1224&lt;&gt;"",ISNA(MATCH(F1224,pl_num,0))),"Plan inconnu",IF(AND(F1224&lt;&gt;"",IFERROR(INDEX(pl_eq,MATCH(F1224,pl_num,0))&amp;"",C1224)&lt;&gt;C1224),"Plan d'un autre équipement",IF(AND(J1224&lt;&gt;"",OR(NOT(ISNUMBER(J1224)),N(J1224)&lt;0)),"Compteur invalide",IF(OR(AND(K1224&lt;&gt;"",OR(NOT(ISNUMBER(K1224)),N(K1224)&lt;0)),AND(L1224&lt;&gt;"",OR(NOT(ISNUMBER(L1224)),N(L1224)&lt;0))),"Durée invalide",IF(OR(AND(N1224&lt;&gt;"",OR(NOT(ISNUMBER(N1224)),N(N1224)&lt;0)),AND(P1224&lt;&gt;"",OR(NOT(ISNUMBER(P1224)),N(P1224)&lt;0))),"Coût invalide",IF(AND(M1224&lt;&gt;"",ISNA(MATCH(M1224,tech_name,0))),"Technicien inconnu",IF(AND(I1224="Terminée",S1224&gt;p_today),"Terminée à une date future",IF(AND(I1224="Terminée",V1224=0),"Durée d'intervention manquante",IF(AND(I1224="Terminée",E1224="Préventif",T1224=0,OR(IFERROR(INDEX(pl_trig,MATCH(F1224,pl_num,0))&amp;"","")="Compteur",IFERROR(INDEX(pl_trig,MATCH(F1224,pl_num,0))&amp;"","")="Au premier des deux")),"Compteur manquant (plan au compteur)","OK"))))))))))))))))))</f>
        <v/>
      </c>
      <c r="S1224" s="67">
        <f>IF(AND(ISNUMBER(B1224),N(B1224)&gt;0),INT(B1224),0)</f>
        <v>0.0</v>
      </c>
      <c r="T1224" s="67">
        <f>IF(AND(ISNUMBER(J1224),N(J1224)&gt;=0),N(J1224),0)</f>
        <v>0.0</v>
      </c>
      <c r="U1224" s="67">
        <f>IF(AND(ISNUMBER(K1224),N(K1224)&gt;0),N(K1224),0)</f>
        <v>0.0</v>
      </c>
      <c r="V1224" s="67">
        <f>IF(AND(ISNUMBER(L1224),N(L1224)&gt;0),N(L1224),0)</f>
        <v>0.0</v>
      </c>
      <c r="W1224" s="67">
        <f>IF(AND(I1224="Terminée",S1224&gt;0,C1224&lt;&gt;"",ISNUMBER(MATCH(C1224,eq_code,0))),1,0)</f>
        <v>0.0</v>
      </c>
      <c r="X1224" s="67">
        <f>IF(AND(W1224=1,E1224="Préventif"),1,0)</f>
        <v>0.0</v>
      </c>
      <c r="Y1224" s="67">
        <f>IF(AND(ISNUMBER(N1224),N(N1224)&gt;0),N(N1224),0)</f>
        <v>0.0</v>
      </c>
      <c r="Z1224" s="67">
        <f>IF(AND(ISNUMBER(P1224),N(P1224)&gt;0),N(P1224),0)</f>
        <v>0.0</v>
      </c>
    </row>
    <row r="1225">
      <c r="A1225" s="79" t="str">
        <f>IF(COUNTA(B1225:C1225,E1225:G1225,I1225)=0,"","BI-"&amp;RIGHT("0000"&amp;(ROW()-5),4))</f>
        <v/>
      </c>
      <c r="B1225" s="72" t="n"/>
      <c r="C1225" s="66" t="n"/>
      <c r="D1225" s="67" t="str">
        <f>IF(C1225="","",IFERROR(INDEX(eq_des,MATCH(C1225,eq_code,0))&amp;"","Équipement inconnu"))</f>
        <v/>
      </c>
      <c r="E1225" s="68" t="n"/>
      <c r="F1225" s="68" t="n"/>
      <c r="G1225" s="66" t="n"/>
      <c r="H1225" s="66" t="n"/>
      <c r="I1225" s="68" t="n"/>
      <c r="J1225" s="73" t="n"/>
      <c r="K1225" s="71" t="n"/>
      <c r="L1225" s="71" t="n"/>
      <c r="M1225" s="66" t="n"/>
      <c r="N1225" s="80" t="n"/>
      <c r="O1225" s="81" t="str">
        <f>IF(A1225="","",ROUND(V1225*IFERROR(N(INDEX(tech_rate,MATCH(M1225,tech_name,0))),0),2))</f>
        <v/>
      </c>
      <c r="P1225" s="80" t="n"/>
      <c r="Q1225" s="81" t="str">
        <f>IF(A1225="","",ROUND(Y1225+O1225+Z1225,2))</f>
        <v/>
      </c>
      <c r="R1225" s="79" t="str">
        <f>IF(A1225="","",IF(S1225=0,"Date manquante ou invalide",IF(C1225="","Équipement manquant",IF(ISNA(MATCH(C1225,eq_code,0)),"Équipement inconnu",IF(E1225="","Type manquant",IF(AND(E1225&lt;&gt;"Préventif",E1225&lt;&gt;"Correctif",E1225&lt;&gt;"Amélioratif"),"Type inconnu",IF(I1225="","Statut manquant",IF(AND(I1225&lt;&gt;"Terminée",I1225&lt;&gt;"En cours",I1225&lt;&gt;"À faire",I1225&lt;&gt;"Annulée"),"Statut inconnu",IF(AND(E1225="Préventif",F1225=""),"Plan manquant (préventif)",IF(AND(F1225&lt;&gt;"",ISNA(MATCH(F1225,pl_num,0))),"Plan inconnu",IF(AND(F1225&lt;&gt;"",IFERROR(INDEX(pl_eq,MATCH(F1225,pl_num,0))&amp;"",C1225)&lt;&gt;C1225),"Plan d'un autre équipement",IF(AND(J1225&lt;&gt;"",OR(NOT(ISNUMBER(J1225)),N(J1225)&lt;0)),"Compteur invalide",IF(OR(AND(K1225&lt;&gt;"",OR(NOT(ISNUMBER(K1225)),N(K1225)&lt;0)),AND(L1225&lt;&gt;"",OR(NOT(ISNUMBER(L1225)),N(L1225)&lt;0))),"Durée invalide",IF(OR(AND(N1225&lt;&gt;"",OR(NOT(ISNUMBER(N1225)),N(N1225)&lt;0)),AND(P1225&lt;&gt;"",OR(NOT(ISNUMBER(P1225)),N(P1225)&lt;0))),"Coût invalide",IF(AND(M1225&lt;&gt;"",ISNA(MATCH(M1225,tech_name,0))),"Technicien inconnu",IF(AND(I1225="Terminée",S1225&gt;p_today),"Terminée à une date future",IF(AND(I1225="Terminée",V1225=0),"Durée d'intervention manquante",IF(AND(I1225="Terminée",E1225="Préventif",T1225=0,OR(IFERROR(INDEX(pl_trig,MATCH(F1225,pl_num,0))&amp;"","")="Compteur",IFERROR(INDEX(pl_trig,MATCH(F1225,pl_num,0))&amp;"","")="Au premier des deux")),"Compteur manquant (plan au compteur)","OK"))))))))))))))))))</f>
        <v/>
      </c>
      <c r="S1225" s="67">
        <f>IF(AND(ISNUMBER(B1225),N(B1225)&gt;0),INT(B1225),0)</f>
        <v>0.0</v>
      </c>
      <c r="T1225" s="67">
        <f>IF(AND(ISNUMBER(J1225),N(J1225)&gt;=0),N(J1225),0)</f>
        <v>0.0</v>
      </c>
      <c r="U1225" s="67">
        <f>IF(AND(ISNUMBER(K1225),N(K1225)&gt;0),N(K1225),0)</f>
        <v>0.0</v>
      </c>
      <c r="V1225" s="67">
        <f>IF(AND(ISNUMBER(L1225),N(L1225)&gt;0),N(L1225),0)</f>
        <v>0.0</v>
      </c>
      <c r="W1225" s="67">
        <f>IF(AND(I1225="Terminée",S1225&gt;0,C1225&lt;&gt;"",ISNUMBER(MATCH(C1225,eq_code,0))),1,0)</f>
        <v>0.0</v>
      </c>
      <c r="X1225" s="67">
        <f>IF(AND(W1225=1,E1225="Préventif"),1,0)</f>
        <v>0.0</v>
      </c>
      <c r="Y1225" s="67">
        <f>IF(AND(ISNUMBER(N1225),N(N1225)&gt;0),N(N1225),0)</f>
        <v>0.0</v>
      </c>
      <c r="Z1225" s="67">
        <f>IF(AND(ISNUMBER(P1225),N(P1225)&gt;0),N(P1225),0)</f>
        <v>0.0</v>
      </c>
    </row>
    <row r="1226">
      <c r="A1226" s="79" t="str">
        <f>IF(COUNTA(B1226:C1226,E1226:G1226,I1226)=0,"","BI-"&amp;RIGHT("0000"&amp;(ROW()-5),4))</f>
        <v/>
      </c>
      <c r="B1226" s="72" t="n"/>
      <c r="C1226" s="66" t="n"/>
      <c r="D1226" s="67" t="str">
        <f>IF(C1226="","",IFERROR(INDEX(eq_des,MATCH(C1226,eq_code,0))&amp;"","Équipement inconnu"))</f>
        <v/>
      </c>
      <c r="E1226" s="68" t="n"/>
      <c r="F1226" s="68" t="n"/>
      <c r="G1226" s="66" t="n"/>
      <c r="H1226" s="66" t="n"/>
      <c r="I1226" s="68" t="n"/>
      <c r="J1226" s="73" t="n"/>
      <c r="K1226" s="71" t="n"/>
      <c r="L1226" s="71" t="n"/>
      <c r="M1226" s="66" t="n"/>
      <c r="N1226" s="80" t="n"/>
      <c r="O1226" s="81" t="str">
        <f>IF(A1226="","",ROUND(V1226*IFERROR(N(INDEX(tech_rate,MATCH(M1226,tech_name,0))),0),2))</f>
        <v/>
      </c>
      <c r="P1226" s="80" t="n"/>
      <c r="Q1226" s="81" t="str">
        <f>IF(A1226="","",ROUND(Y1226+O1226+Z1226,2))</f>
        <v/>
      </c>
      <c r="R1226" s="79" t="str">
        <f>IF(A1226="","",IF(S1226=0,"Date manquante ou invalide",IF(C1226="","Équipement manquant",IF(ISNA(MATCH(C1226,eq_code,0)),"Équipement inconnu",IF(E1226="","Type manquant",IF(AND(E1226&lt;&gt;"Préventif",E1226&lt;&gt;"Correctif",E1226&lt;&gt;"Amélioratif"),"Type inconnu",IF(I1226="","Statut manquant",IF(AND(I1226&lt;&gt;"Terminée",I1226&lt;&gt;"En cours",I1226&lt;&gt;"À faire",I1226&lt;&gt;"Annulée"),"Statut inconnu",IF(AND(E1226="Préventif",F1226=""),"Plan manquant (préventif)",IF(AND(F1226&lt;&gt;"",ISNA(MATCH(F1226,pl_num,0))),"Plan inconnu",IF(AND(F1226&lt;&gt;"",IFERROR(INDEX(pl_eq,MATCH(F1226,pl_num,0))&amp;"",C1226)&lt;&gt;C1226),"Plan d'un autre équipement",IF(AND(J1226&lt;&gt;"",OR(NOT(ISNUMBER(J1226)),N(J1226)&lt;0)),"Compteur invalide",IF(OR(AND(K1226&lt;&gt;"",OR(NOT(ISNUMBER(K1226)),N(K1226)&lt;0)),AND(L1226&lt;&gt;"",OR(NOT(ISNUMBER(L1226)),N(L1226)&lt;0))),"Durée invalide",IF(OR(AND(N1226&lt;&gt;"",OR(NOT(ISNUMBER(N1226)),N(N1226)&lt;0)),AND(P1226&lt;&gt;"",OR(NOT(ISNUMBER(P1226)),N(P1226)&lt;0))),"Coût invalide",IF(AND(M1226&lt;&gt;"",ISNA(MATCH(M1226,tech_name,0))),"Technicien inconnu",IF(AND(I1226="Terminée",S1226&gt;p_today),"Terminée à une date future",IF(AND(I1226="Terminée",V1226=0),"Durée d'intervention manquante",IF(AND(I1226="Terminée",E1226="Préventif",T1226=0,OR(IFERROR(INDEX(pl_trig,MATCH(F1226,pl_num,0))&amp;"","")="Compteur",IFERROR(INDEX(pl_trig,MATCH(F1226,pl_num,0))&amp;"","")="Au premier des deux")),"Compteur manquant (plan au compteur)","OK"))))))))))))))))))</f>
        <v/>
      </c>
      <c r="S1226" s="67">
        <f>IF(AND(ISNUMBER(B1226),N(B1226)&gt;0),INT(B1226),0)</f>
        <v>0.0</v>
      </c>
      <c r="T1226" s="67">
        <f>IF(AND(ISNUMBER(J1226),N(J1226)&gt;=0),N(J1226),0)</f>
        <v>0.0</v>
      </c>
      <c r="U1226" s="67">
        <f>IF(AND(ISNUMBER(K1226),N(K1226)&gt;0),N(K1226),0)</f>
        <v>0.0</v>
      </c>
      <c r="V1226" s="67">
        <f>IF(AND(ISNUMBER(L1226),N(L1226)&gt;0),N(L1226),0)</f>
        <v>0.0</v>
      </c>
      <c r="W1226" s="67">
        <f>IF(AND(I1226="Terminée",S1226&gt;0,C1226&lt;&gt;"",ISNUMBER(MATCH(C1226,eq_code,0))),1,0)</f>
        <v>0.0</v>
      </c>
      <c r="X1226" s="67">
        <f>IF(AND(W1226=1,E1226="Préventif"),1,0)</f>
        <v>0.0</v>
      </c>
      <c r="Y1226" s="67">
        <f>IF(AND(ISNUMBER(N1226),N(N1226)&gt;0),N(N1226),0)</f>
        <v>0.0</v>
      </c>
      <c r="Z1226" s="67">
        <f>IF(AND(ISNUMBER(P1226),N(P1226)&gt;0),N(P1226),0)</f>
        <v>0.0</v>
      </c>
    </row>
    <row r="1227">
      <c r="A1227" s="79" t="str">
        <f>IF(COUNTA(B1227:C1227,E1227:G1227,I1227)=0,"","BI-"&amp;RIGHT("0000"&amp;(ROW()-5),4))</f>
        <v/>
      </c>
      <c r="B1227" s="72" t="n"/>
      <c r="C1227" s="66" t="n"/>
      <c r="D1227" s="67" t="str">
        <f>IF(C1227="","",IFERROR(INDEX(eq_des,MATCH(C1227,eq_code,0))&amp;"","Équipement inconnu"))</f>
        <v/>
      </c>
      <c r="E1227" s="68" t="n"/>
      <c r="F1227" s="68" t="n"/>
      <c r="G1227" s="66" t="n"/>
      <c r="H1227" s="66" t="n"/>
      <c r="I1227" s="68" t="n"/>
      <c r="J1227" s="73" t="n"/>
      <c r="K1227" s="71" t="n"/>
      <c r="L1227" s="71" t="n"/>
      <c r="M1227" s="66" t="n"/>
      <c r="N1227" s="80" t="n"/>
      <c r="O1227" s="81" t="str">
        <f>IF(A1227="","",ROUND(V1227*IFERROR(N(INDEX(tech_rate,MATCH(M1227,tech_name,0))),0),2))</f>
        <v/>
      </c>
      <c r="P1227" s="80" t="n"/>
      <c r="Q1227" s="81" t="str">
        <f>IF(A1227="","",ROUND(Y1227+O1227+Z1227,2))</f>
        <v/>
      </c>
      <c r="R1227" s="79" t="str">
        <f>IF(A1227="","",IF(S1227=0,"Date manquante ou invalide",IF(C1227="","Équipement manquant",IF(ISNA(MATCH(C1227,eq_code,0)),"Équipement inconnu",IF(E1227="","Type manquant",IF(AND(E1227&lt;&gt;"Préventif",E1227&lt;&gt;"Correctif",E1227&lt;&gt;"Amélioratif"),"Type inconnu",IF(I1227="","Statut manquant",IF(AND(I1227&lt;&gt;"Terminée",I1227&lt;&gt;"En cours",I1227&lt;&gt;"À faire",I1227&lt;&gt;"Annulée"),"Statut inconnu",IF(AND(E1227="Préventif",F1227=""),"Plan manquant (préventif)",IF(AND(F1227&lt;&gt;"",ISNA(MATCH(F1227,pl_num,0))),"Plan inconnu",IF(AND(F1227&lt;&gt;"",IFERROR(INDEX(pl_eq,MATCH(F1227,pl_num,0))&amp;"",C1227)&lt;&gt;C1227),"Plan d'un autre équipement",IF(AND(J1227&lt;&gt;"",OR(NOT(ISNUMBER(J1227)),N(J1227)&lt;0)),"Compteur invalide",IF(OR(AND(K1227&lt;&gt;"",OR(NOT(ISNUMBER(K1227)),N(K1227)&lt;0)),AND(L1227&lt;&gt;"",OR(NOT(ISNUMBER(L1227)),N(L1227)&lt;0))),"Durée invalide",IF(OR(AND(N1227&lt;&gt;"",OR(NOT(ISNUMBER(N1227)),N(N1227)&lt;0)),AND(P1227&lt;&gt;"",OR(NOT(ISNUMBER(P1227)),N(P1227)&lt;0))),"Coût invalide",IF(AND(M1227&lt;&gt;"",ISNA(MATCH(M1227,tech_name,0))),"Technicien inconnu",IF(AND(I1227="Terminée",S1227&gt;p_today),"Terminée à une date future",IF(AND(I1227="Terminée",V1227=0),"Durée d'intervention manquante",IF(AND(I1227="Terminée",E1227="Préventif",T1227=0,OR(IFERROR(INDEX(pl_trig,MATCH(F1227,pl_num,0))&amp;"","")="Compteur",IFERROR(INDEX(pl_trig,MATCH(F1227,pl_num,0))&amp;"","")="Au premier des deux")),"Compteur manquant (plan au compteur)","OK"))))))))))))))))))</f>
        <v/>
      </c>
      <c r="S1227" s="67">
        <f>IF(AND(ISNUMBER(B1227),N(B1227)&gt;0),INT(B1227),0)</f>
        <v>0.0</v>
      </c>
      <c r="T1227" s="67">
        <f>IF(AND(ISNUMBER(J1227),N(J1227)&gt;=0),N(J1227),0)</f>
        <v>0.0</v>
      </c>
      <c r="U1227" s="67">
        <f>IF(AND(ISNUMBER(K1227),N(K1227)&gt;0),N(K1227),0)</f>
        <v>0.0</v>
      </c>
      <c r="V1227" s="67">
        <f>IF(AND(ISNUMBER(L1227),N(L1227)&gt;0),N(L1227),0)</f>
        <v>0.0</v>
      </c>
      <c r="W1227" s="67">
        <f>IF(AND(I1227="Terminée",S1227&gt;0,C1227&lt;&gt;"",ISNUMBER(MATCH(C1227,eq_code,0))),1,0)</f>
        <v>0.0</v>
      </c>
      <c r="X1227" s="67">
        <f>IF(AND(W1227=1,E1227="Préventif"),1,0)</f>
        <v>0.0</v>
      </c>
      <c r="Y1227" s="67">
        <f>IF(AND(ISNUMBER(N1227),N(N1227)&gt;0),N(N1227),0)</f>
        <v>0.0</v>
      </c>
      <c r="Z1227" s="67">
        <f>IF(AND(ISNUMBER(P1227),N(P1227)&gt;0),N(P1227),0)</f>
        <v>0.0</v>
      </c>
    </row>
    <row r="1228">
      <c r="A1228" s="79" t="str">
        <f>IF(COUNTA(B1228:C1228,E1228:G1228,I1228)=0,"","BI-"&amp;RIGHT("0000"&amp;(ROW()-5),4))</f>
        <v/>
      </c>
      <c r="B1228" s="72" t="n"/>
      <c r="C1228" s="66" t="n"/>
      <c r="D1228" s="67" t="str">
        <f>IF(C1228="","",IFERROR(INDEX(eq_des,MATCH(C1228,eq_code,0))&amp;"","Équipement inconnu"))</f>
        <v/>
      </c>
      <c r="E1228" s="68" t="n"/>
      <c r="F1228" s="68" t="n"/>
      <c r="G1228" s="66" t="n"/>
      <c r="H1228" s="66" t="n"/>
      <c r="I1228" s="68" t="n"/>
      <c r="J1228" s="73" t="n"/>
      <c r="K1228" s="71" t="n"/>
      <c r="L1228" s="71" t="n"/>
      <c r="M1228" s="66" t="n"/>
      <c r="N1228" s="80" t="n"/>
      <c r="O1228" s="81" t="str">
        <f>IF(A1228="","",ROUND(V1228*IFERROR(N(INDEX(tech_rate,MATCH(M1228,tech_name,0))),0),2))</f>
        <v/>
      </c>
      <c r="P1228" s="80" t="n"/>
      <c r="Q1228" s="81" t="str">
        <f>IF(A1228="","",ROUND(Y1228+O1228+Z1228,2))</f>
        <v/>
      </c>
      <c r="R1228" s="79" t="str">
        <f>IF(A1228="","",IF(S1228=0,"Date manquante ou invalide",IF(C1228="","Équipement manquant",IF(ISNA(MATCH(C1228,eq_code,0)),"Équipement inconnu",IF(E1228="","Type manquant",IF(AND(E1228&lt;&gt;"Préventif",E1228&lt;&gt;"Correctif",E1228&lt;&gt;"Amélioratif"),"Type inconnu",IF(I1228="","Statut manquant",IF(AND(I1228&lt;&gt;"Terminée",I1228&lt;&gt;"En cours",I1228&lt;&gt;"À faire",I1228&lt;&gt;"Annulée"),"Statut inconnu",IF(AND(E1228="Préventif",F1228=""),"Plan manquant (préventif)",IF(AND(F1228&lt;&gt;"",ISNA(MATCH(F1228,pl_num,0))),"Plan inconnu",IF(AND(F1228&lt;&gt;"",IFERROR(INDEX(pl_eq,MATCH(F1228,pl_num,0))&amp;"",C1228)&lt;&gt;C1228),"Plan d'un autre équipement",IF(AND(J1228&lt;&gt;"",OR(NOT(ISNUMBER(J1228)),N(J1228)&lt;0)),"Compteur invalide",IF(OR(AND(K1228&lt;&gt;"",OR(NOT(ISNUMBER(K1228)),N(K1228)&lt;0)),AND(L1228&lt;&gt;"",OR(NOT(ISNUMBER(L1228)),N(L1228)&lt;0))),"Durée invalide",IF(OR(AND(N1228&lt;&gt;"",OR(NOT(ISNUMBER(N1228)),N(N1228)&lt;0)),AND(P1228&lt;&gt;"",OR(NOT(ISNUMBER(P1228)),N(P1228)&lt;0))),"Coût invalide",IF(AND(M1228&lt;&gt;"",ISNA(MATCH(M1228,tech_name,0))),"Technicien inconnu",IF(AND(I1228="Terminée",S1228&gt;p_today),"Terminée à une date future",IF(AND(I1228="Terminée",V1228=0),"Durée d'intervention manquante",IF(AND(I1228="Terminée",E1228="Préventif",T1228=0,OR(IFERROR(INDEX(pl_trig,MATCH(F1228,pl_num,0))&amp;"","")="Compteur",IFERROR(INDEX(pl_trig,MATCH(F1228,pl_num,0))&amp;"","")="Au premier des deux")),"Compteur manquant (plan au compteur)","OK"))))))))))))))))))</f>
        <v/>
      </c>
      <c r="S1228" s="67">
        <f>IF(AND(ISNUMBER(B1228),N(B1228)&gt;0),INT(B1228),0)</f>
        <v>0.0</v>
      </c>
      <c r="T1228" s="67">
        <f>IF(AND(ISNUMBER(J1228),N(J1228)&gt;=0),N(J1228),0)</f>
        <v>0.0</v>
      </c>
      <c r="U1228" s="67">
        <f>IF(AND(ISNUMBER(K1228),N(K1228)&gt;0),N(K1228),0)</f>
        <v>0.0</v>
      </c>
      <c r="V1228" s="67">
        <f>IF(AND(ISNUMBER(L1228),N(L1228)&gt;0),N(L1228),0)</f>
        <v>0.0</v>
      </c>
      <c r="W1228" s="67">
        <f>IF(AND(I1228="Terminée",S1228&gt;0,C1228&lt;&gt;"",ISNUMBER(MATCH(C1228,eq_code,0))),1,0)</f>
        <v>0.0</v>
      </c>
      <c r="X1228" s="67">
        <f>IF(AND(W1228=1,E1228="Préventif"),1,0)</f>
        <v>0.0</v>
      </c>
      <c r="Y1228" s="67">
        <f>IF(AND(ISNUMBER(N1228),N(N1228)&gt;0),N(N1228),0)</f>
        <v>0.0</v>
      </c>
      <c r="Z1228" s="67">
        <f>IF(AND(ISNUMBER(P1228),N(P1228)&gt;0),N(P1228),0)</f>
        <v>0.0</v>
      </c>
    </row>
    <row r="1229">
      <c r="A1229" s="79" t="str">
        <f>IF(COUNTA(B1229:C1229,E1229:G1229,I1229)=0,"","BI-"&amp;RIGHT("0000"&amp;(ROW()-5),4))</f>
        <v/>
      </c>
      <c r="B1229" s="72" t="n"/>
      <c r="C1229" s="66" t="n"/>
      <c r="D1229" s="67" t="str">
        <f>IF(C1229="","",IFERROR(INDEX(eq_des,MATCH(C1229,eq_code,0))&amp;"","Équipement inconnu"))</f>
        <v/>
      </c>
      <c r="E1229" s="68" t="n"/>
      <c r="F1229" s="68" t="n"/>
      <c r="G1229" s="66" t="n"/>
      <c r="H1229" s="66" t="n"/>
      <c r="I1229" s="68" t="n"/>
      <c r="J1229" s="73" t="n"/>
      <c r="K1229" s="71" t="n"/>
      <c r="L1229" s="71" t="n"/>
      <c r="M1229" s="66" t="n"/>
      <c r="N1229" s="80" t="n"/>
      <c r="O1229" s="81" t="str">
        <f>IF(A1229="","",ROUND(V1229*IFERROR(N(INDEX(tech_rate,MATCH(M1229,tech_name,0))),0),2))</f>
        <v/>
      </c>
      <c r="P1229" s="80" t="n"/>
      <c r="Q1229" s="81" t="str">
        <f>IF(A1229="","",ROUND(Y1229+O1229+Z1229,2))</f>
        <v/>
      </c>
      <c r="R1229" s="79" t="str">
        <f>IF(A1229="","",IF(S1229=0,"Date manquante ou invalide",IF(C1229="","Équipement manquant",IF(ISNA(MATCH(C1229,eq_code,0)),"Équipement inconnu",IF(E1229="","Type manquant",IF(AND(E1229&lt;&gt;"Préventif",E1229&lt;&gt;"Correctif",E1229&lt;&gt;"Amélioratif"),"Type inconnu",IF(I1229="","Statut manquant",IF(AND(I1229&lt;&gt;"Terminée",I1229&lt;&gt;"En cours",I1229&lt;&gt;"À faire",I1229&lt;&gt;"Annulée"),"Statut inconnu",IF(AND(E1229="Préventif",F1229=""),"Plan manquant (préventif)",IF(AND(F1229&lt;&gt;"",ISNA(MATCH(F1229,pl_num,0))),"Plan inconnu",IF(AND(F1229&lt;&gt;"",IFERROR(INDEX(pl_eq,MATCH(F1229,pl_num,0))&amp;"",C1229)&lt;&gt;C1229),"Plan d'un autre équipement",IF(AND(J1229&lt;&gt;"",OR(NOT(ISNUMBER(J1229)),N(J1229)&lt;0)),"Compteur invalide",IF(OR(AND(K1229&lt;&gt;"",OR(NOT(ISNUMBER(K1229)),N(K1229)&lt;0)),AND(L1229&lt;&gt;"",OR(NOT(ISNUMBER(L1229)),N(L1229)&lt;0))),"Durée invalide",IF(OR(AND(N1229&lt;&gt;"",OR(NOT(ISNUMBER(N1229)),N(N1229)&lt;0)),AND(P1229&lt;&gt;"",OR(NOT(ISNUMBER(P1229)),N(P1229)&lt;0))),"Coût invalide",IF(AND(M1229&lt;&gt;"",ISNA(MATCH(M1229,tech_name,0))),"Technicien inconnu",IF(AND(I1229="Terminée",S1229&gt;p_today),"Terminée à une date future",IF(AND(I1229="Terminée",V1229=0),"Durée d'intervention manquante",IF(AND(I1229="Terminée",E1229="Préventif",T1229=0,OR(IFERROR(INDEX(pl_trig,MATCH(F1229,pl_num,0))&amp;"","")="Compteur",IFERROR(INDEX(pl_trig,MATCH(F1229,pl_num,0))&amp;"","")="Au premier des deux")),"Compteur manquant (plan au compteur)","OK"))))))))))))))))))</f>
        <v/>
      </c>
      <c r="S1229" s="67">
        <f>IF(AND(ISNUMBER(B1229),N(B1229)&gt;0),INT(B1229),0)</f>
        <v>0.0</v>
      </c>
      <c r="T1229" s="67">
        <f>IF(AND(ISNUMBER(J1229),N(J1229)&gt;=0),N(J1229),0)</f>
        <v>0.0</v>
      </c>
      <c r="U1229" s="67">
        <f>IF(AND(ISNUMBER(K1229),N(K1229)&gt;0),N(K1229),0)</f>
        <v>0.0</v>
      </c>
      <c r="V1229" s="67">
        <f>IF(AND(ISNUMBER(L1229),N(L1229)&gt;0),N(L1229),0)</f>
        <v>0.0</v>
      </c>
      <c r="W1229" s="67">
        <f>IF(AND(I1229="Terminée",S1229&gt;0,C1229&lt;&gt;"",ISNUMBER(MATCH(C1229,eq_code,0))),1,0)</f>
        <v>0.0</v>
      </c>
      <c r="X1229" s="67">
        <f>IF(AND(W1229=1,E1229="Préventif"),1,0)</f>
        <v>0.0</v>
      </c>
      <c r="Y1229" s="67">
        <f>IF(AND(ISNUMBER(N1229),N(N1229)&gt;0),N(N1229),0)</f>
        <v>0.0</v>
      </c>
      <c r="Z1229" s="67">
        <f>IF(AND(ISNUMBER(P1229),N(P1229)&gt;0),N(P1229),0)</f>
        <v>0.0</v>
      </c>
    </row>
    <row r="1230">
      <c r="A1230" s="79" t="str">
        <f>IF(COUNTA(B1230:C1230,E1230:G1230,I1230)=0,"","BI-"&amp;RIGHT("0000"&amp;(ROW()-5),4))</f>
        <v/>
      </c>
      <c r="B1230" s="72" t="n"/>
      <c r="C1230" s="66" t="n"/>
      <c r="D1230" s="67" t="str">
        <f>IF(C1230="","",IFERROR(INDEX(eq_des,MATCH(C1230,eq_code,0))&amp;"","Équipement inconnu"))</f>
        <v/>
      </c>
      <c r="E1230" s="68" t="n"/>
      <c r="F1230" s="68" t="n"/>
      <c r="G1230" s="66" t="n"/>
      <c r="H1230" s="66" t="n"/>
      <c r="I1230" s="68" t="n"/>
      <c r="J1230" s="73" t="n"/>
      <c r="K1230" s="71" t="n"/>
      <c r="L1230" s="71" t="n"/>
      <c r="M1230" s="66" t="n"/>
      <c r="N1230" s="80" t="n"/>
      <c r="O1230" s="81" t="str">
        <f>IF(A1230="","",ROUND(V1230*IFERROR(N(INDEX(tech_rate,MATCH(M1230,tech_name,0))),0),2))</f>
        <v/>
      </c>
      <c r="P1230" s="80" t="n"/>
      <c r="Q1230" s="81" t="str">
        <f>IF(A1230="","",ROUND(Y1230+O1230+Z1230,2))</f>
        <v/>
      </c>
      <c r="R1230" s="79" t="str">
        <f>IF(A1230="","",IF(S1230=0,"Date manquante ou invalide",IF(C1230="","Équipement manquant",IF(ISNA(MATCH(C1230,eq_code,0)),"Équipement inconnu",IF(E1230="","Type manquant",IF(AND(E1230&lt;&gt;"Préventif",E1230&lt;&gt;"Correctif",E1230&lt;&gt;"Amélioratif"),"Type inconnu",IF(I1230="","Statut manquant",IF(AND(I1230&lt;&gt;"Terminée",I1230&lt;&gt;"En cours",I1230&lt;&gt;"À faire",I1230&lt;&gt;"Annulée"),"Statut inconnu",IF(AND(E1230="Préventif",F1230=""),"Plan manquant (préventif)",IF(AND(F1230&lt;&gt;"",ISNA(MATCH(F1230,pl_num,0))),"Plan inconnu",IF(AND(F1230&lt;&gt;"",IFERROR(INDEX(pl_eq,MATCH(F1230,pl_num,0))&amp;"",C1230)&lt;&gt;C1230),"Plan d'un autre équipement",IF(AND(J1230&lt;&gt;"",OR(NOT(ISNUMBER(J1230)),N(J1230)&lt;0)),"Compteur invalide",IF(OR(AND(K1230&lt;&gt;"",OR(NOT(ISNUMBER(K1230)),N(K1230)&lt;0)),AND(L1230&lt;&gt;"",OR(NOT(ISNUMBER(L1230)),N(L1230)&lt;0))),"Durée invalide",IF(OR(AND(N1230&lt;&gt;"",OR(NOT(ISNUMBER(N1230)),N(N1230)&lt;0)),AND(P1230&lt;&gt;"",OR(NOT(ISNUMBER(P1230)),N(P1230)&lt;0))),"Coût invalide",IF(AND(M1230&lt;&gt;"",ISNA(MATCH(M1230,tech_name,0))),"Technicien inconnu",IF(AND(I1230="Terminée",S1230&gt;p_today),"Terminée à une date future",IF(AND(I1230="Terminée",V1230=0),"Durée d'intervention manquante",IF(AND(I1230="Terminée",E1230="Préventif",T1230=0,OR(IFERROR(INDEX(pl_trig,MATCH(F1230,pl_num,0))&amp;"","")="Compteur",IFERROR(INDEX(pl_trig,MATCH(F1230,pl_num,0))&amp;"","")="Au premier des deux")),"Compteur manquant (plan au compteur)","OK"))))))))))))))))))</f>
        <v/>
      </c>
      <c r="S1230" s="67">
        <f>IF(AND(ISNUMBER(B1230),N(B1230)&gt;0),INT(B1230),0)</f>
        <v>0.0</v>
      </c>
      <c r="T1230" s="67">
        <f>IF(AND(ISNUMBER(J1230),N(J1230)&gt;=0),N(J1230),0)</f>
        <v>0.0</v>
      </c>
      <c r="U1230" s="67">
        <f>IF(AND(ISNUMBER(K1230),N(K1230)&gt;0),N(K1230),0)</f>
        <v>0.0</v>
      </c>
      <c r="V1230" s="67">
        <f>IF(AND(ISNUMBER(L1230),N(L1230)&gt;0),N(L1230),0)</f>
        <v>0.0</v>
      </c>
      <c r="W1230" s="67">
        <f>IF(AND(I1230="Terminée",S1230&gt;0,C1230&lt;&gt;"",ISNUMBER(MATCH(C1230,eq_code,0))),1,0)</f>
        <v>0.0</v>
      </c>
      <c r="X1230" s="67">
        <f>IF(AND(W1230=1,E1230="Préventif"),1,0)</f>
        <v>0.0</v>
      </c>
      <c r="Y1230" s="67">
        <f>IF(AND(ISNUMBER(N1230),N(N1230)&gt;0),N(N1230),0)</f>
        <v>0.0</v>
      </c>
      <c r="Z1230" s="67">
        <f>IF(AND(ISNUMBER(P1230),N(P1230)&gt;0),N(P1230),0)</f>
        <v>0.0</v>
      </c>
    </row>
    <row r="1231">
      <c r="A1231" s="79" t="str">
        <f>IF(COUNTA(B1231:C1231,E1231:G1231,I1231)=0,"","BI-"&amp;RIGHT("0000"&amp;(ROW()-5),4))</f>
        <v/>
      </c>
      <c r="B1231" s="72" t="n"/>
      <c r="C1231" s="66" t="n"/>
      <c r="D1231" s="67" t="str">
        <f>IF(C1231="","",IFERROR(INDEX(eq_des,MATCH(C1231,eq_code,0))&amp;"","Équipement inconnu"))</f>
        <v/>
      </c>
      <c r="E1231" s="68" t="n"/>
      <c r="F1231" s="68" t="n"/>
      <c r="G1231" s="66" t="n"/>
      <c r="H1231" s="66" t="n"/>
      <c r="I1231" s="68" t="n"/>
      <c r="J1231" s="73" t="n"/>
      <c r="K1231" s="71" t="n"/>
      <c r="L1231" s="71" t="n"/>
      <c r="M1231" s="66" t="n"/>
      <c r="N1231" s="80" t="n"/>
      <c r="O1231" s="81" t="str">
        <f>IF(A1231="","",ROUND(V1231*IFERROR(N(INDEX(tech_rate,MATCH(M1231,tech_name,0))),0),2))</f>
        <v/>
      </c>
      <c r="P1231" s="80" t="n"/>
      <c r="Q1231" s="81" t="str">
        <f>IF(A1231="","",ROUND(Y1231+O1231+Z1231,2))</f>
        <v/>
      </c>
      <c r="R1231" s="79" t="str">
        <f>IF(A1231="","",IF(S1231=0,"Date manquante ou invalide",IF(C1231="","Équipement manquant",IF(ISNA(MATCH(C1231,eq_code,0)),"Équipement inconnu",IF(E1231="","Type manquant",IF(AND(E1231&lt;&gt;"Préventif",E1231&lt;&gt;"Correctif",E1231&lt;&gt;"Amélioratif"),"Type inconnu",IF(I1231="","Statut manquant",IF(AND(I1231&lt;&gt;"Terminée",I1231&lt;&gt;"En cours",I1231&lt;&gt;"À faire",I1231&lt;&gt;"Annulée"),"Statut inconnu",IF(AND(E1231="Préventif",F1231=""),"Plan manquant (préventif)",IF(AND(F1231&lt;&gt;"",ISNA(MATCH(F1231,pl_num,0))),"Plan inconnu",IF(AND(F1231&lt;&gt;"",IFERROR(INDEX(pl_eq,MATCH(F1231,pl_num,0))&amp;"",C1231)&lt;&gt;C1231),"Plan d'un autre équipement",IF(AND(J1231&lt;&gt;"",OR(NOT(ISNUMBER(J1231)),N(J1231)&lt;0)),"Compteur invalide",IF(OR(AND(K1231&lt;&gt;"",OR(NOT(ISNUMBER(K1231)),N(K1231)&lt;0)),AND(L1231&lt;&gt;"",OR(NOT(ISNUMBER(L1231)),N(L1231)&lt;0))),"Durée invalide",IF(OR(AND(N1231&lt;&gt;"",OR(NOT(ISNUMBER(N1231)),N(N1231)&lt;0)),AND(P1231&lt;&gt;"",OR(NOT(ISNUMBER(P1231)),N(P1231)&lt;0))),"Coût invalide",IF(AND(M1231&lt;&gt;"",ISNA(MATCH(M1231,tech_name,0))),"Technicien inconnu",IF(AND(I1231="Terminée",S1231&gt;p_today),"Terminée à une date future",IF(AND(I1231="Terminée",V1231=0),"Durée d'intervention manquante",IF(AND(I1231="Terminée",E1231="Préventif",T1231=0,OR(IFERROR(INDEX(pl_trig,MATCH(F1231,pl_num,0))&amp;"","")="Compteur",IFERROR(INDEX(pl_trig,MATCH(F1231,pl_num,0))&amp;"","")="Au premier des deux")),"Compteur manquant (plan au compteur)","OK"))))))))))))))))))</f>
        <v/>
      </c>
      <c r="S1231" s="67">
        <f>IF(AND(ISNUMBER(B1231),N(B1231)&gt;0),INT(B1231),0)</f>
        <v>0.0</v>
      </c>
      <c r="T1231" s="67">
        <f>IF(AND(ISNUMBER(J1231),N(J1231)&gt;=0),N(J1231),0)</f>
        <v>0.0</v>
      </c>
      <c r="U1231" s="67">
        <f>IF(AND(ISNUMBER(K1231),N(K1231)&gt;0),N(K1231),0)</f>
        <v>0.0</v>
      </c>
      <c r="V1231" s="67">
        <f>IF(AND(ISNUMBER(L1231),N(L1231)&gt;0),N(L1231),0)</f>
        <v>0.0</v>
      </c>
      <c r="W1231" s="67">
        <f>IF(AND(I1231="Terminée",S1231&gt;0,C1231&lt;&gt;"",ISNUMBER(MATCH(C1231,eq_code,0))),1,0)</f>
        <v>0.0</v>
      </c>
      <c r="X1231" s="67">
        <f>IF(AND(W1231=1,E1231="Préventif"),1,0)</f>
        <v>0.0</v>
      </c>
      <c r="Y1231" s="67">
        <f>IF(AND(ISNUMBER(N1231),N(N1231)&gt;0),N(N1231),0)</f>
        <v>0.0</v>
      </c>
      <c r="Z1231" s="67">
        <f>IF(AND(ISNUMBER(P1231),N(P1231)&gt;0),N(P1231),0)</f>
        <v>0.0</v>
      </c>
    </row>
    <row r="1232">
      <c r="A1232" s="79" t="str">
        <f>IF(COUNTA(B1232:C1232,E1232:G1232,I1232)=0,"","BI-"&amp;RIGHT("0000"&amp;(ROW()-5),4))</f>
        <v/>
      </c>
      <c r="B1232" s="72" t="n"/>
      <c r="C1232" s="66" t="n"/>
      <c r="D1232" s="67" t="str">
        <f>IF(C1232="","",IFERROR(INDEX(eq_des,MATCH(C1232,eq_code,0))&amp;"","Équipement inconnu"))</f>
        <v/>
      </c>
      <c r="E1232" s="68" t="n"/>
      <c r="F1232" s="68" t="n"/>
      <c r="G1232" s="66" t="n"/>
      <c r="H1232" s="66" t="n"/>
      <c r="I1232" s="68" t="n"/>
      <c r="J1232" s="73" t="n"/>
      <c r="K1232" s="71" t="n"/>
      <c r="L1232" s="71" t="n"/>
      <c r="M1232" s="66" t="n"/>
      <c r="N1232" s="80" t="n"/>
      <c r="O1232" s="81" t="str">
        <f>IF(A1232="","",ROUND(V1232*IFERROR(N(INDEX(tech_rate,MATCH(M1232,tech_name,0))),0),2))</f>
        <v/>
      </c>
      <c r="P1232" s="80" t="n"/>
      <c r="Q1232" s="81" t="str">
        <f>IF(A1232="","",ROUND(Y1232+O1232+Z1232,2))</f>
        <v/>
      </c>
      <c r="R1232" s="79" t="str">
        <f>IF(A1232="","",IF(S1232=0,"Date manquante ou invalide",IF(C1232="","Équipement manquant",IF(ISNA(MATCH(C1232,eq_code,0)),"Équipement inconnu",IF(E1232="","Type manquant",IF(AND(E1232&lt;&gt;"Préventif",E1232&lt;&gt;"Correctif",E1232&lt;&gt;"Amélioratif"),"Type inconnu",IF(I1232="","Statut manquant",IF(AND(I1232&lt;&gt;"Terminée",I1232&lt;&gt;"En cours",I1232&lt;&gt;"À faire",I1232&lt;&gt;"Annulée"),"Statut inconnu",IF(AND(E1232="Préventif",F1232=""),"Plan manquant (préventif)",IF(AND(F1232&lt;&gt;"",ISNA(MATCH(F1232,pl_num,0))),"Plan inconnu",IF(AND(F1232&lt;&gt;"",IFERROR(INDEX(pl_eq,MATCH(F1232,pl_num,0))&amp;"",C1232)&lt;&gt;C1232),"Plan d'un autre équipement",IF(AND(J1232&lt;&gt;"",OR(NOT(ISNUMBER(J1232)),N(J1232)&lt;0)),"Compteur invalide",IF(OR(AND(K1232&lt;&gt;"",OR(NOT(ISNUMBER(K1232)),N(K1232)&lt;0)),AND(L1232&lt;&gt;"",OR(NOT(ISNUMBER(L1232)),N(L1232)&lt;0))),"Durée invalide",IF(OR(AND(N1232&lt;&gt;"",OR(NOT(ISNUMBER(N1232)),N(N1232)&lt;0)),AND(P1232&lt;&gt;"",OR(NOT(ISNUMBER(P1232)),N(P1232)&lt;0))),"Coût invalide",IF(AND(M1232&lt;&gt;"",ISNA(MATCH(M1232,tech_name,0))),"Technicien inconnu",IF(AND(I1232="Terminée",S1232&gt;p_today),"Terminée à une date future",IF(AND(I1232="Terminée",V1232=0),"Durée d'intervention manquante",IF(AND(I1232="Terminée",E1232="Préventif",T1232=0,OR(IFERROR(INDEX(pl_trig,MATCH(F1232,pl_num,0))&amp;"","")="Compteur",IFERROR(INDEX(pl_trig,MATCH(F1232,pl_num,0))&amp;"","")="Au premier des deux")),"Compteur manquant (plan au compteur)","OK"))))))))))))))))))</f>
        <v/>
      </c>
      <c r="S1232" s="67">
        <f>IF(AND(ISNUMBER(B1232),N(B1232)&gt;0),INT(B1232),0)</f>
        <v>0.0</v>
      </c>
      <c r="T1232" s="67">
        <f>IF(AND(ISNUMBER(J1232),N(J1232)&gt;=0),N(J1232),0)</f>
        <v>0.0</v>
      </c>
      <c r="U1232" s="67">
        <f>IF(AND(ISNUMBER(K1232),N(K1232)&gt;0),N(K1232),0)</f>
        <v>0.0</v>
      </c>
      <c r="V1232" s="67">
        <f>IF(AND(ISNUMBER(L1232),N(L1232)&gt;0),N(L1232),0)</f>
        <v>0.0</v>
      </c>
      <c r="W1232" s="67">
        <f>IF(AND(I1232="Terminée",S1232&gt;0,C1232&lt;&gt;"",ISNUMBER(MATCH(C1232,eq_code,0))),1,0)</f>
        <v>0.0</v>
      </c>
      <c r="X1232" s="67">
        <f>IF(AND(W1232=1,E1232="Préventif"),1,0)</f>
        <v>0.0</v>
      </c>
      <c r="Y1232" s="67">
        <f>IF(AND(ISNUMBER(N1232),N(N1232)&gt;0),N(N1232),0)</f>
        <v>0.0</v>
      </c>
      <c r="Z1232" s="67">
        <f>IF(AND(ISNUMBER(P1232),N(P1232)&gt;0),N(P1232),0)</f>
        <v>0.0</v>
      </c>
    </row>
    <row r="1233">
      <c r="A1233" s="79" t="str">
        <f>IF(COUNTA(B1233:C1233,E1233:G1233,I1233)=0,"","BI-"&amp;RIGHT("0000"&amp;(ROW()-5),4))</f>
        <v/>
      </c>
      <c r="B1233" s="72" t="n"/>
      <c r="C1233" s="66" t="n"/>
      <c r="D1233" s="67" t="str">
        <f>IF(C1233="","",IFERROR(INDEX(eq_des,MATCH(C1233,eq_code,0))&amp;"","Équipement inconnu"))</f>
        <v/>
      </c>
      <c r="E1233" s="68" t="n"/>
      <c r="F1233" s="68" t="n"/>
      <c r="G1233" s="66" t="n"/>
      <c r="H1233" s="66" t="n"/>
      <c r="I1233" s="68" t="n"/>
      <c r="J1233" s="73" t="n"/>
      <c r="K1233" s="71" t="n"/>
      <c r="L1233" s="71" t="n"/>
      <c r="M1233" s="66" t="n"/>
      <c r="N1233" s="80" t="n"/>
      <c r="O1233" s="81" t="str">
        <f>IF(A1233="","",ROUND(V1233*IFERROR(N(INDEX(tech_rate,MATCH(M1233,tech_name,0))),0),2))</f>
        <v/>
      </c>
      <c r="P1233" s="80" t="n"/>
      <c r="Q1233" s="81" t="str">
        <f>IF(A1233="","",ROUND(Y1233+O1233+Z1233,2))</f>
        <v/>
      </c>
      <c r="R1233" s="79" t="str">
        <f>IF(A1233="","",IF(S1233=0,"Date manquante ou invalide",IF(C1233="","Équipement manquant",IF(ISNA(MATCH(C1233,eq_code,0)),"Équipement inconnu",IF(E1233="","Type manquant",IF(AND(E1233&lt;&gt;"Préventif",E1233&lt;&gt;"Correctif",E1233&lt;&gt;"Amélioratif"),"Type inconnu",IF(I1233="","Statut manquant",IF(AND(I1233&lt;&gt;"Terminée",I1233&lt;&gt;"En cours",I1233&lt;&gt;"À faire",I1233&lt;&gt;"Annulée"),"Statut inconnu",IF(AND(E1233="Préventif",F1233=""),"Plan manquant (préventif)",IF(AND(F1233&lt;&gt;"",ISNA(MATCH(F1233,pl_num,0))),"Plan inconnu",IF(AND(F1233&lt;&gt;"",IFERROR(INDEX(pl_eq,MATCH(F1233,pl_num,0))&amp;"",C1233)&lt;&gt;C1233),"Plan d'un autre équipement",IF(AND(J1233&lt;&gt;"",OR(NOT(ISNUMBER(J1233)),N(J1233)&lt;0)),"Compteur invalide",IF(OR(AND(K1233&lt;&gt;"",OR(NOT(ISNUMBER(K1233)),N(K1233)&lt;0)),AND(L1233&lt;&gt;"",OR(NOT(ISNUMBER(L1233)),N(L1233)&lt;0))),"Durée invalide",IF(OR(AND(N1233&lt;&gt;"",OR(NOT(ISNUMBER(N1233)),N(N1233)&lt;0)),AND(P1233&lt;&gt;"",OR(NOT(ISNUMBER(P1233)),N(P1233)&lt;0))),"Coût invalide",IF(AND(M1233&lt;&gt;"",ISNA(MATCH(M1233,tech_name,0))),"Technicien inconnu",IF(AND(I1233="Terminée",S1233&gt;p_today),"Terminée à une date future",IF(AND(I1233="Terminée",V1233=0),"Durée d'intervention manquante",IF(AND(I1233="Terminée",E1233="Préventif",T1233=0,OR(IFERROR(INDEX(pl_trig,MATCH(F1233,pl_num,0))&amp;"","")="Compteur",IFERROR(INDEX(pl_trig,MATCH(F1233,pl_num,0))&amp;"","")="Au premier des deux")),"Compteur manquant (plan au compteur)","OK"))))))))))))))))))</f>
        <v/>
      </c>
      <c r="S1233" s="67">
        <f>IF(AND(ISNUMBER(B1233),N(B1233)&gt;0),INT(B1233),0)</f>
        <v>0.0</v>
      </c>
      <c r="T1233" s="67">
        <f>IF(AND(ISNUMBER(J1233),N(J1233)&gt;=0),N(J1233),0)</f>
        <v>0.0</v>
      </c>
      <c r="U1233" s="67">
        <f>IF(AND(ISNUMBER(K1233),N(K1233)&gt;0),N(K1233),0)</f>
        <v>0.0</v>
      </c>
      <c r="V1233" s="67">
        <f>IF(AND(ISNUMBER(L1233),N(L1233)&gt;0),N(L1233),0)</f>
        <v>0.0</v>
      </c>
      <c r="W1233" s="67">
        <f>IF(AND(I1233="Terminée",S1233&gt;0,C1233&lt;&gt;"",ISNUMBER(MATCH(C1233,eq_code,0))),1,0)</f>
        <v>0.0</v>
      </c>
      <c r="X1233" s="67">
        <f>IF(AND(W1233=1,E1233="Préventif"),1,0)</f>
        <v>0.0</v>
      </c>
      <c r="Y1233" s="67">
        <f>IF(AND(ISNUMBER(N1233),N(N1233)&gt;0),N(N1233),0)</f>
        <v>0.0</v>
      </c>
      <c r="Z1233" s="67">
        <f>IF(AND(ISNUMBER(P1233),N(P1233)&gt;0),N(P1233),0)</f>
        <v>0.0</v>
      </c>
    </row>
    <row r="1234">
      <c r="A1234" s="79" t="str">
        <f>IF(COUNTA(B1234:C1234,E1234:G1234,I1234)=0,"","BI-"&amp;RIGHT("0000"&amp;(ROW()-5),4))</f>
        <v/>
      </c>
      <c r="B1234" s="72" t="n"/>
      <c r="C1234" s="66" t="n"/>
      <c r="D1234" s="67" t="str">
        <f>IF(C1234="","",IFERROR(INDEX(eq_des,MATCH(C1234,eq_code,0))&amp;"","Équipement inconnu"))</f>
        <v/>
      </c>
      <c r="E1234" s="68" t="n"/>
      <c r="F1234" s="68" t="n"/>
      <c r="G1234" s="66" t="n"/>
      <c r="H1234" s="66" t="n"/>
      <c r="I1234" s="68" t="n"/>
      <c r="J1234" s="73" t="n"/>
      <c r="K1234" s="71" t="n"/>
      <c r="L1234" s="71" t="n"/>
      <c r="M1234" s="66" t="n"/>
      <c r="N1234" s="80" t="n"/>
      <c r="O1234" s="81" t="str">
        <f>IF(A1234="","",ROUND(V1234*IFERROR(N(INDEX(tech_rate,MATCH(M1234,tech_name,0))),0),2))</f>
        <v/>
      </c>
      <c r="P1234" s="80" t="n"/>
      <c r="Q1234" s="81" t="str">
        <f>IF(A1234="","",ROUND(Y1234+O1234+Z1234,2))</f>
        <v/>
      </c>
      <c r="R1234" s="79" t="str">
        <f>IF(A1234="","",IF(S1234=0,"Date manquante ou invalide",IF(C1234="","Équipement manquant",IF(ISNA(MATCH(C1234,eq_code,0)),"Équipement inconnu",IF(E1234="","Type manquant",IF(AND(E1234&lt;&gt;"Préventif",E1234&lt;&gt;"Correctif",E1234&lt;&gt;"Amélioratif"),"Type inconnu",IF(I1234="","Statut manquant",IF(AND(I1234&lt;&gt;"Terminée",I1234&lt;&gt;"En cours",I1234&lt;&gt;"À faire",I1234&lt;&gt;"Annulée"),"Statut inconnu",IF(AND(E1234="Préventif",F1234=""),"Plan manquant (préventif)",IF(AND(F1234&lt;&gt;"",ISNA(MATCH(F1234,pl_num,0))),"Plan inconnu",IF(AND(F1234&lt;&gt;"",IFERROR(INDEX(pl_eq,MATCH(F1234,pl_num,0))&amp;"",C1234)&lt;&gt;C1234),"Plan d'un autre équipement",IF(AND(J1234&lt;&gt;"",OR(NOT(ISNUMBER(J1234)),N(J1234)&lt;0)),"Compteur invalide",IF(OR(AND(K1234&lt;&gt;"",OR(NOT(ISNUMBER(K1234)),N(K1234)&lt;0)),AND(L1234&lt;&gt;"",OR(NOT(ISNUMBER(L1234)),N(L1234)&lt;0))),"Durée invalide",IF(OR(AND(N1234&lt;&gt;"",OR(NOT(ISNUMBER(N1234)),N(N1234)&lt;0)),AND(P1234&lt;&gt;"",OR(NOT(ISNUMBER(P1234)),N(P1234)&lt;0))),"Coût invalide",IF(AND(M1234&lt;&gt;"",ISNA(MATCH(M1234,tech_name,0))),"Technicien inconnu",IF(AND(I1234="Terminée",S1234&gt;p_today),"Terminée à une date future",IF(AND(I1234="Terminée",V1234=0),"Durée d'intervention manquante",IF(AND(I1234="Terminée",E1234="Préventif",T1234=0,OR(IFERROR(INDEX(pl_trig,MATCH(F1234,pl_num,0))&amp;"","")="Compteur",IFERROR(INDEX(pl_trig,MATCH(F1234,pl_num,0))&amp;"","")="Au premier des deux")),"Compteur manquant (plan au compteur)","OK"))))))))))))))))))</f>
        <v/>
      </c>
      <c r="S1234" s="67">
        <f>IF(AND(ISNUMBER(B1234),N(B1234)&gt;0),INT(B1234),0)</f>
        <v>0.0</v>
      </c>
      <c r="T1234" s="67">
        <f>IF(AND(ISNUMBER(J1234),N(J1234)&gt;=0),N(J1234),0)</f>
        <v>0.0</v>
      </c>
      <c r="U1234" s="67">
        <f>IF(AND(ISNUMBER(K1234),N(K1234)&gt;0),N(K1234),0)</f>
        <v>0.0</v>
      </c>
      <c r="V1234" s="67">
        <f>IF(AND(ISNUMBER(L1234),N(L1234)&gt;0),N(L1234),0)</f>
        <v>0.0</v>
      </c>
      <c r="W1234" s="67">
        <f>IF(AND(I1234="Terminée",S1234&gt;0,C1234&lt;&gt;"",ISNUMBER(MATCH(C1234,eq_code,0))),1,0)</f>
        <v>0.0</v>
      </c>
      <c r="X1234" s="67">
        <f>IF(AND(W1234=1,E1234="Préventif"),1,0)</f>
        <v>0.0</v>
      </c>
      <c r="Y1234" s="67">
        <f>IF(AND(ISNUMBER(N1234),N(N1234)&gt;0),N(N1234),0)</f>
        <v>0.0</v>
      </c>
      <c r="Z1234" s="67">
        <f>IF(AND(ISNUMBER(P1234),N(P1234)&gt;0),N(P1234),0)</f>
        <v>0.0</v>
      </c>
    </row>
    <row r="1235">
      <c r="A1235" s="79" t="str">
        <f>IF(COUNTA(B1235:C1235,E1235:G1235,I1235)=0,"","BI-"&amp;RIGHT("0000"&amp;(ROW()-5),4))</f>
        <v/>
      </c>
      <c r="B1235" s="72" t="n"/>
      <c r="C1235" s="66" t="n"/>
      <c r="D1235" s="67" t="str">
        <f>IF(C1235="","",IFERROR(INDEX(eq_des,MATCH(C1235,eq_code,0))&amp;"","Équipement inconnu"))</f>
        <v/>
      </c>
      <c r="E1235" s="68" t="n"/>
      <c r="F1235" s="68" t="n"/>
      <c r="G1235" s="66" t="n"/>
      <c r="H1235" s="66" t="n"/>
      <c r="I1235" s="68" t="n"/>
      <c r="J1235" s="73" t="n"/>
      <c r="K1235" s="71" t="n"/>
      <c r="L1235" s="71" t="n"/>
      <c r="M1235" s="66" t="n"/>
      <c r="N1235" s="80" t="n"/>
      <c r="O1235" s="81" t="str">
        <f>IF(A1235="","",ROUND(V1235*IFERROR(N(INDEX(tech_rate,MATCH(M1235,tech_name,0))),0),2))</f>
        <v/>
      </c>
      <c r="P1235" s="80" t="n"/>
      <c r="Q1235" s="81" t="str">
        <f>IF(A1235="","",ROUND(Y1235+O1235+Z1235,2))</f>
        <v/>
      </c>
      <c r="R1235" s="79" t="str">
        <f>IF(A1235="","",IF(S1235=0,"Date manquante ou invalide",IF(C1235="","Équipement manquant",IF(ISNA(MATCH(C1235,eq_code,0)),"Équipement inconnu",IF(E1235="","Type manquant",IF(AND(E1235&lt;&gt;"Préventif",E1235&lt;&gt;"Correctif",E1235&lt;&gt;"Amélioratif"),"Type inconnu",IF(I1235="","Statut manquant",IF(AND(I1235&lt;&gt;"Terminée",I1235&lt;&gt;"En cours",I1235&lt;&gt;"À faire",I1235&lt;&gt;"Annulée"),"Statut inconnu",IF(AND(E1235="Préventif",F1235=""),"Plan manquant (préventif)",IF(AND(F1235&lt;&gt;"",ISNA(MATCH(F1235,pl_num,0))),"Plan inconnu",IF(AND(F1235&lt;&gt;"",IFERROR(INDEX(pl_eq,MATCH(F1235,pl_num,0))&amp;"",C1235)&lt;&gt;C1235),"Plan d'un autre équipement",IF(AND(J1235&lt;&gt;"",OR(NOT(ISNUMBER(J1235)),N(J1235)&lt;0)),"Compteur invalide",IF(OR(AND(K1235&lt;&gt;"",OR(NOT(ISNUMBER(K1235)),N(K1235)&lt;0)),AND(L1235&lt;&gt;"",OR(NOT(ISNUMBER(L1235)),N(L1235)&lt;0))),"Durée invalide",IF(OR(AND(N1235&lt;&gt;"",OR(NOT(ISNUMBER(N1235)),N(N1235)&lt;0)),AND(P1235&lt;&gt;"",OR(NOT(ISNUMBER(P1235)),N(P1235)&lt;0))),"Coût invalide",IF(AND(M1235&lt;&gt;"",ISNA(MATCH(M1235,tech_name,0))),"Technicien inconnu",IF(AND(I1235="Terminée",S1235&gt;p_today),"Terminée à une date future",IF(AND(I1235="Terminée",V1235=0),"Durée d'intervention manquante",IF(AND(I1235="Terminée",E1235="Préventif",T1235=0,OR(IFERROR(INDEX(pl_trig,MATCH(F1235,pl_num,0))&amp;"","")="Compteur",IFERROR(INDEX(pl_trig,MATCH(F1235,pl_num,0))&amp;"","")="Au premier des deux")),"Compteur manquant (plan au compteur)","OK"))))))))))))))))))</f>
        <v/>
      </c>
      <c r="S1235" s="67">
        <f>IF(AND(ISNUMBER(B1235),N(B1235)&gt;0),INT(B1235),0)</f>
        <v>0.0</v>
      </c>
      <c r="T1235" s="67">
        <f>IF(AND(ISNUMBER(J1235),N(J1235)&gt;=0),N(J1235),0)</f>
        <v>0.0</v>
      </c>
      <c r="U1235" s="67">
        <f>IF(AND(ISNUMBER(K1235),N(K1235)&gt;0),N(K1235),0)</f>
        <v>0.0</v>
      </c>
      <c r="V1235" s="67">
        <f>IF(AND(ISNUMBER(L1235),N(L1235)&gt;0),N(L1235),0)</f>
        <v>0.0</v>
      </c>
      <c r="W1235" s="67">
        <f>IF(AND(I1235="Terminée",S1235&gt;0,C1235&lt;&gt;"",ISNUMBER(MATCH(C1235,eq_code,0))),1,0)</f>
        <v>0.0</v>
      </c>
      <c r="X1235" s="67">
        <f>IF(AND(W1235=1,E1235="Préventif"),1,0)</f>
        <v>0.0</v>
      </c>
      <c r="Y1235" s="67">
        <f>IF(AND(ISNUMBER(N1235),N(N1235)&gt;0),N(N1235),0)</f>
        <v>0.0</v>
      </c>
      <c r="Z1235" s="67">
        <f>IF(AND(ISNUMBER(P1235),N(P1235)&gt;0),N(P1235),0)</f>
        <v>0.0</v>
      </c>
    </row>
    <row r="1236">
      <c r="A1236" s="79" t="str">
        <f>IF(COUNTA(B1236:C1236,E1236:G1236,I1236)=0,"","BI-"&amp;RIGHT("0000"&amp;(ROW()-5),4))</f>
        <v/>
      </c>
      <c r="B1236" s="72" t="n"/>
      <c r="C1236" s="66" t="n"/>
      <c r="D1236" s="67" t="str">
        <f>IF(C1236="","",IFERROR(INDEX(eq_des,MATCH(C1236,eq_code,0))&amp;"","Équipement inconnu"))</f>
        <v/>
      </c>
      <c r="E1236" s="68" t="n"/>
      <c r="F1236" s="68" t="n"/>
      <c r="G1236" s="66" t="n"/>
      <c r="H1236" s="66" t="n"/>
      <c r="I1236" s="68" t="n"/>
      <c r="J1236" s="73" t="n"/>
      <c r="K1236" s="71" t="n"/>
      <c r="L1236" s="71" t="n"/>
      <c r="M1236" s="66" t="n"/>
      <c r="N1236" s="80" t="n"/>
      <c r="O1236" s="81" t="str">
        <f>IF(A1236="","",ROUND(V1236*IFERROR(N(INDEX(tech_rate,MATCH(M1236,tech_name,0))),0),2))</f>
        <v/>
      </c>
      <c r="P1236" s="80" t="n"/>
      <c r="Q1236" s="81" t="str">
        <f>IF(A1236="","",ROUND(Y1236+O1236+Z1236,2))</f>
        <v/>
      </c>
      <c r="R1236" s="79" t="str">
        <f>IF(A1236="","",IF(S1236=0,"Date manquante ou invalide",IF(C1236="","Équipement manquant",IF(ISNA(MATCH(C1236,eq_code,0)),"Équipement inconnu",IF(E1236="","Type manquant",IF(AND(E1236&lt;&gt;"Préventif",E1236&lt;&gt;"Correctif",E1236&lt;&gt;"Amélioratif"),"Type inconnu",IF(I1236="","Statut manquant",IF(AND(I1236&lt;&gt;"Terminée",I1236&lt;&gt;"En cours",I1236&lt;&gt;"À faire",I1236&lt;&gt;"Annulée"),"Statut inconnu",IF(AND(E1236="Préventif",F1236=""),"Plan manquant (préventif)",IF(AND(F1236&lt;&gt;"",ISNA(MATCH(F1236,pl_num,0))),"Plan inconnu",IF(AND(F1236&lt;&gt;"",IFERROR(INDEX(pl_eq,MATCH(F1236,pl_num,0))&amp;"",C1236)&lt;&gt;C1236),"Plan d'un autre équipement",IF(AND(J1236&lt;&gt;"",OR(NOT(ISNUMBER(J1236)),N(J1236)&lt;0)),"Compteur invalide",IF(OR(AND(K1236&lt;&gt;"",OR(NOT(ISNUMBER(K1236)),N(K1236)&lt;0)),AND(L1236&lt;&gt;"",OR(NOT(ISNUMBER(L1236)),N(L1236)&lt;0))),"Durée invalide",IF(OR(AND(N1236&lt;&gt;"",OR(NOT(ISNUMBER(N1236)),N(N1236)&lt;0)),AND(P1236&lt;&gt;"",OR(NOT(ISNUMBER(P1236)),N(P1236)&lt;0))),"Coût invalide",IF(AND(M1236&lt;&gt;"",ISNA(MATCH(M1236,tech_name,0))),"Technicien inconnu",IF(AND(I1236="Terminée",S1236&gt;p_today),"Terminée à une date future",IF(AND(I1236="Terminée",V1236=0),"Durée d'intervention manquante",IF(AND(I1236="Terminée",E1236="Préventif",T1236=0,OR(IFERROR(INDEX(pl_trig,MATCH(F1236,pl_num,0))&amp;"","")="Compteur",IFERROR(INDEX(pl_trig,MATCH(F1236,pl_num,0))&amp;"","")="Au premier des deux")),"Compteur manquant (plan au compteur)","OK"))))))))))))))))))</f>
        <v/>
      </c>
      <c r="S1236" s="67">
        <f>IF(AND(ISNUMBER(B1236),N(B1236)&gt;0),INT(B1236),0)</f>
        <v>0.0</v>
      </c>
      <c r="T1236" s="67">
        <f>IF(AND(ISNUMBER(J1236),N(J1236)&gt;=0),N(J1236),0)</f>
        <v>0.0</v>
      </c>
      <c r="U1236" s="67">
        <f>IF(AND(ISNUMBER(K1236),N(K1236)&gt;0),N(K1236),0)</f>
        <v>0.0</v>
      </c>
      <c r="V1236" s="67">
        <f>IF(AND(ISNUMBER(L1236),N(L1236)&gt;0),N(L1236),0)</f>
        <v>0.0</v>
      </c>
      <c r="W1236" s="67">
        <f>IF(AND(I1236="Terminée",S1236&gt;0,C1236&lt;&gt;"",ISNUMBER(MATCH(C1236,eq_code,0))),1,0)</f>
        <v>0.0</v>
      </c>
      <c r="X1236" s="67">
        <f>IF(AND(W1236=1,E1236="Préventif"),1,0)</f>
        <v>0.0</v>
      </c>
      <c r="Y1236" s="67">
        <f>IF(AND(ISNUMBER(N1236),N(N1236)&gt;0),N(N1236),0)</f>
        <v>0.0</v>
      </c>
      <c r="Z1236" s="67">
        <f>IF(AND(ISNUMBER(P1236),N(P1236)&gt;0),N(P1236),0)</f>
        <v>0.0</v>
      </c>
    </row>
    <row r="1237">
      <c r="A1237" s="79" t="str">
        <f>IF(COUNTA(B1237:C1237,E1237:G1237,I1237)=0,"","BI-"&amp;RIGHT("0000"&amp;(ROW()-5),4))</f>
        <v/>
      </c>
      <c r="B1237" s="72" t="n"/>
      <c r="C1237" s="66" t="n"/>
      <c r="D1237" s="67" t="str">
        <f>IF(C1237="","",IFERROR(INDEX(eq_des,MATCH(C1237,eq_code,0))&amp;"","Équipement inconnu"))</f>
        <v/>
      </c>
      <c r="E1237" s="68" t="n"/>
      <c r="F1237" s="68" t="n"/>
      <c r="G1237" s="66" t="n"/>
      <c r="H1237" s="66" t="n"/>
      <c r="I1237" s="68" t="n"/>
      <c r="J1237" s="73" t="n"/>
      <c r="K1237" s="71" t="n"/>
      <c r="L1237" s="71" t="n"/>
      <c r="M1237" s="66" t="n"/>
      <c r="N1237" s="80" t="n"/>
      <c r="O1237" s="81" t="str">
        <f>IF(A1237="","",ROUND(V1237*IFERROR(N(INDEX(tech_rate,MATCH(M1237,tech_name,0))),0),2))</f>
        <v/>
      </c>
      <c r="P1237" s="80" t="n"/>
      <c r="Q1237" s="81" t="str">
        <f>IF(A1237="","",ROUND(Y1237+O1237+Z1237,2))</f>
        <v/>
      </c>
      <c r="R1237" s="79" t="str">
        <f>IF(A1237="","",IF(S1237=0,"Date manquante ou invalide",IF(C1237="","Équipement manquant",IF(ISNA(MATCH(C1237,eq_code,0)),"Équipement inconnu",IF(E1237="","Type manquant",IF(AND(E1237&lt;&gt;"Préventif",E1237&lt;&gt;"Correctif",E1237&lt;&gt;"Amélioratif"),"Type inconnu",IF(I1237="","Statut manquant",IF(AND(I1237&lt;&gt;"Terminée",I1237&lt;&gt;"En cours",I1237&lt;&gt;"À faire",I1237&lt;&gt;"Annulée"),"Statut inconnu",IF(AND(E1237="Préventif",F1237=""),"Plan manquant (préventif)",IF(AND(F1237&lt;&gt;"",ISNA(MATCH(F1237,pl_num,0))),"Plan inconnu",IF(AND(F1237&lt;&gt;"",IFERROR(INDEX(pl_eq,MATCH(F1237,pl_num,0))&amp;"",C1237)&lt;&gt;C1237),"Plan d'un autre équipement",IF(AND(J1237&lt;&gt;"",OR(NOT(ISNUMBER(J1237)),N(J1237)&lt;0)),"Compteur invalide",IF(OR(AND(K1237&lt;&gt;"",OR(NOT(ISNUMBER(K1237)),N(K1237)&lt;0)),AND(L1237&lt;&gt;"",OR(NOT(ISNUMBER(L1237)),N(L1237)&lt;0))),"Durée invalide",IF(OR(AND(N1237&lt;&gt;"",OR(NOT(ISNUMBER(N1237)),N(N1237)&lt;0)),AND(P1237&lt;&gt;"",OR(NOT(ISNUMBER(P1237)),N(P1237)&lt;0))),"Coût invalide",IF(AND(M1237&lt;&gt;"",ISNA(MATCH(M1237,tech_name,0))),"Technicien inconnu",IF(AND(I1237="Terminée",S1237&gt;p_today),"Terminée à une date future",IF(AND(I1237="Terminée",V1237=0),"Durée d'intervention manquante",IF(AND(I1237="Terminée",E1237="Préventif",T1237=0,OR(IFERROR(INDEX(pl_trig,MATCH(F1237,pl_num,0))&amp;"","")="Compteur",IFERROR(INDEX(pl_trig,MATCH(F1237,pl_num,0))&amp;"","")="Au premier des deux")),"Compteur manquant (plan au compteur)","OK"))))))))))))))))))</f>
        <v/>
      </c>
      <c r="S1237" s="67">
        <f>IF(AND(ISNUMBER(B1237),N(B1237)&gt;0),INT(B1237),0)</f>
        <v>0.0</v>
      </c>
      <c r="T1237" s="67">
        <f>IF(AND(ISNUMBER(J1237),N(J1237)&gt;=0),N(J1237),0)</f>
        <v>0.0</v>
      </c>
      <c r="U1237" s="67">
        <f>IF(AND(ISNUMBER(K1237),N(K1237)&gt;0),N(K1237),0)</f>
        <v>0.0</v>
      </c>
      <c r="V1237" s="67">
        <f>IF(AND(ISNUMBER(L1237),N(L1237)&gt;0),N(L1237),0)</f>
        <v>0.0</v>
      </c>
      <c r="W1237" s="67">
        <f>IF(AND(I1237="Terminée",S1237&gt;0,C1237&lt;&gt;"",ISNUMBER(MATCH(C1237,eq_code,0))),1,0)</f>
        <v>0.0</v>
      </c>
      <c r="X1237" s="67">
        <f>IF(AND(W1237=1,E1237="Préventif"),1,0)</f>
        <v>0.0</v>
      </c>
      <c r="Y1237" s="67">
        <f>IF(AND(ISNUMBER(N1237),N(N1237)&gt;0),N(N1237),0)</f>
        <v>0.0</v>
      </c>
      <c r="Z1237" s="67">
        <f>IF(AND(ISNUMBER(P1237),N(P1237)&gt;0),N(P1237),0)</f>
        <v>0.0</v>
      </c>
    </row>
    <row r="1238">
      <c r="A1238" s="79" t="str">
        <f>IF(COUNTA(B1238:C1238,E1238:G1238,I1238)=0,"","BI-"&amp;RIGHT("0000"&amp;(ROW()-5),4))</f>
        <v/>
      </c>
      <c r="B1238" s="72" t="n"/>
      <c r="C1238" s="66" t="n"/>
      <c r="D1238" s="67" t="str">
        <f>IF(C1238="","",IFERROR(INDEX(eq_des,MATCH(C1238,eq_code,0))&amp;"","Équipement inconnu"))</f>
        <v/>
      </c>
      <c r="E1238" s="68" t="n"/>
      <c r="F1238" s="68" t="n"/>
      <c r="G1238" s="66" t="n"/>
      <c r="H1238" s="66" t="n"/>
      <c r="I1238" s="68" t="n"/>
      <c r="J1238" s="73" t="n"/>
      <c r="K1238" s="71" t="n"/>
      <c r="L1238" s="71" t="n"/>
      <c r="M1238" s="66" t="n"/>
      <c r="N1238" s="80" t="n"/>
      <c r="O1238" s="81" t="str">
        <f>IF(A1238="","",ROUND(V1238*IFERROR(N(INDEX(tech_rate,MATCH(M1238,tech_name,0))),0),2))</f>
        <v/>
      </c>
      <c r="P1238" s="80" t="n"/>
      <c r="Q1238" s="81" t="str">
        <f>IF(A1238="","",ROUND(Y1238+O1238+Z1238,2))</f>
        <v/>
      </c>
      <c r="R1238" s="79" t="str">
        <f>IF(A1238="","",IF(S1238=0,"Date manquante ou invalide",IF(C1238="","Équipement manquant",IF(ISNA(MATCH(C1238,eq_code,0)),"Équipement inconnu",IF(E1238="","Type manquant",IF(AND(E1238&lt;&gt;"Préventif",E1238&lt;&gt;"Correctif",E1238&lt;&gt;"Amélioratif"),"Type inconnu",IF(I1238="","Statut manquant",IF(AND(I1238&lt;&gt;"Terminée",I1238&lt;&gt;"En cours",I1238&lt;&gt;"À faire",I1238&lt;&gt;"Annulée"),"Statut inconnu",IF(AND(E1238="Préventif",F1238=""),"Plan manquant (préventif)",IF(AND(F1238&lt;&gt;"",ISNA(MATCH(F1238,pl_num,0))),"Plan inconnu",IF(AND(F1238&lt;&gt;"",IFERROR(INDEX(pl_eq,MATCH(F1238,pl_num,0))&amp;"",C1238)&lt;&gt;C1238),"Plan d'un autre équipement",IF(AND(J1238&lt;&gt;"",OR(NOT(ISNUMBER(J1238)),N(J1238)&lt;0)),"Compteur invalide",IF(OR(AND(K1238&lt;&gt;"",OR(NOT(ISNUMBER(K1238)),N(K1238)&lt;0)),AND(L1238&lt;&gt;"",OR(NOT(ISNUMBER(L1238)),N(L1238)&lt;0))),"Durée invalide",IF(OR(AND(N1238&lt;&gt;"",OR(NOT(ISNUMBER(N1238)),N(N1238)&lt;0)),AND(P1238&lt;&gt;"",OR(NOT(ISNUMBER(P1238)),N(P1238)&lt;0))),"Coût invalide",IF(AND(M1238&lt;&gt;"",ISNA(MATCH(M1238,tech_name,0))),"Technicien inconnu",IF(AND(I1238="Terminée",S1238&gt;p_today),"Terminée à une date future",IF(AND(I1238="Terminée",V1238=0),"Durée d'intervention manquante",IF(AND(I1238="Terminée",E1238="Préventif",T1238=0,OR(IFERROR(INDEX(pl_trig,MATCH(F1238,pl_num,0))&amp;"","")="Compteur",IFERROR(INDEX(pl_trig,MATCH(F1238,pl_num,0))&amp;"","")="Au premier des deux")),"Compteur manquant (plan au compteur)","OK"))))))))))))))))))</f>
        <v/>
      </c>
      <c r="S1238" s="67">
        <f>IF(AND(ISNUMBER(B1238),N(B1238)&gt;0),INT(B1238),0)</f>
        <v>0.0</v>
      </c>
      <c r="T1238" s="67">
        <f>IF(AND(ISNUMBER(J1238),N(J1238)&gt;=0),N(J1238),0)</f>
        <v>0.0</v>
      </c>
      <c r="U1238" s="67">
        <f>IF(AND(ISNUMBER(K1238),N(K1238)&gt;0),N(K1238),0)</f>
        <v>0.0</v>
      </c>
      <c r="V1238" s="67">
        <f>IF(AND(ISNUMBER(L1238),N(L1238)&gt;0),N(L1238),0)</f>
        <v>0.0</v>
      </c>
      <c r="W1238" s="67">
        <f>IF(AND(I1238="Terminée",S1238&gt;0,C1238&lt;&gt;"",ISNUMBER(MATCH(C1238,eq_code,0))),1,0)</f>
        <v>0.0</v>
      </c>
      <c r="X1238" s="67">
        <f>IF(AND(W1238=1,E1238="Préventif"),1,0)</f>
        <v>0.0</v>
      </c>
      <c r="Y1238" s="67">
        <f>IF(AND(ISNUMBER(N1238),N(N1238)&gt;0),N(N1238),0)</f>
        <v>0.0</v>
      </c>
      <c r="Z1238" s="67">
        <f>IF(AND(ISNUMBER(P1238),N(P1238)&gt;0),N(P1238),0)</f>
        <v>0.0</v>
      </c>
    </row>
    <row r="1239">
      <c r="A1239" s="79" t="str">
        <f>IF(COUNTA(B1239:C1239,E1239:G1239,I1239)=0,"","BI-"&amp;RIGHT("0000"&amp;(ROW()-5),4))</f>
        <v/>
      </c>
      <c r="B1239" s="72" t="n"/>
      <c r="C1239" s="66" t="n"/>
      <c r="D1239" s="67" t="str">
        <f>IF(C1239="","",IFERROR(INDEX(eq_des,MATCH(C1239,eq_code,0))&amp;"","Équipement inconnu"))</f>
        <v/>
      </c>
      <c r="E1239" s="68" t="n"/>
      <c r="F1239" s="68" t="n"/>
      <c r="G1239" s="66" t="n"/>
      <c r="H1239" s="66" t="n"/>
      <c r="I1239" s="68" t="n"/>
      <c r="J1239" s="73" t="n"/>
      <c r="K1239" s="71" t="n"/>
      <c r="L1239" s="71" t="n"/>
      <c r="M1239" s="66" t="n"/>
      <c r="N1239" s="80" t="n"/>
      <c r="O1239" s="81" t="str">
        <f>IF(A1239="","",ROUND(V1239*IFERROR(N(INDEX(tech_rate,MATCH(M1239,tech_name,0))),0),2))</f>
        <v/>
      </c>
      <c r="P1239" s="80" t="n"/>
      <c r="Q1239" s="81" t="str">
        <f>IF(A1239="","",ROUND(Y1239+O1239+Z1239,2))</f>
        <v/>
      </c>
      <c r="R1239" s="79" t="str">
        <f>IF(A1239="","",IF(S1239=0,"Date manquante ou invalide",IF(C1239="","Équipement manquant",IF(ISNA(MATCH(C1239,eq_code,0)),"Équipement inconnu",IF(E1239="","Type manquant",IF(AND(E1239&lt;&gt;"Préventif",E1239&lt;&gt;"Correctif",E1239&lt;&gt;"Amélioratif"),"Type inconnu",IF(I1239="","Statut manquant",IF(AND(I1239&lt;&gt;"Terminée",I1239&lt;&gt;"En cours",I1239&lt;&gt;"À faire",I1239&lt;&gt;"Annulée"),"Statut inconnu",IF(AND(E1239="Préventif",F1239=""),"Plan manquant (préventif)",IF(AND(F1239&lt;&gt;"",ISNA(MATCH(F1239,pl_num,0))),"Plan inconnu",IF(AND(F1239&lt;&gt;"",IFERROR(INDEX(pl_eq,MATCH(F1239,pl_num,0))&amp;"",C1239)&lt;&gt;C1239),"Plan d'un autre équipement",IF(AND(J1239&lt;&gt;"",OR(NOT(ISNUMBER(J1239)),N(J1239)&lt;0)),"Compteur invalide",IF(OR(AND(K1239&lt;&gt;"",OR(NOT(ISNUMBER(K1239)),N(K1239)&lt;0)),AND(L1239&lt;&gt;"",OR(NOT(ISNUMBER(L1239)),N(L1239)&lt;0))),"Durée invalide",IF(OR(AND(N1239&lt;&gt;"",OR(NOT(ISNUMBER(N1239)),N(N1239)&lt;0)),AND(P1239&lt;&gt;"",OR(NOT(ISNUMBER(P1239)),N(P1239)&lt;0))),"Coût invalide",IF(AND(M1239&lt;&gt;"",ISNA(MATCH(M1239,tech_name,0))),"Technicien inconnu",IF(AND(I1239="Terminée",S1239&gt;p_today),"Terminée à une date future",IF(AND(I1239="Terminée",V1239=0),"Durée d'intervention manquante",IF(AND(I1239="Terminée",E1239="Préventif",T1239=0,OR(IFERROR(INDEX(pl_trig,MATCH(F1239,pl_num,0))&amp;"","")="Compteur",IFERROR(INDEX(pl_trig,MATCH(F1239,pl_num,0))&amp;"","")="Au premier des deux")),"Compteur manquant (plan au compteur)","OK"))))))))))))))))))</f>
        <v/>
      </c>
      <c r="S1239" s="67">
        <f>IF(AND(ISNUMBER(B1239),N(B1239)&gt;0),INT(B1239),0)</f>
        <v>0.0</v>
      </c>
      <c r="T1239" s="67">
        <f>IF(AND(ISNUMBER(J1239),N(J1239)&gt;=0),N(J1239),0)</f>
        <v>0.0</v>
      </c>
      <c r="U1239" s="67">
        <f>IF(AND(ISNUMBER(K1239),N(K1239)&gt;0),N(K1239),0)</f>
        <v>0.0</v>
      </c>
      <c r="V1239" s="67">
        <f>IF(AND(ISNUMBER(L1239),N(L1239)&gt;0),N(L1239),0)</f>
        <v>0.0</v>
      </c>
      <c r="W1239" s="67">
        <f>IF(AND(I1239="Terminée",S1239&gt;0,C1239&lt;&gt;"",ISNUMBER(MATCH(C1239,eq_code,0))),1,0)</f>
        <v>0.0</v>
      </c>
      <c r="X1239" s="67">
        <f>IF(AND(W1239=1,E1239="Préventif"),1,0)</f>
        <v>0.0</v>
      </c>
      <c r="Y1239" s="67">
        <f>IF(AND(ISNUMBER(N1239),N(N1239)&gt;0),N(N1239),0)</f>
        <v>0.0</v>
      </c>
      <c r="Z1239" s="67">
        <f>IF(AND(ISNUMBER(P1239),N(P1239)&gt;0),N(P1239),0)</f>
        <v>0.0</v>
      </c>
    </row>
    <row r="1240">
      <c r="A1240" s="79" t="str">
        <f>IF(COUNTA(B1240:C1240,E1240:G1240,I1240)=0,"","BI-"&amp;RIGHT("0000"&amp;(ROW()-5),4))</f>
        <v/>
      </c>
      <c r="B1240" s="72" t="n"/>
      <c r="C1240" s="66" t="n"/>
      <c r="D1240" s="67" t="str">
        <f>IF(C1240="","",IFERROR(INDEX(eq_des,MATCH(C1240,eq_code,0))&amp;"","Équipement inconnu"))</f>
        <v/>
      </c>
      <c r="E1240" s="68" t="n"/>
      <c r="F1240" s="68" t="n"/>
      <c r="G1240" s="66" t="n"/>
      <c r="H1240" s="66" t="n"/>
      <c r="I1240" s="68" t="n"/>
      <c r="J1240" s="73" t="n"/>
      <c r="K1240" s="71" t="n"/>
      <c r="L1240" s="71" t="n"/>
      <c r="M1240" s="66" t="n"/>
      <c r="N1240" s="80" t="n"/>
      <c r="O1240" s="81" t="str">
        <f>IF(A1240="","",ROUND(V1240*IFERROR(N(INDEX(tech_rate,MATCH(M1240,tech_name,0))),0),2))</f>
        <v/>
      </c>
      <c r="P1240" s="80" t="n"/>
      <c r="Q1240" s="81" t="str">
        <f>IF(A1240="","",ROUND(Y1240+O1240+Z1240,2))</f>
        <v/>
      </c>
      <c r="R1240" s="79" t="str">
        <f>IF(A1240="","",IF(S1240=0,"Date manquante ou invalide",IF(C1240="","Équipement manquant",IF(ISNA(MATCH(C1240,eq_code,0)),"Équipement inconnu",IF(E1240="","Type manquant",IF(AND(E1240&lt;&gt;"Préventif",E1240&lt;&gt;"Correctif",E1240&lt;&gt;"Amélioratif"),"Type inconnu",IF(I1240="","Statut manquant",IF(AND(I1240&lt;&gt;"Terminée",I1240&lt;&gt;"En cours",I1240&lt;&gt;"À faire",I1240&lt;&gt;"Annulée"),"Statut inconnu",IF(AND(E1240="Préventif",F1240=""),"Plan manquant (préventif)",IF(AND(F1240&lt;&gt;"",ISNA(MATCH(F1240,pl_num,0))),"Plan inconnu",IF(AND(F1240&lt;&gt;"",IFERROR(INDEX(pl_eq,MATCH(F1240,pl_num,0))&amp;"",C1240)&lt;&gt;C1240),"Plan d'un autre équipement",IF(AND(J1240&lt;&gt;"",OR(NOT(ISNUMBER(J1240)),N(J1240)&lt;0)),"Compteur invalide",IF(OR(AND(K1240&lt;&gt;"",OR(NOT(ISNUMBER(K1240)),N(K1240)&lt;0)),AND(L1240&lt;&gt;"",OR(NOT(ISNUMBER(L1240)),N(L1240)&lt;0))),"Durée invalide",IF(OR(AND(N1240&lt;&gt;"",OR(NOT(ISNUMBER(N1240)),N(N1240)&lt;0)),AND(P1240&lt;&gt;"",OR(NOT(ISNUMBER(P1240)),N(P1240)&lt;0))),"Coût invalide",IF(AND(M1240&lt;&gt;"",ISNA(MATCH(M1240,tech_name,0))),"Technicien inconnu",IF(AND(I1240="Terminée",S1240&gt;p_today),"Terminée à une date future",IF(AND(I1240="Terminée",V1240=0),"Durée d'intervention manquante",IF(AND(I1240="Terminée",E1240="Préventif",T1240=0,OR(IFERROR(INDEX(pl_trig,MATCH(F1240,pl_num,0))&amp;"","")="Compteur",IFERROR(INDEX(pl_trig,MATCH(F1240,pl_num,0))&amp;"","")="Au premier des deux")),"Compteur manquant (plan au compteur)","OK"))))))))))))))))))</f>
        <v/>
      </c>
      <c r="S1240" s="67">
        <f>IF(AND(ISNUMBER(B1240),N(B1240)&gt;0),INT(B1240),0)</f>
        <v>0.0</v>
      </c>
      <c r="T1240" s="67">
        <f>IF(AND(ISNUMBER(J1240),N(J1240)&gt;=0),N(J1240),0)</f>
        <v>0.0</v>
      </c>
      <c r="U1240" s="67">
        <f>IF(AND(ISNUMBER(K1240),N(K1240)&gt;0),N(K1240),0)</f>
        <v>0.0</v>
      </c>
      <c r="V1240" s="67">
        <f>IF(AND(ISNUMBER(L1240),N(L1240)&gt;0),N(L1240),0)</f>
        <v>0.0</v>
      </c>
      <c r="W1240" s="67">
        <f>IF(AND(I1240="Terminée",S1240&gt;0,C1240&lt;&gt;"",ISNUMBER(MATCH(C1240,eq_code,0))),1,0)</f>
        <v>0.0</v>
      </c>
      <c r="X1240" s="67">
        <f>IF(AND(W1240=1,E1240="Préventif"),1,0)</f>
        <v>0.0</v>
      </c>
      <c r="Y1240" s="67">
        <f>IF(AND(ISNUMBER(N1240),N(N1240)&gt;0),N(N1240),0)</f>
        <v>0.0</v>
      </c>
      <c r="Z1240" s="67">
        <f>IF(AND(ISNUMBER(P1240),N(P1240)&gt;0),N(P1240),0)</f>
        <v>0.0</v>
      </c>
    </row>
    <row r="1241">
      <c r="A1241" s="79" t="str">
        <f>IF(COUNTA(B1241:C1241,E1241:G1241,I1241)=0,"","BI-"&amp;RIGHT("0000"&amp;(ROW()-5),4))</f>
        <v/>
      </c>
      <c r="B1241" s="72" t="n"/>
      <c r="C1241" s="66" t="n"/>
      <c r="D1241" s="67" t="str">
        <f>IF(C1241="","",IFERROR(INDEX(eq_des,MATCH(C1241,eq_code,0))&amp;"","Équipement inconnu"))</f>
        <v/>
      </c>
      <c r="E1241" s="68" t="n"/>
      <c r="F1241" s="68" t="n"/>
      <c r="G1241" s="66" t="n"/>
      <c r="H1241" s="66" t="n"/>
      <c r="I1241" s="68" t="n"/>
      <c r="J1241" s="73" t="n"/>
      <c r="K1241" s="71" t="n"/>
      <c r="L1241" s="71" t="n"/>
      <c r="M1241" s="66" t="n"/>
      <c r="N1241" s="80" t="n"/>
      <c r="O1241" s="81" t="str">
        <f>IF(A1241="","",ROUND(V1241*IFERROR(N(INDEX(tech_rate,MATCH(M1241,tech_name,0))),0),2))</f>
        <v/>
      </c>
      <c r="P1241" s="80" t="n"/>
      <c r="Q1241" s="81" t="str">
        <f>IF(A1241="","",ROUND(Y1241+O1241+Z1241,2))</f>
        <v/>
      </c>
      <c r="R1241" s="79" t="str">
        <f>IF(A1241="","",IF(S1241=0,"Date manquante ou invalide",IF(C1241="","Équipement manquant",IF(ISNA(MATCH(C1241,eq_code,0)),"Équipement inconnu",IF(E1241="","Type manquant",IF(AND(E1241&lt;&gt;"Préventif",E1241&lt;&gt;"Correctif",E1241&lt;&gt;"Amélioratif"),"Type inconnu",IF(I1241="","Statut manquant",IF(AND(I1241&lt;&gt;"Terminée",I1241&lt;&gt;"En cours",I1241&lt;&gt;"À faire",I1241&lt;&gt;"Annulée"),"Statut inconnu",IF(AND(E1241="Préventif",F1241=""),"Plan manquant (préventif)",IF(AND(F1241&lt;&gt;"",ISNA(MATCH(F1241,pl_num,0))),"Plan inconnu",IF(AND(F1241&lt;&gt;"",IFERROR(INDEX(pl_eq,MATCH(F1241,pl_num,0))&amp;"",C1241)&lt;&gt;C1241),"Plan d'un autre équipement",IF(AND(J1241&lt;&gt;"",OR(NOT(ISNUMBER(J1241)),N(J1241)&lt;0)),"Compteur invalide",IF(OR(AND(K1241&lt;&gt;"",OR(NOT(ISNUMBER(K1241)),N(K1241)&lt;0)),AND(L1241&lt;&gt;"",OR(NOT(ISNUMBER(L1241)),N(L1241)&lt;0))),"Durée invalide",IF(OR(AND(N1241&lt;&gt;"",OR(NOT(ISNUMBER(N1241)),N(N1241)&lt;0)),AND(P1241&lt;&gt;"",OR(NOT(ISNUMBER(P1241)),N(P1241)&lt;0))),"Coût invalide",IF(AND(M1241&lt;&gt;"",ISNA(MATCH(M1241,tech_name,0))),"Technicien inconnu",IF(AND(I1241="Terminée",S1241&gt;p_today),"Terminée à une date future",IF(AND(I1241="Terminée",V1241=0),"Durée d'intervention manquante",IF(AND(I1241="Terminée",E1241="Préventif",T1241=0,OR(IFERROR(INDEX(pl_trig,MATCH(F1241,pl_num,0))&amp;"","")="Compteur",IFERROR(INDEX(pl_trig,MATCH(F1241,pl_num,0))&amp;"","")="Au premier des deux")),"Compteur manquant (plan au compteur)","OK"))))))))))))))))))</f>
        <v/>
      </c>
      <c r="S1241" s="67">
        <f>IF(AND(ISNUMBER(B1241),N(B1241)&gt;0),INT(B1241),0)</f>
        <v>0.0</v>
      </c>
      <c r="T1241" s="67">
        <f>IF(AND(ISNUMBER(J1241),N(J1241)&gt;=0),N(J1241),0)</f>
        <v>0.0</v>
      </c>
      <c r="U1241" s="67">
        <f>IF(AND(ISNUMBER(K1241),N(K1241)&gt;0),N(K1241),0)</f>
        <v>0.0</v>
      </c>
      <c r="V1241" s="67">
        <f>IF(AND(ISNUMBER(L1241),N(L1241)&gt;0),N(L1241),0)</f>
        <v>0.0</v>
      </c>
      <c r="W1241" s="67">
        <f>IF(AND(I1241="Terminée",S1241&gt;0,C1241&lt;&gt;"",ISNUMBER(MATCH(C1241,eq_code,0))),1,0)</f>
        <v>0.0</v>
      </c>
      <c r="X1241" s="67">
        <f>IF(AND(W1241=1,E1241="Préventif"),1,0)</f>
        <v>0.0</v>
      </c>
      <c r="Y1241" s="67">
        <f>IF(AND(ISNUMBER(N1241),N(N1241)&gt;0),N(N1241),0)</f>
        <v>0.0</v>
      </c>
      <c r="Z1241" s="67">
        <f>IF(AND(ISNUMBER(P1241),N(P1241)&gt;0),N(P1241),0)</f>
        <v>0.0</v>
      </c>
    </row>
    <row r="1242">
      <c r="A1242" s="79" t="str">
        <f>IF(COUNTA(B1242:C1242,E1242:G1242,I1242)=0,"","BI-"&amp;RIGHT("0000"&amp;(ROW()-5),4))</f>
        <v/>
      </c>
      <c r="B1242" s="72" t="n"/>
      <c r="C1242" s="66" t="n"/>
      <c r="D1242" s="67" t="str">
        <f>IF(C1242="","",IFERROR(INDEX(eq_des,MATCH(C1242,eq_code,0))&amp;"","Équipement inconnu"))</f>
        <v/>
      </c>
      <c r="E1242" s="68" t="n"/>
      <c r="F1242" s="68" t="n"/>
      <c r="G1242" s="66" t="n"/>
      <c r="H1242" s="66" t="n"/>
      <c r="I1242" s="68" t="n"/>
      <c r="J1242" s="73" t="n"/>
      <c r="K1242" s="71" t="n"/>
      <c r="L1242" s="71" t="n"/>
      <c r="M1242" s="66" t="n"/>
      <c r="N1242" s="80" t="n"/>
      <c r="O1242" s="81" t="str">
        <f>IF(A1242="","",ROUND(V1242*IFERROR(N(INDEX(tech_rate,MATCH(M1242,tech_name,0))),0),2))</f>
        <v/>
      </c>
      <c r="P1242" s="80" t="n"/>
      <c r="Q1242" s="81" t="str">
        <f>IF(A1242="","",ROUND(Y1242+O1242+Z1242,2))</f>
        <v/>
      </c>
      <c r="R1242" s="79" t="str">
        <f>IF(A1242="","",IF(S1242=0,"Date manquante ou invalide",IF(C1242="","Équipement manquant",IF(ISNA(MATCH(C1242,eq_code,0)),"Équipement inconnu",IF(E1242="","Type manquant",IF(AND(E1242&lt;&gt;"Préventif",E1242&lt;&gt;"Correctif",E1242&lt;&gt;"Amélioratif"),"Type inconnu",IF(I1242="","Statut manquant",IF(AND(I1242&lt;&gt;"Terminée",I1242&lt;&gt;"En cours",I1242&lt;&gt;"À faire",I1242&lt;&gt;"Annulée"),"Statut inconnu",IF(AND(E1242="Préventif",F1242=""),"Plan manquant (préventif)",IF(AND(F1242&lt;&gt;"",ISNA(MATCH(F1242,pl_num,0))),"Plan inconnu",IF(AND(F1242&lt;&gt;"",IFERROR(INDEX(pl_eq,MATCH(F1242,pl_num,0))&amp;"",C1242)&lt;&gt;C1242),"Plan d'un autre équipement",IF(AND(J1242&lt;&gt;"",OR(NOT(ISNUMBER(J1242)),N(J1242)&lt;0)),"Compteur invalide",IF(OR(AND(K1242&lt;&gt;"",OR(NOT(ISNUMBER(K1242)),N(K1242)&lt;0)),AND(L1242&lt;&gt;"",OR(NOT(ISNUMBER(L1242)),N(L1242)&lt;0))),"Durée invalide",IF(OR(AND(N1242&lt;&gt;"",OR(NOT(ISNUMBER(N1242)),N(N1242)&lt;0)),AND(P1242&lt;&gt;"",OR(NOT(ISNUMBER(P1242)),N(P1242)&lt;0))),"Coût invalide",IF(AND(M1242&lt;&gt;"",ISNA(MATCH(M1242,tech_name,0))),"Technicien inconnu",IF(AND(I1242="Terminée",S1242&gt;p_today),"Terminée à une date future",IF(AND(I1242="Terminée",V1242=0),"Durée d'intervention manquante",IF(AND(I1242="Terminée",E1242="Préventif",T1242=0,OR(IFERROR(INDEX(pl_trig,MATCH(F1242,pl_num,0))&amp;"","")="Compteur",IFERROR(INDEX(pl_trig,MATCH(F1242,pl_num,0))&amp;"","")="Au premier des deux")),"Compteur manquant (plan au compteur)","OK"))))))))))))))))))</f>
        <v/>
      </c>
      <c r="S1242" s="67">
        <f>IF(AND(ISNUMBER(B1242),N(B1242)&gt;0),INT(B1242),0)</f>
        <v>0.0</v>
      </c>
      <c r="T1242" s="67">
        <f>IF(AND(ISNUMBER(J1242),N(J1242)&gt;=0),N(J1242),0)</f>
        <v>0.0</v>
      </c>
      <c r="U1242" s="67">
        <f>IF(AND(ISNUMBER(K1242),N(K1242)&gt;0),N(K1242),0)</f>
        <v>0.0</v>
      </c>
      <c r="V1242" s="67">
        <f>IF(AND(ISNUMBER(L1242),N(L1242)&gt;0),N(L1242),0)</f>
        <v>0.0</v>
      </c>
      <c r="W1242" s="67">
        <f>IF(AND(I1242="Terminée",S1242&gt;0,C1242&lt;&gt;"",ISNUMBER(MATCH(C1242,eq_code,0))),1,0)</f>
        <v>0.0</v>
      </c>
      <c r="X1242" s="67">
        <f>IF(AND(W1242=1,E1242="Préventif"),1,0)</f>
        <v>0.0</v>
      </c>
      <c r="Y1242" s="67">
        <f>IF(AND(ISNUMBER(N1242),N(N1242)&gt;0),N(N1242),0)</f>
        <v>0.0</v>
      </c>
      <c r="Z1242" s="67">
        <f>IF(AND(ISNUMBER(P1242),N(P1242)&gt;0),N(P1242),0)</f>
        <v>0.0</v>
      </c>
    </row>
    <row r="1243">
      <c r="A1243" s="79" t="str">
        <f>IF(COUNTA(B1243:C1243,E1243:G1243,I1243)=0,"","BI-"&amp;RIGHT("0000"&amp;(ROW()-5),4))</f>
        <v/>
      </c>
      <c r="B1243" s="72" t="n"/>
      <c r="C1243" s="66" t="n"/>
      <c r="D1243" s="67" t="str">
        <f>IF(C1243="","",IFERROR(INDEX(eq_des,MATCH(C1243,eq_code,0))&amp;"","Équipement inconnu"))</f>
        <v/>
      </c>
      <c r="E1243" s="68" t="n"/>
      <c r="F1243" s="68" t="n"/>
      <c r="G1243" s="66" t="n"/>
      <c r="H1243" s="66" t="n"/>
      <c r="I1243" s="68" t="n"/>
      <c r="J1243" s="73" t="n"/>
      <c r="K1243" s="71" t="n"/>
      <c r="L1243" s="71" t="n"/>
      <c r="M1243" s="66" t="n"/>
      <c r="N1243" s="80" t="n"/>
      <c r="O1243" s="81" t="str">
        <f>IF(A1243="","",ROUND(V1243*IFERROR(N(INDEX(tech_rate,MATCH(M1243,tech_name,0))),0),2))</f>
        <v/>
      </c>
      <c r="P1243" s="80" t="n"/>
      <c r="Q1243" s="81" t="str">
        <f>IF(A1243="","",ROUND(Y1243+O1243+Z1243,2))</f>
        <v/>
      </c>
      <c r="R1243" s="79" t="str">
        <f>IF(A1243="","",IF(S1243=0,"Date manquante ou invalide",IF(C1243="","Équipement manquant",IF(ISNA(MATCH(C1243,eq_code,0)),"Équipement inconnu",IF(E1243="","Type manquant",IF(AND(E1243&lt;&gt;"Préventif",E1243&lt;&gt;"Correctif",E1243&lt;&gt;"Amélioratif"),"Type inconnu",IF(I1243="","Statut manquant",IF(AND(I1243&lt;&gt;"Terminée",I1243&lt;&gt;"En cours",I1243&lt;&gt;"À faire",I1243&lt;&gt;"Annulée"),"Statut inconnu",IF(AND(E1243="Préventif",F1243=""),"Plan manquant (préventif)",IF(AND(F1243&lt;&gt;"",ISNA(MATCH(F1243,pl_num,0))),"Plan inconnu",IF(AND(F1243&lt;&gt;"",IFERROR(INDEX(pl_eq,MATCH(F1243,pl_num,0))&amp;"",C1243)&lt;&gt;C1243),"Plan d'un autre équipement",IF(AND(J1243&lt;&gt;"",OR(NOT(ISNUMBER(J1243)),N(J1243)&lt;0)),"Compteur invalide",IF(OR(AND(K1243&lt;&gt;"",OR(NOT(ISNUMBER(K1243)),N(K1243)&lt;0)),AND(L1243&lt;&gt;"",OR(NOT(ISNUMBER(L1243)),N(L1243)&lt;0))),"Durée invalide",IF(OR(AND(N1243&lt;&gt;"",OR(NOT(ISNUMBER(N1243)),N(N1243)&lt;0)),AND(P1243&lt;&gt;"",OR(NOT(ISNUMBER(P1243)),N(P1243)&lt;0))),"Coût invalide",IF(AND(M1243&lt;&gt;"",ISNA(MATCH(M1243,tech_name,0))),"Technicien inconnu",IF(AND(I1243="Terminée",S1243&gt;p_today),"Terminée à une date future",IF(AND(I1243="Terminée",V1243=0),"Durée d'intervention manquante",IF(AND(I1243="Terminée",E1243="Préventif",T1243=0,OR(IFERROR(INDEX(pl_trig,MATCH(F1243,pl_num,0))&amp;"","")="Compteur",IFERROR(INDEX(pl_trig,MATCH(F1243,pl_num,0))&amp;"","")="Au premier des deux")),"Compteur manquant (plan au compteur)","OK"))))))))))))))))))</f>
        <v/>
      </c>
      <c r="S1243" s="67">
        <f>IF(AND(ISNUMBER(B1243),N(B1243)&gt;0),INT(B1243),0)</f>
        <v>0.0</v>
      </c>
      <c r="T1243" s="67">
        <f>IF(AND(ISNUMBER(J1243),N(J1243)&gt;=0),N(J1243),0)</f>
        <v>0.0</v>
      </c>
      <c r="U1243" s="67">
        <f>IF(AND(ISNUMBER(K1243),N(K1243)&gt;0),N(K1243),0)</f>
        <v>0.0</v>
      </c>
      <c r="V1243" s="67">
        <f>IF(AND(ISNUMBER(L1243),N(L1243)&gt;0),N(L1243),0)</f>
        <v>0.0</v>
      </c>
      <c r="W1243" s="67">
        <f>IF(AND(I1243="Terminée",S1243&gt;0,C1243&lt;&gt;"",ISNUMBER(MATCH(C1243,eq_code,0))),1,0)</f>
        <v>0.0</v>
      </c>
      <c r="X1243" s="67">
        <f>IF(AND(W1243=1,E1243="Préventif"),1,0)</f>
        <v>0.0</v>
      </c>
      <c r="Y1243" s="67">
        <f>IF(AND(ISNUMBER(N1243),N(N1243)&gt;0),N(N1243),0)</f>
        <v>0.0</v>
      </c>
      <c r="Z1243" s="67">
        <f>IF(AND(ISNUMBER(P1243),N(P1243)&gt;0),N(P1243),0)</f>
        <v>0.0</v>
      </c>
    </row>
    <row r="1244">
      <c r="A1244" s="79" t="str">
        <f>IF(COUNTA(B1244:C1244,E1244:G1244,I1244)=0,"","BI-"&amp;RIGHT("0000"&amp;(ROW()-5),4))</f>
        <v/>
      </c>
      <c r="B1244" s="72" t="n"/>
      <c r="C1244" s="66" t="n"/>
      <c r="D1244" s="67" t="str">
        <f>IF(C1244="","",IFERROR(INDEX(eq_des,MATCH(C1244,eq_code,0))&amp;"","Équipement inconnu"))</f>
        <v/>
      </c>
      <c r="E1244" s="68" t="n"/>
      <c r="F1244" s="68" t="n"/>
      <c r="G1244" s="66" t="n"/>
      <c r="H1244" s="66" t="n"/>
      <c r="I1244" s="68" t="n"/>
      <c r="J1244" s="73" t="n"/>
      <c r="K1244" s="71" t="n"/>
      <c r="L1244" s="71" t="n"/>
      <c r="M1244" s="66" t="n"/>
      <c r="N1244" s="80" t="n"/>
      <c r="O1244" s="81" t="str">
        <f>IF(A1244="","",ROUND(V1244*IFERROR(N(INDEX(tech_rate,MATCH(M1244,tech_name,0))),0),2))</f>
        <v/>
      </c>
      <c r="P1244" s="80" t="n"/>
      <c r="Q1244" s="81" t="str">
        <f>IF(A1244="","",ROUND(Y1244+O1244+Z1244,2))</f>
        <v/>
      </c>
      <c r="R1244" s="79" t="str">
        <f>IF(A1244="","",IF(S1244=0,"Date manquante ou invalide",IF(C1244="","Équipement manquant",IF(ISNA(MATCH(C1244,eq_code,0)),"Équipement inconnu",IF(E1244="","Type manquant",IF(AND(E1244&lt;&gt;"Préventif",E1244&lt;&gt;"Correctif",E1244&lt;&gt;"Amélioratif"),"Type inconnu",IF(I1244="","Statut manquant",IF(AND(I1244&lt;&gt;"Terminée",I1244&lt;&gt;"En cours",I1244&lt;&gt;"À faire",I1244&lt;&gt;"Annulée"),"Statut inconnu",IF(AND(E1244="Préventif",F1244=""),"Plan manquant (préventif)",IF(AND(F1244&lt;&gt;"",ISNA(MATCH(F1244,pl_num,0))),"Plan inconnu",IF(AND(F1244&lt;&gt;"",IFERROR(INDEX(pl_eq,MATCH(F1244,pl_num,0))&amp;"",C1244)&lt;&gt;C1244),"Plan d'un autre équipement",IF(AND(J1244&lt;&gt;"",OR(NOT(ISNUMBER(J1244)),N(J1244)&lt;0)),"Compteur invalide",IF(OR(AND(K1244&lt;&gt;"",OR(NOT(ISNUMBER(K1244)),N(K1244)&lt;0)),AND(L1244&lt;&gt;"",OR(NOT(ISNUMBER(L1244)),N(L1244)&lt;0))),"Durée invalide",IF(OR(AND(N1244&lt;&gt;"",OR(NOT(ISNUMBER(N1244)),N(N1244)&lt;0)),AND(P1244&lt;&gt;"",OR(NOT(ISNUMBER(P1244)),N(P1244)&lt;0))),"Coût invalide",IF(AND(M1244&lt;&gt;"",ISNA(MATCH(M1244,tech_name,0))),"Technicien inconnu",IF(AND(I1244="Terminée",S1244&gt;p_today),"Terminée à une date future",IF(AND(I1244="Terminée",V1244=0),"Durée d'intervention manquante",IF(AND(I1244="Terminée",E1244="Préventif",T1244=0,OR(IFERROR(INDEX(pl_trig,MATCH(F1244,pl_num,0))&amp;"","")="Compteur",IFERROR(INDEX(pl_trig,MATCH(F1244,pl_num,0))&amp;"","")="Au premier des deux")),"Compteur manquant (plan au compteur)","OK"))))))))))))))))))</f>
        <v/>
      </c>
      <c r="S1244" s="67">
        <f>IF(AND(ISNUMBER(B1244),N(B1244)&gt;0),INT(B1244),0)</f>
        <v>0.0</v>
      </c>
      <c r="T1244" s="67">
        <f>IF(AND(ISNUMBER(J1244),N(J1244)&gt;=0),N(J1244),0)</f>
        <v>0.0</v>
      </c>
      <c r="U1244" s="67">
        <f>IF(AND(ISNUMBER(K1244),N(K1244)&gt;0),N(K1244),0)</f>
        <v>0.0</v>
      </c>
      <c r="V1244" s="67">
        <f>IF(AND(ISNUMBER(L1244),N(L1244)&gt;0),N(L1244),0)</f>
        <v>0.0</v>
      </c>
      <c r="W1244" s="67">
        <f>IF(AND(I1244="Terminée",S1244&gt;0,C1244&lt;&gt;"",ISNUMBER(MATCH(C1244,eq_code,0))),1,0)</f>
        <v>0.0</v>
      </c>
      <c r="X1244" s="67">
        <f>IF(AND(W1244=1,E1244="Préventif"),1,0)</f>
        <v>0.0</v>
      </c>
      <c r="Y1244" s="67">
        <f>IF(AND(ISNUMBER(N1244),N(N1244)&gt;0),N(N1244),0)</f>
        <v>0.0</v>
      </c>
      <c r="Z1244" s="67">
        <f>IF(AND(ISNUMBER(P1244),N(P1244)&gt;0),N(P1244),0)</f>
        <v>0.0</v>
      </c>
    </row>
    <row r="1245">
      <c r="A1245" s="79" t="str">
        <f>IF(COUNTA(B1245:C1245,E1245:G1245,I1245)=0,"","BI-"&amp;RIGHT("0000"&amp;(ROW()-5),4))</f>
        <v/>
      </c>
      <c r="B1245" s="72" t="n"/>
      <c r="C1245" s="66" t="n"/>
      <c r="D1245" s="67" t="str">
        <f>IF(C1245="","",IFERROR(INDEX(eq_des,MATCH(C1245,eq_code,0))&amp;"","Équipement inconnu"))</f>
        <v/>
      </c>
      <c r="E1245" s="68" t="n"/>
      <c r="F1245" s="68" t="n"/>
      <c r="G1245" s="66" t="n"/>
      <c r="H1245" s="66" t="n"/>
      <c r="I1245" s="68" t="n"/>
      <c r="J1245" s="73" t="n"/>
      <c r="K1245" s="71" t="n"/>
      <c r="L1245" s="71" t="n"/>
      <c r="M1245" s="66" t="n"/>
      <c r="N1245" s="80" t="n"/>
      <c r="O1245" s="81" t="str">
        <f>IF(A1245="","",ROUND(V1245*IFERROR(N(INDEX(tech_rate,MATCH(M1245,tech_name,0))),0),2))</f>
        <v/>
      </c>
      <c r="P1245" s="80" t="n"/>
      <c r="Q1245" s="81" t="str">
        <f>IF(A1245="","",ROUND(Y1245+O1245+Z1245,2))</f>
        <v/>
      </c>
      <c r="R1245" s="79" t="str">
        <f>IF(A1245="","",IF(S1245=0,"Date manquante ou invalide",IF(C1245="","Équipement manquant",IF(ISNA(MATCH(C1245,eq_code,0)),"Équipement inconnu",IF(E1245="","Type manquant",IF(AND(E1245&lt;&gt;"Préventif",E1245&lt;&gt;"Correctif",E1245&lt;&gt;"Amélioratif"),"Type inconnu",IF(I1245="","Statut manquant",IF(AND(I1245&lt;&gt;"Terminée",I1245&lt;&gt;"En cours",I1245&lt;&gt;"À faire",I1245&lt;&gt;"Annulée"),"Statut inconnu",IF(AND(E1245="Préventif",F1245=""),"Plan manquant (préventif)",IF(AND(F1245&lt;&gt;"",ISNA(MATCH(F1245,pl_num,0))),"Plan inconnu",IF(AND(F1245&lt;&gt;"",IFERROR(INDEX(pl_eq,MATCH(F1245,pl_num,0))&amp;"",C1245)&lt;&gt;C1245),"Plan d'un autre équipement",IF(AND(J1245&lt;&gt;"",OR(NOT(ISNUMBER(J1245)),N(J1245)&lt;0)),"Compteur invalide",IF(OR(AND(K1245&lt;&gt;"",OR(NOT(ISNUMBER(K1245)),N(K1245)&lt;0)),AND(L1245&lt;&gt;"",OR(NOT(ISNUMBER(L1245)),N(L1245)&lt;0))),"Durée invalide",IF(OR(AND(N1245&lt;&gt;"",OR(NOT(ISNUMBER(N1245)),N(N1245)&lt;0)),AND(P1245&lt;&gt;"",OR(NOT(ISNUMBER(P1245)),N(P1245)&lt;0))),"Coût invalide",IF(AND(M1245&lt;&gt;"",ISNA(MATCH(M1245,tech_name,0))),"Technicien inconnu",IF(AND(I1245="Terminée",S1245&gt;p_today),"Terminée à une date future",IF(AND(I1245="Terminée",V1245=0),"Durée d'intervention manquante",IF(AND(I1245="Terminée",E1245="Préventif",T1245=0,OR(IFERROR(INDEX(pl_trig,MATCH(F1245,pl_num,0))&amp;"","")="Compteur",IFERROR(INDEX(pl_trig,MATCH(F1245,pl_num,0))&amp;"","")="Au premier des deux")),"Compteur manquant (plan au compteur)","OK"))))))))))))))))))</f>
        <v/>
      </c>
      <c r="S1245" s="67">
        <f>IF(AND(ISNUMBER(B1245),N(B1245)&gt;0),INT(B1245),0)</f>
        <v>0.0</v>
      </c>
      <c r="T1245" s="67">
        <f>IF(AND(ISNUMBER(J1245),N(J1245)&gt;=0),N(J1245),0)</f>
        <v>0.0</v>
      </c>
      <c r="U1245" s="67">
        <f>IF(AND(ISNUMBER(K1245),N(K1245)&gt;0),N(K1245),0)</f>
        <v>0.0</v>
      </c>
      <c r="V1245" s="67">
        <f>IF(AND(ISNUMBER(L1245),N(L1245)&gt;0),N(L1245),0)</f>
        <v>0.0</v>
      </c>
      <c r="W1245" s="67">
        <f>IF(AND(I1245="Terminée",S1245&gt;0,C1245&lt;&gt;"",ISNUMBER(MATCH(C1245,eq_code,0))),1,0)</f>
        <v>0.0</v>
      </c>
      <c r="X1245" s="67">
        <f>IF(AND(W1245=1,E1245="Préventif"),1,0)</f>
        <v>0.0</v>
      </c>
      <c r="Y1245" s="67">
        <f>IF(AND(ISNUMBER(N1245),N(N1245)&gt;0),N(N1245),0)</f>
        <v>0.0</v>
      </c>
      <c r="Z1245" s="67">
        <f>IF(AND(ISNUMBER(P1245),N(P1245)&gt;0),N(P1245),0)</f>
        <v>0.0</v>
      </c>
    </row>
    <row r="1246">
      <c r="A1246" s="79" t="str">
        <f>IF(COUNTA(B1246:C1246,E1246:G1246,I1246)=0,"","BI-"&amp;RIGHT("0000"&amp;(ROW()-5),4))</f>
        <v/>
      </c>
      <c r="B1246" s="72" t="n"/>
      <c r="C1246" s="66" t="n"/>
      <c r="D1246" s="67" t="str">
        <f>IF(C1246="","",IFERROR(INDEX(eq_des,MATCH(C1246,eq_code,0))&amp;"","Équipement inconnu"))</f>
        <v/>
      </c>
      <c r="E1246" s="68" t="n"/>
      <c r="F1246" s="68" t="n"/>
      <c r="G1246" s="66" t="n"/>
      <c r="H1246" s="66" t="n"/>
      <c r="I1246" s="68" t="n"/>
      <c r="J1246" s="73" t="n"/>
      <c r="K1246" s="71" t="n"/>
      <c r="L1246" s="71" t="n"/>
      <c r="M1246" s="66" t="n"/>
      <c r="N1246" s="80" t="n"/>
      <c r="O1246" s="81" t="str">
        <f>IF(A1246="","",ROUND(V1246*IFERROR(N(INDEX(tech_rate,MATCH(M1246,tech_name,0))),0),2))</f>
        <v/>
      </c>
      <c r="P1246" s="80" t="n"/>
      <c r="Q1246" s="81" t="str">
        <f>IF(A1246="","",ROUND(Y1246+O1246+Z1246,2))</f>
        <v/>
      </c>
      <c r="R1246" s="79" t="str">
        <f>IF(A1246="","",IF(S1246=0,"Date manquante ou invalide",IF(C1246="","Équipement manquant",IF(ISNA(MATCH(C1246,eq_code,0)),"Équipement inconnu",IF(E1246="","Type manquant",IF(AND(E1246&lt;&gt;"Préventif",E1246&lt;&gt;"Correctif",E1246&lt;&gt;"Amélioratif"),"Type inconnu",IF(I1246="","Statut manquant",IF(AND(I1246&lt;&gt;"Terminée",I1246&lt;&gt;"En cours",I1246&lt;&gt;"À faire",I1246&lt;&gt;"Annulée"),"Statut inconnu",IF(AND(E1246="Préventif",F1246=""),"Plan manquant (préventif)",IF(AND(F1246&lt;&gt;"",ISNA(MATCH(F1246,pl_num,0))),"Plan inconnu",IF(AND(F1246&lt;&gt;"",IFERROR(INDEX(pl_eq,MATCH(F1246,pl_num,0))&amp;"",C1246)&lt;&gt;C1246),"Plan d'un autre équipement",IF(AND(J1246&lt;&gt;"",OR(NOT(ISNUMBER(J1246)),N(J1246)&lt;0)),"Compteur invalide",IF(OR(AND(K1246&lt;&gt;"",OR(NOT(ISNUMBER(K1246)),N(K1246)&lt;0)),AND(L1246&lt;&gt;"",OR(NOT(ISNUMBER(L1246)),N(L1246)&lt;0))),"Durée invalide",IF(OR(AND(N1246&lt;&gt;"",OR(NOT(ISNUMBER(N1246)),N(N1246)&lt;0)),AND(P1246&lt;&gt;"",OR(NOT(ISNUMBER(P1246)),N(P1246)&lt;0))),"Coût invalide",IF(AND(M1246&lt;&gt;"",ISNA(MATCH(M1246,tech_name,0))),"Technicien inconnu",IF(AND(I1246="Terminée",S1246&gt;p_today),"Terminée à une date future",IF(AND(I1246="Terminée",V1246=0),"Durée d'intervention manquante",IF(AND(I1246="Terminée",E1246="Préventif",T1246=0,OR(IFERROR(INDEX(pl_trig,MATCH(F1246,pl_num,0))&amp;"","")="Compteur",IFERROR(INDEX(pl_trig,MATCH(F1246,pl_num,0))&amp;"","")="Au premier des deux")),"Compteur manquant (plan au compteur)","OK"))))))))))))))))))</f>
        <v/>
      </c>
      <c r="S1246" s="67">
        <f>IF(AND(ISNUMBER(B1246),N(B1246)&gt;0),INT(B1246),0)</f>
        <v>0.0</v>
      </c>
      <c r="T1246" s="67">
        <f>IF(AND(ISNUMBER(J1246),N(J1246)&gt;=0),N(J1246),0)</f>
        <v>0.0</v>
      </c>
      <c r="U1246" s="67">
        <f>IF(AND(ISNUMBER(K1246),N(K1246)&gt;0),N(K1246),0)</f>
        <v>0.0</v>
      </c>
      <c r="V1246" s="67">
        <f>IF(AND(ISNUMBER(L1246),N(L1246)&gt;0),N(L1246),0)</f>
        <v>0.0</v>
      </c>
      <c r="W1246" s="67">
        <f>IF(AND(I1246="Terminée",S1246&gt;0,C1246&lt;&gt;"",ISNUMBER(MATCH(C1246,eq_code,0))),1,0)</f>
        <v>0.0</v>
      </c>
      <c r="X1246" s="67">
        <f>IF(AND(W1246=1,E1246="Préventif"),1,0)</f>
        <v>0.0</v>
      </c>
      <c r="Y1246" s="67">
        <f>IF(AND(ISNUMBER(N1246),N(N1246)&gt;0),N(N1246),0)</f>
        <v>0.0</v>
      </c>
      <c r="Z1246" s="67">
        <f>IF(AND(ISNUMBER(P1246),N(P1246)&gt;0),N(P1246),0)</f>
        <v>0.0</v>
      </c>
    </row>
    <row r="1247">
      <c r="A1247" s="79" t="str">
        <f>IF(COUNTA(B1247:C1247,E1247:G1247,I1247)=0,"","BI-"&amp;RIGHT("0000"&amp;(ROW()-5),4))</f>
        <v/>
      </c>
      <c r="B1247" s="72" t="n"/>
      <c r="C1247" s="66" t="n"/>
      <c r="D1247" s="67" t="str">
        <f>IF(C1247="","",IFERROR(INDEX(eq_des,MATCH(C1247,eq_code,0))&amp;"","Équipement inconnu"))</f>
        <v/>
      </c>
      <c r="E1247" s="68" t="n"/>
      <c r="F1247" s="68" t="n"/>
      <c r="G1247" s="66" t="n"/>
      <c r="H1247" s="66" t="n"/>
      <c r="I1247" s="68" t="n"/>
      <c r="J1247" s="73" t="n"/>
      <c r="K1247" s="71" t="n"/>
      <c r="L1247" s="71" t="n"/>
      <c r="M1247" s="66" t="n"/>
      <c r="N1247" s="80" t="n"/>
      <c r="O1247" s="81" t="str">
        <f>IF(A1247="","",ROUND(V1247*IFERROR(N(INDEX(tech_rate,MATCH(M1247,tech_name,0))),0),2))</f>
        <v/>
      </c>
      <c r="P1247" s="80" t="n"/>
      <c r="Q1247" s="81" t="str">
        <f>IF(A1247="","",ROUND(Y1247+O1247+Z1247,2))</f>
        <v/>
      </c>
      <c r="R1247" s="79" t="str">
        <f>IF(A1247="","",IF(S1247=0,"Date manquante ou invalide",IF(C1247="","Équipement manquant",IF(ISNA(MATCH(C1247,eq_code,0)),"Équipement inconnu",IF(E1247="","Type manquant",IF(AND(E1247&lt;&gt;"Préventif",E1247&lt;&gt;"Correctif",E1247&lt;&gt;"Amélioratif"),"Type inconnu",IF(I1247="","Statut manquant",IF(AND(I1247&lt;&gt;"Terminée",I1247&lt;&gt;"En cours",I1247&lt;&gt;"À faire",I1247&lt;&gt;"Annulée"),"Statut inconnu",IF(AND(E1247="Préventif",F1247=""),"Plan manquant (préventif)",IF(AND(F1247&lt;&gt;"",ISNA(MATCH(F1247,pl_num,0))),"Plan inconnu",IF(AND(F1247&lt;&gt;"",IFERROR(INDEX(pl_eq,MATCH(F1247,pl_num,0))&amp;"",C1247)&lt;&gt;C1247),"Plan d'un autre équipement",IF(AND(J1247&lt;&gt;"",OR(NOT(ISNUMBER(J1247)),N(J1247)&lt;0)),"Compteur invalide",IF(OR(AND(K1247&lt;&gt;"",OR(NOT(ISNUMBER(K1247)),N(K1247)&lt;0)),AND(L1247&lt;&gt;"",OR(NOT(ISNUMBER(L1247)),N(L1247)&lt;0))),"Durée invalide",IF(OR(AND(N1247&lt;&gt;"",OR(NOT(ISNUMBER(N1247)),N(N1247)&lt;0)),AND(P1247&lt;&gt;"",OR(NOT(ISNUMBER(P1247)),N(P1247)&lt;0))),"Coût invalide",IF(AND(M1247&lt;&gt;"",ISNA(MATCH(M1247,tech_name,0))),"Technicien inconnu",IF(AND(I1247="Terminée",S1247&gt;p_today),"Terminée à une date future",IF(AND(I1247="Terminée",V1247=0),"Durée d'intervention manquante",IF(AND(I1247="Terminée",E1247="Préventif",T1247=0,OR(IFERROR(INDEX(pl_trig,MATCH(F1247,pl_num,0))&amp;"","")="Compteur",IFERROR(INDEX(pl_trig,MATCH(F1247,pl_num,0))&amp;"","")="Au premier des deux")),"Compteur manquant (plan au compteur)","OK"))))))))))))))))))</f>
        <v/>
      </c>
      <c r="S1247" s="67">
        <f>IF(AND(ISNUMBER(B1247),N(B1247)&gt;0),INT(B1247),0)</f>
        <v>0.0</v>
      </c>
      <c r="T1247" s="67">
        <f>IF(AND(ISNUMBER(J1247),N(J1247)&gt;=0),N(J1247),0)</f>
        <v>0.0</v>
      </c>
      <c r="U1247" s="67">
        <f>IF(AND(ISNUMBER(K1247),N(K1247)&gt;0),N(K1247),0)</f>
        <v>0.0</v>
      </c>
      <c r="V1247" s="67">
        <f>IF(AND(ISNUMBER(L1247),N(L1247)&gt;0),N(L1247),0)</f>
        <v>0.0</v>
      </c>
      <c r="W1247" s="67">
        <f>IF(AND(I1247="Terminée",S1247&gt;0,C1247&lt;&gt;"",ISNUMBER(MATCH(C1247,eq_code,0))),1,0)</f>
        <v>0.0</v>
      </c>
      <c r="X1247" s="67">
        <f>IF(AND(W1247=1,E1247="Préventif"),1,0)</f>
        <v>0.0</v>
      </c>
      <c r="Y1247" s="67">
        <f>IF(AND(ISNUMBER(N1247),N(N1247)&gt;0),N(N1247),0)</f>
        <v>0.0</v>
      </c>
      <c r="Z1247" s="67">
        <f>IF(AND(ISNUMBER(P1247),N(P1247)&gt;0),N(P1247),0)</f>
        <v>0.0</v>
      </c>
    </row>
    <row r="1248">
      <c r="A1248" s="79" t="str">
        <f>IF(COUNTA(B1248:C1248,E1248:G1248,I1248)=0,"","BI-"&amp;RIGHT("0000"&amp;(ROW()-5),4))</f>
        <v/>
      </c>
      <c r="B1248" s="72" t="n"/>
      <c r="C1248" s="66" t="n"/>
      <c r="D1248" s="67" t="str">
        <f>IF(C1248="","",IFERROR(INDEX(eq_des,MATCH(C1248,eq_code,0))&amp;"","Équipement inconnu"))</f>
        <v/>
      </c>
      <c r="E1248" s="68" t="n"/>
      <c r="F1248" s="68" t="n"/>
      <c r="G1248" s="66" t="n"/>
      <c r="H1248" s="66" t="n"/>
      <c r="I1248" s="68" t="n"/>
      <c r="J1248" s="73" t="n"/>
      <c r="K1248" s="71" t="n"/>
      <c r="L1248" s="71" t="n"/>
      <c r="M1248" s="66" t="n"/>
      <c r="N1248" s="80" t="n"/>
      <c r="O1248" s="81" t="str">
        <f>IF(A1248="","",ROUND(V1248*IFERROR(N(INDEX(tech_rate,MATCH(M1248,tech_name,0))),0),2))</f>
        <v/>
      </c>
      <c r="P1248" s="80" t="n"/>
      <c r="Q1248" s="81" t="str">
        <f>IF(A1248="","",ROUND(Y1248+O1248+Z1248,2))</f>
        <v/>
      </c>
      <c r="R1248" s="79" t="str">
        <f>IF(A1248="","",IF(S1248=0,"Date manquante ou invalide",IF(C1248="","Équipement manquant",IF(ISNA(MATCH(C1248,eq_code,0)),"Équipement inconnu",IF(E1248="","Type manquant",IF(AND(E1248&lt;&gt;"Préventif",E1248&lt;&gt;"Correctif",E1248&lt;&gt;"Amélioratif"),"Type inconnu",IF(I1248="","Statut manquant",IF(AND(I1248&lt;&gt;"Terminée",I1248&lt;&gt;"En cours",I1248&lt;&gt;"À faire",I1248&lt;&gt;"Annulée"),"Statut inconnu",IF(AND(E1248="Préventif",F1248=""),"Plan manquant (préventif)",IF(AND(F1248&lt;&gt;"",ISNA(MATCH(F1248,pl_num,0))),"Plan inconnu",IF(AND(F1248&lt;&gt;"",IFERROR(INDEX(pl_eq,MATCH(F1248,pl_num,0))&amp;"",C1248)&lt;&gt;C1248),"Plan d'un autre équipement",IF(AND(J1248&lt;&gt;"",OR(NOT(ISNUMBER(J1248)),N(J1248)&lt;0)),"Compteur invalide",IF(OR(AND(K1248&lt;&gt;"",OR(NOT(ISNUMBER(K1248)),N(K1248)&lt;0)),AND(L1248&lt;&gt;"",OR(NOT(ISNUMBER(L1248)),N(L1248)&lt;0))),"Durée invalide",IF(OR(AND(N1248&lt;&gt;"",OR(NOT(ISNUMBER(N1248)),N(N1248)&lt;0)),AND(P1248&lt;&gt;"",OR(NOT(ISNUMBER(P1248)),N(P1248)&lt;0))),"Coût invalide",IF(AND(M1248&lt;&gt;"",ISNA(MATCH(M1248,tech_name,0))),"Technicien inconnu",IF(AND(I1248="Terminée",S1248&gt;p_today),"Terminée à une date future",IF(AND(I1248="Terminée",V1248=0),"Durée d'intervention manquante",IF(AND(I1248="Terminée",E1248="Préventif",T1248=0,OR(IFERROR(INDEX(pl_trig,MATCH(F1248,pl_num,0))&amp;"","")="Compteur",IFERROR(INDEX(pl_trig,MATCH(F1248,pl_num,0))&amp;"","")="Au premier des deux")),"Compteur manquant (plan au compteur)","OK"))))))))))))))))))</f>
        <v/>
      </c>
      <c r="S1248" s="67">
        <f>IF(AND(ISNUMBER(B1248),N(B1248)&gt;0),INT(B1248),0)</f>
        <v>0.0</v>
      </c>
      <c r="T1248" s="67">
        <f>IF(AND(ISNUMBER(J1248),N(J1248)&gt;=0),N(J1248),0)</f>
        <v>0.0</v>
      </c>
      <c r="U1248" s="67">
        <f>IF(AND(ISNUMBER(K1248),N(K1248)&gt;0),N(K1248),0)</f>
        <v>0.0</v>
      </c>
      <c r="V1248" s="67">
        <f>IF(AND(ISNUMBER(L1248),N(L1248)&gt;0),N(L1248),0)</f>
        <v>0.0</v>
      </c>
      <c r="W1248" s="67">
        <f>IF(AND(I1248="Terminée",S1248&gt;0,C1248&lt;&gt;"",ISNUMBER(MATCH(C1248,eq_code,0))),1,0)</f>
        <v>0.0</v>
      </c>
      <c r="X1248" s="67">
        <f>IF(AND(W1248=1,E1248="Préventif"),1,0)</f>
        <v>0.0</v>
      </c>
      <c r="Y1248" s="67">
        <f>IF(AND(ISNUMBER(N1248),N(N1248)&gt;0),N(N1248),0)</f>
        <v>0.0</v>
      </c>
      <c r="Z1248" s="67">
        <f>IF(AND(ISNUMBER(P1248),N(P1248)&gt;0),N(P1248),0)</f>
        <v>0.0</v>
      </c>
    </row>
    <row r="1249">
      <c r="A1249" s="79" t="str">
        <f>IF(COUNTA(B1249:C1249,E1249:G1249,I1249)=0,"","BI-"&amp;RIGHT("0000"&amp;(ROW()-5),4))</f>
        <v/>
      </c>
      <c r="B1249" s="72" t="n"/>
      <c r="C1249" s="66" t="n"/>
      <c r="D1249" s="67" t="str">
        <f>IF(C1249="","",IFERROR(INDEX(eq_des,MATCH(C1249,eq_code,0))&amp;"","Équipement inconnu"))</f>
        <v/>
      </c>
      <c r="E1249" s="68" t="n"/>
      <c r="F1249" s="68" t="n"/>
      <c r="G1249" s="66" t="n"/>
      <c r="H1249" s="66" t="n"/>
      <c r="I1249" s="68" t="n"/>
      <c r="J1249" s="73" t="n"/>
      <c r="K1249" s="71" t="n"/>
      <c r="L1249" s="71" t="n"/>
      <c r="M1249" s="66" t="n"/>
      <c r="N1249" s="80" t="n"/>
      <c r="O1249" s="81" t="str">
        <f>IF(A1249="","",ROUND(V1249*IFERROR(N(INDEX(tech_rate,MATCH(M1249,tech_name,0))),0),2))</f>
        <v/>
      </c>
      <c r="P1249" s="80" t="n"/>
      <c r="Q1249" s="81" t="str">
        <f>IF(A1249="","",ROUND(Y1249+O1249+Z1249,2))</f>
        <v/>
      </c>
      <c r="R1249" s="79" t="str">
        <f>IF(A1249="","",IF(S1249=0,"Date manquante ou invalide",IF(C1249="","Équipement manquant",IF(ISNA(MATCH(C1249,eq_code,0)),"Équipement inconnu",IF(E1249="","Type manquant",IF(AND(E1249&lt;&gt;"Préventif",E1249&lt;&gt;"Correctif",E1249&lt;&gt;"Amélioratif"),"Type inconnu",IF(I1249="","Statut manquant",IF(AND(I1249&lt;&gt;"Terminée",I1249&lt;&gt;"En cours",I1249&lt;&gt;"À faire",I1249&lt;&gt;"Annulée"),"Statut inconnu",IF(AND(E1249="Préventif",F1249=""),"Plan manquant (préventif)",IF(AND(F1249&lt;&gt;"",ISNA(MATCH(F1249,pl_num,0))),"Plan inconnu",IF(AND(F1249&lt;&gt;"",IFERROR(INDEX(pl_eq,MATCH(F1249,pl_num,0))&amp;"",C1249)&lt;&gt;C1249),"Plan d'un autre équipement",IF(AND(J1249&lt;&gt;"",OR(NOT(ISNUMBER(J1249)),N(J1249)&lt;0)),"Compteur invalide",IF(OR(AND(K1249&lt;&gt;"",OR(NOT(ISNUMBER(K1249)),N(K1249)&lt;0)),AND(L1249&lt;&gt;"",OR(NOT(ISNUMBER(L1249)),N(L1249)&lt;0))),"Durée invalide",IF(OR(AND(N1249&lt;&gt;"",OR(NOT(ISNUMBER(N1249)),N(N1249)&lt;0)),AND(P1249&lt;&gt;"",OR(NOT(ISNUMBER(P1249)),N(P1249)&lt;0))),"Coût invalide",IF(AND(M1249&lt;&gt;"",ISNA(MATCH(M1249,tech_name,0))),"Technicien inconnu",IF(AND(I1249="Terminée",S1249&gt;p_today),"Terminée à une date future",IF(AND(I1249="Terminée",V1249=0),"Durée d'intervention manquante",IF(AND(I1249="Terminée",E1249="Préventif",T1249=0,OR(IFERROR(INDEX(pl_trig,MATCH(F1249,pl_num,0))&amp;"","")="Compteur",IFERROR(INDEX(pl_trig,MATCH(F1249,pl_num,0))&amp;"","")="Au premier des deux")),"Compteur manquant (plan au compteur)","OK"))))))))))))))))))</f>
        <v/>
      </c>
      <c r="S1249" s="67">
        <f>IF(AND(ISNUMBER(B1249),N(B1249)&gt;0),INT(B1249),0)</f>
        <v>0.0</v>
      </c>
      <c r="T1249" s="67">
        <f>IF(AND(ISNUMBER(J1249),N(J1249)&gt;=0),N(J1249),0)</f>
        <v>0.0</v>
      </c>
      <c r="U1249" s="67">
        <f>IF(AND(ISNUMBER(K1249),N(K1249)&gt;0),N(K1249),0)</f>
        <v>0.0</v>
      </c>
      <c r="V1249" s="67">
        <f>IF(AND(ISNUMBER(L1249),N(L1249)&gt;0),N(L1249),0)</f>
        <v>0.0</v>
      </c>
      <c r="W1249" s="67">
        <f>IF(AND(I1249="Terminée",S1249&gt;0,C1249&lt;&gt;"",ISNUMBER(MATCH(C1249,eq_code,0))),1,0)</f>
        <v>0.0</v>
      </c>
      <c r="X1249" s="67">
        <f>IF(AND(W1249=1,E1249="Préventif"),1,0)</f>
        <v>0.0</v>
      </c>
      <c r="Y1249" s="67">
        <f>IF(AND(ISNUMBER(N1249),N(N1249)&gt;0),N(N1249),0)</f>
        <v>0.0</v>
      </c>
      <c r="Z1249" s="67">
        <f>IF(AND(ISNUMBER(P1249),N(P1249)&gt;0),N(P1249),0)</f>
        <v>0.0</v>
      </c>
    </row>
    <row r="1250">
      <c r="A1250" s="79" t="str">
        <f>IF(COUNTA(B1250:C1250,E1250:G1250,I1250)=0,"","BI-"&amp;RIGHT("0000"&amp;(ROW()-5),4))</f>
        <v/>
      </c>
      <c r="B1250" s="72" t="n"/>
      <c r="C1250" s="66" t="n"/>
      <c r="D1250" s="67" t="str">
        <f>IF(C1250="","",IFERROR(INDEX(eq_des,MATCH(C1250,eq_code,0))&amp;"","Équipement inconnu"))</f>
        <v/>
      </c>
      <c r="E1250" s="68" t="n"/>
      <c r="F1250" s="68" t="n"/>
      <c r="G1250" s="66" t="n"/>
      <c r="H1250" s="66" t="n"/>
      <c r="I1250" s="68" t="n"/>
      <c r="J1250" s="73" t="n"/>
      <c r="K1250" s="71" t="n"/>
      <c r="L1250" s="71" t="n"/>
      <c r="M1250" s="66" t="n"/>
      <c r="N1250" s="80" t="n"/>
      <c r="O1250" s="81" t="str">
        <f>IF(A1250="","",ROUND(V1250*IFERROR(N(INDEX(tech_rate,MATCH(M1250,tech_name,0))),0),2))</f>
        <v/>
      </c>
      <c r="P1250" s="80" t="n"/>
      <c r="Q1250" s="81" t="str">
        <f>IF(A1250="","",ROUND(Y1250+O1250+Z1250,2))</f>
        <v/>
      </c>
      <c r="R1250" s="79" t="str">
        <f>IF(A1250="","",IF(S1250=0,"Date manquante ou invalide",IF(C1250="","Équipement manquant",IF(ISNA(MATCH(C1250,eq_code,0)),"Équipement inconnu",IF(E1250="","Type manquant",IF(AND(E1250&lt;&gt;"Préventif",E1250&lt;&gt;"Correctif",E1250&lt;&gt;"Amélioratif"),"Type inconnu",IF(I1250="","Statut manquant",IF(AND(I1250&lt;&gt;"Terminée",I1250&lt;&gt;"En cours",I1250&lt;&gt;"À faire",I1250&lt;&gt;"Annulée"),"Statut inconnu",IF(AND(E1250="Préventif",F1250=""),"Plan manquant (préventif)",IF(AND(F1250&lt;&gt;"",ISNA(MATCH(F1250,pl_num,0))),"Plan inconnu",IF(AND(F1250&lt;&gt;"",IFERROR(INDEX(pl_eq,MATCH(F1250,pl_num,0))&amp;"",C1250)&lt;&gt;C1250),"Plan d'un autre équipement",IF(AND(J1250&lt;&gt;"",OR(NOT(ISNUMBER(J1250)),N(J1250)&lt;0)),"Compteur invalide",IF(OR(AND(K1250&lt;&gt;"",OR(NOT(ISNUMBER(K1250)),N(K1250)&lt;0)),AND(L1250&lt;&gt;"",OR(NOT(ISNUMBER(L1250)),N(L1250)&lt;0))),"Durée invalide",IF(OR(AND(N1250&lt;&gt;"",OR(NOT(ISNUMBER(N1250)),N(N1250)&lt;0)),AND(P1250&lt;&gt;"",OR(NOT(ISNUMBER(P1250)),N(P1250)&lt;0))),"Coût invalide",IF(AND(M1250&lt;&gt;"",ISNA(MATCH(M1250,tech_name,0))),"Technicien inconnu",IF(AND(I1250="Terminée",S1250&gt;p_today),"Terminée à une date future",IF(AND(I1250="Terminée",V1250=0),"Durée d'intervention manquante",IF(AND(I1250="Terminée",E1250="Préventif",T1250=0,OR(IFERROR(INDEX(pl_trig,MATCH(F1250,pl_num,0))&amp;"","")="Compteur",IFERROR(INDEX(pl_trig,MATCH(F1250,pl_num,0))&amp;"","")="Au premier des deux")),"Compteur manquant (plan au compteur)","OK"))))))))))))))))))</f>
        <v/>
      </c>
      <c r="S1250" s="67">
        <f>IF(AND(ISNUMBER(B1250),N(B1250)&gt;0),INT(B1250),0)</f>
        <v>0.0</v>
      </c>
      <c r="T1250" s="67">
        <f>IF(AND(ISNUMBER(J1250),N(J1250)&gt;=0),N(J1250),0)</f>
        <v>0.0</v>
      </c>
      <c r="U1250" s="67">
        <f>IF(AND(ISNUMBER(K1250),N(K1250)&gt;0),N(K1250),0)</f>
        <v>0.0</v>
      </c>
      <c r="V1250" s="67">
        <f>IF(AND(ISNUMBER(L1250),N(L1250)&gt;0),N(L1250),0)</f>
        <v>0.0</v>
      </c>
      <c r="W1250" s="67">
        <f>IF(AND(I1250="Terminée",S1250&gt;0,C1250&lt;&gt;"",ISNUMBER(MATCH(C1250,eq_code,0))),1,0)</f>
        <v>0.0</v>
      </c>
      <c r="X1250" s="67">
        <f>IF(AND(W1250=1,E1250="Préventif"),1,0)</f>
        <v>0.0</v>
      </c>
      <c r="Y1250" s="67">
        <f>IF(AND(ISNUMBER(N1250),N(N1250)&gt;0),N(N1250),0)</f>
        <v>0.0</v>
      </c>
      <c r="Z1250" s="67">
        <f>IF(AND(ISNUMBER(P1250),N(P1250)&gt;0),N(P1250),0)</f>
        <v>0.0</v>
      </c>
    </row>
    <row r="1251">
      <c r="A1251" s="79" t="str">
        <f>IF(COUNTA(B1251:C1251,E1251:G1251,I1251)=0,"","BI-"&amp;RIGHT("0000"&amp;(ROW()-5),4))</f>
        <v/>
      </c>
      <c r="B1251" s="72" t="n"/>
      <c r="C1251" s="66" t="n"/>
      <c r="D1251" s="67" t="str">
        <f>IF(C1251="","",IFERROR(INDEX(eq_des,MATCH(C1251,eq_code,0))&amp;"","Équipement inconnu"))</f>
        <v/>
      </c>
      <c r="E1251" s="68" t="n"/>
      <c r="F1251" s="68" t="n"/>
      <c r="G1251" s="66" t="n"/>
      <c r="H1251" s="66" t="n"/>
      <c r="I1251" s="68" t="n"/>
      <c r="J1251" s="73" t="n"/>
      <c r="K1251" s="71" t="n"/>
      <c r="L1251" s="71" t="n"/>
      <c r="M1251" s="66" t="n"/>
      <c r="N1251" s="80" t="n"/>
      <c r="O1251" s="81" t="str">
        <f>IF(A1251="","",ROUND(V1251*IFERROR(N(INDEX(tech_rate,MATCH(M1251,tech_name,0))),0),2))</f>
        <v/>
      </c>
      <c r="P1251" s="80" t="n"/>
      <c r="Q1251" s="81" t="str">
        <f>IF(A1251="","",ROUND(Y1251+O1251+Z1251,2))</f>
        <v/>
      </c>
      <c r="R1251" s="79" t="str">
        <f>IF(A1251="","",IF(S1251=0,"Date manquante ou invalide",IF(C1251="","Équipement manquant",IF(ISNA(MATCH(C1251,eq_code,0)),"Équipement inconnu",IF(E1251="","Type manquant",IF(AND(E1251&lt;&gt;"Préventif",E1251&lt;&gt;"Correctif",E1251&lt;&gt;"Amélioratif"),"Type inconnu",IF(I1251="","Statut manquant",IF(AND(I1251&lt;&gt;"Terminée",I1251&lt;&gt;"En cours",I1251&lt;&gt;"À faire",I1251&lt;&gt;"Annulée"),"Statut inconnu",IF(AND(E1251="Préventif",F1251=""),"Plan manquant (préventif)",IF(AND(F1251&lt;&gt;"",ISNA(MATCH(F1251,pl_num,0))),"Plan inconnu",IF(AND(F1251&lt;&gt;"",IFERROR(INDEX(pl_eq,MATCH(F1251,pl_num,0))&amp;"",C1251)&lt;&gt;C1251),"Plan d'un autre équipement",IF(AND(J1251&lt;&gt;"",OR(NOT(ISNUMBER(J1251)),N(J1251)&lt;0)),"Compteur invalide",IF(OR(AND(K1251&lt;&gt;"",OR(NOT(ISNUMBER(K1251)),N(K1251)&lt;0)),AND(L1251&lt;&gt;"",OR(NOT(ISNUMBER(L1251)),N(L1251)&lt;0))),"Durée invalide",IF(OR(AND(N1251&lt;&gt;"",OR(NOT(ISNUMBER(N1251)),N(N1251)&lt;0)),AND(P1251&lt;&gt;"",OR(NOT(ISNUMBER(P1251)),N(P1251)&lt;0))),"Coût invalide",IF(AND(M1251&lt;&gt;"",ISNA(MATCH(M1251,tech_name,0))),"Technicien inconnu",IF(AND(I1251="Terminée",S1251&gt;p_today),"Terminée à une date future",IF(AND(I1251="Terminée",V1251=0),"Durée d'intervention manquante",IF(AND(I1251="Terminée",E1251="Préventif",T1251=0,OR(IFERROR(INDEX(pl_trig,MATCH(F1251,pl_num,0))&amp;"","")="Compteur",IFERROR(INDEX(pl_trig,MATCH(F1251,pl_num,0))&amp;"","")="Au premier des deux")),"Compteur manquant (plan au compteur)","OK"))))))))))))))))))</f>
        <v/>
      </c>
      <c r="S1251" s="67">
        <f>IF(AND(ISNUMBER(B1251),N(B1251)&gt;0),INT(B1251),0)</f>
        <v>0.0</v>
      </c>
      <c r="T1251" s="67">
        <f>IF(AND(ISNUMBER(J1251),N(J1251)&gt;=0),N(J1251),0)</f>
        <v>0.0</v>
      </c>
      <c r="U1251" s="67">
        <f>IF(AND(ISNUMBER(K1251),N(K1251)&gt;0),N(K1251),0)</f>
        <v>0.0</v>
      </c>
      <c r="V1251" s="67">
        <f>IF(AND(ISNUMBER(L1251),N(L1251)&gt;0),N(L1251),0)</f>
        <v>0.0</v>
      </c>
      <c r="W1251" s="67">
        <f>IF(AND(I1251="Terminée",S1251&gt;0,C1251&lt;&gt;"",ISNUMBER(MATCH(C1251,eq_code,0))),1,0)</f>
        <v>0.0</v>
      </c>
      <c r="X1251" s="67">
        <f>IF(AND(W1251=1,E1251="Préventif"),1,0)</f>
        <v>0.0</v>
      </c>
      <c r="Y1251" s="67">
        <f>IF(AND(ISNUMBER(N1251),N(N1251)&gt;0),N(N1251),0)</f>
        <v>0.0</v>
      </c>
      <c r="Z1251" s="67">
        <f>IF(AND(ISNUMBER(P1251),N(P1251)&gt;0),N(P1251),0)</f>
        <v>0.0</v>
      </c>
    </row>
    <row r="1252">
      <c r="A1252" s="79" t="str">
        <f>IF(COUNTA(B1252:C1252,E1252:G1252,I1252)=0,"","BI-"&amp;RIGHT("0000"&amp;(ROW()-5),4))</f>
        <v/>
      </c>
      <c r="B1252" s="72" t="n"/>
      <c r="C1252" s="66" t="n"/>
      <c r="D1252" s="67" t="str">
        <f>IF(C1252="","",IFERROR(INDEX(eq_des,MATCH(C1252,eq_code,0))&amp;"","Équipement inconnu"))</f>
        <v/>
      </c>
      <c r="E1252" s="68" t="n"/>
      <c r="F1252" s="68" t="n"/>
      <c r="G1252" s="66" t="n"/>
      <c r="H1252" s="66" t="n"/>
      <c r="I1252" s="68" t="n"/>
      <c r="J1252" s="73" t="n"/>
      <c r="K1252" s="71" t="n"/>
      <c r="L1252" s="71" t="n"/>
      <c r="M1252" s="66" t="n"/>
      <c r="N1252" s="80" t="n"/>
      <c r="O1252" s="81" t="str">
        <f>IF(A1252="","",ROUND(V1252*IFERROR(N(INDEX(tech_rate,MATCH(M1252,tech_name,0))),0),2))</f>
        <v/>
      </c>
      <c r="P1252" s="80" t="n"/>
      <c r="Q1252" s="81" t="str">
        <f>IF(A1252="","",ROUND(Y1252+O1252+Z1252,2))</f>
        <v/>
      </c>
      <c r="R1252" s="79" t="str">
        <f>IF(A1252="","",IF(S1252=0,"Date manquante ou invalide",IF(C1252="","Équipement manquant",IF(ISNA(MATCH(C1252,eq_code,0)),"Équipement inconnu",IF(E1252="","Type manquant",IF(AND(E1252&lt;&gt;"Préventif",E1252&lt;&gt;"Correctif",E1252&lt;&gt;"Amélioratif"),"Type inconnu",IF(I1252="","Statut manquant",IF(AND(I1252&lt;&gt;"Terminée",I1252&lt;&gt;"En cours",I1252&lt;&gt;"À faire",I1252&lt;&gt;"Annulée"),"Statut inconnu",IF(AND(E1252="Préventif",F1252=""),"Plan manquant (préventif)",IF(AND(F1252&lt;&gt;"",ISNA(MATCH(F1252,pl_num,0))),"Plan inconnu",IF(AND(F1252&lt;&gt;"",IFERROR(INDEX(pl_eq,MATCH(F1252,pl_num,0))&amp;"",C1252)&lt;&gt;C1252),"Plan d'un autre équipement",IF(AND(J1252&lt;&gt;"",OR(NOT(ISNUMBER(J1252)),N(J1252)&lt;0)),"Compteur invalide",IF(OR(AND(K1252&lt;&gt;"",OR(NOT(ISNUMBER(K1252)),N(K1252)&lt;0)),AND(L1252&lt;&gt;"",OR(NOT(ISNUMBER(L1252)),N(L1252)&lt;0))),"Durée invalide",IF(OR(AND(N1252&lt;&gt;"",OR(NOT(ISNUMBER(N1252)),N(N1252)&lt;0)),AND(P1252&lt;&gt;"",OR(NOT(ISNUMBER(P1252)),N(P1252)&lt;0))),"Coût invalide",IF(AND(M1252&lt;&gt;"",ISNA(MATCH(M1252,tech_name,0))),"Technicien inconnu",IF(AND(I1252="Terminée",S1252&gt;p_today),"Terminée à une date future",IF(AND(I1252="Terminée",V1252=0),"Durée d'intervention manquante",IF(AND(I1252="Terminée",E1252="Préventif",T1252=0,OR(IFERROR(INDEX(pl_trig,MATCH(F1252,pl_num,0))&amp;"","")="Compteur",IFERROR(INDEX(pl_trig,MATCH(F1252,pl_num,0))&amp;"","")="Au premier des deux")),"Compteur manquant (plan au compteur)","OK"))))))))))))))))))</f>
        <v/>
      </c>
      <c r="S1252" s="67">
        <f>IF(AND(ISNUMBER(B1252),N(B1252)&gt;0),INT(B1252),0)</f>
        <v>0.0</v>
      </c>
      <c r="T1252" s="67">
        <f>IF(AND(ISNUMBER(J1252),N(J1252)&gt;=0),N(J1252),0)</f>
        <v>0.0</v>
      </c>
      <c r="U1252" s="67">
        <f>IF(AND(ISNUMBER(K1252),N(K1252)&gt;0),N(K1252),0)</f>
        <v>0.0</v>
      </c>
      <c r="V1252" s="67">
        <f>IF(AND(ISNUMBER(L1252),N(L1252)&gt;0),N(L1252),0)</f>
        <v>0.0</v>
      </c>
      <c r="W1252" s="67">
        <f>IF(AND(I1252="Terminée",S1252&gt;0,C1252&lt;&gt;"",ISNUMBER(MATCH(C1252,eq_code,0))),1,0)</f>
        <v>0.0</v>
      </c>
      <c r="X1252" s="67">
        <f>IF(AND(W1252=1,E1252="Préventif"),1,0)</f>
        <v>0.0</v>
      </c>
      <c r="Y1252" s="67">
        <f>IF(AND(ISNUMBER(N1252),N(N1252)&gt;0),N(N1252),0)</f>
        <v>0.0</v>
      </c>
      <c r="Z1252" s="67">
        <f>IF(AND(ISNUMBER(P1252),N(P1252)&gt;0),N(P1252),0)</f>
        <v>0.0</v>
      </c>
    </row>
    <row r="1253">
      <c r="A1253" s="79" t="str">
        <f>IF(COUNTA(B1253:C1253,E1253:G1253,I1253)=0,"","BI-"&amp;RIGHT("0000"&amp;(ROW()-5),4))</f>
        <v/>
      </c>
      <c r="B1253" s="72" t="n"/>
      <c r="C1253" s="66" t="n"/>
      <c r="D1253" s="67" t="str">
        <f>IF(C1253="","",IFERROR(INDEX(eq_des,MATCH(C1253,eq_code,0))&amp;"","Équipement inconnu"))</f>
        <v/>
      </c>
      <c r="E1253" s="68" t="n"/>
      <c r="F1253" s="68" t="n"/>
      <c r="G1253" s="66" t="n"/>
      <c r="H1253" s="66" t="n"/>
      <c r="I1253" s="68" t="n"/>
      <c r="J1253" s="73" t="n"/>
      <c r="K1253" s="71" t="n"/>
      <c r="L1253" s="71" t="n"/>
      <c r="M1253" s="66" t="n"/>
      <c r="N1253" s="80" t="n"/>
      <c r="O1253" s="81" t="str">
        <f>IF(A1253="","",ROUND(V1253*IFERROR(N(INDEX(tech_rate,MATCH(M1253,tech_name,0))),0),2))</f>
        <v/>
      </c>
      <c r="P1253" s="80" t="n"/>
      <c r="Q1253" s="81" t="str">
        <f>IF(A1253="","",ROUND(Y1253+O1253+Z1253,2))</f>
        <v/>
      </c>
      <c r="R1253" s="79" t="str">
        <f>IF(A1253="","",IF(S1253=0,"Date manquante ou invalide",IF(C1253="","Équipement manquant",IF(ISNA(MATCH(C1253,eq_code,0)),"Équipement inconnu",IF(E1253="","Type manquant",IF(AND(E1253&lt;&gt;"Préventif",E1253&lt;&gt;"Correctif",E1253&lt;&gt;"Amélioratif"),"Type inconnu",IF(I1253="","Statut manquant",IF(AND(I1253&lt;&gt;"Terminée",I1253&lt;&gt;"En cours",I1253&lt;&gt;"À faire",I1253&lt;&gt;"Annulée"),"Statut inconnu",IF(AND(E1253="Préventif",F1253=""),"Plan manquant (préventif)",IF(AND(F1253&lt;&gt;"",ISNA(MATCH(F1253,pl_num,0))),"Plan inconnu",IF(AND(F1253&lt;&gt;"",IFERROR(INDEX(pl_eq,MATCH(F1253,pl_num,0))&amp;"",C1253)&lt;&gt;C1253),"Plan d'un autre équipement",IF(AND(J1253&lt;&gt;"",OR(NOT(ISNUMBER(J1253)),N(J1253)&lt;0)),"Compteur invalide",IF(OR(AND(K1253&lt;&gt;"",OR(NOT(ISNUMBER(K1253)),N(K1253)&lt;0)),AND(L1253&lt;&gt;"",OR(NOT(ISNUMBER(L1253)),N(L1253)&lt;0))),"Durée invalide",IF(OR(AND(N1253&lt;&gt;"",OR(NOT(ISNUMBER(N1253)),N(N1253)&lt;0)),AND(P1253&lt;&gt;"",OR(NOT(ISNUMBER(P1253)),N(P1253)&lt;0))),"Coût invalide",IF(AND(M1253&lt;&gt;"",ISNA(MATCH(M1253,tech_name,0))),"Technicien inconnu",IF(AND(I1253="Terminée",S1253&gt;p_today),"Terminée à une date future",IF(AND(I1253="Terminée",V1253=0),"Durée d'intervention manquante",IF(AND(I1253="Terminée",E1253="Préventif",T1253=0,OR(IFERROR(INDEX(pl_trig,MATCH(F1253,pl_num,0))&amp;"","")="Compteur",IFERROR(INDEX(pl_trig,MATCH(F1253,pl_num,0))&amp;"","")="Au premier des deux")),"Compteur manquant (plan au compteur)","OK"))))))))))))))))))</f>
        <v/>
      </c>
      <c r="S1253" s="67">
        <f>IF(AND(ISNUMBER(B1253),N(B1253)&gt;0),INT(B1253),0)</f>
        <v>0.0</v>
      </c>
      <c r="T1253" s="67">
        <f>IF(AND(ISNUMBER(J1253),N(J1253)&gt;=0),N(J1253),0)</f>
        <v>0.0</v>
      </c>
      <c r="U1253" s="67">
        <f>IF(AND(ISNUMBER(K1253),N(K1253)&gt;0),N(K1253),0)</f>
        <v>0.0</v>
      </c>
      <c r="V1253" s="67">
        <f>IF(AND(ISNUMBER(L1253),N(L1253)&gt;0),N(L1253),0)</f>
        <v>0.0</v>
      </c>
      <c r="W1253" s="67">
        <f>IF(AND(I1253="Terminée",S1253&gt;0,C1253&lt;&gt;"",ISNUMBER(MATCH(C1253,eq_code,0))),1,0)</f>
        <v>0.0</v>
      </c>
      <c r="X1253" s="67">
        <f>IF(AND(W1253=1,E1253="Préventif"),1,0)</f>
        <v>0.0</v>
      </c>
      <c r="Y1253" s="67">
        <f>IF(AND(ISNUMBER(N1253),N(N1253)&gt;0),N(N1253),0)</f>
        <v>0.0</v>
      </c>
      <c r="Z1253" s="67">
        <f>IF(AND(ISNUMBER(P1253),N(P1253)&gt;0),N(P1253),0)</f>
        <v>0.0</v>
      </c>
    </row>
    <row r="1254">
      <c r="A1254" s="79" t="str">
        <f>IF(COUNTA(B1254:C1254,E1254:G1254,I1254)=0,"","BI-"&amp;RIGHT("0000"&amp;(ROW()-5),4))</f>
        <v/>
      </c>
      <c r="B1254" s="72" t="n"/>
      <c r="C1254" s="66" t="n"/>
      <c r="D1254" s="67" t="str">
        <f>IF(C1254="","",IFERROR(INDEX(eq_des,MATCH(C1254,eq_code,0))&amp;"","Équipement inconnu"))</f>
        <v/>
      </c>
      <c r="E1254" s="68" t="n"/>
      <c r="F1254" s="68" t="n"/>
      <c r="G1254" s="66" t="n"/>
      <c r="H1254" s="66" t="n"/>
      <c r="I1254" s="68" t="n"/>
      <c r="J1254" s="73" t="n"/>
      <c r="K1254" s="71" t="n"/>
      <c r="L1254" s="71" t="n"/>
      <c r="M1254" s="66" t="n"/>
      <c r="N1254" s="80" t="n"/>
      <c r="O1254" s="81" t="str">
        <f>IF(A1254="","",ROUND(V1254*IFERROR(N(INDEX(tech_rate,MATCH(M1254,tech_name,0))),0),2))</f>
        <v/>
      </c>
      <c r="P1254" s="80" t="n"/>
      <c r="Q1254" s="81" t="str">
        <f>IF(A1254="","",ROUND(Y1254+O1254+Z1254,2))</f>
        <v/>
      </c>
      <c r="R1254" s="79" t="str">
        <f>IF(A1254="","",IF(S1254=0,"Date manquante ou invalide",IF(C1254="","Équipement manquant",IF(ISNA(MATCH(C1254,eq_code,0)),"Équipement inconnu",IF(E1254="","Type manquant",IF(AND(E1254&lt;&gt;"Préventif",E1254&lt;&gt;"Correctif",E1254&lt;&gt;"Amélioratif"),"Type inconnu",IF(I1254="","Statut manquant",IF(AND(I1254&lt;&gt;"Terminée",I1254&lt;&gt;"En cours",I1254&lt;&gt;"À faire",I1254&lt;&gt;"Annulée"),"Statut inconnu",IF(AND(E1254="Préventif",F1254=""),"Plan manquant (préventif)",IF(AND(F1254&lt;&gt;"",ISNA(MATCH(F1254,pl_num,0))),"Plan inconnu",IF(AND(F1254&lt;&gt;"",IFERROR(INDEX(pl_eq,MATCH(F1254,pl_num,0))&amp;"",C1254)&lt;&gt;C1254),"Plan d'un autre équipement",IF(AND(J1254&lt;&gt;"",OR(NOT(ISNUMBER(J1254)),N(J1254)&lt;0)),"Compteur invalide",IF(OR(AND(K1254&lt;&gt;"",OR(NOT(ISNUMBER(K1254)),N(K1254)&lt;0)),AND(L1254&lt;&gt;"",OR(NOT(ISNUMBER(L1254)),N(L1254)&lt;0))),"Durée invalide",IF(OR(AND(N1254&lt;&gt;"",OR(NOT(ISNUMBER(N1254)),N(N1254)&lt;0)),AND(P1254&lt;&gt;"",OR(NOT(ISNUMBER(P1254)),N(P1254)&lt;0))),"Coût invalide",IF(AND(M1254&lt;&gt;"",ISNA(MATCH(M1254,tech_name,0))),"Technicien inconnu",IF(AND(I1254="Terminée",S1254&gt;p_today),"Terminée à une date future",IF(AND(I1254="Terminée",V1254=0),"Durée d'intervention manquante",IF(AND(I1254="Terminée",E1254="Préventif",T1254=0,OR(IFERROR(INDEX(pl_trig,MATCH(F1254,pl_num,0))&amp;"","")="Compteur",IFERROR(INDEX(pl_trig,MATCH(F1254,pl_num,0))&amp;"","")="Au premier des deux")),"Compteur manquant (plan au compteur)","OK"))))))))))))))))))</f>
        <v/>
      </c>
      <c r="S1254" s="67">
        <f>IF(AND(ISNUMBER(B1254),N(B1254)&gt;0),INT(B1254),0)</f>
        <v>0.0</v>
      </c>
      <c r="T1254" s="67">
        <f>IF(AND(ISNUMBER(J1254),N(J1254)&gt;=0),N(J1254),0)</f>
        <v>0.0</v>
      </c>
      <c r="U1254" s="67">
        <f>IF(AND(ISNUMBER(K1254),N(K1254)&gt;0),N(K1254),0)</f>
        <v>0.0</v>
      </c>
      <c r="V1254" s="67">
        <f>IF(AND(ISNUMBER(L1254),N(L1254)&gt;0),N(L1254),0)</f>
        <v>0.0</v>
      </c>
      <c r="W1254" s="67">
        <f>IF(AND(I1254="Terminée",S1254&gt;0,C1254&lt;&gt;"",ISNUMBER(MATCH(C1254,eq_code,0))),1,0)</f>
        <v>0.0</v>
      </c>
      <c r="X1254" s="67">
        <f>IF(AND(W1254=1,E1254="Préventif"),1,0)</f>
        <v>0.0</v>
      </c>
      <c r="Y1254" s="67">
        <f>IF(AND(ISNUMBER(N1254),N(N1254)&gt;0),N(N1254),0)</f>
        <v>0.0</v>
      </c>
      <c r="Z1254" s="67">
        <f>IF(AND(ISNUMBER(P1254),N(P1254)&gt;0),N(P1254),0)</f>
        <v>0.0</v>
      </c>
    </row>
    <row r="1255">
      <c r="A1255" s="79" t="str">
        <f>IF(COUNTA(B1255:C1255,E1255:G1255,I1255)=0,"","BI-"&amp;RIGHT("0000"&amp;(ROW()-5),4))</f>
        <v/>
      </c>
      <c r="B1255" s="72" t="n"/>
      <c r="C1255" s="66" t="n"/>
      <c r="D1255" s="67" t="str">
        <f>IF(C1255="","",IFERROR(INDEX(eq_des,MATCH(C1255,eq_code,0))&amp;"","Équipement inconnu"))</f>
        <v/>
      </c>
      <c r="E1255" s="68" t="n"/>
      <c r="F1255" s="68" t="n"/>
      <c r="G1255" s="66" t="n"/>
      <c r="H1255" s="66" t="n"/>
      <c r="I1255" s="68" t="n"/>
      <c r="J1255" s="73" t="n"/>
      <c r="K1255" s="71" t="n"/>
      <c r="L1255" s="71" t="n"/>
      <c r="M1255" s="66" t="n"/>
      <c r="N1255" s="80" t="n"/>
      <c r="O1255" s="81" t="str">
        <f>IF(A1255="","",ROUND(V1255*IFERROR(N(INDEX(tech_rate,MATCH(M1255,tech_name,0))),0),2))</f>
        <v/>
      </c>
      <c r="P1255" s="80" t="n"/>
      <c r="Q1255" s="81" t="str">
        <f>IF(A1255="","",ROUND(Y1255+O1255+Z1255,2))</f>
        <v/>
      </c>
      <c r="R1255" s="79" t="str">
        <f>IF(A1255="","",IF(S1255=0,"Date manquante ou invalide",IF(C1255="","Équipement manquant",IF(ISNA(MATCH(C1255,eq_code,0)),"Équipement inconnu",IF(E1255="","Type manquant",IF(AND(E1255&lt;&gt;"Préventif",E1255&lt;&gt;"Correctif",E1255&lt;&gt;"Amélioratif"),"Type inconnu",IF(I1255="","Statut manquant",IF(AND(I1255&lt;&gt;"Terminée",I1255&lt;&gt;"En cours",I1255&lt;&gt;"À faire",I1255&lt;&gt;"Annulée"),"Statut inconnu",IF(AND(E1255="Préventif",F1255=""),"Plan manquant (préventif)",IF(AND(F1255&lt;&gt;"",ISNA(MATCH(F1255,pl_num,0))),"Plan inconnu",IF(AND(F1255&lt;&gt;"",IFERROR(INDEX(pl_eq,MATCH(F1255,pl_num,0))&amp;"",C1255)&lt;&gt;C1255),"Plan d'un autre équipement",IF(AND(J1255&lt;&gt;"",OR(NOT(ISNUMBER(J1255)),N(J1255)&lt;0)),"Compteur invalide",IF(OR(AND(K1255&lt;&gt;"",OR(NOT(ISNUMBER(K1255)),N(K1255)&lt;0)),AND(L1255&lt;&gt;"",OR(NOT(ISNUMBER(L1255)),N(L1255)&lt;0))),"Durée invalide",IF(OR(AND(N1255&lt;&gt;"",OR(NOT(ISNUMBER(N1255)),N(N1255)&lt;0)),AND(P1255&lt;&gt;"",OR(NOT(ISNUMBER(P1255)),N(P1255)&lt;0))),"Coût invalide",IF(AND(M1255&lt;&gt;"",ISNA(MATCH(M1255,tech_name,0))),"Technicien inconnu",IF(AND(I1255="Terminée",S1255&gt;p_today),"Terminée à une date future",IF(AND(I1255="Terminée",V1255=0),"Durée d'intervention manquante",IF(AND(I1255="Terminée",E1255="Préventif",T1255=0,OR(IFERROR(INDEX(pl_trig,MATCH(F1255,pl_num,0))&amp;"","")="Compteur",IFERROR(INDEX(pl_trig,MATCH(F1255,pl_num,0))&amp;"","")="Au premier des deux")),"Compteur manquant (plan au compteur)","OK"))))))))))))))))))</f>
        <v/>
      </c>
      <c r="S1255" s="67">
        <f>IF(AND(ISNUMBER(B1255),N(B1255)&gt;0),INT(B1255),0)</f>
        <v>0.0</v>
      </c>
      <c r="T1255" s="67">
        <f>IF(AND(ISNUMBER(J1255),N(J1255)&gt;=0),N(J1255),0)</f>
        <v>0.0</v>
      </c>
      <c r="U1255" s="67">
        <f>IF(AND(ISNUMBER(K1255),N(K1255)&gt;0),N(K1255),0)</f>
        <v>0.0</v>
      </c>
      <c r="V1255" s="67">
        <f>IF(AND(ISNUMBER(L1255),N(L1255)&gt;0),N(L1255),0)</f>
        <v>0.0</v>
      </c>
      <c r="W1255" s="67">
        <f>IF(AND(I1255="Terminée",S1255&gt;0,C1255&lt;&gt;"",ISNUMBER(MATCH(C1255,eq_code,0))),1,0)</f>
        <v>0.0</v>
      </c>
      <c r="X1255" s="67">
        <f>IF(AND(W1255=1,E1255="Préventif"),1,0)</f>
        <v>0.0</v>
      </c>
      <c r="Y1255" s="67">
        <f>IF(AND(ISNUMBER(N1255),N(N1255)&gt;0),N(N1255),0)</f>
        <v>0.0</v>
      </c>
      <c r="Z1255" s="67">
        <f>IF(AND(ISNUMBER(P1255),N(P1255)&gt;0),N(P1255),0)</f>
        <v>0.0</v>
      </c>
    </row>
    <row r="1256">
      <c r="A1256" s="79" t="str">
        <f>IF(COUNTA(B1256:C1256,E1256:G1256,I1256)=0,"","BI-"&amp;RIGHT("0000"&amp;(ROW()-5),4))</f>
        <v/>
      </c>
      <c r="B1256" s="72" t="n"/>
      <c r="C1256" s="66" t="n"/>
      <c r="D1256" s="67" t="str">
        <f>IF(C1256="","",IFERROR(INDEX(eq_des,MATCH(C1256,eq_code,0))&amp;"","Équipement inconnu"))</f>
        <v/>
      </c>
      <c r="E1256" s="68" t="n"/>
      <c r="F1256" s="68" t="n"/>
      <c r="G1256" s="66" t="n"/>
      <c r="H1256" s="66" t="n"/>
      <c r="I1256" s="68" t="n"/>
      <c r="J1256" s="73" t="n"/>
      <c r="K1256" s="71" t="n"/>
      <c r="L1256" s="71" t="n"/>
      <c r="M1256" s="66" t="n"/>
      <c r="N1256" s="80" t="n"/>
      <c r="O1256" s="81" t="str">
        <f>IF(A1256="","",ROUND(V1256*IFERROR(N(INDEX(tech_rate,MATCH(M1256,tech_name,0))),0),2))</f>
        <v/>
      </c>
      <c r="P1256" s="80" t="n"/>
      <c r="Q1256" s="81" t="str">
        <f>IF(A1256="","",ROUND(Y1256+O1256+Z1256,2))</f>
        <v/>
      </c>
      <c r="R1256" s="79" t="str">
        <f>IF(A1256="","",IF(S1256=0,"Date manquante ou invalide",IF(C1256="","Équipement manquant",IF(ISNA(MATCH(C1256,eq_code,0)),"Équipement inconnu",IF(E1256="","Type manquant",IF(AND(E1256&lt;&gt;"Préventif",E1256&lt;&gt;"Correctif",E1256&lt;&gt;"Amélioratif"),"Type inconnu",IF(I1256="","Statut manquant",IF(AND(I1256&lt;&gt;"Terminée",I1256&lt;&gt;"En cours",I1256&lt;&gt;"À faire",I1256&lt;&gt;"Annulée"),"Statut inconnu",IF(AND(E1256="Préventif",F1256=""),"Plan manquant (préventif)",IF(AND(F1256&lt;&gt;"",ISNA(MATCH(F1256,pl_num,0))),"Plan inconnu",IF(AND(F1256&lt;&gt;"",IFERROR(INDEX(pl_eq,MATCH(F1256,pl_num,0))&amp;"",C1256)&lt;&gt;C1256),"Plan d'un autre équipement",IF(AND(J1256&lt;&gt;"",OR(NOT(ISNUMBER(J1256)),N(J1256)&lt;0)),"Compteur invalide",IF(OR(AND(K1256&lt;&gt;"",OR(NOT(ISNUMBER(K1256)),N(K1256)&lt;0)),AND(L1256&lt;&gt;"",OR(NOT(ISNUMBER(L1256)),N(L1256)&lt;0))),"Durée invalide",IF(OR(AND(N1256&lt;&gt;"",OR(NOT(ISNUMBER(N1256)),N(N1256)&lt;0)),AND(P1256&lt;&gt;"",OR(NOT(ISNUMBER(P1256)),N(P1256)&lt;0))),"Coût invalide",IF(AND(M1256&lt;&gt;"",ISNA(MATCH(M1256,tech_name,0))),"Technicien inconnu",IF(AND(I1256="Terminée",S1256&gt;p_today),"Terminée à une date future",IF(AND(I1256="Terminée",V1256=0),"Durée d'intervention manquante",IF(AND(I1256="Terminée",E1256="Préventif",T1256=0,OR(IFERROR(INDEX(pl_trig,MATCH(F1256,pl_num,0))&amp;"","")="Compteur",IFERROR(INDEX(pl_trig,MATCH(F1256,pl_num,0))&amp;"","")="Au premier des deux")),"Compteur manquant (plan au compteur)","OK"))))))))))))))))))</f>
        <v/>
      </c>
      <c r="S1256" s="67">
        <f>IF(AND(ISNUMBER(B1256),N(B1256)&gt;0),INT(B1256),0)</f>
        <v>0.0</v>
      </c>
      <c r="T1256" s="67">
        <f>IF(AND(ISNUMBER(J1256),N(J1256)&gt;=0),N(J1256),0)</f>
        <v>0.0</v>
      </c>
      <c r="U1256" s="67">
        <f>IF(AND(ISNUMBER(K1256),N(K1256)&gt;0),N(K1256),0)</f>
        <v>0.0</v>
      </c>
      <c r="V1256" s="67">
        <f>IF(AND(ISNUMBER(L1256),N(L1256)&gt;0),N(L1256),0)</f>
        <v>0.0</v>
      </c>
      <c r="W1256" s="67">
        <f>IF(AND(I1256="Terminée",S1256&gt;0,C1256&lt;&gt;"",ISNUMBER(MATCH(C1256,eq_code,0))),1,0)</f>
        <v>0.0</v>
      </c>
      <c r="X1256" s="67">
        <f>IF(AND(W1256=1,E1256="Préventif"),1,0)</f>
        <v>0.0</v>
      </c>
      <c r="Y1256" s="67">
        <f>IF(AND(ISNUMBER(N1256),N(N1256)&gt;0),N(N1256),0)</f>
        <v>0.0</v>
      </c>
      <c r="Z1256" s="67">
        <f>IF(AND(ISNUMBER(P1256),N(P1256)&gt;0),N(P1256),0)</f>
        <v>0.0</v>
      </c>
    </row>
    <row r="1257">
      <c r="A1257" s="79" t="str">
        <f>IF(COUNTA(B1257:C1257,E1257:G1257,I1257)=0,"","BI-"&amp;RIGHT("0000"&amp;(ROW()-5),4))</f>
        <v/>
      </c>
      <c r="B1257" s="72" t="n"/>
      <c r="C1257" s="66" t="n"/>
      <c r="D1257" s="67" t="str">
        <f>IF(C1257="","",IFERROR(INDEX(eq_des,MATCH(C1257,eq_code,0))&amp;"","Équipement inconnu"))</f>
        <v/>
      </c>
      <c r="E1257" s="68" t="n"/>
      <c r="F1257" s="68" t="n"/>
      <c r="G1257" s="66" t="n"/>
      <c r="H1257" s="66" t="n"/>
      <c r="I1257" s="68" t="n"/>
      <c r="J1257" s="73" t="n"/>
      <c r="K1257" s="71" t="n"/>
      <c r="L1257" s="71" t="n"/>
      <c r="M1257" s="66" t="n"/>
      <c r="N1257" s="80" t="n"/>
      <c r="O1257" s="81" t="str">
        <f>IF(A1257="","",ROUND(V1257*IFERROR(N(INDEX(tech_rate,MATCH(M1257,tech_name,0))),0),2))</f>
        <v/>
      </c>
      <c r="P1257" s="80" t="n"/>
      <c r="Q1257" s="81" t="str">
        <f>IF(A1257="","",ROUND(Y1257+O1257+Z1257,2))</f>
        <v/>
      </c>
      <c r="R1257" s="79" t="str">
        <f>IF(A1257="","",IF(S1257=0,"Date manquante ou invalide",IF(C1257="","Équipement manquant",IF(ISNA(MATCH(C1257,eq_code,0)),"Équipement inconnu",IF(E1257="","Type manquant",IF(AND(E1257&lt;&gt;"Préventif",E1257&lt;&gt;"Correctif",E1257&lt;&gt;"Amélioratif"),"Type inconnu",IF(I1257="","Statut manquant",IF(AND(I1257&lt;&gt;"Terminée",I1257&lt;&gt;"En cours",I1257&lt;&gt;"À faire",I1257&lt;&gt;"Annulée"),"Statut inconnu",IF(AND(E1257="Préventif",F1257=""),"Plan manquant (préventif)",IF(AND(F1257&lt;&gt;"",ISNA(MATCH(F1257,pl_num,0))),"Plan inconnu",IF(AND(F1257&lt;&gt;"",IFERROR(INDEX(pl_eq,MATCH(F1257,pl_num,0))&amp;"",C1257)&lt;&gt;C1257),"Plan d'un autre équipement",IF(AND(J1257&lt;&gt;"",OR(NOT(ISNUMBER(J1257)),N(J1257)&lt;0)),"Compteur invalide",IF(OR(AND(K1257&lt;&gt;"",OR(NOT(ISNUMBER(K1257)),N(K1257)&lt;0)),AND(L1257&lt;&gt;"",OR(NOT(ISNUMBER(L1257)),N(L1257)&lt;0))),"Durée invalide",IF(OR(AND(N1257&lt;&gt;"",OR(NOT(ISNUMBER(N1257)),N(N1257)&lt;0)),AND(P1257&lt;&gt;"",OR(NOT(ISNUMBER(P1257)),N(P1257)&lt;0))),"Coût invalide",IF(AND(M1257&lt;&gt;"",ISNA(MATCH(M1257,tech_name,0))),"Technicien inconnu",IF(AND(I1257="Terminée",S1257&gt;p_today),"Terminée à une date future",IF(AND(I1257="Terminée",V1257=0),"Durée d'intervention manquante",IF(AND(I1257="Terminée",E1257="Préventif",T1257=0,OR(IFERROR(INDEX(pl_trig,MATCH(F1257,pl_num,0))&amp;"","")="Compteur",IFERROR(INDEX(pl_trig,MATCH(F1257,pl_num,0))&amp;"","")="Au premier des deux")),"Compteur manquant (plan au compteur)","OK"))))))))))))))))))</f>
        <v/>
      </c>
      <c r="S1257" s="67">
        <f>IF(AND(ISNUMBER(B1257),N(B1257)&gt;0),INT(B1257),0)</f>
        <v>0.0</v>
      </c>
      <c r="T1257" s="67">
        <f>IF(AND(ISNUMBER(J1257),N(J1257)&gt;=0),N(J1257),0)</f>
        <v>0.0</v>
      </c>
      <c r="U1257" s="67">
        <f>IF(AND(ISNUMBER(K1257),N(K1257)&gt;0),N(K1257),0)</f>
        <v>0.0</v>
      </c>
      <c r="V1257" s="67">
        <f>IF(AND(ISNUMBER(L1257),N(L1257)&gt;0),N(L1257),0)</f>
        <v>0.0</v>
      </c>
      <c r="W1257" s="67">
        <f>IF(AND(I1257="Terminée",S1257&gt;0,C1257&lt;&gt;"",ISNUMBER(MATCH(C1257,eq_code,0))),1,0)</f>
        <v>0.0</v>
      </c>
      <c r="X1257" s="67">
        <f>IF(AND(W1257=1,E1257="Préventif"),1,0)</f>
        <v>0.0</v>
      </c>
      <c r="Y1257" s="67">
        <f>IF(AND(ISNUMBER(N1257),N(N1257)&gt;0),N(N1257),0)</f>
        <v>0.0</v>
      </c>
      <c r="Z1257" s="67">
        <f>IF(AND(ISNUMBER(P1257),N(P1257)&gt;0),N(P1257),0)</f>
        <v>0.0</v>
      </c>
    </row>
    <row r="1258">
      <c r="A1258" s="79" t="str">
        <f>IF(COUNTA(B1258:C1258,E1258:G1258,I1258)=0,"","BI-"&amp;RIGHT("0000"&amp;(ROW()-5),4))</f>
        <v/>
      </c>
      <c r="B1258" s="72" t="n"/>
      <c r="C1258" s="66" t="n"/>
      <c r="D1258" s="67" t="str">
        <f>IF(C1258="","",IFERROR(INDEX(eq_des,MATCH(C1258,eq_code,0))&amp;"","Équipement inconnu"))</f>
        <v/>
      </c>
      <c r="E1258" s="68" t="n"/>
      <c r="F1258" s="68" t="n"/>
      <c r="G1258" s="66" t="n"/>
      <c r="H1258" s="66" t="n"/>
      <c r="I1258" s="68" t="n"/>
      <c r="J1258" s="73" t="n"/>
      <c r="K1258" s="71" t="n"/>
      <c r="L1258" s="71" t="n"/>
      <c r="M1258" s="66" t="n"/>
      <c r="N1258" s="80" t="n"/>
      <c r="O1258" s="81" t="str">
        <f>IF(A1258="","",ROUND(V1258*IFERROR(N(INDEX(tech_rate,MATCH(M1258,tech_name,0))),0),2))</f>
        <v/>
      </c>
      <c r="P1258" s="80" t="n"/>
      <c r="Q1258" s="81" t="str">
        <f>IF(A1258="","",ROUND(Y1258+O1258+Z1258,2))</f>
        <v/>
      </c>
      <c r="R1258" s="79" t="str">
        <f>IF(A1258="","",IF(S1258=0,"Date manquante ou invalide",IF(C1258="","Équipement manquant",IF(ISNA(MATCH(C1258,eq_code,0)),"Équipement inconnu",IF(E1258="","Type manquant",IF(AND(E1258&lt;&gt;"Préventif",E1258&lt;&gt;"Correctif",E1258&lt;&gt;"Amélioratif"),"Type inconnu",IF(I1258="","Statut manquant",IF(AND(I1258&lt;&gt;"Terminée",I1258&lt;&gt;"En cours",I1258&lt;&gt;"À faire",I1258&lt;&gt;"Annulée"),"Statut inconnu",IF(AND(E1258="Préventif",F1258=""),"Plan manquant (préventif)",IF(AND(F1258&lt;&gt;"",ISNA(MATCH(F1258,pl_num,0))),"Plan inconnu",IF(AND(F1258&lt;&gt;"",IFERROR(INDEX(pl_eq,MATCH(F1258,pl_num,0))&amp;"",C1258)&lt;&gt;C1258),"Plan d'un autre équipement",IF(AND(J1258&lt;&gt;"",OR(NOT(ISNUMBER(J1258)),N(J1258)&lt;0)),"Compteur invalide",IF(OR(AND(K1258&lt;&gt;"",OR(NOT(ISNUMBER(K1258)),N(K1258)&lt;0)),AND(L1258&lt;&gt;"",OR(NOT(ISNUMBER(L1258)),N(L1258)&lt;0))),"Durée invalide",IF(OR(AND(N1258&lt;&gt;"",OR(NOT(ISNUMBER(N1258)),N(N1258)&lt;0)),AND(P1258&lt;&gt;"",OR(NOT(ISNUMBER(P1258)),N(P1258)&lt;0))),"Coût invalide",IF(AND(M1258&lt;&gt;"",ISNA(MATCH(M1258,tech_name,0))),"Technicien inconnu",IF(AND(I1258="Terminée",S1258&gt;p_today),"Terminée à une date future",IF(AND(I1258="Terminée",V1258=0),"Durée d'intervention manquante",IF(AND(I1258="Terminée",E1258="Préventif",T1258=0,OR(IFERROR(INDEX(pl_trig,MATCH(F1258,pl_num,0))&amp;"","")="Compteur",IFERROR(INDEX(pl_trig,MATCH(F1258,pl_num,0))&amp;"","")="Au premier des deux")),"Compteur manquant (plan au compteur)","OK"))))))))))))))))))</f>
        <v/>
      </c>
      <c r="S1258" s="67">
        <f>IF(AND(ISNUMBER(B1258),N(B1258)&gt;0),INT(B1258),0)</f>
        <v>0.0</v>
      </c>
      <c r="T1258" s="67">
        <f>IF(AND(ISNUMBER(J1258),N(J1258)&gt;=0),N(J1258),0)</f>
        <v>0.0</v>
      </c>
      <c r="U1258" s="67">
        <f>IF(AND(ISNUMBER(K1258),N(K1258)&gt;0),N(K1258),0)</f>
        <v>0.0</v>
      </c>
      <c r="V1258" s="67">
        <f>IF(AND(ISNUMBER(L1258),N(L1258)&gt;0),N(L1258),0)</f>
        <v>0.0</v>
      </c>
      <c r="W1258" s="67">
        <f>IF(AND(I1258="Terminée",S1258&gt;0,C1258&lt;&gt;"",ISNUMBER(MATCH(C1258,eq_code,0))),1,0)</f>
        <v>0.0</v>
      </c>
      <c r="X1258" s="67">
        <f>IF(AND(W1258=1,E1258="Préventif"),1,0)</f>
        <v>0.0</v>
      </c>
      <c r="Y1258" s="67">
        <f>IF(AND(ISNUMBER(N1258),N(N1258)&gt;0),N(N1258),0)</f>
        <v>0.0</v>
      </c>
      <c r="Z1258" s="67">
        <f>IF(AND(ISNUMBER(P1258),N(P1258)&gt;0),N(P1258),0)</f>
        <v>0.0</v>
      </c>
    </row>
    <row r="1259">
      <c r="A1259" s="79" t="str">
        <f>IF(COUNTA(B1259:C1259,E1259:G1259,I1259)=0,"","BI-"&amp;RIGHT("0000"&amp;(ROW()-5),4))</f>
        <v/>
      </c>
      <c r="B1259" s="72" t="n"/>
      <c r="C1259" s="66" t="n"/>
      <c r="D1259" s="67" t="str">
        <f>IF(C1259="","",IFERROR(INDEX(eq_des,MATCH(C1259,eq_code,0))&amp;"","Équipement inconnu"))</f>
        <v/>
      </c>
      <c r="E1259" s="68" t="n"/>
      <c r="F1259" s="68" t="n"/>
      <c r="G1259" s="66" t="n"/>
      <c r="H1259" s="66" t="n"/>
      <c r="I1259" s="68" t="n"/>
      <c r="J1259" s="73" t="n"/>
      <c r="K1259" s="71" t="n"/>
      <c r="L1259" s="71" t="n"/>
      <c r="M1259" s="66" t="n"/>
      <c r="N1259" s="80" t="n"/>
      <c r="O1259" s="81" t="str">
        <f>IF(A1259="","",ROUND(V1259*IFERROR(N(INDEX(tech_rate,MATCH(M1259,tech_name,0))),0),2))</f>
        <v/>
      </c>
      <c r="P1259" s="80" t="n"/>
      <c r="Q1259" s="81" t="str">
        <f>IF(A1259="","",ROUND(Y1259+O1259+Z1259,2))</f>
        <v/>
      </c>
      <c r="R1259" s="79" t="str">
        <f>IF(A1259="","",IF(S1259=0,"Date manquante ou invalide",IF(C1259="","Équipement manquant",IF(ISNA(MATCH(C1259,eq_code,0)),"Équipement inconnu",IF(E1259="","Type manquant",IF(AND(E1259&lt;&gt;"Préventif",E1259&lt;&gt;"Correctif",E1259&lt;&gt;"Amélioratif"),"Type inconnu",IF(I1259="","Statut manquant",IF(AND(I1259&lt;&gt;"Terminée",I1259&lt;&gt;"En cours",I1259&lt;&gt;"À faire",I1259&lt;&gt;"Annulée"),"Statut inconnu",IF(AND(E1259="Préventif",F1259=""),"Plan manquant (préventif)",IF(AND(F1259&lt;&gt;"",ISNA(MATCH(F1259,pl_num,0))),"Plan inconnu",IF(AND(F1259&lt;&gt;"",IFERROR(INDEX(pl_eq,MATCH(F1259,pl_num,0))&amp;"",C1259)&lt;&gt;C1259),"Plan d'un autre équipement",IF(AND(J1259&lt;&gt;"",OR(NOT(ISNUMBER(J1259)),N(J1259)&lt;0)),"Compteur invalide",IF(OR(AND(K1259&lt;&gt;"",OR(NOT(ISNUMBER(K1259)),N(K1259)&lt;0)),AND(L1259&lt;&gt;"",OR(NOT(ISNUMBER(L1259)),N(L1259)&lt;0))),"Durée invalide",IF(OR(AND(N1259&lt;&gt;"",OR(NOT(ISNUMBER(N1259)),N(N1259)&lt;0)),AND(P1259&lt;&gt;"",OR(NOT(ISNUMBER(P1259)),N(P1259)&lt;0))),"Coût invalide",IF(AND(M1259&lt;&gt;"",ISNA(MATCH(M1259,tech_name,0))),"Technicien inconnu",IF(AND(I1259="Terminée",S1259&gt;p_today),"Terminée à une date future",IF(AND(I1259="Terminée",V1259=0),"Durée d'intervention manquante",IF(AND(I1259="Terminée",E1259="Préventif",T1259=0,OR(IFERROR(INDEX(pl_trig,MATCH(F1259,pl_num,0))&amp;"","")="Compteur",IFERROR(INDEX(pl_trig,MATCH(F1259,pl_num,0))&amp;"","")="Au premier des deux")),"Compteur manquant (plan au compteur)","OK"))))))))))))))))))</f>
        <v/>
      </c>
      <c r="S1259" s="67">
        <f>IF(AND(ISNUMBER(B1259),N(B1259)&gt;0),INT(B1259),0)</f>
        <v>0.0</v>
      </c>
      <c r="T1259" s="67">
        <f>IF(AND(ISNUMBER(J1259),N(J1259)&gt;=0),N(J1259),0)</f>
        <v>0.0</v>
      </c>
      <c r="U1259" s="67">
        <f>IF(AND(ISNUMBER(K1259),N(K1259)&gt;0),N(K1259),0)</f>
        <v>0.0</v>
      </c>
      <c r="V1259" s="67">
        <f>IF(AND(ISNUMBER(L1259),N(L1259)&gt;0),N(L1259),0)</f>
        <v>0.0</v>
      </c>
      <c r="W1259" s="67">
        <f>IF(AND(I1259="Terminée",S1259&gt;0,C1259&lt;&gt;"",ISNUMBER(MATCH(C1259,eq_code,0))),1,0)</f>
        <v>0.0</v>
      </c>
      <c r="X1259" s="67">
        <f>IF(AND(W1259=1,E1259="Préventif"),1,0)</f>
        <v>0.0</v>
      </c>
      <c r="Y1259" s="67">
        <f>IF(AND(ISNUMBER(N1259),N(N1259)&gt;0),N(N1259),0)</f>
        <v>0.0</v>
      </c>
      <c r="Z1259" s="67">
        <f>IF(AND(ISNUMBER(P1259),N(P1259)&gt;0),N(P1259),0)</f>
        <v>0.0</v>
      </c>
    </row>
    <row r="1260">
      <c r="A1260" s="79" t="str">
        <f>IF(COUNTA(B1260:C1260,E1260:G1260,I1260)=0,"","BI-"&amp;RIGHT("0000"&amp;(ROW()-5),4))</f>
        <v/>
      </c>
      <c r="B1260" s="72" t="n"/>
      <c r="C1260" s="66" t="n"/>
      <c r="D1260" s="67" t="str">
        <f>IF(C1260="","",IFERROR(INDEX(eq_des,MATCH(C1260,eq_code,0))&amp;"","Équipement inconnu"))</f>
        <v/>
      </c>
      <c r="E1260" s="68" t="n"/>
      <c r="F1260" s="68" t="n"/>
      <c r="G1260" s="66" t="n"/>
      <c r="H1260" s="66" t="n"/>
      <c r="I1260" s="68" t="n"/>
      <c r="J1260" s="73" t="n"/>
      <c r="K1260" s="71" t="n"/>
      <c r="L1260" s="71" t="n"/>
      <c r="M1260" s="66" t="n"/>
      <c r="N1260" s="80" t="n"/>
      <c r="O1260" s="81" t="str">
        <f>IF(A1260="","",ROUND(V1260*IFERROR(N(INDEX(tech_rate,MATCH(M1260,tech_name,0))),0),2))</f>
        <v/>
      </c>
      <c r="P1260" s="80" t="n"/>
      <c r="Q1260" s="81" t="str">
        <f>IF(A1260="","",ROUND(Y1260+O1260+Z1260,2))</f>
        <v/>
      </c>
      <c r="R1260" s="79" t="str">
        <f>IF(A1260="","",IF(S1260=0,"Date manquante ou invalide",IF(C1260="","Équipement manquant",IF(ISNA(MATCH(C1260,eq_code,0)),"Équipement inconnu",IF(E1260="","Type manquant",IF(AND(E1260&lt;&gt;"Préventif",E1260&lt;&gt;"Correctif",E1260&lt;&gt;"Amélioratif"),"Type inconnu",IF(I1260="","Statut manquant",IF(AND(I1260&lt;&gt;"Terminée",I1260&lt;&gt;"En cours",I1260&lt;&gt;"À faire",I1260&lt;&gt;"Annulée"),"Statut inconnu",IF(AND(E1260="Préventif",F1260=""),"Plan manquant (préventif)",IF(AND(F1260&lt;&gt;"",ISNA(MATCH(F1260,pl_num,0))),"Plan inconnu",IF(AND(F1260&lt;&gt;"",IFERROR(INDEX(pl_eq,MATCH(F1260,pl_num,0))&amp;"",C1260)&lt;&gt;C1260),"Plan d'un autre équipement",IF(AND(J1260&lt;&gt;"",OR(NOT(ISNUMBER(J1260)),N(J1260)&lt;0)),"Compteur invalide",IF(OR(AND(K1260&lt;&gt;"",OR(NOT(ISNUMBER(K1260)),N(K1260)&lt;0)),AND(L1260&lt;&gt;"",OR(NOT(ISNUMBER(L1260)),N(L1260)&lt;0))),"Durée invalide",IF(OR(AND(N1260&lt;&gt;"",OR(NOT(ISNUMBER(N1260)),N(N1260)&lt;0)),AND(P1260&lt;&gt;"",OR(NOT(ISNUMBER(P1260)),N(P1260)&lt;0))),"Coût invalide",IF(AND(M1260&lt;&gt;"",ISNA(MATCH(M1260,tech_name,0))),"Technicien inconnu",IF(AND(I1260="Terminée",S1260&gt;p_today),"Terminée à une date future",IF(AND(I1260="Terminée",V1260=0),"Durée d'intervention manquante",IF(AND(I1260="Terminée",E1260="Préventif",T1260=0,OR(IFERROR(INDEX(pl_trig,MATCH(F1260,pl_num,0))&amp;"","")="Compteur",IFERROR(INDEX(pl_trig,MATCH(F1260,pl_num,0))&amp;"","")="Au premier des deux")),"Compteur manquant (plan au compteur)","OK"))))))))))))))))))</f>
        <v/>
      </c>
      <c r="S1260" s="67">
        <f>IF(AND(ISNUMBER(B1260),N(B1260)&gt;0),INT(B1260),0)</f>
        <v>0.0</v>
      </c>
      <c r="T1260" s="67">
        <f>IF(AND(ISNUMBER(J1260),N(J1260)&gt;=0),N(J1260),0)</f>
        <v>0.0</v>
      </c>
      <c r="U1260" s="67">
        <f>IF(AND(ISNUMBER(K1260),N(K1260)&gt;0),N(K1260),0)</f>
        <v>0.0</v>
      </c>
      <c r="V1260" s="67">
        <f>IF(AND(ISNUMBER(L1260),N(L1260)&gt;0),N(L1260),0)</f>
        <v>0.0</v>
      </c>
      <c r="W1260" s="67">
        <f>IF(AND(I1260="Terminée",S1260&gt;0,C1260&lt;&gt;"",ISNUMBER(MATCH(C1260,eq_code,0))),1,0)</f>
        <v>0.0</v>
      </c>
      <c r="X1260" s="67">
        <f>IF(AND(W1260=1,E1260="Préventif"),1,0)</f>
        <v>0.0</v>
      </c>
      <c r="Y1260" s="67">
        <f>IF(AND(ISNUMBER(N1260),N(N1260)&gt;0),N(N1260),0)</f>
        <v>0.0</v>
      </c>
      <c r="Z1260" s="67">
        <f>IF(AND(ISNUMBER(P1260),N(P1260)&gt;0),N(P1260),0)</f>
        <v>0.0</v>
      </c>
    </row>
    <row r="1261">
      <c r="A1261" s="79" t="str">
        <f>IF(COUNTA(B1261:C1261,E1261:G1261,I1261)=0,"","BI-"&amp;RIGHT("0000"&amp;(ROW()-5),4))</f>
        <v/>
      </c>
      <c r="B1261" s="72" t="n"/>
      <c r="C1261" s="66" t="n"/>
      <c r="D1261" s="67" t="str">
        <f>IF(C1261="","",IFERROR(INDEX(eq_des,MATCH(C1261,eq_code,0))&amp;"","Équipement inconnu"))</f>
        <v/>
      </c>
      <c r="E1261" s="68" t="n"/>
      <c r="F1261" s="68" t="n"/>
      <c r="G1261" s="66" t="n"/>
      <c r="H1261" s="66" t="n"/>
      <c r="I1261" s="68" t="n"/>
      <c r="J1261" s="73" t="n"/>
      <c r="K1261" s="71" t="n"/>
      <c r="L1261" s="71" t="n"/>
      <c r="M1261" s="66" t="n"/>
      <c r="N1261" s="80" t="n"/>
      <c r="O1261" s="81" t="str">
        <f>IF(A1261="","",ROUND(V1261*IFERROR(N(INDEX(tech_rate,MATCH(M1261,tech_name,0))),0),2))</f>
        <v/>
      </c>
      <c r="P1261" s="80" t="n"/>
      <c r="Q1261" s="81" t="str">
        <f>IF(A1261="","",ROUND(Y1261+O1261+Z1261,2))</f>
        <v/>
      </c>
      <c r="R1261" s="79" t="str">
        <f>IF(A1261="","",IF(S1261=0,"Date manquante ou invalide",IF(C1261="","Équipement manquant",IF(ISNA(MATCH(C1261,eq_code,0)),"Équipement inconnu",IF(E1261="","Type manquant",IF(AND(E1261&lt;&gt;"Préventif",E1261&lt;&gt;"Correctif",E1261&lt;&gt;"Amélioratif"),"Type inconnu",IF(I1261="","Statut manquant",IF(AND(I1261&lt;&gt;"Terminée",I1261&lt;&gt;"En cours",I1261&lt;&gt;"À faire",I1261&lt;&gt;"Annulée"),"Statut inconnu",IF(AND(E1261="Préventif",F1261=""),"Plan manquant (préventif)",IF(AND(F1261&lt;&gt;"",ISNA(MATCH(F1261,pl_num,0))),"Plan inconnu",IF(AND(F1261&lt;&gt;"",IFERROR(INDEX(pl_eq,MATCH(F1261,pl_num,0))&amp;"",C1261)&lt;&gt;C1261),"Plan d'un autre équipement",IF(AND(J1261&lt;&gt;"",OR(NOT(ISNUMBER(J1261)),N(J1261)&lt;0)),"Compteur invalide",IF(OR(AND(K1261&lt;&gt;"",OR(NOT(ISNUMBER(K1261)),N(K1261)&lt;0)),AND(L1261&lt;&gt;"",OR(NOT(ISNUMBER(L1261)),N(L1261)&lt;0))),"Durée invalide",IF(OR(AND(N1261&lt;&gt;"",OR(NOT(ISNUMBER(N1261)),N(N1261)&lt;0)),AND(P1261&lt;&gt;"",OR(NOT(ISNUMBER(P1261)),N(P1261)&lt;0))),"Coût invalide",IF(AND(M1261&lt;&gt;"",ISNA(MATCH(M1261,tech_name,0))),"Technicien inconnu",IF(AND(I1261="Terminée",S1261&gt;p_today),"Terminée à une date future",IF(AND(I1261="Terminée",V1261=0),"Durée d'intervention manquante",IF(AND(I1261="Terminée",E1261="Préventif",T1261=0,OR(IFERROR(INDEX(pl_trig,MATCH(F1261,pl_num,0))&amp;"","")="Compteur",IFERROR(INDEX(pl_trig,MATCH(F1261,pl_num,0))&amp;"","")="Au premier des deux")),"Compteur manquant (plan au compteur)","OK"))))))))))))))))))</f>
        <v/>
      </c>
      <c r="S1261" s="67">
        <f>IF(AND(ISNUMBER(B1261),N(B1261)&gt;0),INT(B1261),0)</f>
        <v>0.0</v>
      </c>
      <c r="T1261" s="67">
        <f>IF(AND(ISNUMBER(J1261),N(J1261)&gt;=0),N(J1261),0)</f>
        <v>0.0</v>
      </c>
      <c r="U1261" s="67">
        <f>IF(AND(ISNUMBER(K1261),N(K1261)&gt;0),N(K1261),0)</f>
        <v>0.0</v>
      </c>
      <c r="V1261" s="67">
        <f>IF(AND(ISNUMBER(L1261),N(L1261)&gt;0),N(L1261),0)</f>
        <v>0.0</v>
      </c>
      <c r="W1261" s="67">
        <f>IF(AND(I1261="Terminée",S1261&gt;0,C1261&lt;&gt;"",ISNUMBER(MATCH(C1261,eq_code,0))),1,0)</f>
        <v>0.0</v>
      </c>
      <c r="X1261" s="67">
        <f>IF(AND(W1261=1,E1261="Préventif"),1,0)</f>
        <v>0.0</v>
      </c>
      <c r="Y1261" s="67">
        <f>IF(AND(ISNUMBER(N1261),N(N1261)&gt;0),N(N1261),0)</f>
        <v>0.0</v>
      </c>
      <c r="Z1261" s="67">
        <f>IF(AND(ISNUMBER(P1261),N(P1261)&gt;0),N(P1261),0)</f>
        <v>0.0</v>
      </c>
    </row>
    <row r="1262">
      <c r="A1262" s="79" t="str">
        <f>IF(COUNTA(B1262:C1262,E1262:G1262,I1262)=0,"","BI-"&amp;RIGHT("0000"&amp;(ROW()-5),4))</f>
        <v/>
      </c>
      <c r="B1262" s="72" t="n"/>
      <c r="C1262" s="66" t="n"/>
      <c r="D1262" s="67" t="str">
        <f>IF(C1262="","",IFERROR(INDEX(eq_des,MATCH(C1262,eq_code,0))&amp;"","Équipement inconnu"))</f>
        <v/>
      </c>
      <c r="E1262" s="68" t="n"/>
      <c r="F1262" s="68" t="n"/>
      <c r="G1262" s="66" t="n"/>
      <c r="H1262" s="66" t="n"/>
      <c r="I1262" s="68" t="n"/>
      <c r="J1262" s="73" t="n"/>
      <c r="K1262" s="71" t="n"/>
      <c r="L1262" s="71" t="n"/>
      <c r="M1262" s="66" t="n"/>
      <c r="N1262" s="80" t="n"/>
      <c r="O1262" s="81" t="str">
        <f>IF(A1262="","",ROUND(V1262*IFERROR(N(INDEX(tech_rate,MATCH(M1262,tech_name,0))),0),2))</f>
        <v/>
      </c>
      <c r="P1262" s="80" t="n"/>
      <c r="Q1262" s="81" t="str">
        <f>IF(A1262="","",ROUND(Y1262+O1262+Z1262,2))</f>
        <v/>
      </c>
      <c r="R1262" s="79" t="str">
        <f>IF(A1262="","",IF(S1262=0,"Date manquante ou invalide",IF(C1262="","Équipement manquant",IF(ISNA(MATCH(C1262,eq_code,0)),"Équipement inconnu",IF(E1262="","Type manquant",IF(AND(E1262&lt;&gt;"Préventif",E1262&lt;&gt;"Correctif",E1262&lt;&gt;"Amélioratif"),"Type inconnu",IF(I1262="","Statut manquant",IF(AND(I1262&lt;&gt;"Terminée",I1262&lt;&gt;"En cours",I1262&lt;&gt;"À faire",I1262&lt;&gt;"Annulée"),"Statut inconnu",IF(AND(E1262="Préventif",F1262=""),"Plan manquant (préventif)",IF(AND(F1262&lt;&gt;"",ISNA(MATCH(F1262,pl_num,0))),"Plan inconnu",IF(AND(F1262&lt;&gt;"",IFERROR(INDEX(pl_eq,MATCH(F1262,pl_num,0))&amp;"",C1262)&lt;&gt;C1262),"Plan d'un autre équipement",IF(AND(J1262&lt;&gt;"",OR(NOT(ISNUMBER(J1262)),N(J1262)&lt;0)),"Compteur invalide",IF(OR(AND(K1262&lt;&gt;"",OR(NOT(ISNUMBER(K1262)),N(K1262)&lt;0)),AND(L1262&lt;&gt;"",OR(NOT(ISNUMBER(L1262)),N(L1262)&lt;0))),"Durée invalide",IF(OR(AND(N1262&lt;&gt;"",OR(NOT(ISNUMBER(N1262)),N(N1262)&lt;0)),AND(P1262&lt;&gt;"",OR(NOT(ISNUMBER(P1262)),N(P1262)&lt;0))),"Coût invalide",IF(AND(M1262&lt;&gt;"",ISNA(MATCH(M1262,tech_name,0))),"Technicien inconnu",IF(AND(I1262="Terminée",S1262&gt;p_today),"Terminée à une date future",IF(AND(I1262="Terminée",V1262=0),"Durée d'intervention manquante",IF(AND(I1262="Terminée",E1262="Préventif",T1262=0,OR(IFERROR(INDEX(pl_trig,MATCH(F1262,pl_num,0))&amp;"","")="Compteur",IFERROR(INDEX(pl_trig,MATCH(F1262,pl_num,0))&amp;"","")="Au premier des deux")),"Compteur manquant (plan au compteur)","OK"))))))))))))))))))</f>
        <v/>
      </c>
      <c r="S1262" s="67">
        <f>IF(AND(ISNUMBER(B1262),N(B1262)&gt;0),INT(B1262),0)</f>
        <v>0.0</v>
      </c>
      <c r="T1262" s="67">
        <f>IF(AND(ISNUMBER(J1262),N(J1262)&gt;=0),N(J1262),0)</f>
        <v>0.0</v>
      </c>
      <c r="U1262" s="67">
        <f>IF(AND(ISNUMBER(K1262),N(K1262)&gt;0),N(K1262),0)</f>
        <v>0.0</v>
      </c>
      <c r="V1262" s="67">
        <f>IF(AND(ISNUMBER(L1262),N(L1262)&gt;0),N(L1262),0)</f>
        <v>0.0</v>
      </c>
      <c r="W1262" s="67">
        <f>IF(AND(I1262="Terminée",S1262&gt;0,C1262&lt;&gt;"",ISNUMBER(MATCH(C1262,eq_code,0))),1,0)</f>
        <v>0.0</v>
      </c>
      <c r="X1262" s="67">
        <f>IF(AND(W1262=1,E1262="Préventif"),1,0)</f>
        <v>0.0</v>
      </c>
      <c r="Y1262" s="67">
        <f>IF(AND(ISNUMBER(N1262),N(N1262)&gt;0),N(N1262),0)</f>
        <v>0.0</v>
      </c>
      <c r="Z1262" s="67">
        <f>IF(AND(ISNUMBER(P1262),N(P1262)&gt;0),N(P1262),0)</f>
        <v>0.0</v>
      </c>
    </row>
    <row r="1263">
      <c r="A1263" s="79" t="str">
        <f>IF(COUNTA(B1263:C1263,E1263:G1263,I1263)=0,"","BI-"&amp;RIGHT("0000"&amp;(ROW()-5),4))</f>
        <v/>
      </c>
      <c r="B1263" s="72" t="n"/>
      <c r="C1263" s="66" t="n"/>
      <c r="D1263" s="67" t="str">
        <f>IF(C1263="","",IFERROR(INDEX(eq_des,MATCH(C1263,eq_code,0))&amp;"","Équipement inconnu"))</f>
        <v/>
      </c>
      <c r="E1263" s="68" t="n"/>
      <c r="F1263" s="68" t="n"/>
      <c r="G1263" s="66" t="n"/>
      <c r="H1263" s="66" t="n"/>
      <c r="I1263" s="68" t="n"/>
      <c r="J1263" s="73" t="n"/>
      <c r="K1263" s="71" t="n"/>
      <c r="L1263" s="71" t="n"/>
      <c r="M1263" s="66" t="n"/>
      <c r="N1263" s="80" t="n"/>
      <c r="O1263" s="81" t="str">
        <f>IF(A1263="","",ROUND(V1263*IFERROR(N(INDEX(tech_rate,MATCH(M1263,tech_name,0))),0),2))</f>
        <v/>
      </c>
      <c r="P1263" s="80" t="n"/>
      <c r="Q1263" s="81" t="str">
        <f>IF(A1263="","",ROUND(Y1263+O1263+Z1263,2))</f>
        <v/>
      </c>
      <c r="R1263" s="79" t="str">
        <f>IF(A1263="","",IF(S1263=0,"Date manquante ou invalide",IF(C1263="","Équipement manquant",IF(ISNA(MATCH(C1263,eq_code,0)),"Équipement inconnu",IF(E1263="","Type manquant",IF(AND(E1263&lt;&gt;"Préventif",E1263&lt;&gt;"Correctif",E1263&lt;&gt;"Amélioratif"),"Type inconnu",IF(I1263="","Statut manquant",IF(AND(I1263&lt;&gt;"Terminée",I1263&lt;&gt;"En cours",I1263&lt;&gt;"À faire",I1263&lt;&gt;"Annulée"),"Statut inconnu",IF(AND(E1263="Préventif",F1263=""),"Plan manquant (préventif)",IF(AND(F1263&lt;&gt;"",ISNA(MATCH(F1263,pl_num,0))),"Plan inconnu",IF(AND(F1263&lt;&gt;"",IFERROR(INDEX(pl_eq,MATCH(F1263,pl_num,0))&amp;"",C1263)&lt;&gt;C1263),"Plan d'un autre équipement",IF(AND(J1263&lt;&gt;"",OR(NOT(ISNUMBER(J1263)),N(J1263)&lt;0)),"Compteur invalide",IF(OR(AND(K1263&lt;&gt;"",OR(NOT(ISNUMBER(K1263)),N(K1263)&lt;0)),AND(L1263&lt;&gt;"",OR(NOT(ISNUMBER(L1263)),N(L1263)&lt;0))),"Durée invalide",IF(OR(AND(N1263&lt;&gt;"",OR(NOT(ISNUMBER(N1263)),N(N1263)&lt;0)),AND(P1263&lt;&gt;"",OR(NOT(ISNUMBER(P1263)),N(P1263)&lt;0))),"Coût invalide",IF(AND(M1263&lt;&gt;"",ISNA(MATCH(M1263,tech_name,0))),"Technicien inconnu",IF(AND(I1263="Terminée",S1263&gt;p_today),"Terminée à une date future",IF(AND(I1263="Terminée",V1263=0),"Durée d'intervention manquante",IF(AND(I1263="Terminée",E1263="Préventif",T1263=0,OR(IFERROR(INDEX(pl_trig,MATCH(F1263,pl_num,0))&amp;"","")="Compteur",IFERROR(INDEX(pl_trig,MATCH(F1263,pl_num,0))&amp;"","")="Au premier des deux")),"Compteur manquant (plan au compteur)","OK"))))))))))))))))))</f>
        <v/>
      </c>
      <c r="S1263" s="67">
        <f>IF(AND(ISNUMBER(B1263),N(B1263)&gt;0),INT(B1263),0)</f>
        <v>0.0</v>
      </c>
      <c r="T1263" s="67">
        <f>IF(AND(ISNUMBER(J1263),N(J1263)&gt;=0),N(J1263),0)</f>
        <v>0.0</v>
      </c>
      <c r="U1263" s="67">
        <f>IF(AND(ISNUMBER(K1263),N(K1263)&gt;0),N(K1263),0)</f>
        <v>0.0</v>
      </c>
      <c r="V1263" s="67">
        <f>IF(AND(ISNUMBER(L1263),N(L1263)&gt;0),N(L1263),0)</f>
        <v>0.0</v>
      </c>
      <c r="W1263" s="67">
        <f>IF(AND(I1263="Terminée",S1263&gt;0,C1263&lt;&gt;"",ISNUMBER(MATCH(C1263,eq_code,0))),1,0)</f>
        <v>0.0</v>
      </c>
      <c r="X1263" s="67">
        <f>IF(AND(W1263=1,E1263="Préventif"),1,0)</f>
        <v>0.0</v>
      </c>
      <c r="Y1263" s="67">
        <f>IF(AND(ISNUMBER(N1263),N(N1263)&gt;0),N(N1263),0)</f>
        <v>0.0</v>
      </c>
      <c r="Z1263" s="67">
        <f>IF(AND(ISNUMBER(P1263),N(P1263)&gt;0),N(P1263),0)</f>
        <v>0.0</v>
      </c>
    </row>
    <row r="1264">
      <c r="A1264" s="79" t="str">
        <f>IF(COUNTA(B1264:C1264,E1264:G1264,I1264)=0,"","BI-"&amp;RIGHT("0000"&amp;(ROW()-5),4))</f>
        <v/>
      </c>
      <c r="B1264" s="72" t="n"/>
      <c r="C1264" s="66" t="n"/>
      <c r="D1264" s="67" t="str">
        <f>IF(C1264="","",IFERROR(INDEX(eq_des,MATCH(C1264,eq_code,0))&amp;"","Équipement inconnu"))</f>
        <v/>
      </c>
      <c r="E1264" s="68" t="n"/>
      <c r="F1264" s="68" t="n"/>
      <c r="G1264" s="66" t="n"/>
      <c r="H1264" s="66" t="n"/>
      <c r="I1264" s="68" t="n"/>
      <c r="J1264" s="73" t="n"/>
      <c r="K1264" s="71" t="n"/>
      <c r="L1264" s="71" t="n"/>
      <c r="M1264" s="66" t="n"/>
      <c r="N1264" s="80" t="n"/>
      <c r="O1264" s="81" t="str">
        <f>IF(A1264="","",ROUND(V1264*IFERROR(N(INDEX(tech_rate,MATCH(M1264,tech_name,0))),0),2))</f>
        <v/>
      </c>
      <c r="P1264" s="80" t="n"/>
      <c r="Q1264" s="81" t="str">
        <f>IF(A1264="","",ROUND(Y1264+O1264+Z1264,2))</f>
        <v/>
      </c>
      <c r="R1264" s="79" t="str">
        <f>IF(A1264="","",IF(S1264=0,"Date manquante ou invalide",IF(C1264="","Équipement manquant",IF(ISNA(MATCH(C1264,eq_code,0)),"Équipement inconnu",IF(E1264="","Type manquant",IF(AND(E1264&lt;&gt;"Préventif",E1264&lt;&gt;"Correctif",E1264&lt;&gt;"Amélioratif"),"Type inconnu",IF(I1264="","Statut manquant",IF(AND(I1264&lt;&gt;"Terminée",I1264&lt;&gt;"En cours",I1264&lt;&gt;"À faire",I1264&lt;&gt;"Annulée"),"Statut inconnu",IF(AND(E1264="Préventif",F1264=""),"Plan manquant (préventif)",IF(AND(F1264&lt;&gt;"",ISNA(MATCH(F1264,pl_num,0))),"Plan inconnu",IF(AND(F1264&lt;&gt;"",IFERROR(INDEX(pl_eq,MATCH(F1264,pl_num,0))&amp;"",C1264)&lt;&gt;C1264),"Plan d'un autre équipement",IF(AND(J1264&lt;&gt;"",OR(NOT(ISNUMBER(J1264)),N(J1264)&lt;0)),"Compteur invalide",IF(OR(AND(K1264&lt;&gt;"",OR(NOT(ISNUMBER(K1264)),N(K1264)&lt;0)),AND(L1264&lt;&gt;"",OR(NOT(ISNUMBER(L1264)),N(L1264)&lt;0))),"Durée invalide",IF(OR(AND(N1264&lt;&gt;"",OR(NOT(ISNUMBER(N1264)),N(N1264)&lt;0)),AND(P1264&lt;&gt;"",OR(NOT(ISNUMBER(P1264)),N(P1264)&lt;0))),"Coût invalide",IF(AND(M1264&lt;&gt;"",ISNA(MATCH(M1264,tech_name,0))),"Technicien inconnu",IF(AND(I1264="Terminée",S1264&gt;p_today),"Terminée à une date future",IF(AND(I1264="Terminée",V1264=0),"Durée d'intervention manquante",IF(AND(I1264="Terminée",E1264="Préventif",T1264=0,OR(IFERROR(INDEX(pl_trig,MATCH(F1264,pl_num,0))&amp;"","")="Compteur",IFERROR(INDEX(pl_trig,MATCH(F1264,pl_num,0))&amp;"","")="Au premier des deux")),"Compteur manquant (plan au compteur)","OK"))))))))))))))))))</f>
        <v/>
      </c>
      <c r="S1264" s="67">
        <f>IF(AND(ISNUMBER(B1264),N(B1264)&gt;0),INT(B1264),0)</f>
        <v>0.0</v>
      </c>
      <c r="T1264" s="67">
        <f>IF(AND(ISNUMBER(J1264),N(J1264)&gt;=0),N(J1264),0)</f>
        <v>0.0</v>
      </c>
      <c r="U1264" s="67">
        <f>IF(AND(ISNUMBER(K1264),N(K1264)&gt;0),N(K1264),0)</f>
        <v>0.0</v>
      </c>
      <c r="V1264" s="67">
        <f>IF(AND(ISNUMBER(L1264),N(L1264)&gt;0),N(L1264),0)</f>
        <v>0.0</v>
      </c>
      <c r="W1264" s="67">
        <f>IF(AND(I1264="Terminée",S1264&gt;0,C1264&lt;&gt;"",ISNUMBER(MATCH(C1264,eq_code,0))),1,0)</f>
        <v>0.0</v>
      </c>
      <c r="X1264" s="67">
        <f>IF(AND(W1264=1,E1264="Préventif"),1,0)</f>
        <v>0.0</v>
      </c>
      <c r="Y1264" s="67">
        <f>IF(AND(ISNUMBER(N1264),N(N1264)&gt;0),N(N1264),0)</f>
        <v>0.0</v>
      </c>
      <c r="Z1264" s="67">
        <f>IF(AND(ISNUMBER(P1264),N(P1264)&gt;0),N(P1264),0)</f>
        <v>0.0</v>
      </c>
    </row>
    <row r="1265">
      <c r="A1265" s="79" t="str">
        <f>IF(COUNTA(B1265:C1265,E1265:G1265,I1265)=0,"","BI-"&amp;RIGHT("0000"&amp;(ROW()-5),4))</f>
        <v/>
      </c>
      <c r="B1265" s="72" t="n"/>
      <c r="C1265" s="66" t="n"/>
      <c r="D1265" s="67" t="str">
        <f>IF(C1265="","",IFERROR(INDEX(eq_des,MATCH(C1265,eq_code,0))&amp;"","Équipement inconnu"))</f>
        <v/>
      </c>
      <c r="E1265" s="68" t="n"/>
      <c r="F1265" s="68" t="n"/>
      <c r="G1265" s="66" t="n"/>
      <c r="H1265" s="66" t="n"/>
      <c r="I1265" s="68" t="n"/>
      <c r="J1265" s="73" t="n"/>
      <c r="K1265" s="71" t="n"/>
      <c r="L1265" s="71" t="n"/>
      <c r="M1265" s="66" t="n"/>
      <c r="N1265" s="80" t="n"/>
      <c r="O1265" s="81" t="str">
        <f>IF(A1265="","",ROUND(V1265*IFERROR(N(INDEX(tech_rate,MATCH(M1265,tech_name,0))),0),2))</f>
        <v/>
      </c>
      <c r="P1265" s="80" t="n"/>
      <c r="Q1265" s="81" t="str">
        <f>IF(A1265="","",ROUND(Y1265+O1265+Z1265,2))</f>
        <v/>
      </c>
      <c r="R1265" s="79" t="str">
        <f>IF(A1265="","",IF(S1265=0,"Date manquante ou invalide",IF(C1265="","Équipement manquant",IF(ISNA(MATCH(C1265,eq_code,0)),"Équipement inconnu",IF(E1265="","Type manquant",IF(AND(E1265&lt;&gt;"Préventif",E1265&lt;&gt;"Correctif",E1265&lt;&gt;"Amélioratif"),"Type inconnu",IF(I1265="","Statut manquant",IF(AND(I1265&lt;&gt;"Terminée",I1265&lt;&gt;"En cours",I1265&lt;&gt;"À faire",I1265&lt;&gt;"Annulée"),"Statut inconnu",IF(AND(E1265="Préventif",F1265=""),"Plan manquant (préventif)",IF(AND(F1265&lt;&gt;"",ISNA(MATCH(F1265,pl_num,0))),"Plan inconnu",IF(AND(F1265&lt;&gt;"",IFERROR(INDEX(pl_eq,MATCH(F1265,pl_num,0))&amp;"",C1265)&lt;&gt;C1265),"Plan d'un autre équipement",IF(AND(J1265&lt;&gt;"",OR(NOT(ISNUMBER(J1265)),N(J1265)&lt;0)),"Compteur invalide",IF(OR(AND(K1265&lt;&gt;"",OR(NOT(ISNUMBER(K1265)),N(K1265)&lt;0)),AND(L1265&lt;&gt;"",OR(NOT(ISNUMBER(L1265)),N(L1265)&lt;0))),"Durée invalide",IF(OR(AND(N1265&lt;&gt;"",OR(NOT(ISNUMBER(N1265)),N(N1265)&lt;0)),AND(P1265&lt;&gt;"",OR(NOT(ISNUMBER(P1265)),N(P1265)&lt;0))),"Coût invalide",IF(AND(M1265&lt;&gt;"",ISNA(MATCH(M1265,tech_name,0))),"Technicien inconnu",IF(AND(I1265="Terminée",S1265&gt;p_today),"Terminée à une date future",IF(AND(I1265="Terminée",V1265=0),"Durée d'intervention manquante",IF(AND(I1265="Terminée",E1265="Préventif",T1265=0,OR(IFERROR(INDEX(pl_trig,MATCH(F1265,pl_num,0))&amp;"","")="Compteur",IFERROR(INDEX(pl_trig,MATCH(F1265,pl_num,0))&amp;"","")="Au premier des deux")),"Compteur manquant (plan au compteur)","OK"))))))))))))))))))</f>
        <v/>
      </c>
      <c r="S1265" s="67">
        <f>IF(AND(ISNUMBER(B1265),N(B1265)&gt;0),INT(B1265),0)</f>
        <v>0.0</v>
      </c>
      <c r="T1265" s="67">
        <f>IF(AND(ISNUMBER(J1265),N(J1265)&gt;=0),N(J1265),0)</f>
        <v>0.0</v>
      </c>
      <c r="U1265" s="67">
        <f>IF(AND(ISNUMBER(K1265),N(K1265)&gt;0),N(K1265),0)</f>
        <v>0.0</v>
      </c>
      <c r="V1265" s="67">
        <f>IF(AND(ISNUMBER(L1265),N(L1265)&gt;0),N(L1265),0)</f>
        <v>0.0</v>
      </c>
      <c r="W1265" s="67">
        <f>IF(AND(I1265="Terminée",S1265&gt;0,C1265&lt;&gt;"",ISNUMBER(MATCH(C1265,eq_code,0))),1,0)</f>
        <v>0.0</v>
      </c>
      <c r="X1265" s="67">
        <f>IF(AND(W1265=1,E1265="Préventif"),1,0)</f>
        <v>0.0</v>
      </c>
      <c r="Y1265" s="67">
        <f>IF(AND(ISNUMBER(N1265),N(N1265)&gt;0),N(N1265),0)</f>
        <v>0.0</v>
      </c>
      <c r="Z1265" s="67">
        <f>IF(AND(ISNUMBER(P1265),N(P1265)&gt;0),N(P1265),0)</f>
        <v>0.0</v>
      </c>
    </row>
    <row r="1266">
      <c r="A1266" s="79" t="str">
        <f>IF(COUNTA(B1266:C1266,E1266:G1266,I1266)=0,"","BI-"&amp;RIGHT("0000"&amp;(ROW()-5),4))</f>
        <v/>
      </c>
      <c r="B1266" s="72" t="n"/>
      <c r="C1266" s="66" t="n"/>
      <c r="D1266" s="67" t="str">
        <f>IF(C1266="","",IFERROR(INDEX(eq_des,MATCH(C1266,eq_code,0))&amp;"","Équipement inconnu"))</f>
        <v/>
      </c>
      <c r="E1266" s="68" t="n"/>
      <c r="F1266" s="68" t="n"/>
      <c r="G1266" s="66" t="n"/>
      <c r="H1266" s="66" t="n"/>
      <c r="I1266" s="68" t="n"/>
      <c r="J1266" s="73" t="n"/>
      <c r="K1266" s="71" t="n"/>
      <c r="L1266" s="71" t="n"/>
      <c r="M1266" s="66" t="n"/>
      <c r="N1266" s="80" t="n"/>
      <c r="O1266" s="81" t="str">
        <f>IF(A1266="","",ROUND(V1266*IFERROR(N(INDEX(tech_rate,MATCH(M1266,tech_name,0))),0),2))</f>
        <v/>
      </c>
      <c r="P1266" s="80" t="n"/>
      <c r="Q1266" s="81" t="str">
        <f>IF(A1266="","",ROUND(Y1266+O1266+Z1266,2))</f>
        <v/>
      </c>
      <c r="R1266" s="79" t="str">
        <f>IF(A1266="","",IF(S1266=0,"Date manquante ou invalide",IF(C1266="","Équipement manquant",IF(ISNA(MATCH(C1266,eq_code,0)),"Équipement inconnu",IF(E1266="","Type manquant",IF(AND(E1266&lt;&gt;"Préventif",E1266&lt;&gt;"Correctif",E1266&lt;&gt;"Amélioratif"),"Type inconnu",IF(I1266="","Statut manquant",IF(AND(I1266&lt;&gt;"Terminée",I1266&lt;&gt;"En cours",I1266&lt;&gt;"À faire",I1266&lt;&gt;"Annulée"),"Statut inconnu",IF(AND(E1266="Préventif",F1266=""),"Plan manquant (préventif)",IF(AND(F1266&lt;&gt;"",ISNA(MATCH(F1266,pl_num,0))),"Plan inconnu",IF(AND(F1266&lt;&gt;"",IFERROR(INDEX(pl_eq,MATCH(F1266,pl_num,0))&amp;"",C1266)&lt;&gt;C1266),"Plan d'un autre équipement",IF(AND(J1266&lt;&gt;"",OR(NOT(ISNUMBER(J1266)),N(J1266)&lt;0)),"Compteur invalide",IF(OR(AND(K1266&lt;&gt;"",OR(NOT(ISNUMBER(K1266)),N(K1266)&lt;0)),AND(L1266&lt;&gt;"",OR(NOT(ISNUMBER(L1266)),N(L1266)&lt;0))),"Durée invalide",IF(OR(AND(N1266&lt;&gt;"",OR(NOT(ISNUMBER(N1266)),N(N1266)&lt;0)),AND(P1266&lt;&gt;"",OR(NOT(ISNUMBER(P1266)),N(P1266)&lt;0))),"Coût invalide",IF(AND(M1266&lt;&gt;"",ISNA(MATCH(M1266,tech_name,0))),"Technicien inconnu",IF(AND(I1266="Terminée",S1266&gt;p_today),"Terminée à une date future",IF(AND(I1266="Terminée",V1266=0),"Durée d'intervention manquante",IF(AND(I1266="Terminée",E1266="Préventif",T1266=0,OR(IFERROR(INDEX(pl_trig,MATCH(F1266,pl_num,0))&amp;"","")="Compteur",IFERROR(INDEX(pl_trig,MATCH(F1266,pl_num,0))&amp;"","")="Au premier des deux")),"Compteur manquant (plan au compteur)","OK"))))))))))))))))))</f>
        <v/>
      </c>
      <c r="S1266" s="67">
        <f>IF(AND(ISNUMBER(B1266),N(B1266)&gt;0),INT(B1266),0)</f>
        <v>0.0</v>
      </c>
      <c r="T1266" s="67">
        <f>IF(AND(ISNUMBER(J1266),N(J1266)&gt;=0),N(J1266),0)</f>
        <v>0.0</v>
      </c>
      <c r="U1266" s="67">
        <f>IF(AND(ISNUMBER(K1266),N(K1266)&gt;0),N(K1266),0)</f>
        <v>0.0</v>
      </c>
      <c r="V1266" s="67">
        <f>IF(AND(ISNUMBER(L1266),N(L1266)&gt;0),N(L1266),0)</f>
        <v>0.0</v>
      </c>
      <c r="W1266" s="67">
        <f>IF(AND(I1266="Terminée",S1266&gt;0,C1266&lt;&gt;"",ISNUMBER(MATCH(C1266,eq_code,0))),1,0)</f>
        <v>0.0</v>
      </c>
      <c r="X1266" s="67">
        <f>IF(AND(W1266=1,E1266="Préventif"),1,0)</f>
        <v>0.0</v>
      </c>
      <c r="Y1266" s="67">
        <f>IF(AND(ISNUMBER(N1266),N(N1266)&gt;0),N(N1266),0)</f>
        <v>0.0</v>
      </c>
      <c r="Z1266" s="67">
        <f>IF(AND(ISNUMBER(P1266),N(P1266)&gt;0),N(P1266),0)</f>
        <v>0.0</v>
      </c>
    </row>
    <row r="1267">
      <c r="A1267" s="79" t="str">
        <f>IF(COUNTA(B1267:C1267,E1267:G1267,I1267)=0,"","BI-"&amp;RIGHT("0000"&amp;(ROW()-5),4))</f>
        <v/>
      </c>
      <c r="B1267" s="72" t="n"/>
      <c r="C1267" s="66" t="n"/>
      <c r="D1267" s="67" t="str">
        <f>IF(C1267="","",IFERROR(INDEX(eq_des,MATCH(C1267,eq_code,0))&amp;"","Équipement inconnu"))</f>
        <v/>
      </c>
      <c r="E1267" s="68" t="n"/>
      <c r="F1267" s="68" t="n"/>
      <c r="G1267" s="66" t="n"/>
      <c r="H1267" s="66" t="n"/>
      <c r="I1267" s="68" t="n"/>
      <c r="J1267" s="73" t="n"/>
      <c r="K1267" s="71" t="n"/>
      <c r="L1267" s="71" t="n"/>
      <c r="M1267" s="66" t="n"/>
      <c r="N1267" s="80" t="n"/>
      <c r="O1267" s="81" t="str">
        <f>IF(A1267="","",ROUND(V1267*IFERROR(N(INDEX(tech_rate,MATCH(M1267,tech_name,0))),0),2))</f>
        <v/>
      </c>
      <c r="P1267" s="80" t="n"/>
      <c r="Q1267" s="81" t="str">
        <f>IF(A1267="","",ROUND(Y1267+O1267+Z1267,2))</f>
        <v/>
      </c>
      <c r="R1267" s="79" t="str">
        <f>IF(A1267="","",IF(S1267=0,"Date manquante ou invalide",IF(C1267="","Équipement manquant",IF(ISNA(MATCH(C1267,eq_code,0)),"Équipement inconnu",IF(E1267="","Type manquant",IF(AND(E1267&lt;&gt;"Préventif",E1267&lt;&gt;"Correctif",E1267&lt;&gt;"Amélioratif"),"Type inconnu",IF(I1267="","Statut manquant",IF(AND(I1267&lt;&gt;"Terminée",I1267&lt;&gt;"En cours",I1267&lt;&gt;"À faire",I1267&lt;&gt;"Annulée"),"Statut inconnu",IF(AND(E1267="Préventif",F1267=""),"Plan manquant (préventif)",IF(AND(F1267&lt;&gt;"",ISNA(MATCH(F1267,pl_num,0))),"Plan inconnu",IF(AND(F1267&lt;&gt;"",IFERROR(INDEX(pl_eq,MATCH(F1267,pl_num,0))&amp;"",C1267)&lt;&gt;C1267),"Plan d'un autre équipement",IF(AND(J1267&lt;&gt;"",OR(NOT(ISNUMBER(J1267)),N(J1267)&lt;0)),"Compteur invalide",IF(OR(AND(K1267&lt;&gt;"",OR(NOT(ISNUMBER(K1267)),N(K1267)&lt;0)),AND(L1267&lt;&gt;"",OR(NOT(ISNUMBER(L1267)),N(L1267)&lt;0))),"Durée invalide",IF(OR(AND(N1267&lt;&gt;"",OR(NOT(ISNUMBER(N1267)),N(N1267)&lt;0)),AND(P1267&lt;&gt;"",OR(NOT(ISNUMBER(P1267)),N(P1267)&lt;0))),"Coût invalide",IF(AND(M1267&lt;&gt;"",ISNA(MATCH(M1267,tech_name,0))),"Technicien inconnu",IF(AND(I1267="Terminée",S1267&gt;p_today),"Terminée à une date future",IF(AND(I1267="Terminée",V1267=0),"Durée d'intervention manquante",IF(AND(I1267="Terminée",E1267="Préventif",T1267=0,OR(IFERROR(INDEX(pl_trig,MATCH(F1267,pl_num,0))&amp;"","")="Compteur",IFERROR(INDEX(pl_trig,MATCH(F1267,pl_num,0))&amp;"","")="Au premier des deux")),"Compteur manquant (plan au compteur)","OK"))))))))))))))))))</f>
        <v/>
      </c>
      <c r="S1267" s="67">
        <f>IF(AND(ISNUMBER(B1267),N(B1267)&gt;0),INT(B1267),0)</f>
        <v>0.0</v>
      </c>
      <c r="T1267" s="67">
        <f>IF(AND(ISNUMBER(J1267),N(J1267)&gt;=0),N(J1267),0)</f>
        <v>0.0</v>
      </c>
      <c r="U1267" s="67">
        <f>IF(AND(ISNUMBER(K1267),N(K1267)&gt;0),N(K1267),0)</f>
        <v>0.0</v>
      </c>
      <c r="V1267" s="67">
        <f>IF(AND(ISNUMBER(L1267),N(L1267)&gt;0),N(L1267),0)</f>
        <v>0.0</v>
      </c>
      <c r="W1267" s="67">
        <f>IF(AND(I1267="Terminée",S1267&gt;0,C1267&lt;&gt;"",ISNUMBER(MATCH(C1267,eq_code,0))),1,0)</f>
        <v>0.0</v>
      </c>
      <c r="X1267" s="67">
        <f>IF(AND(W1267=1,E1267="Préventif"),1,0)</f>
        <v>0.0</v>
      </c>
      <c r="Y1267" s="67">
        <f>IF(AND(ISNUMBER(N1267),N(N1267)&gt;0),N(N1267),0)</f>
        <v>0.0</v>
      </c>
      <c r="Z1267" s="67">
        <f>IF(AND(ISNUMBER(P1267),N(P1267)&gt;0),N(P1267),0)</f>
        <v>0.0</v>
      </c>
    </row>
    <row r="1268">
      <c r="A1268" s="79" t="str">
        <f>IF(COUNTA(B1268:C1268,E1268:G1268,I1268)=0,"","BI-"&amp;RIGHT("0000"&amp;(ROW()-5),4))</f>
        <v/>
      </c>
      <c r="B1268" s="72" t="n"/>
      <c r="C1268" s="66" t="n"/>
      <c r="D1268" s="67" t="str">
        <f>IF(C1268="","",IFERROR(INDEX(eq_des,MATCH(C1268,eq_code,0))&amp;"","Équipement inconnu"))</f>
        <v/>
      </c>
      <c r="E1268" s="68" t="n"/>
      <c r="F1268" s="68" t="n"/>
      <c r="G1268" s="66" t="n"/>
      <c r="H1268" s="66" t="n"/>
      <c r="I1268" s="68" t="n"/>
      <c r="J1268" s="73" t="n"/>
      <c r="K1268" s="71" t="n"/>
      <c r="L1268" s="71" t="n"/>
      <c r="M1268" s="66" t="n"/>
      <c r="N1268" s="80" t="n"/>
      <c r="O1268" s="81" t="str">
        <f>IF(A1268="","",ROUND(V1268*IFERROR(N(INDEX(tech_rate,MATCH(M1268,tech_name,0))),0),2))</f>
        <v/>
      </c>
      <c r="P1268" s="80" t="n"/>
      <c r="Q1268" s="81" t="str">
        <f>IF(A1268="","",ROUND(Y1268+O1268+Z1268,2))</f>
        <v/>
      </c>
      <c r="R1268" s="79" t="str">
        <f>IF(A1268="","",IF(S1268=0,"Date manquante ou invalide",IF(C1268="","Équipement manquant",IF(ISNA(MATCH(C1268,eq_code,0)),"Équipement inconnu",IF(E1268="","Type manquant",IF(AND(E1268&lt;&gt;"Préventif",E1268&lt;&gt;"Correctif",E1268&lt;&gt;"Amélioratif"),"Type inconnu",IF(I1268="","Statut manquant",IF(AND(I1268&lt;&gt;"Terminée",I1268&lt;&gt;"En cours",I1268&lt;&gt;"À faire",I1268&lt;&gt;"Annulée"),"Statut inconnu",IF(AND(E1268="Préventif",F1268=""),"Plan manquant (préventif)",IF(AND(F1268&lt;&gt;"",ISNA(MATCH(F1268,pl_num,0))),"Plan inconnu",IF(AND(F1268&lt;&gt;"",IFERROR(INDEX(pl_eq,MATCH(F1268,pl_num,0))&amp;"",C1268)&lt;&gt;C1268),"Plan d'un autre équipement",IF(AND(J1268&lt;&gt;"",OR(NOT(ISNUMBER(J1268)),N(J1268)&lt;0)),"Compteur invalide",IF(OR(AND(K1268&lt;&gt;"",OR(NOT(ISNUMBER(K1268)),N(K1268)&lt;0)),AND(L1268&lt;&gt;"",OR(NOT(ISNUMBER(L1268)),N(L1268)&lt;0))),"Durée invalide",IF(OR(AND(N1268&lt;&gt;"",OR(NOT(ISNUMBER(N1268)),N(N1268)&lt;0)),AND(P1268&lt;&gt;"",OR(NOT(ISNUMBER(P1268)),N(P1268)&lt;0))),"Coût invalide",IF(AND(M1268&lt;&gt;"",ISNA(MATCH(M1268,tech_name,0))),"Technicien inconnu",IF(AND(I1268="Terminée",S1268&gt;p_today),"Terminée à une date future",IF(AND(I1268="Terminée",V1268=0),"Durée d'intervention manquante",IF(AND(I1268="Terminée",E1268="Préventif",T1268=0,OR(IFERROR(INDEX(pl_trig,MATCH(F1268,pl_num,0))&amp;"","")="Compteur",IFERROR(INDEX(pl_trig,MATCH(F1268,pl_num,0))&amp;"","")="Au premier des deux")),"Compteur manquant (plan au compteur)","OK"))))))))))))))))))</f>
        <v/>
      </c>
      <c r="S1268" s="67">
        <f>IF(AND(ISNUMBER(B1268),N(B1268)&gt;0),INT(B1268),0)</f>
        <v>0.0</v>
      </c>
      <c r="T1268" s="67">
        <f>IF(AND(ISNUMBER(J1268),N(J1268)&gt;=0),N(J1268),0)</f>
        <v>0.0</v>
      </c>
      <c r="U1268" s="67">
        <f>IF(AND(ISNUMBER(K1268),N(K1268)&gt;0),N(K1268),0)</f>
        <v>0.0</v>
      </c>
      <c r="V1268" s="67">
        <f>IF(AND(ISNUMBER(L1268),N(L1268)&gt;0),N(L1268),0)</f>
        <v>0.0</v>
      </c>
      <c r="W1268" s="67">
        <f>IF(AND(I1268="Terminée",S1268&gt;0,C1268&lt;&gt;"",ISNUMBER(MATCH(C1268,eq_code,0))),1,0)</f>
        <v>0.0</v>
      </c>
      <c r="X1268" s="67">
        <f>IF(AND(W1268=1,E1268="Préventif"),1,0)</f>
        <v>0.0</v>
      </c>
      <c r="Y1268" s="67">
        <f>IF(AND(ISNUMBER(N1268),N(N1268)&gt;0),N(N1268),0)</f>
        <v>0.0</v>
      </c>
      <c r="Z1268" s="67">
        <f>IF(AND(ISNUMBER(P1268),N(P1268)&gt;0),N(P1268),0)</f>
        <v>0.0</v>
      </c>
    </row>
    <row r="1269">
      <c r="A1269" s="79" t="str">
        <f>IF(COUNTA(B1269:C1269,E1269:G1269,I1269)=0,"","BI-"&amp;RIGHT("0000"&amp;(ROW()-5),4))</f>
        <v/>
      </c>
      <c r="B1269" s="72" t="n"/>
      <c r="C1269" s="66" t="n"/>
      <c r="D1269" s="67" t="str">
        <f>IF(C1269="","",IFERROR(INDEX(eq_des,MATCH(C1269,eq_code,0))&amp;"","Équipement inconnu"))</f>
        <v/>
      </c>
      <c r="E1269" s="68" t="n"/>
      <c r="F1269" s="68" t="n"/>
      <c r="G1269" s="66" t="n"/>
      <c r="H1269" s="66" t="n"/>
      <c r="I1269" s="68" t="n"/>
      <c r="J1269" s="73" t="n"/>
      <c r="K1269" s="71" t="n"/>
      <c r="L1269" s="71" t="n"/>
      <c r="M1269" s="66" t="n"/>
      <c r="N1269" s="80" t="n"/>
      <c r="O1269" s="81" t="str">
        <f>IF(A1269="","",ROUND(V1269*IFERROR(N(INDEX(tech_rate,MATCH(M1269,tech_name,0))),0),2))</f>
        <v/>
      </c>
      <c r="P1269" s="80" t="n"/>
      <c r="Q1269" s="81" t="str">
        <f>IF(A1269="","",ROUND(Y1269+O1269+Z1269,2))</f>
        <v/>
      </c>
      <c r="R1269" s="79" t="str">
        <f>IF(A1269="","",IF(S1269=0,"Date manquante ou invalide",IF(C1269="","Équipement manquant",IF(ISNA(MATCH(C1269,eq_code,0)),"Équipement inconnu",IF(E1269="","Type manquant",IF(AND(E1269&lt;&gt;"Préventif",E1269&lt;&gt;"Correctif",E1269&lt;&gt;"Amélioratif"),"Type inconnu",IF(I1269="","Statut manquant",IF(AND(I1269&lt;&gt;"Terminée",I1269&lt;&gt;"En cours",I1269&lt;&gt;"À faire",I1269&lt;&gt;"Annulée"),"Statut inconnu",IF(AND(E1269="Préventif",F1269=""),"Plan manquant (préventif)",IF(AND(F1269&lt;&gt;"",ISNA(MATCH(F1269,pl_num,0))),"Plan inconnu",IF(AND(F1269&lt;&gt;"",IFERROR(INDEX(pl_eq,MATCH(F1269,pl_num,0))&amp;"",C1269)&lt;&gt;C1269),"Plan d'un autre équipement",IF(AND(J1269&lt;&gt;"",OR(NOT(ISNUMBER(J1269)),N(J1269)&lt;0)),"Compteur invalide",IF(OR(AND(K1269&lt;&gt;"",OR(NOT(ISNUMBER(K1269)),N(K1269)&lt;0)),AND(L1269&lt;&gt;"",OR(NOT(ISNUMBER(L1269)),N(L1269)&lt;0))),"Durée invalide",IF(OR(AND(N1269&lt;&gt;"",OR(NOT(ISNUMBER(N1269)),N(N1269)&lt;0)),AND(P1269&lt;&gt;"",OR(NOT(ISNUMBER(P1269)),N(P1269)&lt;0))),"Coût invalide",IF(AND(M1269&lt;&gt;"",ISNA(MATCH(M1269,tech_name,0))),"Technicien inconnu",IF(AND(I1269="Terminée",S1269&gt;p_today),"Terminée à une date future",IF(AND(I1269="Terminée",V1269=0),"Durée d'intervention manquante",IF(AND(I1269="Terminée",E1269="Préventif",T1269=0,OR(IFERROR(INDEX(pl_trig,MATCH(F1269,pl_num,0))&amp;"","")="Compteur",IFERROR(INDEX(pl_trig,MATCH(F1269,pl_num,0))&amp;"","")="Au premier des deux")),"Compteur manquant (plan au compteur)","OK"))))))))))))))))))</f>
        <v/>
      </c>
      <c r="S1269" s="67">
        <f>IF(AND(ISNUMBER(B1269),N(B1269)&gt;0),INT(B1269),0)</f>
        <v>0.0</v>
      </c>
      <c r="T1269" s="67">
        <f>IF(AND(ISNUMBER(J1269),N(J1269)&gt;=0),N(J1269),0)</f>
        <v>0.0</v>
      </c>
      <c r="U1269" s="67">
        <f>IF(AND(ISNUMBER(K1269),N(K1269)&gt;0),N(K1269),0)</f>
        <v>0.0</v>
      </c>
      <c r="V1269" s="67">
        <f>IF(AND(ISNUMBER(L1269),N(L1269)&gt;0),N(L1269),0)</f>
        <v>0.0</v>
      </c>
      <c r="W1269" s="67">
        <f>IF(AND(I1269="Terminée",S1269&gt;0,C1269&lt;&gt;"",ISNUMBER(MATCH(C1269,eq_code,0))),1,0)</f>
        <v>0.0</v>
      </c>
      <c r="X1269" s="67">
        <f>IF(AND(W1269=1,E1269="Préventif"),1,0)</f>
        <v>0.0</v>
      </c>
      <c r="Y1269" s="67">
        <f>IF(AND(ISNUMBER(N1269),N(N1269)&gt;0),N(N1269),0)</f>
        <v>0.0</v>
      </c>
      <c r="Z1269" s="67">
        <f>IF(AND(ISNUMBER(P1269),N(P1269)&gt;0),N(P1269),0)</f>
        <v>0.0</v>
      </c>
    </row>
    <row r="1270">
      <c r="A1270" s="79" t="str">
        <f>IF(COUNTA(B1270:C1270,E1270:G1270,I1270)=0,"","BI-"&amp;RIGHT("0000"&amp;(ROW()-5),4))</f>
        <v/>
      </c>
      <c r="B1270" s="72" t="n"/>
      <c r="C1270" s="66" t="n"/>
      <c r="D1270" s="67" t="str">
        <f>IF(C1270="","",IFERROR(INDEX(eq_des,MATCH(C1270,eq_code,0))&amp;"","Équipement inconnu"))</f>
        <v/>
      </c>
      <c r="E1270" s="68" t="n"/>
      <c r="F1270" s="68" t="n"/>
      <c r="G1270" s="66" t="n"/>
      <c r="H1270" s="66" t="n"/>
      <c r="I1270" s="68" t="n"/>
      <c r="J1270" s="73" t="n"/>
      <c r="K1270" s="71" t="n"/>
      <c r="L1270" s="71" t="n"/>
      <c r="M1270" s="66" t="n"/>
      <c r="N1270" s="80" t="n"/>
      <c r="O1270" s="81" t="str">
        <f>IF(A1270="","",ROUND(V1270*IFERROR(N(INDEX(tech_rate,MATCH(M1270,tech_name,0))),0),2))</f>
        <v/>
      </c>
      <c r="P1270" s="80" t="n"/>
      <c r="Q1270" s="81" t="str">
        <f>IF(A1270="","",ROUND(Y1270+O1270+Z1270,2))</f>
        <v/>
      </c>
      <c r="R1270" s="79" t="str">
        <f>IF(A1270="","",IF(S1270=0,"Date manquante ou invalide",IF(C1270="","Équipement manquant",IF(ISNA(MATCH(C1270,eq_code,0)),"Équipement inconnu",IF(E1270="","Type manquant",IF(AND(E1270&lt;&gt;"Préventif",E1270&lt;&gt;"Correctif",E1270&lt;&gt;"Amélioratif"),"Type inconnu",IF(I1270="","Statut manquant",IF(AND(I1270&lt;&gt;"Terminée",I1270&lt;&gt;"En cours",I1270&lt;&gt;"À faire",I1270&lt;&gt;"Annulée"),"Statut inconnu",IF(AND(E1270="Préventif",F1270=""),"Plan manquant (préventif)",IF(AND(F1270&lt;&gt;"",ISNA(MATCH(F1270,pl_num,0))),"Plan inconnu",IF(AND(F1270&lt;&gt;"",IFERROR(INDEX(pl_eq,MATCH(F1270,pl_num,0))&amp;"",C1270)&lt;&gt;C1270),"Plan d'un autre équipement",IF(AND(J1270&lt;&gt;"",OR(NOT(ISNUMBER(J1270)),N(J1270)&lt;0)),"Compteur invalide",IF(OR(AND(K1270&lt;&gt;"",OR(NOT(ISNUMBER(K1270)),N(K1270)&lt;0)),AND(L1270&lt;&gt;"",OR(NOT(ISNUMBER(L1270)),N(L1270)&lt;0))),"Durée invalide",IF(OR(AND(N1270&lt;&gt;"",OR(NOT(ISNUMBER(N1270)),N(N1270)&lt;0)),AND(P1270&lt;&gt;"",OR(NOT(ISNUMBER(P1270)),N(P1270)&lt;0))),"Coût invalide",IF(AND(M1270&lt;&gt;"",ISNA(MATCH(M1270,tech_name,0))),"Technicien inconnu",IF(AND(I1270="Terminée",S1270&gt;p_today),"Terminée à une date future",IF(AND(I1270="Terminée",V1270=0),"Durée d'intervention manquante",IF(AND(I1270="Terminée",E1270="Préventif",T1270=0,OR(IFERROR(INDEX(pl_trig,MATCH(F1270,pl_num,0))&amp;"","")="Compteur",IFERROR(INDEX(pl_trig,MATCH(F1270,pl_num,0))&amp;"","")="Au premier des deux")),"Compteur manquant (plan au compteur)","OK"))))))))))))))))))</f>
        <v/>
      </c>
      <c r="S1270" s="67">
        <f>IF(AND(ISNUMBER(B1270),N(B1270)&gt;0),INT(B1270),0)</f>
        <v>0.0</v>
      </c>
      <c r="T1270" s="67">
        <f>IF(AND(ISNUMBER(J1270),N(J1270)&gt;=0),N(J1270),0)</f>
        <v>0.0</v>
      </c>
      <c r="U1270" s="67">
        <f>IF(AND(ISNUMBER(K1270),N(K1270)&gt;0),N(K1270),0)</f>
        <v>0.0</v>
      </c>
      <c r="V1270" s="67">
        <f>IF(AND(ISNUMBER(L1270),N(L1270)&gt;0),N(L1270),0)</f>
        <v>0.0</v>
      </c>
      <c r="W1270" s="67">
        <f>IF(AND(I1270="Terminée",S1270&gt;0,C1270&lt;&gt;"",ISNUMBER(MATCH(C1270,eq_code,0))),1,0)</f>
        <v>0.0</v>
      </c>
      <c r="X1270" s="67">
        <f>IF(AND(W1270=1,E1270="Préventif"),1,0)</f>
        <v>0.0</v>
      </c>
      <c r="Y1270" s="67">
        <f>IF(AND(ISNUMBER(N1270),N(N1270)&gt;0),N(N1270),0)</f>
        <v>0.0</v>
      </c>
      <c r="Z1270" s="67">
        <f>IF(AND(ISNUMBER(P1270),N(P1270)&gt;0),N(P1270),0)</f>
        <v>0.0</v>
      </c>
    </row>
    <row r="1271">
      <c r="A1271" s="79" t="str">
        <f>IF(COUNTA(B1271:C1271,E1271:G1271,I1271)=0,"","BI-"&amp;RIGHT("0000"&amp;(ROW()-5),4))</f>
        <v/>
      </c>
      <c r="B1271" s="72" t="n"/>
      <c r="C1271" s="66" t="n"/>
      <c r="D1271" s="67" t="str">
        <f>IF(C1271="","",IFERROR(INDEX(eq_des,MATCH(C1271,eq_code,0))&amp;"","Équipement inconnu"))</f>
        <v/>
      </c>
      <c r="E1271" s="68" t="n"/>
      <c r="F1271" s="68" t="n"/>
      <c r="G1271" s="66" t="n"/>
      <c r="H1271" s="66" t="n"/>
      <c r="I1271" s="68" t="n"/>
      <c r="J1271" s="73" t="n"/>
      <c r="K1271" s="71" t="n"/>
      <c r="L1271" s="71" t="n"/>
      <c r="M1271" s="66" t="n"/>
      <c r="N1271" s="80" t="n"/>
      <c r="O1271" s="81" t="str">
        <f>IF(A1271="","",ROUND(V1271*IFERROR(N(INDEX(tech_rate,MATCH(M1271,tech_name,0))),0),2))</f>
        <v/>
      </c>
      <c r="P1271" s="80" t="n"/>
      <c r="Q1271" s="81" t="str">
        <f>IF(A1271="","",ROUND(Y1271+O1271+Z1271,2))</f>
        <v/>
      </c>
      <c r="R1271" s="79" t="str">
        <f>IF(A1271="","",IF(S1271=0,"Date manquante ou invalide",IF(C1271="","Équipement manquant",IF(ISNA(MATCH(C1271,eq_code,0)),"Équipement inconnu",IF(E1271="","Type manquant",IF(AND(E1271&lt;&gt;"Préventif",E1271&lt;&gt;"Correctif",E1271&lt;&gt;"Amélioratif"),"Type inconnu",IF(I1271="","Statut manquant",IF(AND(I1271&lt;&gt;"Terminée",I1271&lt;&gt;"En cours",I1271&lt;&gt;"À faire",I1271&lt;&gt;"Annulée"),"Statut inconnu",IF(AND(E1271="Préventif",F1271=""),"Plan manquant (préventif)",IF(AND(F1271&lt;&gt;"",ISNA(MATCH(F1271,pl_num,0))),"Plan inconnu",IF(AND(F1271&lt;&gt;"",IFERROR(INDEX(pl_eq,MATCH(F1271,pl_num,0))&amp;"",C1271)&lt;&gt;C1271),"Plan d'un autre équipement",IF(AND(J1271&lt;&gt;"",OR(NOT(ISNUMBER(J1271)),N(J1271)&lt;0)),"Compteur invalide",IF(OR(AND(K1271&lt;&gt;"",OR(NOT(ISNUMBER(K1271)),N(K1271)&lt;0)),AND(L1271&lt;&gt;"",OR(NOT(ISNUMBER(L1271)),N(L1271)&lt;0))),"Durée invalide",IF(OR(AND(N1271&lt;&gt;"",OR(NOT(ISNUMBER(N1271)),N(N1271)&lt;0)),AND(P1271&lt;&gt;"",OR(NOT(ISNUMBER(P1271)),N(P1271)&lt;0))),"Coût invalide",IF(AND(M1271&lt;&gt;"",ISNA(MATCH(M1271,tech_name,0))),"Technicien inconnu",IF(AND(I1271="Terminée",S1271&gt;p_today),"Terminée à une date future",IF(AND(I1271="Terminée",V1271=0),"Durée d'intervention manquante",IF(AND(I1271="Terminée",E1271="Préventif",T1271=0,OR(IFERROR(INDEX(pl_trig,MATCH(F1271,pl_num,0))&amp;"","")="Compteur",IFERROR(INDEX(pl_trig,MATCH(F1271,pl_num,0))&amp;"","")="Au premier des deux")),"Compteur manquant (plan au compteur)","OK"))))))))))))))))))</f>
        <v/>
      </c>
      <c r="S1271" s="67">
        <f>IF(AND(ISNUMBER(B1271),N(B1271)&gt;0),INT(B1271),0)</f>
        <v>0.0</v>
      </c>
      <c r="T1271" s="67">
        <f>IF(AND(ISNUMBER(J1271),N(J1271)&gt;=0),N(J1271),0)</f>
        <v>0.0</v>
      </c>
      <c r="U1271" s="67">
        <f>IF(AND(ISNUMBER(K1271),N(K1271)&gt;0),N(K1271),0)</f>
        <v>0.0</v>
      </c>
      <c r="V1271" s="67">
        <f>IF(AND(ISNUMBER(L1271),N(L1271)&gt;0),N(L1271),0)</f>
        <v>0.0</v>
      </c>
      <c r="W1271" s="67">
        <f>IF(AND(I1271="Terminée",S1271&gt;0,C1271&lt;&gt;"",ISNUMBER(MATCH(C1271,eq_code,0))),1,0)</f>
        <v>0.0</v>
      </c>
      <c r="X1271" s="67">
        <f>IF(AND(W1271=1,E1271="Préventif"),1,0)</f>
        <v>0.0</v>
      </c>
      <c r="Y1271" s="67">
        <f>IF(AND(ISNUMBER(N1271),N(N1271)&gt;0),N(N1271),0)</f>
        <v>0.0</v>
      </c>
      <c r="Z1271" s="67">
        <f>IF(AND(ISNUMBER(P1271),N(P1271)&gt;0),N(P1271),0)</f>
        <v>0.0</v>
      </c>
    </row>
    <row r="1272">
      <c r="A1272" s="79" t="str">
        <f>IF(COUNTA(B1272:C1272,E1272:G1272,I1272)=0,"","BI-"&amp;RIGHT("0000"&amp;(ROW()-5),4))</f>
        <v/>
      </c>
      <c r="B1272" s="72" t="n"/>
      <c r="C1272" s="66" t="n"/>
      <c r="D1272" s="67" t="str">
        <f>IF(C1272="","",IFERROR(INDEX(eq_des,MATCH(C1272,eq_code,0))&amp;"","Équipement inconnu"))</f>
        <v/>
      </c>
      <c r="E1272" s="68" t="n"/>
      <c r="F1272" s="68" t="n"/>
      <c r="G1272" s="66" t="n"/>
      <c r="H1272" s="66" t="n"/>
      <c r="I1272" s="68" t="n"/>
      <c r="J1272" s="73" t="n"/>
      <c r="K1272" s="71" t="n"/>
      <c r="L1272" s="71" t="n"/>
      <c r="M1272" s="66" t="n"/>
      <c r="N1272" s="80" t="n"/>
      <c r="O1272" s="81" t="str">
        <f>IF(A1272="","",ROUND(V1272*IFERROR(N(INDEX(tech_rate,MATCH(M1272,tech_name,0))),0),2))</f>
        <v/>
      </c>
      <c r="P1272" s="80" t="n"/>
      <c r="Q1272" s="81" t="str">
        <f>IF(A1272="","",ROUND(Y1272+O1272+Z1272,2))</f>
        <v/>
      </c>
      <c r="R1272" s="79" t="str">
        <f>IF(A1272="","",IF(S1272=0,"Date manquante ou invalide",IF(C1272="","Équipement manquant",IF(ISNA(MATCH(C1272,eq_code,0)),"Équipement inconnu",IF(E1272="","Type manquant",IF(AND(E1272&lt;&gt;"Préventif",E1272&lt;&gt;"Correctif",E1272&lt;&gt;"Amélioratif"),"Type inconnu",IF(I1272="","Statut manquant",IF(AND(I1272&lt;&gt;"Terminée",I1272&lt;&gt;"En cours",I1272&lt;&gt;"À faire",I1272&lt;&gt;"Annulée"),"Statut inconnu",IF(AND(E1272="Préventif",F1272=""),"Plan manquant (préventif)",IF(AND(F1272&lt;&gt;"",ISNA(MATCH(F1272,pl_num,0))),"Plan inconnu",IF(AND(F1272&lt;&gt;"",IFERROR(INDEX(pl_eq,MATCH(F1272,pl_num,0))&amp;"",C1272)&lt;&gt;C1272),"Plan d'un autre équipement",IF(AND(J1272&lt;&gt;"",OR(NOT(ISNUMBER(J1272)),N(J1272)&lt;0)),"Compteur invalide",IF(OR(AND(K1272&lt;&gt;"",OR(NOT(ISNUMBER(K1272)),N(K1272)&lt;0)),AND(L1272&lt;&gt;"",OR(NOT(ISNUMBER(L1272)),N(L1272)&lt;0))),"Durée invalide",IF(OR(AND(N1272&lt;&gt;"",OR(NOT(ISNUMBER(N1272)),N(N1272)&lt;0)),AND(P1272&lt;&gt;"",OR(NOT(ISNUMBER(P1272)),N(P1272)&lt;0))),"Coût invalide",IF(AND(M1272&lt;&gt;"",ISNA(MATCH(M1272,tech_name,0))),"Technicien inconnu",IF(AND(I1272="Terminée",S1272&gt;p_today),"Terminée à une date future",IF(AND(I1272="Terminée",V1272=0),"Durée d'intervention manquante",IF(AND(I1272="Terminée",E1272="Préventif",T1272=0,OR(IFERROR(INDEX(pl_trig,MATCH(F1272,pl_num,0))&amp;"","")="Compteur",IFERROR(INDEX(pl_trig,MATCH(F1272,pl_num,0))&amp;"","")="Au premier des deux")),"Compteur manquant (plan au compteur)","OK"))))))))))))))))))</f>
        <v/>
      </c>
      <c r="S1272" s="67">
        <f>IF(AND(ISNUMBER(B1272),N(B1272)&gt;0),INT(B1272),0)</f>
        <v>0.0</v>
      </c>
      <c r="T1272" s="67">
        <f>IF(AND(ISNUMBER(J1272),N(J1272)&gt;=0),N(J1272),0)</f>
        <v>0.0</v>
      </c>
      <c r="U1272" s="67">
        <f>IF(AND(ISNUMBER(K1272),N(K1272)&gt;0),N(K1272),0)</f>
        <v>0.0</v>
      </c>
      <c r="V1272" s="67">
        <f>IF(AND(ISNUMBER(L1272),N(L1272)&gt;0),N(L1272),0)</f>
        <v>0.0</v>
      </c>
      <c r="W1272" s="67">
        <f>IF(AND(I1272="Terminée",S1272&gt;0,C1272&lt;&gt;"",ISNUMBER(MATCH(C1272,eq_code,0))),1,0)</f>
        <v>0.0</v>
      </c>
      <c r="X1272" s="67">
        <f>IF(AND(W1272=1,E1272="Préventif"),1,0)</f>
        <v>0.0</v>
      </c>
      <c r="Y1272" s="67">
        <f>IF(AND(ISNUMBER(N1272),N(N1272)&gt;0),N(N1272),0)</f>
        <v>0.0</v>
      </c>
      <c r="Z1272" s="67">
        <f>IF(AND(ISNUMBER(P1272),N(P1272)&gt;0),N(P1272),0)</f>
        <v>0.0</v>
      </c>
    </row>
    <row r="1273">
      <c r="A1273" s="79" t="str">
        <f>IF(COUNTA(B1273:C1273,E1273:G1273,I1273)=0,"","BI-"&amp;RIGHT("0000"&amp;(ROW()-5),4))</f>
        <v/>
      </c>
      <c r="B1273" s="72" t="n"/>
      <c r="C1273" s="66" t="n"/>
      <c r="D1273" s="67" t="str">
        <f>IF(C1273="","",IFERROR(INDEX(eq_des,MATCH(C1273,eq_code,0))&amp;"","Équipement inconnu"))</f>
        <v/>
      </c>
      <c r="E1273" s="68" t="n"/>
      <c r="F1273" s="68" t="n"/>
      <c r="G1273" s="66" t="n"/>
      <c r="H1273" s="66" t="n"/>
      <c r="I1273" s="68" t="n"/>
      <c r="J1273" s="73" t="n"/>
      <c r="K1273" s="71" t="n"/>
      <c r="L1273" s="71" t="n"/>
      <c r="M1273" s="66" t="n"/>
      <c r="N1273" s="80" t="n"/>
      <c r="O1273" s="81" t="str">
        <f>IF(A1273="","",ROUND(V1273*IFERROR(N(INDEX(tech_rate,MATCH(M1273,tech_name,0))),0),2))</f>
        <v/>
      </c>
      <c r="P1273" s="80" t="n"/>
      <c r="Q1273" s="81" t="str">
        <f>IF(A1273="","",ROUND(Y1273+O1273+Z1273,2))</f>
        <v/>
      </c>
      <c r="R1273" s="79" t="str">
        <f>IF(A1273="","",IF(S1273=0,"Date manquante ou invalide",IF(C1273="","Équipement manquant",IF(ISNA(MATCH(C1273,eq_code,0)),"Équipement inconnu",IF(E1273="","Type manquant",IF(AND(E1273&lt;&gt;"Préventif",E1273&lt;&gt;"Correctif",E1273&lt;&gt;"Amélioratif"),"Type inconnu",IF(I1273="","Statut manquant",IF(AND(I1273&lt;&gt;"Terminée",I1273&lt;&gt;"En cours",I1273&lt;&gt;"À faire",I1273&lt;&gt;"Annulée"),"Statut inconnu",IF(AND(E1273="Préventif",F1273=""),"Plan manquant (préventif)",IF(AND(F1273&lt;&gt;"",ISNA(MATCH(F1273,pl_num,0))),"Plan inconnu",IF(AND(F1273&lt;&gt;"",IFERROR(INDEX(pl_eq,MATCH(F1273,pl_num,0))&amp;"",C1273)&lt;&gt;C1273),"Plan d'un autre équipement",IF(AND(J1273&lt;&gt;"",OR(NOT(ISNUMBER(J1273)),N(J1273)&lt;0)),"Compteur invalide",IF(OR(AND(K1273&lt;&gt;"",OR(NOT(ISNUMBER(K1273)),N(K1273)&lt;0)),AND(L1273&lt;&gt;"",OR(NOT(ISNUMBER(L1273)),N(L1273)&lt;0))),"Durée invalide",IF(OR(AND(N1273&lt;&gt;"",OR(NOT(ISNUMBER(N1273)),N(N1273)&lt;0)),AND(P1273&lt;&gt;"",OR(NOT(ISNUMBER(P1273)),N(P1273)&lt;0))),"Coût invalide",IF(AND(M1273&lt;&gt;"",ISNA(MATCH(M1273,tech_name,0))),"Technicien inconnu",IF(AND(I1273="Terminée",S1273&gt;p_today),"Terminée à une date future",IF(AND(I1273="Terminée",V1273=0),"Durée d'intervention manquante",IF(AND(I1273="Terminée",E1273="Préventif",T1273=0,OR(IFERROR(INDEX(pl_trig,MATCH(F1273,pl_num,0))&amp;"","")="Compteur",IFERROR(INDEX(pl_trig,MATCH(F1273,pl_num,0))&amp;"","")="Au premier des deux")),"Compteur manquant (plan au compteur)","OK"))))))))))))))))))</f>
        <v/>
      </c>
      <c r="S1273" s="67">
        <f>IF(AND(ISNUMBER(B1273),N(B1273)&gt;0),INT(B1273),0)</f>
        <v>0.0</v>
      </c>
      <c r="T1273" s="67">
        <f>IF(AND(ISNUMBER(J1273),N(J1273)&gt;=0),N(J1273),0)</f>
        <v>0.0</v>
      </c>
      <c r="U1273" s="67">
        <f>IF(AND(ISNUMBER(K1273),N(K1273)&gt;0),N(K1273),0)</f>
        <v>0.0</v>
      </c>
      <c r="V1273" s="67">
        <f>IF(AND(ISNUMBER(L1273),N(L1273)&gt;0),N(L1273),0)</f>
        <v>0.0</v>
      </c>
      <c r="W1273" s="67">
        <f>IF(AND(I1273="Terminée",S1273&gt;0,C1273&lt;&gt;"",ISNUMBER(MATCH(C1273,eq_code,0))),1,0)</f>
        <v>0.0</v>
      </c>
      <c r="X1273" s="67">
        <f>IF(AND(W1273=1,E1273="Préventif"),1,0)</f>
        <v>0.0</v>
      </c>
      <c r="Y1273" s="67">
        <f>IF(AND(ISNUMBER(N1273),N(N1273)&gt;0),N(N1273),0)</f>
        <v>0.0</v>
      </c>
      <c r="Z1273" s="67">
        <f>IF(AND(ISNUMBER(P1273),N(P1273)&gt;0),N(P1273),0)</f>
        <v>0.0</v>
      </c>
    </row>
    <row r="1274">
      <c r="A1274" s="79" t="str">
        <f>IF(COUNTA(B1274:C1274,E1274:G1274,I1274)=0,"","BI-"&amp;RIGHT("0000"&amp;(ROW()-5),4))</f>
        <v/>
      </c>
      <c r="B1274" s="72" t="n"/>
      <c r="C1274" s="66" t="n"/>
      <c r="D1274" s="67" t="str">
        <f>IF(C1274="","",IFERROR(INDEX(eq_des,MATCH(C1274,eq_code,0))&amp;"","Équipement inconnu"))</f>
        <v/>
      </c>
      <c r="E1274" s="68" t="n"/>
      <c r="F1274" s="68" t="n"/>
      <c r="G1274" s="66" t="n"/>
      <c r="H1274" s="66" t="n"/>
      <c r="I1274" s="68" t="n"/>
      <c r="J1274" s="73" t="n"/>
      <c r="K1274" s="71" t="n"/>
      <c r="L1274" s="71" t="n"/>
      <c r="M1274" s="66" t="n"/>
      <c r="N1274" s="80" t="n"/>
      <c r="O1274" s="81" t="str">
        <f>IF(A1274="","",ROUND(V1274*IFERROR(N(INDEX(tech_rate,MATCH(M1274,tech_name,0))),0),2))</f>
        <v/>
      </c>
      <c r="P1274" s="80" t="n"/>
      <c r="Q1274" s="81" t="str">
        <f>IF(A1274="","",ROUND(Y1274+O1274+Z1274,2))</f>
        <v/>
      </c>
      <c r="R1274" s="79" t="str">
        <f>IF(A1274="","",IF(S1274=0,"Date manquante ou invalide",IF(C1274="","Équipement manquant",IF(ISNA(MATCH(C1274,eq_code,0)),"Équipement inconnu",IF(E1274="","Type manquant",IF(AND(E1274&lt;&gt;"Préventif",E1274&lt;&gt;"Correctif",E1274&lt;&gt;"Amélioratif"),"Type inconnu",IF(I1274="","Statut manquant",IF(AND(I1274&lt;&gt;"Terminée",I1274&lt;&gt;"En cours",I1274&lt;&gt;"À faire",I1274&lt;&gt;"Annulée"),"Statut inconnu",IF(AND(E1274="Préventif",F1274=""),"Plan manquant (préventif)",IF(AND(F1274&lt;&gt;"",ISNA(MATCH(F1274,pl_num,0))),"Plan inconnu",IF(AND(F1274&lt;&gt;"",IFERROR(INDEX(pl_eq,MATCH(F1274,pl_num,0))&amp;"",C1274)&lt;&gt;C1274),"Plan d'un autre équipement",IF(AND(J1274&lt;&gt;"",OR(NOT(ISNUMBER(J1274)),N(J1274)&lt;0)),"Compteur invalide",IF(OR(AND(K1274&lt;&gt;"",OR(NOT(ISNUMBER(K1274)),N(K1274)&lt;0)),AND(L1274&lt;&gt;"",OR(NOT(ISNUMBER(L1274)),N(L1274)&lt;0))),"Durée invalide",IF(OR(AND(N1274&lt;&gt;"",OR(NOT(ISNUMBER(N1274)),N(N1274)&lt;0)),AND(P1274&lt;&gt;"",OR(NOT(ISNUMBER(P1274)),N(P1274)&lt;0))),"Coût invalide",IF(AND(M1274&lt;&gt;"",ISNA(MATCH(M1274,tech_name,0))),"Technicien inconnu",IF(AND(I1274="Terminée",S1274&gt;p_today),"Terminée à une date future",IF(AND(I1274="Terminée",V1274=0),"Durée d'intervention manquante",IF(AND(I1274="Terminée",E1274="Préventif",T1274=0,OR(IFERROR(INDEX(pl_trig,MATCH(F1274,pl_num,0))&amp;"","")="Compteur",IFERROR(INDEX(pl_trig,MATCH(F1274,pl_num,0))&amp;"","")="Au premier des deux")),"Compteur manquant (plan au compteur)","OK"))))))))))))))))))</f>
        <v/>
      </c>
      <c r="S1274" s="67">
        <f>IF(AND(ISNUMBER(B1274),N(B1274)&gt;0),INT(B1274),0)</f>
        <v>0.0</v>
      </c>
      <c r="T1274" s="67">
        <f>IF(AND(ISNUMBER(J1274),N(J1274)&gt;=0),N(J1274),0)</f>
        <v>0.0</v>
      </c>
      <c r="U1274" s="67">
        <f>IF(AND(ISNUMBER(K1274),N(K1274)&gt;0),N(K1274),0)</f>
        <v>0.0</v>
      </c>
      <c r="V1274" s="67">
        <f>IF(AND(ISNUMBER(L1274),N(L1274)&gt;0),N(L1274),0)</f>
        <v>0.0</v>
      </c>
      <c r="W1274" s="67">
        <f>IF(AND(I1274="Terminée",S1274&gt;0,C1274&lt;&gt;"",ISNUMBER(MATCH(C1274,eq_code,0))),1,0)</f>
        <v>0.0</v>
      </c>
      <c r="X1274" s="67">
        <f>IF(AND(W1274=1,E1274="Préventif"),1,0)</f>
        <v>0.0</v>
      </c>
      <c r="Y1274" s="67">
        <f>IF(AND(ISNUMBER(N1274),N(N1274)&gt;0),N(N1274),0)</f>
        <v>0.0</v>
      </c>
      <c r="Z1274" s="67">
        <f>IF(AND(ISNUMBER(P1274),N(P1274)&gt;0),N(P1274),0)</f>
        <v>0.0</v>
      </c>
    </row>
    <row r="1275">
      <c r="A1275" s="79" t="str">
        <f>IF(COUNTA(B1275:C1275,E1275:G1275,I1275)=0,"","BI-"&amp;RIGHT("0000"&amp;(ROW()-5),4))</f>
        <v/>
      </c>
      <c r="B1275" s="72" t="n"/>
      <c r="C1275" s="66" t="n"/>
      <c r="D1275" s="67" t="str">
        <f>IF(C1275="","",IFERROR(INDEX(eq_des,MATCH(C1275,eq_code,0))&amp;"","Équipement inconnu"))</f>
        <v/>
      </c>
      <c r="E1275" s="68" t="n"/>
      <c r="F1275" s="68" t="n"/>
      <c r="G1275" s="66" t="n"/>
      <c r="H1275" s="66" t="n"/>
      <c r="I1275" s="68" t="n"/>
      <c r="J1275" s="73" t="n"/>
      <c r="K1275" s="71" t="n"/>
      <c r="L1275" s="71" t="n"/>
      <c r="M1275" s="66" t="n"/>
      <c r="N1275" s="80" t="n"/>
      <c r="O1275" s="81" t="str">
        <f>IF(A1275="","",ROUND(V1275*IFERROR(N(INDEX(tech_rate,MATCH(M1275,tech_name,0))),0),2))</f>
        <v/>
      </c>
      <c r="P1275" s="80" t="n"/>
      <c r="Q1275" s="81" t="str">
        <f>IF(A1275="","",ROUND(Y1275+O1275+Z1275,2))</f>
        <v/>
      </c>
      <c r="R1275" s="79" t="str">
        <f>IF(A1275="","",IF(S1275=0,"Date manquante ou invalide",IF(C1275="","Équipement manquant",IF(ISNA(MATCH(C1275,eq_code,0)),"Équipement inconnu",IF(E1275="","Type manquant",IF(AND(E1275&lt;&gt;"Préventif",E1275&lt;&gt;"Correctif",E1275&lt;&gt;"Amélioratif"),"Type inconnu",IF(I1275="","Statut manquant",IF(AND(I1275&lt;&gt;"Terminée",I1275&lt;&gt;"En cours",I1275&lt;&gt;"À faire",I1275&lt;&gt;"Annulée"),"Statut inconnu",IF(AND(E1275="Préventif",F1275=""),"Plan manquant (préventif)",IF(AND(F1275&lt;&gt;"",ISNA(MATCH(F1275,pl_num,0))),"Plan inconnu",IF(AND(F1275&lt;&gt;"",IFERROR(INDEX(pl_eq,MATCH(F1275,pl_num,0))&amp;"",C1275)&lt;&gt;C1275),"Plan d'un autre équipement",IF(AND(J1275&lt;&gt;"",OR(NOT(ISNUMBER(J1275)),N(J1275)&lt;0)),"Compteur invalide",IF(OR(AND(K1275&lt;&gt;"",OR(NOT(ISNUMBER(K1275)),N(K1275)&lt;0)),AND(L1275&lt;&gt;"",OR(NOT(ISNUMBER(L1275)),N(L1275)&lt;0))),"Durée invalide",IF(OR(AND(N1275&lt;&gt;"",OR(NOT(ISNUMBER(N1275)),N(N1275)&lt;0)),AND(P1275&lt;&gt;"",OR(NOT(ISNUMBER(P1275)),N(P1275)&lt;0))),"Coût invalide",IF(AND(M1275&lt;&gt;"",ISNA(MATCH(M1275,tech_name,0))),"Technicien inconnu",IF(AND(I1275="Terminée",S1275&gt;p_today),"Terminée à une date future",IF(AND(I1275="Terminée",V1275=0),"Durée d'intervention manquante",IF(AND(I1275="Terminée",E1275="Préventif",T1275=0,OR(IFERROR(INDEX(pl_trig,MATCH(F1275,pl_num,0))&amp;"","")="Compteur",IFERROR(INDEX(pl_trig,MATCH(F1275,pl_num,0))&amp;"","")="Au premier des deux")),"Compteur manquant (plan au compteur)","OK"))))))))))))))))))</f>
        <v/>
      </c>
      <c r="S1275" s="67">
        <f>IF(AND(ISNUMBER(B1275),N(B1275)&gt;0),INT(B1275),0)</f>
        <v>0.0</v>
      </c>
      <c r="T1275" s="67">
        <f>IF(AND(ISNUMBER(J1275),N(J1275)&gt;=0),N(J1275),0)</f>
        <v>0.0</v>
      </c>
      <c r="U1275" s="67">
        <f>IF(AND(ISNUMBER(K1275),N(K1275)&gt;0),N(K1275),0)</f>
        <v>0.0</v>
      </c>
      <c r="V1275" s="67">
        <f>IF(AND(ISNUMBER(L1275),N(L1275)&gt;0),N(L1275),0)</f>
        <v>0.0</v>
      </c>
      <c r="W1275" s="67">
        <f>IF(AND(I1275="Terminée",S1275&gt;0,C1275&lt;&gt;"",ISNUMBER(MATCH(C1275,eq_code,0))),1,0)</f>
        <v>0.0</v>
      </c>
      <c r="X1275" s="67">
        <f>IF(AND(W1275=1,E1275="Préventif"),1,0)</f>
        <v>0.0</v>
      </c>
      <c r="Y1275" s="67">
        <f>IF(AND(ISNUMBER(N1275),N(N1275)&gt;0),N(N1275),0)</f>
        <v>0.0</v>
      </c>
      <c r="Z1275" s="67">
        <f>IF(AND(ISNUMBER(P1275),N(P1275)&gt;0),N(P1275),0)</f>
        <v>0.0</v>
      </c>
    </row>
    <row r="1276">
      <c r="A1276" s="79" t="str">
        <f>IF(COUNTA(B1276:C1276,E1276:G1276,I1276)=0,"","BI-"&amp;RIGHT("0000"&amp;(ROW()-5),4))</f>
        <v/>
      </c>
      <c r="B1276" s="72" t="n"/>
      <c r="C1276" s="66" t="n"/>
      <c r="D1276" s="67" t="str">
        <f>IF(C1276="","",IFERROR(INDEX(eq_des,MATCH(C1276,eq_code,0))&amp;"","Équipement inconnu"))</f>
        <v/>
      </c>
      <c r="E1276" s="68" t="n"/>
      <c r="F1276" s="68" t="n"/>
      <c r="G1276" s="66" t="n"/>
      <c r="H1276" s="66" t="n"/>
      <c r="I1276" s="68" t="n"/>
      <c r="J1276" s="73" t="n"/>
      <c r="K1276" s="71" t="n"/>
      <c r="L1276" s="71" t="n"/>
      <c r="M1276" s="66" t="n"/>
      <c r="N1276" s="80" t="n"/>
      <c r="O1276" s="81" t="str">
        <f>IF(A1276="","",ROUND(V1276*IFERROR(N(INDEX(tech_rate,MATCH(M1276,tech_name,0))),0),2))</f>
        <v/>
      </c>
      <c r="P1276" s="80" t="n"/>
      <c r="Q1276" s="81" t="str">
        <f>IF(A1276="","",ROUND(Y1276+O1276+Z1276,2))</f>
        <v/>
      </c>
      <c r="R1276" s="79" t="str">
        <f>IF(A1276="","",IF(S1276=0,"Date manquante ou invalide",IF(C1276="","Équipement manquant",IF(ISNA(MATCH(C1276,eq_code,0)),"Équipement inconnu",IF(E1276="","Type manquant",IF(AND(E1276&lt;&gt;"Préventif",E1276&lt;&gt;"Correctif",E1276&lt;&gt;"Amélioratif"),"Type inconnu",IF(I1276="","Statut manquant",IF(AND(I1276&lt;&gt;"Terminée",I1276&lt;&gt;"En cours",I1276&lt;&gt;"À faire",I1276&lt;&gt;"Annulée"),"Statut inconnu",IF(AND(E1276="Préventif",F1276=""),"Plan manquant (préventif)",IF(AND(F1276&lt;&gt;"",ISNA(MATCH(F1276,pl_num,0))),"Plan inconnu",IF(AND(F1276&lt;&gt;"",IFERROR(INDEX(pl_eq,MATCH(F1276,pl_num,0))&amp;"",C1276)&lt;&gt;C1276),"Plan d'un autre équipement",IF(AND(J1276&lt;&gt;"",OR(NOT(ISNUMBER(J1276)),N(J1276)&lt;0)),"Compteur invalide",IF(OR(AND(K1276&lt;&gt;"",OR(NOT(ISNUMBER(K1276)),N(K1276)&lt;0)),AND(L1276&lt;&gt;"",OR(NOT(ISNUMBER(L1276)),N(L1276)&lt;0))),"Durée invalide",IF(OR(AND(N1276&lt;&gt;"",OR(NOT(ISNUMBER(N1276)),N(N1276)&lt;0)),AND(P1276&lt;&gt;"",OR(NOT(ISNUMBER(P1276)),N(P1276)&lt;0))),"Coût invalide",IF(AND(M1276&lt;&gt;"",ISNA(MATCH(M1276,tech_name,0))),"Technicien inconnu",IF(AND(I1276="Terminée",S1276&gt;p_today),"Terminée à une date future",IF(AND(I1276="Terminée",V1276=0),"Durée d'intervention manquante",IF(AND(I1276="Terminée",E1276="Préventif",T1276=0,OR(IFERROR(INDEX(pl_trig,MATCH(F1276,pl_num,0))&amp;"","")="Compteur",IFERROR(INDEX(pl_trig,MATCH(F1276,pl_num,0))&amp;"","")="Au premier des deux")),"Compteur manquant (plan au compteur)","OK"))))))))))))))))))</f>
        <v/>
      </c>
      <c r="S1276" s="67">
        <f>IF(AND(ISNUMBER(B1276),N(B1276)&gt;0),INT(B1276),0)</f>
        <v>0.0</v>
      </c>
      <c r="T1276" s="67">
        <f>IF(AND(ISNUMBER(J1276),N(J1276)&gt;=0),N(J1276),0)</f>
        <v>0.0</v>
      </c>
      <c r="U1276" s="67">
        <f>IF(AND(ISNUMBER(K1276),N(K1276)&gt;0),N(K1276),0)</f>
        <v>0.0</v>
      </c>
      <c r="V1276" s="67">
        <f>IF(AND(ISNUMBER(L1276),N(L1276)&gt;0),N(L1276),0)</f>
        <v>0.0</v>
      </c>
      <c r="W1276" s="67">
        <f>IF(AND(I1276="Terminée",S1276&gt;0,C1276&lt;&gt;"",ISNUMBER(MATCH(C1276,eq_code,0))),1,0)</f>
        <v>0.0</v>
      </c>
      <c r="X1276" s="67">
        <f>IF(AND(W1276=1,E1276="Préventif"),1,0)</f>
        <v>0.0</v>
      </c>
      <c r="Y1276" s="67">
        <f>IF(AND(ISNUMBER(N1276),N(N1276)&gt;0),N(N1276),0)</f>
        <v>0.0</v>
      </c>
      <c r="Z1276" s="67">
        <f>IF(AND(ISNUMBER(P1276),N(P1276)&gt;0),N(P1276),0)</f>
        <v>0.0</v>
      </c>
    </row>
    <row r="1277">
      <c r="A1277" s="79" t="str">
        <f>IF(COUNTA(B1277:C1277,E1277:G1277,I1277)=0,"","BI-"&amp;RIGHT("0000"&amp;(ROW()-5),4))</f>
        <v/>
      </c>
      <c r="B1277" s="72" t="n"/>
      <c r="C1277" s="66" t="n"/>
      <c r="D1277" s="67" t="str">
        <f>IF(C1277="","",IFERROR(INDEX(eq_des,MATCH(C1277,eq_code,0))&amp;"","Équipement inconnu"))</f>
        <v/>
      </c>
      <c r="E1277" s="68" t="n"/>
      <c r="F1277" s="68" t="n"/>
      <c r="G1277" s="66" t="n"/>
      <c r="H1277" s="66" t="n"/>
      <c r="I1277" s="68" t="n"/>
      <c r="J1277" s="73" t="n"/>
      <c r="K1277" s="71" t="n"/>
      <c r="L1277" s="71" t="n"/>
      <c r="M1277" s="66" t="n"/>
      <c r="N1277" s="80" t="n"/>
      <c r="O1277" s="81" t="str">
        <f>IF(A1277="","",ROUND(V1277*IFERROR(N(INDEX(tech_rate,MATCH(M1277,tech_name,0))),0),2))</f>
        <v/>
      </c>
      <c r="P1277" s="80" t="n"/>
      <c r="Q1277" s="81" t="str">
        <f>IF(A1277="","",ROUND(Y1277+O1277+Z1277,2))</f>
        <v/>
      </c>
      <c r="R1277" s="79" t="str">
        <f>IF(A1277="","",IF(S1277=0,"Date manquante ou invalide",IF(C1277="","Équipement manquant",IF(ISNA(MATCH(C1277,eq_code,0)),"Équipement inconnu",IF(E1277="","Type manquant",IF(AND(E1277&lt;&gt;"Préventif",E1277&lt;&gt;"Correctif",E1277&lt;&gt;"Amélioratif"),"Type inconnu",IF(I1277="","Statut manquant",IF(AND(I1277&lt;&gt;"Terminée",I1277&lt;&gt;"En cours",I1277&lt;&gt;"À faire",I1277&lt;&gt;"Annulée"),"Statut inconnu",IF(AND(E1277="Préventif",F1277=""),"Plan manquant (préventif)",IF(AND(F1277&lt;&gt;"",ISNA(MATCH(F1277,pl_num,0))),"Plan inconnu",IF(AND(F1277&lt;&gt;"",IFERROR(INDEX(pl_eq,MATCH(F1277,pl_num,0))&amp;"",C1277)&lt;&gt;C1277),"Plan d'un autre équipement",IF(AND(J1277&lt;&gt;"",OR(NOT(ISNUMBER(J1277)),N(J1277)&lt;0)),"Compteur invalide",IF(OR(AND(K1277&lt;&gt;"",OR(NOT(ISNUMBER(K1277)),N(K1277)&lt;0)),AND(L1277&lt;&gt;"",OR(NOT(ISNUMBER(L1277)),N(L1277)&lt;0))),"Durée invalide",IF(OR(AND(N1277&lt;&gt;"",OR(NOT(ISNUMBER(N1277)),N(N1277)&lt;0)),AND(P1277&lt;&gt;"",OR(NOT(ISNUMBER(P1277)),N(P1277)&lt;0))),"Coût invalide",IF(AND(M1277&lt;&gt;"",ISNA(MATCH(M1277,tech_name,0))),"Technicien inconnu",IF(AND(I1277="Terminée",S1277&gt;p_today),"Terminée à une date future",IF(AND(I1277="Terminée",V1277=0),"Durée d'intervention manquante",IF(AND(I1277="Terminée",E1277="Préventif",T1277=0,OR(IFERROR(INDEX(pl_trig,MATCH(F1277,pl_num,0))&amp;"","")="Compteur",IFERROR(INDEX(pl_trig,MATCH(F1277,pl_num,0))&amp;"","")="Au premier des deux")),"Compteur manquant (plan au compteur)","OK"))))))))))))))))))</f>
        <v/>
      </c>
      <c r="S1277" s="67">
        <f>IF(AND(ISNUMBER(B1277),N(B1277)&gt;0),INT(B1277),0)</f>
        <v>0.0</v>
      </c>
      <c r="T1277" s="67">
        <f>IF(AND(ISNUMBER(J1277),N(J1277)&gt;=0),N(J1277),0)</f>
        <v>0.0</v>
      </c>
      <c r="U1277" s="67">
        <f>IF(AND(ISNUMBER(K1277),N(K1277)&gt;0),N(K1277),0)</f>
        <v>0.0</v>
      </c>
      <c r="V1277" s="67">
        <f>IF(AND(ISNUMBER(L1277),N(L1277)&gt;0),N(L1277),0)</f>
        <v>0.0</v>
      </c>
      <c r="W1277" s="67">
        <f>IF(AND(I1277="Terminée",S1277&gt;0,C1277&lt;&gt;"",ISNUMBER(MATCH(C1277,eq_code,0))),1,0)</f>
        <v>0.0</v>
      </c>
      <c r="X1277" s="67">
        <f>IF(AND(W1277=1,E1277="Préventif"),1,0)</f>
        <v>0.0</v>
      </c>
      <c r="Y1277" s="67">
        <f>IF(AND(ISNUMBER(N1277),N(N1277)&gt;0),N(N1277),0)</f>
        <v>0.0</v>
      </c>
      <c r="Z1277" s="67">
        <f>IF(AND(ISNUMBER(P1277),N(P1277)&gt;0),N(P1277),0)</f>
        <v>0.0</v>
      </c>
    </row>
    <row r="1278">
      <c r="A1278" s="79" t="str">
        <f>IF(COUNTA(B1278:C1278,E1278:G1278,I1278)=0,"","BI-"&amp;RIGHT("0000"&amp;(ROW()-5),4))</f>
        <v/>
      </c>
      <c r="B1278" s="72" t="n"/>
      <c r="C1278" s="66" t="n"/>
      <c r="D1278" s="67" t="str">
        <f>IF(C1278="","",IFERROR(INDEX(eq_des,MATCH(C1278,eq_code,0))&amp;"","Équipement inconnu"))</f>
        <v/>
      </c>
      <c r="E1278" s="68" t="n"/>
      <c r="F1278" s="68" t="n"/>
      <c r="G1278" s="66" t="n"/>
      <c r="H1278" s="66" t="n"/>
      <c r="I1278" s="68" t="n"/>
      <c r="J1278" s="73" t="n"/>
      <c r="K1278" s="71" t="n"/>
      <c r="L1278" s="71" t="n"/>
      <c r="M1278" s="66" t="n"/>
      <c r="N1278" s="80" t="n"/>
      <c r="O1278" s="81" t="str">
        <f>IF(A1278="","",ROUND(V1278*IFERROR(N(INDEX(tech_rate,MATCH(M1278,tech_name,0))),0),2))</f>
        <v/>
      </c>
      <c r="P1278" s="80" t="n"/>
      <c r="Q1278" s="81" t="str">
        <f>IF(A1278="","",ROUND(Y1278+O1278+Z1278,2))</f>
        <v/>
      </c>
      <c r="R1278" s="79" t="str">
        <f>IF(A1278="","",IF(S1278=0,"Date manquante ou invalide",IF(C1278="","Équipement manquant",IF(ISNA(MATCH(C1278,eq_code,0)),"Équipement inconnu",IF(E1278="","Type manquant",IF(AND(E1278&lt;&gt;"Préventif",E1278&lt;&gt;"Correctif",E1278&lt;&gt;"Amélioratif"),"Type inconnu",IF(I1278="","Statut manquant",IF(AND(I1278&lt;&gt;"Terminée",I1278&lt;&gt;"En cours",I1278&lt;&gt;"À faire",I1278&lt;&gt;"Annulée"),"Statut inconnu",IF(AND(E1278="Préventif",F1278=""),"Plan manquant (préventif)",IF(AND(F1278&lt;&gt;"",ISNA(MATCH(F1278,pl_num,0))),"Plan inconnu",IF(AND(F1278&lt;&gt;"",IFERROR(INDEX(pl_eq,MATCH(F1278,pl_num,0))&amp;"",C1278)&lt;&gt;C1278),"Plan d'un autre équipement",IF(AND(J1278&lt;&gt;"",OR(NOT(ISNUMBER(J1278)),N(J1278)&lt;0)),"Compteur invalide",IF(OR(AND(K1278&lt;&gt;"",OR(NOT(ISNUMBER(K1278)),N(K1278)&lt;0)),AND(L1278&lt;&gt;"",OR(NOT(ISNUMBER(L1278)),N(L1278)&lt;0))),"Durée invalide",IF(OR(AND(N1278&lt;&gt;"",OR(NOT(ISNUMBER(N1278)),N(N1278)&lt;0)),AND(P1278&lt;&gt;"",OR(NOT(ISNUMBER(P1278)),N(P1278)&lt;0))),"Coût invalide",IF(AND(M1278&lt;&gt;"",ISNA(MATCH(M1278,tech_name,0))),"Technicien inconnu",IF(AND(I1278="Terminée",S1278&gt;p_today),"Terminée à une date future",IF(AND(I1278="Terminée",V1278=0),"Durée d'intervention manquante",IF(AND(I1278="Terminée",E1278="Préventif",T1278=0,OR(IFERROR(INDEX(pl_trig,MATCH(F1278,pl_num,0))&amp;"","")="Compteur",IFERROR(INDEX(pl_trig,MATCH(F1278,pl_num,0))&amp;"","")="Au premier des deux")),"Compteur manquant (plan au compteur)","OK"))))))))))))))))))</f>
        <v/>
      </c>
      <c r="S1278" s="67">
        <f>IF(AND(ISNUMBER(B1278),N(B1278)&gt;0),INT(B1278),0)</f>
        <v>0.0</v>
      </c>
      <c r="T1278" s="67">
        <f>IF(AND(ISNUMBER(J1278),N(J1278)&gt;=0),N(J1278),0)</f>
        <v>0.0</v>
      </c>
      <c r="U1278" s="67">
        <f>IF(AND(ISNUMBER(K1278),N(K1278)&gt;0),N(K1278),0)</f>
        <v>0.0</v>
      </c>
      <c r="V1278" s="67">
        <f>IF(AND(ISNUMBER(L1278),N(L1278)&gt;0),N(L1278),0)</f>
        <v>0.0</v>
      </c>
      <c r="W1278" s="67">
        <f>IF(AND(I1278="Terminée",S1278&gt;0,C1278&lt;&gt;"",ISNUMBER(MATCH(C1278,eq_code,0))),1,0)</f>
        <v>0.0</v>
      </c>
      <c r="X1278" s="67">
        <f>IF(AND(W1278=1,E1278="Préventif"),1,0)</f>
        <v>0.0</v>
      </c>
      <c r="Y1278" s="67">
        <f>IF(AND(ISNUMBER(N1278),N(N1278)&gt;0),N(N1278),0)</f>
        <v>0.0</v>
      </c>
      <c r="Z1278" s="67">
        <f>IF(AND(ISNUMBER(P1278),N(P1278)&gt;0),N(P1278),0)</f>
        <v>0.0</v>
      </c>
    </row>
    <row r="1279">
      <c r="A1279" s="79" t="str">
        <f>IF(COUNTA(B1279:C1279,E1279:G1279,I1279)=0,"","BI-"&amp;RIGHT("0000"&amp;(ROW()-5),4))</f>
        <v/>
      </c>
      <c r="B1279" s="72" t="n"/>
      <c r="C1279" s="66" t="n"/>
      <c r="D1279" s="67" t="str">
        <f>IF(C1279="","",IFERROR(INDEX(eq_des,MATCH(C1279,eq_code,0))&amp;"","Équipement inconnu"))</f>
        <v/>
      </c>
      <c r="E1279" s="68" t="n"/>
      <c r="F1279" s="68" t="n"/>
      <c r="G1279" s="66" t="n"/>
      <c r="H1279" s="66" t="n"/>
      <c r="I1279" s="68" t="n"/>
      <c r="J1279" s="73" t="n"/>
      <c r="K1279" s="71" t="n"/>
      <c r="L1279" s="71" t="n"/>
      <c r="M1279" s="66" t="n"/>
      <c r="N1279" s="80" t="n"/>
      <c r="O1279" s="81" t="str">
        <f>IF(A1279="","",ROUND(V1279*IFERROR(N(INDEX(tech_rate,MATCH(M1279,tech_name,0))),0),2))</f>
        <v/>
      </c>
      <c r="P1279" s="80" t="n"/>
      <c r="Q1279" s="81" t="str">
        <f>IF(A1279="","",ROUND(Y1279+O1279+Z1279,2))</f>
        <v/>
      </c>
      <c r="R1279" s="79" t="str">
        <f>IF(A1279="","",IF(S1279=0,"Date manquante ou invalide",IF(C1279="","Équipement manquant",IF(ISNA(MATCH(C1279,eq_code,0)),"Équipement inconnu",IF(E1279="","Type manquant",IF(AND(E1279&lt;&gt;"Préventif",E1279&lt;&gt;"Correctif",E1279&lt;&gt;"Amélioratif"),"Type inconnu",IF(I1279="","Statut manquant",IF(AND(I1279&lt;&gt;"Terminée",I1279&lt;&gt;"En cours",I1279&lt;&gt;"À faire",I1279&lt;&gt;"Annulée"),"Statut inconnu",IF(AND(E1279="Préventif",F1279=""),"Plan manquant (préventif)",IF(AND(F1279&lt;&gt;"",ISNA(MATCH(F1279,pl_num,0))),"Plan inconnu",IF(AND(F1279&lt;&gt;"",IFERROR(INDEX(pl_eq,MATCH(F1279,pl_num,0))&amp;"",C1279)&lt;&gt;C1279),"Plan d'un autre équipement",IF(AND(J1279&lt;&gt;"",OR(NOT(ISNUMBER(J1279)),N(J1279)&lt;0)),"Compteur invalide",IF(OR(AND(K1279&lt;&gt;"",OR(NOT(ISNUMBER(K1279)),N(K1279)&lt;0)),AND(L1279&lt;&gt;"",OR(NOT(ISNUMBER(L1279)),N(L1279)&lt;0))),"Durée invalide",IF(OR(AND(N1279&lt;&gt;"",OR(NOT(ISNUMBER(N1279)),N(N1279)&lt;0)),AND(P1279&lt;&gt;"",OR(NOT(ISNUMBER(P1279)),N(P1279)&lt;0))),"Coût invalide",IF(AND(M1279&lt;&gt;"",ISNA(MATCH(M1279,tech_name,0))),"Technicien inconnu",IF(AND(I1279="Terminée",S1279&gt;p_today),"Terminée à une date future",IF(AND(I1279="Terminée",V1279=0),"Durée d'intervention manquante",IF(AND(I1279="Terminée",E1279="Préventif",T1279=0,OR(IFERROR(INDEX(pl_trig,MATCH(F1279,pl_num,0))&amp;"","")="Compteur",IFERROR(INDEX(pl_trig,MATCH(F1279,pl_num,0))&amp;"","")="Au premier des deux")),"Compteur manquant (plan au compteur)","OK"))))))))))))))))))</f>
        <v/>
      </c>
      <c r="S1279" s="67">
        <f>IF(AND(ISNUMBER(B1279),N(B1279)&gt;0),INT(B1279),0)</f>
        <v>0.0</v>
      </c>
      <c r="T1279" s="67">
        <f>IF(AND(ISNUMBER(J1279),N(J1279)&gt;=0),N(J1279),0)</f>
        <v>0.0</v>
      </c>
      <c r="U1279" s="67">
        <f>IF(AND(ISNUMBER(K1279),N(K1279)&gt;0),N(K1279),0)</f>
        <v>0.0</v>
      </c>
      <c r="V1279" s="67">
        <f>IF(AND(ISNUMBER(L1279),N(L1279)&gt;0),N(L1279),0)</f>
        <v>0.0</v>
      </c>
      <c r="W1279" s="67">
        <f>IF(AND(I1279="Terminée",S1279&gt;0,C1279&lt;&gt;"",ISNUMBER(MATCH(C1279,eq_code,0))),1,0)</f>
        <v>0.0</v>
      </c>
      <c r="X1279" s="67">
        <f>IF(AND(W1279=1,E1279="Préventif"),1,0)</f>
        <v>0.0</v>
      </c>
      <c r="Y1279" s="67">
        <f>IF(AND(ISNUMBER(N1279),N(N1279)&gt;0),N(N1279),0)</f>
        <v>0.0</v>
      </c>
      <c r="Z1279" s="67">
        <f>IF(AND(ISNUMBER(P1279),N(P1279)&gt;0),N(P1279),0)</f>
        <v>0.0</v>
      </c>
    </row>
    <row r="1280">
      <c r="A1280" s="79" t="str">
        <f>IF(COUNTA(B1280:C1280,E1280:G1280,I1280)=0,"","BI-"&amp;RIGHT("0000"&amp;(ROW()-5),4))</f>
        <v/>
      </c>
      <c r="B1280" s="72" t="n"/>
      <c r="C1280" s="66" t="n"/>
      <c r="D1280" s="67" t="str">
        <f>IF(C1280="","",IFERROR(INDEX(eq_des,MATCH(C1280,eq_code,0))&amp;"","Équipement inconnu"))</f>
        <v/>
      </c>
      <c r="E1280" s="68" t="n"/>
      <c r="F1280" s="68" t="n"/>
      <c r="G1280" s="66" t="n"/>
      <c r="H1280" s="66" t="n"/>
      <c r="I1280" s="68" t="n"/>
      <c r="J1280" s="73" t="n"/>
      <c r="K1280" s="71" t="n"/>
      <c r="L1280" s="71" t="n"/>
      <c r="M1280" s="66" t="n"/>
      <c r="N1280" s="80" t="n"/>
      <c r="O1280" s="81" t="str">
        <f>IF(A1280="","",ROUND(V1280*IFERROR(N(INDEX(tech_rate,MATCH(M1280,tech_name,0))),0),2))</f>
        <v/>
      </c>
      <c r="P1280" s="80" t="n"/>
      <c r="Q1280" s="81" t="str">
        <f>IF(A1280="","",ROUND(Y1280+O1280+Z1280,2))</f>
        <v/>
      </c>
      <c r="R1280" s="79" t="str">
        <f>IF(A1280="","",IF(S1280=0,"Date manquante ou invalide",IF(C1280="","Équipement manquant",IF(ISNA(MATCH(C1280,eq_code,0)),"Équipement inconnu",IF(E1280="","Type manquant",IF(AND(E1280&lt;&gt;"Préventif",E1280&lt;&gt;"Correctif",E1280&lt;&gt;"Amélioratif"),"Type inconnu",IF(I1280="","Statut manquant",IF(AND(I1280&lt;&gt;"Terminée",I1280&lt;&gt;"En cours",I1280&lt;&gt;"À faire",I1280&lt;&gt;"Annulée"),"Statut inconnu",IF(AND(E1280="Préventif",F1280=""),"Plan manquant (préventif)",IF(AND(F1280&lt;&gt;"",ISNA(MATCH(F1280,pl_num,0))),"Plan inconnu",IF(AND(F1280&lt;&gt;"",IFERROR(INDEX(pl_eq,MATCH(F1280,pl_num,0))&amp;"",C1280)&lt;&gt;C1280),"Plan d'un autre équipement",IF(AND(J1280&lt;&gt;"",OR(NOT(ISNUMBER(J1280)),N(J1280)&lt;0)),"Compteur invalide",IF(OR(AND(K1280&lt;&gt;"",OR(NOT(ISNUMBER(K1280)),N(K1280)&lt;0)),AND(L1280&lt;&gt;"",OR(NOT(ISNUMBER(L1280)),N(L1280)&lt;0))),"Durée invalide",IF(OR(AND(N1280&lt;&gt;"",OR(NOT(ISNUMBER(N1280)),N(N1280)&lt;0)),AND(P1280&lt;&gt;"",OR(NOT(ISNUMBER(P1280)),N(P1280)&lt;0))),"Coût invalide",IF(AND(M1280&lt;&gt;"",ISNA(MATCH(M1280,tech_name,0))),"Technicien inconnu",IF(AND(I1280="Terminée",S1280&gt;p_today),"Terminée à une date future",IF(AND(I1280="Terminée",V1280=0),"Durée d'intervention manquante",IF(AND(I1280="Terminée",E1280="Préventif",T1280=0,OR(IFERROR(INDEX(pl_trig,MATCH(F1280,pl_num,0))&amp;"","")="Compteur",IFERROR(INDEX(pl_trig,MATCH(F1280,pl_num,0))&amp;"","")="Au premier des deux")),"Compteur manquant (plan au compteur)","OK"))))))))))))))))))</f>
        <v/>
      </c>
      <c r="S1280" s="67">
        <f>IF(AND(ISNUMBER(B1280),N(B1280)&gt;0),INT(B1280),0)</f>
        <v>0.0</v>
      </c>
      <c r="T1280" s="67">
        <f>IF(AND(ISNUMBER(J1280),N(J1280)&gt;=0),N(J1280),0)</f>
        <v>0.0</v>
      </c>
      <c r="U1280" s="67">
        <f>IF(AND(ISNUMBER(K1280),N(K1280)&gt;0),N(K1280),0)</f>
        <v>0.0</v>
      </c>
      <c r="V1280" s="67">
        <f>IF(AND(ISNUMBER(L1280),N(L1280)&gt;0),N(L1280),0)</f>
        <v>0.0</v>
      </c>
      <c r="W1280" s="67">
        <f>IF(AND(I1280="Terminée",S1280&gt;0,C1280&lt;&gt;"",ISNUMBER(MATCH(C1280,eq_code,0))),1,0)</f>
        <v>0.0</v>
      </c>
      <c r="X1280" s="67">
        <f>IF(AND(W1280=1,E1280="Préventif"),1,0)</f>
        <v>0.0</v>
      </c>
      <c r="Y1280" s="67">
        <f>IF(AND(ISNUMBER(N1280),N(N1280)&gt;0),N(N1280),0)</f>
        <v>0.0</v>
      </c>
      <c r="Z1280" s="67">
        <f>IF(AND(ISNUMBER(P1280),N(P1280)&gt;0),N(P1280),0)</f>
        <v>0.0</v>
      </c>
    </row>
    <row r="1281">
      <c r="A1281" s="79" t="str">
        <f>IF(COUNTA(B1281:C1281,E1281:G1281,I1281)=0,"","BI-"&amp;RIGHT("0000"&amp;(ROW()-5),4))</f>
        <v/>
      </c>
      <c r="B1281" s="72" t="n"/>
      <c r="C1281" s="66" t="n"/>
      <c r="D1281" s="67" t="str">
        <f>IF(C1281="","",IFERROR(INDEX(eq_des,MATCH(C1281,eq_code,0))&amp;"","Équipement inconnu"))</f>
        <v/>
      </c>
      <c r="E1281" s="68" t="n"/>
      <c r="F1281" s="68" t="n"/>
      <c r="G1281" s="66" t="n"/>
      <c r="H1281" s="66" t="n"/>
      <c r="I1281" s="68" t="n"/>
      <c r="J1281" s="73" t="n"/>
      <c r="K1281" s="71" t="n"/>
      <c r="L1281" s="71" t="n"/>
      <c r="M1281" s="66" t="n"/>
      <c r="N1281" s="80" t="n"/>
      <c r="O1281" s="81" t="str">
        <f>IF(A1281="","",ROUND(V1281*IFERROR(N(INDEX(tech_rate,MATCH(M1281,tech_name,0))),0),2))</f>
        <v/>
      </c>
      <c r="P1281" s="80" t="n"/>
      <c r="Q1281" s="81" t="str">
        <f>IF(A1281="","",ROUND(Y1281+O1281+Z1281,2))</f>
        <v/>
      </c>
      <c r="R1281" s="79" t="str">
        <f>IF(A1281="","",IF(S1281=0,"Date manquante ou invalide",IF(C1281="","Équipement manquant",IF(ISNA(MATCH(C1281,eq_code,0)),"Équipement inconnu",IF(E1281="","Type manquant",IF(AND(E1281&lt;&gt;"Préventif",E1281&lt;&gt;"Correctif",E1281&lt;&gt;"Amélioratif"),"Type inconnu",IF(I1281="","Statut manquant",IF(AND(I1281&lt;&gt;"Terminée",I1281&lt;&gt;"En cours",I1281&lt;&gt;"À faire",I1281&lt;&gt;"Annulée"),"Statut inconnu",IF(AND(E1281="Préventif",F1281=""),"Plan manquant (préventif)",IF(AND(F1281&lt;&gt;"",ISNA(MATCH(F1281,pl_num,0))),"Plan inconnu",IF(AND(F1281&lt;&gt;"",IFERROR(INDEX(pl_eq,MATCH(F1281,pl_num,0))&amp;"",C1281)&lt;&gt;C1281),"Plan d'un autre équipement",IF(AND(J1281&lt;&gt;"",OR(NOT(ISNUMBER(J1281)),N(J1281)&lt;0)),"Compteur invalide",IF(OR(AND(K1281&lt;&gt;"",OR(NOT(ISNUMBER(K1281)),N(K1281)&lt;0)),AND(L1281&lt;&gt;"",OR(NOT(ISNUMBER(L1281)),N(L1281)&lt;0))),"Durée invalide",IF(OR(AND(N1281&lt;&gt;"",OR(NOT(ISNUMBER(N1281)),N(N1281)&lt;0)),AND(P1281&lt;&gt;"",OR(NOT(ISNUMBER(P1281)),N(P1281)&lt;0))),"Coût invalide",IF(AND(M1281&lt;&gt;"",ISNA(MATCH(M1281,tech_name,0))),"Technicien inconnu",IF(AND(I1281="Terminée",S1281&gt;p_today),"Terminée à une date future",IF(AND(I1281="Terminée",V1281=0),"Durée d'intervention manquante",IF(AND(I1281="Terminée",E1281="Préventif",T1281=0,OR(IFERROR(INDEX(pl_trig,MATCH(F1281,pl_num,0))&amp;"","")="Compteur",IFERROR(INDEX(pl_trig,MATCH(F1281,pl_num,0))&amp;"","")="Au premier des deux")),"Compteur manquant (plan au compteur)","OK"))))))))))))))))))</f>
        <v/>
      </c>
      <c r="S1281" s="67">
        <f>IF(AND(ISNUMBER(B1281),N(B1281)&gt;0),INT(B1281),0)</f>
        <v>0.0</v>
      </c>
      <c r="T1281" s="67">
        <f>IF(AND(ISNUMBER(J1281),N(J1281)&gt;=0),N(J1281),0)</f>
        <v>0.0</v>
      </c>
      <c r="U1281" s="67">
        <f>IF(AND(ISNUMBER(K1281),N(K1281)&gt;0),N(K1281),0)</f>
        <v>0.0</v>
      </c>
      <c r="V1281" s="67">
        <f>IF(AND(ISNUMBER(L1281),N(L1281)&gt;0),N(L1281),0)</f>
        <v>0.0</v>
      </c>
      <c r="W1281" s="67">
        <f>IF(AND(I1281="Terminée",S1281&gt;0,C1281&lt;&gt;"",ISNUMBER(MATCH(C1281,eq_code,0))),1,0)</f>
        <v>0.0</v>
      </c>
      <c r="X1281" s="67">
        <f>IF(AND(W1281=1,E1281="Préventif"),1,0)</f>
        <v>0.0</v>
      </c>
      <c r="Y1281" s="67">
        <f>IF(AND(ISNUMBER(N1281),N(N1281)&gt;0),N(N1281),0)</f>
        <v>0.0</v>
      </c>
      <c r="Z1281" s="67">
        <f>IF(AND(ISNUMBER(P1281),N(P1281)&gt;0),N(P1281),0)</f>
        <v>0.0</v>
      </c>
    </row>
    <row r="1282">
      <c r="A1282" s="79" t="str">
        <f>IF(COUNTA(B1282:C1282,E1282:G1282,I1282)=0,"","BI-"&amp;RIGHT("0000"&amp;(ROW()-5),4))</f>
        <v/>
      </c>
      <c r="B1282" s="72" t="n"/>
      <c r="C1282" s="66" t="n"/>
      <c r="D1282" s="67" t="str">
        <f>IF(C1282="","",IFERROR(INDEX(eq_des,MATCH(C1282,eq_code,0))&amp;"","Équipement inconnu"))</f>
        <v/>
      </c>
      <c r="E1282" s="68" t="n"/>
      <c r="F1282" s="68" t="n"/>
      <c r="G1282" s="66" t="n"/>
      <c r="H1282" s="66" t="n"/>
      <c r="I1282" s="68" t="n"/>
      <c r="J1282" s="73" t="n"/>
      <c r="K1282" s="71" t="n"/>
      <c r="L1282" s="71" t="n"/>
      <c r="M1282" s="66" t="n"/>
      <c r="N1282" s="80" t="n"/>
      <c r="O1282" s="81" t="str">
        <f>IF(A1282="","",ROUND(V1282*IFERROR(N(INDEX(tech_rate,MATCH(M1282,tech_name,0))),0),2))</f>
        <v/>
      </c>
      <c r="P1282" s="80" t="n"/>
      <c r="Q1282" s="81" t="str">
        <f>IF(A1282="","",ROUND(Y1282+O1282+Z1282,2))</f>
        <v/>
      </c>
      <c r="R1282" s="79" t="str">
        <f>IF(A1282="","",IF(S1282=0,"Date manquante ou invalide",IF(C1282="","Équipement manquant",IF(ISNA(MATCH(C1282,eq_code,0)),"Équipement inconnu",IF(E1282="","Type manquant",IF(AND(E1282&lt;&gt;"Préventif",E1282&lt;&gt;"Correctif",E1282&lt;&gt;"Amélioratif"),"Type inconnu",IF(I1282="","Statut manquant",IF(AND(I1282&lt;&gt;"Terminée",I1282&lt;&gt;"En cours",I1282&lt;&gt;"À faire",I1282&lt;&gt;"Annulée"),"Statut inconnu",IF(AND(E1282="Préventif",F1282=""),"Plan manquant (préventif)",IF(AND(F1282&lt;&gt;"",ISNA(MATCH(F1282,pl_num,0))),"Plan inconnu",IF(AND(F1282&lt;&gt;"",IFERROR(INDEX(pl_eq,MATCH(F1282,pl_num,0))&amp;"",C1282)&lt;&gt;C1282),"Plan d'un autre équipement",IF(AND(J1282&lt;&gt;"",OR(NOT(ISNUMBER(J1282)),N(J1282)&lt;0)),"Compteur invalide",IF(OR(AND(K1282&lt;&gt;"",OR(NOT(ISNUMBER(K1282)),N(K1282)&lt;0)),AND(L1282&lt;&gt;"",OR(NOT(ISNUMBER(L1282)),N(L1282)&lt;0))),"Durée invalide",IF(OR(AND(N1282&lt;&gt;"",OR(NOT(ISNUMBER(N1282)),N(N1282)&lt;0)),AND(P1282&lt;&gt;"",OR(NOT(ISNUMBER(P1282)),N(P1282)&lt;0))),"Coût invalide",IF(AND(M1282&lt;&gt;"",ISNA(MATCH(M1282,tech_name,0))),"Technicien inconnu",IF(AND(I1282="Terminée",S1282&gt;p_today),"Terminée à une date future",IF(AND(I1282="Terminée",V1282=0),"Durée d'intervention manquante",IF(AND(I1282="Terminée",E1282="Préventif",T1282=0,OR(IFERROR(INDEX(pl_trig,MATCH(F1282,pl_num,0))&amp;"","")="Compteur",IFERROR(INDEX(pl_trig,MATCH(F1282,pl_num,0))&amp;"","")="Au premier des deux")),"Compteur manquant (plan au compteur)","OK"))))))))))))))))))</f>
        <v/>
      </c>
      <c r="S1282" s="67">
        <f>IF(AND(ISNUMBER(B1282),N(B1282)&gt;0),INT(B1282),0)</f>
        <v>0.0</v>
      </c>
      <c r="T1282" s="67">
        <f>IF(AND(ISNUMBER(J1282),N(J1282)&gt;=0),N(J1282),0)</f>
        <v>0.0</v>
      </c>
      <c r="U1282" s="67">
        <f>IF(AND(ISNUMBER(K1282),N(K1282)&gt;0),N(K1282),0)</f>
        <v>0.0</v>
      </c>
      <c r="V1282" s="67">
        <f>IF(AND(ISNUMBER(L1282),N(L1282)&gt;0),N(L1282),0)</f>
        <v>0.0</v>
      </c>
      <c r="W1282" s="67">
        <f>IF(AND(I1282="Terminée",S1282&gt;0,C1282&lt;&gt;"",ISNUMBER(MATCH(C1282,eq_code,0))),1,0)</f>
        <v>0.0</v>
      </c>
      <c r="X1282" s="67">
        <f>IF(AND(W1282=1,E1282="Préventif"),1,0)</f>
        <v>0.0</v>
      </c>
      <c r="Y1282" s="67">
        <f>IF(AND(ISNUMBER(N1282),N(N1282)&gt;0),N(N1282),0)</f>
        <v>0.0</v>
      </c>
      <c r="Z1282" s="67">
        <f>IF(AND(ISNUMBER(P1282),N(P1282)&gt;0),N(P1282),0)</f>
        <v>0.0</v>
      </c>
    </row>
    <row r="1283">
      <c r="A1283" s="79" t="str">
        <f>IF(COUNTA(B1283:C1283,E1283:G1283,I1283)=0,"","BI-"&amp;RIGHT("0000"&amp;(ROW()-5),4))</f>
        <v/>
      </c>
      <c r="B1283" s="72" t="n"/>
      <c r="C1283" s="66" t="n"/>
      <c r="D1283" s="67" t="str">
        <f>IF(C1283="","",IFERROR(INDEX(eq_des,MATCH(C1283,eq_code,0))&amp;"","Équipement inconnu"))</f>
        <v/>
      </c>
      <c r="E1283" s="68" t="n"/>
      <c r="F1283" s="68" t="n"/>
      <c r="G1283" s="66" t="n"/>
      <c r="H1283" s="66" t="n"/>
      <c r="I1283" s="68" t="n"/>
      <c r="J1283" s="73" t="n"/>
      <c r="K1283" s="71" t="n"/>
      <c r="L1283" s="71" t="n"/>
      <c r="M1283" s="66" t="n"/>
      <c r="N1283" s="80" t="n"/>
      <c r="O1283" s="81" t="str">
        <f>IF(A1283="","",ROUND(V1283*IFERROR(N(INDEX(tech_rate,MATCH(M1283,tech_name,0))),0),2))</f>
        <v/>
      </c>
      <c r="P1283" s="80" t="n"/>
      <c r="Q1283" s="81" t="str">
        <f>IF(A1283="","",ROUND(Y1283+O1283+Z1283,2))</f>
        <v/>
      </c>
      <c r="R1283" s="79" t="str">
        <f>IF(A1283="","",IF(S1283=0,"Date manquante ou invalide",IF(C1283="","Équipement manquant",IF(ISNA(MATCH(C1283,eq_code,0)),"Équipement inconnu",IF(E1283="","Type manquant",IF(AND(E1283&lt;&gt;"Préventif",E1283&lt;&gt;"Correctif",E1283&lt;&gt;"Amélioratif"),"Type inconnu",IF(I1283="","Statut manquant",IF(AND(I1283&lt;&gt;"Terminée",I1283&lt;&gt;"En cours",I1283&lt;&gt;"À faire",I1283&lt;&gt;"Annulée"),"Statut inconnu",IF(AND(E1283="Préventif",F1283=""),"Plan manquant (préventif)",IF(AND(F1283&lt;&gt;"",ISNA(MATCH(F1283,pl_num,0))),"Plan inconnu",IF(AND(F1283&lt;&gt;"",IFERROR(INDEX(pl_eq,MATCH(F1283,pl_num,0))&amp;"",C1283)&lt;&gt;C1283),"Plan d'un autre équipement",IF(AND(J1283&lt;&gt;"",OR(NOT(ISNUMBER(J1283)),N(J1283)&lt;0)),"Compteur invalide",IF(OR(AND(K1283&lt;&gt;"",OR(NOT(ISNUMBER(K1283)),N(K1283)&lt;0)),AND(L1283&lt;&gt;"",OR(NOT(ISNUMBER(L1283)),N(L1283)&lt;0))),"Durée invalide",IF(OR(AND(N1283&lt;&gt;"",OR(NOT(ISNUMBER(N1283)),N(N1283)&lt;0)),AND(P1283&lt;&gt;"",OR(NOT(ISNUMBER(P1283)),N(P1283)&lt;0))),"Coût invalide",IF(AND(M1283&lt;&gt;"",ISNA(MATCH(M1283,tech_name,0))),"Technicien inconnu",IF(AND(I1283="Terminée",S1283&gt;p_today),"Terminée à une date future",IF(AND(I1283="Terminée",V1283=0),"Durée d'intervention manquante",IF(AND(I1283="Terminée",E1283="Préventif",T1283=0,OR(IFERROR(INDEX(pl_trig,MATCH(F1283,pl_num,0))&amp;"","")="Compteur",IFERROR(INDEX(pl_trig,MATCH(F1283,pl_num,0))&amp;"","")="Au premier des deux")),"Compteur manquant (plan au compteur)","OK"))))))))))))))))))</f>
        <v/>
      </c>
      <c r="S1283" s="67">
        <f>IF(AND(ISNUMBER(B1283),N(B1283)&gt;0),INT(B1283),0)</f>
        <v>0.0</v>
      </c>
      <c r="T1283" s="67">
        <f>IF(AND(ISNUMBER(J1283),N(J1283)&gt;=0),N(J1283),0)</f>
        <v>0.0</v>
      </c>
      <c r="U1283" s="67">
        <f>IF(AND(ISNUMBER(K1283),N(K1283)&gt;0),N(K1283),0)</f>
        <v>0.0</v>
      </c>
      <c r="V1283" s="67">
        <f>IF(AND(ISNUMBER(L1283),N(L1283)&gt;0),N(L1283),0)</f>
        <v>0.0</v>
      </c>
      <c r="W1283" s="67">
        <f>IF(AND(I1283="Terminée",S1283&gt;0,C1283&lt;&gt;"",ISNUMBER(MATCH(C1283,eq_code,0))),1,0)</f>
        <v>0.0</v>
      </c>
      <c r="X1283" s="67">
        <f>IF(AND(W1283=1,E1283="Préventif"),1,0)</f>
        <v>0.0</v>
      </c>
      <c r="Y1283" s="67">
        <f>IF(AND(ISNUMBER(N1283),N(N1283)&gt;0),N(N1283),0)</f>
        <v>0.0</v>
      </c>
      <c r="Z1283" s="67">
        <f>IF(AND(ISNUMBER(P1283),N(P1283)&gt;0),N(P1283),0)</f>
        <v>0.0</v>
      </c>
    </row>
    <row r="1284">
      <c r="A1284" s="79" t="str">
        <f>IF(COUNTA(B1284:C1284,E1284:G1284,I1284)=0,"","BI-"&amp;RIGHT("0000"&amp;(ROW()-5),4))</f>
        <v/>
      </c>
      <c r="B1284" s="72" t="n"/>
      <c r="C1284" s="66" t="n"/>
      <c r="D1284" s="67" t="str">
        <f>IF(C1284="","",IFERROR(INDEX(eq_des,MATCH(C1284,eq_code,0))&amp;"","Équipement inconnu"))</f>
        <v/>
      </c>
      <c r="E1284" s="68" t="n"/>
      <c r="F1284" s="68" t="n"/>
      <c r="G1284" s="66" t="n"/>
      <c r="H1284" s="66" t="n"/>
      <c r="I1284" s="68" t="n"/>
      <c r="J1284" s="73" t="n"/>
      <c r="K1284" s="71" t="n"/>
      <c r="L1284" s="71" t="n"/>
      <c r="M1284" s="66" t="n"/>
      <c r="N1284" s="80" t="n"/>
      <c r="O1284" s="81" t="str">
        <f>IF(A1284="","",ROUND(V1284*IFERROR(N(INDEX(tech_rate,MATCH(M1284,tech_name,0))),0),2))</f>
        <v/>
      </c>
      <c r="P1284" s="80" t="n"/>
      <c r="Q1284" s="81" t="str">
        <f>IF(A1284="","",ROUND(Y1284+O1284+Z1284,2))</f>
        <v/>
      </c>
      <c r="R1284" s="79" t="str">
        <f>IF(A1284="","",IF(S1284=0,"Date manquante ou invalide",IF(C1284="","Équipement manquant",IF(ISNA(MATCH(C1284,eq_code,0)),"Équipement inconnu",IF(E1284="","Type manquant",IF(AND(E1284&lt;&gt;"Préventif",E1284&lt;&gt;"Correctif",E1284&lt;&gt;"Amélioratif"),"Type inconnu",IF(I1284="","Statut manquant",IF(AND(I1284&lt;&gt;"Terminée",I1284&lt;&gt;"En cours",I1284&lt;&gt;"À faire",I1284&lt;&gt;"Annulée"),"Statut inconnu",IF(AND(E1284="Préventif",F1284=""),"Plan manquant (préventif)",IF(AND(F1284&lt;&gt;"",ISNA(MATCH(F1284,pl_num,0))),"Plan inconnu",IF(AND(F1284&lt;&gt;"",IFERROR(INDEX(pl_eq,MATCH(F1284,pl_num,0))&amp;"",C1284)&lt;&gt;C1284),"Plan d'un autre équipement",IF(AND(J1284&lt;&gt;"",OR(NOT(ISNUMBER(J1284)),N(J1284)&lt;0)),"Compteur invalide",IF(OR(AND(K1284&lt;&gt;"",OR(NOT(ISNUMBER(K1284)),N(K1284)&lt;0)),AND(L1284&lt;&gt;"",OR(NOT(ISNUMBER(L1284)),N(L1284)&lt;0))),"Durée invalide",IF(OR(AND(N1284&lt;&gt;"",OR(NOT(ISNUMBER(N1284)),N(N1284)&lt;0)),AND(P1284&lt;&gt;"",OR(NOT(ISNUMBER(P1284)),N(P1284)&lt;0))),"Coût invalide",IF(AND(M1284&lt;&gt;"",ISNA(MATCH(M1284,tech_name,0))),"Technicien inconnu",IF(AND(I1284="Terminée",S1284&gt;p_today),"Terminée à une date future",IF(AND(I1284="Terminée",V1284=0),"Durée d'intervention manquante",IF(AND(I1284="Terminée",E1284="Préventif",T1284=0,OR(IFERROR(INDEX(pl_trig,MATCH(F1284,pl_num,0))&amp;"","")="Compteur",IFERROR(INDEX(pl_trig,MATCH(F1284,pl_num,0))&amp;"","")="Au premier des deux")),"Compteur manquant (plan au compteur)","OK"))))))))))))))))))</f>
        <v/>
      </c>
      <c r="S1284" s="67">
        <f>IF(AND(ISNUMBER(B1284),N(B1284)&gt;0),INT(B1284),0)</f>
        <v>0.0</v>
      </c>
      <c r="T1284" s="67">
        <f>IF(AND(ISNUMBER(J1284),N(J1284)&gt;=0),N(J1284),0)</f>
        <v>0.0</v>
      </c>
      <c r="U1284" s="67">
        <f>IF(AND(ISNUMBER(K1284),N(K1284)&gt;0),N(K1284),0)</f>
        <v>0.0</v>
      </c>
      <c r="V1284" s="67">
        <f>IF(AND(ISNUMBER(L1284),N(L1284)&gt;0),N(L1284),0)</f>
        <v>0.0</v>
      </c>
      <c r="W1284" s="67">
        <f>IF(AND(I1284="Terminée",S1284&gt;0,C1284&lt;&gt;"",ISNUMBER(MATCH(C1284,eq_code,0))),1,0)</f>
        <v>0.0</v>
      </c>
      <c r="X1284" s="67">
        <f>IF(AND(W1284=1,E1284="Préventif"),1,0)</f>
        <v>0.0</v>
      </c>
      <c r="Y1284" s="67">
        <f>IF(AND(ISNUMBER(N1284),N(N1284)&gt;0),N(N1284),0)</f>
        <v>0.0</v>
      </c>
      <c r="Z1284" s="67">
        <f>IF(AND(ISNUMBER(P1284),N(P1284)&gt;0),N(P1284),0)</f>
        <v>0.0</v>
      </c>
    </row>
    <row r="1285">
      <c r="A1285" s="79" t="str">
        <f>IF(COUNTA(B1285:C1285,E1285:G1285,I1285)=0,"","BI-"&amp;RIGHT("0000"&amp;(ROW()-5),4))</f>
        <v/>
      </c>
      <c r="B1285" s="72" t="n"/>
      <c r="C1285" s="66" t="n"/>
      <c r="D1285" s="67" t="str">
        <f>IF(C1285="","",IFERROR(INDEX(eq_des,MATCH(C1285,eq_code,0))&amp;"","Équipement inconnu"))</f>
        <v/>
      </c>
      <c r="E1285" s="68" t="n"/>
      <c r="F1285" s="68" t="n"/>
      <c r="G1285" s="66" t="n"/>
      <c r="H1285" s="66" t="n"/>
      <c r="I1285" s="68" t="n"/>
      <c r="J1285" s="73" t="n"/>
      <c r="K1285" s="71" t="n"/>
      <c r="L1285" s="71" t="n"/>
      <c r="M1285" s="66" t="n"/>
      <c r="N1285" s="80" t="n"/>
      <c r="O1285" s="81" t="str">
        <f>IF(A1285="","",ROUND(V1285*IFERROR(N(INDEX(tech_rate,MATCH(M1285,tech_name,0))),0),2))</f>
        <v/>
      </c>
      <c r="P1285" s="80" t="n"/>
      <c r="Q1285" s="81" t="str">
        <f>IF(A1285="","",ROUND(Y1285+O1285+Z1285,2))</f>
        <v/>
      </c>
      <c r="R1285" s="79" t="str">
        <f>IF(A1285="","",IF(S1285=0,"Date manquante ou invalide",IF(C1285="","Équipement manquant",IF(ISNA(MATCH(C1285,eq_code,0)),"Équipement inconnu",IF(E1285="","Type manquant",IF(AND(E1285&lt;&gt;"Préventif",E1285&lt;&gt;"Correctif",E1285&lt;&gt;"Amélioratif"),"Type inconnu",IF(I1285="","Statut manquant",IF(AND(I1285&lt;&gt;"Terminée",I1285&lt;&gt;"En cours",I1285&lt;&gt;"À faire",I1285&lt;&gt;"Annulée"),"Statut inconnu",IF(AND(E1285="Préventif",F1285=""),"Plan manquant (préventif)",IF(AND(F1285&lt;&gt;"",ISNA(MATCH(F1285,pl_num,0))),"Plan inconnu",IF(AND(F1285&lt;&gt;"",IFERROR(INDEX(pl_eq,MATCH(F1285,pl_num,0))&amp;"",C1285)&lt;&gt;C1285),"Plan d'un autre équipement",IF(AND(J1285&lt;&gt;"",OR(NOT(ISNUMBER(J1285)),N(J1285)&lt;0)),"Compteur invalide",IF(OR(AND(K1285&lt;&gt;"",OR(NOT(ISNUMBER(K1285)),N(K1285)&lt;0)),AND(L1285&lt;&gt;"",OR(NOT(ISNUMBER(L1285)),N(L1285)&lt;0))),"Durée invalide",IF(OR(AND(N1285&lt;&gt;"",OR(NOT(ISNUMBER(N1285)),N(N1285)&lt;0)),AND(P1285&lt;&gt;"",OR(NOT(ISNUMBER(P1285)),N(P1285)&lt;0))),"Coût invalide",IF(AND(M1285&lt;&gt;"",ISNA(MATCH(M1285,tech_name,0))),"Technicien inconnu",IF(AND(I1285="Terminée",S1285&gt;p_today),"Terminée à une date future",IF(AND(I1285="Terminée",V1285=0),"Durée d'intervention manquante",IF(AND(I1285="Terminée",E1285="Préventif",T1285=0,OR(IFERROR(INDEX(pl_trig,MATCH(F1285,pl_num,0))&amp;"","")="Compteur",IFERROR(INDEX(pl_trig,MATCH(F1285,pl_num,0))&amp;"","")="Au premier des deux")),"Compteur manquant (plan au compteur)","OK"))))))))))))))))))</f>
        <v/>
      </c>
      <c r="S1285" s="67">
        <f>IF(AND(ISNUMBER(B1285),N(B1285)&gt;0),INT(B1285),0)</f>
        <v>0.0</v>
      </c>
      <c r="T1285" s="67">
        <f>IF(AND(ISNUMBER(J1285),N(J1285)&gt;=0),N(J1285),0)</f>
        <v>0.0</v>
      </c>
      <c r="U1285" s="67">
        <f>IF(AND(ISNUMBER(K1285),N(K1285)&gt;0),N(K1285),0)</f>
        <v>0.0</v>
      </c>
      <c r="V1285" s="67">
        <f>IF(AND(ISNUMBER(L1285),N(L1285)&gt;0),N(L1285),0)</f>
        <v>0.0</v>
      </c>
      <c r="W1285" s="67">
        <f>IF(AND(I1285="Terminée",S1285&gt;0,C1285&lt;&gt;"",ISNUMBER(MATCH(C1285,eq_code,0))),1,0)</f>
        <v>0.0</v>
      </c>
      <c r="X1285" s="67">
        <f>IF(AND(W1285=1,E1285="Préventif"),1,0)</f>
        <v>0.0</v>
      </c>
      <c r="Y1285" s="67">
        <f>IF(AND(ISNUMBER(N1285),N(N1285)&gt;0),N(N1285),0)</f>
        <v>0.0</v>
      </c>
      <c r="Z1285" s="67">
        <f>IF(AND(ISNUMBER(P1285),N(P1285)&gt;0),N(P1285),0)</f>
        <v>0.0</v>
      </c>
    </row>
    <row r="1286">
      <c r="A1286" s="79" t="str">
        <f>IF(COUNTA(B1286:C1286,E1286:G1286,I1286)=0,"","BI-"&amp;RIGHT("0000"&amp;(ROW()-5),4))</f>
        <v/>
      </c>
      <c r="B1286" s="72" t="n"/>
      <c r="C1286" s="66" t="n"/>
      <c r="D1286" s="67" t="str">
        <f>IF(C1286="","",IFERROR(INDEX(eq_des,MATCH(C1286,eq_code,0))&amp;"","Équipement inconnu"))</f>
        <v/>
      </c>
      <c r="E1286" s="68" t="n"/>
      <c r="F1286" s="68" t="n"/>
      <c r="G1286" s="66" t="n"/>
      <c r="H1286" s="66" t="n"/>
      <c r="I1286" s="68" t="n"/>
      <c r="J1286" s="73" t="n"/>
      <c r="K1286" s="71" t="n"/>
      <c r="L1286" s="71" t="n"/>
      <c r="M1286" s="66" t="n"/>
      <c r="N1286" s="80" t="n"/>
      <c r="O1286" s="81" t="str">
        <f>IF(A1286="","",ROUND(V1286*IFERROR(N(INDEX(tech_rate,MATCH(M1286,tech_name,0))),0),2))</f>
        <v/>
      </c>
      <c r="P1286" s="80" t="n"/>
      <c r="Q1286" s="81" t="str">
        <f>IF(A1286="","",ROUND(Y1286+O1286+Z1286,2))</f>
        <v/>
      </c>
      <c r="R1286" s="79" t="str">
        <f>IF(A1286="","",IF(S1286=0,"Date manquante ou invalide",IF(C1286="","Équipement manquant",IF(ISNA(MATCH(C1286,eq_code,0)),"Équipement inconnu",IF(E1286="","Type manquant",IF(AND(E1286&lt;&gt;"Préventif",E1286&lt;&gt;"Correctif",E1286&lt;&gt;"Amélioratif"),"Type inconnu",IF(I1286="","Statut manquant",IF(AND(I1286&lt;&gt;"Terminée",I1286&lt;&gt;"En cours",I1286&lt;&gt;"À faire",I1286&lt;&gt;"Annulée"),"Statut inconnu",IF(AND(E1286="Préventif",F1286=""),"Plan manquant (préventif)",IF(AND(F1286&lt;&gt;"",ISNA(MATCH(F1286,pl_num,0))),"Plan inconnu",IF(AND(F1286&lt;&gt;"",IFERROR(INDEX(pl_eq,MATCH(F1286,pl_num,0))&amp;"",C1286)&lt;&gt;C1286),"Plan d'un autre équipement",IF(AND(J1286&lt;&gt;"",OR(NOT(ISNUMBER(J1286)),N(J1286)&lt;0)),"Compteur invalide",IF(OR(AND(K1286&lt;&gt;"",OR(NOT(ISNUMBER(K1286)),N(K1286)&lt;0)),AND(L1286&lt;&gt;"",OR(NOT(ISNUMBER(L1286)),N(L1286)&lt;0))),"Durée invalide",IF(OR(AND(N1286&lt;&gt;"",OR(NOT(ISNUMBER(N1286)),N(N1286)&lt;0)),AND(P1286&lt;&gt;"",OR(NOT(ISNUMBER(P1286)),N(P1286)&lt;0))),"Coût invalide",IF(AND(M1286&lt;&gt;"",ISNA(MATCH(M1286,tech_name,0))),"Technicien inconnu",IF(AND(I1286="Terminée",S1286&gt;p_today),"Terminée à une date future",IF(AND(I1286="Terminée",V1286=0),"Durée d'intervention manquante",IF(AND(I1286="Terminée",E1286="Préventif",T1286=0,OR(IFERROR(INDEX(pl_trig,MATCH(F1286,pl_num,0))&amp;"","")="Compteur",IFERROR(INDEX(pl_trig,MATCH(F1286,pl_num,0))&amp;"","")="Au premier des deux")),"Compteur manquant (plan au compteur)","OK"))))))))))))))))))</f>
        <v/>
      </c>
      <c r="S1286" s="67">
        <f>IF(AND(ISNUMBER(B1286),N(B1286)&gt;0),INT(B1286),0)</f>
        <v>0.0</v>
      </c>
      <c r="T1286" s="67">
        <f>IF(AND(ISNUMBER(J1286),N(J1286)&gt;=0),N(J1286),0)</f>
        <v>0.0</v>
      </c>
      <c r="U1286" s="67">
        <f>IF(AND(ISNUMBER(K1286),N(K1286)&gt;0),N(K1286),0)</f>
        <v>0.0</v>
      </c>
      <c r="V1286" s="67">
        <f>IF(AND(ISNUMBER(L1286),N(L1286)&gt;0),N(L1286),0)</f>
        <v>0.0</v>
      </c>
      <c r="W1286" s="67">
        <f>IF(AND(I1286="Terminée",S1286&gt;0,C1286&lt;&gt;"",ISNUMBER(MATCH(C1286,eq_code,0))),1,0)</f>
        <v>0.0</v>
      </c>
      <c r="X1286" s="67">
        <f>IF(AND(W1286=1,E1286="Préventif"),1,0)</f>
        <v>0.0</v>
      </c>
      <c r="Y1286" s="67">
        <f>IF(AND(ISNUMBER(N1286),N(N1286)&gt;0),N(N1286),0)</f>
        <v>0.0</v>
      </c>
      <c r="Z1286" s="67">
        <f>IF(AND(ISNUMBER(P1286),N(P1286)&gt;0),N(P1286),0)</f>
        <v>0.0</v>
      </c>
    </row>
    <row r="1287">
      <c r="A1287" s="79" t="str">
        <f>IF(COUNTA(B1287:C1287,E1287:G1287,I1287)=0,"","BI-"&amp;RIGHT("0000"&amp;(ROW()-5),4))</f>
        <v/>
      </c>
      <c r="B1287" s="72" t="n"/>
      <c r="C1287" s="66" t="n"/>
      <c r="D1287" s="67" t="str">
        <f>IF(C1287="","",IFERROR(INDEX(eq_des,MATCH(C1287,eq_code,0))&amp;"","Équipement inconnu"))</f>
        <v/>
      </c>
      <c r="E1287" s="68" t="n"/>
      <c r="F1287" s="68" t="n"/>
      <c r="G1287" s="66" t="n"/>
      <c r="H1287" s="66" t="n"/>
      <c r="I1287" s="68" t="n"/>
      <c r="J1287" s="73" t="n"/>
      <c r="K1287" s="71" t="n"/>
      <c r="L1287" s="71" t="n"/>
      <c r="M1287" s="66" t="n"/>
      <c r="N1287" s="80" t="n"/>
      <c r="O1287" s="81" t="str">
        <f>IF(A1287="","",ROUND(V1287*IFERROR(N(INDEX(tech_rate,MATCH(M1287,tech_name,0))),0),2))</f>
        <v/>
      </c>
      <c r="P1287" s="80" t="n"/>
      <c r="Q1287" s="81" t="str">
        <f>IF(A1287="","",ROUND(Y1287+O1287+Z1287,2))</f>
        <v/>
      </c>
      <c r="R1287" s="79" t="str">
        <f>IF(A1287="","",IF(S1287=0,"Date manquante ou invalide",IF(C1287="","Équipement manquant",IF(ISNA(MATCH(C1287,eq_code,0)),"Équipement inconnu",IF(E1287="","Type manquant",IF(AND(E1287&lt;&gt;"Préventif",E1287&lt;&gt;"Correctif",E1287&lt;&gt;"Amélioratif"),"Type inconnu",IF(I1287="","Statut manquant",IF(AND(I1287&lt;&gt;"Terminée",I1287&lt;&gt;"En cours",I1287&lt;&gt;"À faire",I1287&lt;&gt;"Annulée"),"Statut inconnu",IF(AND(E1287="Préventif",F1287=""),"Plan manquant (préventif)",IF(AND(F1287&lt;&gt;"",ISNA(MATCH(F1287,pl_num,0))),"Plan inconnu",IF(AND(F1287&lt;&gt;"",IFERROR(INDEX(pl_eq,MATCH(F1287,pl_num,0))&amp;"",C1287)&lt;&gt;C1287),"Plan d'un autre équipement",IF(AND(J1287&lt;&gt;"",OR(NOT(ISNUMBER(J1287)),N(J1287)&lt;0)),"Compteur invalide",IF(OR(AND(K1287&lt;&gt;"",OR(NOT(ISNUMBER(K1287)),N(K1287)&lt;0)),AND(L1287&lt;&gt;"",OR(NOT(ISNUMBER(L1287)),N(L1287)&lt;0))),"Durée invalide",IF(OR(AND(N1287&lt;&gt;"",OR(NOT(ISNUMBER(N1287)),N(N1287)&lt;0)),AND(P1287&lt;&gt;"",OR(NOT(ISNUMBER(P1287)),N(P1287)&lt;0))),"Coût invalide",IF(AND(M1287&lt;&gt;"",ISNA(MATCH(M1287,tech_name,0))),"Technicien inconnu",IF(AND(I1287="Terminée",S1287&gt;p_today),"Terminée à une date future",IF(AND(I1287="Terminée",V1287=0),"Durée d'intervention manquante",IF(AND(I1287="Terminée",E1287="Préventif",T1287=0,OR(IFERROR(INDEX(pl_trig,MATCH(F1287,pl_num,0))&amp;"","")="Compteur",IFERROR(INDEX(pl_trig,MATCH(F1287,pl_num,0))&amp;"","")="Au premier des deux")),"Compteur manquant (plan au compteur)","OK"))))))))))))))))))</f>
        <v/>
      </c>
      <c r="S1287" s="67">
        <f>IF(AND(ISNUMBER(B1287),N(B1287)&gt;0),INT(B1287),0)</f>
        <v>0.0</v>
      </c>
      <c r="T1287" s="67">
        <f>IF(AND(ISNUMBER(J1287),N(J1287)&gt;=0),N(J1287),0)</f>
        <v>0.0</v>
      </c>
      <c r="U1287" s="67">
        <f>IF(AND(ISNUMBER(K1287),N(K1287)&gt;0),N(K1287),0)</f>
        <v>0.0</v>
      </c>
      <c r="V1287" s="67">
        <f>IF(AND(ISNUMBER(L1287),N(L1287)&gt;0),N(L1287),0)</f>
        <v>0.0</v>
      </c>
      <c r="W1287" s="67">
        <f>IF(AND(I1287="Terminée",S1287&gt;0,C1287&lt;&gt;"",ISNUMBER(MATCH(C1287,eq_code,0))),1,0)</f>
        <v>0.0</v>
      </c>
      <c r="X1287" s="67">
        <f>IF(AND(W1287=1,E1287="Préventif"),1,0)</f>
        <v>0.0</v>
      </c>
      <c r="Y1287" s="67">
        <f>IF(AND(ISNUMBER(N1287),N(N1287)&gt;0),N(N1287),0)</f>
        <v>0.0</v>
      </c>
      <c r="Z1287" s="67">
        <f>IF(AND(ISNUMBER(P1287),N(P1287)&gt;0),N(P1287),0)</f>
        <v>0.0</v>
      </c>
    </row>
    <row r="1288">
      <c r="A1288" s="79" t="str">
        <f>IF(COUNTA(B1288:C1288,E1288:G1288,I1288)=0,"","BI-"&amp;RIGHT("0000"&amp;(ROW()-5),4))</f>
        <v/>
      </c>
      <c r="B1288" s="72" t="n"/>
      <c r="C1288" s="66" t="n"/>
      <c r="D1288" s="67" t="str">
        <f>IF(C1288="","",IFERROR(INDEX(eq_des,MATCH(C1288,eq_code,0))&amp;"","Équipement inconnu"))</f>
        <v/>
      </c>
      <c r="E1288" s="68" t="n"/>
      <c r="F1288" s="68" t="n"/>
      <c r="G1288" s="66" t="n"/>
      <c r="H1288" s="66" t="n"/>
      <c r="I1288" s="68" t="n"/>
      <c r="J1288" s="73" t="n"/>
      <c r="K1288" s="71" t="n"/>
      <c r="L1288" s="71" t="n"/>
      <c r="M1288" s="66" t="n"/>
      <c r="N1288" s="80" t="n"/>
      <c r="O1288" s="81" t="str">
        <f>IF(A1288="","",ROUND(V1288*IFERROR(N(INDEX(tech_rate,MATCH(M1288,tech_name,0))),0),2))</f>
        <v/>
      </c>
      <c r="P1288" s="80" t="n"/>
      <c r="Q1288" s="81" t="str">
        <f>IF(A1288="","",ROUND(Y1288+O1288+Z1288,2))</f>
        <v/>
      </c>
      <c r="R1288" s="79" t="str">
        <f>IF(A1288="","",IF(S1288=0,"Date manquante ou invalide",IF(C1288="","Équipement manquant",IF(ISNA(MATCH(C1288,eq_code,0)),"Équipement inconnu",IF(E1288="","Type manquant",IF(AND(E1288&lt;&gt;"Préventif",E1288&lt;&gt;"Correctif",E1288&lt;&gt;"Amélioratif"),"Type inconnu",IF(I1288="","Statut manquant",IF(AND(I1288&lt;&gt;"Terminée",I1288&lt;&gt;"En cours",I1288&lt;&gt;"À faire",I1288&lt;&gt;"Annulée"),"Statut inconnu",IF(AND(E1288="Préventif",F1288=""),"Plan manquant (préventif)",IF(AND(F1288&lt;&gt;"",ISNA(MATCH(F1288,pl_num,0))),"Plan inconnu",IF(AND(F1288&lt;&gt;"",IFERROR(INDEX(pl_eq,MATCH(F1288,pl_num,0))&amp;"",C1288)&lt;&gt;C1288),"Plan d'un autre équipement",IF(AND(J1288&lt;&gt;"",OR(NOT(ISNUMBER(J1288)),N(J1288)&lt;0)),"Compteur invalide",IF(OR(AND(K1288&lt;&gt;"",OR(NOT(ISNUMBER(K1288)),N(K1288)&lt;0)),AND(L1288&lt;&gt;"",OR(NOT(ISNUMBER(L1288)),N(L1288)&lt;0))),"Durée invalide",IF(OR(AND(N1288&lt;&gt;"",OR(NOT(ISNUMBER(N1288)),N(N1288)&lt;0)),AND(P1288&lt;&gt;"",OR(NOT(ISNUMBER(P1288)),N(P1288)&lt;0))),"Coût invalide",IF(AND(M1288&lt;&gt;"",ISNA(MATCH(M1288,tech_name,0))),"Technicien inconnu",IF(AND(I1288="Terminée",S1288&gt;p_today),"Terminée à une date future",IF(AND(I1288="Terminée",V1288=0),"Durée d'intervention manquante",IF(AND(I1288="Terminée",E1288="Préventif",T1288=0,OR(IFERROR(INDEX(pl_trig,MATCH(F1288,pl_num,0))&amp;"","")="Compteur",IFERROR(INDEX(pl_trig,MATCH(F1288,pl_num,0))&amp;"","")="Au premier des deux")),"Compteur manquant (plan au compteur)","OK"))))))))))))))))))</f>
        <v/>
      </c>
      <c r="S1288" s="67">
        <f>IF(AND(ISNUMBER(B1288),N(B1288)&gt;0),INT(B1288),0)</f>
        <v>0.0</v>
      </c>
      <c r="T1288" s="67">
        <f>IF(AND(ISNUMBER(J1288),N(J1288)&gt;=0),N(J1288),0)</f>
        <v>0.0</v>
      </c>
      <c r="U1288" s="67">
        <f>IF(AND(ISNUMBER(K1288),N(K1288)&gt;0),N(K1288),0)</f>
        <v>0.0</v>
      </c>
      <c r="V1288" s="67">
        <f>IF(AND(ISNUMBER(L1288),N(L1288)&gt;0),N(L1288),0)</f>
        <v>0.0</v>
      </c>
      <c r="W1288" s="67">
        <f>IF(AND(I1288="Terminée",S1288&gt;0,C1288&lt;&gt;"",ISNUMBER(MATCH(C1288,eq_code,0))),1,0)</f>
        <v>0.0</v>
      </c>
      <c r="X1288" s="67">
        <f>IF(AND(W1288=1,E1288="Préventif"),1,0)</f>
        <v>0.0</v>
      </c>
      <c r="Y1288" s="67">
        <f>IF(AND(ISNUMBER(N1288),N(N1288)&gt;0),N(N1288),0)</f>
        <v>0.0</v>
      </c>
      <c r="Z1288" s="67">
        <f>IF(AND(ISNUMBER(P1288),N(P1288)&gt;0),N(P1288),0)</f>
        <v>0.0</v>
      </c>
    </row>
    <row r="1289">
      <c r="A1289" s="79" t="str">
        <f>IF(COUNTA(B1289:C1289,E1289:G1289,I1289)=0,"","BI-"&amp;RIGHT("0000"&amp;(ROW()-5),4))</f>
        <v/>
      </c>
      <c r="B1289" s="72" t="n"/>
      <c r="C1289" s="66" t="n"/>
      <c r="D1289" s="67" t="str">
        <f>IF(C1289="","",IFERROR(INDEX(eq_des,MATCH(C1289,eq_code,0))&amp;"","Équipement inconnu"))</f>
        <v/>
      </c>
      <c r="E1289" s="68" t="n"/>
      <c r="F1289" s="68" t="n"/>
      <c r="G1289" s="66" t="n"/>
      <c r="H1289" s="66" t="n"/>
      <c r="I1289" s="68" t="n"/>
      <c r="J1289" s="73" t="n"/>
      <c r="K1289" s="71" t="n"/>
      <c r="L1289" s="71" t="n"/>
      <c r="M1289" s="66" t="n"/>
      <c r="N1289" s="80" t="n"/>
      <c r="O1289" s="81" t="str">
        <f>IF(A1289="","",ROUND(V1289*IFERROR(N(INDEX(tech_rate,MATCH(M1289,tech_name,0))),0),2))</f>
        <v/>
      </c>
      <c r="P1289" s="80" t="n"/>
      <c r="Q1289" s="81" t="str">
        <f>IF(A1289="","",ROUND(Y1289+O1289+Z1289,2))</f>
        <v/>
      </c>
      <c r="R1289" s="79" t="str">
        <f>IF(A1289="","",IF(S1289=0,"Date manquante ou invalide",IF(C1289="","Équipement manquant",IF(ISNA(MATCH(C1289,eq_code,0)),"Équipement inconnu",IF(E1289="","Type manquant",IF(AND(E1289&lt;&gt;"Préventif",E1289&lt;&gt;"Correctif",E1289&lt;&gt;"Amélioratif"),"Type inconnu",IF(I1289="","Statut manquant",IF(AND(I1289&lt;&gt;"Terminée",I1289&lt;&gt;"En cours",I1289&lt;&gt;"À faire",I1289&lt;&gt;"Annulée"),"Statut inconnu",IF(AND(E1289="Préventif",F1289=""),"Plan manquant (préventif)",IF(AND(F1289&lt;&gt;"",ISNA(MATCH(F1289,pl_num,0))),"Plan inconnu",IF(AND(F1289&lt;&gt;"",IFERROR(INDEX(pl_eq,MATCH(F1289,pl_num,0))&amp;"",C1289)&lt;&gt;C1289),"Plan d'un autre équipement",IF(AND(J1289&lt;&gt;"",OR(NOT(ISNUMBER(J1289)),N(J1289)&lt;0)),"Compteur invalide",IF(OR(AND(K1289&lt;&gt;"",OR(NOT(ISNUMBER(K1289)),N(K1289)&lt;0)),AND(L1289&lt;&gt;"",OR(NOT(ISNUMBER(L1289)),N(L1289)&lt;0))),"Durée invalide",IF(OR(AND(N1289&lt;&gt;"",OR(NOT(ISNUMBER(N1289)),N(N1289)&lt;0)),AND(P1289&lt;&gt;"",OR(NOT(ISNUMBER(P1289)),N(P1289)&lt;0))),"Coût invalide",IF(AND(M1289&lt;&gt;"",ISNA(MATCH(M1289,tech_name,0))),"Technicien inconnu",IF(AND(I1289="Terminée",S1289&gt;p_today),"Terminée à une date future",IF(AND(I1289="Terminée",V1289=0),"Durée d'intervention manquante",IF(AND(I1289="Terminée",E1289="Préventif",T1289=0,OR(IFERROR(INDEX(pl_trig,MATCH(F1289,pl_num,0))&amp;"","")="Compteur",IFERROR(INDEX(pl_trig,MATCH(F1289,pl_num,0))&amp;"","")="Au premier des deux")),"Compteur manquant (plan au compteur)","OK"))))))))))))))))))</f>
        <v/>
      </c>
      <c r="S1289" s="67">
        <f>IF(AND(ISNUMBER(B1289),N(B1289)&gt;0),INT(B1289),0)</f>
        <v>0.0</v>
      </c>
      <c r="T1289" s="67">
        <f>IF(AND(ISNUMBER(J1289),N(J1289)&gt;=0),N(J1289),0)</f>
        <v>0.0</v>
      </c>
      <c r="U1289" s="67">
        <f>IF(AND(ISNUMBER(K1289),N(K1289)&gt;0),N(K1289),0)</f>
        <v>0.0</v>
      </c>
      <c r="V1289" s="67">
        <f>IF(AND(ISNUMBER(L1289),N(L1289)&gt;0),N(L1289),0)</f>
        <v>0.0</v>
      </c>
      <c r="W1289" s="67">
        <f>IF(AND(I1289="Terminée",S1289&gt;0,C1289&lt;&gt;"",ISNUMBER(MATCH(C1289,eq_code,0))),1,0)</f>
        <v>0.0</v>
      </c>
      <c r="X1289" s="67">
        <f>IF(AND(W1289=1,E1289="Préventif"),1,0)</f>
        <v>0.0</v>
      </c>
      <c r="Y1289" s="67">
        <f>IF(AND(ISNUMBER(N1289),N(N1289)&gt;0),N(N1289),0)</f>
        <v>0.0</v>
      </c>
      <c r="Z1289" s="67">
        <f>IF(AND(ISNUMBER(P1289),N(P1289)&gt;0),N(P1289),0)</f>
        <v>0.0</v>
      </c>
    </row>
    <row r="1290">
      <c r="A1290" s="79" t="str">
        <f>IF(COUNTA(B1290:C1290,E1290:G1290,I1290)=0,"","BI-"&amp;RIGHT("0000"&amp;(ROW()-5),4))</f>
        <v/>
      </c>
      <c r="B1290" s="72" t="n"/>
      <c r="C1290" s="66" t="n"/>
      <c r="D1290" s="67" t="str">
        <f>IF(C1290="","",IFERROR(INDEX(eq_des,MATCH(C1290,eq_code,0))&amp;"","Équipement inconnu"))</f>
        <v/>
      </c>
      <c r="E1290" s="68" t="n"/>
      <c r="F1290" s="68" t="n"/>
      <c r="G1290" s="66" t="n"/>
      <c r="H1290" s="66" t="n"/>
      <c r="I1290" s="68" t="n"/>
      <c r="J1290" s="73" t="n"/>
      <c r="K1290" s="71" t="n"/>
      <c r="L1290" s="71" t="n"/>
      <c r="M1290" s="66" t="n"/>
      <c r="N1290" s="80" t="n"/>
      <c r="O1290" s="81" t="str">
        <f>IF(A1290="","",ROUND(V1290*IFERROR(N(INDEX(tech_rate,MATCH(M1290,tech_name,0))),0),2))</f>
        <v/>
      </c>
      <c r="P1290" s="80" t="n"/>
      <c r="Q1290" s="81" t="str">
        <f>IF(A1290="","",ROUND(Y1290+O1290+Z1290,2))</f>
        <v/>
      </c>
      <c r="R1290" s="79" t="str">
        <f>IF(A1290="","",IF(S1290=0,"Date manquante ou invalide",IF(C1290="","Équipement manquant",IF(ISNA(MATCH(C1290,eq_code,0)),"Équipement inconnu",IF(E1290="","Type manquant",IF(AND(E1290&lt;&gt;"Préventif",E1290&lt;&gt;"Correctif",E1290&lt;&gt;"Amélioratif"),"Type inconnu",IF(I1290="","Statut manquant",IF(AND(I1290&lt;&gt;"Terminée",I1290&lt;&gt;"En cours",I1290&lt;&gt;"À faire",I1290&lt;&gt;"Annulée"),"Statut inconnu",IF(AND(E1290="Préventif",F1290=""),"Plan manquant (préventif)",IF(AND(F1290&lt;&gt;"",ISNA(MATCH(F1290,pl_num,0))),"Plan inconnu",IF(AND(F1290&lt;&gt;"",IFERROR(INDEX(pl_eq,MATCH(F1290,pl_num,0))&amp;"",C1290)&lt;&gt;C1290),"Plan d'un autre équipement",IF(AND(J1290&lt;&gt;"",OR(NOT(ISNUMBER(J1290)),N(J1290)&lt;0)),"Compteur invalide",IF(OR(AND(K1290&lt;&gt;"",OR(NOT(ISNUMBER(K1290)),N(K1290)&lt;0)),AND(L1290&lt;&gt;"",OR(NOT(ISNUMBER(L1290)),N(L1290)&lt;0))),"Durée invalide",IF(OR(AND(N1290&lt;&gt;"",OR(NOT(ISNUMBER(N1290)),N(N1290)&lt;0)),AND(P1290&lt;&gt;"",OR(NOT(ISNUMBER(P1290)),N(P1290)&lt;0))),"Coût invalide",IF(AND(M1290&lt;&gt;"",ISNA(MATCH(M1290,tech_name,0))),"Technicien inconnu",IF(AND(I1290="Terminée",S1290&gt;p_today),"Terminée à une date future",IF(AND(I1290="Terminée",V1290=0),"Durée d'intervention manquante",IF(AND(I1290="Terminée",E1290="Préventif",T1290=0,OR(IFERROR(INDEX(pl_trig,MATCH(F1290,pl_num,0))&amp;"","")="Compteur",IFERROR(INDEX(pl_trig,MATCH(F1290,pl_num,0))&amp;"","")="Au premier des deux")),"Compteur manquant (plan au compteur)","OK"))))))))))))))))))</f>
        <v/>
      </c>
      <c r="S1290" s="67">
        <f>IF(AND(ISNUMBER(B1290),N(B1290)&gt;0),INT(B1290),0)</f>
        <v>0.0</v>
      </c>
      <c r="T1290" s="67">
        <f>IF(AND(ISNUMBER(J1290),N(J1290)&gt;=0),N(J1290),0)</f>
        <v>0.0</v>
      </c>
      <c r="U1290" s="67">
        <f>IF(AND(ISNUMBER(K1290),N(K1290)&gt;0),N(K1290),0)</f>
        <v>0.0</v>
      </c>
      <c r="V1290" s="67">
        <f>IF(AND(ISNUMBER(L1290),N(L1290)&gt;0),N(L1290),0)</f>
        <v>0.0</v>
      </c>
      <c r="W1290" s="67">
        <f>IF(AND(I1290="Terminée",S1290&gt;0,C1290&lt;&gt;"",ISNUMBER(MATCH(C1290,eq_code,0))),1,0)</f>
        <v>0.0</v>
      </c>
      <c r="X1290" s="67">
        <f>IF(AND(W1290=1,E1290="Préventif"),1,0)</f>
        <v>0.0</v>
      </c>
      <c r="Y1290" s="67">
        <f>IF(AND(ISNUMBER(N1290),N(N1290)&gt;0),N(N1290),0)</f>
        <v>0.0</v>
      </c>
      <c r="Z1290" s="67">
        <f>IF(AND(ISNUMBER(P1290),N(P1290)&gt;0),N(P1290),0)</f>
        <v>0.0</v>
      </c>
    </row>
    <row r="1291">
      <c r="A1291" s="79" t="str">
        <f>IF(COUNTA(B1291:C1291,E1291:G1291,I1291)=0,"","BI-"&amp;RIGHT("0000"&amp;(ROW()-5),4))</f>
        <v/>
      </c>
      <c r="B1291" s="72" t="n"/>
      <c r="C1291" s="66" t="n"/>
      <c r="D1291" s="67" t="str">
        <f>IF(C1291="","",IFERROR(INDEX(eq_des,MATCH(C1291,eq_code,0))&amp;"","Équipement inconnu"))</f>
        <v/>
      </c>
      <c r="E1291" s="68" t="n"/>
      <c r="F1291" s="68" t="n"/>
      <c r="G1291" s="66" t="n"/>
      <c r="H1291" s="66" t="n"/>
      <c r="I1291" s="68" t="n"/>
      <c r="J1291" s="73" t="n"/>
      <c r="K1291" s="71" t="n"/>
      <c r="L1291" s="71" t="n"/>
      <c r="M1291" s="66" t="n"/>
      <c r="N1291" s="80" t="n"/>
      <c r="O1291" s="81" t="str">
        <f>IF(A1291="","",ROUND(V1291*IFERROR(N(INDEX(tech_rate,MATCH(M1291,tech_name,0))),0),2))</f>
        <v/>
      </c>
      <c r="P1291" s="80" t="n"/>
      <c r="Q1291" s="81" t="str">
        <f>IF(A1291="","",ROUND(Y1291+O1291+Z1291,2))</f>
        <v/>
      </c>
      <c r="R1291" s="79" t="str">
        <f>IF(A1291="","",IF(S1291=0,"Date manquante ou invalide",IF(C1291="","Équipement manquant",IF(ISNA(MATCH(C1291,eq_code,0)),"Équipement inconnu",IF(E1291="","Type manquant",IF(AND(E1291&lt;&gt;"Préventif",E1291&lt;&gt;"Correctif",E1291&lt;&gt;"Amélioratif"),"Type inconnu",IF(I1291="","Statut manquant",IF(AND(I1291&lt;&gt;"Terminée",I1291&lt;&gt;"En cours",I1291&lt;&gt;"À faire",I1291&lt;&gt;"Annulée"),"Statut inconnu",IF(AND(E1291="Préventif",F1291=""),"Plan manquant (préventif)",IF(AND(F1291&lt;&gt;"",ISNA(MATCH(F1291,pl_num,0))),"Plan inconnu",IF(AND(F1291&lt;&gt;"",IFERROR(INDEX(pl_eq,MATCH(F1291,pl_num,0))&amp;"",C1291)&lt;&gt;C1291),"Plan d'un autre équipement",IF(AND(J1291&lt;&gt;"",OR(NOT(ISNUMBER(J1291)),N(J1291)&lt;0)),"Compteur invalide",IF(OR(AND(K1291&lt;&gt;"",OR(NOT(ISNUMBER(K1291)),N(K1291)&lt;0)),AND(L1291&lt;&gt;"",OR(NOT(ISNUMBER(L1291)),N(L1291)&lt;0))),"Durée invalide",IF(OR(AND(N1291&lt;&gt;"",OR(NOT(ISNUMBER(N1291)),N(N1291)&lt;0)),AND(P1291&lt;&gt;"",OR(NOT(ISNUMBER(P1291)),N(P1291)&lt;0))),"Coût invalide",IF(AND(M1291&lt;&gt;"",ISNA(MATCH(M1291,tech_name,0))),"Technicien inconnu",IF(AND(I1291="Terminée",S1291&gt;p_today),"Terminée à une date future",IF(AND(I1291="Terminée",V1291=0),"Durée d'intervention manquante",IF(AND(I1291="Terminée",E1291="Préventif",T1291=0,OR(IFERROR(INDEX(pl_trig,MATCH(F1291,pl_num,0))&amp;"","")="Compteur",IFERROR(INDEX(pl_trig,MATCH(F1291,pl_num,0))&amp;"","")="Au premier des deux")),"Compteur manquant (plan au compteur)","OK"))))))))))))))))))</f>
        <v/>
      </c>
      <c r="S1291" s="67">
        <f>IF(AND(ISNUMBER(B1291),N(B1291)&gt;0),INT(B1291),0)</f>
        <v>0.0</v>
      </c>
      <c r="T1291" s="67">
        <f>IF(AND(ISNUMBER(J1291),N(J1291)&gt;=0),N(J1291),0)</f>
        <v>0.0</v>
      </c>
      <c r="U1291" s="67">
        <f>IF(AND(ISNUMBER(K1291),N(K1291)&gt;0),N(K1291),0)</f>
        <v>0.0</v>
      </c>
      <c r="V1291" s="67">
        <f>IF(AND(ISNUMBER(L1291),N(L1291)&gt;0),N(L1291),0)</f>
        <v>0.0</v>
      </c>
      <c r="W1291" s="67">
        <f>IF(AND(I1291="Terminée",S1291&gt;0,C1291&lt;&gt;"",ISNUMBER(MATCH(C1291,eq_code,0))),1,0)</f>
        <v>0.0</v>
      </c>
      <c r="X1291" s="67">
        <f>IF(AND(W1291=1,E1291="Préventif"),1,0)</f>
        <v>0.0</v>
      </c>
      <c r="Y1291" s="67">
        <f>IF(AND(ISNUMBER(N1291),N(N1291)&gt;0),N(N1291),0)</f>
        <v>0.0</v>
      </c>
      <c r="Z1291" s="67">
        <f>IF(AND(ISNUMBER(P1291),N(P1291)&gt;0),N(P1291),0)</f>
        <v>0.0</v>
      </c>
    </row>
    <row r="1292">
      <c r="A1292" s="79" t="str">
        <f>IF(COUNTA(B1292:C1292,E1292:G1292,I1292)=0,"","BI-"&amp;RIGHT("0000"&amp;(ROW()-5),4))</f>
        <v/>
      </c>
      <c r="B1292" s="72" t="n"/>
      <c r="C1292" s="66" t="n"/>
      <c r="D1292" s="67" t="str">
        <f>IF(C1292="","",IFERROR(INDEX(eq_des,MATCH(C1292,eq_code,0))&amp;"","Équipement inconnu"))</f>
        <v/>
      </c>
      <c r="E1292" s="68" t="n"/>
      <c r="F1292" s="68" t="n"/>
      <c r="G1292" s="66" t="n"/>
      <c r="H1292" s="66" t="n"/>
      <c r="I1292" s="68" t="n"/>
      <c r="J1292" s="73" t="n"/>
      <c r="K1292" s="71" t="n"/>
      <c r="L1292" s="71" t="n"/>
      <c r="M1292" s="66" t="n"/>
      <c r="N1292" s="80" t="n"/>
      <c r="O1292" s="81" t="str">
        <f>IF(A1292="","",ROUND(V1292*IFERROR(N(INDEX(tech_rate,MATCH(M1292,tech_name,0))),0),2))</f>
        <v/>
      </c>
      <c r="P1292" s="80" t="n"/>
      <c r="Q1292" s="81" t="str">
        <f>IF(A1292="","",ROUND(Y1292+O1292+Z1292,2))</f>
        <v/>
      </c>
      <c r="R1292" s="79" t="str">
        <f>IF(A1292="","",IF(S1292=0,"Date manquante ou invalide",IF(C1292="","Équipement manquant",IF(ISNA(MATCH(C1292,eq_code,0)),"Équipement inconnu",IF(E1292="","Type manquant",IF(AND(E1292&lt;&gt;"Préventif",E1292&lt;&gt;"Correctif",E1292&lt;&gt;"Amélioratif"),"Type inconnu",IF(I1292="","Statut manquant",IF(AND(I1292&lt;&gt;"Terminée",I1292&lt;&gt;"En cours",I1292&lt;&gt;"À faire",I1292&lt;&gt;"Annulée"),"Statut inconnu",IF(AND(E1292="Préventif",F1292=""),"Plan manquant (préventif)",IF(AND(F1292&lt;&gt;"",ISNA(MATCH(F1292,pl_num,0))),"Plan inconnu",IF(AND(F1292&lt;&gt;"",IFERROR(INDEX(pl_eq,MATCH(F1292,pl_num,0))&amp;"",C1292)&lt;&gt;C1292),"Plan d'un autre équipement",IF(AND(J1292&lt;&gt;"",OR(NOT(ISNUMBER(J1292)),N(J1292)&lt;0)),"Compteur invalide",IF(OR(AND(K1292&lt;&gt;"",OR(NOT(ISNUMBER(K1292)),N(K1292)&lt;0)),AND(L1292&lt;&gt;"",OR(NOT(ISNUMBER(L1292)),N(L1292)&lt;0))),"Durée invalide",IF(OR(AND(N1292&lt;&gt;"",OR(NOT(ISNUMBER(N1292)),N(N1292)&lt;0)),AND(P1292&lt;&gt;"",OR(NOT(ISNUMBER(P1292)),N(P1292)&lt;0))),"Coût invalide",IF(AND(M1292&lt;&gt;"",ISNA(MATCH(M1292,tech_name,0))),"Technicien inconnu",IF(AND(I1292="Terminée",S1292&gt;p_today),"Terminée à une date future",IF(AND(I1292="Terminée",V1292=0),"Durée d'intervention manquante",IF(AND(I1292="Terminée",E1292="Préventif",T1292=0,OR(IFERROR(INDEX(pl_trig,MATCH(F1292,pl_num,0))&amp;"","")="Compteur",IFERROR(INDEX(pl_trig,MATCH(F1292,pl_num,0))&amp;"","")="Au premier des deux")),"Compteur manquant (plan au compteur)","OK"))))))))))))))))))</f>
        <v/>
      </c>
      <c r="S1292" s="67">
        <f>IF(AND(ISNUMBER(B1292),N(B1292)&gt;0),INT(B1292),0)</f>
        <v>0.0</v>
      </c>
      <c r="T1292" s="67">
        <f>IF(AND(ISNUMBER(J1292),N(J1292)&gt;=0),N(J1292),0)</f>
        <v>0.0</v>
      </c>
      <c r="U1292" s="67">
        <f>IF(AND(ISNUMBER(K1292),N(K1292)&gt;0),N(K1292),0)</f>
        <v>0.0</v>
      </c>
      <c r="V1292" s="67">
        <f>IF(AND(ISNUMBER(L1292),N(L1292)&gt;0),N(L1292),0)</f>
        <v>0.0</v>
      </c>
      <c r="W1292" s="67">
        <f>IF(AND(I1292="Terminée",S1292&gt;0,C1292&lt;&gt;"",ISNUMBER(MATCH(C1292,eq_code,0))),1,0)</f>
        <v>0.0</v>
      </c>
      <c r="X1292" s="67">
        <f>IF(AND(W1292=1,E1292="Préventif"),1,0)</f>
        <v>0.0</v>
      </c>
      <c r="Y1292" s="67">
        <f>IF(AND(ISNUMBER(N1292),N(N1292)&gt;0),N(N1292),0)</f>
        <v>0.0</v>
      </c>
      <c r="Z1292" s="67">
        <f>IF(AND(ISNUMBER(P1292),N(P1292)&gt;0),N(P1292),0)</f>
        <v>0.0</v>
      </c>
    </row>
    <row r="1293">
      <c r="A1293" s="79" t="str">
        <f>IF(COUNTA(B1293:C1293,E1293:G1293,I1293)=0,"","BI-"&amp;RIGHT("0000"&amp;(ROW()-5),4))</f>
        <v/>
      </c>
      <c r="B1293" s="72" t="n"/>
      <c r="C1293" s="66" t="n"/>
      <c r="D1293" s="67" t="str">
        <f>IF(C1293="","",IFERROR(INDEX(eq_des,MATCH(C1293,eq_code,0))&amp;"","Équipement inconnu"))</f>
        <v/>
      </c>
      <c r="E1293" s="68" t="n"/>
      <c r="F1293" s="68" t="n"/>
      <c r="G1293" s="66" t="n"/>
      <c r="H1293" s="66" t="n"/>
      <c r="I1293" s="68" t="n"/>
      <c r="J1293" s="73" t="n"/>
      <c r="K1293" s="71" t="n"/>
      <c r="L1293" s="71" t="n"/>
      <c r="M1293" s="66" t="n"/>
      <c r="N1293" s="80" t="n"/>
      <c r="O1293" s="81" t="str">
        <f>IF(A1293="","",ROUND(V1293*IFERROR(N(INDEX(tech_rate,MATCH(M1293,tech_name,0))),0),2))</f>
        <v/>
      </c>
      <c r="P1293" s="80" t="n"/>
      <c r="Q1293" s="81" t="str">
        <f>IF(A1293="","",ROUND(Y1293+O1293+Z1293,2))</f>
        <v/>
      </c>
      <c r="R1293" s="79" t="str">
        <f>IF(A1293="","",IF(S1293=0,"Date manquante ou invalide",IF(C1293="","Équipement manquant",IF(ISNA(MATCH(C1293,eq_code,0)),"Équipement inconnu",IF(E1293="","Type manquant",IF(AND(E1293&lt;&gt;"Préventif",E1293&lt;&gt;"Correctif",E1293&lt;&gt;"Amélioratif"),"Type inconnu",IF(I1293="","Statut manquant",IF(AND(I1293&lt;&gt;"Terminée",I1293&lt;&gt;"En cours",I1293&lt;&gt;"À faire",I1293&lt;&gt;"Annulée"),"Statut inconnu",IF(AND(E1293="Préventif",F1293=""),"Plan manquant (préventif)",IF(AND(F1293&lt;&gt;"",ISNA(MATCH(F1293,pl_num,0))),"Plan inconnu",IF(AND(F1293&lt;&gt;"",IFERROR(INDEX(pl_eq,MATCH(F1293,pl_num,0))&amp;"",C1293)&lt;&gt;C1293),"Plan d'un autre équipement",IF(AND(J1293&lt;&gt;"",OR(NOT(ISNUMBER(J1293)),N(J1293)&lt;0)),"Compteur invalide",IF(OR(AND(K1293&lt;&gt;"",OR(NOT(ISNUMBER(K1293)),N(K1293)&lt;0)),AND(L1293&lt;&gt;"",OR(NOT(ISNUMBER(L1293)),N(L1293)&lt;0))),"Durée invalide",IF(OR(AND(N1293&lt;&gt;"",OR(NOT(ISNUMBER(N1293)),N(N1293)&lt;0)),AND(P1293&lt;&gt;"",OR(NOT(ISNUMBER(P1293)),N(P1293)&lt;0))),"Coût invalide",IF(AND(M1293&lt;&gt;"",ISNA(MATCH(M1293,tech_name,0))),"Technicien inconnu",IF(AND(I1293="Terminée",S1293&gt;p_today),"Terminée à une date future",IF(AND(I1293="Terminée",V1293=0),"Durée d'intervention manquante",IF(AND(I1293="Terminée",E1293="Préventif",T1293=0,OR(IFERROR(INDEX(pl_trig,MATCH(F1293,pl_num,0))&amp;"","")="Compteur",IFERROR(INDEX(pl_trig,MATCH(F1293,pl_num,0))&amp;"","")="Au premier des deux")),"Compteur manquant (plan au compteur)","OK"))))))))))))))))))</f>
        <v/>
      </c>
      <c r="S1293" s="67">
        <f>IF(AND(ISNUMBER(B1293),N(B1293)&gt;0),INT(B1293),0)</f>
        <v>0.0</v>
      </c>
      <c r="T1293" s="67">
        <f>IF(AND(ISNUMBER(J1293),N(J1293)&gt;=0),N(J1293),0)</f>
        <v>0.0</v>
      </c>
      <c r="U1293" s="67">
        <f>IF(AND(ISNUMBER(K1293),N(K1293)&gt;0),N(K1293),0)</f>
        <v>0.0</v>
      </c>
      <c r="V1293" s="67">
        <f>IF(AND(ISNUMBER(L1293),N(L1293)&gt;0),N(L1293),0)</f>
        <v>0.0</v>
      </c>
      <c r="W1293" s="67">
        <f>IF(AND(I1293="Terminée",S1293&gt;0,C1293&lt;&gt;"",ISNUMBER(MATCH(C1293,eq_code,0))),1,0)</f>
        <v>0.0</v>
      </c>
      <c r="X1293" s="67">
        <f>IF(AND(W1293=1,E1293="Préventif"),1,0)</f>
        <v>0.0</v>
      </c>
      <c r="Y1293" s="67">
        <f>IF(AND(ISNUMBER(N1293),N(N1293)&gt;0),N(N1293),0)</f>
        <v>0.0</v>
      </c>
      <c r="Z1293" s="67">
        <f>IF(AND(ISNUMBER(P1293),N(P1293)&gt;0),N(P1293),0)</f>
        <v>0.0</v>
      </c>
    </row>
    <row r="1294">
      <c r="A1294" s="79" t="str">
        <f>IF(COUNTA(B1294:C1294,E1294:G1294,I1294)=0,"","BI-"&amp;RIGHT("0000"&amp;(ROW()-5),4))</f>
        <v/>
      </c>
      <c r="B1294" s="72" t="n"/>
      <c r="C1294" s="66" t="n"/>
      <c r="D1294" s="67" t="str">
        <f>IF(C1294="","",IFERROR(INDEX(eq_des,MATCH(C1294,eq_code,0))&amp;"","Équipement inconnu"))</f>
        <v/>
      </c>
      <c r="E1294" s="68" t="n"/>
      <c r="F1294" s="68" t="n"/>
      <c r="G1294" s="66" t="n"/>
      <c r="H1294" s="66" t="n"/>
      <c r="I1294" s="68" t="n"/>
      <c r="J1294" s="73" t="n"/>
      <c r="K1294" s="71" t="n"/>
      <c r="L1294" s="71" t="n"/>
      <c r="M1294" s="66" t="n"/>
      <c r="N1294" s="80" t="n"/>
      <c r="O1294" s="81" t="str">
        <f>IF(A1294="","",ROUND(V1294*IFERROR(N(INDEX(tech_rate,MATCH(M1294,tech_name,0))),0),2))</f>
        <v/>
      </c>
      <c r="P1294" s="80" t="n"/>
      <c r="Q1294" s="81" t="str">
        <f>IF(A1294="","",ROUND(Y1294+O1294+Z1294,2))</f>
        <v/>
      </c>
      <c r="R1294" s="79" t="str">
        <f>IF(A1294="","",IF(S1294=0,"Date manquante ou invalide",IF(C1294="","Équipement manquant",IF(ISNA(MATCH(C1294,eq_code,0)),"Équipement inconnu",IF(E1294="","Type manquant",IF(AND(E1294&lt;&gt;"Préventif",E1294&lt;&gt;"Correctif",E1294&lt;&gt;"Amélioratif"),"Type inconnu",IF(I1294="","Statut manquant",IF(AND(I1294&lt;&gt;"Terminée",I1294&lt;&gt;"En cours",I1294&lt;&gt;"À faire",I1294&lt;&gt;"Annulée"),"Statut inconnu",IF(AND(E1294="Préventif",F1294=""),"Plan manquant (préventif)",IF(AND(F1294&lt;&gt;"",ISNA(MATCH(F1294,pl_num,0))),"Plan inconnu",IF(AND(F1294&lt;&gt;"",IFERROR(INDEX(pl_eq,MATCH(F1294,pl_num,0))&amp;"",C1294)&lt;&gt;C1294),"Plan d'un autre équipement",IF(AND(J1294&lt;&gt;"",OR(NOT(ISNUMBER(J1294)),N(J1294)&lt;0)),"Compteur invalide",IF(OR(AND(K1294&lt;&gt;"",OR(NOT(ISNUMBER(K1294)),N(K1294)&lt;0)),AND(L1294&lt;&gt;"",OR(NOT(ISNUMBER(L1294)),N(L1294)&lt;0))),"Durée invalide",IF(OR(AND(N1294&lt;&gt;"",OR(NOT(ISNUMBER(N1294)),N(N1294)&lt;0)),AND(P1294&lt;&gt;"",OR(NOT(ISNUMBER(P1294)),N(P1294)&lt;0))),"Coût invalide",IF(AND(M1294&lt;&gt;"",ISNA(MATCH(M1294,tech_name,0))),"Technicien inconnu",IF(AND(I1294="Terminée",S1294&gt;p_today),"Terminée à une date future",IF(AND(I1294="Terminée",V1294=0),"Durée d'intervention manquante",IF(AND(I1294="Terminée",E1294="Préventif",T1294=0,OR(IFERROR(INDEX(pl_trig,MATCH(F1294,pl_num,0))&amp;"","")="Compteur",IFERROR(INDEX(pl_trig,MATCH(F1294,pl_num,0))&amp;"","")="Au premier des deux")),"Compteur manquant (plan au compteur)","OK"))))))))))))))))))</f>
        <v/>
      </c>
      <c r="S1294" s="67">
        <f>IF(AND(ISNUMBER(B1294),N(B1294)&gt;0),INT(B1294),0)</f>
        <v>0.0</v>
      </c>
      <c r="T1294" s="67">
        <f>IF(AND(ISNUMBER(J1294),N(J1294)&gt;=0),N(J1294),0)</f>
        <v>0.0</v>
      </c>
      <c r="U1294" s="67">
        <f>IF(AND(ISNUMBER(K1294),N(K1294)&gt;0),N(K1294),0)</f>
        <v>0.0</v>
      </c>
      <c r="V1294" s="67">
        <f>IF(AND(ISNUMBER(L1294),N(L1294)&gt;0),N(L1294),0)</f>
        <v>0.0</v>
      </c>
      <c r="W1294" s="67">
        <f>IF(AND(I1294="Terminée",S1294&gt;0,C1294&lt;&gt;"",ISNUMBER(MATCH(C1294,eq_code,0))),1,0)</f>
        <v>0.0</v>
      </c>
      <c r="X1294" s="67">
        <f>IF(AND(W1294=1,E1294="Préventif"),1,0)</f>
        <v>0.0</v>
      </c>
      <c r="Y1294" s="67">
        <f>IF(AND(ISNUMBER(N1294),N(N1294)&gt;0),N(N1294),0)</f>
        <v>0.0</v>
      </c>
      <c r="Z1294" s="67">
        <f>IF(AND(ISNUMBER(P1294),N(P1294)&gt;0),N(P1294),0)</f>
        <v>0.0</v>
      </c>
    </row>
    <row r="1295">
      <c r="A1295" s="79" t="str">
        <f>IF(COUNTA(B1295:C1295,E1295:G1295,I1295)=0,"","BI-"&amp;RIGHT("0000"&amp;(ROW()-5),4))</f>
        <v/>
      </c>
      <c r="B1295" s="72" t="n"/>
      <c r="C1295" s="66" t="n"/>
      <c r="D1295" s="67" t="str">
        <f>IF(C1295="","",IFERROR(INDEX(eq_des,MATCH(C1295,eq_code,0))&amp;"","Équipement inconnu"))</f>
        <v/>
      </c>
      <c r="E1295" s="68" t="n"/>
      <c r="F1295" s="68" t="n"/>
      <c r="G1295" s="66" t="n"/>
      <c r="H1295" s="66" t="n"/>
      <c r="I1295" s="68" t="n"/>
      <c r="J1295" s="73" t="n"/>
      <c r="K1295" s="71" t="n"/>
      <c r="L1295" s="71" t="n"/>
      <c r="M1295" s="66" t="n"/>
      <c r="N1295" s="80" t="n"/>
      <c r="O1295" s="81" t="str">
        <f>IF(A1295="","",ROUND(V1295*IFERROR(N(INDEX(tech_rate,MATCH(M1295,tech_name,0))),0),2))</f>
        <v/>
      </c>
      <c r="P1295" s="80" t="n"/>
      <c r="Q1295" s="81" t="str">
        <f>IF(A1295="","",ROUND(Y1295+O1295+Z1295,2))</f>
        <v/>
      </c>
      <c r="R1295" s="79" t="str">
        <f>IF(A1295="","",IF(S1295=0,"Date manquante ou invalide",IF(C1295="","Équipement manquant",IF(ISNA(MATCH(C1295,eq_code,0)),"Équipement inconnu",IF(E1295="","Type manquant",IF(AND(E1295&lt;&gt;"Préventif",E1295&lt;&gt;"Correctif",E1295&lt;&gt;"Amélioratif"),"Type inconnu",IF(I1295="","Statut manquant",IF(AND(I1295&lt;&gt;"Terminée",I1295&lt;&gt;"En cours",I1295&lt;&gt;"À faire",I1295&lt;&gt;"Annulée"),"Statut inconnu",IF(AND(E1295="Préventif",F1295=""),"Plan manquant (préventif)",IF(AND(F1295&lt;&gt;"",ISNA(MATCH(F1295,pl_num,0))),"Plan inconnu",IF(AND(F1295&lt;&gt;"",IFERROR(INDEX(pl_eq,MATCH(F1295,pl_num,0))&amp;"",C1295)&lt;&gt;C1295),"Plan d'un autre équipement",IF(AND(J1295&lt;&gt;"",OR(NOT(ISNUMBER(J1295)),N(J1295)&lt;0)),"Compteur invalide",IF(OR(AND(K1295&lt;&gt;"",OR(NOT(ISNUMBER(K1295)),N(K1295)&lt;0)),AND(L1295&lt;&gt;"",OR(NOT(ISNUMBER(L1295)),N(L1295)&lt;0))),"Durée invalide",IF(OR(AND(N1295&lt;&gt;"",OR(NOT(ISNUMBER(N1295)),N(N1295)&lt;0)),AND(P1295&lt;&gt;"",OR(NOT(ISNUMBER(P1295)),N(P1295)&lt;0))),"Coût invalide",IF(AND(M1295&lt;&gt;"",ISNA(MATCH(M1295,tech_name,0))),"Technicien inconnu",IF(AND(I1295="Terminée",S1295&gt;p_today),"Terminée à une date future",IF(AND(I1295="Terminée",V1295=0),"Durée d'intervention manquante",IF(AND(I1295="Terminée",E1295="Préventif",T1295=0,OR(IFERROR(INDEX(pl_trig,MATCH(F1295,pl_num,0))&amp;"","")="Compteur",IFERROR(INDEX(pl_trig,MATCH(F1295,pl_num,0))&amp;"","")="Au premier des deux")),"Compteur manquant (plan au compteur)","OK"))))))))))))))))))</f>
        <v/>
      </c>
      <c r="S1295" s="67">
        <f>IF(AND(ISNUMBER(B1295),N(B1295)&gt;0),INT(B1295),0)</f>
        <v>0.0</v>
      </c>
      <c r="T1295" s="67">
        <f>IF(AND(ISNUMBER(J1295),N(J1295)&gt;=0),N(J1295),0)</f>
        <v>0.0</v>
      </c>
      <c r="U1295" s="67">
        <f>IF(AND(ISNUMBER(K1295),N(K1295)&gt;0),N(K1295),0)</f>
        <v>0.0</v>
      </c>
      <c r="V1295" s="67">
        <f>IF(AND(ISNUMBER(L1295),N(L1295)&gt;0),N(L1295),0)</f>
        <v>0.0</v>
      </c>
      <c r="W1295" s="67">
        <f>IF(AND(I1295="Terminée",S1295&gt;0,C1295&lt;&gt;"",ISNUMBER(MATCH(C1295,eq_code,0))),1,0)</f>
        <v>0.0</v>
      </c>
      <c r="X1295" s="67">
        <f>IF(AND(W1295=1,E1295="Préventif"),1,0)</f>
        <v>0.0</v>
      </c>
      <c r="Y1295" s="67">
        <f>IF(AND(ISNUMBER(N1295),N(N1295)&gt;0),N(N1295),0)</f>
        <v>0.0</v>
      </c>
      <c r="Z1295" s="67">
        <f>IF(AND(ISNUMBER(P1295),N(P1295)&gt;0),N(P1295),0)</f>
        <v>0.0</v>
      </c>
    </row>
    <row r="1296">
      <c r="A1296" s="79" t="str">
        <f>IF(COUNTA(B1296:C1296,E1296:G1296,I1296)=0,"","BI-"&amp;RIGHT("0000"&amp;(ROW()-5),4))</f>
        <v/>
      </c>
      <c r="B1296" s="72" t="n"/>
      <c r="C1296" s="66" t="n"/>
      <c r="D1296" s="67" t="str">
        <f>IF(C1296="","",IFERROR(INDEX(eq_des,MATCH(C1296,eq_code,0))&amp;"","Équipement inconnu"))</f>
        <v/>
      </c>
      <c r="E1296" s="68" t="n"/>
      <c r="F1296" s="68" t="n"/>
      <c r="G1296" s="66" t="n"/>
      <c r="H1296" s="66" t="n"/>
      <c r="I1296" s="68" t="n"/>
      <c r="J1296" s="73" t="n"/>
      <c r="K1296" s="71" t="n"/>
      <c r="L1296" s="71" t="n"/>
      <c r="M1296" s="66" t="n"/>
      <c r="N1296" s="80" t="n"/>
      <c r="O1296" s="81" t="str">
        <f>IF(A1296="","",ROUND(V1296*IFERROR(N(INDEX(tech_rate,MATCH(M1296,tech_name,0))),0),2))</f>
        <v/>
      </c>
      <c r="P1296" s="80" t="n"/>
      <c r="Q1296" s="81" t="str">
        <f>IF(A1296="","",ROUND(Y1296+O1296+Z1296,2))</f>
        <v/>
      </c>
      <c r="R1296" s="79" t="str">
        <f>IF(A1296="","",IF(S1296=0,"Date manquante ou invalide",IF(C1296="","Équipement manquant",IF(ISNA(MATCH(C1296,eq_code,0)),"Équipement inconnu",IF(E1296="","Type manquant",IF(AND(E1296&lt;&gt;"Préventif",E1296&lt;&gt;"Correctif",E1296&lt;&gt;"Amélioratif"),"Type inconnu",IF(I1296="","Statut manquant",IF(AND(I1296&lt;&gt;"Terminée",I1296&lt;&gt;"En cours",I1296&lt;&gt;"À faire",I1296&lt;&gt;"Annulée"),"Statut inconnu",IF(AND(E1296="Préventif",F1296=""),"Plan manquant (préventif)",IF(AND(F1296&lt;&gt;"",ISNA(MATCH(F1296,pl_num,0))),"Plan inconnu",IF(AND(F1296&lt;&gt;"",IFERROR(INDEX(pl_eq,MATCH(F1296,pl_num,0))&amp;"",C1296)&lt;&gt;C1296),"Plan d'un autre équipement",IF(AND(J1296&lt;&gt;"",OR(NOT(ISNUMBER(J1296)),N(J1296)&lt;0)),"Compteur invalide",IF(OR(AND(K1296&lt;&gt;"",OR(NOT(ISNUMBER(K1296)),N(K1296)&lt;0)),AND(L1296&lt;&gt;"",OR(NOT(ISNUMBER(L1296)),N(L1296)&lt;0))),"Durée invalide",IF(OR(AND(N1296&lt;&gt;"",OR(NOT(ISNUMBER(N1296)),N(N1296)&lt;0)),AND(P1296&lt;&gt;"",OR(NOT(ISNUMBER(P1296)),N(P1296)&lt;0))),"Coût invalide",IF(AND(M1296&lt;&gt;"",ISNA(MATCH(M1296,tech_name,0))),"Technicien inconnu",IF(AND(I1296="Terminée",S1296&gt;p_today),"Terminée à une date future",IF(AND(I1296="Terminée",V1296=0),"Durée d'intervention manquante",IF(AND(I1296="Terminée",E1296="Préventif",T1296=0,OR(IFERROR(INDEX(pl_trig,MATCH(F1296,pl_num,0))&amp;"","")="Compteur",IFERROR(INDEX(pl_trig,MATCH(F1296,pl_num,0))&amp;"","")="Au premier des deux")),"Compteur manquant (plan au compteur)","OK"))))))))))))))))))</f>
        <v/>
      </c>
      <c r="S1296" s="67">
        <f>IF(AND(ISNUMBER(B1296),N(B1296)&gt;0),INT(B1296),0)</f>
        <v>0.0</v>
      </c>
      <c r="T1296" s="67">
        <f>IF(AND(ISNUMBER(J1296),N(J1296)&gt;=0),N(J1296),0)</f>
        <v>0.0</v>
      </c>
      <c r="U1296" s="67">
        <f>IF(AND(ISNUMBER(K1296),N(K1296)&gt;0),N(K1296),0)</f>
        <v>0.0</v>
      </c>
      <c r="V1296" s="67">
        <f>IF(AND(ISNUMBER(L1296),N(L1296)&gt;0),N(L1296),0)</f>
        <v>0.0</v>
      </c>
      <c r="W1296" s="67">
        <f>IF(AND(I1296="Terminée",S1296&gt;0,C1296&lt;&gt;"",ISNUMBER(MATCH(C1296,eq_code,0))),1,0)</f>
        <v>0.0</v>
      </c>
      <c r="X1296" s="67">
        <f>IF(AND(W1296=1,E1296="Préventif"),1,0)</f>
        <v>0.0</v>
      </c>
      <c r="Y1296" s="67">
        <f>IF(AND(ISNUMBER(N1296),N(N1296)&gt;0),N(N1296),0)</f>
        <v>0.0</v>
      </c>
      <c r="Z1296" s="67">
        <f>IF(AND(ISNUMBER(P1296),N(P1296)&gt;0),N(P1296),0)</f>
        <v>0.0</v>
      </c>
    </row>
    <row r="1297">
      <c r="A1297" s="79" t="str">
        <f>IF(COUNTA(B1297:C1297,E1297:G1297,I1297)=0,"","BI-"&amp;RIGHT("0000"&amp;(ROW()-5),4))</f>
        <v/>
      </c>
      <c r="B1297" s="72" t="n"/>
      <c r="C1297" s="66" t="n"/>
      <c r="D1297" s="67" t="str">
        <f>IF(C1297="","",IFERROR(INDEX(eq_des,MATCH(C1297,eq_code,0))&amp;"","Équipement inconnu"))</f>
        <v/>
      </c>
      <c r="E1297" s="68" t="n"/>
      <c r="F1297" s="68" t="n"/>
      <c r="G1297" s="66" t="n"/>
      <c r="H1297" s="66" t="n"/>
      <c r="I1297" s="68" t="n"/>
      <c r="J1297" s="73" t="n"/>
      <c r="K1297" s="71" t="n"/>
      <c r="L1297" s="71" t="n"/>
      <c r="M1297" s="66" t="n"/>
      <c r="N1297" s="80" t="n"/>
      <c r="O1297" s="81" t="str">
        <f>IF(A1297="","",ROUND(V1297*IFERROR(N(INDEX(tech_rate,MATCH(M1297,tech_name,0))),0),2))</f>
        <v/>
      </c>
      <c r="P1297" s="80" t="n"/>
      <c r="Q1297" s="81" t="str">
        <f>IF(A1297="","",ROUND(Y1297+O1297+Z1297,2))</f>
        <v/>
      </c>
      <c r="R1297" s="79" t="str">
        <f>IF(A1297="","",IF(S1297=0,"Date manquante ou invalide",IF(C1297="","Équipement manquant",IF(ISNA(MATCH(C1297,eq_code,0)),"Équipement inconnu",IF(E1297="","Type manquant",IF(AND(E1297&lt;&gt;"Préventif",E1297&lt;&gt;"Correctif",E1297&lt;&gt;"Amélioratif"),"Type inconnu",IF(I1297="","Statut manquant",IF(AND(I1297&lt;&gt;"Terminée",I1297&lt;&gt;"En cours",I1297&lt;&gt;"À faire",I1297&lt;&gt;"Annulée"),"Statut inconnu",IF(AND(E1297="Préventif",F1297=""),"Plan manquant (préventif)",IF(AND(F1297&lt;&gt;"",ISNA(MATCH(F1297,pl_num,0))),"Plan inconnu",IF(AND(F1297&lt;&gt;"",IFERROR(INDEX(pl_eq,MATCH(F1297,pl_num,0))&amp;"",C1297)&lt;&gt;C1297),"Plan d'un autre équipement",IF(AND(J1297&lt;&gt;"",OR(NOT(ISNUMBER(J1297)),N(J1297)&lt;0)),"Compteur invalide",IF(OR(AND(K1297&lt;&gt;"",OR(NOT(ISNUMBER(K1297)),N(K1297)&lt;0)),AND(L1297&lt;&gt;"",OR(NOT(ISNUMBER(L1297)),N(L1297)&lt;0))),"Durée invalide",IF(OR(AND(N1297&lt;&gt;"",OR(NOT(ISNUMBER(N1297)),N(N1297)&lt;0)),AND(P1297&lt;&gt;"",OR(NOT(ISNUMBER(P1297)),N(P1297)&lt;0))),"Coût invalide",IF(AND(M1297&lt;&gt;"",ISNA(MATCH(M1297,tech_name,0))),"Technicien inconnu",IF(AND(I1297="Terminée",S1297&gt;p_today),"Terminée à une date future",IF(AND(I1297="Terminée",V1297=0),"Durée d'intervention manquante",IF(AND(I1297="Terminée",E1297="Préventif",T1297=0,OR(IFERROR(INDEX(pl_trig,MATCH(F1297,pl_num,0))&amp;"","")="Compteur",IFERROR(INDEX(pl_trig,MATCH(F1297,pl_num,0))&amp;"","")="Au premier des deux")),"Compteur manquant (plan au compteur)","OK"))))))))))))))))))</f>
        <v/>
      </c>
      <c r="S1297" s="67">
        <f>IF(AND(ISNUMBER(B1297),N(B1297)&gt;0),INT(B1297),0)</f>
        <v>0.0</v>
      </c>
      <c r="T1297" s="67">
        <f>IF(AND(ISNUMBER(J1297),N(J1297)&gt;=0),N(J1297),0)</f>
        <v>0.0</v>
      </c>
      <c r="U1297" s="67">
        <f>IF(AND(ISNUMBER(K1297),N(K1297)&gt;0),N(K1297),0)</f>
        <v>0.0</v>
      </c>
      <c r="V1297" s="67">
        <f>IF(AND(ISNUMBER(L1297),N(L1297)&gt;0),N(L1297),0)</f>
        <v>0.0</v>
      </c>
      <c r="W1297" s="67">
        <f>IF(AND(I1297="Terminée",S1297&gt;0,C1297&lt;&gt;"",ISNUMBER(MATCH(C1297,eq_code,0))),1,0)</f>
        <v>0.0</v>
      </c>
      <c r="X1297" s="67">
        <f>IF(AND(W1297=1,E1297="Préventif"),1,0)</f>
        <v>0.0</v>
      </c>
      <c r="Y1297" s="67">
        <f>IF(AND(ISNUMBER(N1297),N(N1297)&gt;0),N(N1297),0)</f>
        <v>0.0</v>
      </c>
      <c r="Z1297" s="67">
        <f>IF(AND(ISNUMBER(P1297),N(P1297)&gt;0),N(P1297),0)</f>
        <v>0.0</v>
      </c>
    </row>
    <row r="1298">
      <c r="A1298" s="79" t="str">
        <f>IF(COUNTA(B1298:C1298,E1298:G1298,I1298)=0,"","BI-"&amp;RIGHT("0000"&amp;(ROW()-5),4))</f>
        <v/>
      </c>
      <c r="B1298" s="72" t="n"/>
      <c r="C1298" s="66" t="n"/>
      <c r="D1298" s="67" t="str">
        <f>IF(C1298="","",IFERROR(INDEX(eq_des,MATCH(C1298,eq_code,0))&amp;"","Équipement inconnu"))</f>
        <v/>
      </c>
      <c r="E1298" s="68" t="n"/>
      <c r="F1298" s="68" t="n"/>
      <c r="G1298" s="66" t="n"/>
      <c r="H1298" s="66" t="n"/>
      <c r="I1298" s="68" t="n"/>
      <c r="J1298" s="73" t="n"/>
      <c r="K1298" s="71" t="n"/>
      <c r="L1298" s="71" t="n"/>
      <c r="M1298" s="66" t="n"/>
      <c r="N1298" s="80" t="n"/>
      <c r="O1298" s="81" t="str">
        <f>IF(A1298="","",ROUND(V1298*IFERROR(N(INDEX(tech_rate,MATCH(M1298,tech_name,0))),0),2))</f>
        <v/>
      </c>
      <c r="P1298" s="80" t="n"/>
      <c r="Q1298" s="81" t="str">
        <f>IF(A1298="","",ROUND(Y1298+O1298+Z1298,2))</f>
        <v/>
      </c>
      <c r="R1298" s="79" t="str">
        <f>IF(A1298="","",IF(S1298=0,"Date manquante ou invalide",IF(C1298="","Équipement manquant",IF(ISNA(MATCH(C1298,eq_code,0)),"Équipement inconnu",IF(E1298="","Type manquant",IF(AND(E1298&lt;&gt;"Préventif",E1298&lt;&gt;"Correctif",E1298&lt;&gt;"Amélioratif"),"Type inconnu",IF(I1298="","Statut manquant",IF(AND(I1298&lt;&gt;"Terminée",I1298&lt;&gt;"En cours",I1298&lt;&gt;"À faire",I1298&lt;&gt;"Annulée"),"Statut inconnu",IF(AND(E1298="Préventif",F1298=""),"Plan manquant (préventif)",IF(AND(F1298&lt;&gt;"",ISNA(MATCH(F1298,pl_num,0))),"Plan inconnu",IF(AND(F1298&lt;&gt;"",IFERROR(INDEX(pl_eq,MATCH(F1298,pl_num,0))&amp;"",C1298)&lt;&gt;C1298),"Plan d'un autre équipement",IF(AND(J1298&lt;&gt;"",OR(NOT(ISNUMBER(J1298)),N(J1298)&lt;0)),"Compteur invalide",IF(OR(AND(K1298&lt;&gt;"",OR(NOT(ISNUMBER(K1298)),N(K1298)&lt;0)),AND(L1298&lt;&gt;"",OR(NOT(ISNUMBER(L1298)),N(L1298)&lt;0))),"Durée invalide",IF(OR(AND(N1298&lt;&gt;"",OR(NOT(ISNUMBER(N1298)),N(N1298)&lt;0)),AND(P1298&lt;&gt;"",OR(NOT(ISNUMBER(P1298)),N(P1298)&lt;0))),"Coût invalide",IF(AND(M1298&lt;&gt;"",ISNA(MATCH(M1298,tech_name,0))),"Technicien inconnu",IF(AND(I1298="Terminée",S1298&gt;p_today),"Terminée à une date future",IF(AND(I1298="Terminée",V1298=0),"Durée d'intervention manquante",IF(AND(I1298="Terminée",E1298="Préventif",T1298=0,OR(IFERROR(INDEX(pl_trig,MATCH(F1298,pl_num,0))&amp;"","")="Compteur",IFERROR(INDEX(pl_trig,MATCH(F1298,pl_num,0))&amp;"","")="Au premier des deux")),"Compteur manquant (plan au compteur)","OK"))))))))))))))))))</f>
        <v/>
      </c>
      <c r="S1298" s="67">
        <f>IF(AND(ISNUMBER(B1298),N(B1298)&gt;0),INT(B1298),0)</f>
        <v>0.0</v>
      </c>
      <c r="T1298" s="67">
        <f>IF(AND(ISNUMBER(J1298),N(J1298)&gt;=0),N(J1298),0)</f>
        <v>0.0</v>
      </c>
      <c r="U1298" s="67">
        <f>IF(AND(ISNUMBER(K1298),N(K1298)&gt;0),N(K1298),0)</f>
        <v>0.0</v>
      </c>
      <c r="V1298" s="67">
        <f>IF(AND(ISNUMBER(L1298),N(L1298)&gt;0),N(L1298),0)</f>
        <v>0.0</v>
      </c>
      <c r="W1298" s="67">
        <f>IF(AND(I1298="Terminée",S1298&gt;0,C1298&lt;&gt;"",ISNUMBER(MATCH(C1298,eq_code,0))),1,0)</f>
        <v>0.0</v>
      </c>
      <c r="X1298" s="67">
        <f>IF(AND(W1298=1,E1298="Préventif"),1,0)</f>
        <v>0.0</v>
      </c>
      <c r="Y1298" s="67">
        <f>IF(AND(ISNUMBER(N1298),N(N1298)&gt;0),N(N1298),0)</f>
        <v>0.0</v>
      </c>
      <c r="Z1298" s="67">
        <f>IF(AND(ISNUMBER(P1298),N(P1298)&gt;0),N(P1298),0)</f>
        <v>0.0</v>
      </c>
    </row>
    <row r="1299">
      <c r="A1299" s="79" t="str">
        <f>IF(COUNTA(B1299:C1299,E1299:G1299,I1299)=0,"","BI-"&amp;RIGHT("0000"&amp;(ROW()-5),4))</f>
        <v/>
      </c>
      <c r="B1299" s="72" t="n"/>
      <c r="C1299" s="66" t="n"/>
      <c r="D1299" s="67" t="str">
        <f>IF(C1299="","",IFERROR(INDEX(eq_des,MATCH(C1299,eq_code,0))&amp;"","Équipement inconnu"))</f>
        <v/>
      </c>
      <c r="E1299" s="68" t="n"/>
      <c r="F1299" s="68" t="n"/>
      <c r="G1299" s="66" t="n"/>
      <c r="H1299" s="66" t="n"/>
      <c r="I1299" s="68" t="n"/>
      <c r="J1299" s="73" t="n"/>
      <c r="K1299" s="71" t="n"/>
      <c r="L1299" s="71" t="n"/>
      <c r="M1299" s="66" t="n"/>
      <c r="N1299" s="80" t="n"/>
      <c r="O1299" s="81" t="str">
        <f>IF(A1299="","",ROUND(V1299*IFERROR(N(INDEX(tech_rate,MATCH(M1299,tech_name,0))),0),2))</f>
        <v/>
      </c>
      <c r="P1299" s="80" t="n"/>
      <c r="Q1299" s="81" t="str">
        <f>IF(A1299="","",ROUND(Y1299+O1299+Z1299,2))</f>
        <v/>
      </c>
      <c r="R1299" s="79" t="str">
        <f>IF(A1299="","",IF(S1299=0,"Date manquante ou invalide",IF(C1299="","Équipement manquant",IF(ISNA(MATCH(C1299,eq_code,0)),"Équipement inconnu",IF(E1299="","Type manquant",IF(AND(E1299&lt;&gt;"Préventif",E1299&lt;&gt;"Correctif",E1299&lt;&gt;"Amélioratif"),"Type inconnu",IF(I1299="","Statut manquant",IF(AND(I1299&lt;&gt;"Terminée",I1299&lt;&gt;"En cours",I1299&lt;&gt;"À faire",I1299&lt;&gt;"Annulée"),"Statut inconnu",IF(AND(E1299="Préventif",F1299=""),"Plan manquant (préventif)",IF(AND(F1299&lt;&gt;"",ISNA(MATCH(F1299,pl_num,0))),"Plan inconnu",IF(AND(F1299&lt;&gt;"",IFERROR(INDEX(pl_eq,MATCH(F1299,pl_num,0))&amp;"",C1299)&lt;&gt;C1299),"Plan d'un autre équipement",IF(AND(J1299&lt;&gt;"",OR(NOT(ISNUMBER(J1299)),N(J1299)&lt;0)),"Compteur invalide",IF(OR(AND(K1299&lt;&gt;"",OR(NOT(ISNUMBER(K1299)),N(K1299)&lt;0)),AND(L1299&lt;&gt;"",OR(NOT(ISNUMBER(L1299)),N(L1299)&lt;0))),"Durée invalide",IF(OR(AND(N1299&lt;&gt;"",OR(NOT(ISNUMBER(N1299)),N(N1299)&lt;0)),AND(P1299&lt;&gt;"",OR(NOT(ISNUMBER(P1299)),N(P1299)&lt;0))),"Coût invalide",IF(AND(M1299&lt;&gt;"",ISNA(MATCH(M1299,tech_name,0))),"Technicien inconnu",IF(AND(I1299="Terminée",S1299&gt;p_today),"Terminée à une date future",IF(AND(I1299="Terminée",V1299=0),"Durée d'intervention manquante",IF(AND(I1299="Terminée",E1299="Préventif",T1299=0,OR(IFERROR(INDEX(pl_trig,MATCH(F1299,pl_num,0))&amp;"","")="Compteur",IFERROR(INDEX(pl_trig,MATCH(F1299,pl_num,0))&amp;"","")="Au premier des deux")),"Compteur manquant (plan au compteur)","OK"))))))))))))))))))</f>
        <v/>
      </c>
      <c r="S1299" s="67">
        <f>IF(AND(ISNUMBER(B1299),N(B1299)&gt;0),INT(B1299),0)</f>
        <v>0.0</v>
      </c>
      <c r="T1299" s="67">
        <f>IF(AND(ISNUMBER(J1299),N(J1299)&gt;=0),N(J1299),0)</f>
        <v>0.0</v>
      </c>
      <c r="U1299" s="67">
        <f>IF(AND(ISNUMBER(K1299),N(K1299)&gt;0),N(K1299),0)</f>
        <v>0.0</v>
      </c>
      <c r="V1299" s="67">
        <f>IF(AND(ISNUMBER(L1299),N(L1299)&gt;0),N(L1299),0)</f>
        <v>0.0</v>
      </c>
      <c r="W1299" s="67">
        <f>IF(AND(I1299="Terminée",S1299&gt;0,C1299&lt;&gt;"",ISNUMBER(MATCH(C1299,eq_code,0))),1,0)</f>
        <v>0.0</v>
      </c>
      <c r="X1299" s="67">
        <f>IF(AND(W1299=1,E1299="Préventif"),1,0)</f>
        <v>0.0</v>
      </c>
      <c r="Y1299" s="67">
        <f>IF(AND(ISNUMBER(N1299),N(N1299)&gt;0),N(N1299),0)</f>
        <v>0.0</v>
      </c>
      <c r="Z1299" s="67">
        <f>IF(AND(ISNUMBER(P1299),N(P1299)&gt;0),N(P1299),0)</f>
        <v>0.0</v>
      </c>
    </row>
    <row r="1300">
      <c r="A1300" s="79" t="str">
        <f>IF(COUNTA(B1300:C1300,E1300:G1300,I1300)=0,"","BI-"&amp;RIGHT("0000"&amp;(ROW()-5),4))</f>
        <v/>
      </c>
      <c r="B1300" s="72" t="n"/>
      <c r="C1300" s="66" t="n"/>
      <c r="D1300" s="67" t="str">
        <f>IF(C1300="","",IFERROR(INDEX(eq_des,MATCH(C1300,eq_code,0))&amp;"","Équipement inconnu"))</f>
        <v/>
      </c>
      <c r="E1300" s="68" t="n"/>
      <c r="F1300" s="68" t="n"/>
      <c r="G1300" s="66" t="n"/>
      <c r="H1300" s="66" t="n"/>
      <c r="I1300" s="68" t="n"/>
      <c r="J1300" s="73" t="n"/>
      <c r="K1300" s="71" t="n"/>
      <c r="L1300" s="71" t="n"/>
      <c r="M1300" s="66" t="n"/>
      <c r="N1300" s="80" t="n"/>
      <c r="O1300" s="81" t="str">
        <f>IF(A1300="","",ROUND(V1300*IFERROR(N(INDEX(tech_rate,MATCH(M1300,tech_name,0))),0),2))</f>
        <v/>
      </c>
      <c r="P1300" s="80" t="n"/>
      <c r="Q1300" s="81" t="str">
        <f>IF(A1300="","",ROUND(Y1300+O1300+Z1300,2))</f>
        <v/>
      </c>
      <c r="R1300" s="79" t="str">
        <f>IF(A1300="","",IF(S1300=0,"Date manquante ou invalide",IF(C1300="","Équipement manquant",IF(ISNA(MATCH(C1300,eq_code,0)),"Équipement inconnu",IF(E1300="","Type manquant",IF(AND(E1300&lt;&gt;"Préventif",E1300&lt;&gt;"Correctif",E1300&lt;&gt;"Amélioratif"),"Type inconnu",IF(I1300="","Statut manquant",IF(AND(I1300&lt;&gt;"Terminée",I1300&lt;&gt;"En cours",I1300&lt;&gt;"À faire",I1300&lt;&gt;"Annulée"),"Statut inconnu",IF(AND(E1300="Préventif",F1300=""),"Plan manquant (préventif)",IF(AND(F1300&lt;&gt;"",ISNA(MATCH(F1300,pl_num,0))),"Plan inconnu",IF(AND(F1300&lt;&gt;"",IFERROR(INDEX(pl_eq,MATCH(F1300,pl_num,0))&amp;"",C1300)&lt;&gt;C1300),"Plan d'un autre équipement",IF(AND(J1300&lt;&gt;"",OR(NOT(ISNUMBER(J1300)),N(J1300)&lt;0)),"Compteur invalide",IF(OR(AND(K1300&lt;&gt;"",OR(NOT(ISNUMBER(K1300)),N(K1300)&lt;0)),AND(L1300&lt;&gt;"",OR(NOT(ISNUMBER(L1300)),N(L1300)&lt;0))),"Durée invalide",IF(OR(AND(N1300&lt;&gt;"",OR(NOT(ISNUMBER(N1300)),N(N1300)&lt;0)),AND(P1300&lt;&gt;"",OR(NOT(ISNUMBER(P1300)),N(P1300)&lt;0))),"Coût invalide",IF(AND(M1300&lt;&gt;"",ISNA(MATCH(M1300,tech_name,0))),"Technicien inconnu",IF(AND(I1300="Terminée",S1300&gt;p_today),"Terminée à une date future",IF(AND(I1300="Terminée",V1300=0),"Durée d'intervention manquante",IF(AND(I1300="Terminée",E1300="Préventif",T1300=0,OR(IFERROR(INDEX(pl_trig,MATCH(F1300,pl_num,0))&amp;"","")="Compteur",IFERROR(INDEX(pl_trig,MATCH(F1300,pl_num,0))&amp;"","")="Au premier des deux")),"Compteur manquant (plan au compteur)","OK"))))))))))))))))))</f>
        <v/>
      </c>
      <c r="S1300" s="67">
        <f>IF(AND(ISNUMBER(B1300),N(B1300)&gt;0),INT(B1300),0)</f>
        <v>0.0</v>
      </c>
      <c r="T1300" s="67">
        <f>IF(AND(ISNUMBER(J1300),N(J1300)&gt;=0),N(J1300),0)</f>
        <v>0.0</v>
      </c>
      <c r="U1300" s="67">
        <f>IF(AND(ISNUMBER(K1300),N(K1300)&gt;0),N(K1300),0)</f>
        <v>0.0</v>
      </c>
      <c r="V1300" s="67">
        <f>IF(AND(ISNUMBER(L1300),N(L1300)&gt;0),N(L1300),0)</f>
        <v>0.0</v>
      </c>
      <c r="W1300" s="67">
        <f>IF(AND(I1300="Terminée",S1300&gt;0,C1300&lt;&gt;"",ISNUMBER(MATCH(C1300,eq_code,0))),1,0)</f>
        <v>0.0</v>
      </c>
      <c r="X1300" s="67">
        <f>IF(AND(W1300=1,E1300="Préventif"),1,0)</f>
        <v>0.0</v>
      </c>
      <c r="Y1300" s="67">
        <f>IF(AND(ISNUMBER(N1300),N(N1300)&gt;0),N(N1300),0)</f>
        <v>0.0</v>
      </c>
      <c r="Z1300" s="67">
        <f>IF(AND(ISNUMBER(P1300),N(P1300)&gt;0),N(P1300),0)</f>
        <v>0.0</v>
      </c>
    </row>
    <row r="1301">
      <c r="A1301" s="79" t="str">
        <f>IF(COUNTA(B1301:C1301,E1301:G1301,I1301)=0,"","BI-"&amp;RIGHT("0000"&amp;(ROW()-5),4))</f>
        <v/>
      </c>
      <c r="B1301" s="72" t="n"/>
      <c r="C1301" s="66" t="n"/>
      <c r="D1301" s="67" t="str">
        <f>IF(C1301="","",IFERROR(INDEX(eq_des,MATCH(C1301,eq_code,0))&amp;"","Équipement inconnu"))</f>
        <v/>
      </c>
      <c r="E1301" s="68" t="n"/>
      <c r="F1301" s="68" t="n"/>
      <c r="G1301" s="66" t="n"/>
      <c r="H1301" s="66" t="n"/>
      <c r="I1301" s="68" t="n"/>
      <c r="J1301" s="73" t="n"/>
      <c r="K1301" s="71" t="n"/>
      <c r="L1301" s="71" t="n"/>
      <c r="M1301" s="66" t="n"/>
      <c r="N1301" s="80" t="n"/>
      <c r="O1301" s="81" t="str">
        <f>IF(A1301="","",ROUND(V1301*IFERROR(N(INDEX(tech_rate,MATCH(M1301,tech_name,0))),0),2))</f>
        <v/>
      </c>
      <c r="P1301" s="80" t="n"/>
      <c r="Q1301" s="81" t="str">
        <f>IF(A1301="","",ROUND(Y1301+O1301+Z1301,2))</f>
        <v/>
      </c>
      <c r="R1301" s="79" t="str">
        <f>IF(A1301="","",IF(S1301=0,"Date manquante ou invalide",IF(C1301="","Équipement manquant",IF(ISNA(MATCH(C1301,eq_code,0)),"Équipement inconnu",IF(E1301="","Type manquant",IF(AND(E1301&lt;&gt;"Préventif",E1301&lt;&gt;"Correctif",E1301&lt;&gt;"Amélioratif"),"Type inconnu",IF(I1301="","Statut manquant",IF(AND(I1301&lt;&gt;"Terminée",I1301&lt;&gt;"En cours",I1301&lt;&gt;"À faire",I1301&lt;&gt;"Annulée"),"Statut inconnu",IF(AND(E1301="Préventif",F1301=""),"Plan manquant (préventif)",IF(AND(F1301&lt;&gt;"",ISNA(MATCH(F1301,pl_num,0))),"Plan inconnu",IF(AND(F1301&lt;&gt;"",IFERROR(INDEX(pl_eq,MATCH(F1301,pl_num,0))&amp;"",C1301)&lt;&gt;C1301),"Plan d'un autre équipement",IF(AND(J1301&lt;&gt;"",OR(NOT(ISNUMBER(J1301)),N(J1301)&lt;0)),"Compteur invalide",IF(OR(AND(K1301&lt;&gt;"",OR(NOT(ISNUMBER(K1301)),N(K1301)&lt;0)),AND(L1301&lt;&gt;"",OR(NOT(ISNUMBER(L1301)),N(L1301)&lt;0))),"Durée invalide",IF(OR(AND(N1301&lt;&gt;"",OR(NOT(ISNUMBER(N1301)),N(N1301)&lt;0)),AND(P1301&lt;&gt;"",OR(NOT(ISNUMBER(P1301)),N(P1301)&lt;0))),"Coût invalide",IF(AND(M1301&lt;&gt;"",ISNA(MATCH(M1301,tech_name,0))),"Technicien inconnu",IF(AND(I1301="Terminée",S1301&gt;p_today),"Terminée à une date future",IF(AND(I1301="Terminée",V1301=0),"Durée d'intervention manquante",IF(AND(I1301="Terminée",E1301="Préventif",T1301=0,OR(IFERROR(INDEX(pl_trig,MATCH(F1301,pl_num,0))&amp;"","")="Compteur",IFERROR(INDEX(pl_trig,MATCH(F1301,pl_num,0))&amp;"","")="Au premier des deux")),"Compteur manquant (plan au compteur)","OK"))))))))))))))))))</f>
        <v/>
      </c>
      <c r="S1301" s="67">
        <f>IF(AND(ISNUMBER(B1301),N(B1301)&gt;0),INT(B1301),0)</f>
        <v>0.0</v>
      </c>
      <c r="T1301" s="67">
        <f>IF(AND(ISNUMBER(J1301),N(J1301)&gt;=0),N(J1301),0)</f>
        <v>0.0</v>
      </c>
      <c r="U1301" s="67">
        <f>IF(AND(ISNUMBER(K1301),N(K1301)&gt;0),N(K1301),0)</f>
        <v>0.0</v>
      </c>
      <c r="V1301" s="67">
        <f>IF(AND(ISNUMBER(L1301),N(L1301)&gt;0),N(L1301),0)</f>
        <v>0.0</v>
      </c>
      <c r="W1301" s="67">
        <f>IF(AND(I1301="Terminée",S1301&gt;0,C1301&lt;&gt;"",ISNUMBER(MATCH(C1301,eq_code,0))),1,0)</f>
        <v>0.0</v>
      </c>
      <c r="X1301" s="67">
        <f>IF(AND(W1301=1,E1301="Préventif"),1,0)</f>
        <v>0.0</v>
      </c>
      <c r="Y1301" s="67">
        <f>IF(AND(ISNUMBER(N1301),N(N1301)&gt;0),N(N1301),0)</f>
        <v>0.0</v>
      </c>
      <c r="Z1301" s="67">
        <f>IF(AND(ISNUMBER(P1301),N(P1301)&gt;0),N(P1301),0)</f>
        <v>0.0</v>
      </c>
    </row>
    <row r="1302">
      <c r="A1302" s="79" t="str">
        <f>IF(COUNTA(B1302:C1302,E1302:G1302,I1302)=0,"","BI-"&amp;RIGHT("0000"&amp;(ROW()-5),4))</f>
        <v/>
      </c>
      <c r="B1302" s="72" t="n"/>
      <c r="C1302" s="66" t="n"/>
      <c r="D1302" s="67" t="str">
        <f>IF(C1302="","",IFERROR(INDEX(eq_des,MATCH(C1302,eq_code,0))&amp;"","Équipement inconnu"))</f>
        <v/>
      </c>
      <c r="E1302" s="68" t="n"/>
      <c r="F1302" s="68" t="n"/>
      <c r="G1302" s="66" t="n"/>
      <c r="H1302" s="66" t="n"/>
      <c r="I1302" s="68" t="n"/>
      <c r="J1302" s="73" t="n"/>
      <c r="K1302" s="71" t="n"/>
      <c r="L1302" s="71" t="n"/>
      <c r="M1302" s="66" t="n"/>
      <c r="N1302" s="80" t="n"/>
      <c r="O1302" s="81" t="str">
        <f>IF(A1302="","",ROUND(V1302*IFERROR(N(INDEX(tech_rate,MATCH(M1302,tech_name,0))),0),2))</f>
        <v/>
      </c>
      <c r="P1302" s="80" t="n"/>
      <c r="Q1302" s="81" t="str">
        <f>IF(A1302="","",ROUND(Y1302+O1302+Z1302,2))</f>
        <v/>
      </c>
      <c r="R1302" s="79" t="str">
        <f>IF(A1302="","",IF(S1302=0,"Date manquante ou invalide",IF(C1302="","Équipement manquant",IF(ISNA(MATCH(C1302,eq_code,0)),"Équipement inconnu",IF(E1302="","Type manquant",IF(AND(E1302&lt;&gt;"Préventif",E1302&lt;&gt;"Correctif",E1302&lt;&gt;"Amélioratif"),"Type inconnu",IF(I1302="","Statut manquant",IF(AND(I1302&lt;&gt;"Terminée",I1302&lt;&gt;"En cours",I1302&lt;&gt;"À faire",I1302&lt;&gt;"Annulée"),"Statut inconnu",IF(AND(E1302="Préventif",F1302=""),"Plan manquant (préventif)",IF(AND(F1302&lt;&gt;"",ISNA(MATCH(F1302,pl_num,0))),"Plan inconnu",IF(AND(F1302&lt;&gt;"",IFERROR(INDEX(pl_eq,MATCH(F1302,pl_num,0))&amp;"",C1302)&lt;&gt;C1302),"Plan d'un autre équipement",IF(AND(J1302&lt;&gt;"",OR(NOT(ISNUMBER(J1302)),N(J1302)&lt;0)),"Compteur invalide",IF(OR(AND(K1302&lt;&gt;"",OR(NOT(ISNUMBER(K1302)),N(K1302)&lt;0)),AND(L1302&lt;&gt;"",OR(NOT(ISNUMBER(L1302)),N(L1302)&lt;0))),"Durée invalide",IF(OR(AND(N1302&lt;&gt;"",OR(NOT(ISNUMBER(N1302)),N(N1302)&lt;0)),AND(P1302&lt;&gt;"",OR(NOT(ISNUMBER(P1302)),N(P1302)&lt;0))),"Coût invalide",IF(AND(M1302&lt;&gt;"",ISNA(MATCH(M1302,tech_name,0))),"Technicien inconnu",IF(AND(I1302="Terminée",S1302&gt;p_today),"Terminée à une date future",IF(AND(I1302="Terminée",V1302=0),"Durée d'intervention manquante",IF(AND(I1302="Terminée",E1302="Préventif",T1302=0,OR(IFERROR(INDEX(pl_trig,MATCH(F1302,pl_num,0))&amp;"","")="Compteur",IFERROR(INDEX(pl_trig,MATCH(F1302,pl_num,0))&amp;"","")="Au premier des deux")),"Compteur manquant (plan au compteur)","OK"))))))))))))))))))</f>
        <v/>
      </c>
      <c r="S1302" s="67">
        <f>IF(AND(ISNUMBER(B1302),N(B1302)&gt;0),INT(B1302),0)</f>
        <v>0.0</v>
      </c>
      <c r="T1302" s="67">
        <f>IF(AND(ISNUMBER(J1302),N(J1302)&gt;=0),N(J1302),0)</f>
        <v>0.0</v>
      </c>
      <c r="U1302" s="67">
        <f>IF(AND(ISNUMBER(K1302),N(K1302)&gt;0),N(K1302),0)</f>
        <v>0.0</v>
      </c>
      <c r="V1302" s="67">
        <f>IF(AND(ISNUMBER(L1302),N(L1302)&gt;0),N(L1302),0)</f>
        <v>0.0</v>
      </c>
      <c r="W1302" s="67">
        <f>IF(AND(I1302="Terminée",S1302&gt;0,C1302&lt;&gt;"",ISNUMBER(MATCH(C1302,eq_code,0))),1,0)</f>
        <v>0.0</v>
      </c>
      <c r="X1302" s="67">
        <f>IF(AND(W1302=1,E1302="Préventif"),1,0)</f>
        <v>0.0</v>
      </c>
      <c r="Y1302" s="67">
        <f>IF(AND(ISNUMBER(N1302),N(N1302)&gt;0),N(N1302),0)</f>
        <v>0.0</v>
      </c>
      <c r="Z1302" s="67">
        <f>IF(AND(ISNUMBER(P1302),N(P1302)&gt;0),N(P1302),0)</f>
        <v>0.0</v>
      </c>
    </row>
    <row r="1303">
      <c r="A1303" s="79" t="str">
        <f>IF(COUNTA(B1303:C1303,E1303:G1303,I1303)=0,"","BI-"&amp;RIGHT("0000"&amp;(ROW()-5),4))</f>
        <v/>
      </c>
      <c r="B1303" s="72" t="n"/>
      <c r="C1303" s="66" t="n"/>
      <c r="D1303" s="67" t="str">
        <f>IF(C1303="","",IFERROR(INDEX(eq_des,MATCH(C1303,eq_code,0))&amp;"","Équipement inconnu"))</f>
        <v/>
      </c>
      <c r="E1303" s="68" t="n"/>
      <c r="F1303" s="68" t="n"/>
      <c r="G1303" s="66" t="n"/>
      <c r="H1303" s="66" t="n"/>
      <c r="I1303" s="68" t="n"/>
      <c r="J1303" s="73" t="n"/>
      <c r="K1303" s="71" t="n"/>
      <c r="L1303" s="71" t="n"/>
      <c r="M1303" s="66" t="n"/>
      <c r="N1303" s="80" t="n"/>
      <c r="O1303" s="81" t="str">
        <f>IF(A1303="","",ROUND(V1303*IFERROR(N(INDEX(tech_rate,MATCH(M1303,tech_name,0))),0),2))</f>
        <v/>
      </c>
      <c r="P1303" s="80" t="n"/>
      <c r="Q1303" s="81" t="str">
        <f>IF(A1303="","",ROUND(Y1303+O1303+Z1303,2))</f>
        <v/>
      </c>
      <c r="R1303" s="79" t="str">
        <f>IF(A1303="","",IF(S1303=0,"Date manquante ou invalide",IF(C1303="","Équipement manquant",IF(ISNA(MATCH(C1303,eq_code,0)),"Équipement inconnu",IF(E1303="","Type manquant",IF(AND(E1303&lt;&gt;"Préventif",E1303&lt;&gt;"Correctif",E1303&lt;&gt;"Amélioratif"),"Type inconnu",IF(I1303="","Statut manquant",IF(AND(I1303&lt;&gt;"Terminée",I1303&lt;&gt;"En cours",I1303&lt;&gt;"À faire",I1303&lt;&gt;"Annulée"),"Statut inconnu",IF(AND(E1303="Préventif",F1303=""),"Plan manquant (préventif)",IF(AND(F1303&lt;&gt;"",ISNA(MATCH(F1303,pl_num,0))),"Plan inconnu",IF(AND(F1303&lt;&gt;"",IFERROR(INDEX(pl_eq,MATCH(F1303,pl_num,0))&amp;"",C1303)&lt;&gt;C1303),"Plan d'un autre équipement",IF(AND(J1303&lt;&gt;"",OR(NOT(ISNUMBER(J1303)),N(J1303)&lt;0)),"Compteur invalide",IF(OR(AND(K1303&lt;&gt;"",OR(NOT(ISNUMBER(K1303)),N(K1303)&lt;0)),AND(L1303&lt;&gt;"",OR(NOT(ISNUMBER(L1303)),N(L1303)&lt;0))),"Durée invalide",IF(OR(AND(N1303&lt;&gt;"",OR(NOT(ISNUMBER(N1303)),N(N1303)&lt;0)),AND(P1303&lt;&gt;"",OR(NOT(ISNUMBER(P1303)),N(P1303)&lt;0))),"Coût invalide",IF(AND(M1303&lt;&gt;"",ISNA(MATCH(M1303,tech_name,0))),"Technicien inconnu",IF(AND(I1303="Terminée",S1303&gt;p_today),"Terminée à une date future",IF(AND(I1303="Terminée",V1303=0),"Durée d'intervention manquante",IF(AND(I1303="Terminée",E1303="Préventif",T1303=0,OR(IFERROR(INDEX(pl_trig,MATCH(F1303,pl_num,0))&amp;"","")="Compteur",IFERROR(INDEX(pl_trig,MATCH(F1303,pl_num,0))&amp;"","")="Au premier des deux")),"Compteur manquant (plan au compteur)","OK"))))))))))))))))))</f>
        <v/>
      </c>
      <c r="S1303" s="67">
        <f>IF(AND(ISNUMBER(B1303),N(B1303)&gt;0),INT(B1303),0)</f>
        <v>0.0</v>
      </c>
      <c r="T1303" s="67">
        <f>IF(AND(ISNUMBER(J1303),N(J1303)&gt;=0),N(J1303),0)</f>
        <v>0.0</v>
      </c>
      <c r="U1303" s="67">
        <f>IF(AND(ISNUMBER(K1303),N(K1303)&gt;0),N(K1303),0)</f>
        <v>0.0</v>
      </c>
      <c r="V1303" s="67">
        <f>IF(AND(ISNUMBER(L1303),N(L1303)&gt;0),N(L1303),0)</f>
        <v>0.0</v>
      </c>
      <c r="W1303" s="67">
        <f>IF(AND(I1303="Terminée",S1303&gt;0,C1303&lt;&gt;"",ISNUMBER(MATCH(C1303,eq_code,0))),1,0)</f>
        <v>0.0</v>
      </c>
      <c r="X1303" s="67">
        <f>IF(AND(W1303=1,E1303="Préventif"),1,0)</f>
        <v>0.0</v>
      </c>
      <c r="Y1303" s="67">
        <f>IF(AND(ISNUMBER(N1303),N(N1303)&gt;0),N(N1303),0)</f>
        <v>0.0</v>
      </c>
      <c r="Z1303" s="67">
        <f>IF(AND(ISNUMBER(P1303),N(P1303)&gt;0),N(P1303),0)</f>
        <v>0.0</v>
      </c>
    </row>
    <row r="1304">
      <c r="A1304" s="79" t="str">
        <f>IF(COUNTA(B1304:C1304,E1304:G1304,I1304)=0,"","BI-"&amp;RIGHT("0000"&amp;(ROW()-5),4))</f>
        <v/>
      </c>
      <c r="B1304" s="72" t="n"/>
      <c r="C1304" s="66" t="n"/>
      <c r="D1304" s="67" t="str">
        <f>IF(C1304="","",IFERROR(INDEX(eq_des,MATCH(C1304,eq_code,0))&amp;"","Équipement inconnu"))</f>
        <v/>
      </c>
      <c r="E1304" s="68" t="n"/>
      <c r="F1304" s="68" t="n"/>
      <c r="G1304" s="66" t="n"/>
      <c r="H1304" s="66" t="n"/>
      <c r="I1304" s="68" t="n"/>
      <c r="J1304" s="73" t="n"/>
      <c r="K1304" s="71" t="n"/>
      <c r="L1304" s="71" t="n"/>
      <c r="M1304" s="66" t="n"/>
      <c r="N1304" s="80" t="n"/>
      <c r="O1304" s="81" t="str">
        <f>IF(A1304="","",ROUND(V1304*IFERROR(N(INDEX(tech_rate,MATCH(M1304,tech_name,0))),0),2))</f>
        <v/>
      </c>
      <c r="P1304" s="80" t="n"/>
      <c r="Q1304" s="81" t="str">
        <f>IF(A1304="","",ROUND(Y1304+O1304+Z1304,2))</f>
        <v/>
      </c>
      <c r="R1304" s="79" t="str">
        <f>IF(A1304="","",IF(S1304=0,"Date manquante ou invalide",IF(C1304="","Équipement manquant",IF(ISNA(MATCH(C1304,eq_code,0)),"Équipement inconnu",IF(E1304="","Type manquant",IF(AND(E1304&lt;&gt;"Préventif",E1304&lt;&gt;"Correctif",E1304&lt;&gt;"Amélioratif"),"Type inconnu",IF(I1304="","Statut manquant",IF(AND(I1304&lt;&gt;"Terminée",I1304&lt;&gt;"En cours",I1304&lt;&gt;"À faire",I1304&lt;&gt;"Annulée"),"Statut inconnu",IF(AND(E1304="Préventif",F1304=""),"Plan manquant (préventif)",IF(AND(F1304&lt;&gt;"",ISNA(MATCH(F1304,pl_num,0))),"Plan inconnu",IF(AND(F1304&lt;&gt;"",IFERROR(INDEX(pl_eq,MATCH(F1304,pl_num,0))&amp;"",C1304)&lt;&gt;C1304),"Plan d'un autre équipement",IF(AND(J1304&lt;&gt;"",OR(NOT(ISNUMBER(J1304)),N(J1304)&lt;0)),"Compteur invalide",IF(OR(AND(K1304&lt;&gt;"",OR(NOT(ISNUMBER(K1304)),N(K1304)&lt;0)),AND(L1304&lt;&gt;"",OR(NOT(ISNUMBER(L1304)),N(L1304)&lt;0))),"Durée invalide",IF(OR(AND(N1304&lt;&gt;"",OR(NOT(ISNUMBER(N1304)),N(N1304)&lt;0)),AND(P1304&lt;&gt;"",OR(NOT(ISNUMBER(P1304)),N(P1304)&lt;0))),"Coût invalide",IF(AND(M1304&lt;&gt;"",ISNA(MATCH(M1304,tech_name,0))),"Technicien inconnu",IF(AND(I1304="Terminée",S1304&gt;p_today),"Terminée à une date future",IF(AND(I1304="Terminée",V1304=0),"Durée d'intervention manquante",IF(AND(I1304="Terminée",E1304="Préventif",T1304=0,OR(IFERROR(INDEX(pl_trig,MATCH(F1304,pl_num,0))&amp;"","")="Compteur",IFERROR(INDEX(pl_trig,MATCH(F1304,pl_num,0))&amp;"","")="Au premier des deux")),"Compteur manquant (plan au compteur)","OK"))))))))))))))))))</f>
        <v/>
      </c>
      <c r="S1304" s="67">
        <f>IF(AND(ISNUMBER(B1304),N(B1304)&gt;0),INT(B1304),0)</f>
        <v>0.0</v>
      </c>
      <c r="T1304" s="67">
        <f>IF(AND(ISNUMBER(J1304),N(J1304)&gt;=0),N(J1304),0)</f>
        <v>0.0</v>
      </c>
      <c r="U1304" s="67">
        <f>IF(AND(ISNUMBER(K1304),N(K1304)&gt;0),N(K1304),0)</f>
        <v>0.0</v>
      </c>
      <c r="V1304" s="67">
        <f>IF(AND(ISNUMBER(L1304),N(L1304)&gt;0),N(L1304),0)</f>
        <v>0.0</v>
      </c>
      <c r="W1304" s="67">
        <f>IF(AND(I1304="Terminée",S1304&gt;0,C1304&lt;&gt;"",ISNUMBER(MATCH(C1304,eq_code,0))),1,0)</f>
        <v>0.0</v>
      </c>
      <c r="X1304" s="67">
        <f>IF(AND(W1304=1,E1304="Préventif"),1,0)</f>
        <v>0.0</v>
      </c>
      <c r="Y1304" s="67">
        <f>IF(AND(ISNUMBER(N1304),N(N1304)&gt;0),N(N1304),0)</f>
        <v>0.0</v>
      </c>
      <c r="Z1304" s="67">
        <f>IF(AND(ISNUMBER(P1304),N(P1304)&gt;0),N(P1304),0)</f>
        <v>0.0</v>
      </c>
    </row>
    <row r="1305">
      <c r="A1305" s="79" t="str">
        <f>IF(COUNTA(B1305:C1305,E1305:G1305,I1305)=0,"","BI-"&amp;RIGHT("0000"&amp;(ROW()-5),4))</f>
        <v/>
      </c>
      <c r="B1305" s="72" t="n"/>
      <c r="C1305" s="66" t="n"/>
      <c r="D1305" s="67" t="str">
        <f>IF(C1305="","",IFERROR(INDEX(eq_des,MATCH(C1305,eq_code,0))&amp;"","Équipement inconnu"))</f>
        <v/>
      </c>
      <c r="E1305" s="68" t="n"/>
      <c r="F1305" s="68" t="n"/>
      <c r="G1305" s="66" t="n"/>
      <c r="H1305" s="66" t="n"/>
      <c r="I1305" s="68" t="n"/>
      <c r="J1305" s="73" t="n"/>
      <c r="K1305" s="71" t="n"/>
      <c r="L1305" s="71" t="n"/>
      <c r="M1305" s="66" t="n"/>
      <c r="N1305" s="80" t="n"/>
      <c r="O1305" s="81" t="str">
        <f>IF(A1305="","",ROUND(V1305*IFERROR(N(INDEX(tech_rate,MATCH(M1305,tech_name,0))),0),2))</f>
        <v/>
      </c>
      <c r="P1305" s="80" t="n"/>
      <c r="Q1305" s="81" t="str">
        <f>IF(A1305="","",ROUND(Y1305+O1305+Z1305,2))</f>
        <v/>
      </c>
      <c r="R1305" s="79" t="str">
        <f>IF(A1305="","",IF(S1305=0,"Date manquante ou invalide",IF(C1305="","Équipement manquant",IF(ISNA(MATCH(C1305,eq_code,0)),"Équipement inconnu",IF(E1305="","Type manquant",IF(AND(E1305&lt;&gt;"Préventif",E1305&lt;&gt;"Correctif",E1305&lt;&gt;"Amélioratif"),"Type inconnu",IF(I1305="","Statut manquant",IF(AND(I1305&lt;&gt;"Terminée",I1305&lt;&gt;"En cours",I1305&lt;&gt;"À faire",I1305&lt;&gt;"Annulée"),"Statut inconnu",IF(AND(E1305="Préventif",F1305=""),"Plan manquant (préventif)",IF(AND(F1305&lt;&gt;"",ISNA(MATCH(F1305,pl_num,0))),"Plan inconnu",IF(AND(F1305&lt;&gt;"",IFERROR(INDEX(pl_eq,MATCH(F1305,pl_num,0))&amp;"",C1305)&lt;&gt;C1305),"Plan d'un autre équipement",IF(AND(J1305&lt;&gt;"",OR(NOT(ISNUMBER(J1305)),N(J1305)&lt;0)),"Compteur invalide",IF(OR(AND(K1305&lt;&gt;"",OR(NOT(ISNUMBER(K1305)),N(K1305)&lt;0)),AND(L1305&lt;&gt;"",OR(NOT(ISNUMBER(L1305)),N(L1305)&lt;0))),"Durée invalide",IF(OR(AND(N1305&lt;&gt;"",OR(NOT(ISNUMBER(N1305)),N(N1305)&lt;0)),AND(P1305&lt;&gt;"",OR(NOT(ISNUMBER(P1305)),N(P1305)&lt;0))),"Coût invalide",IF(AND(M1305&lt;&gt;"",ISNA(MATCH(M1305,tech_name,0))),"Technicien inconnu",IF(AND(I1305="Terminée",S1305&gt;p_today),"Terminée à une date future",IF(AND(I1305="Terminée",V1305=0),"Durée d'intervention manquante",IF(AND(I1305="Terminée",E1305="Préventif",T1305=0,OR(IFERROR(INDEX(pl_trig,MATCH(F1305,pl_num,0))&amp;"","")="Compteur",IFERROR(INDEX(pl_trig,MATCH(F1305,pl_num,0))&amp;"","")="Au premier des deux")),"Compteur manquant (plan au compteur)","OK"))))))))))))))))))</f>
        <v/>
      </c>
      <c r="S1305" s="67">
        <f>IF(AND(ISNUMBER(B1305),N(B1305)&gt;0),INT(B1305),0)</f>
        <v>0.0</v>
      </c>
      <c r="T1305" s="67">
        <f>IF(AND(ISNUMBER(J1305),N(J1305)&gt;=0),N(J1305),0)</f>
        <v>0.0</v>
      </c>
      <c r="U1305" s="67">
        <f>IF(AND(ISNUMBER(K1305),N(K1305)&gt;0),N(K1305),0)</f>
        <v>0.0</v>
      </c>
      <c r="V1305" s="67">
        <f>IF(AND(ISNUMBER(L1305),N(L1305)&gt;0),N(L1305),0)</f>
        <v>0.0</v>
      </c>
      <c r="W1305" s="67">
        <f>IF(AND(I1305="Terminée",S1305&gt;0,C1305&lt;&gt;"",ISNUMBER(MATCH(C1305,eq_code,0))),1,0)</f>
        <v>0.0</v>
      </c>
      <c r="X1305" s="67">
        <f>IF(AND(W1305=1,E1305="Préventif"),1,0)</f>
        <v>0.0</v>
      </c>
      <c r="Y1305" s="67">
        <f>IF(AND(ISNUMBER(N1305),N(N1305)&gt;0),N(N1305),0)</f>
        <v>0.0</v>
      </c>
      <c r="Z1305" s="67">
        <f>IF(AND(ISNUMBER(P1305),N(P1305)&gt;0),N(P1305),0)</f>
        <v>0.0</v>
      </c>
    </row>
    <row r="1306">
      <c r="A1306" s="79" t="str">
        <f>IF(COUNTA(B1306:C1306,E1306:G1306,I1306)=0,"","BI-"&amp;RIGHT("0000"&amp;(ROW()-5),4))</f>
        <v/>
      </c>
      <c r="B1306" s="72" t="n"/>
      <c r="C1306" s="66" t="n"/>
      <c r="D1306" s="67" t="str">
        <f>IF(C1306="","",IFERROR(INDEX(eq_des,MATCH(C1306,eq_code,0))&amp;"","Équipement inconnu"))</f>
        <v/>
      </c>
      <c r="E1306" s="68" t="n"/>
      <c r="F1306" s="68" t="n"/>
      <c r="G1306" s="66" t="n"/>
      <c r="H1306" s="66" t="n"/>
      <c r="I1306" s="68" t="n"/>
      <c r="J1306" s="73" t="n"/>
      <c r="K1306" s="71" t="n"/>
      <c r="L1306" s="71" t="n"/>
      <c r="M1306" s="66" t="n"/>
      <c r="N1306" s="80" t="n"/>
      <c r="O1306" s="81" t="str">
        <f>IF(A1306="","",ROUND(V1306*IFERROR(N(INDEX(tech_rate,MATCH(M1306,tech_name,0))),0),2))</f>
        <v/>
      </c>
      <c r="P1306" s="80" t="n"/>
      <c r="Q1306" s="81" t="str">
        <f>IF(A1306="","",ROUND(Y1306+O1306+Z1306,2))</f>
        <v/>
      </c>
      <c r="R1306" s="79" t="str">
        <f>IF(A1306="","",IF(S1306=0,"Date manquante ou invalide",IF(C1306="","Équipement manquant",IF(ISNA(MATCH(C1306,eq_code,0)),"Équipement inconnu",IF(E1306="","Type manquant",IF(AND(E1306&lt;&gt;"Préventif",E1306&lt;&gt;"Correctif",E1306&lt;&gt;"Amélioratif"),"Type inconnu",IF(I1306="","Statut manquant",IF(AND(I1306&lt;&gt;"Terminée",I1306&lt;&gt;"En cours",I1306&lt;&gt;"À faire",I1306&lt;&gt;"Annulée"),"Statut inconnu",IF(AND(E1306="Préventif",F1306=""),"Plan manquant (préventif)",IF(AND(F1306&lt;&gt;"",ISNA(MATCH(F1306,pl_num,0))),"Plan inconnu",IF(AND(F1306&lt;&gt;"",IFERROR(INDEX(pl_eq,MATCH(F1306,pl_num,0))&amp;"",C1306)&lt;&gt;C1306),"Plan d'un autre équipement",IF(AND(J1306&lt;&gt;"",OR(NOT(ISNUMBER(J1306)),N(J1306)&lt;0)),"Compteur invalide",IF(OR(AND(K1306&lt;&gt;"",OR(NOT(ISNUMBER(K1306)),N(K1306)&lt;0)),AND(L1306&lt;&gt;"",OR(NOT(ISNUMBER(L1306)),N(L1306)&lt;0))),"Durée invalide",IF(OR(AND(N1306&lt;&gt;"",OR(NOT(ISNUMBER(N1306)),N(N1306)&lt;0)),AND(P1306&lt;&gt;"",OR(NOT(ISNUMBER(P1306)),N(P1306)&lt;0))),"Coût invalide",IF(AND(M1306&lt;&gt;"",ISNA(MATCH(M1306,tech_name,0))),"Technicien inconnu",IF(AND(I1306="Terminée",S1306&gt;p_today),"Terminée à une date future",IF(AND(I1306="Terminée",V1306=0),"Durée d'intervention manquante",IF(AND(I1306="Terminée",E1306="Préventif",T1306=0,OR(IFERROR(INDEX(pl_trig,MATCH(F1306,pl_num,0))&amp;"","")="Compteur",IFERROR(INDEX(pl_trig,MATCH(F1306,pl_num,0))&amp;"","")="Au premier des deux")),"Compteur manquant (plan au compteur)","OK"))))))))))))))))))</f>
        <v/>
      </c>
      <c r="S1306" s="67">
        <f>IF(AND(ISNUMBER(B1306),N(B1306)&gt;0),INT(B1306),0)</f>
        <v>0.0</v>
      </c>
      <c r="T1306" s="67">
        <f>IF(AND(ISNUMBER(J1306),N(J1306)&gt;=0),N(J1306),0)</f>
        <v>0.0</v>
      </c>
      <c r="U1306" s="67">
        <f>IF(AND(ISNUMBER(K1306),N(K1306)&gt;0),N(K1306),0)</f>
        <v>0.0</v>
      </c>
      <c r="V1306" s="67">
        <f>IF(AND(ISNUMBER(L1306),N(L1306)&gt;0),N(L1306),0)</f>
        <v>0.0</v>
      </c>
      <c r="W1306" s="67">
        <f>IF(AND(I1306="Terminée",S1306&gt;0,C1306&lt;&gt;"",ISNUMBER(MATCH(C1306,eq_code,0))),1,0)</f>
        <v>0.0</v>
      </c>
      <c r="X1306" s="67">
        <f>IF(AND(W1306=1,E1306="Préventif"),1,0)</f>
        <v>0.0</v>
      </c>
      <c r="Y1306" s="67">
        <f>IF(AND(ISNUMBER(N1306),N(N1306)&gt;0),N(N1306),0)</f>
        <v>0.0</v>
      </c>
      <c r="Z1306" s="67">
        <f>IF(AND(ISNUMBER(P1306),N(P1306)&gt;0),N(P1306),0)</f>
        <v>0.0</v>
      </c>
    </row>
    <row r="1307">
      <c r="A1307" s="79" t="str">
        <f>IF(COUNTA(B1307:C1307,E1307:G1307,I1307)=0,"","BI-"&amp;RIGHT("0000"&amp;(ROW()-5),4))</f>
        <v/>
      </c>
      <c r="B1307" s="72" t="n"/>
      <c r="C1307" s="66" t="n"/>
      <c r="D1307" s="67" t="str">
        <f>IF(C1307="","",IFERROR(INDEX(eq_des,MATCH(C1307,eq_code,0))&amp;"","Équipement inconnu"))</f>
        <v/>
      </c>
      <c r="E1307" s="68" t="n"/>
      <c r="F1307" s="68" t="n"/>
      <c r="G1307" s="66" t="n"/>
      <c r="H1307" s="66" t="n"/>
      <c r="I1307" s="68" t="n"/>
      <c r="J1307" s="73" t="n"/>
      <c r="K1307" s="71" t="n"/>
      <c r="L1307" s="71" t="n"/>
      <c r="M1307" s="66" t="n"/>
      <c r="N1307" s="80" t="n"/>
      <c r="O1307" s="81" t="str">
        <f>IF(A1307="","",ROUND(V1307*IFERROR(N(INDEX(tech_rate,MATCH(M1307,tech_name,0))),0),2))</f>
        <v/>
      </c>
      <c r="P1307" s="80" t="n"/>
      <c r="Q1307" s="81" t="str">
        <f>IF(A1307="","",ROUND(Y1307+O1307+Z1307,2))</f>
        <v/>
      </c>
      <c r="R1307" s="79" t="str">
        <f>IF(A1307="","",IF(S1307=0,"Date manquante ou invalide",IF(C1307="","Équipement manquant",IF(ISNA(MATCH(C1307,eq_code,0)),"Équipement inconnu",IF(E1307="","Type manquant",IF(AND(E1307&lt;&gt;"Préventif",E1307&lt;&gt;"Correctif",E1307&lt;&gt;"Amélioratif"),"Type inconnu",IF(I1307="","Statut manquant",IF(AND(I1307&lt;&gt;"Terminée",I1307&lt;&gt;"En cours",I1307&lt;&gt;"À faire",I1307&lt;&gt;"Annulée"),"Statut inconnu",IF(AND(E1307="Préventif",F1307=""),"Plan manquant (préventif)",IF(AND(F1307&lt;&gt;"",ISNA(MATCH(F1307,pl_num,0))),"Plan inconnu",IF(AND(F1307&lt;&gt;"",IFERROR(INDEX(pl_eq,MATCH(F1307,pl_num,0))&amp;"",C1307)&lt;&gt;C1307),"Plan d'un autre équipement",IF(AND(J1307&lt;&gt;"",OR(NOT(ISNUMBER(J1307)),N(J1307)&lt;0)),"Compteur invalide",IF(OR(AND(K1307&lt;&gt;"",OR(NOT(ISNUMBER(K1307)),N(K1307)&lt;0)),AND(L1307&lt;&gt;"",OR(NOT(ISNUMBER(L1307)),N(L1307)&lt;0))),"Durée invalide",IF(OR(AND(N1307&lt;&gt;"",OR(NOT(ISNUMBER(N1307)),N(N1307)&lt;0)),AND(P1307&lt;&gt;"",OR(NOT(ISNUMBER(P1307)),N(P1307)&lt;0))),"Coût invalide",IF(AND(M1307&lt;&gt;"",ISNA(MATCH(M1307,tech_name,0))),"Technicien inconnu",IF(AND(I1307="Terminée",S1307&gt;p_today),"Terminée à une date future",IF(AND(I1307="Terminée",V1307=0),"Durée d'intervention manquante",IF(AND(I1307="Terminée",E1307="Préventif",T1307=0,OR(IFERROR(INDEX(pl_trig,MATCH(F1307,pl_num,0))&amp;"","")="Compteur",IFERROR(INDEX(pl_trig,MATCH(F1307,pl_num,0))&amp;"","")="Au premier des deux")),"Compteur manquant (plan au compteur)","OK"))))))))))))))))))</f>
        <v/>
      </c>
      <c r="S1307" s="67">
        <f>IF(AND(ISNUMBER(B1307),N(B1307)&gt;0),INT(B1307),0)</f>
        <v>0.0</v>
      </c>
      <c r="T1307" s="67">
        <f>IF(AND(ISNUMBER(J1307),N(J1307)&gt;=0),N(J1307),0)</f>
        <v>0.0</v>
      </c>
      <c r="U1307" s="67">
        <f>IF(AND(ISNUMBER(K1307),N(K1307)&gt;0),N(K1307),0)</f>
        <v>0.0</v>
      </c>
      <c r="V1307" s="67">
        <f>IF(AND(ISNUMBER(L1307),N(L1307)&gt;0),N(L1307),0)</f>
        <v>0.0</v>
      </c>
      <c r="W1307" s="67">
        <f>IF(AND(I1307="Terminée",S1307&gt;0,C1307&lt;&gt;"",ISNUMBER(MATCH(C1307,eq_code,0))),1,0)</f>
        <v>0.0</v>
      </c>
      <c r="X1307" s="67">
        <f>IF(AND(W1307=1,E1307="Préventif"),1,0)</f>
        <v>0.0</v>
      </c>
      <c r="Y1307" s="67">
        <f>IF(AND(ISNUMBER(N1307),N(N1307)&gt;0),N(N1307),0)</f>
        <v>0.0</v>
      </c>
      <c r="Z1307" s="67">
        <f>IF(AND(ISNUMBER(P1307),N(P1307)&gt;0),N(P1307),0)</f>
        <v>0.0</v>
      </c>
    </row>
    <row r="1308">
      <c r="A1308" s="79" t="str">
        <f>IF(COUNTA(B1308:C1308,E1308:G1308,I1308)=0,"","BI-"&amp;RIGHT("0000"&amp;(ROW()-5),4))</f>
        <v/>
      </c>
      <c r="B1308" s="72" t="n"/>
      <c r="C1308" s="66" t="n"/>
      <c r="D1308" s="67" t="str">
        <f>IF(C1308="","",IFERROR(INDEX(eq_des,MATCH(C1308,eq_code,0))&amp;"","Équipement inconnu"))</f>
        <v/>
      </c>
      <c r="E1308" s="68" t="n"/>
      <c r="F1308" s="68" t="n"/>
      <c r="G1308" s="66" t="n"/>
      <c r="H1308" s="66" t="n"/>
      <c r="I1308" s="68" t="n"/>
      <c r="J1308" s="73" t="n"/>
      <c r="K1308" s="71" t="n"/>
      <c r="L1308" s="71" t="n"/>
      <c r="M1308" s="66" t="n"/>
      <c r="N1308" s="80" t="n"/>
      <c r="O1308" s="81" t="str">
        <f>IF(A1308="","",ROUND(V1308*IFERROR(N(INDEX(tech_rate,MATCH(M1308,tech_name,0))),0),2))</f>
        <v/>
      </c>
      <c r="P1308" s="80" t="n"/>
      <c r="Q1308" s="81" t="str">
        <f>IF(A1308="","",ROUND(Y1308+O1308+Z1308,2))</f>
        <v/>
      </c>
      <c r="R1308" s="79" t="str">
        <f>IF(A1308="","",IF(S1308=0,"Date manquante ou invalide",IF(C1308="","Équipement manquant",IF(ISNA(MATCH(C1308,eq_code,0)),"Équipement inconnu",IF(E1308="","Type manquant",IF(AND(E1308&lt;&gt;"Préventif",E1308&lt;&gt;"Correctif",E1308&lt;&gt;"Amélioratif"),"Type inconnu",IF(I1308="","Statut manquant",IF(AND(I1308&lt;&gt;"Terminée",I1308&lt;&gt;"En cours",I1308&lt;&gt;"À faire",I1308&lt;&gt;"Annulée"),"Statut inconnu",IF(AND(E1308="Préventif",F1308=""),"Plan manquant (préventif)",IF(AND(F1308&lt;&gt;"",ISNA(MATCH(F1308,pl_num,0))),"Plan inconnu",IF(AND(F1308&lt;&gt;"",IFERROR(INDEX(pl_eq,MATCH(F1308,pl_num,0))&amp;"",C1308)&lt;&gt;C1308),"Plan d'un autre équipement",IF(AND(J1308&lt;&gt;"",OR(NOT(ISNUMBER(J1308)),N(J1308)&lt;0)),"Compteur invalide",IF(OR(AND(K1308&lt;&gt;"",OR(NOT(ISNUMBER(K1308)),N(K1308)&lt;0)),AND(L1308&lt;&gt;"",OR(NOT(ISNUMBER(L1308)),N(L1308)&lt;0))),"Durée invalide",IF(OR(AND(N1308&lt;&gt;"",OR(NOT(ISNUMBER(N1308)),N(N1308)&lt;0)),AND(P1308&lt;&gt;"",OR(NOT(ISNUMBER(P1308)),N(P1308)&lt;0))),"Coût invalide",IF(AND(M1308&lt;&gt;"",ISNA(MATCH(M1308,tech_name,0))),"Technicien inconnu",IF(AND(I1308="Terminée",S1308&gt;p_today),"Terminée à une date future",IF(AND(I1308="Terminée",V1308=0),"Durée d'intervention manquante",IF(AND(I1308="Terminée",E1308="Préventif",T1308=0,OR(IFERROR(INDEX(pl_trig,MATCH(F1308,pl_num,0))&amp;"","")="Compteur",IFERROR(INDEX(pl_trig,MATCH(F1308,pl_num,0))&amp;"","")="Au premier des deux")),"Compteur manquant (plan au compteur)","OK"))))))))))))))))))</f>
        <v/>
      </c>
      <c r="S1308" s="67">
        <f>IF(AND(ISNUMBER(B1308),N(B1308)&gt;0),INT(B1308),0)</f>
        <v>0.0</v>
      </c>
      <c r="T1308" s="67">
        <f>IF(AND(ISNUMBER(J1308),N(J1308)&gt;=0),N(J1308),0)</f>
        <v>0.0</v>
      </c>
      <c r="U1308" s="67">
        <f>IF(AND(ISNUMBER(K1308),N(K1308)&gt;0),N(K1308),0)</f>
        <v>0.0</v>
      </c>
      <c r="V1308" s="67">
        <f>IF(AND(ISNUMBER(L1308),N(L1308)&gt;0),N(L1308),0)</f>
        <v>0.0</v>
      </c>
      <c r="W1308" s="67">
        <f>IF(AND(I1308="Terminée",S1308&gt;0,C1308&lt;&gt;"",ISNUMBER(MATCH(C1308,eq_code,0))),1,0)</f>
        <v>0.0</v>
      </c>
      <c r="X1308" s="67">
        <f>IF(AND(W1308=1,E1308="Préventif"),1,0)</f>
        <v>0.0</v>
      </c>
      <c r="Y1308" s="67">
        <f>IF(AND(ISNUMBER(N1308),N(N1308)&gt;0),N(N1308),0)</f>
        <v>0.0</v>
      </c>
      <c r="Z1308" s="67">
        <f>IF(AND(ISNUMBER(P1308),N(P1308)&gt;0),N(P1308),0)</f>
        <v>0.0</v>
      </c>
    </row>
    <row r="1309">
      <c r="A1309" s="79" t="str">
        <f>IF(COUNTA(B1309:C1309,E1309:G1309,I1309)=0,"","BI-"&amp;RIGHT("0000"&amp;(ROW()-5),4))</f>
        <v/>
      </c>
      <c r="B1309" s="72" t="n"/>
      <c r="C1309" s="66" t="n"/>
      <c r="D1309" s="67" t="str">
        <f>IF(C1309="","",IFERROR(INDEX(eq_des,MATCH(C1309,eq_code,0))&amp;"","Équipement inconnu"))</f>
        <v/>
      </c>
      <c r="E1309" s="68" t="n"/>
      <c r="F1309" s="68" t="n"/>
      <c r="G1309" s="66" t="n"/>
      <c r="H1309" s="66" t="n"/>
      <c r="I1309" s="68" t="n"/>
      <c r="J1309" s="73" t="n"/>
      <c r="K1309" s="71" t="n"/>
      <c r="L1309" s="71" t="n"/>
      <c r="M1309" s="66" t="n"/>
      <c r="N1309" s="80" t="n"/>
      <c r="O1309" s="81" t="str">
        <f>IF(A1309="","",ROUND(V1309*IFERROR(N(INDEX(tech_rate,MATCH(M1309,tech_name,0))),0),2))</f>
        <v/>
      </c>
      <c r="P1309" s="80" t="n"/>
      <c r="Q1309" s="81" t="str">
        <f>IF(A1309="","",ROUND(Y1309+O1309+Z1309,2))</f>
        <v/>
      </c>
      <c r="R1309" s="79" t="str">
        <f>IF(A1309="","",IF(S1309=0,"Date manquante ou invalide",IF(C1309="","Équipement manquant",IF(ISNA(MATCH(C1309,eq_code,0)),"Équipement inconnu",IF(E1309="","Type manquant",IF(AND(E1309&lt;&gt;"Préventif",E1309&lt;&gt;"Correctif",E1309&lt;&gt;"Amélioratif"),"Type inconnu",IF(I1309="","Statut manquant",IF(AND(I1309&lt;&gt;"Terminée",I1309&lt;&gt;"En cours",I1309&lt;&gt;"À faire",I1309&lt;&gt;"Annulée"),"Statut inconnu",IF(AND(E1309="Préventif",F1309=""),"Plan manquant (préventif)",IF(AND(F1309&lt;&gt;"",ISNA(MATCH(F1309,pl_num,0))),"Plan inconnu",IF(AND(F1309&lt;&gt;"",IFERROR(INDEX(pl_eq,MATCH(F1309,pl_num,0))&amp;"",C1309)&lt;&gt;C1309),"Plan d'un autre équipement",IF(AND(J1309&lt;&gt;"",OR(NOT(ISNUMBER(J1309)),N(J1309)&lt;0)),"Compteur invalide",IF(OR(AND(K1309&lt;&gt;"",OR(NOT(ISNUMBER(K1309)),N(K1309)&lt;0)),AND(L1309&lt;&gt;"",OR(NOT(ISNUMBER(L1309)),N(L1309)&lt;0))),"Durée invalide",IF(OR(AND(N1309&lt;&gt;"",OR(NOT(ISNUMBER(N1309)),N(N1309)&lt;0)),AND(P1309&lt;&gt;"",OR(NOT(ISNUMBER(P1309)),N(P1309)&lt;0))),"Coût invalide",IF(AND(M1309&lt;&gt;"",ISNA(MATCH(M1309,tech_name,0))),"Technicien inconnu",IF(AND(I1309="Terminée",S1309&gt;p_today),"Terminée à une date future",IF(AND(I1309="Terminée",V1309=0),"Durée d'intervention manquante",IF(AND(I1309="Terminée",E1309="Préventif",T1309=0,OR(IFERROR(INDEX(pl_trig,MATCH(F1309,pl_num,0))&amp;"","")="Compteur",IFERROR(INDEX(pl_trig,MATCH(F1309,pl_num,0))&amp;"","")="Au premier des deux")),"Compteur manquant (plan au compteur)","OK"))))))))))))))))))</f>
        <v/>
      </c>
      <c r="S1309" s="67">
        <f>IF(AND(ISNUMBER(B1309),N(B1309)&gt;0),INT(B1309),0)</f>
        <v>0.0</v>
      </c>
      <c r="T1309" s="67">
        <f>IF(AND(ISNUMBER(J1309),N(J1309)&gt;=0),N(J1309),0)</f>
        <v>0.0</v>
      </c>
      <c r="U1309" s="67">
        <f>IF(AND(ISNUMBER(K1309),N(K1309)&gt;0),N(K1309),0)</f>
        <v>0.0</v>
      </c>
      <c r="V1309" s="67">
        <f>IF(AND(ISNUMBER(L1309),N(L1309)&gt;0),N(L1309),0)</f>
        <v>0.0</v>
      </c>
      <c r="W1309" s="67">
        <f>IF(AND(I1309="Terminée",S1309&gt;0,C1309&lt;&gt;"",ISNUMBER(MATCH(C1309,eq_code,0))),1,0)</f>
        <v>0.0</v>
      </c>
      <c r="X1309" s="67">
        <f>IF(AND(W1309=1,E1309="Préventif"),1,0)</f>
        <v>0.0</v>
      </c>
      <c r="Y1309" s="67">
        <f>IF(AND(ISNUMBER(N1309),N(N1309)&gt;0),N(N1309),0)</f>
        <v>0.0</v>
      </c>
      <c r="Z1309" s="67">
        <f>IF(AND(ISNUMBER(P1309),N(P1309)&gt;0),N(P1309),0)</f>
        <v>0.0</v>
      </c>
    </row>
    <row r="1310">
      <c r="A1310" s="79" t="str">
        <f>IF(COUNTA(B1310:C1310,E1310:G1310,I1310)=0,"","BI-"&amp;RIGHT("0000"&amp;(ROW()-5),4))</f>
        <v/>
      </c>
      <c r="B1310" s="72" t="n"/>
      <c r="C1310" s="66" t="n"/>
      <c r="D1310" s="67" t="str">
        <f>IF(C1310="","",IFERROR(INDEX(eq_des,MATCH(C1310,eq_code,0))&amp;"","Équipement inconnu"))</f>
        <v/>
      </c>
      <c r="E1310" s="68" t="n"/>
      <c r="F1310" s="68" t="n"/>
      <c r="G1310" s="66" t="n"/>
      <c r="H1310" s="66" t="n"/>
      <c r="I1310" s="68" t="n"/>
      <c r="J1310" s="73" t="n"/>
      <c r="K1310" s="71" t="n"/>
      <c r="L1310" s="71" t="n"/>
      <c r="M1310" s="66" t="n"/>
      <c r="N1310" s="80" t="n"/>
      <c r="O1310" s="81" t="str">
        <f>IF(A1310="","",ROUND(V1310*IFERROR(N(INDEX(tech_rate,MATCH(M1310,tech_name,0))),0),2))</f>
        <v/>
      </c>
      <c r="P1310" s="80" t="n"/>
      <c r="Q1310" s="81" t="str">
        <f>IF(A1310="","",ROUND(Y1310+O1310+Z1310,2))</f>
        <v/>
      </c>
      <c r="R1310" s="79" t="str">
        <f>IF(A1310="","",IF(S1310=0,"Date manquante ou invalide",IF(C1310="","Équipement manquant",IF(ISNA(MATCH(C1310,eq_code,0)),"Équipement inconnu",IF(E1310="","Type manquant",IF(AND(E1310&lt;&gt;"Préventif",E1310&lt;&gt;"Correctif",E1310&lt;&gt;"Amélioratif"),"Type inconnu",IF(I1310="","Statut manquant",IF(AND(I1310&lt;&gt;"Terminée",I1310&lt;&gt;"En cours",I1310&lt;&gt;"À faire",I1310&lt;&gt;"Annulée"),"Statut inconnu",IF(AND(E1310="Préventif",F1310=""),"Plan manquant (préventif)",IF(AND(F1310&lt;&gt;"",ISNA(MATCH(F1310,pl_num,0))),"Plan inconnu",IF(AND(F1310&lt;&gt;"",IFERROR(INDEX(pl_eq,MATCH(F1310,pl_num,0))&amp;"",C1310)&lt;&gt;C1310),"Plan d'un autre équipement",IF(AND(J1310&lt;&gt;"",OR(NOT(ISNUMBER(J1310)),N(J1310)&lt;0)),"Compteur invalide",IF(OR(AND(K1310&lt;&gt;"",OR(NOT(ISNUMBER(K1310)),N(K1310)&lt;0)),AND(L1310&lt;&gt;"",OR(NOT(ISNUMBER(L1310)),N(L1310)&lt;0))),"Durée invalide",IF(OR(AND(N1310&lt;&gt;"",OR(NOT(ISNUMBER(N1310)),N(N1310)&lt;0)),AND(P1310&lt;&gt;"",OR(NOT(ISNUMBER(P1310)),N(P1310)&lt;0))),"Coût invalide",IF(AND(M1310&lt;&gt;"",ISNA(MATCH(M1310,tech_name,0))),"Technicien inconnu",IF(AND(I1310="Terminée",S1310&gt;p_today),"Terminée à une date future",IF(AND(I1310="Terminée",V1310=0),"Durée d'intervention manquante",IF(AND(I1310="Terminée",E1310="Préventif",T1310=0,OR(IFERROR(INDEX(pl_trig,MATCH(F1310,pl_num,0))&amp;"","")="Compteur",IFERROR(INDEX(pl_trig,MATCH(F1310,pl_num,0))&amp;"","")="Au premier des deux")),"Compteur manquant (plan au compteur)","OK"))))))))))))))))))</f>
        <v/>
      </c>
      <c r="S1310" s="67">
        <f>IF(AND(ISNUMBER(B1310),N(B1310)&gt;0),INT(B1310),0)</f>
        <v>0.0</v>
      </c>
      <c r="T1310" s="67">
        <f>IF(AND(ISNUMBER(J1310),N(J1310)&gt;=0),N(J1310),0)</f>
        <v>0.0</v>
      </c>
      <c r="U1310" s="67">
        <f>IF(AND(ISNUMBER(K1310),N(K1310)&gt;0),N(K1310),0)</f>
        <v>0.0</v>
      </c>
      <c r="V1310" s="67">
        <f>IF(AND(ISNUMBER(L1310),N(L1310)&gt;0),N(L1310),0)</f>
        <v>0.0</v>
      </c>
      <c r="W1310" s="67">
        <f>IF(AND(I1310="Terminée",S1310&gt;0,C1310&lt;&gt;"",ISNUMBER(MATCH(C1310,eq_code,0))),1,0)</f>
        <v>0.0</v>
      </c>
      <c r="X1310" s="67">
        <f>IF(AND(W1310=1,E1310="Préventif"),1,0)</f>
        <v>0.0</v>
      </c>
      <c r="Y1310" s="67">
        <f>IF(AND(ISNUMBER(N1310),N(N1310)&gt;0),N(N1310),0)</f>
        <v>0.0</v>
      </c>
      <c r="Z1310" s="67">
        <f>IF(AND(ISNUMBER(P1310),N(P1310)&gt;0),N(P1310),0)</f>
        <v>0.0</v>
      </c>
    </row>
    <row r="1311">
      <c r="A1311" s="79" t="str">
        <f>IF(COUNTA(B1311:C1311,E1311:G1311,I1311)=0,"","BI-"&amp;RIGHT("0000"&amp;(ROW()-5),4))</f>
        <v/>
      </c>
      <c r="B1311" s="72" t="n"/>
      <c r="C1311" s="66" t="n"/>
      <c r="D1311" s="67" t="str">
        <f>IF(C1311="","",IFERROR(INDEX(eq_des,MATCH(C1311,eq_code,0))&amp;"","Équipement inconnu"))</f>
        <v/>
      </c>
      <c r="E1311" s="68" t="n"/>
      <c r="F1311" s="68" t="n"/>
      <c r="G1311" s="66" t="n"/>
      <c r="H1311" s="66" t="n"/>
      <c r="I1311" s="68" t="n"/>
      <c r="J1311" s="73" t="n"/>
      <c r="K1311" s="71" t="n"/>
      <c r="L1311" s="71" t="n"/>
      <c r="M1311" s="66" t="n"/>
      <c r="N1311" s="80" t="n"/>
      <c r="O1311" s="81" t="str">
        <f>IF(A1311="","",ROUND(V1311*IFERROR(N(INDEX(tech_rate,MATCH(M1311,tech_name,0))),0),2))</f>
        <v/>
      </c>
      <c r="P1311" s="80" t="n"/>
      <c r="Q1311" s="81" t="str">
        <f>IF(A1311="","",ROUND(Y1311+O1311+Z1311,2))</f>
        <v/>
      </c>
      <c r="R1311" s="79" t="str">
        <f>IF(A1311="","",IF(S1311=0,"Date manquante ou invalide",IF(C1311="","Équipement manquant",IF(ISNA(MATCH(C1311,eq_code,0)),"Équipement inconnu",IF(E1311="","Type manquant",IF(AND(E1311&lt;&gt;"Préventif",E1311&lt;&gt;"Correctif",E1311&lt;&gt;"Amélioratif"),"Type inconnu",IF(I1311="","Statut manquant",IF(AND(I1311&lt;&gt;"Terminée",I1311&lt;&gt;"En cours",I1311&lt;&gt;"À faire",I1311&lt;&gt;"Annulée"),"Statut inconnu",IF(AND(E1311="Préventif",F1311=""),"Plan manquant (préventif)",IF(AND(F1311&lt;&gt;"",ISNA(MATCH(F1311,pl_num,0))),"Plan inconnu",IF(AND(F1311&lt;&gt;"",IFERROR(INDEX(pl_eq,MATCH(F1311,pl_num,0))&amp;"",C1311)&lt;&gt;C1311),"Plan d'un autre équipement",IF(AND(J1311&lt;&gt;"",OR(NOT(ISNUMBER(J1311)),N(J1311)&lt;0)),"Compteur invalide",IF(OR(AND(K1311&lt;&gt;"",OR(NOT(ISNUMBER(K1311)),N(K1311)&lt;0)),AND(L1311&lt;&gt;"",OR(NOT(ISNUMBER(L1311)),N(L1311)&lt;0))),"Durée invalide",IF(OR(AND(N1311&lt;&gt;"",OR(NOT(ISNUMBER(N1311)),N(N1311)&lt;0)),AND(P1311&lt;&gt;"",OR(NOT(ISNUMBER(P1311)),N(P1311)&lt;0))),"Coût invalide",IF(AND(M1311&lt;&gt;"",ISNA(MATCH(M1311,tech_name,0))),"Technicien inconnu",IF(AND(I1311="Terminée",S1311&gt;p_today),"Terminée à une date future",IF(AND(I1311="Terminée",V1311=0),"Durée d'intervention manquante",IF(AND(I1311="Terminée",E1311="Préventif",T1311=0,OR(IFERROR(INDEX(pl_trig,MATCH(F1311,pl_num,0))&amp;"","")="Compteur",IFERROR(INDEX(pl_trig,MATCH(F1311,pl_num,0))&amp;"","")="Au premier des deux")),"Compteur manquant (plan au compteur)","OK"))))))))))))))))))</f>
        <v/>
      </c>
      <c r="S1311" s="67">
        <f>IF(AND(ISNUMBER(B1311),N(B1311)&gt;0),INT(B1311),0)</f>
        <v>0.0</v>
      </c>
      <c r="T1311" s="67">
        <f>IF(AND(ISNUMBER(J1311),N(J1311)&gt;=0),N(J1311),0)</f>
        <v>0.0</v>
      </c>
      <c r="U1311" s="67">
        <f>IF(AND(ISNUMBER(K1311),N(K1311)&gt;0),N(K1311),0)</f>
        <v>0.0</v>
      </c>
      <c r="V1311" s="67">
        <f>IF(AND(ISNUMBER(L1311),N(L1311)&gt;0),N(L1311),0)</f>
        <v>0.0</v>
      </c>
      <c r="W1311" s="67">
        <f>IF(AND(I1311="Terminée",S1311&gt;0,C1311&lt;&gt;"",ISNUMBER(MATCH(C1311,eq_code,0))),1,0)</f>
        <v>0.0</v>
      </c>
      <c r="X1311" s="67">
        <f>IF(AND(W1311=1,E1311="Préventif"),1,0)</f>
        <v>0.0</v>
      </c>
      <c r="Y1311" s="67">
        <f>IF(AND(ISNUMBER(N1311),N(N1311)&gt;0),N(N1311),0)</f>
        <v>0.0</v>
      </c>
      <c r="Z1311" s="67">
        <f>IF(AND(ISNUMBER(P1311),N(P1311)&gt;0),N(P1311),0)</f>
        <v>0.0</v>
      </c>
    </row>
    <row r="1312">
      <c r="A1312" s="79" t="str">
        <f>IF(COUNTA(B1312:C1312,E1312:G1312,I1312)=0,"","BI-"&amp;RIGHT("0000"&amp;(ROW()-5),4))</f>
        <v/>
      </c>
      <c r="B1312" s="72" t="n"/>
      <c r="C1312" s="66" t="n"/>
      <c r="D1312" s="67" t="str">
        <f>IF(C1312="","",IFERROR(INDEX(eq_des,MATCH(C1312,eq_code,0))&amp;"","Équipement inconnu"))</f>
        <v/>
      </c>
      <c r="E1312" s="68" t="n"/>
      <c r="F1312" s="68" t="n"/>
      <c r="G1312" s="66" t="n"/>
      <c r="H1312" s="66" t="n"/>
      <c r="I1312" s="68" t="n"/>
      <c r="J1312" s="73" t="n"/>
      <c r="K1312" s="71" t="n"/>
      <c r="L1312" s="71" t="n"/>
      <c r="M1312" s="66" t="n"/>
      <c r="N1312" s="80" t="n"/>
      <c r="O1312" s="81" t="str">
        <f>IF(A1312="","",ROUND(V1312*IFERROR(N(INDEX(tech_rate,MATCH(M1312,tech_name,0))),0),2))</f>
        <v/>
      </c>
      <c r="P1312" s="80" t="n"/>
      <c r="Q1312" s="81" t="str">
        <f>IF(A1312="","",ROUND(Y1312+O1312+Z1312,2))</f>
        <v/>
      </c>
      <c r="R1312" s="79" t="str">
        <f>IF(A1312="","",IF(S1312=0,"Date manquante ou invalide",IF(C1312="","Équipement manquant",IF(ISNA(MATCH(C1312,eq_code,0)),"Équipement inconnu",IF(E1312="","Type manquant",IF(AND(E1312&lt;&gt;"Préventif",E1312&lt;&gt;"Correctif",E1312&lt;&gt;"Amélioratif"),"Type inconnu",IF(I1312="","Statut manquant",IF(AND(I1312&lt;&gt;"Terminée",I1312&lt;&gt;"En cours",I1312&lt;&gt;"À faire",I1312&lt;&gt;"Annulée"),"Statut inconnu",IF(AND(E1312="Préventif",F1312=""),"Plan manquant (préventif)",IF(AND(F1312&lt;&gt;"",ISNA(MATCH(F1312,pl_num,0))),"Plan inconnu",IF(AND(F1312&lt;&gt;"",IFERROR(INDEX(pl_eq,MATCH(F1312,pl_num,0))&amp;"",C1312)&lt;&gt;C1312),"Plan d'un autre équipement",IF(AND(J1312&lt;&gt;"",OR(NOT(ISNUMBER(J1312)),N(J1312)&lt;0)),"Compteur invalide",IF(OR(AND(K1312&lt;&gt;"",OR(NOT(ISNUMBER(K1312)),N(K1312)&lt;0)),AND(L1312&lt;&gt;"",OR(NOT(ISNUMBER(L1312)),N(L1312)&lt;0))),"Durée invalide",IF(OR(AND(N1312&lt;&gt;"",OR(NOT(ISNUMBER(N1312)),N(N1312)&lt;0)),AND(P1312&lt;&gt;"",OR(NOT(ISNUMBER(P1312)),N(P1312)&lt;0))),"Coût invalide",IF(AND(M1312&lt;&gt;"",ISNA(MATCH(M1312,tech_name,0))),"Technicien inconnu",IF(AND(I1312="Terminée",S1312&gt;p_today),"Terminée à une date future",IF(AND(I1312="Terminée",V1312=0),"Durée d'intervention manquante",IF(AND(I1312="Terminée",E1312="Préventif",T1312=0,OR(IFERROR(INDEX(pl_trig,MATCH(F1312,pl_num,0))&amp;"","")="Compteur",IFERROR(INDEX(pl_trig,MATCH(F1312,pl_num,0))&amp;"","")="Au premier des deux")),"Compteur manquant (plan au compteur)","OK"))))))))))))))))))</f>
        <v/>
      </c>
      <c r="S1312" s="67">
        <f>IF(AND(ISNUMBER(B1312),N(B1312)&gt;0),INT(B1312),0)</f>
        <v>0.0</v>
      </c>
      <c r="T1312" s="67">
        <f>IF(AND(ISNUMBER(J1312),N(J1312)&gt;=0),N(J1312),0)</f>
        <v>0.0</v>
      </c>
      <c r="U1312" s="67">
        <f>IF(AND(ISNUMBER(K1312),N(K1312)&gt;0),N(K1312),0)</f>
        <v>0.0</v>
      </c>
      <c r="V1312" s="67">
        <f>IF(AND(ISNUMBER(L1312),N(L1312)&gt;0),N(L1312),0)</f>
        <v>0.0</v>
      </c>
      <c r="W1312" s="67">
        <f>IF(AND(I1312="Terminée",S1312&gt;0,C1312&lt;&gt;"",ISNUMBER(MATCH(C1312,eq_code,0))),1,0)</f>
        <v>0.0</v>
      </c>
      <c r="X1312" s="67">
        <f>IF(AND(W1312=1,E1312="Préventif"),1,0)</f>
        <v>0.0</v>
      </c>
      <c r="Y1312" s="67">
        <f>IF(AND(ISNUMBER(N1312),N(N1312)&gt;0),N(N1312),0)</f>
        <v>0.0</v>
      </c>
      <c r="Z1312" s="67">
        <f>IF(AND(ISNUMBER(P1312),N(P1312)&gt;0),N(P1312),0)</f>
        <v>0.0</v>
      </c>
    </row>
    <row r="1313">
      <c r="A1313" s="79" t="str">
        <f>IF(COUNTA(B1313:C1313,E1313:G1313,I1313)=0,"","BI-"&amp;RIGHT("0000"&amp;(ROW()-5),4))</f>
        <v/>
      </c>
      <c r="B1313" s="72" t="n"/>
      <c r="C1313" s="66" t="n"/>
      <c r="D1313" s="67" t="str">
        <f>IF(C1313="","",IFERROR(INDEX(eq_des,MATCH(C1313,eq_code,0))&amp;"","Équipement inconnu"))</f>
        <v/>
      </c>
      <c r="E1313" s="68" t="n"/>
      <c r="F1313" s="68" t="n"/>
      <c r="G1313" s="66" t="n"/>
      <c r="H1313" s="66" t="n"/>
      <c r="I1313" s="68" t="n"/>
      <c r="J1313" s="73" t="n"/>
      <c r="K1313" s="71" t="n"/>
      <c r="L1313" s="71" t="n"/>
      <c r="M1313" s="66" t="n"/>
      <c r="N1313" s="80" t="n"/>
      <c r="O1313" s="81" t="str">
        <f>IF(A1313="","",ROUND(V1313*IFERROR(N(INDEX(tech_rate,MATCH(M1313,tech_name,0))),0),2))</f>
        <v/>
      </c>
      <c r="P1313" s="80" t="n"/>
      <c r="Q1313" s="81" t="str">
        <f>IF(A1313="","",ROUND(Y1313+O1313+Z1313,2))</f>
        <v/>
      </c>
      <c r="R1313" s="79" t="str">
        <f>IF(A1313="","",IF(S1313=0,"Date manquante ou invalide",IF(C1313="","Équipement manquant",IF(ISNA(MATCH(C1313,eq_code,0)),"Équipement inconnu",IF(E1313="","Type manquant",IF(AND(E1313&lt;&gt;"Préventif",E1313&lt;&gt;"Correctif",E1313&lt;&gt;"Amélioratif"),"Type inconnu",IF(I1313="","Statut manquant",IF(AND(I1313&lt;&gt;"Terminée",I1313&lt;&gt;"En cours",I1313&lt;&gt;"À faire",I1313&lt;&gt;"Annulée"),"Statut inconnu",IF(AND(E1313="Préventif",F1313=""),"Plan manquant (préventif)",IF(AND(F1313&lt;&gt;"",ISNA(MATCH(F1313,pl_num,0))),"Plan inconnu",IF(AND(F1313&lt;&gt;"",IFERROR(INDEX(pl_eq,MATCH(F1313,pl_num,0))&amp;"",C1313)&lt;&gt;C1313),"Plan d'un autre équipement",IF(AND(J1313&lt;&gt;"",OR(NOT(ISNUMBER(J1313)),N(J1313)&lt;0)),"Compteur invalide",IF(OR(AND(K1313&lt;&gt;"",OR(NOT(ISNUMBER(K1313)),N(K1313)&lt;0)),AND(L1313&lt;&gt;"",OR(NOT(ISNUMBER(L1313)),N(L1313)&lt;0))),"Durée invalide",IF(OR(AND(N1313&lt;&gt;"",OR(NOT(ISNUMBER(N1313)),N(N1313)&lt;0)),AND(P1313&lt;&gt;"",OR(NOT(ISNUMBER(P1313)),N(P1313)&lt;0))),"Coût invalide",IF(AND(M1313&lt;&gt;"",ISNA(MATCH(M1313,tech_name,0))),"Technicien inconnu",IF(AND(I1313="Terminée",S1313&gt;p_today),"Terminée à une date future",IF(AND(I1313="Terminée",V1313=0),"Durée d'intervention manquante",IF(AND(I1313="Terminée",E1313="Préventif",T1313=0,OR(IFERROR(INDEX(pl_trig,MATCH(F1313,pl_num,0))&amp;"","")="Compteur",IFERROR(INDEX(pl_trig,MATCH(F1313,pl_num,0))&amp;"","")="Au premier des deux")),"Compteur manquant (plan au compteur)","OK"))))))))))))))))))</f>
        <v/>
      </c>
      <c r="S1313" s="67">
        <f>IF(AND(ISNUMBER(B1313),N(B1313)&gt;0),INT(B1313),0)</f>
        <v>0.0</v>
      </c>
      <c r="T1313" s="67">
        <f>IF(AND(ISNUMBER(J1313),N(J1313)&gt;=0),N(J1313),0)</f>
        <v>0.0</v>
      </c>
      <c r="U1313" s="67">
        <f>IF(AND(ISNUMBER(K1313),N(K1313)&gt;0),N(K1313),0)</f>
        <v>0.0</v>
      </c>
      <c r="V1313" s="67">
        <f>IF(AND(ISNUMBER(L1313),N(L1313)&gt;0),N(L1313),0)</f>
        <v>0.0</v>
      </c>
      <c r="W1313" s="67">
        <f>IF(AND(I1313="Terminée",S1313&gt;0,C1313&lt;&gt;"",ISNUMBER(MATCH(C1313,eq_code,0))),1,0)</f>
        <v>0.0</v>
      </c>
      <c r="X1313" s="67">
        <f>IF(AND(W1313=1,E1313="Préventif"),1,0)</f>
        <v>0.0</v>
      </c>
      <c r="Y1313" s="67">
        <f>IF(AND(ISNUMBER(N1313),N(N1313)&gt;0),N(N1313),0)</f>
        <v>0.0</v>
      </c>
      <c r="Z1313" s="67">
        <f>IF(AND(ISNUMBER(P1313),N(P1313)&gt;0),N(P1313),0)</f>
        <v>0.0</v>
      </c>
    </row>
    <row r="1314">
      <c r="A1314" s="79" t="str">
        <f>IF(COUNTA(B1314:C1314,E1314:G1314,I1314)=0,"","BI-"&amp;RIGHT("0000"&amp;(ROW()-5),4))</f>
        <v/>
      </c>
      <c r="B1314" s="72" t="n"/>
      <c r="C1314" s="66" t="n"/>
      <c r="D1314" s="67" t="str">
        <f>IF(C1314="","",IFERROR(INDEX(eq_des,MATCH(C1314,eq_code,0))&amp;"","Équipement inconnu"))</f>
        <v/>
      </c>
      <c r="E1314" s="68" t="n"/>
      <c r="F1314" s="68" t="n"/>
      <c r="G1314" s="66" t="n"/>
      <c r="H1314" s="66" t="n"/>
      <c r="I1314" s="68" t="n"/>
      <c r="J1314" s="73" t="n"/>
      <c r="K1314" s="71" t="n"/>
      <c r="L1314" s="71" t="n"/>
      <c r="M1314" s="66" t="n"/>
      <c r="N1314" s="80" t="n"/>
      <c r="O1314" s="81" t="str">
        <f>IF(A1314="","",ROUND(V1314*IFERROR(N(INDEX(tech_rate,MATCH(M1314,tech_name,0))),0),2))</f>
        <v/>
      </c>
      <c r="P1314" s="80" t="n"/>
      <c r="Q1314" s="81" t="str">
        <f>IF(A1314="","",ROUND(Y1314+O1314+Z1314,2))</f>
        <v/>
      </c>
      <c r="R1314" s="79" t="str">
        <f>IF(A1314="","",IF(S1314=0,"Date manquante ou invalide",IF(C1314="","Équipement manquant",IF(ISNA(MATCH(C1314,eq_code,0)),"Équipement inconnu",IF(E1314="","Type manquant",IF(AND(E1314&lt;&gt;"Préventif",E1314&lt;&gt;"Correctif",E1314&lt;&gt;"Amélioratif"),"Type inconnu",IF(I1314="","Statut manquant",IF(AND(I1314&lt;&gt;"Terminée",I1314&lt;&gt;"En cours",I1314&lt;&gt;"À faire",I1314&lt;&gt;"Annulée"),"Statut inconnu",IF(AND(E1314="Préventif",F1314=""),"Plan manquant (préventif)",IF(AND(F1314&lt;&gt;"",ISNA(MATCH(F1314,pl_num,0))),"Plan inconnu",IF(AND(F1314&lt;&gt;"",IFERROR(INDEX(pl_eq,MATCH(F1314,pl_num,0))&amp;"",C1314)&lt;&gt;C1314),"Plan d'un autre équipement",IF(AND(J1314&lt;&gt;"",OR(NOT(ISNUMBER(J1314)),N(J1314)&lt;0)),"Compteur invalide",IF(OR(AND(K1314&lt;&gt;"",OR(NOT(ISNUMBER(K1314)),N(K1314)&lt;0)),AND(L1314&lt;&gt;"",OR(NOT(ISNUMBER(L1314)),N(L1314)&lt;0))),"Durée invalide",IF(OR(AND(N1314&lt;&gt;"",OR(NOT(ISNUMBER(N1314)),N(N1314)&lt;0)),AND(P1314&lt;&gt;"",OR(NOT(ISNUMBER(P1314)),N(P1314)&lt;0))),"Coût invalide",IF(AND(M1314&lt;&gt;"",ISNA(MATCH(M1314,tech_name,0))),"Technicien inconnu",IF(AND(I1314="Terminée",S1314&gt;p_today),"Terminée à une date future",IF(AND(I1314="Terminée",V1314=0),"Durée d'intervention manquante",IF(AND(I1314="Terminée",E1314="Préventif",T1314=0,OR(IFERROR(INDEX(pl_trig,MATCH(F1314,pl_num,0))&amp;"","")="Compteur",IFERROR(INDEX(pl_trig,MATCH(F1314,pl_num,0))&amp;"","")="Au premier des deux")),"Compteur manquant (plan au compteur)","OK"))))))))))))))))))</f>
        <v/>
      </c>
      <c r="S1314" s="67">
        <f>IF(AND(ISNUMBER(B1314),N(B1314)&gt;0),INT(B1314),0)</f>
        <v>0.0</v>
      </c>
      <c r="T1314" s="67">
        <f>IF(AND(ISNUMBER(J1314),N(J1314)&gt;=0),N(J1314),0)</f>
        <v>0.0</v>
      </c>
      <c r="U1314" s="67">
        <f>IF(AND(ISNUMBER(K1314),N(K1314)&gt;0),N(K1314),0)</f>
        <v>0.0</v>
      </c>
      <c r="V1314" s="67">
        <f>IF(AND(ISNUMBER(L1314),N(L1314)&gt;0),N(L1314),0)</f>
        <v>0.0</v>
      </c>
      <c r="W1314" s="67">
        <f>IF(AND(I1314="Terminée",S1314&gt;0,C1314&lt;&gt;"",ISNUMBER(MATCH(C1314,eq_code,0))),1,0)</f>
        <v>0.0</v>
      </c>
      <c r="X1314" s="67">
        <f>IF(AND(W1314=1,E1314="Préventif"),1,0)</f>
        <v>0.0</v>
      </c>
      <c r="Y1314" s="67">
        <f>IF(AND(ISNUMBER(N1314),N(N1314)&gt;0),N(N1314),0)</f>
        <v>0.0</v>
      </c>
      <c r="Z1314" s="67">
        <f>IF(AND(ISNUMBER(P1314),N(P1314)&gt;0),N(P1314),0)</f>
        <v>0.0</v>
      </c>
    </row>
    <row r="1315">
      <c r="A1315" s="79" t="str">
        <f>IF(COUNTA(B1315:C1315,E1315:G1315,I1315)=0,"","BI-"&amp;RIGHT("0000"&amp;(ROW()-5),4))</f>
        <v/>
      </c>
      <c r="B1315" s="72" t="n"/>
      <c r="C1315" s="66" t="n"/>
      <c r="D1315" s="67" t="str">
        <f>IF(C1315="","",IFERROR(INDEX(eq_des,MATCH(C1315,eq_code,0))&amp;"","Équipement inconnu"))</f>
        <v/>
      </c>
      <c r="E1315" s="68" t="n"/>
      <c r="F1315" s="68" t="n"/>
      <c r="G1315" s="66" t="n"/>
      <c r="H1315" s="66" t="n"/>
      <c r="I1315" s="68" t="n"/>
      <c r="J1315" s="73" t="n"/>
      <c r="K1315" s="71" t="n"/>
      <c r="L1315" s="71" t="n"/>
      <c r="M1315" s="66" t="n"/>
      <c r="N1315" s="80" t="n"/>
      <c r="O1315" s="81" t="str">
        <f>IF(A1315="","",ROUND(V1315*IFERROR(N(INDEX(tech_rate,MATCH(M1315,tech_name,0))),0),2))</f>
        <v/>
      </c>
      <c r="P1315" s="80" t="n"/>
      <c r="Q1315" s="81" t="str">
        <f>IF(A1315="","",ROUND(Y1315+O1315+Z1315,2))</f>
        <v/>
      </c>
      <c r="R1315" s="79" t="str">
        <f>IF(A1315="","",IF(S1315=0,"Date manquante ou invalide",IF(C1315="","Équipement manquant",IF(ISNA(MATCH(C1315,eq_code,0)),"Équipement inconnu",IF(E1315="","Type manquant",IF(AND(E1315&lt;&gt;"Préventif",E1315&lt;&gt;"Correctif",E1315&lt;&gt;"Amélioratif"),"Type inconnu",IF(I1315="","Statut manquant",IF(AND(I1315&lt;&gt;"Terminée",I1315&lt;&gt;"En cours",I1315&lt;&gt;"À faire",I1315&lt;&gt;"Annulée"),"Statut inconnu",IF(AND(E1315="Préventif",F1315=""),"Plan manquant (préventif)",IF(AND(F1315&lt;&gt;"",ISNA(MATCH(F1315,pl_num,0))),"Plan inconnu",IF(AND(F1315&lt;&gt;"",IFERROR(INDEX(pl_eq,MATCH(F1315,pl_num,0))&amp;"",C1315)&lt;&gt;C1315),"Plan d'un autre équipement",IF(AND(J1315&lt;&gt;"",OR(NOT(ISNUMBER(J1315)),N(J1315)&lt;0)),"Compteur invalide",IF(OR(AND(K1315&lt;&gt;"",OR(NOT(ISNUMBER(K1315)),N(K1315)&lt;0)),AND(L1315&lt;&gt;"",OR(NOT(ISNUMBER(L1315)),N(L1315)&lt;0))),"Durée invalide",IF(OR(AND(N1315&lt;&gt;"",OR(NOT(ISNUMBER(N1315)),N(N1315)&lt;0)),AND(P1315&lt;&gt;"",OR(NOT(ISNUMBER(P1315)),N(P1315)&lt;0))),"Coût invalide",IF(AND(M1315&lt;&gt;"",ISNA(MATCH(M1315,tech_name,0))),"Technicien inconnu",IF(AND(I1315="Terminée",S1315&gt;p_today),"Terminée à une date future",IF(AND(I1315="Terminée",V1315=0),"Durée d'intervention manquante",IF(AND(I1315="Terminée",E1315="Préventif",T1315=0,OR(IFERROR(INDEX(pl_trig,MATCH(F1315,pl_num,0))&amp;"","")="Compteur",IFERROR(INDEX(pl_trig,MATCH(F1315,pl_num,0))&amp;"","")="Au premier des deux")),"Compteur manquant (plan au compteur)","OK"))))))))))))))))))</f>
        <v/>
      </c>
      <c r="S1315" s="67">
        <f>IF(AND(ISNUMBER(B1315),N(B1315)&gt;0),INT(B1315),0)</f>
        <v>0.0</v>
      </c>
      <c r="T1315" s="67">
        <f>IF(AND(ISNUMBER(J1315),N(J1315)&gt;=0),N(J1315),0)</f>
        <v>0.0</v>
      </c>
      <c r="U1315" s="67">
        <f>IF(AND(ISNUMBER(K1315),N(K1315)&gt;0),N(K1315),0)</f>
        <v>0.0</v>
      </c>
      <c r="V1315" s="67">
        <f>IF(AND(ISNUMBER(L1315),N(L1315)&gt;0),N(L1315),0)</f>
        <v>0.0</v>
      </c>
      <c r="W1315" s="67">
        <f>IF(AND(I1315="Terminée",S1315&gt;0,C1315&lt;&gt;"",ISNUMBER(MATCH(C1315,eq_code,0))),1,0)</f>
        <v>0.0</v>
      </c>
      <c r="X1315" s="67">
        <f>IF(AND(W1315=1,E1315="Préventif"),1,0)</f>
        <v>0.0</v>
      </c>
      <c r="Y1315" s="67">
        <f>IF(AND(ISNUMBER(N1315),N(N1315)&gt;0),N(N1315),0)</f>
        <v>0.0</v>
      </c>
      <c r="Z1315" s="67">
        <f>IF(AND(ISNUMBER(P1315),N(P1315)&gt;0),N(P1315),0)</f>
        <v>0.0</v>
      </c>
    </row>
    <row r="1316">
      <c r="A1316" s="79" t="str">
        <f>IF(COUNTA(B1316:C1316,E1316:G1316,I1316)=0,"","BI-"&amp;RIGHT("0000"&amp;(ROW()-5),4))</f>
        <v/>
      </c>
      <c r="B1316" s="72" t="n"/>
      <c r="C1316" s="66" t="n"/>
      <c r="D1316" s="67" t="str">
        <f>IF(C1316="","",IFERROR(INDEX(eq_des,MATCH(C1316,eq_code,0))&amp;"","Équipement inconnu"))</f>
        <v/>
      </c>
      <c r="E1316" s="68" t="n"/>
      <c r="F1316" s="68" t="n"/>
      <c r="G1316" s="66" t="n"/>
      <c r="H1316" s="66" t="n"/>
      <c r="I1316" s="68" t="n"/>
      <c r="J1316" s="73" t="n"/>
      <c r="K1316" s="71" t="n"/>
      <c r="L1316" s="71" t="n"/>
      <c r="M1316" s="66" t="n"/>
      <c r="N1316" s="80" t="n"/>
      <c r="O1316" s="81" t="str">
        <f>IF(A1316="","",ROUND(V1316*IFERROR(N(INDEX(tech_rate,MATCH(M1316,tech_name,0))),0),2))</f>
        <v/>
      </c>
      <c r="P1316" s="80" t="n"/>
      <c r="Q1316" s="81" t="str">
        <f>IF(A1316="","",ROUND(Y1316+O1316+Z1316,2))</f>
        <v/>
      </c>
      <c r="R1316" s="79" t="str">
        <f>IF(A1316="","",IF(S1316=0,"Date manquante ou invalide",IF(C1316="","Équipement manquant",IF(ISNA(MATCH(C1316,eq_code,0)),"Équipement inconnu",IF(E1316="","Type manquant",IF(AND(E1316&lt;&gt;"Préventif",E1316&lt;&gt;"Correctif",E1316&lt;&gt;"Amélioratif"),"Type inconnu",IF(I1316="","Statut manquant",IF(AND(I1316&lt;&gt;"Terminée",I1316&lt;&gt;"En cours",I1316&lt;&gt;"À faire",I1316&lt;&gt;"Annulée"),"Statut inconnu",IF(AND(E1316="Préventif",F1316=""),"Plan manquant (préventif)",IF(AND(F1316&lt;&gt;"",ISNA(MATCH(F1316,pl_num,0))),"Plan inconnu",IF(AND(F1316&lt;&gt;"",IFERROR(INDEX(pl_eq,MATCH(F1316,pl_num,0))&amp;"",C1316)&lt;&gt;C1316),"Plan d'un autre équipement",IF(AND(J1316&lt;&gt;"",OR(NOT(ISNUMBER(J1316)),N(J1316)&lt;0)),"Compteur invalide",IF(OR(AND(K1316&lt;&gt;"",OR(NOT(ISNUMBER(K1316)),N(K1316)&lt;0)),AND(L1316&lt;&gt;"",OR(NOT(ISNUMBER(L1316)),N(L1316)&lt;0))),"Durée invalide",IF(OR(AND(N1316&lt;&gt;"",OR(NOT(ISNUMBER(N1316)),N(N1316)&lt;0)),AND(P1316&lt;&gt;"",OR(NOT(ISNUMBER(P1316)),N(P1316)&lt;0))),"Coût invalide",IF(AND(M1316&lt;&gt;"",ISNA(MATCH(M1316,tech_name,0))),"Technicien inconnu",IF(AND(I1316="Terminée",S1316&gt;p_today),"Terminée à une date future",IF(AND(I1316="Terminée",V1316=0),"Durée d'intervention manquante",IF(AND(I1316="Terminée",E1316="Préventif",T1316=0,OR(IFERROR(INDEX(pl_trig,MATCH(F1316,pl_num,0))&amp;"","")="Compteur",IFERROR(INDEX(pl_trig,MATCH(F1316,pl_num,0))&amp;"","")="Au premier des deux")),"Compteur manquant (plan au compteur)","OK"))))))))))))))))))</f>
        <v/>
      </c>
      <c r="S1316" s="67">
        <f>IF(AND(ISNUMBER(B1316),N(B1316)&gt;0),INT(B1316),0)</f>
        <v>0.0</v>
      </c>
      <c r="T1316" s="67">
        <f>IF(AND(ISNUMBER(J1316),N(J1316)&gt;=0),N(J1316),0)</f>
        <v>0.0</v>
      </c>
      <c r="U1316" s="67">
        <f>IF(AND(ISNUMBER(K1316),N(K1316)&gt;0),N(K1316),0)</f>
        <v>0.0</v>
      </c>
      <c r="V1316" s="67">
        <f>IF(AND(ISNUMBER(L1316),N(L1316)&gt;0),N(L1316),0)</f>
        <v>0.0</v>
      </c>
      <c r="W1316" s="67">
        <f>IF(AND(I1316="Terminée",S1316&gt;0,C1316&lt;&gt;"",ISNUMBER(MATCH(C1316,eq_code,0))),1,0)</f>
        <v>0.0</v>
      </c>
      <c r="X1316" s="67">
        <f>IF(AND(W1316=1,E1316="Préventif"),1,0)</f>
        <v>0.0</v>
      </c>
      <c r="Y1316" s="67">
        <f>IF(AND(ISNUMBER(N1316),N(N1316)&gt;0),N(N1316),0)</f>
        <v>0.0</v>
      </c>
      <c r="Z1316" s="67">
        <f>IF(AND(ISNUMBER(P1316),N(P1316)&gt;0),N(P1316),0)</f>
        <v>0.0</v>
      </c>
    </row>
    <row r="1317">
      <c r="A1317" s="79" t="str">
        <f>IF(COUNTA(B1317:C1317,E1317:G1317,I1317)=0,"","BI-"&amp;RIGHT("0000"&amp;(ROW()-5),4))</f>
        <v/>
      </c>
      <c r="B1317" s="72" t="n"/>
      <c r="C1317" s="66" t="n"/>
      <c r="D1317" s="67" t="str">
        <f>IF(C1317="","",IFERROR(INDEX(eq_des,MATCH(C1317,eq_code,0))&amp;"","Équipement inconnu"))</f>
        <v/>
      </c>
      <c r="E1317" s="68" t="n"/>
      <c r="F1317" s="68" t="n"/>
      <c r="G1317" s="66" t="n"/>
      <c r="H1317" s="66" t="n"/>
      <c r="I1317" s="68" t="n"/>
      <c r="J1317" s="73" t="n"/>
      <c r="K1317" s="71" t="n"/>
      <c r="L1317" s="71" t="n"/>
      <c r="M1317" s="66" t="n"/>
      <c r="N1317" s="80" t="n"/>
      <c r="O1317" s="81" t="str">
        <f>IF(A1317="","",ROUND(V1317*IFERROR(N(INDEX(tech_rate,MATCH(M1317,tech_name,0))),0),2))</f>
        <v/>
      </c>
      <c r="P1317" s="80" t="n"/>
      <c r="Q1317" s="81" t="str">
        <f>IF(A1317="","",ROUND(Y1317+O1317+Z1317,2))</f>
        <v/>
      </c>
      <c r="R1317" s="79" t="str">
        <f>IF(A1317="","",IF(S1317=0,"Date manquante ou invalide",IF(C1317="","Équipement manquant",IF(ISNA(MATCH(C1317,eq_code,0)),"Équipement inconnu",IF(E1317="","Type manquant",IF(AND(E1317&lt;&gt;"Préventif",E1317&lt;&gt;"Correctif",E1317&lt;&gt;"Amélioratif"),"Type inconnu",IF(I1317="","Statut manquant",IF(AND(I1317&lt;&gt;"Terminée",I1317&lt;&gt;"En cours",I1317&lt;&gt;"À faire",I1317&lt;&gt;"Annulée"),"Statut inconnu",IF(AND(E1317="Préventif",F1317=""),"Plan manquant (préventif)",IF(AND(F1317&lt;&gt;"",ISNA(MATCH(F1317,pl_num,0))),"Plan inconnu",IF(AND(F1317&lt;&gt;"",IFERROR(INDEX(pl_eq,MATCH(F1317,pl_num,0))&amp;"",C1317)&lt;&gt;C1317),"Plan d'un autre équipement",IF(AND(J1317&lt;&gt;"",OR(NOT(ISNUMBER(J1317)),N(J1317)&lt;0)),"Compteur invalide",IF(OR(AND(K1317&lt;&gt;"",OR(NOT(ISNUMBER(K1317)),N(K1317)&lt;0)),AND(L1317&lt;&gt;"",OR(NOT(ISNUMBER(L1317)),N(L1317)&lt;0))),"Durée invalide",IF(OR(AND(N1317&lt;&gt;"",OR(NOT(ISNUMBER(N1317)),N(N1317)&lt;0)),AND(P1317&lt;&gt;"",OR(NOT(ISNUMBER(P1317)),N(P1317)&lt;0))),"Coût invalide",IF(AND(M1317&lt;&gt;"",ISNA(MATCH(M1317,tech_name,0))),"Technicien inconnu",IF(AND(I1317="Terminée",S1317&gt;p_today),"Terminée à une date future",IF(AND(I1317="Terminée",V1317=0),"Durée d'intervention manquante",IF(AND(I1317="Terminée",E1317="Préventif",T1317=0,OR(IFERROR(INDEX(pl_trig,MATCH(F1317,pl_num,0))&amp;"","")="Compteur",IFERROR(INDEX(pl_trig,MATCH(F1317,pl_num,0))&amp;"","")="Au premier des deux")),"Compteur manquant (plan au compteur)","OK"))))))))))))))))))</f>
        <v/>
      </c>
      <c r="S1317" s="67">
        <f>IF(AND(ISNUMBER(B1317),N(B1317)&gt;0),INT(B1317),0)</f>
        <v>0.0</v>
      </c>
      <c r="T1317" s="67">
        <f>IF(AND(ISNUMBER(J1317),N(J1317)&gt;=0),N(J1317),0)</f>
        <v>0.0</v>
      </c>
      <c r="U1317" s="67">
        <f>IF(AND(ISNUMBER(K1317),N(K1317)&gt;0),N(K1317),0)</f>
        <v>0.0</v>
      </c>
      <c r="V1317" s="67">
        <f>IF(AND(ISNUMBER(L1317),N(L1317)&gt;0),N(L1317),0)</f>
        <v>0.0</v>
      </c>
      <c r="W1317" s="67">
        <f>IF(AND(I1317="Terminée",S1317&gt;0,C1317&lt;&gt;"",ISNUMBER(MATCH(C1317,eq_code,0))),1,0)</f>
        <v>0.0</v>
      </c>
      <c r="X1317" s="67">
        <f>IF(AND(W1317=1,E1317="Préventif"),1,0)</f>
        <v>0.0</v>
      </c>
      <c r="Y1317" s="67">
        <f>IF(AND(ISNUMBER(N1317),N(N1317)&gt;0),N(N1317),0)</f>
        <v>0.0</v>
      </c>
      <c r="Z1317" s="67">
        <f>IF(AND(ISNUMBER(P1317),N(P1317)&gt;0),N(P1317),0)</f>
        <v>0.0</v>
      </c>
    </row>
    <row r="1318">
      <c r="A1318" s="79" t="str">
        <f>IF(COUNTA(B1318:C1318,E1318:G1318,I1318)=0,"","BI-"&amp;RIGHT("0000"&amp;(ROW()-5),4))</f>
        <v/>
      </c>
      <c r="B1318" s="72" t="n"/>
      <c r="C1318" s="66" t="n"/>
      <c r="D1318" s="67" t="str">
        <f>IF(C1318="","",IFERROR(INDEX(eq_des,MATCH(C1318,eq_code,0))&amp;"","Équipement inconnu"))</f>
        <v/>
      </c>
      <c r="E1318" s="68" t="n"/>
      <c r="F1318" s="68" t="n"/>
      <c r="G1318" s="66" t="n"/>
      <c r="H1318" s="66" t="n"/>
      <c r="I1318" s="68" t="n"/>
      <c r="J1318" s="73" t="n"/>
      <c r="K1318" s="71" t="n"/>
      <c r="L1318" s="71" t="n"/>
      <c r="M1318" s="66" t="n"/>
      <c r="N1318" s="80" t="n"/>
      <c r="O1318" s="81" t="str">
        <f>IF(A1318="","",ROUND(V1318*IFERROR(N(INDEX(tech_rate,MATCH(M1318,tech_name,0))),0),2))</f>
        <v/>
      </c>
      <c r="P1318" s="80" t="n"/>
      <c r="Q1318" s="81" t="str">
        <f>IF(A1318="","",ROUND(Y1318+O1318+Z1318,2))</f>
        <v/>
      </c>
      <c r="R1318" s="79" t="str">
        <f>IF(A1318="","",IF(S1318=0,"Date manquante ou invalide",IF(C1318="","Équipement manquant",IF(ISNA(MATCH(C1318,eq_code,0)),"Équipement inconnu",IF(E1318="","Type manquant",IF(AND(E1318&lt;&gt;"Préventif",E1318&lt;&gt;"Correctif",E1318&lt;&gt;"Amélioratif"),"Type inconnu",IF(I1318="","Statut manquant",IF(AND(I1318&lt;&gt;"Terminée",I1318&lt;&gt;"En cours",I1318&lt;&gt;"À faire",I1318&lt;&gt;"Annulée"),"Statut inconnu",IF(AND(E1318="Préventif",F1318=""),"Plan manquant (préventif)",IF(AND(F1318&lt;&gt;"",ISNA(MATCH(F1318,pl_num,0))),"Plan inconnu",IF(AND(F1318&lt;&gt;"",IFERROR(INDEX(pl_eq,MATCH(F1318,pl_num,0))&amp;"",C1318)&lt;&gt;C1318),"Plan d'un autre équipement",IF(AND(J1318&lt;&gt;"",OR(NOT(ISNUMBER(J1318)),N(J1318)&lt;0)),"Compteur invalide",IF(OR(AND(K1318&lt;&gt;"",OR(NOT(ISNUMBER(K1318)),N(K1318)&lt;0)),AND(L1318&lt;&gt;"",OR(NOT(ISNUMBER(L1318)),N(L1318)&lt;0))),"Durée invalide",IF(OR(AND(N1318&lt;&gt;"",OR(NOT(ISNUMBER(N1318)),N(N1318)&lt;0)),AND(P1318&lt;&gt;"",OR(NOT(ISNUMBER(P1318)),N(P1318)&lt;0))),"Coût invalide",IF(AND(M1318&lt;&gt;"",ISNA(MATCH(M1318,tech_name,0))),"Technicien inconnu",IF(AND(I1318="Terminée",S1318&gt;p_today),"Terminée à une date future",IF(AND(I1318="Terminée",V1318=0),"Durée d'intervention manquante",IF(AND(I1318="Terminée",E1318="Préventif",T1318=0,OR(IFERROR(INDEX(pl_trig,MATCH(F1318,pl_num,0))&amp;"","")="Compteur",IFERROR(INDEX(pl_trig,MATCH(F1318,pl_num,0))&amp;"","")="Au premier des deux")),"Compteur manquant (plan au compteur)","OK"))))))))))))))))))</f>
        <v/>
      </c>
      <c r="S1318" s="67">
        <f>IF(AND(ISNUMBER(B1318),N(B1318)&gt;0),INT(B1318),0)</f>
        <v>0.0</v>
      </c>
      <c r="T1318" s="67">
        <f>IF(AND(ISNUMBER(J1318),N(J1318)&gt;=0),N(J1318),0)</f>
        <v>0.0</v>
      </c>
      <c r="U1318" s="67">
        <f>IF(AND(ISNUMBER(K1318),N(K1318)&gt;0),N(K1318),0)</f>
        <v>0.0</v>
      </c>
      <c r="V1318" s="67">
        <f>IF(AND(ISNUMBER(L1318),N(L1318)&gt;0),N(L1318),0)</f>
        <v>0.0</v>
      </c>
      <c r="W1318" s="67">
        <f>IF(AND(I1318="Terminée",S1318&gt;0,C1318&lt;&gt;"",ISNUMBER(MATCH(C1318,eq_code,0))),1,0)</f>
        <v>0.0</v>
      </c>
      <c r="X1318" s="67">
        <f>IF(AND(W1318=1,E1318="Préventif"),1,0)</f>
        <v>0.0</v>
      </c>
      <c r="Y1318" s="67">
        <f>IF(AND(ISNUMBER(N1318),N(N1318)&gt;0),N(N1318),0)</f>
        <v>0.0</v>
      </c>
      <c r="Z1318" s="67">
        <f>IF(AND(ISNUMBER(P1318),N(P1318)&gt;0),N(P1318),0)</f>
        <v>0.0</v>
      </c>
    </row>
    <row r="1319">
      <c r="A1319" s="79" t="str">
        <f>IF(COUNTA(B1319:C1319,E1319:G1319,I1319)=0,"","BI-"&amp;RIGHT("0000"&amp;(ROW()-5),4))</f>
        <v/>
      </c>
      <c r="B1319" s="72" t="n"/>
      <c r="C1319" s="66" t="n"/>
      <c r="D1319" s="67" t="str">
        <f>IF(C1319="","",IFERROR(INDEX(eq_des,MATCH(C1319,eq_code,0))&amp;"","Équipement inconnu"))</f>
        <v/>
      </c>
      <c r="E1319" s="68" t="n"/>
      <c r="F1319" s="68" t="n"/>
      <c r="G1319" s="66" t="n"/>
      <c r="H1319" s="66" t="n"/>
      <c r="I1319" s="68" t="n"/>
      <c r="J1319" s="73" t="n"/>
      <c r="K1319" s="71" t="n"/>
      <c r="L1319" s="71" t="n"/>
      <c r="M1319" s="66" t="n"/>
      <c r="N1319" s="80" t="n"/>
      <c r="O1319" s="81" t="str">
        <f>IF(A1319="","",ROUND(V1319*IFERROR(N(INDEX(tech_rate,MATCH(M1319,tech_name,0))),0),2))</f>
        <v/>
      </c>
      <c r="P1319" s="80" t="n"/>
      <c r="Q1319" s="81" t="str">
        <f>IF(A1319="","",ROUND(Y1319+O1319+Z1319,2))</f>
        <v/>
      </c>
      <c r="R1319" s="79" t="str">
        <f>IF(A1319="","",IF(S1319=0,"Date manquante ou invalide",IF(C1319="","Équipement manquant",IF(ISNA(MATCH(C1319,eq_code,0)),"Équipement inconnu",IF(E1319="","Type manquant",IF(AND(E1319&lt;&gt;"Préventif",E1319&lt;&gt;"Correctif",E1319&lt;&gt;"Amélioratif"),"Type inconnu",IF(I1319="","Statut manquant",IF(AND(I1319&lt;&gt;"Terminée",I1319&lt;&gt;"En cours",I1319&lt;&gt;"À faire",I1319&lt;&gt;"Annulée"),"Statut inconnu",IF(AND(E1319="Préventif",F1319=""),"Plan manquant (préventif)",IF(AND(F1319&lt;&gt;"",ISNA(MATCH(F1319,pl_num,0))),"Plan inconnu",IF(AND(F1319&lt;&gt;"",IFERROR(INDEX(pl_eq,MATCH(F1319,pl_num,0))&amp;"",C1319)&lt;&gt;C1319),"Plan d'un autre équipement",IF(AND(J1319&lt;&gt;"",OR(NOT(ISNUMBER(J1319)),N(J1319)&lt;0)),"Compteur invalide",IF(OR(AND(K1319&lt;&gt;"",OR(NOT(ISNUMBER(K1319)),N(K1319)&lt;0)),AND(L1319&lt;&gt;"",OR(NOT(ISNUMBER(L1319)),N(L1319)&lt;0))),"Durée invalide",IF(OR(AND(N1319&lt;&gt;"",OR(NOT(ISNUMBER(N1319)),N(N1319)&lt;0)),AND(P1319&lt;&gt;"",OR(NOT(ISNUMBER(P1319)),N(P1319)&lt;0))),"Coût invalide",IF(AND(M1319&lt;&gt;"",ISNA(MATCH(M1319,tech_name,0))),"Technicien inconnu",IF(AND(I1319="Terminée",S1319&gt;p_today),"Terminée à une date future",IF(AND(I1319="Terminée",V1319=0),"Durée d'intervention manquante",IF(AND(I1319="Terminée",E1319="Préventif",T1319=0,OR(IFERROR(INDEX(pl_trig,MATCH(F1319,pl_num,0))&amp;"","")="Compteur",IFERROR(INDEX(pl_trig,MATCH(F1319,pl_num,0))&amp;"","")="Au premier des deux")),"Compteur manquant (plan au compteur)","OK"))))))))))))))))))</f>
        <v/>
      </c>
      <c r="S1319" s="67">
        <f>IF(AND(ISNUMBER(B1319),N(B1319)&gt;0),INT(B1319),0)</f>
        <v>0.0</v>
      </c>
      <c r="T1319" s="67">
        <f>IF(AND(ISNUMBER(J1319),N(J1319)&gt;=0),N(J1319),0)</f>
        <v>0.0</v>
      </c>
      <c r="U1319" s="67">
        <f>IF(AND(ISNUMBER(K1319),N(K1319)&gt;0),N(K1319),0)</f>
        <v>0.0</v>
      </c>
      <c r="V1319" s="67">
        <f>IF(AND(ISNUMBER(L1319),N(L1319)&gt;0),N(L1319),0)</f>
        <v>0.0</v>
      </c>
      <c r="W1319" s="67">
        <f>IF(AND(I1319="Terminée",S1319&gt;0,C1319&lt;&gt;"",ISNUMBER(MATCH(C1319,eq_code,0))),1,0)</f>
        <v>0.0</v>
      </c>
      <c r="X1319" s="67">
        <f>IF(AND(W1319=1,E1319="Préventif"),1,0)</f>
        <v>0.0</v>
      </c>
      <c r="Y1319" s="67">
        <f>IF(AND(ISNUMBER(N1319),N(N1319)&gt;0),N(N1319),0)</f>
        <v>0.0</v>
      </c>
      <c r="Z1319" s="67">
        <f>IF(AND(ISNUMBER(P1319),N(P1319)&gt;0),N(P1319),0)</f>
        <v>0.0</v>
      </c>
    </row>
    <row r="1320">
      <c r="A1320" s="79" t="str">
        <f>IF(COUNTA(B1320:C1320,E1320:G1320,I1320)=0,"","BI-"&amp;RIGHT("0000"&amp;(ROW()-5),4))</f>
        <v/>
      </c>
      <c r="B1320" s="72" t="n"/>
      <c r="C1320" s="66" t="n"/>
      <c r="D1320" s="67" t="str">
        <f>IF(C1320="","",IFERROR(INDEX(eq_des,MATCH(C1320,eq_code,0))&amp;"","Équipement inconnu"))</f>
        <v/>
      </c>
      <c r="E1320" s="68" t="n"/>
      <c r="F1320" s="68" t="n"/>
      <c r="G1320" s="66" t="n"/>
      <c r="H1320" s="66" t="n"/>
      <c r="I1320" s="68" t="n"/>
      <c r="J1320" s="73" t="n"/>
      <c r="K1320" s="71" t="n"/>
      <c r="L1320" s="71" t="n"/>
      <c r="M1320" s="66" t="n"/>
      <c r="N1320" s="80" t="n"/>
      <c r="O1320" s="81" t="str">
        <f>IF(A1320="","",ROUND(V1320*IFERROR(N(INDEX(tech_rate,MATCH(M1320,tech_name,0))),0),2))</f>
        <v/>
      </c>
      <c r="P1320" s="80" t="n"/>
      <c r="Q1320" s="81" t="str">
        <f>IF(A1320="","",ROUND(Y1320+O1320+Z1320,2))</f>
        <v/>
      </c>
      <c r="R1320" s="79" t="str">
        <f>IF(A1320="","",IF(S1320=0,"Date manquante ou invalide",IF(C1320="","Équipement manquant",IF(ISNA(MATCH(C1320,eq_code,0)),"Équipement inconnu",IF(E1320="","Type manquant",IF(AND(E1320&lt;&gt;"Préventif",E1320&lt;&gt;"Correctif",E1320&lt;&gt;"Amélioratif"),"Type inconnu",IF(I1320="","Statut manquant",IF(AND(I1320&lt;&gt;"Terminée",I1320&lt;&gt;"En cours",I1320&lt;&gt;"À faire",I1320&lt;&gt;"Annulée"),"Statut inconnu",IF(AND(E1320="Préventif",F1320=""),"Plan manquant (préventif)",IF(AND(F1320&lt;&gt;"",ISNA(MATCH(F1320,pl_num,0))),"Plan inconnu",IF(AND(F1320&lt;&gt;"",IFERROR(INDEX(pl_eq,MATCH(F1320,pl_num,0))&amp;"",C1320)&lt;&gt;C1320),"Plan d'un autre équipement",IF(AND(J1320&lt;&gt;"",OR(NOT(ISNUMBER(J1320)),N(J1320)&lt;0)),"Compteur invalide",IF(OR(AND(K1320&lt;&gt;"",OR(NOT(ISNUMBER(K1320)),N(K1320)&lt;0)),AND(L1320&lt;&gt;"",OR(NOT(ISNUMBER(L1320)),N(L1320)&lt;0))),"Durée invalide",IF(OR(AND(N1320&lt;&gt;"",OR(NOT(ISNUMBER(N1320)),N(N1320)&lt;0)),AND(P1320&lt;&gt;"",OR(NOT(ISNUMBER(P1320)),N(P1320)&lt;0))),"Coût invalide",IF(AND(M1320&lt;&gt;"",ISNA(MATCH(M1320,tech_name,0))),"Technicien inconnu",IF(AND(I1320="Terminée",S1320&gt;p_today),"Terminée à une date future",IF(AND(I1320="Terminée",V1320=0),"Durée d'intervention manquante",IF(AND(I1320="Terminée",E1320="Préventif",T1320=0,OR(IFERROR(INDEX(pl_trig,MATCH(F1320,pl_num,0))&amp;"","")="Compteur",IFERROR(INDEX(pl_trig,MATCH(F1320,pl_num,0))&amp;"","")="Au premier des deux")),"Compteur manquant (plan au compteur)","OK"))))))))))))))))))</f>
        <v/>
      </c>
      <c r="S1320" s="67">
        <f>IF(AND(ISNUMBER(B1320),N(B1320)&gt;0),INT(B1320),0)</f>
        <v>0.0</v>
      </c>
      <c r="T1320" s="67">
        <f>IF(AND(ISNUMBER(J1320),N(J1320)&gt;=0),N(J1320),0)</f>
        <v>0.0</v>
      </c>
      <c r="U1320" s="67">
        <f>IF(AND(ISNUMBER(K1320),N(K1320)&gt;0),N(K1320),0)</f>
        <v>0.0</v>
      </c>
      <c r="V1320" s="67">
        <f>IF(AND(ISNUMBER(L1320),N(L1320)&gt;0),N(L1320),0)</f>
        <v>0.0</v>
      </c>
      <c r="W1320" s="67">
        <f>IF(AND(I1320="Terminée",S1320&gt;0,C1320&lt;&gt;"",ISNUMBER(MATCH(C1320,eq_code,0))),1,0)</f>
        <v>0.0</v>
      </c>
      <c r="X1320" s="67">
        <f>IF(AND(W1320=1,E1320="Préventif"),1,0)</f>
        <v>0.0</v>
      </c>
      <c r="Y1320" s="67">
        <f>IF(AND(ISNUMBER(N1320),N(N1320)&gt;0),N(N1320),0)</f>
        <v>0.0</v>
      </c>
      <c r="Z1320" s="67">
        <f>IF(AND(ISNUMBER(P1320),N(P1320)&gt;0),N(P1320),0)</f>
        <v>0.0</v>
      </c>
    </row>
    <row r="1321">
      <c r="A1321" s="79" t="str">
        <f>IF(COUNTA(B1321:C1321,E1321:G1321,I1321)=0,"","BI-"&amp;RIGHT("0000"&amp;(ROW()-5),4))</f>
        <v/>
      </c>
      <c r="B1321" s="72" t="n"/>
      <c r="C1321" s="66" t="n"/>
      <c r="D1321" s="67" t="str">
        <f>IF(C1321="","",IFERROR(INDEX(eq_des,MATCH(C1321,eq_code,0))&amp;"","Équipement inconnu"))</f>
        <v/>
      </c>
      <c r="E1321" s="68" t="n"/>
      <c r="F1321" s="68" t="n"/>
      <c r="G1321" s="66" t="n"/>
      <c r="H1321" s="66" t="n"/>
      <c r="I1321" s="68" t="n"/>
      <c r="J1321" s="73" t="n"/>
      <c r="K1321" s="71" t="n"/>
      <c r="L1321" s="71" t="n"/>
      <c r="M1321" s="66" t="n"/>
      <c r="N1321" s="80" t="n"/>
      <c r="O1321" s="81" t="str">
        <f>IF(A1321="","",ROUND(V1321*IFERROR(N(INDEX(tech_rate,MATCH(M1321,tech_name,0))),0),2))</f>
        <v/>
      </c>
      <c r="P1321" s="80" t="n"/>
      <c r="Q1321" s="81" t="str">
        <f>IF(A1321="","",ROUND(Y1321+O1321+Z1321,2))</f>
        <v/>
      </c>
      <c r="R1321" s="79" t="str">
        <f>IF(A1321="","",IF(S1321=0,"Date manquante ou invalide",IF(C1321="","Équipement manquant",IF(ISNA(MATCH(C1321,eq_code,0)),"Équipement inconnu",IF(E1321="","Type manquant",IF(AND(E1321&lt;&gt;"Préventif",E1321&lt;&gt;"Correctif",E1321&lt;&gt;"Amélioratif"),"Type inconnu",IF(I1321="","Statut manquant",IF(AND(I1321&lt;&gt;"Terminée",I1321&lt;&gt;"En cours",I1321&lt;&gt;"À faire",I1321&lt;&gt;"Annulée"),"Statut inconnu",IF(AND(E1321="Préventif",F1321=""),"Plan manquant (préventif)",IF(AND(F1321&lt;&gt;"",ISNA(MATCH(F1321,pl_num,0))),"Plan inconnu",IF(AND(F1321&lt;&gt;"",IFERROR(INDEX(pl_eq,MATCH(F1321,pl_num,0))&amp;"",C1321)&lt;&gt;C1321),"Plan d'un autre équipement",IF(AND(J1321&lt;&gt;"",OR(NOT(ISNUMBER(J1321)),N(J1321)&lt;0)),"Compteur invalide",IF(OR(AND(K1321&lt;&gt;"",OR(NOT(ISNUMBER(K1321)),N(K1321)&lt;0)),AND(L1321&lt;&gt;"",OR(NOT(ISNUMBER(L1321)),N(L1321)&lt;0))),"Durée invalide",IF(OR(AND(N1321&lt;&gt;"",OR(NOT(ISNUMBER(N1321)),N(N1321)&lt;0)),AND(P1321&lt;&gt;"",OR(NOT(ISNUMBER(P1321)),N(P1321)&lt;0))),"Coût invalide",IF(AND(M1321&lt;&gt;"",ISNA(MATCH(M1321,tech_name,0))),"Technicien inconnu",IF(AND(I1321="Terminée",S1321&gt;p_today),"Terminée à une date future",IF(AND(I1321="Terminée",V1321=0),"Durée d'intervention manquante",IF(AND(I1321="Terminée",E1321="Préventif",T1321=0,OR(IFERROR(INDEX(pl_trig,MATCH(F1321,pl_num,0))&amp;"","")="Compteur",IFERROR(INDEX(pl_trig,MATCH(F1321,pl_num,0))&amp;"","")="Au premier des deux")),"Compteur manquant (plan au compteur)","OK"))))))))))))))))))</f>
        <v/>
      </c>
      <c r="S1321" s="67">
        <f>IF(AND(ISNUMBER(B1321),N(B1321)&gt;0),INT(B1321),0)</f>
        <v>0.0</v>
      </c>
      <c r="T1321" s="67">
        <f>IF(AND(ISNUMBER(J1321),N(J1321)&gt;=0),N(J1321),0)</f>
        <v>0.0</v>
      </c>
      <c r="U1321" s="67">
        <f>IF(AND(ISNUMBER(K1321),N(K1321)&gt;0),N(K1321),0)</f>
        <v>0.0</v>
      </c>
      <c r="V1321" s="67">
        <f>IF(AND(ISNUMBER(L1321),N(L1321)&gt;0),N(L1321),0)</f>
        <v>0.0</v>
      </c>
      <c r="W1321" s="67">
        <f>IF(AND(I1321="Terminée",S1321&gt;0,C1321&lt;&gt;"",ISNUMBER(MATCH(C1321,eq_code,0))),1,0)</f>
        <v>0.0</v>
      </c>
      <c r="X1321" s="67">
        <f>IF(AND(W1321=1,E1321="Préventif"),1,0)</f>
        <v>0.0</v>
      </c>
      <c r="Y1321" s="67">
        <f>IF(AND(ISNUMBER(N1321),N(N1321)&gt;0),N(N1321),0)</f>
        <v>0.0</v>
      </c>
      <c r="Z1321" s="67">
        <f>IF(AND(ISNUMBER(P1321),N(P1321)&gt;0),N(P1321),0)</f>
        <v>0.0</v>
      </c>
    </row>
    <row r="1322">
      <c r="A1322" s="79" t="str">
        <f>IF(COUNTA(B1322:C1322,E1322:G1322,I1322)=0,"","BI-"&amp;RIGHT("0000"&amp;(ROW()-5),4))</f>
        <v/>
      </c>
      <c r="B1322" s="72" t="n"/>
      <c r="C1322" s="66" t="n"/>
      <c r="D1322" s="67" t="str">
        <f>IF(C1322="","",IFERROR(INDEX(eq_des,MATCH(C1322,eq_code,0))&amp;"","Équipement inconnu"))</f>
        <v/>
      </c>
      <c r="E1322" s="68" t="n"/>
      <c r="F1322" s="68" t="n"/>
      <c r="G1322" s="66" t="n"/>
      <c r="H1322" s="66" t="n"/>
      <c r="I1322" s="68" t="n"/>
      <c r="J1322" s="73" t="n"/>
      <c r="K1322" s="71" t="n"/>
      <c r="L1322" s="71" t="n"/>
      <c r="M1322" s="66" t="n"/>
      <c r="N1322" s="80" t="n"/>
      <c r="O1322" s="81" t="str">
        <f>IF(A1322="","",ROUND(V1322*IFERROR(N(INDEX(tech_rate,MATCH(M1322,tech_name,0))),0),2))</f>
        <v/>
      </c>
      <c r="P1322" s="80" t="n"/>
      <c r="Q1322" s="81" t="str">
        <f>IF(A1322="","",ROUND(Y1322+O1322+Z1322,2))</f>
        <v/>
      </c>
      <c r="R1322" s="79" t="str">
        <f>IF(A1322="","",IF(S1322=0,"Date manquante ou invalide",IF(C1322="","Équipement manquant",IF(ISNA(MATCH(C1322,eq_code,0)),"Équipement inconnu",IF(E1322="","Type manquant",IF(AND(E1322&lt;&gt;"Préventif",E1322&lt;&gt;"Correctif",E1322&lt;&gt;"Amélioratif"),"Type inconnu",IF(I1322="","Statut manquant",IF(AND(I1322&lt;&gt;"Terminée",I1322&lt;&gt;"En cours",I1322&lt;&gt;"À faire",I1322&lt;&gt;"Annulée"),"Statut inconnu",IF(AND(E1322="Préventif",F1322=""),"Plan manquant (préventif)",IF(AND(F1322&lt;&gt;"",ISNA(MATCH(F1322,pl_num,0))),"Plan inconnu",IF(AND(F1322&lt;&gt;"",IFERROR(INDEX(pl_eq,MATCH(F1322,pl_num,0))&amp;"",C1322)&lt;&gt;C1322),"Plan d'un autre équipement",IF(AND(J1322&lt;&gt;"",OR(NOT(ISNUMBER(J1322)),N(J1322)&lt;0)),"Compteur invalide",IF(OR(AND(K1322&lt;&gt;"",OR(NOT(ISNUMBER(K1322)),N(K1322)&lt;0)),AND(L1322&lt;&gt;"",OR(NOT(ISNUMBER(L1322)),N(L1322)&lt;0))),"Durée invalide",IF(OR(AND(N1322&lt;&gt;"",OR(NOT(ISNUMBER(N1322)),N(N1322)&lt;0)),AND(P1322&lt;&gt;"",OR(NOT(ISNUMBER(P1322)),N(P1322)&lt;0))),"Coût invalide",IF(AND(M1322&lt;&gt;"",ISNA(MATCH(M1322,tech_name,0))),"Technicien inconnu",IF(AND(I1322="Terminée",S1322&gt;p_today),"Terminée à une date future",IF(AND(I1322="Terminée",V1322=0),"Durée d'intervention manquante",IF(AND(I1322="Terminée",E1322="Préventif",T1322=0,OR(IFERROR(INDEX(pl_trig,MATCH(F1322,pl_num,0))&amp;"","")="Compteur",IFERROR(INDEX(pl_trig,MATCH(F1322,pl_num,0))&amp;"","")="Au premier des deux")),"Compteur manquant (plan au compteur)","OK"))))))))))))))))))</f>
        <v/>
      </c>
      <c r="S1322" s="67">
        <f>IF(AND(ISNUMBER(B1322),N(B1322)&gt;0),INT(B1322),0)</f>
        <v>0.0</v>
      </c>
      <c r="T1322" s="67">
        <f>IF(AND(ISNUMBER(J1322),N(J1322)&gt;=0),N(J1322),0)</f>
        <v>0.0</v>
      </c>
      <c r="U1322" s="67">
        <f>IF(AND(ISNUMBER(K1322),N(K1322)&gt;0),N(K1322),0)</f>
        <v>0.0</v>
      </c>
      <c r="V1322" s="67">
        <f>IF(AND(ISNUMBER(L1322),N(L1322)&gt;0),N(L1322),0)</f>
        <v>0.0</v>
      </c>
      <c r="W1322" s="67">
        <f>IF(AND(I1322="Terminée",S1322&gt;0,C1322&lt;&gt;"",ISNUMBER(MATCH(C1322,eq_code,0))),1,0)</f>
        <v>0.0</v>
      </c>
      <c r="X1322" s="67">
        <f>IF(AND(W1322=1,E1322="Préventif"),1,0)</f>
        <v>0.0</v>
      </c>
      <c r="Y1322" s="67">
        <f>IF(AND(ISNUMBER(N1322),N(N1322)&gt;0),N(N1322),0)</f>
        <v>0.0</v>
      </c>
      <c r="Z1322" s="67">
        <f>IF(AND(ISNUMBER(P1322),N(P1322)&gt;0),N(P1322),0)</f>
        <v>0.0</v>
      </c>
    </row>
    <row r="1323">
      <c r="A1323" s="79" t="str">
        <f>IF(COUNTA(B1323:C1323,E1323:G1323,I1323)=0,"","BI-"&amp;RIGHT("0000"&amp;(ROW()-5),4))</f>
        <v/>
      </c>
      <c r="B1323" s="72" t="n"/>
      <c r="C1323" s="66" t="n"/>
      <c r="D1323" s="67" t="str">
        <f>IF(C1323="","",IFERROR(INDEX(eq_des,MATCH(C1323,eq_code,0))&amp;"","Équipement inconnu"))</f>
        <v/>
      </c>
      <c r="E1323" s="68" t="n"/>
      <c r="F1323" s="68" t="n"/>
      <c r="G1323" s="66" t="n"/>
      <c r="H1323" s="66" t="n"/>
      <c r="I1323" s="68" t="n"/>
      <c r="J1323" s="73" t="n"/>
      <c r="K1323" s="71" t="n"/>
      <c r="L1323" s="71" t="n"/>
      <c r="M1323" s="66" t="n"/>
      <c r="N1323" s="80" t="n"/>
      <c r="O1323" s="81" t="str">
        <f>IF(A1323="","",ROUND(V1323*IFERROR(N(INDEX(tech_rate,MATCH(M1323,tech_name,0))),0),2))</f>
        <v/>
      </c>
      <c r="P1323" s="80" t="n"/>
      <c r="Q1323" s="81" t="str">
        <f>IF(A1323="","",ROUND(Y1323+O1323+Z1323,2))</f>
        <v/>
      </c>
      <c r="R1323" s="79" t="str">
        <f>IF(A1323="","",IF(S1323=0,"Date manquante ou invalide",IF(C1323="","Équipement manquant",IF(ISNA(MATCH(C1323,eq_code,0)),"Équipement inconnu",IF(E1323="","Type manquant",IF(AND(E1323&lt;&gt;"Préventif",E1323&lt;&gt;"Correctif",E1323&lt;&gt;"Amélioratif"),"Type inconnu",IF(I1323="","Statut manquant",IF(AND(I1323&lt;&gt;"Terminée",I1323&lt;&gt;"En cours",I1323&lt;&gt;"À faire",I1323&lt;&gt;"Annulée"),"Statut inconnu",IF(AND(E1323="Préventif",F1323=""),"Plan manquant (préventif)",IF(AND(F1323&lt;&gt;"",ISNA(MATCH(F1323,pl_num,0))),"Plan inconnu",IF(AND(F1323&lt;&gt;"",IFERROR(INDEX(pl_eq,MATCH(F1323,pl_num,0))&amp;"",C1323)&lt;&gt;C1323),"Plan d'un autre équipement",IF(AND(J1323&lt;&gt;"",OR(NOT(ISNUMBER(J1323)),N(J1323)&lt;0)),"Compteur invalide",IF(OR(AND(K1323&lt;&gt;"",OR(NOT(ISNUMBER(K1323)),N(K1323)&lt;0)),AND(L1323&lt;&gt;"",OR(NOT(ISNUMBER(L1323)),N(L1323)&lt;0))),"Durée invalide",IF(OR(AND(N1323&lt;&gt;"",OR(NOT(ISNUMBER(N1323)),N(N1323)&lt;0)),AND(P1323&lt;&gt;"",OR(NOT(ISNUMBER(P1323)),N(P1323)&lt;0))),"Coût invalide",IF(AND(M1323&lt;&gt;"",ISNA(MATCH(M1323,tech_name,0))),"Technicien inconnu",IF(AND(I1323="Terminée",S1323&gt;p_today),"Terminée à une date future",IF(AND(I1323="Terminée",V1323=0),"Durée d'intervention manquante",IF(AND(I1323="Terminée",E1323="Préventif",T1323=0,OR(IFERROR(INDEX(pl_trig,MATCH(F1323,pl_num,0))&amp;"","")="Compteur",IFERROR(INDEX(pl_trig,MATCH(F1323,pl_num,0))&amp;"","")="Au premier des deux")),"Compteur manquant (plan au compteur)","OK"))))))))))))))))))</f>
        <v/>
      </c>
      <c r="S1323" s="67">
        <f>IF(AND(ISNUMBER(B1323),N(B1323)&gt;0),INT(B1323),0)</f>
        <v>0.0</v>
      </c>
      <c r="T1323" s="67">
        <f>IF(AND(ISNUMBER(J1323),N(J1323)&gt;=0),N(J1323),0)</f>
        <v>0.0</v>
      </c>
      <c r="U1323" s="67">
        <f>IF(AND(ISNUMBER(K1323),N(K1323)&gt;0),N(K1323),0)</f>
        <v>0.0</v>
      </c>
      <c r="V1323" s="67">
        <f>IF(AND(ISNUMBER(L1323),N(L1323)&gt;0),N(L1323),0)</f>
        <v>0.0</v>
      </c>
      <c r="W1323" s="67">
        <f>IF(AND(I1323="Terminée",S1323&gt;0,C1323&lt;&gt;"",ISNUMBER(MATCH(C1323,eq_code,0))),1,0)</f>
        <v>0.0</v>
      </c>
      <c r="X1323" s="67">
        <f>IF(AND(W1323=1,E1323="Préventif"),1,0)</f>
        <v>0.0</v>
      </c>
      <c r="Y1323" s="67">
        <f>IF(AND(ISNUMBER(N1323),N(N1323)&gt;0),N(N1323),0)</f>
        <v>0.0</v>
      </c>
      <c r="Z1323" s="67">
        <f>IF(AND(ISNUMBER(P1323),N(P1323)&gt;0),N(P1323),0)</f>
        <v>0.0</v>
      </c>
    </row>
    <row r="1324">
      <c r="A1324" s="79" t="str">
        <f>IF(COUNTA(B1324:C1324,E1324:G1324,I1324)=0,"","BI-"&amp;RIGHT("0000"&amp;(ROW()-5),4))</f>
        <v/>
      </c>
      <c r="B1324" s="72" t="n"/>
      <c r="C1324" s="66" t="n"/>
      <c r="D1324" s="67" t="str">
        <f>IF(C1324="","",IFERROR(INDEX(eq_des,MATCH(C1324,eq_code,0))&amp;"","Équipement inconnu"))</f>
        <v/>
      </c>
      <c r="E1324" s="68" t="n"/>
      <c r="F1324" s="68" t="n"/>
      <c r="G1324" s="66" t="n"/>
      <c r="H1324" s="66" t="n"/>
      <c r="I1324" s="68" t="n"/>
      <c r="J1324" s="73" t="n"/>
      <c r="K1324" s="71" t="n"/>
      <c r="L1324" s="71" t="n"/>
      <c r="M1324" s="66" t="n"/>
      <c r="N1324" s="80" t="n"/>
      <c r="O1324" s="81" t="str">
        <f>IF(A1324="","",ROUND(V1324*IFERROR(N(INDEX(tech_rate,MATCH(M1324,tech_name,0))),0),2))</f>
        <v/>
      </c>
      <c r="P1324" s="80" t="n"/>
      <c r="Q1324" s="81" t="str">
        <f>IF(A1324="","",ROUND(Y1324+O1324+Z1324,2))</f>
        <v/>
      </c>
      <c r="R1324" s="79" t="str">
        <f>IF(A1324="","",IF(S1324=0,"Date manquante ou invalide",IF(C1324="","Équipement manquant",IF(ISNA(MATCH(C1324,eq_code,0)),"Équipement inconnu",IF(E1324="","Type manquant",IF(AND(E1324&lt;&gt;"Préventif",E1324&lt;&gt;"Correctif",E1324&lt;&gt;"Amélioratif"),"Type inconnu",IF(I1324="","Statut manquant",IF(AND(I1324&lt;&gt;"Terminée",I1324&lt;&gt;"En cours",I1324&lt;&gt;"À faire",I1324&lt;&gt;"Annulée"),"Statut inconnu",IF(AND(E1324="Préventif",F1324=""),"Plan manquant (préventif)",IF(AND(F1324&lt;&gt;"",ISNA(MATCH(F1324,pl_num,0))),"Plan inconnu",IF(AND(F1324&lt;&gt;"",IFERROR(INDEX(pl_eq,MATCH(F1324,pl_num,0))&amp;"",C1324)&lt;&gt;C1324),"Plan d'un autre équipement",IF(AND(J1324&lt;&gt;"",OR(NOT(ISNUMBER(J1324)),N(J1324)&lt;0)),"Compteur invalide",IF(OR(AND(K1324&lt;&gt;"",OR(NOT(ISNUMBER(K1324)),N(K1324)&lt;0)),AND(L1324&lt;&gt;"",OR(NOT(ISNUMBER(L1324)),N(L1324)&lt;0))),"Durée invalide",IF(OR(AND(N1324&lt;&gt;"",OR(NOT(ISNUMBER(N1324)),N(N1324)&lt;0)),AND(P1324&lt;&gt;"",OR(NOT(ISNUMBER(P1324)),N(P1324)&lt;0))),"Coût invalide",IF(AND(M1324&lt;&gt;"",ISNA(MATCH(M1324,tech_name,0))),"Technicien inconnu",IF(AND(I1324="Terminée",S1324&gt;p_today),"Terminée à une date future",IF(AND(I1324="Terminée",V1324=0),"Durée d'intervention manquante",IF(AND(I1324="Terminée",E1324="Préventif",T1324=0,OR(IFERROR(INDEX(pl_trig,MATCH(F1324,pl_num,0))&amp;"","")="Compteur",IFERROR(INDEX(pl_trig,MATCH(F1324,pl_num,0))&amp;"","")="Au premier des deux")),"Compteur manquant (plan au compteur)","OK"))))))))))))))))))</f>
        <v/>
      </c>
      <c r="S1324" s="67">
        <f>IF(AND(ISNUMBER(B1324),N(B1324)&gt;0),INT(B1324),0)</f>
        <v>0.0</v>
      </c>
      <c r="T1324" s="67">
        <f>IF(AND(ISNUMBER(J1324),N(J1324)&gt;=0),N(J1324),0)</f>
        <v>0.0</v>
      </c>
      <c r="U1324" s="67">
        <f>IF(AND(ISNUMBER(K1324),N(K1324)&gt;0),N(K1324),0)</f>
        <v>0.0</v>
      </c>
      <c r="V1324" s="67">
        <f>IF(AND(ISNUMBER(L1324),N(L1324)&gt;0),N(L1324),0)</f>
        <v>0.0</v>
      </c>
      <c r="W1324" s="67">
        <f>IF(AND(I1324="Terminée",S1324&gt;0,C1324&lt;&gt;"",ISNUMBER(MATCH(C1324,eq_code,0))),1,0)</f>
        <v>0.0</v>
      </c>
      <c r="X1324" s="67">
        <f>IF(AND(W1324=1,E1324="Préventif"),1,0)</f>
        <v>0.0</v>
      </c>
      <c r="Y1324" s="67">
        <f>IF(AND(ISNUMBER(N1324),N(N1324)&gt;0),N(N1324),0)</f>
        <v>0.0</v>
      </c>
      <c r="Z1324" s="67">
        <f>IF(AND(ISNUMBER(P1324),N(P1324)&gt;0),N(P1324),0)</f>
        <v>0.0</v>
      </c>
    </row>
    <row r="1325">
      <c r="A1325" s="79" t="str">
        <f>IF(COUNTA(B1325:C1325,E1325:G1325,I1325)=0,"","BI-"&amp;RIGHT("0000"&amp;(ROW()-5),4))</f>
        <v/>
      </c>
      <c r="B1325" s="72" t="n"/>
      <c r="C1325" s="66" t="n"/>
      <c r="D1325" s="67" t="str">
        <f>IF(C1325="","",IFERROR(INDEX(eq_des,MATCH(C1325,eq_code,0))&amp;"","Équipement inconnu"))</f>
        <v/>
      </c>
      <c r="E1325" s="68" t="n"/>
      <c r="F1325" s="68" t="n"/>
      <c r="G1325" s="66" t="n"/>
      <c r="H1325" s="66" t="n"/>
      <c r="I1325" s="68" t="n"/>
      <c r="J1325" s="73" t="n"/>
      <c r="K1325" s="71" t="n"/>
      <c r="L1325" s="71" t="n"/>
      <c r="M1325" s="66" t="n"/>
      <c r="N1325" s="80" t="n"/>
      <c r="O1325" s="81" t="str">
        <f>IF(A1325="","",ROUND(V1325*IFERROR(N(INDEX(tech_rate,MATCH(M1325,tech_name,0))),0),2))</f>
        <v/>
      </c>
      <c r="P1325" s="80" t="n"/>
      <c r="Q1325" s="81" t="str">
        <f>IF(A1325="","",ROUND(Y1325+O1325+Z1325,2))</f>
        <v/>
      </c>
      <c r="R1325" s="79" t="str">
        <f>IF(A1325="","",IF(S1325=0,"Date manquante ou invalide",IF(C1325="","Équipement manquant",IF(ISNA(MATCH(C1325,eq_code,0)),"Équipement inconnu",IF(E1325="","Type manquant",IF(AND(E1325&lt;&gt;"Préventif",E1325&lt;&gt;"Correctif",E1325&lt;&gt;"Amélioratif"),"Type inconnu",IF(I1325="","Statut manquant",IF(AND(I1325&lt;&gt;"Terminée",I1325&lt;&gt;"En cours",I1325&lt;&gt;"À faire",I1325&lt;&gt;"Annulée"),"Statut inconnu",IF(AND(E1325="Préventif",F1325=""),"Plan manquant (préventif)",IF(AND(F1325&lt;&gt;"",ISNA(MATCH(F1325,pl_num,0))),"Plan inconnu",IF(AND(F1325&lt;&gt;"",IFERROR(INDEX(pl_eq,MATCH(F1325,pl_num,0))&amp;"",C1325)&lt;&gt;C1325),"Plan d'un autre équipement",IF(AND(J1325&lt;&gt;"",OR(NOT(ISNUMBER(J1325)),N(J1325)&lt;0)),"Compteur invalide",IF(OR(AND(K1325&lt;&gt;"",OR(NOT(ISNUMBER(K1325)),N(K1325)&lt;0)),AND(L1325&lt;&gt;"",OR(NOT(ISNUMBER(L1325)),N(L1325)&lt;0))),"Durée invalide",IF(OR(AND(N1325&lt;&gt;"",OR(NOT(ISNUMBER(N1325)),N(N1325)&lt;0)),AND(P1325&lt;&gt;"",OR(NOT(ISNUMBER(P1325)),N(P1325)&lt;0))),"Coût invalide",IF(AND(M1325&lt;&gt;"",ISNA(MATCH(M1325,tech_name,0))),"Technicien inconnu",IF(AND(I1325="Terminée",S1325&gt;p_today),"Terminée à une date future",IF(AND(I1325="Terminée",V1325=0),"Durée d'intervention manquante",IF(AND(I1325="Terminée",E1325="Préventif",T1325=0,OR(IFERROR(INDEX(pl_trig,MATCH(F1325,pl_num,0))&amp;"","")="Compteur",IFERROR(INDEX(pl_trig,MATCH(F1325,pl_num,0))&amp;"","")="Au premier des deux")),"Compteur manquant (plan au compteur)","OK"))))))))))))))))))</f>
        <v/>
      </c>
      <c r="S1325" s="67">
        <f>IF(AND(ISNUMBER(B1325),N(B1325)&gt;0),INT(B1325),0)</f>
        <v>0.0</v>
      </c>
      <c r="T1325" s="67">
        <f>IF(AND(ISNUMBER(J1325),N(J1325)&gt;=0),N(J1325),0)</f>
        <v>0.0</v>
      </c>
      <c r="U1325" s="67">
        <f>IF(AND(ISNUMBER(K1325),N(K1325)&gt;0),N(K1325),0)</f>
        <v>0.0</v>
      </c>
      <c r="V1325" s="67">
        <f>IF(AND(ISNUMBER(L1325),N(L1325)&gt;0),N(L1325),0)</f>
        <v>0.0</v>
      </c>
      <c r="W1325" s="67">
        <f>IF(AND(I1325="Terminée",S1325&gt;0,C1325&lt;&gt;"",ISNUMBER(MATCH(C1325,eq_code,0))),1,0)</f>
        <v>0.0</v>
      </c>
      <c r="X1325" s="67">
        <f>IF(AND(W1325=1,E1325="Préventif"),1,0)</f>
        <v>0.0</v>
      </c>
      <c r="Y1325" s="67">
        <f>IF(AND(ISNUMBER(N1325),N(N1325)&gt;0),N(N1325),0)</f>
        <v>0.0</v>
      </c>
      <c r="Z1325" s="67">
        <f>IF(AND(ISNUMBER(P1325),N(P1325)&gt;0),N(P1325),0)</f>
        <v>0.0</v>
      </c>
    </row>
    <row r="1326">
      <c r="A1326" s="79" t="str">
        <f>IF(COUNTA(B1326:C1326,E1326:G1326,I1326)=0,"","BI-"&amp;RIGHT("0000"&amp;(ROW()-5),4))</f>
        <v/>
      </c>
      <c r="B1326" s="72" t="n"/>
      <c r="C1326" s="66" t="n"/>
      <c r="D1326" s="67" t="str">
        <f>IF(C1326="","",IFERROR(INDEX(eq_des,MATCH(C1326,eq_code,0))&amp;"","Équipement inconnu"))</f>
        <v/>
      </c>
      <c r="E1326" s="68" t="n"/>
      <c r="F1326" s="68" t="n"/>
      <c r="G1326" s="66" t="n"/>
      <c r="H1326" s="66" t="n"/>
      <c r="I1326" s="68" t="n"/>
      <c r="J1326" s="73" t="n"/>
      <c r="K1326" s="71" t="n"/>
      <c r="L1326" s="71" t="n"/>
      <c r="M1326" s="66" t="n"/>
      <c r="N1326" s="80" t="n"/>
      <c r="O1326" s="81" t="str">
        <f>IF(A1326="","",ROUND(V1326*IFERROR(N(INDEX(tech_rate,MATCH(M1326,tech_name,0))),0),2))</f>
        <v/>
      </c>
      <c r="P1326" s="80" t="n"/>
      <c r="Q1326" s="81" t="str">
        <f>IF(A1326="","",ROUND(Y1326+O1326+Z1326,2))</f>
        <v/>
      </c>
      <c r="R1326" s="79" t="str">
        <f>IF(A1326="","",IF(S1326=0,"Date manquante ou invalide",IF(C1326="","Équipement manquant",IF(ISNA(MATCH(C1326,eq_code,0)),"Équipement inconnu",IF(E1326="","Type manquant",IF(AND(E1326&lt;&gt;"Préventif",E1326&lt;&gt;"Correctif",E1326&lt;&gt;"Amélioratif"),"Type inconnu",IF(I1326="","Statut manquant",IF(AND(I1326&lt;&gt;"Terminée",I1326&lt;&gt;"En cours",I1326&lt;&gt;"À faire",I1326&lt;&gt;"Annulée"),"Statut inconnu",IF(AND(E1326="Préventif",F1326=""),"Plan manquant (préventif)",IF(AND(F1326&lt;&gt;"",ISNA(MATCH(F1326,pl_num,0))),"Plan inconnu",IF(AND(F1326&lt;&gt;"",IFERROR(INDEX(pl_eq,MATCH(F1326,pl_num,0))&amp;"",C1326)&lt;&gt;C1326),"Plan d'un autre équipement",IF(AND(J1326&lt;&gt;"",OR(NOT(ISNUMBER(J1326)),N(J1326)&lt;0)),"Compteur invalide",IF(OR(AND(K1326&lt;&gt;"",OR(NOT(ISNUMBER(K1326)),N(K1326)&lt;0)),AND(L1326&lt;&gt;"",OR(NOT(ISNUMBER(L1326)),N(L1326)&lt;0))),"Durée invalide",IF(OR(AND(N1326&lt;&gt;"",OR(NOT(ISNUMBER(N1326)),N(N1326)&lt;0)),AND(P1326&lt;&gt;"",OR(NOT(ISNUMBER(P1326)),N(P1326)&lt;0))),"Coût invalide",IF(AND(M1326&lt;&gt;"",ISNA(MATCH(M1326,tech_name,0))),"Technicien inconnu",IF(AND(I1326="Terminée",S1326&gt;p_today),"Terminée à une date future",IF(AND(I1326="Terminée",V1326=0),"Durée d'intervention manquante",IF(AND(I1326="Terminée",E1326="Préventif",T1326=0,OR(IFERROR(INDEX(pl_trig,MATCH(F1326,pl_num,0))&amp;"","")="Compteur",IFERROR(INDEX(pl_trig,MATCH(F1326,pl_num,0))&amp;"","")="Au premier des deux")),"Compteur manquant (plan au compteur)","OK"))))))))))))))))))</f>
        <v/>
      </c>
      <c r="S1326" s="67">
        <f>IF(AND(ISNUMBER(B1326),N(B1326)&gt;0),INT(B1326),0)</f>
        <v>0.0</v>
      </c>
      <c r="T1326" s="67">
        <f>IF(AND(ISNUMBER(J1326),N(J1326)&gt;=0),N(J1326),0)</f>
        <v>0.0</v>
      </c>
      <c r="U1326" s="67">
        <f>IF(AND(ISNUMBER(K1326),N(K1326)&gt;0),N(K1326),0)</f>
        <v>0.0</v>
      </c>
      <c r="V1326" s="67">
        <f>IF(AND(ISNUMBER(L1326),N(L1326)&gt;0),N(L1326),0)</f>
        <v>0.0</v>
      </c>
      <c r="W1326" s="67">
        <f>IF(AND(I1326="Terminée",S1326&gt;0,C1326&lt;&gt;"",ISNUMBER(MATCH(C1326,eq_code,0))),1,0)</f>
        <v>0.0</v>
      </c>
      <c r="X1326" s="67">
        <f>IF(AND(W1326=1,E1326="Préventif"),1,0)</f>
        <v>0.0</v>
      </c>
      <c r="Y1326" s="67">
        <f>IF(AND(ISNUMBER(N1326),N(N1326)&gt;0),N(N1326),0)</f>
        <v>0.0</v>
      </c>
      <c r="Z1326" s="67">
        <f>IF(AND(ISNUMBER(P1326),N(P1326)&gt;0),N(P1326),0)</f>
        <v>0.0</v>
      </c>
    </row>
    <row r="1327">
      <c r="A1327" s="79" t="str">
        <f>IF(COUNTA(B1327:C1327,E1327:G1327,I1327)=0,"","BI-"&amp;RIGHT("0000"&amp;(ROW()-5),4))</f>
        <v/>
      </c>
      <c r="B1327" s="72" t="n"/>
      <c r="C1327" s="66" t="n"/>
      <c r="D1327" s="67" t="str">
        <f>IF(C1327="","",IFERROR(INDEX(eq_des,MATCH(C1327,eq_code,0))&amp;"","Équipement inconnu"))</f>
        <v/>
      </c>
      <c r="E1327" s="68" t="n"/>
      <c r="F1327" s="68" t="n"/>
      <c r="G1327" s="66" t="n"/>
      <c r="H1327" s="66" t="n"/>
      <c r="I1327" s="68" t="n"/>
      <c r="J1327" s="73" t="n"/>
      <c r="K1327" s="71" t="n"/>
      <c r="L1327" s="71" t="n"/>
      <c r="M1327" s="66" t="n"/>
      <c r="N1327" s="80" t="n"/>
      <c r="O1327" s="81" t="str">
        <f>IF(A1327="","",ROUND(V1327*IFERROR(N(INDEX(tech_rate,MATCH(M1327,tech_name,0))),0),2))</f>
        <v/>
      </c>
      <c r="P1327" s="80" t="n"/>
      <c r="Q1327" s="81" t="str">
        <f>IF(A1327="","",ROUND(Y1327+O1327+Z1327,2))</f>
        <v/>
      </c>
      <c r="R1327" s="79" t="str">
        <f>IF(A1327="","",IF(S1327=0,"Date manquante ou invalide",IF(C1327="","Équipement manquant",IF(ISNA(MATCH(C1327,eq_code,0)),"Équipement inconnu",IF(E1327="","Type manquant",IF(AND(E1327&lt;&gt;"Préventif",E1327&lt;&gt;"Correctif",E1327&lt;&gt;"Amélioratif"),"Type inconnu",IF(I1327="","Statut manquant",IF(AND(I1327&lt;&gt;"Terminée",I1327&lt;&gt;"En cours",I1327&lt;&gt;"À faire",I1327&lt;&gt;"Annulée"),"Statut inconnu",IF(AND(E1327="Préventif",F1327=""),"Plan manquant (préventif)",IF(AND(F1327&lt;&gt;"",ISNA(MATCH(F1327,pl_num,0))),"Plan inconnu",IF(AND(F1327&lt;&gt;"",IFERROR(INDEX(pl_eq,MATCH(F1327,pl_num,0))&amp;"",C1327)&lt;&gt;C1327),"Plan d'un autre équipement",IF(AND(J1327&lt;&gt;"",OR(NOT(ISNUMBER(J1327)),N(J1327)&lt;0)),"Compteur invalide",IF(OR(AND(K1327&lt;&gt;"",OR(NOT(ISNUMBER(K1327)),N(K1327)&lt;0)),AND(L1327&lt;&gt;"",OR(NOT(ISNUMBER(L1327)),N(L1327)&lt;0))),"Durée invalide",IF(OR(AND(N1327&lt;&gt;"",OR(NOT(ISNUMBER(N1327)),N(N1327)&lt;0)),AND(P1327&lt;&gt;"",OR(NOT(ISNUMBER(P1327)),N(P1327)&lt;0))),"Coût invalide",IF(AND(M1327&lt;&gt;"",ISNA(MATCH(M1327,tech_name,0))),"Technicien inconnu",IF(AND(I1327="Terminée",S1327&gt;p_today),"Terminée à une date future",IF(AND(I1327="Terminée",V1327=0),"Durée d'intervention manquante",IF(AND(I1327="Terminée",E1327="Préventif",T1327=0,OR(IFERROR(INDEX(pl_trig,MATCH(F1327,pl_num,0))&amp;"","")="Compteur",IFERROR(INDEX(pl_trig,MATCH(F1327,pl_num,0))&amp;"","")="Au premier des deux")),"Compteur manquant (plan au compteur)","OK"))))))))))))))))))</f>
        <v/>
      </c>
      <c r="S1327" s="67">
        <f>IF(AND(ISNUMBER(B1327),N(B1327)&gt;0),INT(B1327),0)</f>
        <v>0.0</v>
      </c>
      <c r="T1327" s="67">
        <f>IF(AND(ISNUMBER(J1327),N(J1327)&gt;=0),N(J1327),0)</f>
        <v>0.0</v>
      </c>
      <c r="U1327" s="67">
        <f>IF(AND(ISNUMBER(K1327),N(K1327)&gt;0),N(K1327),0)</f>
        <v>0.0</v>
      </c>
      <c r="V1327" s="67">
        <f>IF(AND(ISNUMBER(L1327),N(L1327)&gt;0),N(L1327),0)</f>
        <v>0.0</v>
      </c>
      <c r="W1327" s="67">
        <f>IF(AND(I1327="Terminée",S1327&gt;0,C1327&lt;&gt;"",ISNUMBER(MATCH(C1327,eq_code,0))),1,0)</f>
        <v>0.0</v>
      </c>
      <c r="X1327" s="67">
        <f>IF(AND(W1327=1,E1327="Préventif"),1,0)</f>
        <v>0.0</v>
      </c>
      <c r="Y1327" s="67">
        <f>IF(AND(ISNUMBER(N1327),N(N1327)&gt;0),N(N1327),0)</f>
        <v>0.0</v>
      </c>
      <c r="Z1327" s="67">
        <f>IF(AND(ISNUMBER(P1327),N(P1327)&gt;0),N(P1327),0)</f>
        <v>0.0</v>
      </c>
    </row>
    <row r="1328">
      <c r="A1328" s="79" t="str">
        <f>IF(COUNTA(B1328:C1328,E1328:G1328,I1328)=0,"","BI-"&amp;RIGHT("0000"&amp;(ROW()-5),4))</f>
        <v/>
      </c>
      <c r="B1328" s="72" t="n"/>
      <c r="C1328" s="66" t="n"/>
      <c r="D1328" s="67" t="str">
        <f>IF(C1328="","",IFERROR(INDEX(eq_des,MATCH(C1328,eq_code,0))&amp;"","Équipement inconnu"))</f>
        <v/>
      </c>
      <c r="E1328" s="68" t="n"/>
      <c r="F1328" s="68" t="n"/>
      <c r="G1328" s="66" t="n"/>
      <c r="H1328" s="66" t="n"/>
      <c r="I1328" s="68" t="n"/>
      <c r="J1328" s="73" t="n"/>
      <c r="K1328" s="71" t="n"/>
      <c r="L1328" s="71" t="n"/>
      <c r="M1328" s="66" t="n"/>
      <c r="N1328" s="80" t="n"/>
      <c r="O1328" s="81" t="str">
        <f>IF(A1328="","",ROUND(V1328*IFERROR(N(INDEX(tech_rate,MATCH(M1328,tech_name,0))),0),2))</f>
        <v/>
      </c>
      <c r="P1328" s="80" t="n"/>
      <c r="Q1328" s="81" t="str">
        <f>IF(A1328="","",ROUND(Y1328+O1328+Z1328,2))</f>
        <v/>
      </c>
      <c r="R1328" s="79" t="str">
        <f>IF(A1328="","",IF(S1328=0,"Date manquante ou invalide",IF(C1328="","Équipement manquant",IF(ISNA(MATCH(C1328,eq_code,0)),"Équipement inconnu",IF(E1328="","Type manquant",IF(AND(E1328&lt;&gt;"Préventif",E1328&lt;&gt;"Correctif",E1328&lt;&gt;"Amélioratif"),"Type inconnu",IF(I1328="","Statut manquant",IF(AND(I1328&lt;&gt;"Terminée",I1328&lt;&gt;"En cours",I1328&lt;&gt;"À faire",I1328&lt;&gt;"Annulée"),"Statut inconnu",IF(AND(E1328="Préventif",F1328=""),"Plan manquant (préventif)",IF(AND(F1328&lt;&gt;"",ISNA(MATCH(F1328,pl_num,0))),"Plan inconnu",IF(AND(F1328&lt;&gt;"",IFERROR(INDEX(pl_eq,MATCH(F1328,pl_num,0))&amp;"",C1328)&lt;&gt;C1328),"Plan d'un autre équipement",IF(AND(J1328&lt;&gt;"",OR(NOT(ISNUMBER(J1328)),N(J1328)&lt;0)),"Compteur invalide",IF(OR(AND(K1328&lt;&gt;"",OR(NOT(ISNUMBER(K1328)),N(K1328)&lt;0)),AND(L1328&lt;&gt;"",OR(NOT(ISNUMBER(L1328)),N(L1328)&lt;0))),"Durée invalide",IF(OR(AND(N1328&lt;&gt;"",OR(NOT(ISNUMBER(N1328)),N(N1328)&lt;0)),AND(P1328&lt;&gt;"",OR(NOT(ISNUMBER(P1328)),N(P1328)&lt;0))),"Coût invalide",IF(AND(M1328&lt;&gt;"",ISNA(MATCH(M1328,tech_name,0))),"Technicien inconnu",IF(AND(I1328="Terminée",S1328&gt;p_today),"Terminée à une date future",IF(AND(I1328="Terminée",V1328=0),"Durée d'intervention manquante",IF(AND(I1328="Terminée",E1328="Préventif",T1328=0,OR(IFERROR(INDEX(pl_trig,MATCH(F1328,pl_num,0))&amp;"","")="Compteur",IFERROR(INDEX(pl_trig,MATCH(F1328,pl_num,0))&amp;"","")="Au premier des deux")),"Compteur manquant (plan au compteur)","OK"))))))))))))))))))</f>
        <v/>
      </c>
      <c r="S1328" s="67">
        <f>IF(AND(ISNUMBER(B1328),N(B1328)&gt;0),INT(B1328),0)</f>
        <v>0.0</v>
      </c>
      <c r="T1328" s="67">
        <f>IF(AND(ISNUMBER(J1328),N(J1328)&gt;=0),N(J1328),0)</f>
        <v>0.0</v>
      </c>
      <c r="U1328" s="67">
        <f>IF(AND(ISNUMBER(K1328),N(K1328)&gt;0),N(K1328),0)</f>
        <v>0.0</v>
      </c>
      <c r="V1328" s="67">
        <f>IF(AND(ISNUMBER(L1328),N(L1328)&gt;0),N(L1328),0)</f>
        <v>0.0</v>
      </c>
      <c r="W1328" s="67">
        <f>IF(AND(I1328="Terminée",S1328&gt;0,C1328&lt;&gt;"",ISNUMBER(MATCH(C1328,eq_code,0))),1,0)</f>
        <v>0.0</v>
      </c>
      <c r="X1328" s="67">
        <f>IF(AND(W1328=1,E1328="Préventif"),1,0)</f>
        <v>0.0</v>
      </c>
      <c r="Y1328" s="67">
        <f>IF(AND(ISNUMBER(N1328),N(N1328)&gt;0),N(N1328),0)</f>
        <v>0.0</v>
      </c>
      <c r="Z1328" s="67">
        <f>IF(AND(ISNUMBER(P1328),N(P1328)&gt;0),N(P1328),0)</f>
        <v>0.0</v>
      </c>
    </row>
    <row r="1329">
      <c r="A1329" s="79" t="str">
        <f>IF(COUNTA(B1329:C1329,E1329:G1329,I1329)=0,"","BI-"&amp;RIGHT("0000"&amp;(ROW()-5),4))</f>
        <v/>
      </c>
      <c r="B1329" s="72" t="n"/>
      <c r="C1329" s="66" t="n"/>
      <c r="D1329" s="67" t="str">
        <f>IF(C1329="","",IFERROR(INDEX(eq_des,MATCH(C1329,eq_code,0))&amp;"","Équipement inconnu"))</f>
        <v/>
      </c>
      <c r="E1329" s="68" t="n"/>
      <c r="F1329" s="68" t="n"/>
      <c r="G1329" s="66" t="n"/>
      <c r="H1329" s="66" t="n"/>
      <c r="I1329" s="68" t="n"/>
      <c r="J1329" s="73" t="n"/>
      <c r="K1329" s="71" t="n"/>
      <c r="L1329" s="71" t="n"/>
      <c r="M1329" s="66" t="n"/>
      <c r="N1329" s="80" t="n"/>
      <c r="O1329" s="81" t="str">
        <f>IF(A1329="","",ROUND(V1329*IFERROR(N(INDEX(tech_rate,MATCH(M1329,tech_name,0))),0),2))</f>
        <v/>
      </c>
      <c r="P1329" s="80" t="n"/>
      <c r="Q1329" s="81" t="str">
        <f>IF(A1329="","",ROUND(Y1329+O1329+Z1329,2))</f>
        <v/>
      </c>
      <c r="R1329" s="79" t="str">
        <f>IF(A1329="","",IF(S1329=0,"Date manquante ou invalide",IF(C1329="","Équipement manquant",IF(ISNA(MATCH(C1329,eq_code,0)),"Équipement inconnu",IF(E1329="","Type manquant",IF(AND(E1329&lt;&gt;"Préventif",E1329&lt;&gt;"Correctif",E1329&lt;&gt;"Amélioratif"),"Type inconnu",IF(I1329="","Statut manquant",IF(AND(I1329&lt;&gt;"Terminée",I1329&lt;&gt;"En cours",I1329&lt;&gt;"À faire",I1329&lt;&gt;"Annulée"),"Statut inconnu",IF(AND(E1329="Préventif",F1329=""),"Plan manquant (préventif)",IF(AND(F1329&lt;&gt;"",ISNA(MATCH(F1329,pl_num,0))),"Plan inconnu",IF(AND(F1329&lt;&gt;"",IFERROR(INDEX(pl_eq,MATCH(F1329,pl_num,0))&amp;"",C1329)&lt;&gt;C1329),"Plan d'un autre équipement",IF(AND(J1329&lt;&gt;"",OR(NOT(ISNUMBER(J1329)),N(J1329)&lt;0)),"Compteur invalide",IF(OR(AND(K1329&lt;&gt;"",OR(NOT(ISNUMBER(K1329)),N(K1329)&lt;0)),AND(L1329&lt;&gt;"",OR(NOT(ISNUMBER(L1329)),N(L1329)&lt;0))),"Durée invalide",IF(OR(AND(N1329&lt;&gt;"",OR(NOT(ISNUMBER(N1329)),N(N1329)&lt;0)),AND(P1329&lt;&gt;"",OR(NOT(ISNUMBER(P1329)),N(P1329)&lt;0))),"Coût invalide",IF(AND(M1329&lt;&gt;"",ISNA(MATCH(M1329,tech_name,0))),"Technicien inconnu",IF(AND(I1329="Terminée",S1329&gt;p_today),"Terminée à une date future",IF(AND(I1329="Terminée",V1329=0),"Durée d'intervention manquante",IF(AND(I1329="Terminée",E1329="Préventif",T1329=0,OR(IFERROR(INDEX(pl_trig,MATCH(F1329,pl_num,0))&amp;"","")="Compteur",IFERROR(INDEX(pl_trig,MATCH(F1329,pl_num,0))&amp;"","")="Au premier des deux")),"Compteur manquant (plan au compteur)","OK"))))))))))))))))))</f>
        <v/>
      </c>
      <c r="S1329" s="67">
        <f>IF(AND(ISNUMBER(B1329),N(B1329)&gt;0),INT(B1329),0)</f>
        <v>0.0</v>
      </c>
      <c r="T1329" s="67">
        <f>IF(AND(ISNUMBER(J1329),N(J1329)&gt;=0),N(J1329),0)</f>
        <v>0.0</v>
      </c>
      <c r="U1329" s="67">
        <f>IF(AND(ISNUMBER(K1329),N(K1329)&gt;0),N(K1329),0)</f>
        <v>0.0</v>
      </c>
      <c r="V1329" s="67">
        <f>IF(AND(ISNUMBER(L1329),N(L1329)&gt;0),N(L1329),0)</f>
        <v>0.0</v>
      </c>
      <c r="W1329" s="67">
        <f>IF(AND(I1329="Terminée",S1329&gt;0,C1329&lt;&gt;"",ISNUMBER(MATCH(C1329,eq_code,0))),1,0)</f>
        <v>0.0</v>
      </c>
      <c r="X1329" s="67">
        <f>IF(AND(W1329=1,E1329="Préventif"),1,0)</f>
        <v>0.0</v>
      </c>
      <c r="Y1329" s="67">
        <f>IF(AND(ISNUMBER(N1329),N(N1329)&gt;0),N(N1329),0)</f>
        <v>0.0</v>
      </c>
      <c r="Z1329" s="67">
        <f>IF(AND(ISNUMBER(P1329),N(P1329)&gt;0),N(P1329),0)</f>
        <v>0.0</v>
      </c>
    </row>
    <row r="1330">
      <c r="A1330" s="79" t="str">
        <f>IF(COUNTA(B1330:C1330,E1330:G1330,I1330)=0,"","BI-"&amp;RIGHT("0000"&amp;(ROW()-5),4))</f>
        <v/>
      </c>
      <c r="B1330" s="72" t="n"/>
      <c r="C1330" s="66" t="n"/>
      <c r="D1330" s="67" t="str">
        <f>IF(C1330="","",IFERROR(INDEX(eq_des,MATCH(C1330,eq_code,0))&amp;"","Équipement inconnu"))</f>
        <v/>
      </c>
      <c r="E1330" s="68" t="n"/>
      <c r="F1330" s="68" t="n"/>
      <c r="G1330" s="66" t="n"/>
      <c r="H1330" s="66" t="n"/>
      <c r="I1330" s="68" t="n"/>
      <c r="J1330" s="73" t="n"/>
      <c r="K1330" s="71" t="n"/>
      <c r="L1330" s="71" t="n"/>
      <c r="M1330" s="66" t="n"/>
      <c r="N1330" s="80" t="n"/>
      <c r="O1330" s="81" t="str">
        <f>IF(A1330="","",ROUND(V1330*IFERROR(N(INDEX(tech_rate,MATCH(M1330,tech_name,0))),0),2))</f>
        <v/>
      </c>
      <c r="P1330" s="80" t="n"/>
      <c r="Q1330" s="81" t="str">
        <f>IF(A1330="","",ROUND(Y1330+O1330+Z1330,2))</f>
        <v/>
      </c>
      <c r="R1330" s="79" t="str">
        <f>IF(A1330="","",IF(S1330=0,"Date manquante ou invalide",IF(C1330="","Équipement manquant",IF(ISNA(MATCH(C1330,eq_code,0)),"Équipement inconnu",IF(E1330="","Type manquant",IF(AND(E1330&lt;&gt;"Préventif",E1330&lt;&gt;"Correctif",E1330&lt;&gt;"Amélioratif"),"Type inconnu",IF(I1330="","Statut manquant",IF(AND(I1330&lt;&gt;"Terminée",I1330&lt;&gt;"En cours",I1330&lt;&gt;"À faire",I1330&lt;&gt;"Annulée"),"Statut inconnu",IF(AND(E1330="Préventif",F1330=""),"Plan manquant (préventif)",IF(AND(F1330&lt;&gt;"",ISNA(MATCH(F1330,pl_num,0))),"Plan inconnu",IF(AND(F1330&lt;&gt;"",IFERROR(INDEX(pl_eq,MATCH(F1330,pl_num,0))&amp;"",C1330)&lt;&gt;C1330),"Plan d'un autre équipement",IF(AND(J1330&lt;&gt;"",OR(NOT(ISNUMBER(J1330)),N(J1330)&lt;0)),"Compteur invalide",IF(OR(AND(K1330&lt;&gt;"",OR(NOT(ISNUMBER(K1330)),N(K1330)&lt;0)),AND(L1330&lt;&gt;"",OR(NOT(ISNUMBER(L1330)),N(L1330)&lt;0))),"Durée invalide",IF(OR(AND(N1330&lt;&gt;"",OR(NOT(ISNUMBER(N1330)),N(N1330)&lt;0)),AND(P1330&lt;&gt;"",OR(NOT(ISNUMBER(P1330)),N(P1330)&lt;0))),"Coût invalide",IF(AND(M1330&lt;&gt;"",ISNA(MATCH(M1330,tech_name,0))),"Technicien inconnu",IF(AND(I1330="Terminée",S1330&gt;p_today),"Terminée à une date future",IF(AND(I1330="Terminée",V1330=0),"Durée d'intervention manquante",IF(AND(I1330="Terminée",E1330="Préventif",T1330=0,OR(IFERROR(INDEX(pl_trig,MATCH(F1330,pl_num,0))&amp;"","")="Compteur",IFERROR(INDEX(pl_trig,MATCH(F1330,pl_num,0))&amp;"","")="Au premier des deux")),"Compteur manquant (plan au compteur)","OK"))))))))))))))))))</f>
        <v/>
      </c>
      <c r="S1330" s="67">
        <f>IF(AND(ISNUMBER(B1330),N(B1330)&gt;0),INT(B1330),0)</f>
        <v>0.0</v>
      </c>
      <c r="T1330" s="67">
        <f>IF(AND(ISNUMBER(J1330),N(J1330)&gt;=0),N(J1330),0)</f>
        <v>0.0</v>
      </c>
      <c r="U1330" s="67">
        <f>IF(AND(ISNUMBER(K1330),N(K1330)&gt;0),N(K1330),0)</f>
        <v>0.0</v>
      </c>
      <c r="V1330" s="67">
        <f>IF(AND(ISNUMBER(L1330),N(L1330)&gt;0),N(L1330),0)</f>
        <v>0.0</v>
      </c>
      <c r="W1330" s="67">
        <f>IF(AND(I1330="Terminée",S1330&gt;0,C1330&lt;&gt;"",ISNUMBER(MATCH(C1330,eq_code,0))),1,0)</f>
        <v>0.0</v>
      </c>
      <c r="X1330" s="67">
        <f>IF(AND(W1330=1,E1330="Préventif"),1,0)</f>
        <v>0.0</v>
      </c>
      <c r="Y1330" s="67">
        <f>IF(AND(ISNUMBER(N1330),N(N1330)&gt;0),N(N1330),0)</f>
        <v>0.0</v>
      </c>
      <c r="Z1330" s="67">
        <f>IF(AND(ISNUMBER(P1330),N(P1330)&gt;0),N(P1330),0)</f>
        <v>0.0</v>
      </c>
    </row>
    <row r="1331">
      <c r="A1331" s="79" t="str">
        <f>IF(COUNTA(B1331:C1331,E1331:G1331,I1331)=0,"","BI-"&amp;RIGHT("0000"&amp;(ROW()-5),4))</f>
        <v/>
      </c>
      <c r="B1331" s="72" t="n"/>
      <c r="C1331" s="66" t="n"/>
      <c r="D1331" s="67" t="str">
        <f>IF(C1331="","",IFERROR(INDEX(eq_des,MATCH(C1331,eq_code,0))&amp;"","Équipement inconnu"))</f>
        <v/>
      </c>
      <c r="E1331" s="68" t="n"/>
      <c r="F1331" s="68" t="n"/>
      <c r="G1331" s="66" t="n"/>
      <c r="H1331" s="66" t="n"/>
      <c r="I1331" s="68" t="n"/>
      <c r="J1331" s="73" t="n"/>
      <c r="K1331" s="71" t="n"/>
      <c r="L1331" s="71" t="n"/>
      <c r="M1331" s="66" t="n"/>
      <c r="N1331" s="80" t="n"/>
      <c r="O1331" s="81" t="str">
        <f>IF(A1331="","",ROUND(V1331*IFERROR(N(INDEX(tech_rate,MATCH(M1331,tech_name,0))),0),2))</f>
        <v/>
      </c>
      <c r="P1331" s="80" t="n"/>
      <c r="Q1331" s="81" t="str">
        <f>IF(A1331="","",ROUND(Y1331+O1331+Z1331,2))</f>
        <v/>
      </c>
      <c r="R1331" s="79" t="str">
        <f>IF(A1331="","",IF(S1331=0,"Date manquante ou invalide",IF(C1331="","Équipement manquant",IF(ISNA(MATCH(C1331,eq_code,0)),"Équipement inconnu",IF(E1331="","Type manquant",IF(AND(E1331&lt;&gt;"Préventif",E1331&lt;&gt;"Correctif",E1331&lt;&gt;"Amélioratif"),"Type inconnu",IF(I1331="","Statut manquant",IF(AND(I1331&lt;&gt;"Terminée",I1331&lt;&gt;"En cours",I1331&lt;&gt;"À faire",I1331&lt;&gt;"Annulée"),"Statut inconnu",IF(AND(E1331="Préventif",F1331=""),"Plan manquant (préventif)",IF(AND(F1331&lt;&gt;"",ISNA(MATCH(F1331,pl_num,0))),"Plan inconnu",IF(AND(F1331&lt;&gt;"",IFERROR(INDEX(pl_eq,MATCH(F1331,pl_num,0))&amp;"",C1331)&lt;&gt;C1331),"Plan d'un autre équipement",IF(AND(J1331&lt;&gt;"",OR(NOT(ISNUMBER(J1331)),N(J1331)&lt;0)),"Compteur invalide",IF(OR(AND(K1331&lt;&gt;"",OR(NOT(ISNUMBER(K1331)),N(K1331)&lt;0)),AND(L1331&lt;&gt;"",OR(NOT(ISNUMBER(L1331)),N(L1331)&lt;0))),"Durée invalide",IF(OR(AND(N1331&lt;&gt;"",OR(NOT(ISNUMBER(N1331)),N(N1331)&lt;0)),AND(P1331&lt;&gt;"",OR(NOT(ISNUMBER(P1331)),N(P1331)&lt;0))),"Coût invalide",IF(AND(M1331&lt;&gt;"",ISNA(MATCH(M1331,tech_name,0))),"Technicien inconnu",IF(AND(I1331="Terminée",S1331&gt;p_today),"Terminée à une date future",IF(AND(I1331="Terminée",V1331=0),"Durée d'intervention manquante",IF(AND(I1331="Terminée",E1331="Préventif",T1331=0,OR(IFERROR(INDEX(pl_trig,MATCH(F1331,pl_num,0))&amp;"","")="Compteur",IFERROR(INDEX(pl_trig,MATCH(F1331,pl_num,0))&amp;"","")="Au premier des deux")),"Compteur manquant (plan au compteur)","OK"))))))))))))))))))</f>
        <v/>
      </c>
      <c r="S1331" s="67">
        <f>IF(AND(ISNUMBER(B1331),N(B1331)&gt;0),INT(B1331),0)</f>
        <v>0.0</v>
      </c>
      <c r="T1331" s="67">
        <f>IF(AND(ISNUMBER(J1331),N(J1331)&gt;=0),N(J1331),0)</f>
        <v>0.0</v>
      </c>
      <c r="U1331" s="67">
        <f>IF(AND(ISNUMBER(K1331),N(K1331)&gt;0),N(K1331),0)</f>
        <v>0.0</v>
      </c>
      <c r="V1331" s="67">
        <f>IF(AND(ISNUMBER(L1331),N(L1331)&gt;0),N(L1331),0)</f>
        <v>0.0</v>
      </c>
      <c r="W1331" s="67">
        <f>IF(AND(I1331="Terminée",S1331&gt;0,C1331&lt;&gt;"",ISNUMBER(MATCH(C1331,eq_code,0))),1,0)</f>
        <v>0.0</v>
      </c>
      <c r="X1331" s="67">
        <f>IF(AND(W1331=1,E1331="Préventif"),1,0)</f>
        <v>0.0</v>
      </c>
      <c r="Y1331" s="67">
        <f>IF(AND(ISNUMBER(N1331),N(N1331)&gt;0),N(N1331),0)</f>
        <v>0.0</v>
      </c>
      <c r="Z1331" s="67">
        <f>IF(AND(ISNUMBER(P1331),N(P1331)&gt;0),N(P1331),0)</f>
        <v>0.0</v>
      </c>
    </row>
    <row r="1332">
      <c r="A1332" s="79" t="str">
        <f>IF(COUNTA(B1332:C1332,E1332:G1332,I1332)=0,"","BI-"&amp;RIGHT("0000"&amp;(ROW()-5),4))</f>
        <v/>
      </c>
      <c r="B1332" s="72" t="n"/>
      <c r="C1332" s="66" t="n"/>
      <c r="D1332" s="67" t="str">
        <f>IF(C1332="","",IFERROR(INDEX(eq_des,MATCH(C1332,eq_code,0))&amp;"","Équipement inconnu"))</f>
        <v/>
      </c>
      <c r="E1332" s="68" t="n"/>
      <c r="F1332" s="68" t="n"/>
      <c r="G1332" s="66" t="n"/>
      <c r="H1332" s="66" t="n"/>
      <c r="I1332" s="68" t="n"/>
      <c r="J1332" s="73" t="n"/>
      <c r="K1332" s="71" t="n"/>
      <c r="L1332" s="71" t="n"/>
      <c r="M1332" s="66" t="n"/>
      <c r="N1332" s="80" t="n"/>
      <c r="O1332" s="81" t="str">
        <f>IF(A1332="","",ROUND(V1332*IFERROR(N(INDEX(tech_rate,MATCH(M1332,tech_name,0))),0),2))</f>
        <v/>
      </c>
      <c r="P1332" s="80" t="n"/>
      <c r="Q1332" s="81" t="str">
        <f>IF(A1332="","",ROUND(Y1332+O1332+Z1332,2))</f>
        <v/>
      </c>
      <c r="R1332" s="79" t="str">
        <f>IF(A1332="","",IF(S1332=0,"Date manquante ou invalide",IF(C1332="","Équipement manquant",IF(ISNA(MATCH(C1332,eq_code,0)),"Équipement inconnu",IF(E1332="","Type manquant",IF(AND(E1332&lt;&gt;"Préventif",E1332&lt;&gt;"Correctif",E1332&lt;&gt;"Amélioratif"),"Type inconnu",IF(I1332="","Statut manquant",IF(AND(I1332&lt;&gt;"Terminée",I1332&lt;&gt;"En cours",I1332&lt;&gt;"À faire",I1332&lt;&gt;"Annulée"),"Statut inconnu",IF(AND(E1332="Préventif",F1332=""),"Plan manquant (préventif)",IF(AND(F1332&lt;&gt;"",ISNA(MATCH(F1332,pl_num,0))),"Plan inconnu",IF(AND(F1332&lt;&gt;"",IFERROR(INDEX(pl_eq,MATCH(F1332,pl_num,0))&amp;"",C1332)&lt;&gt;C1332),"Plan d'un autre équipement",IF(AND(J1332&lt;&gt;"",OR(NOT(ISNUMBER(J1332)),N(J1332)&lt;0)),"Compteur invalide",IF(OR(AND(K1332&lt;&gt;"",OR(NOT(ISNUMBER(K1332)),N(K1332)&lt;0)),AND(L1332&lt;&gt;"",OR(NOT(ISNUMBER(L1332)),N(L1332)&lt;0))),"Durée invalide",IF(OR(AND(N1332&lt;&gt;"",OR(NOT(ISNUMBER(N1332)),N(N1332)&lt;0)),AND(P1332&lt;&gt;"",OR(NOT(ISNUMBER(P1332)),N(P1332)&lt;0))),"Coût invalide",IF(AND(M1332&lt;&gt;"",ISNA(MATCH(M1332,tech_name,0))),"Technicien inconnu",IF(AND(I1332="Terminée",S1332&gt;p_today),"Terminée à une date future",IF(AND(I1332="Terminée",V1332=0),"Durée d'intervention manquante",IF(AND(I1332="Terminée",E1332="Préventif",T1332=0,OR(IFERROR(INDEX(pl_trig,MATCH(F1332,pl_num,0))&amp;"","")="Compteur",IFERROR(INDEX(pl_trig,MATCH(F1332,pl_num,0))&amp;"","")="Au premier des deux")),"Compteur manquant (plan au compteur)","OK"))))))))))))))))))</f>
        <v/>
      </c>
      <c r="S1332" s="67">
        <f>IF(AND(ISNUMBER(B1332),N(B1332)&gt;0),INT(B1332),0)</f>
        <v>0.0</v>
      </c>
      <c r="T1332" s="67">
        <f>IF(AND(ISNUMBER(J1332),N(J1332)&gt;=0),N(J1332),0)</f>
        <v>0.0</v>
      </c>
      <c r="U1332" s="67">
        <f>IF(AND(ISNUMBER(K1332),N(K1332)&gt;0),N(K1332),0)</f>
        <v>0.0</v>
      </c>
      <c r="V1332" s="67">
        <f>IF(AND(ISNUMBER(L1332),N(L1332)&gt;0),N(L1332),0)</f>
        <v>0.0</v>
      </c>
      <c r="W1332" s="67">
        <f>IF(AND(I1332="Terminée",S1332&gt;0,C1332&lt;&gt;"",ISNUMBER(MATCH(C1332,eq_code,0))),1,0)</f>
        <v>0.0</v>
      </c>
      <c r="X1332" s="67">
        <f>IF(AND(W1332=1,E1332="Préventif"),1,0)</f>
        <v>0.0</v>
      </c>
      <c r="Y1332" s="67">
        <f>IF(AND(ISNUMBER(N1332),N(N1332)&gt;0),N(N1332),0)</f>
        <v>0.0</v>
      </c>
      <c r="Z1332" s="67">
        <f>IF(AND(ISNUMBER(P1332),N(P1332)&gt;0),N(P1332),0)</f>
        <v>0.0</v>
      </c>
    </row>
    <row r="1333">
      <c r="A1333" s="79" t="str">
        <f>IF(COUNTA(B1333:C1333,E1333:G1333,I1333)=0,"","BI-"&amp;RIGHT("0000"&amp;(ROW()-5),4))</f>
        <v/>
      </c>
      <c r="B1333" s="72" t="n"/>
      <c r="C1333" s="66" t="n"/>
      <c r="D1333" s="67" t="str">
        <f>IF(C1333="","",IFERROR(INDEX(eq_des,MATCH(C1333,eq_code,0))&amp;"","Équipement inconnu"))</f>
        <v/>
      </c>
      <c r="E1333" s="68" t="n"/>
      <c r="F1333" s="68" t="n"/>
      <c r="G1333" s="66" t="n"/>
      <c r="H1333" s="66" t="n"/>
      <c r="I1333" s="68" t="n"/>
      <c r="J1333" s="73" t="n"/>
      <c r="K1333" s="71" t="n"/>
      <c r="L1333" s="71" t="n"/>
      <c r="M1333" s="66" t="n"/>
      <c r="N1333" s="80" t="n"/>
      <c r="O1333" s="81" t="str">
        <f>IF(A1333="","",ROUND(V1333*IFERROR(N(INDEX(tech_rate,MATCH(M1333,tech_name,0))),0),2))</f>
        <v/>
      </c>
      <c r="P1333" s="80" t="n"/>
      <c r="Q1333" s="81" t="str">
        <f>IF(A1333="","",ROUND(Y1333+O1333+Z1333,2))</f>
        <v/>
      </c>
      <c r="R1333" s="79" t="str">
        <f>IF(A1333="","",IF(S1333=0,"Date manquante ou invalide",IF(C1333="","Équipement manquant",IF(ISNA(MATCH(C1333,eq_code,0)),"Équipement inconnu",IF(E1333="","Type manquant",IF(AND(E1333&lt;&gt;"Préventif",E1333&lt;&gt;"Correctif",E1333&lt;&gt;"Amélioratif"),"Type inconnu",IF(I1333="","Statut manquant",IF(AND(I1333&lt;&gt;"Terminée",I1333&lt;&gt;"En cours",I1333&lt;&gt;"À faire",I1333&lt;&gt;"Annulée"),"Statut inconnu",IF(AND(E1333="Préventif",F1333=""),"Plan manquant (préventif)",IF(AND(F1333&lt;&gt;"",ISNA(MATCH(F1333,pl_num,0))),"Plan inconnu",IF(AND(F1333&lt;&gt;"",IFERROR(INDEX(pl_eq,MATCH(F1333,pl_num,0))&amp;"",C1333)&lt;&gt;C1333),"Plan d'un autre équipement",IF(AND(J1333&lt;&gt;"",OR(NOT(ISNUMBER(J1333)),N(J1333)&lt;0)),"Compteur invalide",IF(OR(AND(K1333&lt;&gt;"",OR(NOT(ISNUMBER(K1333)),N(K1333)&lt;0)),AND(L1333&lt;&gt;"",OR(NOT(ISNUMBER(L1333)),N(L1333)&lt;0))),"Durée invalide",IF(OR(AND(N1333&lt;&gt;"",OR(NOT(ISNUMBER(N1333)),N(N1333)&lt;0)),AND(P1333&lt;&gt;"",OR(NOT(ISNUMBER(P1333)),N(P1333)&lt;0))),"Coût invalide",IF(AND(M1333&lt;&gt;"",ISNA(MATCH(M1333,tech_name,0))),"Technicien inconnu",IF(AND(I1333="Terminée",S1333&gt;p_today),"Terminée à une date future",IF(AND(I1333="Terminée",V1333=0),"Durée d'intervention manquante",IF(AND(I1333="Terminée",E1333="Préventif",T1333=0,OR(IFERROR(INDEX(pl_trig,MATCH(F1333,pl_num,0))&amp;"","")="Compteur",IFERROR(INDEX(pl_trig,MATCH(F1333,pl_num,0))&amp;"","")="Au premier des deux")),"Compteur manquant (plan au compteur)","OK"))))))))))))))))))</f>
        <v/>
      </c>
      <c r="S1333" s="67">
        <f>IF(AND(ISNUMBER(B1333),N(B1333)&gt;0),INT(B1333),0)</f>
        <v>0.0</v>
      </c>
      <c r="T1333" s="67">
        <f>IF(AND(ISNUMBER(J1333),N(J1333)&gt;=0),N(J1333),0)</f>
        <v>0.0</v>
      </c>
      <c r="U1333" s="67">
        <f>IF(AND(ISNUMBER(K1333),N(K1333)&gt;0),N(K1333),0)</f>
        <v>0.0</v>
      </c>
      <c r="V1333" s="67">
        <f>IF(AND(ISNUMBER(L1333),N(L1333)&gt;0),N(L1333),0)</f>
        <v>0.0</v>
      </c>
      <c r="W1333" s="67">
        <f>IF(AND(I1333="Terminée",S1333&gt;0,C1333&lt;&gt;"",ISNUMBER(MATCH(C1333,eq_code,0))),1,0)</f>
        <v>0.0</v>
      </c>
      <c r="X1333" s="67">
        <f>IF(AND(W1333=1,E1333="Préventif"),1,0)</f>
        <v>0.0</v>
      </c>
      <c r="Y1333" s="67">
        <f>IF(AND(ISNUMBER(N1333),N(N1333)&gt;0),N(N1333),0)</f>
        <v>0.0</v>
      </c>
      <c r="Z1333" s="67">
        <f>IF(AND(ISNUMBER(P1333),N(P1333)&gt;0),N(P1333),0)</f>
        <v>0.0</v>
      </c>
    </row>
    <row r="1334">
      <c r="A1334" s="79" t="str">
        <f>IF(COUNTA(B1334:C1334,E1334:G1334,I1334)=0,"","BI-"&amp;RIGHT("0000"&amp;(ROW()-5),4))</f>
        <v/>
      </c>
      <c r="B1334" s="72" t="n"/>
      <c r="C1334" s="66" t="n"/>
      <c r="D1334" s="67" t="str">
        <f>IF(C1334="","",IFERROR(INDEX(eq_des,MATCH(C1334,eq_code,0))&amp;"","Équipement inconnu"))</f>
        <v/>
      </c>
      <c r="E1334" s="68" t="n"/>
      <c r="F1334" s="68" t="n"/>
      <c r="G1334" s="66" t="n"/>
      <c r="H1334" s="66" t="n"/>
      <c r="I1334" s="68" t="n"/>
      <c r="J1334" s="73" t="n"/>
      <c r="K1334" s="71" t="n"/>
      <c r="L1334" s="71" t="n"/>
      <c r="M1334" s="66" t="n"/>
      <c r="N1334" s="80" t="n"/>
      <c r="O1334" s="81" t="str">
        <f>IF(A1334="","",ROUND(V1334*IFERROR(N(INDEX(tech_rate,MATCH(M1334,tech_name,0))),0),2))</f>
        <v/>
      </c>
      <c r="P1334" s="80" t="n"/>
      <c r="Q1334" s="81" t="str">
        <f>IF(A1334="","",ROUND(Y1334+O1334+Z1334,2))</f>
        <v/>
      </c>
      <c r="R1334" s="79" t="str">
        <f>IF(A1334="","",IF(S1334=0,"Date manquante ou invalide",IF(C1334="","Équipement manquant",IF(ISNA(MATCH(C1334,eq_code,0)),"Équipement inconnu",IF(E1334="","Type manquant",IF(AND(E1334&lt;&gt;"Préventif",E1334&lt;&gt;"Correctif",E1334&lt;&gt;"Amélioratif"),"Type inconnu",IF(I1334="","Statut manquant",IF(AND(I1334&lt;&gt;"Terminée",I1334&lt;&gt;"En cours",I1334&lt;&gt;"À faire",I1334&lt;&gt;"Annulée"),"Statut inconnu",IF(AND(E1334="Préventif",F1334=""),"Plan manquant (préventif)",IF(AND(F1334&lt;&gt;"",ISNA(MATCH(F1334,pl_num,0))),"Plan inconnu",IF(AND(F1334&lt;&gt;"",IFERROR(INDEX(pl_eq,MATCH(F1334,pl_num,0))&amp;"",C1334)&lt;&gt;C1334),"Plan d'un autre équipement",IF(AND(J1334&lt;&gt;"",OR(NOT(ISNUMBER(J1334)),N(J1334)&lt;0)),"Compteur invalide",IF(OR(AND(K1334&lt;&gt;"",OR(NOT(ISNUMBER(K1334)),N(K1334)&lt;0)),AND(L1334&lt;&gt;"",OR(NOT(ISNUMBER(L1334)),N(L1334)&lt;0))),"Durée invalide",IF(OR(AND(N1334&lt;&gt;"",OR(NOT(ISNUMBER(N1334)),N(N1334)&lt;0)),AND(P1334&lt;&gt;"",OR(NOT(ISNUMBER(P1334)),N(P1334)&lt;0))),"Coût invalide",IF(AND(M1334&lt;&gt;"",ISNA(MATCH(M1334,tech_name,0))),"Technicien inconnu",IF(AND(I1334="Terminée",S1334&gt;p_today),"Terminée à une date future",IF(AND(I1334="Terminée",V1334=0),"Durée d'intervention manquante",IF(AND(I1334="Terminée",E1334="Préventif",T1334=0,OR(IFERROR(INDEX(pl_trig,MATCH(F1334,pl_num,0))&amp;"","")="Compteur",IFERROR(INDEX(pl_trig,MATCH(F1334,pl_num,0))&amp;"","")="Au premier des deux")),"Compteur manquant (plan au compteur)","OK"))))))))))))))))))</f>
        <v/>
      </c>
      <c r="S1334" s="67">
        <f>IF(AND(ISNUMBER(B1334),N(B1334)&gt;0),INT(B1334),0)</f>
        <v>0.0</v>
      </c>
      <c r="T1334" s="67">
        <f>IF(AND(ISNUMBER(J1334),N(J1334)&gt;=0),N(J1334),0)</f>
        <v>0.0</v>
      </c>
      <c r="U1334" s="67">
        <f>IF(AND(ISNUMBER(K1334),N(K1334)&gt;0),N(K1334),0)</f>
        <v>0.0</v>
      </c>
      <c r="V1334" s="67">
        <f>IF(AND(ISNUMBER(L1334),N(L1334)&gt;0),N(L1334),0)</f>
        <v>0.0</v>
      </c>
      <c r="W1334" s="67">
        <f>IF(AND(I1334="Terminée",S1334&gt;0,C1334&lt;&gt;"",ISNUMBER(MATCH(C1334,eq_code,0))),1,0)</f>
        <v>0.0</v>
      </c>
      <c r="X1334" s="67">
        <f>IF(AND(W1334=1,E1334="Préventif"),1,0)</f>
        <v>0.0</v>
      </c>
      <c r="Y1334" s="67">
        <f>IF(AND(ISNUMBER(N1334),N(N1334)&gt;0),N(N1334),0)</f>
        <v>0.0</v>
      </c>
      <c r="Z1334" s="67">
        <f>IF(AND(ISNUMBER(P1334),N(P1334)&gt;0),N(P1334),0)</f>
        <v>0.0</v>
      </c>
    </row>
    <row r="1335">
      <c r="A1335" s="79" t="str">
        <f>IF(COUNTA(B1335:C1335,E1335:G1335,I1335)=0,"","BI-"&amp;RIGHT("0000"&amp;(ROW()-5),4))</f>
        <v/>
      </c>
      <c r="B1335" s="72" t="n"/>
      <c r="C1335" s="66" t="n"/>
      <c r="D1335" s="67" t="str">
        <f>IF(C1335="","",IFERROR(INDEX(eq_des,MATCH(C1335,eq_code,0))&amp;"","Équipement inconnu"))</f>
        <v/>
      </c>
      <c r="E1335" s="68" t="n"/>
      <c r="F1335" s="68" t="n"/>
      <c r="G1335" s="66" t="n"/>
      <c r="H1335" s="66" t="n"/>
      <c r="I1335" s="68" t="n"/>
      <c r="J1335" s="73" t="n"/>
      <c r="K1335" s="71" t="n"/>
      <c r="L1335" s="71" t="n"/>
      <c r="M1335" s="66" t="n"/>
      <c r="N1335" s="80" t="n"/>
      <c r="O1335" s="81" t="str">
        <f>IF(A1335="","",ROUND(V1335*IFERROR(N(INDEX(tech_rate,MATCH(M1335,tech_name,0))),0),2))</f>
        <v/>
      </c>
      <c r="P1335" s="80" t="n"/>
      <c r="Q1335" s="81" t="str">
        <f>IF(A1335="","",ROUND(Y1335+O1335+Z1335,2))</f>
        <v/>
      </c>
      <c r="R1335" s="79" t="str">
        <f>IF(A1335="","",IF(S1335=0,"Date manquante ou invalide",IF(C1335="","Équipement manquant",IF(ISNA(MATCH(C1335,eq_code,0)),"Équipement inconnu",IF(E1335="","Type manquant",IF(AND(E1335&lt;&gt;"Préventif",E1335&lt;&gt;"Correctif",E1335&lt;&gt;"Amélioratif"),"Type inconnu",IF(I1335="","Statut manquant",IF(AND(I1335&lt;&gt;"Terminée",I1335&lt;&gt;"En cours",I1335&lt;&gt;"À faire",I1335&lt;&gt;"Annulée"),"Statut inconnu",IF(AND(E1335="Préventif",F1335=""),"Plan manquant (préventif)",IF(AND(F1335&lt;&gt;"",ISNA(MATCH(F1335,pl_num,0))),"Plan inconnu",IF(AND(F1335&lt;&gt;"",IFERROR(INDEX(pl_eq,MATCH(F1335,pl_num,0))&amp;"",C1335)&lt;&gt;C1335),"Plan d'un autre équipement",IF(AND(J1335&lt;&gt;"",OR(NOT(ISNUMBER(J1335)),N(J1335)&lt;0)),"Compteur invalide",IF(OR(AND(K1335&lt;&gt;"",OR(NOT(ISNUMBER(K1335)),N(K1335)&lt;0)),AND(L1335&lt;&gt;"",OR(NOT(ISNUMBER(L1335)),N(L1335)&lt;0))),"Durée invalide",IF(OR(AND(N1335&lt;&gt;"",OR(NOT(ISNUMBER(N1335)),N(N1335)&lt;0)),AND(P1335&lt;&gt;"",OR(NOT(ISNUMBER(P1335)),N(P1335)&lt;0))),"Coût invalide",IF(AND(M1335&lt;&gt;"",ISNA(MATCH(M1335,tech_name,0))),"Technicien inconnu",IF(AND(I1335="Terminée",S1335&gt;p_today),"Terminée à une date future",IF(AND(I1335="Terminée",V1335=0),"Durée d'intervention manquante",IF(AND(I1335="Terminée",E1335="Préventif",T1335=0,OR(IFERROR(INDEX(pl_trig,MATCH(F1335,pl_num,0))&amp;"","")="Compteur",IFERROR(INDEX(pl_trig,MATCH(F1335,pl_num,0))&amp;"","")="Au premier des deux")),"Compteur manquant (plan au compteur)","OK"))))))))))))))))))</f>
        <v/>
      </c>
      <c r="S1335" s="67">
        <f>IF(AND(ISNUMBER(B1335),N(B1335)&gt;0),INT(B1335),0)</f>
        <v>0.0</v>
      </c>
      <c r="T1335" s="67">
        <f>IF(AND(ISNUMBER(J1335),N(J1335)&gt;=0),N(J1335),0)</f>
        <v>0.0</v>
      </c>
      <c r="U1335" s="67">
        <f>IF(AND(ISNUMBER(K1335),N(K1335)&gt;0),N(K1335),0)</f>
        <v>0.0</v>
      </c>
      <c r="V1335" s="67">
        <f>IF(AND(ISNUMBER(L1335),N(L1335)&gt;0),N(L1335),0)</f>
        <v>0.0</v>
      </c>
      <c r="W1335" s="67">
        <f>IF(AND(I1335="Terminée",S1335&gt;0,C1335&lt;&gt;"",ISNUMBER(MATCH(C1335,eq_code,0))),1,0)</f>
        <v>0.0</v>
      </c>
      <c r="X1335" s="67">
        <f>IF(AND(W1335=1,E1335="Préventif"),1,0)</f>
        <v>0.0</v>
      </c>
      <c r="Y1335" s="67">
        <f>IF(AND(ISNUMBER(N1335),N(N1335)&gt;0),N(N1335),0)</f>
        <v>0.0</v>
      </c>
      <c r="Z1335" s="67">
        <f>IF(AND(ISNUMBER(P1335),N(P1335)&gt;0),N(P1335),0)</f>
        <v>0.0</v>
      </c>
    </row>
    <row r="1336">
      <c r="A1336" s="79" t="str">
        <f>IF(COUNTA(B1336:C1336,E1336:G1336,I1336)=0,"","BI-"&amp;RIGHT("0000"&amp;(ROW()-5),4))</f>
        <v/>
      </c>
      <c r="B1336" s="72" t="n"/>
      <c r="C1336" s="66" t="n"/>
      <c r="D1336" s="67" t="str">
        <f>IF(C1336="","",IFERROR(INDEX(eq_des,MATCH(C1336,eq_code,0))&amp;"","Équipement inconnu"))</f>
        <v/>
      </c>
      <c r="E1336" s="68" t="n"/>
      <c r="F1336" s="68" t="n"/>
      <c r="G1336" s="66" t="n"/>
      <c r="H1336" s="66" t="n"/>
      <c r="I1336" s="68" t="n"/>
      <c r="J1336" s="73" t="n"/>
      <c r="K1336" s="71" t="n"/>
      <c r="L1336" s="71" t="n"/>
      <c r="M1336" s="66" t="n"/>
      <c r="N1336" s="80" t="n"/>
      <c r="O1336" s="81" t="str">
        <f>IF(A1336="","",ROUND(V1336*IFERROR(N(INDEX(tech_rate,MATCH(M1336,tech_name,0))),0),2))</f>
        <v/>
      </c>
      <c r="P1336" s="80" t="n"/>
      <c r="Q1336" s="81" t="str">
        <f>IF(A1336="","",ROUND(Y1336+O1336+Z1336,2))</f>
        <v/>
      </c>
      <c r="R1336" s="79" t="str">
        <f>IF(A1336="","",IF(S1336=0,"Date manquante ou invalide",IF(C1336="","Équipement manquant",IF(ISNA(MATCH(C1336,eq_code,0)),"Équipement inconnu",IF(E1336="","Type manquant",IF(AND(E1336&lt;&gt;"Préventif",E1336&lt;&gt;"Correctif",E1336&lt;&gt;"Amélioratif"),"Type inconnu",IF(I1336="","Statut manquant",IF(AND(I1336&lt;&gt;"Terminée",I1336&lt;&gt;"En cours",I1336&lt;&gt;"À faire",I1336&lt;&gt;"Annulée"),"Statut inconnu",IF(AND(E1336="Préventif",F1336=""),"Plan manquant (préventif)",IF(AND(F1336&lt;&gt;"",ISNA(MATCH(F1336,pl_num,0))),"Plan inconnu",IF(AND(F1336&lt;&gt;"",IFERROR(INDEX(pl_eq,MATCH(F1336,pl_num,0))&amp;"",C1336)&lt;&gt;C1336),"Plan d'un autre équipement",IF(AND(J1336&lt;&gt;"",OR(NOT(ISNUMBER(J1336)),N(J1336)&lt;0)),"Compteur invalide",IF(OR(AND(K1336&lt;&gt;"",OR(NOT(ISNUMBER(K1336)),N(K1336)&lt;0)),AND(L1336&lt;&gt;"",OR(NOT(ISNUMBER(L1336)),N(L1336)&lt;0))),"Durée invalide",IF(OR(AND(N1336&lt;&gt;"",OR(NOT(ISNUMBER(N1336)),N(N1336)&lt;0)),AND(P1336&lt;&gt;"",OR(NOT(ISNUMBER(P1336)),N(P1336)&lt;0))),"Coût invalide",IF(AND(M1336&lt;&gt;"",ISNA(MATCH(M1336,tech_name,0))),"Technicien inconnu",IF(AND(I1336="Terminée",S1336&gt;p_today),"Terminée à une date future",IF(AND(I1336="Terminée",V1336=0),"Durée d'intervention manquante",IF(AND(I1336="Terminée",E1336="Préventif",T1336=0,OR(IFERROR(INDEX(pl_trig,MATCH(F1336,pl_num,0))&amp;"","")="Compteur",IFERROR(INDEX(pl_trig,MATCH(F1336,pl_num,0))&amp;"","")="Au premier des deux")),"Compteur manquant (plan au compteur)","OK"))))))))))))))))))</f>
        <v/>
      </c>
      <c r="S1336" s="67">
        <f>IF(AND(ISNUMBER(B1336),N(B1336)&gt;0),INT(B1336),0)</f>
        <v>0.0</v>
      </c>
      <c r="T1336" s="67">
        <f>IF(AND(ISNUMBER(J1336),N(J1336)&gt;=0),N(J1336),0)</f>
        <v>0.0</v>
      </c>
      <c r="U1336" s="67">
        <f>IF(AND(ISNUMBER(K1336),N(K1336)&gt;0),N(K1336),0)</f>
        <v>0.0</v>
      </c>
      <c r="V1336" s="67">
        <f>IF(AND(ISNUMBER(L1336),N(L1336)&gt;0),N(L1336),0)</f>
        <v>0.0</v>
      </c>
      <c r="W1336" s="67">
        <f>IF(AND(I1336="Terminée",S1336&gt;0,C1336&lt;&gt;"",ISNUMBER(MATCH(C1336,eq_code,0))),1,0)</f>
        <v>0.0</v>
      </c>
      <c r="X1336" s="67">
        <f>IF(AND(W1336=1,E1336="Préventif"),1,0)</f>
        <v>0.0</v>
      </c>
      <c r="Y1336" s="67">
        <f>IF(AND(ISNUMBER(N1336),N(N1336)&gt;0),N(N1336),0)</f>
        <v>0.0</v>
      </c>
      <c r="Z1336" s="67">
        <f>IF(AND(ISNUMBER(P1336),N(P1336)&gt;0),N(P1336),0)</f>
        <v>0.0</v>
      </c>
    </row>
    <row r="1337">
      <c r="A1337" s="79" t="str">
        <f>IF(COUNTA(B1337:C1337,E1337:G1337,I1337)=0,"","BI-"&amp;RIGHT("0000"&amp;(ROW()-5),4))</f>
        <v/>
      </c>
      <c r="B1337" s="72" t="n"/>
      <c r="C1337" s="66" t="n"/>
      <c r="D1337" s="67" t="str">
        <f>IF(C1337="","",IFERROR(INDEX(eq_des,MATCH(C1337,eq_code,0))&amp;"","Équipement inconnu"))</f>
        <v/>
      </c>
      <c r="E1337" s="68" t="n"/>
      <c r="F1337" s="68" t="n"/>
      <c r="G1337" s="66" t="n"/>
      <c r="H1337" s="66" t="n"/>
      <c r="I1337" s="68" t="n"/>
      <c r="J1337" s="73" t="n"/>
      <c r="K1337" s="71" t="n"/>
      <c r="L1337" s="71" t="n"/>
      <c r="M1337" s="66" t="n"/>
      <c r="N1337" s="80" t="n"/>
      <c r="O1337" s="81" t="str">
        <f>IF(A1337="","",ROUND(V1337*IFERROR(N(INDEX(tech_rate,MATCH(M1337,tech_name,0))),0),2))</f>
        <v/>
      </c>
      <c r="P1337" s="80" t="n"/>
      <c r="Q1337" s="81" t="str">
        <f>IF(A1337="","",ROUND(Y1337+O1337+Z1337,2))</f>
        <v/>
      </c>
      <c r="R1337" s="79" t="str">
        <f>IF(A1337="","",IF(S1337=0,"Date manquante ou invalide",IF(C1337="","Équipement manquant",IF(ISNA(MATCH(C1337,eq_code,0)),"Équipement inconnu",IF(E1337="","Type manquant",IF(AND(E1337&lt;&gt;"Préventif",E1337&lt;&gt;"Correctif",E1337&lt;&gt;"Amélioratif"),"Type inconnu",IF(I1337="","Statut manquant",IF(AND(I1337&lt;&gt;"Terminée",I1337&lt;&gt;"En cours",I1337&lt;&gt;"À faire",I1337&lt;&gt;"Annulée"),"Statut inconnu",IF(AND(E1337="Préventif",F1337=""),"Plan manquant (préventif)",IF(AND(F1337&lt;&gt;"",ISNA(MATCH(F1337,pl_num,0))),"Plan inconnu",IF(AND(F1337&lt;&gt;"",IFERROR(INDEX(pl_eq,MATCH(F1337,pl_num,0))&amp;"",C1337)&lt;&gt;C1337),"Plan d'un autre équipement",IF(AND(J1337&lt;&gt;"",OR(NOT(ISNUMBER(J1337)),N(J1337)&lt;0)),"Compteur invalide",IF(OR(AND(K1337&lt;&gt;"",OR(NOT(ISNUMBER(K1337)),N(K1337)&lt;0)),AND(L1337&lt;&gt;"",OR(NOT(ISNUMBER(L1337)),N(L1337)&lt;0))),"Durée invalide",IF(OR(AND(N1337&lt;&gt;"",OR(NOT(ISNUMBER(N1337)),N(N1337)&lt;0)),AND(P1337&lt;&gt;"",OR(NOT(ISNUMBER(P1337)),N(P1337)&lt;0))),"Coût invalide",IF(AND(M1337&lt;&gt;"",ISNA(MATCH(M1337,tech_name,0))),"Technicien inconnu",IF(AND(I1337="Terminée",S1337&gt;p_today),"Terminée à une date future",IF(AND(I1337="Terminée",V1337=0),"Durée d'intervention manquante",IF(AND(I1337="Terminée",E1337="Préventif",T1337=0,OR(IFERROR(INDEX(pl_trig,MATCH(F1337,pl_num,0))&amp;"","")="Compteur",IFERROR(INDEX(pl_trig,MATCH(F1337,pl_num,0))&amp;"","")="Au premier des deux")),"Compteur manquant (plan au compteur)","OK"))))))))))))))))))</f>
        <v/>
      </c>
      <c r="S1337" s="67">
        <f>IF(AND(ISNUMBER(B1337),N(B1337)&gt;0),INT(B1337),0)</f>
        <v>0.0</v>
      </c>
      <c r="T1337" s="67">
        <f>IF(AND(ISNUMBER(J1337),N(J1337)&gt;=0),N(J1337),0)</f>
        <v>0.0</v>
      </c>
      <c r="U1337" s="67">
        <f>IF(AND(ISNUMBER(K1337),N(K1337)&gt;0),N(K1337),0)</f>
        <v>0.0</v>
      </c>
      <c r="V1337" s="67">
        <f>IF(AND(ISNUMBER(L1337),N(L1337)&gt;0),N(L1337),0)</f>
        <v>0.0</v>
      </c>
      <c r="W1337" s="67">
        <f>IF(AND(I1337="Terminée",S1337&gt;0,C1337&lt;&gt;"",ISNUMBER(MATCH(C1337,eq_code,0))),1,0)</f>
        <v>0.0</v>
      </c>
      <c r="X1337" s="67">
        <f>IF(AND(W1337=1,E1337="Préventif"),1,0)</f>
        <v>0.0</v>
      </c>
      <c r="Y1337" s="67">
        <f>IF(AND(ISNUMBER(N1337),N(N1337)&gt;0),N(N1337),0)</f>
        <v>0.0</v>
      </c>
      <c r="Z1337" s="67">
        <f>IF(AND(ISNUMBER(P1337),N(P1337)&gt;0),N(P1337),0)</f>
        <v>0.0</v>
      </c>
    </row>
    <row r="1338">
      <c r="A1338" s="79" t="str">
        <f>IF(COUNTA(B1338:C1338,E1338:G1338,I1338)=0,"","BI-"&amp;RIGHT("0000"&amp;(ROW()-5),4))</f>
        <v/>
      </c>
      <c r="B1338" s="72" t="n"/>
      <c r="C1338" s="66" t="n"/>
      <c r="D1338" s="67" t="str">
        <f>IF(C1338="","",IFERROR(INDEX(eq_des,MATCH(C1338,eq_code,0))&amp;"","Équipement inconnu"))</f>
        <v/>
      </c>
      <c r="E1338" s="68" t="n"/>
      <c r="F1338" s="68" t="n"/>
      <c r="G1338" s="66" t="n"/>
      <c r="H1338" s="66" t="n"/>
      <c r="I1338" s="68" t="n"/>
      <c r="J1338" s="73" t="n"/>
      <c r="K1338" s="71" t="n"/>
      <c r="L1338" s="71" t="n"/>
      <c r="M1338" s="66" t="n"/>
      <c r="N1338" s="80" t="n"/>
      <c r="O1338" s="81" t="str">
        <f>IF(A1338="","",ROUND(V1338*IFERROR(N(INDEX(tech_rate,MATCH(M1338,tech_name,0))),0),2))</f>
        <v/>
      </c>
      <c r="P1338" s="80" t="n"/>
      <c r="Q1338" s="81" t="str">
        <f>IF(A1338="","",ROUND(Y1338+O1338+Z1338,2))</f>
        <v/>
      </c>
      <c r="R1338" s="79" t="str">
        <f>IF(A1338="","",IF(S1338=0,"Date manquante ou invalide",IF(C1338="","Équipement manquant",IF(ISNA(MATCH(C1338,eq_code,0)),"Équipement inconnu",IF(E1338="","Type manquant",IF(AND(E1338&lt;&gt;"Préventif",E1338&lt;&gt;"Correctif",E1338&lt;&gt;"Amélioratif"),"Type inconnu",IF(I1338="","Statut manquant",IF(AND(I1338&lt;&gt;"Terminée",I1338&lt;&gt;"En cours",I1338&lt;&gt;"À faire",I1338&lt;&gt;"Annulée"),"Statut inconnu",IF(AND(E1338="Préventif",F1338=""),"Plan manquant (préventif)",IF(AND(F1338&lt;&gt;"",ISNA(MATCH(F1338,pl_num,0))),"Plan inconnu",IF(AND(F1338&lt;&gt;"",IFERROR(INDEX(pl_eq,MATCH(F1338,pl_num,0))&amp;"",C1338)&lt;&gt;C1338),"Plan d'un autre équipement",IF(AND(J1338&lt;&gt;"",OR(NOT(ISNUMBER(J1338)),N(J1338)&lt;0)),"Compteur invalide",IF(OR(AND(K1338&lt;&gt;"",OR(NOT(ISNUMBER(K1338)),N(K1338)&lt;0)),AND(L1338&lt;&gt;"",OR(NOT(ISNUMBER(L1338)),N(L1338)&lt;0))),"Durée invalide",IF(OR(AND(N1338&lt;&gt;"",OR(NOT(ISNUMBER(N1338)),N(N1338)&lt;0)),AND(P1338&lt;&gt;"",OR(NOT(ISNUMBER(P1338)),N(P1338)&lt;0))),"Coût invalide",IF(AND(M1338&lt;&gt;"",ISNA(MATCH(M1338,tech_name,0))),"Technicien inconnu",IF(AND(I1338="Terminée",S1338&gt;p_today),"Terminée à une date future",IF(AND(I1338="Terminée",V1338=0),"Durée d'intervention manquante",IF(AND(I1338="Terminée",E1338="Préventif",T1338=0,OR(IFERROR(INDEX(pl_trig,MATCH(F1338,pl_num,0))&amp;"","")="Compteur",IFERROR(INDEX(pl_trig,MATCH(F1338,pl_num,0))&amp;"","")="Au premier des deux")),"Compteur manquant (plan au compteur)","OK"))))))))))))))))))</f>
        <v/>
      </c>
      <c r="S1338" s="67">
        <f>IF(AND(ISNUMBER(B1338),N(B1338)&gt;0),INT(B1338),0)</f>
        <v>0.0</v>
      </c>
      <c r="T1338" s="67">
        <f>IF(AND(ISNUMBER(J1338),N(J1338)&gt;=0),N(J1338),0)</f>
        <v>0.0</v>
      </c>
      <c r="U1338" s="67">
        <f>IF(AND(ISNUMBER(K1338),N(K1338)&gt;0),N(K1338),0)</f>
        <v>0.0</v>
      </c>
      <c r="V1338" s="67">
        <f>IF(AND(ISNUMBER(L1338),N(L1338)&gt;0),N(L1338),0)</f>
        <v>0.0</v>
      </c>
      <c r="W1338" s="67">
        <f>IF(AND(I1338="Terminée",S1338&gt;0,C1338&lt;&gt;"",ISNUMBER(MATCH(C1338,eq_code,0))),1,0)</f>
        <v>0.0</v>
      </c>
      <c r="X1338" s="67">
        <f>IF(AND(W1338=1,E1338="Préventif"),1,0)</f>
        <v>0.0</v>
      </c>
      <c r="Y1338" s="67">
        <f>IF(AND(ISNUMBER(N1338),N(N1338)&gt;0),N(N1338),0)</f>
        <v>0.0</v>
      </c>
      <c r="Z1338" s="67">
        <f>IF(AND(ISNUMBER(P1338),N(P1338)&gt;0),N(P1338),0)</f>
        <v>0.0</v>
      </c>
    </row>
    <row r="1339">
      <c r="A1339" s="79" t="str">
        <f>IF(COUNTA(B1339:C1339,E1339:G1339,I1339)=0,"","BI-"&amp;RIGHT("0000"&amp;(ROW()-5),4))</f>
        <v/>
      </c>
      <c r="B1339" s="72" t="n"/>
      <c r="C1339" s="66" t="n"/>
      <c r="D1339" s="67" t="str">
        <f>IF(C1339="","",IFERROR(INDEX(eq_des,MATCH(C1339,eq_code,0))&amp;"","Équipement inconnu"))</f>
        <v/>
      </c>
      <c r="E1339" s="68" t="n"/>
      <c r="F1339" s="68" t="n"/>
      <c r="G1339" s="66" t="n"/>
      <c r="H1339" s="66" t="n"/>
      <c r="I1339" s="68" t="n"/>
      <c r="J1339" s="73" t="n"/>
      <c r="K1339" s="71" t="n"/>
      <c r="L1339" s="71" t="n"/>
      <c r="M1339" s="66" t="n"/>
      <c r="N1339" s="80" t="n"/>
      <c r="O1339" s="81" t="str">
        <f>IF(A1339="","",ROUND(V1339*IFERROR(N(INDEX(tech_rate,MATCH(M1339,tech_name,0))),0),2))</f>
        <v/>
      </c>
      <c r="P1339" s="80" t="n"/>
      <c r="Q1339" s="81" t="str">
        <f>IF(A1339="","",ROUND(Y1339+O1339+Z1339,2))</f>
        <v/>
      </c>
      <c r="R1339" s="79" t="str">
        <f>IF(A1339="","",IF(S1339=0,"Date manquante ou invalide",IF(C1339="","Équipement manquant",IF(ISNA(MATCH(C1339,eq_code,0)),"Équipement inconnu",IF(E1339="","Type manquant",IF(AND(E1339&lt;&gt;"Préventif",E1339&lt;&gt;"Correctif",E1339&lt;&gt;"Amélioratif"),"Type inconnu",IF(I1339="","Statut manquant",IF(AND(I1339&lt;&gt;"Terminée",I1339&lt;&gt;"En cours",I1339&lt;&gt;"À faire",I1339&lt;&gt;"Annulée"),"Statut inconnu",IF(AND(E1339="Préventif",F1339=""),"Plan manquant (préventif)",IF(AND(F1339&lt;&gt;"",ISNA(MATCH(F1339,pl_num,0))),"Plan inconnu",IF(AND(F1339&lt;&gt;"",IFERROR(INDEX(pl_eq,MATCH(F1339,pl_num,0))&amp;"",C1339)&lt;&gt;C1339),"Plan d'un autre équipement",IF(AND(J1339&lt;&gt;"",OR(NOT(ISNUMBER(J1339)),N(J1339)&lt;0)),"Compteur invalide",IF(OR(AND(K1339&lt;&gt;"",OR(NOT(ISNUMBER(K1339)),N(K1339)&lt;0)),AND(L1339&lt;&gt;"",OR(NOT(ISNUMBER(L1339)),N(L1339)&lt;0))),"Durée invalide",IF(OR(AND(N1339&lt;&gt;"",OR(NOT(ISNUMBER(N1339)),N(N1339)&lt;0)),AND(P1339&lt;&gt;"",OR(NOT(ISNUMBER(P1339)),N(P1339)&lt;0))),"Coût invalide",IF(AND(M1339&lt;&gt;"",ISNA(MATCH(M1339,tech_name,0))),"Technicien inconnu",IF(AND(I1339="Terminée",S1339&gt;p_today),"Terminée à une date future",IF(AND(I1339="Terminée",V1339=0),"Durée d'intervention manquante",IF(AND(I1339="Terminée",E1339="Préventif",T1339=0,OR(IFERROR(INDEX(pl_trig,MATCH(F1339,pl_num,0))&amp;"","")="Compteur",IFERROR(INDEX(pl_trig,MATCH(F1339,pl_num,0))&amp;"","")="Au premier des deux")),"Compteur manquant (plan au compteur)","OK"))))))))))))))))))</f>
        <v/>
      </c>
      <c r="S1339" s="67">
        <f>IF(AND(ISNUMBER(B1339),N(B1339)&gt;0),INT(B1339),0)</f>
        <v>0.0</v>
      </c>
      <c r="T1339" s="67">
        <f>IF(AND(ISNUMBER(J1339),N(J1339)&gt;=0),N(J1339),0)</f>
        <v>0.0</v>
      </c>
      <c r="U1339" s="67">
        <f>IF(AND(ISNUMBER(K1339),N(K1339)&gt;0),N(K1339),0)</f>
        <v>0.0</v>
      </c>
      <c r="V1339" s="67">
        <f>IF(AND(ISNUMBER(L1339),N(L1339)&gt;0),N(L1339),0)</f>
        <v>0.0</v>
      </c>
      <c r="W1339" s="67">
        <f>IF(AND(I1339="Terminée",S1339&gt;0,C1339&lt;&gt;"",ISNUMBER(MATCH(C1339,eq_code,0))),1,0)</f>
        <v>0.0</v>
      </c>
      <c r="X1339" s="67">
        <f>IF(AND(W1339=1,E1339="Préventif"),1,0)</f>
        <v>0.0</v>
      </c>
      <c r="Y1339" s="67">
        <f>IF(AND(ISNUMBER(N1339),N(N1339)&gt;0),N(N1339),0)</f>
        <v>0.0</v>
      </c>
      <c r="Z1339" s="67">
        <f>IF(AND(ISNUMBER(P1339),N(P1339)&gt;0),N(P1339),0)</f>
        <v>0.0</v>
      </c>
    </row>
    <row r="1340">
      <c r="A1340" s="79" t="str">
        <f>IF(COUNTA(B1340:C1340,E1340:G1340,I1340)=0,"","BI-"&amp;RIGHT("0000"&amp;(ROW()-5),4))</f>
        <v/>
      </c>
      <c r="B1340" s="72" t="n"/>
      <c r="C1340" s="66" t="n"/>
      <c r="D1340" s="67" t="str">
        <f>IF(C1340="","",IFERROR(INDEX(eq_des,MATCH(C1340,eq_code,0))&amp;"","Équipement inconnu"))</f>
        <v/>
      </c>
      <c r="E1340" s="68" t="n"/>
      <c r="F1340" s="68" t="n"/>
      <c r="G1340" s="66" t="n"/>
      <c r="H1340" s="66" t="n"/>
      <c r="I1340" s="68" t="n"/>
      <c r="J1340" s="73" t="n"/>
      <c r="K1340" s="71" t="n"/>
      <c r="L1340" s="71" t="n"/>
      <c r="M1340" s="66" t="n"/>
      <c r="N1340" s="80" t="n"/>
      <c r="O1340" s="81" t="str">
        <f>IF(A1340="","",ROUND(V1340*IFERROR(N(INDEX(tech_rate,MATCH(M1340,tech_name,0))),0),2))</f>
        <v/>
      </c>
      <c r="P1340" s="80" t="n"/>
      <c r="Q1340" s="81" t="str">
        <f>IF(A1340="","",ROUND(Y1340+O1340+Z1340,2))</f>
        <v/>
      </c>
      <c r="R1340" s="79" t="str">
        <f>IF(A1340="","",IF(S1340=0,"Date manquante ou invalide",IF(C1340="","Équipement manquant",IF(ISNA(MATCH(C1340,eq_code,0)),"Équipement inconnu",IF(E1340="","Type manquant",IF(AND(E1340&lt;&gt;"Préventif",E1340&lt;&gt;"Correctif",E1340&lt;&gt;"Amélioratif"),"Type inconnu",IF(I1340="","Statut manquant",IF(AND(I1340&lt;&gt;"Terminée",I1340&lt;&gt;"En cours",I1340&lt;&gt;"À faire",I1340&lt;&gt;"Annulée"),"Statut inconnu",IF(AND(E1340="Préventif",F1340=""),"Plan manquant (préventif)",IF(AND(F1340&lt;&gt;"",ISNA(MATCH(F1340,pl_num,0))),"Plan inconnu",IF(AND(F1340&lt;&gt;"",IFERROR(INDEX(pl_eq,MATCH(F1340,pl_num,0))&amp;"",C1340)&lt;&gt;C1340),"Plan d'un autre équipement",IF(AND(J1340&lt;&gt;"",OR(NOT(ISNUMBER(J1340)),N(J1340)&lt;0)),"Compteur invalide",IF(OR(AND(K1340&lt;&gt;"",OR(NOT(ISNUMBER(K1340)),N(K1340)&lt;0)),AND(L1340&lt;&gt;"",OR(NOT(ISNUMBER(L1340)),N(L1340)&lt;0))),"Durée invalide",IF(OR(AND(N1340&lt;&gt;"",OR(NOT(ISNUMBER(N1340)),N(N1340)&lt;0)),AND(P1340&lt;&gt;"",OR(NOT(ISNUMBER(P1340)),N(P1340)&lt;0))),"Coût invalide",IF(AND(M1340&lt;&gt;"",ISNA(MATCH(M1340,tech_name,0))),"Technicien inconnu",IF(AND(I1340="Terminée",S1340&gt;p_today),"Terminée à une date future",IF(AND(I1340="Terminée",V1340=0),"Durée d'intervention manquante",IF(AND(I1340="Terminée",E1340="Préventif",T1340=0,OR(IFERROR(INDEX(pl_trig,MATCH(F1340,pl_num,0))&amp;"","")="Compteur",IFERROR(INDEX(pl_trig,MATCH(F1340,pl_num,0))&amp;"","")="Au premier des deux")),"Compteur manquant (plan au compteur)","OK"))))))))))))))))))</f>
        <v/>
      </c>
      <c r="S1340" s="67">
        <f>IF(AND(ISNUMBER(B1340),N(B1340)&gt;0),INT(B1340),0)</f>
        <v>0.0</v>
      </c>
      <c r="T1340" s="67">
        <f>IF(AND(ISNUMBER(J1340),N(J1340)&gt;=0),N(J1340),0)</f>
        <v>0.0</v>
      </c>
      <c r="U1340" s="67">
        <f>IF(AND(ISNUMBER(K1340),N(K1340)&gt;0),N(K1340),0)</f>
        <v>0.0</v>
      </c>
      <c r="V1340" s="67">
        <f>IF(AND(ISNUMBER(L1340),N(L1340)&gt;0),N(L1340),0)</f>
        <v>0.0</v>
      </c>
      <c r="W1340" s="67">
        <f>IF(AND(I1340="Terminée",S1340&gt;0,C1340&lt;&gt;"",ISNUMBER(MATCH(C1340,eq_code,0))),1,0)</f>
        <v>0.0</v>
      </c>
      <c r="X1340" s="67">
        <f>IF(AND(W1340=1,E1340="Préventif"),1,0)</f>
        <v>0.0</v>
      </c>
      <c r="Y1340" s="67">
        <f>IF(AND(ISNUMBER(N1340),N(N1340)&gt;0),N(N1340),0)</f>
        <v>0.0</v>
      </c>
      <c r="Z1340" s="67">
        <f>IF(AND(ISNUMBER(P1340),N(P1340)&gt;0),N(P1340),0)</f>
        <v>0.0</v>
      </c>
    </row>
    <row r="1341">
      <c r="A1341" s="79" t="str">
        <f>IF(COUNTA(B1341:C1341,E1341:G1341,I1341)=0,"","BI-"&amp;RIGHT("0000"&amp;(ROW()-5),4))</f>
        <v/>
      </c>
      <c r="B1341" s="72" t="n"/>
      <c r="C1341" s="66" t="n"/>
      <c r="D1341" s="67" t="str">
        <f>IF(C1341="","",IFERROR(INDEX(eq_des,MATCH(C1341,eq_code,0))&amp;"","Équipement inconnu"))</f>
        <v/>
      </c>
      <c r="E1341" s="68" t="n"/>
      <c r="F1341" s="68" t="n"/>
      <c r="G1341" s="66" t="n"/>
      <c r="H1341" s="66" t="n"/>
      <c r="I1341" s="68" t="n"/>
      <c r="J1341" s="73" t="n"/>
      <c r="K1341" s="71" t="n"/>
      <c r="L1341" s="71" t="n"/>
      <c r="M1341" s="66" t="n"/>
      <c r="N1341" s="80" t="n"/>
      <c r="O1341" s="81" t="str">
        <f>IF(A1341="","",ROUND(V1341*IFERROR(N(INDEX(tech_rate,MATCH(M1341,tech_name,0))),0),2))</f>
        <v/>
      </c>
      <c r="P1341" s="80" t="n"/>
      <c r="Q1341" s="81" t="str">
        <f>IF(A1341="","",ROUND(Y1341+O1341+Z1341,2))</f>
        <v/>
      </c>
      <c r="R1341" s="79" t="str">
        <f>IF(A1341="","",IF(S1341=0,"Date manquante ou invalide",IF(C1341="","Équipement manquant",IF(ISNA(MATCH(C1341,eq_code,0)),"Équipement inconnu",IF(E1341="","Type manquant",IF(AND(E1341&lt;&gt;"Préventif",E1341&lt;&gt;"Correctif",E1341&lt;&gt;"Amélioratif"),"Type inconnu",IF(I1341="","Statut manquant",IF(AND(I1341&lt;&gt;"Terminée",I1341&lt;&gt;"En cours",I1341&lt;&gt;"À faire",I1341&lt;&gt;"Annulée"),"Statut inconnu",IF(AND(E1341="Préventif",F1341=""),"Plan manquant (préventif)",IF(AND(F1341&lt;&gt;"",ISNA(MATCH(F1341,pl_num,0))),"Plan inconnu",IF(AND(F1341&lt;&gt;"",IFERROR(INDEX(pl_eq,MATCH(F1341,pl_num,0))&amp;"",C1341)&lt;&gt;C1341),"Plan d'un autre équipement",IF(AND(J1341&lt;&gt;"",OR(NOT(ISNUMBER(J1341)),N(J1341)&lt;0)),"Compteur invalide",IF(OR(AND(K1341&lt;&gt;"",OR(NOT(ISNUMBER(K1341)),N(K1341)&lt;0)),AND(L1341&lt;&gt;"",OR(NOT(ISNUMBER(L1341)),N(L1341)&lt;0))),"Durée invalide",IF(OR(AND(N1341&lt;&gt;"",OR(NOT(ISNUMBER(N1341)),N(N1341)&lt;0)),AND(P1341&lt;&gt;"",OR(NOT(ISNUMBER(P1341)),N(P1341)&lt;0))),"Coût invalide",IF(AND(M1341&lt;&gt;"",ISNA(MATCH(M1341,tech_name,0))),"Technicien inconnu",IF(AND(I1341="Terminée",S1341&gt;p_today),"Terminée à une date future",IF(AND(I1341="Terminée",V1341=0),"Durée d'intervention manquante",IF(AND(I1341="Terminée",E1341="Préventif",T1341=0,OR(IFERROR(INDEX(pl_trig,MATCH(F1341,pl_num,0))&amp;"","")="Compteur",IFERROR(INDEX(pl_trig,MATCH(F1341,pl_num,0))&amp;"","")="Au premier des deux")),"Compteur manquant (plan au compteur)","OK"))))))))))))))))))</f>
        <v/>
      </c>
      <c r="S1341" s="67">
        <f>IF(AND(ISNUMBER(B1341),N(B1341)&gt;0),INT(B1341),0)</f>
        <v>0.0</v>
      </c>
      <c r="T1341" s="67">
        <f>IF(AND(ISNUMBER(J1341),N(J1341)&gt;=0),N(J1341),0)</f>
        <v>0.0</v>
      </c>
      <c r="U1341" s="67">
        <f>IF(AND(ISNUMBER(K1341),N(K1341)&gt;0),N(K1341),0)</f>
        <v>0.0</v>
      </c>
      <c r="V1341" s="67">
        <f>IF(AND(ISNUMBER(L1341),N(L1341)&gt;0),N(L1341),0)</f>
        <v>0.0</v>
      </c>
      <c r="W1341" s="67">
        <f>IF(AND(I1341="Terminée",S1341&gt;0,C1341&lt;&gt;"",ISNUMBER(MATCH(C1341,eq_code,0))),1,0)</f>
        <v>0.0</v>
      </c>
      <c r="X1341" s="67">
        <f>IF(AND(W1341=1,E1341="Préventif"),1,0)</f>
        <v>0.0</v>
      </c>
      <c r="Y1341" s="67">
        <f>IF(AND(ISNUMBER(N1341),N(N1341)&gt;0),N(N1341),0)</f>
        <v>0.0</v>
      </c>
      <c r="Z1341" s="67">
        <f>IF(AND(ISNUMBER(P1341),N(P1341)&gt;0),N(P1341),0)</f>
        <v>0.0</v>
      </c>
    </row>
    <row r="1342">
      <c r="A1342" s="79" t="str">
        <f>IF(COUNTA(B1342:C1342,E1342:G1342,I1342)=0,"","BI-"&amp;RIGHT("0000"&amp;(ROW()-5),4))</f>
        <v/>
      </c>
      <c r="B1342" s="72" t="n"/>
      <c r="C1342" s="66" t="n"/>
      <c r="D1342" s="67" t="str">
        <f>IF(C1342="","",IFERROR(INDEX(eq_des,MATCH(C1342,eq_code,0))&amp;"","Équipement inconnu"))</f>
        <v/>
      </c>
      <c r="E1342" s="68" t="n"/>
      <c r="F1342" s="68" t="n"/>
      <c r="G1342" s="66" t="n"/>
      <c r="H1342" s="66" t="n"/>
      <c r="I1342" s="68" t="n"/>
      <c r="J1342" s="73" t="n"/>
      <c r="K1342" s="71" t="n"/>
      <c r="L1342" s="71" t="n"/>
      <c r="M1342" s="66" t="n"/>
      <c r="N1342" s="80" t="n"/>
      <c r="O1342" s="81" t="str">
        <f>IF(A1342="","",ROUND(V1342*IFERROR(N(INDEX(tech_rate,MATCH(M1342,tech_name,0))),0),2))</f>
        <v/>
      </c>
      <c r="P1342" s="80" t="n"/>
      <c r="Q1342" s="81" t="str">
        <f>IF(A1342="","",ROUND(Y1342+O1342+Z1342,2))</f>
        <v/>
      </c>
      <c r="R1342" s="79" t="str">
        <f>IF(A1342="","",IF(S1342=0,"Date manquante ou invalide",IF(C1342="","Équipement manquant",IF(ISNA(MATCH(C1342,eq_code,0)),"Équipement inconnu",IF(E1342="","Type manquant",IF(AND(E1342&lt;&gt;"Préventif",E1342&lt;&gt;"Correctif",E1342&lt;&gt;"Amélioratif"),"Type inconnu",IF(I1342="","Statut manquant",IF(AND(I1342&lt;&gt;"Terminée",I1342&lt;&gt;"En cours",I1342&lt;&gt;"À faire",I1342&lt;&gt;"Annulée"),"Statut inconnu",IF(AND(E1342="Préventif",F1342=""),"Plan manquant (préventif)",IF(AND(F1342&lt;&gt;"",ISNA(MATCH(F1342,pl_num,0))),"Plan inconnu",IF(AND(F1342&lt;&gt;"",IFERROR(INDEX(pl_eq,MATCH(F1342,pl_num,0))&amp;"",C1342)&lt;&gt;C1342),"Plan d'un autre équipement",IF(AND(J1342&lt;&gt;"",OR(NOT(ISNUMBER(J1342)),N(J1342)&lt;0)),"Compteur invalide",IF(OR(AND(K1342&lt;&gt;"",OR(NOT(ISNUMBER(K1342)),N(K1342)&lt;0)),AND(L1342&lt;&gt;"",OR(NOT(ISNUMBER(L1342)),N(L1342)&lt;0))),"Durée invalide",IF(OR(AND(N1342&lt;&gt;"",OR(NOT(ISNUMBER(N1342)),N(N1342)&lt;0)),AND(P1342&lt;&gt;"",OR(NOT(ISNUMBER(P1342)),N(P1342)&lt;0))),"Coût invalide",IF(AND(M1342&lt;&gt;"",ISNA(MATCH(M1342,tech_name,0))),"Technicien inconnu",IF(AND(I1342="Terminée",S1342&gt;p_today),"Terminée à une date future",IF(AND(I1342="Terminée",V1342=0),"Durée d'intervention manquante",IF(AND(I1342="Terminée",E1342="Préventif",T1342=0,OR(IFERROR(INDEX(pl_trig,MATCH(F1342,pl_num,0))&amp;"","")="Compteur",IFERROR(INDEX(pl_trig,MATCH(F1342,pl_num,0))&amp;"","")="Au premier des deux")),"Compteur manquant (plan au compteur)","OK"))))))))))))))))))</f>
        <v/>
      </c>
      <c r="S1342" s="67">
        <f>IF(AND(ISNUMBER(B1342),N(B1342)&gt;0),INT(B1342),0)</f>
        <v>0.0</v>
      </c>
      <c r="T1342" s="67">
        <f>IF(AND(ISNUMBER(J1342),N(J1342)&gt;=0),N(J1342),0)</f>
        <v>0.0</v>
      </c>
      <c r="U1342" s="67">
        <f>IF(AND(ISNUMBER(K1342),N(K1342)&gt;0),N(K1342),0)</f>
        <v>0.0</v>
      </c>
      <c r="V1342" s="67">
        <f>IF(AND(ISNUMBER(L1342),N(L1342)&gt;0),N(L1342),0)</f>
        <v>0.0</v>
      </c>
      <c r="W1342" s="67">
        <f>IF(AND(I1342="Terminée",S1342&gt;0,C1342&lt;&gt;"",ISNUMBER(MATCH(C1342,eq_code,0))),1,0)</f>
        <v>0.0</v>
      </c>
      <c r="X1342" s="67">
        <f>IF(AND(W1342=1,E1342="Préventif"),1,0)</f>
        <v>0.0</v>
      </c>
      <c r="Y1342" s="67">
        <f>IF(AND(ISNUMBER(N1342),N(N1342)&gt;0),N(N1342),0)</f>
        <v>0.0</v>
      </c>
      <c r="Z1342" s="67">
        <f>IF(AND(ISNUMBER(P1342),N(P1342)&gt;0),N(P1342),0)</f>
        <v>0.0</v>
      </c>
    </row>
    <row r="1343">
      <c r="A1343" s="79" t="str">
        <f>IF(COUNTA(B1343:C1343,E1343:G1343,I1343)=0,"","BI-"&amp;RIGHT("0000"&amp;(ROW()-5),4))</f>
        <v/>
      </c>
      <c r="B1343" s="72" t="n"/>
      <c r="C1343" s="66" t="n"/>
      <c r="D1343" s="67" t="str">
        <f>IF(C1343="","",IFERROR(INDEX(eq_des,MATCH(C1343,eq_code,0))&amp;"","Équipement inconnu"))</f>
        <v/>
      </c>
      <c r="E1343" s="68" t="n"/>
      <c r="F1343" s="68" t="n"/>
      <c r="G1343" s="66" t="n"/>
      <c r="H1343" s="66" t="n"/>
      <c r="I1343" s="68" t="n"/>
      <c r="J1343" s="73" t="n"/>
      <c r="K1343" s="71" t="n"/>
      <c r="L1343" s="71" t="n"/>
      <c r="M1343" s="66" t="n"/>
      <c r="N1343" s="80" t="n"/>
      <c r="O1343" s="81" t="str">
        <f>IF(A1343="","",ROUND(V1343*IFERROR(N(INDEX(tech_rate,MATCH(M1343,tech_name,0))),0),2))</f>
        <v/>
      </c>
      <c r="P1343" s="80" t="n"/>
      <c r="Q1343" s="81" t="str">
        <f>IF(A1343="","",ROUND(Y1343+O1343+Z1343,2))</f>
        <v/>
      </c>
      <c r="R1343" s="79" t="str">
        <f>IF(A1343="","",IF(S1343=0,"Date manquante ou invalide",IF(C1343="","Équipement manquant",IF(ISNA(MATCH(C1343,eq_code,0)),"Équipement inconnu",IF(E1343="","Type manquant",IF(AND(E1343&lt;&gt;"Préventif",E1343&lt;&gt;"Correctif",E1343&lt;&gt;"Amélioratif"),"Type inconnu",IF(I1343="","Statut manquant",IF(AND(I1343&lt;&gt;"Terminée",I1343&lt;&gt;"En cours",I1343&lt;&gt;"À faire",I1343&lt;&gt;"Annulée"),"Statut inconnu",IF(AND(E1343="Préventif",F1343=""),"Plan manquant (préventif)",IF(AND(F1343&lt;&gt;"",ISNA(MATCH(F1343,pl_num,0))),"Plan inconnu",IF(AND(F1343&lt;&gt;"",IFERROR(INDEX(pl_eq,MATCH(F1343,pl_num,0))&amp;"",C1343)&lt;&gt;C1343),"Plan d'un autre équipement",IF(AND(J1343&lt;&gt;"",OR(NOT(ISNUMBER(J1343)),N(J1343)&lt;0)),"Compteur invalide",IF(OR(AND(K1343&lt;&gt;"",OR(NOT(ISNUMBER(K1343)),N(K1343)&lt;0)),AND(L1343&lt;&gt;"",OR(NOT(ISNUMBER(L1343)),N(L1343)&lt;0))),"Durée invalide",IF(OR(AND(N1343&lt;&gt;"",OR(NOT(ISNUMBER(N1343)),N(N1343)&lt;0)),AND(P1343&lt;&gt;"",OR(NOT(ISNUMBER(P1343)),N(P1343)&lt;0))),"Coût invalide",IF(AND(M1343&lt;&gt;"",ISNA(MATCH(M1343,tech_name,0))),"Technicien inconnu",IF(AND(I1343="Terminée",S1343&gt;p_today),"Terminée à une date future",IF(AND(I1343="Terminée",V1343=0),"Durée d'intervention manquante",IF(AND(I1343="Terminée",E1343="Préventif",T1343=0,OR(IFERROR(INDEX(pl_trig,MATCH(F1343,pl_num,0))&amp;"","")="Compteur",IFERROR(INDEX(pl_trig,MATCH(F1343,pl_num,0))&amp;"","")="Au premier des deux")),"Compteur manquant (plan au compteur)","OK"))))))))))))))))))</f>
        <v/>
      </c>
      <c r="S1343" s="67">
        <f>IF(AND(ISNUMBER(B1343),N(B1343)&gt;0),INT(B1343),0)</f>
        <v>0.0</v>
      </c>
      <c r="T1343" s="67">
        <f>IF(AND(ISNUMBER(J1343),N(J1343)&gt;=0),N(J1343),0)</f>
        <v>0.0</v>
      </c>
      <c r="U1343" s="67">
        <f>IF(AND(ISNUMBER(K1343),N(K1343)&gt;0),N(K1343),0)</f>
        <v>0.0</v>
      </c>
      <c r="V1343" s="67">
        <f>IF(AND(ISNUMBER(L1343),N(L1343)&gt;0),N(L1343),0)</f>
        <v>0.0</v>
      </c>
      <c r="W1343" s="67">
        <f>IF(AND(I1343="Terminée",S1343&gt;0,C1343&lt;&gt;"",ISNUMBER(MATCH(C1343,eq_code,0))),1,0)</f>
        <v>0.0</v>
      </c>
      <c r="X1343" s="67">
        <f>IF(AND(W1343=1,E1343="Préventif"),1,0)</f>
        <v>0.0</v>
      </c>
      <c r="Y1343" s="67">
        <f>IF(AND(ISNUMBER(N1343),N(N1343)&gt;0),N(N1343),0)</f>
        <v>0.0</v>
      </c>
      <c r="Z1343" s="67">
        <f>IF(AND(ISNUMBER(P1343),N(P1343)&gt;0),N(P1343),0)</f>
        <v>0.0</v>
      </c>
    </row>
    <row r="1344">
      <c r="A1344" s="79" t="str">
        <f>IF(COUNTA(B1344:C1344,E1344:G1344,I1344)=0,"","BI-"&amp;RIGHT("0000"&amp;(ROW()-5),4))</f>
        <v/>
      </c>
      <c r="B1344" s="72" t="n"/>
      <c r="C1344" s="66" t="n"/>
      <c r="D1344" s="67" t="str">
        <f>IF(C1344="","",IFERROR(INDEX(eq_des,MATCH(C1344,eq_code,0))&amp;"","Équipement inconnu"))</f>
        <v/>
      </c>
      <c r="E1344" s="68" t="n"/>
      <c r="F1344" s="68" t="n"/>
      <c r="G1344" s="66" t="n"/>
      <c r="H1344" s="66" t="n"/>
      <c r="I1344" s="68" t="n"/>
      <c r="J1344" s="73" t="n"/>
      <c r="K1344" s="71" t="n"/>
      <c r="L1344" s="71" t="n"/>
      <c r="M1344" s="66" t="n"/>
      <c r="N1344" s="80" t="n"/>
      <c r="O1344" s="81" t="str">
        <f>IF(A1344="","",ROUND(V1344*IFERROR(N(INDEX(tech_rate,MATCH(M1344,tech_name,0))),0),2))</f>
        <v/>
      </c>
      <c r="P1344" s="80" t="n"/>
      <c r="Q1344" s="81" t="str">
        <f>IF(A1344="","",ROUND(Y1344+O1344+Z1344,2))</f>
        <v/>
      </c>
      <c r="R1344" s="79" t="str">
        <f>IF(A1344="","",IF(S1344=0,"Date manquante ou invalide",IF(C1344="","Équipement manquant",IF(ISNA(MATCH(C1344,eq_code,0)),"Équipement inconnu",IF(E1344="","Type manquant",IF(AND(E1344&lt;&gt;"Préventif",E1344&lt;&gt;"Correctif",E1344&lt;&gt;"Amélioratif"),"Type inconnu",IF(I1344="","Statut manquant",IF(AND(I1344&lt;&gt;"Terminée",I1344&lt;&gt;"En cours",I1344&lt;&gt;"À faire",I1344&lt;&gt;"Annulée"),"Statut inconnu",IF(AND(E1344="Préventif",F1344=""),"Plan manquant (préventif)",IF(AND(F1344&lt;&gt;"",ISNA(MATCH(F1344,pl_num,0))),"Plan inconnu",IF(AND(F1344&lt;&gt;"",IFERROR(INDEX(pl_eq,MATCH(F1344,pl_num,0))&amp;"",C1344)&lt;&gt;C1344),"Plan d'un autre équipement",IF(AND(J1344&lt;&gt;"",OR(NOT(ISNUMBER(J1344)),N(J1344)&lt;0)),"Compteur invalide",IF(OR(AND(K1344&lt;&gt;"",OR(NOT(ISNUMBER(K1344)),N(K1344)&lt;0)),AND(L1344&lt;&gt;"",OR(NOT(ISNUMBER(L1344)),N(L1344)&lt;0))),"Durée invalide",IF(OR(AND(N1344&lt;&gt;"",OR(NOT(ISNUMBER(N1344)),N(N1344)&lt;0)),AND(P1344&lt;&gt;"",OR(NOT(ISNUMBER(P1344)),N(P1344)&lt;0))),"Coût invalide",IF(AND(M1344&lt;&gt;"",ISNA(MATCH(M1344,tech_name,0))),"Technicien inconnu",IF(AND(I1344="Terminée",S1344&gt;p_today),"Terminée à une date future",IF(AND(I1344="Terminée",V1344=0),"Durée d'intervention manquante",IF(AND(I1344="Terminée",E1344="Préventif",T1344=0,OR(IFERROR(INDEX(pl_trig,MATCH(F1344,pl_num,0))&amp;"","")="Compteur",IFERROR(INDEX(pl_trig,MATCH(F1344,pl_num,0))&amp;"","")="Au premier des deux")),"Compteur manquant (plan au compteur)","OK"))))))))))))))))))</f>
        <v/>
      </c>
      <c r="S1344" s="67">
        <f>IF(AND(ISNUMBER(B1344),N(B1344)&gt;0),INT(B1344),0)</f>
        <v>0.0</v>
      </c>
      <c r="T1344" s="67">
        <f>IF(AND(ISNUMBER(J1344),N(J1344)&gt;=0),N(J1344),0)</f>
        <v>0.0</v>
      </c>
      <c r="U1344" s="67">
        <f>IF(AND(ISNUMBER(K1344),N(K1344)&gt;0),N(K1344),0)</f>
        <v>0.0</v>
      </c>
      <c r="V1344" s="67">
        <f>IF(AND(ISNUMBER(L1344),N(L1344)&gt;0),N(L1344),0)</f>
        <v>0.0</v>
      </c>
      <c r="W1344" s="67">
        <f>IF(AND(I1344="Terminée",S1344&gt;0,C1344&lt;&gt;"",ISNUMBER(MATCH(C1344,eq_code,0))),1,0)</f>
        <v>0.0</v>
      </c>
      <c r="X1344" s="67">
        <f>IF(AND(W1344=1,E1344="Préventif"),1,0)</f>
        <v>0.0</v>
      </c>
      <c r="Y1344" s="67">
        <f>IF(AND(ISNUMBER(N1344),N(N1344)&gt;0),N(N1344),0)</f>
        <v>0.0</v>
      </c>
      <c r="Z1344" s="67">
        <f>IF(AND(ISNUMBER(P1344),N(P1344)&gt;0),N(P1344),0)</f>
        <v>0.0</v>
      </c>
    </row>
    <row r="1345">
      <c r="A1345" s="79" t="str">
        <f>IF(COUNTA(B1345:C1345,E1345:G1345,I1345)=0,"","BI-"&amp;RIGHT("0000"&amp;(ROW()-5),4))</f>
        <v/>
      </c>
      <c r="B1345" s="72" t="n"/>
      <c r="C1345" s="66" t="n"/>
      <c r="D1345" s="67" t="str">
        <f>IF(C1345="","",IFERROR(INDEX(eq_des,MATCH(C1345,eq_code,0))&amp;"","Équipement inconnu"))</f>
        <v/>
      </c>
      <c r="E1345" s="68" t="n"/>
      <c r="F1345" s="68" t="n"/>
      <c r="G1345" s="66" t="n"/>
      <c r="H1345" s="66" t="n"/>
      <c r="I1345" s="68" t="n"/>
      <c r="J1345" s="73" t="n"/>
      <c r="K1345" s="71" t="n"/>
      <c r="L1345" s="71" t="n"/>
      <c r="M1345" s="66" t="n"/>
      <c r="N1345" s="80" t="n"/>
      <c r="O1345" s="81" t="str">
        <f>IF(A1345="","",ROUND(V1345*IFERROR(N(INDEX(tech_rate,MATCH(M1345,tech_name,0))),0),2))</f>
        <v/>
      </c>
      <c r="P1345" s="80" t="n"/>
      <c r="Q1345" s="81" t="str">
        <f>IF(A1345="","",ROUND(Y1345+O1345+Z1345,2))</f>
        <v/>
      </c>
      <c r="R1345" s="79" t="str">
        <f>IF(A1345="","",IF(S1345=0,"Date manquante ou invalide",IF(C1345="","Équipement manquant",IF(ISNA(MATCH(C1345,eq_code,0)),"Équipement inconnu",IF(E1345="","Type manquant",IF(AND(E1345&lt;&gt;"Préventif",E1345&lt;&gt;"Correctif",E1345&lt;&gt;"Amélioratif"),"Type inconnu",IF(I1345="","Statut manquant",IF(AND(I1345&lt;&gt;"Terminée",I1345&lt;&gt;"En cours",I1345&lt;&gt;"À faire",I1345&lt;&gt;"Annulée"),"Statut inconnu",IF(AND(E1345="Préventif",F1345=""),"Plan manquant (préventif)",IF(AND(F1345&lt;&gt;"",ISNA(MATCH(F1345,pl_num,0))),"Plan inconnu",IF(AND(F1345&lt;&gt;"",IFERROR(INDEX(pl_eq,MATCH(F1345,pl_num,0))&amp;"",C1345)&lt;&gt;C1345),"Plan d'un autre équipement",IF(AND(J1345&lt;&gt;"",OR(NOT(ISNUMBER(J1345)),N(J1345)&lt;0)),"Compteur invalide",IF(OR(AND(K1345&lt;&gt;"",OR(NOT(ISNUMBER(K1345)),N(K1345)&lt;0)),AND(L1345&lt;&gt;"",OR(NOT(ISNUMBER(L1345)),N(L1345)&lt;0))),"Durée invalide",IF(OR(AND(N1345&lt;&gt;"",OR(NOT(ISNUMBER(N1345)),N(N1345)&lt;0)),AND(P1345&lt;&gt;"",OR(NOT(ISNUMBER(P1345)),N(P1345)&lt;0))),"Coût invalide",IF(AND(M1345&lt;&gt;"",ISNA(MATCH(M1345,tech_name,0))),"Technicien inconnu",IF(AND(I1345="Terminée",S1345&gt;p_today),"Terminée à une date future",IF(AND(I1345="Terminée",V1345=0),"Durée d'intervention manquante",IF(AND(I1345="Terminée",E1345="Préventif",T1345=0,OR(IFERROR(INDEX(pl_trig,MATCH(F1345,pl_num,0))&amp;"","")="Compteur",IFERROR(INDEX(pl_trig,MATCH(F1345,pl_num,0))&amp;"","")="Au premier des deux")),"Compteur manquant (plan au compteur)","OK"))))))))))))))))))</f>
        <v/>
      </c>
      <c r="S1345" s="67">
        <f>IF(AND(ISNUMBER(B1345),N(B1345)&gt;0),INT(B1345),0)</f>
        <v>0.0</v>
      </c>
      <c r="T1345" s="67">
        <f>IF(AND(ISNUMBER(J1345),N(J1345)&gt;=0),N(J1345),0)</f>
        <v>0.0</v>
      </c>
      <c r="U1345" s="67">
        <f>IF(AND(ISNUMBER(K1345),N(K1345)&gt;0),N(K1345),0)</f>
        <v>0.0</v>
      </c>
      <c r="V1345" s="67">
        <f>IF(AND(ISNUMBER(L1345),N(L1345)&gt;0),N(L1345),0)</f>
        <v>0.0</v>
      </c>
      <c r="W1345" s="67">
        <f>IF(AND(I1345="Terminée",S1345&gt;0,C1345&lt;&gt;"",ISNUMBER(MATCH(C1345,eq_code,0))),1,0)</f>
        <v>0.0</v>
      </c>
      <c r="X1345" s="67">
        <f>IF(AND(W1345=1,E1345="Préventif"),1,0)</f>
        <v>0.0</v>
      </c>
      <c r="Y1345" s="67">
        <f>IF(AND(ISNUMBER(N1345),N(N1345)&gt;0),N(N1345),0)</f>
        <v>0.0</v>
      </c>
      <c r="Z1345" s="67">
        <f>IF(AND(ISNUMBER(P1345),N(P1345)&gt;0),N(P1345),0)</f>
        <v>0.0</v>
      </c>
    </row>
    <row r="1346">
      <c r="A1346" s="79" t="str">
        <f>IF(COUNTA(B1346:C1346,E1346:G1346,I1346)=0,"","BI-"&amp;RIGHT("0000"&amp;(ROW()-5),4))</f>
        <v/>
      </c>
      <c r="B1346" s="72" t="n"/>
      <c r="C1346" s="66" t="n"/>
      <c r="D1346" s="67" t="str">
        <f>IF(C1346="","",IFERROR(INDEX(eq_des,MATCH(C1346,eq_code,0))&amp;"","Équipement inconnu"))</f>
        <v/>
      </c>
      <c r="E1346" s="68" t="n"/>
      <c r="F1346" s="68" t="n"/>
      <c r="G1346" s="66" t="n"/>
      <c r="H1346" s="66" t="n"/>
      <c r="I1346" s="68" t="n"/>
      <c r="J1346" s="73" t="n"/>
      <c r="K1346" s="71" t="n"/>
      <c r="L1346" s="71" t="n"/>
      <c r="M1346" s="66" t="n"/>
      <c r="N1346" s="80" t="n"/>
      <c r="O1346" s="81" t="str">
        <f>IF(A1346="","",ROUND(V1346*IFERROR(N(INDEX(tech_rate,MATCH(M1346,tech_name,0))),0),2))</f>
        <v/>
      </c>
      <c r="P1346" s="80" t="n"/>
      <c r="Q1346" s="81" t="str">
        <f>IF(A1346="","",ROUND(Y1346+O1346+Z1346,2))</f>
        <v/>
      </c>
      <c r="R1346" s="79" t="str">
        <f>IF(A1346="","",IF(S1346=0,"Date manquante ou invalide",IF(C1346="","Équipement manquant",IF(ISNA(MATCH(C1346,eq_code,0)),"Équipement inconnu",IF(E1346="","Type manquant",IF(AND(E1346&lt;&gt;"Préventif",E1346&lt;&gt;"Correctif",E1346&lt;&gt;"Amélioratif"),"Type inconnu",IF(I1346="","Statut manquant",IF(AND(I1346&lt;&gt;"Terminée",I1346&lt;&gt;"En cours",I1346&lt;&gt;"À faire",I1346&lt;&gt;"Annulée"),"Statut inconnu",IF(AND(E1346="Préventif",F1346=""),"Plan manquant (préventif)",IF(AND(F1346&lt;&gt;"",ISNA(MATCH(F1346,pl_num,0))),"Plan inconnu",IF(AND(F1346&lt;&gt;"",IFERROR(INDEX(pl_eq,MATCH(F1346,pl_num,0))&amp;"",C1346)&lt;&gt;C1346),"Plan d'un autre équipement",IF(AND(J1346&lt;&gt;"",OR(NOT(ISNUMBER(J1346)),N(J1346)&lt;0)),"Compteur invalide",IF(OR(AND(K1346&lt;&gt;"",OR(NOT(ISNUMBER(K1346)),N(K1346)&lt;0)),AND(L1346&lt;&gt;"",OR(NOT(ISNUMBER(L1346)),N(L1346)&lt;0))),"Durée invalide",IF(OR(AND(N1346&lt;&gt;"",OR(NOT(ISNUMBER(N1346)),N(N1346)&lt;0)),AND(P1346&lt;&gt;"",OR(NOT(ISNUMBER(P1346)),N(P1346)&lt;0))),"Coût invalide",IF(AND(M1346&lt;&gt;"",ISNA(MATCH(M1346,tech_name,0))),"Technicien inconnu",IF(AND(I1346="Terminée",S1346&gt;p_today),"Terminée à une date future",IF(AND(I1346="Terminée",V1346=0),"Durée d'intervention manquante",IF(AND(I1346="Terminée",E1346="Préventif",T1346=0,OR(IFERROR(INDEX(pl_trig,MATCH(F1346,pl_num,0))&amp;"","")="Compteur",IFERROR(INDEX(pl_trig,MATCH(F1346,pl_num,0))&amp;"","")="Au premier des deux")),"Compteur manquant (plan au compteur)","OK"))))))))))))))))))</f>
        <v/>
      </c>
      <c r="S1346" s="67">
        <f>IF(AND(ISNUMBER(B1346),N(B1346)&gt;0),INT(B1346),0)</f>
        <v>0.0</v>
      </c>
      <c r="T1346" s="67">
        <f>IF(AND(ISNUMBER(J1346),N(J1346)&gt;=0),N(J1346),0)</f>
        <v>0.0</v>
      </c>
      <c r="U1346" s="67">
        <f>IF(AND(ISNUMBER(K1346),N(K1346)&gt;0),N(K1346),0)</f>
        <v>0.0</v>
      </c>
      <c r="V1346" s="67">
        <f>IF(AND(ISNUMBER(L1346),N(L1346)&gt;0),N(L1346),0)</f>
        <v>0.0</v>
      </c>
      <c r="W1346" s="67">
        <f>IF(AND(I1346="Terminée",S1346&gt;0,C1346&lt;&gt;"",ISNUMBER(MATCH(C1346,eq_code,0))),1,0)</f>
        <v>0.0</v>
      </c>
      <c r="X1346" s="67">
        <f>IF(AND(W1346=1,E1346="Préventif"),1,0)</f>
        <v>0.0</v>
      </c>
      <c r="Y1346" s="67">
        <f>IF(AND(ISNUMBER(N1346),N(N1346)&gt;0),N(N1346),0)</f>
        <v>0.0</v>
      </c>
      <c r="Z1346" s="67">
        <f>IF(AND(ISNUMBER(P1346),N(P1346)&gt;0),N(P1346),0)</f>
        <v>0.0</v>
      </c>
    </row>
    <row r="1347">
      <c r="A1347" s="79" t="str">
        <f>IF(COUNTA(B1347:C1347,E1347:G1347,I1347)=0,"","BI-"&amp;RIGHT("0000"&amp;(ROW()-5),4))</f>
        <v/>
      </c>
      <c r="B1347" s="72" t="n"/>
      <c r="C1347" s="66" t="n"/>
      <c r="D1347" s="67" t="str">
        <f>IF(C1347="","",IFERROR(INDEX(eq_des,MATCH(C1347,eq_code,0))&amp;"","Équipement inconnu"))</f>
        <v/>
      </c>
      <c r="E1347" s="68" t="n"/>
      <c r="F1347" s="68" t="n"/>
      <c r="G1347" s="66" t="n"/>
      <c r="H1347" s="66" t="n"/>
      <c r="I1347" s="68" t="n"/>
      <c r="J1347" s="73" t="n"/>
      <c r="K1347" s="71" t="n"/>
      <c r="L1347" s="71" t="n"/>
      <c r="M1347" s="66" t="n"/>
      <c r="N1347" s="80" t="n"/>
      <c r="O1347" s="81" t="str">
        <f>IF(A1347="","",ROUND(V1347*IFERROR(N(INDEX(tech_rate,MATCH(M1347,tech_name,0))),0),2))</f>
        <v/>
      </c>
      <c r="P1347" s="80" t="n"/>
      <c r="Q1347" s="81" t="str">
        <f>IF(A1347="","",ROUND(Y1347+O1347+Z1347,2))</f>
        <v/>
      </c>
      <c r="R1347" s="79" t="str">
        <f>IF(A1347="","",IF(S1347=0,"Date manquante ou invalide",IF(C1347="","Équipement manquant",IF(ISNA(MATCH(C1347,eq_code,0)),"Équipement inconnu",IF(E1347="","Type manquant",IF(AND(E1347&lt;&gt;"Préventif",E1347&lt;&gt;"Correctif",E1347&lt;&gt;"Amélioratif"),"Type inconnu",IF(I1347="","Statut manquant",IF(AND(I1347&lt;&gt;"Terminée",I1347&lt;&gt;"En cours",I1347&lt;&gt;"À faire",I1347&lt;&gt;"Annulée"),"Statut inconnu",IF(AND(E1347="Préventif",F1347=""),"Plan manquant (préventif)",IF(AND(F1347&lt;&gt;"",ISNA(MATCH(F1347,pl_num,0))),"Plan inconnu",IF(AND(F1347&lt;&gt;"",IFERROR(INDEX(pl_eq,MATCH(F1347,pl_num,0))&amp;"",C1347)&lt;&gt;C1347),"Plan d'un autre équipement",IF(AND(J1347&lt;&gt;"",OR(NOT(ISNUMBER(J1347)),N(J1347)&lt;0)),"Compteur invalide",IF(OR(AND(K1347&lt;&gt;"",OR(NOT(ISNUMBER(K1347)),N(K1347)&lt;0)),AND(L1347&lt;&gt;"",OR(NOT(ISNUMBER(L1347)),N(L1347)&lt;0))),"Durée invalide",IF(OR(AND(N1347&lt;&gt;"",OR(NOT(ISNUMBER(N1347)),N(N1347)&lt;0)),AND(P1347&lt;&gt;"",OR(NOT(ISNUMBER(P1347)),N(P1347)&lt;0))),"Coût invalide",IF(AND(M1347&lt;&gt;"",ISNA(MATCH(M1347,tech_name,0))),"Technicien inconnu",IF(AND(I1347="Terminée",S1347&gt;p_today),"Terminée à une date future",IF(AND(I1347="Terminée",V1347=0),"Durée d'intervention manquante",IF(AND(I1347="Terminée",E1347="Préventif",T1347=0,OR(IFERROR(INDEX(pl_trig,MATCH(F1347,pl_num,0))&amp;"","")="Compteur",IFERROR(INDEX(pl_trig,MATCH(F1347,pl_num,0))&amp;"","")="Au premier des deux")),"Compteur manquant (plan au compteur)","OK"))))))))))))))))))</f>
        <v/>
      </c>
      <c r="S1347" s="67">
        <f>IF(AND(ISNUMBER(B1347),N(B1347)&gt;0),INT(B1347),0)</f>
        <v>0.0</v>
      </c>
      <c r="T1347" s="67">
        <f>IF(AND(ISNUMBER(J1347),N(J1347)&gt;=0),N(J1347),0)</f>
        <v>0.0</v>
      </c>
      <c r="U1347" s="67">
        <f>IF(AND(ISNUMBER(K1347),N(K1347)&gt;0),N(K1347),0)</f>
        <v>0.0</v>
      </c>
      <c r="V1347" s="67">
        <f>IF(AND(ISNUMBER(L1347),N(L1347)&gt;0),N(L1347),0)</f>
        <v>0.0</v>
      </c>
      <c r="W1347" s="67">
        <f>IF(AND(I1347="Terminée",S1347&gt;0,C1347&lt;&gt;"",ISNUMBER(MATCH(C1347,eq_code,0))),1,0)</f>
        <v>0.0</v>
      </c>
      <c r="X1347" s="67">
        <f>IF(AND(W1347=1,E1347="Préventif"),1,0)</f>
        <v>0.0</v>
      </c>
      <c r="Y1347" s="67">
        <f>IF(AND(ISNUMBER(N1347),N(N1347)&gt;0),N(N1347),0)</f>
        <v>0.0</v>
      </c>
      <c r="Z1347" s="67">
        <f>IF(AND(ISNUMBER(P1347),N(P1347)&gt;0),N(P1347),0)</f>
        <v>0.0</v>
      </c>
    </row>
    <row r="1348">
      <c r="A1348" s="79" t="str">
        <f>IF(COUNTA(B1348:C1348,E1348:G1348,I1348)=0,"","BI-"&amp;RIGHT("0000"&amp;(ROW()-5),4))</f>
        <v/>
      </c>
      <c r="B1348" s="72" t="n"/>
      <c r="C1348" s="66" t="n"/>
      <c r="D1348" s="67" t="str">
        <f>IF(C1348="","",IFERROR(INDEX(eq_des,MATCH(C1348,eq_code,0))&amp;"","Équipement inconnu"))</f>
        <v/>
      </c>
      <c r="E1348" s="68" t="n"/>
      <c r="F1348" s="68" t="n"/>
      <c r="G1348" s="66" t="n"/>
      <c r="H1348" s="66" t="n"/>
      <c r="I1348" s="68" t="n"/>
      <c r="J1348" s="73" t="n"/>
      <c r="K1348" s="71" t="n"/>
      <c r="L1348" s="71" t="n"/>
      <c r="M1348" s="66" t="n"/>
      <c r="N1348" s="80" t="n"/>
      <c r="O1348" s="81" t="str">
        <f>IF(A1348="","",ROUND(V1348*IFERROR(N(INDEX(tech_rate,MATCH(M1348,tech_name,0))),0),2))</f>
        <v/>
      </c>
      <c r="P1348" s="80" t="n"/>
      <c r="Q1348" s="81" t="str">
        <f>IF(A1348="","",ROUND(Y1348+O1348+Z1348,2))</f>
        <v/>
      </c>
      <c r="R1348" s="79" t="str">
        <f>IF(A1348="","",IF(S1348=0,"Date manquante ou invalide",IF(C1348="","Équipement manquant",IF(ISNA(MATCH(C1348,eq_code,0)),"Équipement inconnu",IF(E1348="","Type manquant",IF(AND(E1348&lt;&gt;"Préventif",E1348&lt;&gt;"Correctif",E1348&lt;&gt;"Amélioratif"),"Type inconnu",IF(I1348="","Statut manquant",IF(AND(I1348&lt;&gt;"Terminée",I1348&lt;&gt;"En cours",I1348&lt;&gt;"À faire",I1348&lt;&gt;"Annulée"),"Statut inconnu",IF(AND(E1348="Préventif",F1348=""),"Plan manquant (préventif)",IF(AND(F1348&lt;&gt;"",ISNA(MATCH(F1348,pl_num,0))),"Plan inconnu",IF(AND(F1348&lt;&gt;"",IFERROR(INDEX(pl_eq,MATCH(F1348,pl_num,0))&amp;"",C1348)&lt;&gt;C1348),"Plan d'un autre équipement",IF(AND(J1348&lt;&gt;"",OR(NOT(ISNUMBER(J1348)),N(J1348)&lt;0)),"Compteur invalide",IF(OR(AND(K1348&lt;&gt;"",OR(NOT(ISNUMBER(K1348)),N(K1348)&lt;0)),AND(L1348&lt;&gt;"",OR(NOT(ISNUMBER(L1348)),N(L1348)&lt;0))),"Durée invalide",IF(OR(AND(N1348&lt;&gt;"",OR(NOT(ISNUMBER(N1348)),N(N1348)&lt;0)),AND(P1348&lt;&gt;"",OR(NOT(ISNUMBER(P1348)),N(P1348)&lt;0))),"Coût invalide",IF(AND(M1348&lt;&gt;"",ISNA(MATCH(M1348,tech_name,0))),"Technicien inconnu",IF(AND(I1348="Terminée",S1348&gt;p_today),"Terminée à une date future",IF(AND(I1348="Terminée",V1348=0),"Durée d'intervention manquante",IF(AND(I1348="Terminée",E1348="Préventif",T1348=0,OR(IFERROR(INDEX(pl_trig,MATCH(F1348,pl_num,0))&amp;"","")="Compteur",IFERROR(INDEX(pl_trig,MATCH(F1348,pl_num,0))&amp;"","")="Au premier des deux")),"Compteur manquant (plan au compteur)","OK"))))))))))))))))))</f>
        <v/>
      </c>
      <c r="S1348" s="67">
        <f>IF(AND(ISNUMBER(B1348),N(B1348)&gt;0),INT(B1348),0)</f>
        <v>0.0</v>
      </c>
      <c r="T1348" s="67">
        <f>IF(AND(ISNUMBER(J1348),N(J1348)&gt;=0),N(J1348),0)</f>
        <v>0.0</v>
      </c>
      <c r="U1348" s="67">
        <f>IF(AND(ISNUMBER(K1348),N(K1348)&gt;0),N(K1348),0)</f>
        <v>0.0</v>
      </c>
      <c r="V1348" s="67">
        <f>IF(AND(ISNUMBER(L1348),N(L1348)&gt;0),N(L1348),0)</f>
        <v>0.0</v>
      </c>
      <c r="W1348" s="67">
        <f>IF(AND(I1348="Terminée",S1348&gt;0,C1348&lt;&gt;"",ISNUMBER(MATCH(C1348,eq_code,0))),1,0)</f>
        <v>0.0</v>
      </c>
      <c r="X1348" s="67">
        <f>IF(AND(W1348=1,E1348="Préventif"),1,0)</f>
        <v>0.0</v>
      </c>
      <c r="Y1348" s="67">
        <f>IF(AND(ISNUMBER(N1348),N(N1348)&gt;0),N(N1348),0)</f>
        <v>0.0</v>
      </c>
      <c r="Z1348" s="67">
        <f>IF(AND(ISNUMBER(P1348),N(P1348)&gt;0),N(P1348),0)</f>
        <v>0.0</v>
      </c>
    </row>
    <row r="1349">
      <c r="A1349" s="79" t="str">
        <f>IF(COUNTA(B1349:C1349,E1349:G1349,I1349)=0,"","BI-"&amp;RIGHT("0000"&amp;(ROW()-5),4))</f>
        <v/>
      </c>
      <c r="B1349" s="72" t="n"/>
      <c r="C1349" s="66" t="n"/>
      <c r="D1349" s="67" t="str">
        <f>IF(C1349="","",IFERROR(INDEX(eq_des,MATCH(C1349,eq_code,0))&amp;"","Équipement inconnu"))</f>
        <v/>
      </c>
      <c r="E1349" s="68" t="n"/>
      <c r="F1349" s="68" t="n"/>
      <c r="G1349" s="66" t="n"/>
      <c r="H1349" s="66" t="n"/>
      <c r="I1349" s="68" t="n"/>
      <c r="J1349" s="73" t="n"/>
      <c r="K1349" s="71" t="n"/>
      <c r="L1349" s="71" t="n"/>
      <c r="M1349" s="66" t="n"/>
      <c r="N1349" s="80" t="n"/>
      <c r="O1349" s="81" t="str">
        <f>IF(A1349="","",ROUND(V1349*IFERROR(N(INDEX(tech_rate,MATCH(M1349,tech_name,0))),0),2))</f>
        <v/>
      </c>
      <c r="P1349" s="80" t="n"/>
      <c r="Q1349" s="81" t="str">
        <f>IF(A1349="","",ROUND(Y1349+O1349+Z1349,2))</f>
        <v/>
      </c>
      <c r="R1349" s="79" t="str">
        <f>IF(A1349="","",IF(S1349=0,"Date manquante ou invalide",IF(C1349="","Équipement manquant",IF(ISNA(MATCH(C1349,eq_code,0)),"Équipement inconnu",IF(E1349="","Type manquant",IF(AND(E1349&lt;&gt;"Préventif",E1349&lt;&gt;"Correctif",E1349&lt;&gt;"Amélioratif"),"Type inconnu",IF(I1349="","Statut manquant",IF(AND(I1349&lt;&gt;"Terminée",I1349&lt;&gt;"En cours",I1349&lt;&gt;"À faire",I1349&lt;&gt;"Annulée"),"Statut inconnu",IF(AND(E1349="Préventif",F1349=""),"Plan manquant (préventif)",IF(AND(F1349&lt;&gt;"",ISNA(MATCH(F1349,pl_num,0))),"Plan inconnu",IF(AND(F1349&lt;&gt;"",IFERROR(INDEX(pl_eq,MATCH(F1349,pl_num,0))&amp;"",C1349)&lt;&gt;C1349),"Plan d'un autre équipement",IF(AND(J1349&lt;&gt;"",OR(NOT(ISNUMBER(J1349)),N(J1349)&lt;0)),"Compteur invalide",IF(OR(AND(K1349&lt;&gt;"",OR(NOT(ISNUMBER(K1349)),N(K1349)&lt;0)),AND(L1349&lt;&gt;"",OR(NOT(ISNUMBER(L1349)),N(L1349)&lt;0))),"Durée invalide",IF(OR(AND(N1349&lt;&gt;"",OR(NOT(ISNUMBER(N1349)),N(N1349)&lt;0)),AND(P1349&lt;&gt;"",OR(NOT(ISNUMBER(P1349)),N(P1349)&lt;0))),"Coût invalide",IF(AND(M1349&lt;&gt;"",ISNA(MATCH(M1349,tech_name,0))),"Technicien inconnu",IF(AND(I1349="Terminée",S1349&gt;p_today),"Terminée à une date future",IF(AND(I1349="Terminée",V1349=0),"Durée d'intervention manquante",IF(AND(I1349="Terminée",E1349="Préventif",T1349=0,OR(IFERROR(INDEX(pl_trig,MATCH(F1349,pl_num,0))&amp;"","")="Compteur",IFERROR(INDEX(pl_trig,MATCH(F1349,pl_num,0))&amp;"","")="Au premier des deux")),"Compteur manquant (plan au compteur)","OK"))))))))))))))))))</f>
        <v/>
      </c>
      <c r="S1349" s="67">
        <f>IF(AND(ISNUMBER(B1349),N(B1349)&gt;0),INT(B1349),0)</f>
        <v>0.0</v>
      </c>
      <c r="T1349" s="67">
        <f>IF(AND(ISNUMBER(J1349),N(J1349)&gt;=0),N(J1349),0)</f>
        <v>0.0</v>
      </c>
      <c r="U1349" s="67">
        <f>IF(AND(ISNUMBER(K1349),N(K1349)&gt;0),N(K1349),0)</f>
        <v>0.0</v>
      </c>
      <c r="V1349" s="67">
        <f>IF(AND(ISNUMBER(L1349),N(L1349)&gt;0),N(L1349),0)</f>
        <v>0.0</v>
      </c>
      <c r="W1349" s="67">
        <f>IF(AND(I1349="Terminée",S1349&gt;0,C1349&lt;&gt;"",ISNUMBER(MATCH(C1349,eq_code,0))),1,0)</f>
        <v>0.0</v>
      </c>
      <c r="X1349" s="67">
        <f>IF(AND(W1349=1,E1349="Préventif"),1,0)</f>
        <v>0.0</v>
      </c>
      <c r="Y1349" s="67">
        <f>IF(AND(ISNUMBER(N1349),N(N1349)&gt;0),N(N1349),0)</f>
        <v>0.0</v>
      </c>
      <c r="Z1349" s="67">
        <f>IF(AND(ISNUMBER(P1349),N(P1349)&gt;0),N(P1349),0)</f>
        <v>0.0</v>
      </c>
    </row>
    <row r="1350">
      <c r="A1350" s="79" t="str">
        <f>IF(COUNTA(B1350:C1350,E1350:G1350,I1350)=0,"","BI-"&amp;RIGHT("0000"&amp;(ROW()-5),4))</f>
        <v/>
      </c>
      <c r="B1350" s="72" t="n"/>
      <c r="C1350" s="66" t="n"/>
      <c r="D1350" s="67" t="str">
        <f>IF(C1350="","",IFERROR(INDEX(eq_des,MATCH(C1350,eq_code,0))&amp;"","Équipement inconnu"))</f>
        <v/>
      </c>
      <c r="E1350" s="68" t="n"/>
      <c r="F1350" s="68" t="n"/>
      <c r="G1350" s="66" t="n"/>
      <c r="H1350" s="66" t="n"/>
      <c r="I1350" s="68" t="n"/>
      <c r="J1350" s="73" t="n"/>
      <c r="K1350" s="71" t="n"/>
      <c r="L1350" s="71" t="n"/>
      <c r="M1350" s="66" t="n"/>
      <c r="N1350" s="80" t="n"/>
      <c r="O1350" s="81" t="str">
        <f>IF(A1350="","",ROUND(V1350*IFERROR(N(INDEX(tech_rate,MATCH(M1350,tech_name,0))),0),2))</f>
        <v/>
      </c>
      <c r="P1350" s="80" t="n"/>
      <c r="Q1350" s="81" t="str">
        <f>IF(A1350="","",ROUND(Y1350+O1350+Z1350,2))</f>
        <v/>
      </c>
      <c r="R1350" s="79" t="str">
        <f>IF(A1350="","",IF(S1350=0,"Date manquante ou invalide",IF(C1350="","Équipement manquant",IF(ISNA(MATCH(C1350,eq_code,0)),"Équipement inconnu",IF(E1350="","Type manquant",IF(AND(E1350&lt;&gt;"Préventif",E1350&lt;&gt;"Correctif",E1350&lt;&gt;"Amélioratif"),"Type inconnu",IF(I1350="","Statut manquant",IF(AND(I1350&lt;&gt;"Terminée",I1350&lt;&gt;"En cours",I1350&lt;&gt;"À faire",I1350&lt;&gt;"Annulée"),"Statut inconnu",IF(AND(E1350="Préventif",F1350=""),"Plan manquant (préventif)",IF(AND(F1350&lt;&gt;"",ISNA(MATCH(F1350,pl_num,0))),"Plan inconnu",IF(AND(F1350&lt;&gt;"",IFERROR(INDEX(pl_eq,MATCH(F1350,pl_num,0))&amp;"",C1350)&lt;&gt;C1350),"Plan d'un autre équipement",IF(AND(J1350&lt;&gt;"",OR(NOT(ISNUMBER(J1350)),N(J1350)&lt;0)),"Compteur invalide",IF(OR(AND(K1350&lt;&gt;"",OR(NOT(ISNUMBER(K1350)),N(K1350)&lt;0)),AND(L1350&lt;&gt;"",OR(NOT(ISNUMBER(L1350)),N(L1350)&lt;0))),"Durée invalide",IF(OR(AND(N1350&lt;&gt;"",OR(NOT(ISNUMBER(N1350)),N(N1350)&lt;0)),AND(P1350&lt;&gt;"",OR(NOT(ISNUMBER(P1350)),N(P1350)&lt;0))),"Coût invalide",IF(AND(M1350&lt;&gt;"",ISNA(MATCH(M1350,tech_name,0))),"Technicien inconnu",IF(AND(I1350="Terminée",S1350&gt;p_today),"Terminée à une date future",IF(AND(I1350="Terminée",V1350=0),"Durée d'intervention manquante",IF(AND(I1350="Terminée",E1350="Préventif",T1350=0,OR(IFERROR(INDEX(pl_trig,MATCH(F1350,pl_num,0))&amp;"","")="Compteur",IFERROR(INDEX(pl_trig,MATCH(F1350,pl_num,0))&amp;"","")="Au premier des deux")),"Compteur manquant (plan au compteur)","OK"))))))))))))))))))</f>
        <v/>
      </c>
      <c r="S1350" s="67">
        <f>IF(AND(ISNUMBER(B1350),N(B1350)&gt;0),INT(B1350),0)</f>
        <v>0.0</v>
      </c>
      <c r="T1350" s="67">
        <f>IF(AND(ISNUMBER(J1350),N(J1350)&gt;=0),N(J1350),0)</f>
        <v>0.0</v>
      </c>
      <c r="U1350" s="67">
        <f>IF(AND(ISNUMBER(K1350),N(K1350)&gt;0),N(K1350),0)</f>
        <v>0.0</v>
      </c>
      <c r="V1350" s="67">
        <f>IF(AND(ISNUMBER(L1350),N(L1350)&gt;0),N(L1350),0)</f>
        <v>0.0</v>
      </c>
      <c r="W1350" s="67">
        <f>IF(AND(I1350="Terminée",S1350&gt;0,C1350&lt;&gt;"",ISNUMBER(MATCH(C1350,eq_code,0))),1,0)</f>
        <v>0.0</v>
      </c>
      <c r="X1350" s="67">
        <f>IF(AND(W1350=1,E1350="Préventif"),1,0)</f>
        <v>0.0</v>
      </c>
      <c r="Y1350" s="67">
        <f>IF(AND(ISNUMBER(N1350),N(N1350)&gt;0),N(N1350),0)</f>
        <v>0.0</v>
      </c>
      <c r="Z1350" s="67">
        <f>IF(AND(ISNUMBER(P1350),N(P1350)&gt;0),N(P1350),0)</f>
        <v>0.0</v>
      </c>
    </row>
    <row r="1351">
      <c r="A1351" s="79" t="str">
        <f>IF(COUNTA(B1351:C1351,E1351:G1351,I1351)=0,"","BI-"&amp;RIGHT("0000"&amp;(ROW()-5),4))</f>
        <v/>
      </c>
      <c r="B1351" s="72" t="n"/>
      <c r="C1351" s="66" t="n"/>
      <c r="D1351" s="67" t="str">
        <f>IF(C1351="","",IFERROR(INDEX(eq_des,MATCH(C1351,eq_code,0))&amp;"","Équipement inconnu"))</f>
        <v/>
      </c>
      <c r="E1351" s="68" t="n"/>
      <c r="F1351" s="68" t="n"/>
      <c r="G1351" s="66" t="n"/>
      <c r="H1351" s="66" t="n"/>
      <c r="I1351" s="68" t="n"/>
      <c r="J1351" s="73" t="n"/>
      <c r="K1351" s="71" t="n"/>
      <c r="L1351" s="71" t="n"/>
      <c r="M1351" s="66" t="n"/>
      <c r="N1351" s="80" t="n"/>
      <c r="O1351" s="81" t="str">
        <f>IF(A1351="","",ROUND(V1351*IFERROR(N(INDEX(tech_rate,MATCH(M1351,tech_name,0))),0),2))</f>
        <v/>
      </c>
      <c r="P1351" s="80" t="n"/>
      <c r="Q1351" s="81" t="str">
        <f>IF(A1351="","",ROUND(Y1351+O1351+Z1351,2))</f>
        <v/>
      </c>
      <c r="R1351" s="79" t="str">
        <f>IF(A1351="","",IF(S1351=0,"Date manquante ou invalide",IF(C1351="","Équipement manquant",IF(ISNA(MATCH(C1351,eq_code,0)),"Équipement inconnu",IF(E1351="","Type manquant",IF(AND(E1351&lt;&gt;"Préventif",E1351&lt;&gt;"Correctif",E1351&lt;&gt;"Amélioratif"),"Type inconnu",IF(I1351="","Statut manquant",IF(AND(I1351&lt;&gt;"Terminée",I1351&lt;&gt;"En cours",I1351&lt;&gt;"À faire",I1351&lt;&gt;"Annulée"),"Statut inconnu",IF(AND(E1351="Préventif",F1351=""),"Plan manquant (préventif)",IF(AND(F1351&lt;&gt;"",ISNA(MATCH(F1351,pl_num,0))),"Plan inconnu",IF(AND(F1351&lt;&gt;"",IFERROR(INDEX(pl_eq,MATCH(F1351,pl_num,0))&amp;"",C1351)&lt;&gt;C1351),"Plan d'un autre équipement",IF(AND(J1351&lt;&gt;"",OR(NOT(ISNUMBER(J1351)),N(J1351)&lt;0)),"Compteur invalide",IF(OR(AND(K1351&lt;&gt;"",OR(NOT(ISNUMBER(K1351)),N(K1351)&lt;0)),AND(L1351&lt;&gt;"",OR(NOT(ISNUMBER(L1351)),N(L1351)&lt;0))),"Durée invalide",IF(OR(AND(N1351&lt;&gt;"",OR(NOT(ISNUMBER(N1351)),N(N1351)&lt;0)),AND(P1351&lt;&gt;"",OR(NOT(ISNUMBER(P1351)),N(P1351)&lt;0))),"Coût invalide",IF(AND(M1351&lt;&gt;"",ISNA(MATCH(M1351,tech_name,0))),"Technicien inconnu",IF(AND(I1351="Terminée",S1351&gt;p_today),"Terminée à une date future",IF(AND(I1351="Terminée",V1351=0),"Durée d'intervention manquante",IF(AND(I1351="Terminée",E1351="Préventif",T1351=0,OR(IFERROR(INDEX(pl_trig,MATCH(F1351,pl_num,0))&amp;"","")="Compteur",IFERROR(INDEX(pl_trig,MATCH(F1351,pl_num,0))&amp;"","")="Au premier des deux")),"Compteur manquant (plan au compteur)","OK"))))))))))))))))))</f>
        <v/>
      </c>
      <c r="S1351" s="67">
        <f>IF(AND(ISNUMBER(B1351),N(B1351)&gt;0),INT(B1351),0)</f>
        <v>0.0</v>
      </c>
      <c r="T1351" s="67">
        <f>IF(AND(ISNUMBER(J1351),N(J1351)&gt;=0),N(J1351),0)</f>
        <v>0.0</v>
      </c>
      <c r="U1351" s="67">
        <f>IF(AND(ISNUMBER(K1351),N(K1351)&gt;0),N(K1351),0)</f>
        <v>0.0</v>
      </c>
      <c r="V1351" s="67">
        <f>IF(AND(ISNUMBER(L1351),N(L1351)&gt;0),N(L1351),0)</f>
        <v>0.0</v>
      </c>
      <c r="W1351" s="67">
        <f>IF(AND(I1351="Terminée",S1351&gt;0,C1351&lt;&gt;"",ISNUMBER(MATCH(C1351,eq_code,0))),1,0)</f>
        <v>0.0</v>
      </c>
      <c r="X1351" s="67">
        <f>IF(AND(W1351=1,E1351="Préventif"),1,0)</f>
        <v>0.0</v>
      </c>
      <c r="Y1351" s="67">
        <f>IF(AND(ISNUMBER(N1351),N(N1351)&gt;0),N(N1351),0)</f>
        <v>0.0</v>
      </c>
      <c r="Z1351" s="67">
        <f>IF(AND(ISNUMBER(P1351),N(P1351)&gt;0),N(P1351),0)</f>
        <v>0.0</v>
      </c>
    </row>
    <row r="1352">
      <c r="A1352" s="79" t="str">
        <f>IF(COUNTA(B1352:C1352,E1352:G1352,I1352)=0,"","BI-"&amp;RIGHT("0000"&amp;(ROW()-5),4))</f>
        <v/>
      </c>
      <c r="B1352" s="72" t="n"/>
      <c r="C1352" s="66" t="n"/>
      <c r="D1352" s="67" t="str">
        <f>IF(C1352="","",IFERROR(INDEX(eq_des,MATCH(C1352,eq_code,0))&amp;"","Équipement inconnu"))</f>
        <v/>
      </c>
      <c r="E1352" s="68" t="n"/>
      <c r="F1352" s="68" t="n"/>
      <c r="G1352" s="66" t="n"/>
      <c r="H1352" s="66" t="n"/>
      <c r="I1352" s="68" t="n"/>
      <c r="J1352" s="73" t="n"/>
      <c r="K1352" s="71" t="n"/>
      <c r="L1352" s="71" t="n"/>
      <c r="M1352" s="66" t="n"/>
      <c r="N1352" s="80" t="n"/>
      <c r="O1352" s="81" t="str">
        <f>IF(A1352="","",ROUND(V1352*IFERROR(N(INDEX(tech_rate,MATCH(M1352,tech_name,0))),0),2))</f>
        <v/>
      </c>
      <c r="P1352" s="80" t="n"/>
      <c r="Q1352" s="81" t="str">
        <f>IF(A1352="","",ROUND(Y1352+O1352+Z1352,2))</f>
        <v/>
      </c>
      <c r="R1352" s="79" t="str">
        <f>IF(A1352="","",IF(S1352=0,"Date manquante ou invalide",IF(C1352="","Équipement manquant",IF(ISNA(MATCH(C1352,eq_code,0)),"Équipement inconnu",IF(E1352="","Type manquant",IF(AND(E1352&lt;&gt;"Préventif",E1352&lt;&gt;"Correctif",E1352&lt;&gt;"Amélioratif"),"Type inconnu",IF(I1352="","Statut manquant",IF(AND(I1352&lt;&gt;"Terminée",I1352&lt;&gt;"En cours",I1352&lt;&gt;"À faire",I1352&lt;&gt;"Annulée"),"Statut inconnu",IF(AND(E1352="Préventif",F1352=""),"Plan manquant (préventif)",IF(AND(F1352&lt;&gt;"",ISNA(MATCH(F1352,pl_num,0))),"Plan inconnu",IF(AND(F1352&lt;&gt;"",IFERROR(INDEX(pl_eq,MATCH(F1352,pl_num,0))&amp;"",C1352)&lt;&gt;C1352),"Plan d'un autre équipement",IF(AND(J1352&lt;&gt;"",OR(NOT(ISNUMBER(J1352)),N(J1352)&lt;0)),"Compteur invalide",IF(OR(AND(K1352&lt;&gt;"",OR(NOT(ISNUMBER(K1352)),N(K1352)&lt;0)),AND(L1352&lt;&gt;"",OR(NOT(ISNUMBER(L1352)),N(L1352)&lt;0))),"Durée invalide",IF(OR(AND(N1352&lt;&gt;"",OR(NOT(ISNUMBER(N1352)),N(N1352)&lt;0)),AND(P1352&lt;&gt;"",OR(NOT(ISNUMBER(P1352)),N(P1352)&lt;0))),"Coût invalide",IF(AND(M1352&lt;&gt;"",ISNA(MATCH(M1352,tech_name,0))),"Technicien inconnu",IF(AND(I1352="Terminée",S1352&gt;p_today),"Terminée à une date future",IF(AND(I1352="Terminée",V1352=0),"Durée d'intervention manquante",IF(AND(I1352="Terminée",E1352="Préventif",T1352=0,OR(IFERROR(INDEX(pl_trig,MATCH(F1352,pl_num,0))&amp;"","")="Compteur",IFERROR(INDEX(pl_trig,MATCH(F1352,pl_num,0))&amp;"","")="Au premier des deux")),"Compteur manquant (plan au compteur)","OK"))))))))))))))))))</f>
        <v/>
      </c>
      <c r="S1352" s="67">
        <f>IF(AND(ISNUMBER(B1352),N(B1352)&gt;0),INT(B1352),0)</f>
        <v>0.0</v>
      </c>
      <c r="T1352" s="67">
        <f>IF(AND(ISNUMBER(J1352),N(J1352)&gt;=0),N(J1352),0)</f>
        <v>0.0</v>
      </c>
      <c r="U1352" s="67">
        <f>IF(AND(ISNUMBER(K1352),N(K1352)&gt;0),N(K1352),0)</f>
        <v>0.0</v>
      </c>
      <c r="V1352" s="67">
        <f>IF(AND(ISNUMBER(L1352),N(L1352)&gt;0),N(L1352),0)</f>
        <v>0.0</v>
      </c>
      <c r="W1352" s="67">
        <f>IF(AND(I1352="Terminée",S1352&gt;0,C1352&lt;&gt;"",ISNUMBER(MATCH(C1352,eq_code,0))),1,0)</f>
        <v>0.0</v>
      </c>
      <c r="X1352" s="67">
        <f>IF(AND(W1352=1,E1352="Préventif"),1,0)</f>
        <v>0.0</v>
      </c>
      <c r="Y1352" s="67">
        <f>IF(AND(ISNUMBER(N1352),N(N1352)&gt;0),N(N1352),0)</f>
        <v>0.0</v>
      </c>
      <c r="Z1352" s="67">
        <f>IF(AND(ISNUMBER(P1352),N(P1352)&gt;0),N(P1352),0)</f>
        <v>0.0</v>
      </c>
    </row>
    <row r="1353">
      <c r="A1353" s="79" t="str">
        <f>IF(COUNTA(B1353:C1353,E1353:G1353,I1353)=0,"","BI-"&amp;RIGHT("0000"&amp;(ROW()-5),4))</f>
        <v/>
      </c>
      <c r="B1353" s="72" t="n"/>
      <c r="C1353" s="66" t="n"/>
      <c r="D1353" s="67" t="str">
        <f>IF(C1353="","",IFERROR(INDEX(eq_des,MATCH(C1353,eq_code,0))&amp;"","Équipement inconnu"))</f>
        <v/>
      </c>
      <c r="E1353" s="68" t="n"/>
      <c r="F1353" s="68" t="n"/>
      <c r="G1353" s="66" t="n"/>
      <c r="H1353" s="66" t="n"/>
      <c r="I1353" s="68" t="n"/>
      <c r="J1353" s="73" t="n"/>
      <c r="K1353" s="71" t="n"/>
      <c r="L1353" s="71" t="n"/>
      <c r="M1353" s="66" t="n"/>
      <c r="N1353" s="80" t="n"/>
      <c r="O1353" s="81" t="str">
        <f>IF(A1353="","",ROUND(V1353*IFERROR(N(INDEX(tech_rate,MATCH(M1353,tech_name,0))),0),2))</f>
        <v/>
      </c>
      <c r="P1353" s="80" t="n"/>
      <c r="Q1353" s="81" t="str">
        <f>IF(A1353="","",ROUND(Y1353+O1353+Z1353,2))</f>
        <v/>
      </c>
      <c r="R1353" s="79" t="str">
        <f>IF(A1353="","",IF(S1353=0,"Date manquante ou invalide",IF(C1353="","Équipement manquant",IF(ISNA(MATCH(C1353,eq_code,0)),"Équipement inconnu",IF(E1353="","Type manquant",IF(AND(E1353&lt;&gt;"Préventif",E1353&lt;&gt;"Correctif",E1353&lt;&gt;"Amélioratif"),"Type inconnu",IF(I1353="","Statut manquant",IF(AND(I1353&lt;&gt;"Terminée",I1353&lt;&gt;"En cours",I1353&lt;&gt;"À faire",I1353&lt;&gt;"Annulée"),"Statut inconnu",IF(AND(E1353="Préventif",F1353=""),"Plan manquant (préventif)",IF(AND(F1353&lt;&gt;"",ISNA(MATCH(F1353,pl_num,0))),"Plan inconnu",IF(AND(F1353&lt;&gt;"",IFERROR(INDEX(pl_eq,MATCH(F1353,pl_num,0))&amp;"",C1353)&lt;&gt;C1353),"Plan d'un autre équipement",IF(AND(J1353&lt;&gt;"",OR(NOT(ISNUMBER(J1353)),N(J1353)&lt;0)),"Compteur invalide",IF(OR(AND(K1353&lt;&gt;"",OR(NOT(ISNUMBER(K1353)),N(K1353)&lt;0)),AND(L1353&lt;&gt;"",OR(NOT(ISNUMBER(L1353)),N(L1353)&lt;0))),"Durée invalide",IF(OR(AND(N1353&lt;&gt;"",OR(NOT(ISNUMBER(N1353)),N(N1353)&lt;0)),AND(P1353&lt;&gt;"",OR(NOT(ISNUMBER(P1353)),N(P1353)&lt;0))),"Coût invalide",IF(AND(M1353&lt;&gt;"",ISNA(MATCH(M1353,tech_name,0))),"Technicien inconnu",IF(AND(I1353="Terminée",S1353&gt;p_today),"Terminée à une date future",IF(AND(I1353="Terminée",V1353=0),"Durée d'intervention manquante",IF(AND(I1353="Terminée",E1353="Préventif",T1353=0,OR(IFERROR(INDEX(pl_trig,MATCH(F1353,pl_num,0))&amp;"","")="Compteur",IFERROR(INDEX(pl_trig,MATCH(F1353,pl_num,0))&amp;"","")="Au premier des deux")),"Compteur manquant (plan au compteur)","OK"))))))))))))))))))</f>
        <v/>
      </c>
      <c r="S1353" s="67">
        <f>IF(AND(ISNUMBER(B1353),N(B1353)&gt;0),INT(B1353),0)</f>
        <v>0.0</v>
      </c>
      <c r="T1353" s="67">
        <f>IF(AND(ISNUMBER(J1353),N(J1353)&gt;=0),N(J1353),0)</f>
        <v>0.0</v>
      </c>
      <c r="U1353" s="67">
        <f>IF(AND(ISNUMBER(K1353),N(K1353)&gt;0),N(K1353),0)</f>
        <v>0.0</v>
      </c>
      <c r="V1353" s="67">
        <f>IF(AND(ISNUMBER(L1353),N(L1353)&gt;0),N(L1353),0)</f>
        <v>0.0</v>
      </c>
      <c r="W1353" s="67">
        <f>IF(AND(I1353="Terminée",S1353&gt;0,C1353&lt;&gt;"",ISNUMBER(MATCH(C1353,eq_code,0))),1,0)</f>
        <v>0.0</v>
      </c>
      <c r="X1353" s="67">
        <f>IF(AND(W1353=1,E1353="Préventif"),1,0)</f>
        <v>0.0</v>
      </c>
      <c r="Y1353" s="67">
        <f>IF(AND(ISNUMBER(N1353),N(N1353)&gt;0),N(N1353),0)</f>
        <v>0.0</v>
      </c>
      <c r="Z1353" s="67">
        <f>IF(AND(ISNUMBER(P1353),N(P1353)&gt;0),N(P1353),0)</f>
        <v>0.0</v>
      </c>
    </row>
    <row r="1354">
      <c r="A1354" s="79" t="str">
        <f>IF(COUNTA(B1354:C1354,E1354:G1354,I1354)=0,"","BI-"&amp;RIGHT("0000"&amp;(ROW()-5),4))</f>
        <v/>
      </c>
      <c r="B1354" s="72" t="n"/>
      <c r="C1354" s="66" t="n"/>
      <c r="D1354" s="67" t="str">
        <f>IF(C1354="","",IFERROR(INDEX(eq_des,MATCH(C1354,eq_code,0))&amp;"","Équipement inconnu"))</f>
        <v/>
      </c>
      <c r="E1354" s="68" t="n"/>
      <c r="F1354" s="68" t="n"/>
      <c r="G1354" s="66" t="n"/>
      <c r="H1354" s="66" t="n"/>
      <c r="I1354" s="68" t="n"/>
      <c r="J1354" s="73" t="n"/>
      <c r="K1354" s="71" t="n"/>
      <c r="L1354" s="71" t="n"/>
      <c r="M1354" s="66" t="n"/>
      <c r="N1354" s="80" t="n"/>
      <c r="O1354" s="81" t="str">
        <f>IF(A1354="","",ROUND(V1354*IFERROR(N(INDEX(tech_rate,MATCH(M1354,tech_name,0))),0),2))</f>
        <v/>
      </c>
      <c r="P1354" s="80" t="n"/>
      <c r="Q1354" s="81" t="str">
        <f>IF(A1354="","",ROUND(Y1354+O1354+Z1354,2))</f>
        <v/>
      </c>
      <c r="R1354" s="79" t="str">
        <f>IF(A1354="","",IF(S1354=0,"Date manquante ou invalide",IF(C1354="","Équipement manquant",IF(ISNA(MATCH(C1354,eq_code,0)),"Équipement inconnu",IF(E1354="","Type manquant",IF(AND(E1354&lt;&gt;"Préventif",E1354&lt;&gt;"Correctif",E1354&lt;&gt;"Amélioratif"),"Type inconnu",IF(I1354="","Statut manquant",IF(AND(I1354&lt;&gt;"Terminée",I1354&lt;&gt;"En cours",I1354&lt;&gt;"À faire",I1354&lt;&gt;"Annulée"),"Statut inconnu",IF(AND(E1354="Préventif",F1354=""),"Plan manquant (préventif)",IF(AND(F1354&lt;&gt;"",ISNA(MATCH(F1354,pl_num,0))),"Plan inconnu",IF(AND(F1354&lt;&gt;"",IFERROR(INDEX(pl_eq,MATCH(F1354,pl_num,0))&amp;"",C1354)&lt;&gt;C1354),"Plan d'un autre équipement",IF(AND(J1354&lt;&gt;"",OR(NOT(ISNUMBER(J1354)),N(J1354)&lt;0)),"Compteur invalide",IF(OR(AND(K1354&lt;&gt;"",OR(NOT(ISNUMBER(K1354)),N(K1354)&lt;0)),AND(L1354&lt;&gt;"",OR(NOT(ISNUMBER(L1354)),N(L1354)&lt;0))),"Durée invalide",IF(OR(AND(N1354&lt;&gt;"",OR(NOT(ISNUMBER(N1354)),N(N1354)&lt;0)),AND(P1354&lt;&gt;"",OR(NOT(ISNUMBER(P1354)),N(P1354)&lt;0))),"Coût invalide",IF(AND(M1354&lt;&gt;"",ISNA(MATCH(M1354,tech_name,0))),"Technicien inconnu",IF(AND(I1354="Terminée",S1354&gt;p_today),"Terminée à une date future",IF(AND(I1354="Terminée",V1354=0),"Durée d'intervention manquante",IF(AND(I1354="Terminée",E1354="Préventif",T1354=0,OR(IFERROR(INDEX(pl_trig,MATCH(F1354,pl_num,0))&amp;"","")="Compteur",IFERROR(INDEX(pl_trig,MATCH(F1354,pl_num,0))&amp;"","")="Au premier des deux")),"Compteur manquant (plan au compteur)","OK"))))))))))))))))))</f>
        <v/>
      </c>
      <c r="S1354" s="67">
        <f>IF(AND(ISNUMBER(B1354),N(B1354)&gt;0),INT(B1354),0)</f>
        <v>0.0</v>
      </c>
      <c r="T1354" s="67">
        <f>IF(AND(ISNUMBER(J1354),N(J1354)&gt;=0),N(J1354),0)</f>
        <v>0.0</v>
      </c>
      <c r="U1354" s="67">
        <f>IF(AND(ISNUMBER(K1354),N(K1354)&gt;0),N(K1354),0)</f>
        <v>0.0</v>
      </c>
      <c r="V1354" s="67">
        <f>IF(AND(ISNUMBER(L1354),N(L1354)&gt;0),N(L1354),0)</f>
        <v>0.0</v>
      </c>
      <c r="W1354" s="67">
        <f>IF(AND(I1354="Terminée",S1354&gt;0,C1354&lt;&gt;"",ISNUMBER(MATCH(C1354,eq_code,0))),1,0)</f>
        <v>0.0</v>
      </c>
      <c r="X1354" s="67">
        <f>IF(AND(W1354=1,E1354="Préventif"),1,0)</f>
        <v>0.0</v>
      </c>
      <c r="Y1354" s="67">
        <f>IF(AND(ISNUMBER(N1354),N(N1354)&gt;0),N(N1354),0)</f>
        <v>0.0</v>
      </c>
      <c r="Z1354" s="67">
        <f>IF(AND(ISNUMBER(P1354),N(P1354)&gt;0),N(P1354),0)</f>
        <v>0.0</v>
      </c>
    </row>
    <row r="1355">
      <c r="A1355" s="79" t="str">
        <f>IF(COUNTA(B1355:C1355,E1355:G1355,I1355)=0,"","BI-"&amp;RIGHT("0000"&amp;(ROW()-5),4))</f>
        <v/>
      </c>
      <c r="B1355" s="72" t="n"/>
      <c r="C1355" s="66" t="n"/>
      <c r="D1355" s="67" t="str">
        <f>IF(C1355="","",IFERROR(INDEX(eq_des,MATCH(C1355,eq_code,0))&amp;"","Équipement inconnu"))</f>
        <v/>
      </c>
      <c r="E1355" s="68" t="n"/>
      <c r="F1355" s="68" t="n"/>
      <c r="G1355" s="66" t="n"/>
      <c r="H1355" s="66" t="n"/>
      <c r="I1355" s="68" t="n"/>
      <c r="J1355" s="73" t="n"/>
      <c r="K1355" s="71" t="n"/>
      <c r="L1355" s="71" t="n"/>
      <c r="M1355" s="66" t="n"/>
      <c r="N1355" s="80" t="n"/>
      <c r="O1355" s="81" t="str">
        <f>IF(A1355="","",ROUND(V1355*IFERROR(N(INDEX(tech_rate,MATCH(M1355,tech_name,0))),0),2))</f>
        <v/>
      </c>
      <c r="P1355" s="80" t="n"/>
      <c r="Q1355" s="81" t="str">
        <f>IF(A1355="","",ROUND(Y1355+O1355+Z1355,2))</f>
        <v/>
      </c>
      <c r="R1355" s="79" t="str">
        <f>IF(A1355="","",IF(S1355=0,"Date manquante ou invalide",IF(C1355="","Équipement manquant",IF(ISNA(MATCH(C1355,eq_code,0)),"Équipement inconnu",IF(E1355="","Type manquant",IF(AND(E1355&lt;&gt;"Préventif",E1355&lt;&gt;"Correctif",E1355&lt;&gt;"Amélioratif"),"Type inconnu",IF(I1355="","Statut manquant",IF(AND(I1355&lt;&gt;"Terminée",I1355&lt;&gt;"En cours",I1355&lt;&gt;"À faire",I1355&lt;&gt;"Annulée"),"Statut inconnu",IF(AND(E1355="Préventif",F1355=""),"Plan manquant (préventif)",IF(AND(F1355&lt;&gt;"",ISNA(MATCH(F1355,pl_num,0))),"Plan inconnu",IF(AND(F1355&lt;&gt;"",IFERROR(INDEX(pl_eq,MATCH(F1355,pl_num,0))&amp;"",C1355)&lt;&gt;C1355),"Plan d'un autre équipement",IF(AND(J1355&lt;&gt;"",OR(NOT(ISNUMBER(J1355)),N(J1355)&lt;0)),"Compteur invalide",IF(OR(AND(K1355&lt;&gt;"",OR(NOT(ISNUMBER(K1355)),N(K1355)&lt;0)),AND(L1355&lt;&gt;"",OR(NOT(ISNUMBER(L1355)),N(L1355)&lt;0))),"Durée invalide",IF(OR(AND(N1355&lt;&gt;"",OR(NOT(ISNUMBER(N1355)),N(N1355)&lt;0)),AND(P1355&lt;&gt;"",OR(NOT(ISNUMBER(P1355)),N(P1355)&lt;0))),"Coût invalide",IF(AND(M1355&lt;&gt;"",ISNA(MATCH(M1355,tech_name,0))),"Technicien inconnu",IF(AND(I1355="Terminée",S1355&gt;p_today),"Terminée à une date future",IF(AND(I1355="Terminée",V1355=0),"Durée d'intervention manquante",IF(AND(I1355="Terminée",E1355="Préventif",T1355=0,OR(IFERROR(INDEX(pl_trig,MATCH(F1355,pl_num,0))&amp;"","")="Compteur",IFERROR(INDEX(pl_trig,MATCH(F1355,pl_num,0))&amp;"","")="Au premier des deux")),"Compteur manquant (plan au compteur)","OK"))))))))))))))))))</f>
        <v/>
      </c>
      <c r="S1355" s="67">
        <f>IF(AND(ISNUMBER(B1355),N(B1355)&gt;0),INT(B1355),0)</f>
        <v>0.0</v>
      </c>
      <c r="T1355" s="67">
        <f>IF(AND(ISNUMBER(J1355),N(J1355)&gt;=0),N(J1355),0)</f>
        <v>0.0</v>
      </c>
      <c r="U1355" s="67">
        <f>IF(AND(ISNUMBER(K1355),N(K1355)&gt;0),N(K1355),0)</f>
        <v>0.0</v>
      </c>
      <c r="V1355" s="67">
        <f>IF(AND(ISNUMBER(L1355),N(L1355)&gt;0),N(L1355),0)</f>
        <v>0.0</v>
      </c>
      <c r="W1355" s="67">
        <f>IF(AND(I1355="Terminée",S1355&gt;0,C1355&lt;&gt;"",ISNUMBER(MATCH(C1355,eq_code,0))),1,0)</f>
        <v>0.0</v>
      </c>
      <c r="X1355" s="67">
        <f>IF(AND(W1355=1,E1355="Préventif"),1,0)</f>
        <v>0.0</v>
      </c>
      <c r="Y1355" s="67">
        <f>IF(AND(ISNUMBER(N1355),N(N1355)&gt;0),N(N1355),0)</f>
        <v>0.0</v>
      </c>
      <c r="Z1355" s="67">
        <f>IF(AND(ISNUMBER(P1355),N(P1355)&gt;0),N(P1355),0)</f>
        <v>0.0</v>
      </c>
    </row>
    <row r="1356">
      <c r="A1356" s="79" t="str">
        <f>IF(COUNTA(B1356:C1356,E1356:G1356,I1356)=0,"","BI-"&amp;RIGHT("0000"&amp;(ROW()-5),4))</f>
        <v/>
      </c>
      <c r="B1356" s="72" t="n"/>
      <c r="C1356" s="66" t="n"/>
      <c r="D1356" s="67" t="str">
        <f>IF(C1356="","",IFERROR(INDEX(eq_des,MATCH(C1356,eq_code,0))&amp;"","Équipement inconnu"))</f>
        <v/>
      </c>
      <c r="E1356" s="68" t="n"/>
      <c r="F1356" s="68" t="n"/>
      <c r="G1356" s="66" t="n"/>
      <c r="H1356" s="66" t="n"/>
      <c r="I1356" s="68" t="n"/>
      <c r="J1356" s="73" t="n"/>
      <c r="K1356" s="71" t="n"/>
      <c r="L1356" s="71" t="n"/>
      <c r="M1356" s="66" t="n"/>
      <c r="N1356" s="80" t="n"/>
      <c r="O1356" s="81" t="str">
        <f>IF(A1356="","",ROUND(V1356*IFERROR(N(INDEX(tech_rate,MATCH(M1356,tech_name,0))),0),2))</f>
        <v/>
      </c>
      <c r="P1356" s="80" t="n"/>
      <c r="Q1356" s="81" t="str">
        <f>IF(A1356="","",ROUND(Y1356+O1356+Z1356,2))</f>
        <v/>
      </c>
      <c r="R1356" s="79" t="str">
        <f>IF(A1356="","",IF(S1356=0,"Date manquante ou invalide",IF(C1356="","Équipement manquant",IF(ISNA(MATCH(C1356,eq_code,0)),"Équipement inconnu",IF(E1356="","Type manquant",IF(AND(E1356&lt;&gt;"Préventif",E1356&lt;&gt;"Correctif",E1356&lt;&gt;"Amélioratif"),"Type inconnu",IF(I1356="","Statut manquant",IF(AND(I1356&lt;&gt;"Terminée",I1356&lt;&gt;"En cours",I1356&lt;&gt;"À faire",I1356&lt;&gt;"Annulée"),"Statut inconnu",IF(AND(E1356="Préventif",F1356=""),"Plan manquant (préventif)",IF(AND(F1356&lt;&gt;"",ISNA(MATCH(F1356,pl_num,0))),"Plan inconnu",IF(AND(F1356&lt;&gt;"",IFERROR(INDEX(pl_eq,MATCH(F1356,pl_num,0))&amp;"",C1356)&lt;&gt;C1356),"Plan d'un autre équipement",IF(AND(J1356&lt;&gt;"",OR(NOT(ISNUMBER(J1356)),N(J1356)&lt;0)),"Compteur invalide",IF(OR(AND(K1356&lt;&gt;"",OR(NOT(ISNUMBER(K1356)),N(K1356)&lt;0)),AND(L1356&lt;&gt;"",OR(NOT(ISNUMBER(L1356)),N(L1356)&lt;0))),"Durée invalide",IF(OR(AND(N1356&lt;&gt;"",OR(NOT(ISNUMBER(N1356)),N(N1356)&lt;0)),AND(P1356&lt;&gt;"",OR(NOT(ISNUMBER(P1356)),N(P1356)&lt;0))),"Coût invalide",IF(AND(M1356&lt;&gt;"",ISNA(MATCH(M1356,tech_name,0))),"Technicien inconnu",IF(AND(I1356="Terminée",S1356&gt;p_today),"Terminée à une date future",IF(AND(I1356="Terminée",V1356=0),"Durée d'intervention manquante",IF(AND(I1356="Terminée",E1356="Préventif",T1356=0,OR(IFERROR(INDEX(pl_trig,MATCH(F1356,pl_num,0))&amp;"","")="Compteur",IFERROR(INDEX(pl_trig,MATCH(F1356,pl_num,0))&amp;"","")="Au premier des deux")),"Compteur manquant (plan au compteur)","OK"))))))))))))))))))</f>
        <v/>
      </c>
      <c r="S1356" s="67">
        <f>IF(AND(ISNUMBER(B1356),N(B1356)&gt;0),INT(B1356),0)</f>
        <v>0.0</v>
      </c>
      <c r="T1356" s="67">
        <f>IF(AND(ISNUMBER(J1356),N(J1356)&gt;=0),N(J1356),0)</f>
        <v>0.0</v>
      </c>
      <c r="U1356" s="67">
        <f>IF(AND(ISNUMBER(K1356),N(K1356)&gt;0),N(K1356),0)</f>
        <v>0.0</v>
      </c>
      <c r="V1356" s="67">
        <f>IF(AND(ISNUMBER(L1356),N(L1356)&gt;0),N(L1356),0)</f>
        <v>0.0</v>
      </c>
      <c r="W1356" s="67">
        <f>IF(AND(I1356="Terminée",S1356&gt;0,C1356&lt;&gt;"",ISNUMBER(MATCH(C1356,eq_code,0))),1,0)</f>
        <v>0.0</v>
      </c>
      <c r="X1356" s="67">
        <f>IF(AND(W1356=1,E1356="Préventif"),1,0)</f>
        <v>0.0</v>
      </c>
      <c r="Y1356" s="67">
        <f>IF(AND(ISNUMBER(N1356),N(N1356)&gt;0),N(N1356),0)</f>
        <v>0.0</v>
      </c>
      <c r="Z1356" s="67">
        <f>IF(AND(ISNUMBER(P1356),N(P1356)&gt;0),N(P1356),0)</f>
        <v>0.0</v>
      </c>
    </row>
    <row r="1357">
      <c r="A1357" s="79" t="str">
        <f>IF(COUNTA(B1357:C1357,E1357:G1357,I1357)=0,"","BI-"&amp;RIGHT("0000"&amp;(ROW()-5),4))</f>
        <v/>
      </c>
      <c r="B1357" s="72" t="n"/>
      <c r="C1357" s="66" t="n"/>
      <c r="D1357" s="67" t="str">
        <f>IF(C1357="","",IFERROR(INDEX(eq_des,MATCH(C1357,eq_code,0))&amp;"","Équipement inconnu"))</f>
        <v/>
      </c>
      <c r="E1357" s="68" t="n"/>
      <c r="F1357" s="68" t="n"/>
      <c r="G1357" s="66" t="n"/>
      <c r="H1357" s="66" t="n"/>
      <c r="I1357" s="68" t="n"/>
      <c r="J1357" s="73" t="n"/>
      <c r="K1357" s="71" t="n"/>
      <c r="L1357" s="71" t="n"/>
      <c r="M1357" s="66" t="n"/>
      <c r="N1357" s="80" t="n"/>
      <c r="O1357" s="81" t="str">
        <f>IF(A1357="","",ROUND(V1357*IFERROR(N(INDEX(tech_rate,MATCH(M1357,tech_name,0))),0),2))</f>
        <v/>
      </c>
      <c r="P1357" s="80" t="n"/>
      <c r="Q1357" s="81" t="str">
        <f>IF(A1357="","",ROUND(Y1357+O1357+Z1357,2))</f>
        <v/>
      </c>
      <c r="R1357" s="79" t="str">
        <f>IF(A1357="","",IF(S1357=0,"Date manquante ou invalide",IF(C1357="","Équipement manquant",IF(ISNA(MATCH(C1357,eq_code,0)),"Équipement inconnu",IF(E1357="","Type manquant",IF(AND(E1357&lt;&gt;"Préventif",E1357&lt;&gt;"Correctif",E1357&lt;&gt;"Amélioratif"),"Type inconnu",IF(I1357="","Statut manquant",IF(AND(I1357&lt;&gt;"Terminée",I1357&lt;&gt;"En cours",I1357&lt;&gt;"À faire",I1357&lt;&gt;"Annulée"),"Statut inconnu",IF(AND(E1357="Préventif",F1357=""),"Plan manquant (préventif)",IF(AND(F1357&lt;&gt;"",ISNA(MATCH(F1357,pl_num,0))),"Plan inconnu",IF(AND(F1357&lt;&gt;"",IFERROR(INDEX(pl_eq,MATCH(F1357,pl_num,0))&amp;"",C1357)&lt;&gt;C1357),"Plan d'un autre équipement",IF(AND(J1357&lt;&gt;"",OR(NOT(ISNUMBER(J1357)),N(J1357)&lt;0)),"Compteur invalide",IF(OR(AND(K1357&lt;&gt;"",OR(NOT(ISNUMBER(K1357)),N(K1357)&lt;0)),AND(L1357&lt;&gt;"",OR(NOT(ISNUMBER(L1357)),N(L1357)&lt;0))),"Durée invalide",IF(OR(AND(N1357&lt;&gt;"",OR(NOT(ISNUMBER(N1357)),N(N1357)&lt;0)),AND(P1357&lt;&gt;"",OR(NOT(ISNUMBER(P1357)),N(P1357)&lt;0))),"Coût invalide",IF(AND(M1357&lt;&gt;"",ISNA(MATCH(M1357,tech_name,0))),"Technicien inconnu",IF(AND(I1357="Terminée",S1357&gt;p_today),"Terminée à une date future",IF(AND(I1357="Terminée",V1357=0),"Durée d'intervention manquante",IF(AND(I1357="Terminée",E1357="Préventif",T1357=0,OR(IFERROR(INDEX(pl_trig,MATCH(F1357,pl_num,0))&amp;"","")="Compteur",IFERROR(INDEX(pl_trig,MATCH(F1357,pl_num,0))&amp;"","")="Au premier des deux")),"Compteur manquant (plan au compteur)","OK"))))))))))))))))))</f>
        <v/>
      </c>
      <c r="S1357" s="67">
        <f>IF(AND(ISNUMBER(B1357),N(B1357)&gt;0),INT(B1357),0)</f>
        <v>0.0</v>
      </c>
      <c r="T1357" s="67">
        <f>IF(AND(ISNUMBER(J1357),N(J1357)&gt;=0),N(J1357),0)</f>
        <v>0.0</v>
      </c>
      <c r="U1357" s="67">
        <f>IF(AND(ISNUMBER(K1357),N(K1357)&gt;0),N(K1357),0)</f>
        <v>0.0</v>
      </c>
      <c r="V1357" s="67">
        <f>IF(AND(ISNUMBER(L1357),N(L1357)&gt;0),N(L1357),0)</f>
        <v>0.0</v>
      </c>
      <c r="W1357" s="67">
        <f>IF(AND(I1357="Terminée",S1357&gt;0,C1357&lt;&gt;"",ISNUMBER(MATCH(C1357,eq_code,0))),1,0)</f>
        <v>0.0</v>
      </c>
      <c r="X1357" s="67">
        <f>IF(AND(W1357=1,E1357="Préventif"),1,0)</f>
        <v>0.0</v>
      </c>
      <c r="Y1357" s="67">
        <f>IF(AND(ISNUMBER(N1357),N(N1357)&gt;0),N(N1357),0)</f>
        <v>0.0</v>
      </c>
      <c r="Z1357" s="67">
        <f>IF(AND(ISNUMBER(P1357),N(P1357)&gt;0),N(P1357),0)</f>
        <v>0.0</v>
      </c>
    </row>
    <row r="1358">
      <c r="A1358" s="79" t="str">
        <f>IF(COUNTA(B1358:C1358,E1358:G1358,I1358)=0,"","BI-"&amp;RIGHT("0000"&amp;(ROW()-5),4))</f>
        <v/>
      </c>
      <c r="B1358" s="72" t="n"/>
      <c r="C1358" s="66" t="n"/>
      <c r="D1358" s="67" t="str">
        <f>IF(C1358="","",IFERROR(INDEX(eq_des,MATCH(C1358,eq_code,0))&amp;"","Équipement inconnu"))</f>
        <v/>
      </c>
      <c r="E1358" s="68" t="n"/>
      <c r="F1358" s="68" t="n"/>
      <c r="G1358" s="66" t="n"/>
      <c r="H1358" s="66" t="n"/>
      <c r="I1358" s="68" t="n"/>
      <c r="J1358" s="73" t="n"/>
      <c r="K1358" s="71" t="n"/>
      <c r="L1358" s="71" t="n"/>
      <c r="M1358" s="66" t="n"/>
      <c r="N1358" s="80" t="n"/>
      <c r="O1358" s="81" t="str">
        <f>IF(A1358="","",ROUND(V1358*IFERROR(N(INDEX(tech_rate,MATCH(M1358,tech_name,0))),0),2))</f>
        <v/>
      </c>
      <c r="P1358" s="80" t="n"/>
      <c r="Q1358" s="81" t="str">
        <f>IF(A1358="","",ROUND(Y1358+O1358+Z1358,2))</f>
        <v/>
      </c>
      <c r="R1358" s="79" t="str">
        <f>IF(A1358="","",IF(S1358=0,"Date manquante ou invalide",IF(C1358="","Équipement manquant",IF(ISNA(MATCH(C1358,eq_code,0)),"Équipement inconnu",IF(E1358="","Type manquant",IF(AND(E1358&lt;&gt;"Préventif",E1358&lt;&gt;"Correctif",E1358&lt;&gt;"Amélioratif"),"Type inconnu",IF(I1358="","Statut manquant",IF(AND(I1358&lt;&gt;"Terminée",I1358&lt;&gt;"En cours",I1358&lt;&gt;"À faire",I1358&lt;&gt;"Annulée"),"Statut inconnu",IF(AND(E1358="Préventif",F1358=""),"Plan manquant (préventif)",IF(AND(F1358&lt;&gt;"",ISNA(MATCH(F1358,pl_num,0))),"Plan inconnu",IF(AND(F1358&lt;&gt;"",IFERROR(INDEX(pl_eq,MATCH(F1358,pl_num,0))&amp;"",C1358)&lt;&gt;C1358),"Plan d'un autre équipement",IF(AND(J1358&lt;&gt;"",OR(NOT(ISNUMBER(J1358)),N(J1358)&lt;0)),"Compteur invalide",IF(OR(AND(K1358&lt;&gt;"",OR(NOT(ISNUMBER(K1358)),N(K1358)&lt;0)),AND(L1358&lt;&gt;"",OR(NOT(ISNUMBER(L1358)),N(L1358)&lt;0))),"Durée invalide",IF(OR(AND(N1358&lt;&gt;"",OR(NOT(ISNUMBER(N1358)),N(N1358)&lt;0)),AND(P1358&lt;&gt;"",OR(NOT(ISNUMBER(P1358)),N(P1358)&lt;0))),"Coût invalide",IF(AND(M1358&lt;&gt;"",ISNA(MATCH(M1358,tech_name,0))),"Technicien inconnu",IF(AND(I1358="Terminée",S1358&gt;p_today),"Terminée à une date future",IF(AND(I1358="Terminée",V1358=0),"Durée d'intervention manquante",IF(AND(I1358="Terminée",E1358="Préventif",T1358=0,OR(IFERROR(INDEX(pl_trig,MATCH(F1358,pl_num,0))&amp;"","")="Compteur",IFERROR(INDEX(pl_trig,MATCH(F1358,pl_num,0))&amp;"","")="Au premier des deux")),"Compteur manquant (plan au compteur)","OK"))))))))))))))))))</f>
        <v/>
      </c>
      <c r="S1358" s="67">
        <f>IF(AND(ISNUMBER(B1358),N(B1358)&gt;0),INT(B1358),0)</f>
        <v>0.0</v>
      </c>
      <c r="T1358" s="67">
        <f>IF(AND(ISNUMBER(J1358),N(J1358)&gt;=0),N(J1358),0)</f>
        <v>0.0</v>
      </c>
      <c r="U1358" s="67">
        <f>IF(AND(ISNUMBER(K1358),N(K1358)&gt;0),N(K1358),0)</f>
        <v>0.0</v>
      </c>
      <c r="V1358" s="67">
        <f>IF(AND(ISNUMBER(L1358),N(L1358)&gt;0),N(L1358),0)</f>
        <v>0.0</v>
      </c>
      <c r="W1358" s="67">
        <f>IF(AND(I1358="Terminée",S1358&gt;0,C1358&lt;&gt;"",ISNUMBER(MATCH(C1358,eq_code,0))),1,0)</f>
        <v>0.0</v>
      </c>
      <c r="X1358" s="67">
        <f>IF(AND(W1358=1,E1358="Préventif"),1,0)</f>
        <v>0.0</v>
      </c>
      <c r="Y1358" s="67">
        <f>IF(AND(ISNUMBER(N1358),N(N1358)&gt;0),N(N1358),0)</f>
        <v>0.0</v>
      </c>
      <c r="Z1358" s="67">
        <f>IF(AND(ISNUMBER(P1358),N(P1358)&gt;0),N(P1358),0)</f>
        <v>0.0</v>
      </c>
    </row>
    <row r="1359">
      <c r="A1359" s="79" t="str">
        <f>IF(COUNTA(B1359:C1359,E1359:G1359,I1359)=0,"","BI-"&amp;RIGHT("0000"&amp;(ROW()-5),4))</f>
        <v/>
      </c>
      <c r="B1359" s="72" t="n"/>
      <c r="C1359" s="66" t="n"/>
      <c r="D1359" s="67" t="str">
        <f>IF(C1359="","",IFERROR(INDEX(eq_des,MATCH(C1359,eq_code,0))&amp;"","Équipement inconnu"))</f>
        <v/>
      </c>
      <c r="E1359" s="68" t="n"/>
      <c r="F1359" s="68" t="n"/>
      <c r="G1359" s="66" t="n"/>
      <c r="H1359" s="66" t="n"/>
      <c r="I1359" s="68" t="n"/>
      <c r="J1359" s="73" t="n"/>
      <c r="K1359" s="71" t="n"/>
      <c r="L1359" s="71" t="n"/>
      <c r="M1359" s="66" t="n"/>
      <c r="N1359" s="80" t="n"/>
      <c r="O1359" s="81" t="str">
        <f>IF(A1359="","",ROUND(V1359*IFERROR(N(INDEX(tech_rate,MATCH(M1359,tech_name,0))),0),2))</f>
        <v/>
      </c>
      <c r="P1359" s="80" t="n"/>
      <c r="Q1359" s="81" t="str">
        <f>IF(A1359="","",ROUND(Y1359+O1359+Z1359,2))</f>
        <v/>
      </c>
      <c r="R1359" s="79" t="str">
        <f>IF(A1359="","",IF(S1359=0,"Date manquante ou invalide",IF(C1359="","Équipement manquant",IF(ISNA(MATCH(C1359,eq_code,0)),"Équipement inconnu",IF(E1359="","Type manquant",IF(AND(E1359&lt;&gt;"Préventif",E1359&lt;&gt;"Correctif",E1359&lt;&gt;"Amélioratif"),"Type inconnu",IF(I1359="","Statut manquant",IF(AND(I1359&lt;&gt;"Terminée",I1359&lt;&gt;"En cours",I1359&lt;&gt;"À faire",I1359&lt;&gt;"Annulée"),"Statut inconnu",IF(AND(E1359="Préventif",F1359=""),"Plan manquant (préventif)",IF(AND(F1359&lt;&gt;"",ISNA(MATCH(F1359,pl_num,0))),"Plan inconnu",IF(AND(F1359&lt;&gt;"",IFERROR(INDEX(pl_eq,MATCH(F1359,pl_num,0))&amp;"",C1359)&lt;&gt;C1359),"Plan d'un autre équipement",IF(AND(J1359&lt;&gt;"",OR(NOT(ISNUMBER(J1359)),N(J1359)&lt;0)),"Compteur invalide",IF(OR(AND(K1359&lt;&gt;"",OR(NOT(ISNUMBER(K1359)),N(K1359)&lt;0)),AND(L1359&lt;&gt;"",OR(NOT(ISNUMBER(L1359)),N(L1359)&lt;0))),"Durée invalide",IF(OR(AND(N1359&lt;&gt;"",OR(NOT(ISNUMBER(N1359)),N(N1359)&lt;0)),AND(P1359&lt;&gt;"",OR(NOT(ISNUMBER(P1359)),N(P1359)&lt;0))),"Coût invalide",IF(AND(M1359&lt;&gt;"",ISNA(MATCH(M1359,tech_name,0))),"Technicien inconnu",IF(AND(I1359="Terminée",S1359&gt;p_today),"Terminée à une date future",IF(AND(I1359="Terminée",V1359=0),"Durée d'intervention manquante",IF(AND(I1359="Terminée",E1359="Préventif",T1359=0,OR(IFERROR(INDEX(pl_trig,MATCH(F1359,pl_num,0))&amp;"","")="Compteur",IFERROR(INDEX(pl_trig,MATCH(F1359,pl_num,0))&amp;"","")="Au premier des deux")),"Compteur manquant (plan au compteur)","OK"))))))))))))))))))</f>
        <v/>
      </c>
      <c r="S1359" s="67">
        <f>IF(AND(ISNUMBER(B1359),N(B1359)&gt;0),INT(B1359),0)</f>
        <v>0.0</v>
      </c>
      <c r="T1359" s="67">
        <f>IF(AND(ISNUMBER(J1359),N(J1359)&gt;=0),N(J1359),0)</f>
        <v>0.0</v>
      </c>
      <c r="U1359" s="67">
        <f>IF(AND(ISNUMBER(K1359),N(K1359)&gt;0),N(K1359),0)</f>
        <v>0.0</v>
      </c>
      <c r="V1359" s="67">
        <f>IF(AND(ISNUMBER(L1359),N(L1359)&gt;0),N(L1359),0)</f>
        <v>0.0</v>
      </c>
      <c r="W1359" s="67">
        <f>IF(AND(I1359="Terminée",S1359&gt;0,C1359&lt;&gt;"",ISNUMBER(MATCH(C1359,eq_code,0))),1,0)</f>
        <v>0.0</v>
      </c>
      <c r="X1359" s="67">
        <f>IF(AND(W1359=1,E1359="Préventif"),1,0)</f>
        <v>0.0</v>
      </c>
      <c r="Y1359" s="67">
        <f>IF(AND(ISNUMBER(N1359),N(N1359)&gt;0),N(N1359),0)</f>
        <v>0.0</v>
      </c>
      <c r="Z1359" s="67">
        <f>IF(AND(ISNUMBER(P1359),N(P1359)&gt;0),N(P1359),0)</f>
        <v>0.0</v>
      </c>
    </row>
    <row r="1360">
      <c r="A1360" s="79" t="str">
        <f>IF(COUNTA(B1360:C1360,E1360:G1360,I1360)=0,"","BI-"&amp;RIGHT("0000"&amp;(ROW()-5),4))</f>
        <v/>
      </c>
      <c r="B1360" s="72" t="n"/>
      <c r="C1360" s="66" t="n"/>
      <c r="D1360" s="67" t="str">
        <f>IF(C1360="","",IFERROR(INDEX(eq_des,MATCH(C1360,eq_code,0))&amp;"","Équipement inconnu"))</f>
        <v/>
      </c>
      <c r="E1360" s="68" t="n"/>
      <c r="F1360" s="68" t="n"/>
      <c r="G1360" s="66" t="n"/>
      <c r="H1360" s="66" t="n"/>
      <c r="I1360" s="68" t="n"/>
      <c r="J1360" s="73" t="n"/>
      <c r="K1360" s="71" t="n"/>
      <c r="L1360" s="71" t="n"/>
      <c r="M1360" s="66" t="n"/>
      <c r="N1360" s="80" t="n"/>
      <c r="O1360" s="81" t="str">
        <f>IF(A1360="","",ROUND(V1360*IFERROR(N(INDEX(tech_rate,MATCH(M1360,tech_name,0))),0),2))</f>
        <v/>
      </c>
      <c r="P1360" s="80" t="n"/>
      <c r="Q1360" s="81" t="str">
        <f>IF(A1360="","",ROUND(Y1360+O1360+Z1360,2))</f>
        <v/>
      </c>
      <c r="R1360" s="79" t="str">
        <f>IF(A1360="","",IF(S1360=0,"Date manquante ou invalide",IF(C1360="","Équipement manquant",IF(ISNA(MATCH(C1360,eq_code,0)),"Équipement inconnu",IF(E1360="","Type manquant",IF(AND(E1360&lt;&gt;"Préventif",E1360&lt;&gt;"Correctif",E1360&lt;&gt;"Amélioratif"),"Type inconnu",IF(I1360="","Statut manquant",IF(AND(I1360&lt;&gt;"Terminée",I1360&lt;&gt;"En cours",I1360&lt;&gt;"À faire",I1360&lt;&gt;"Annulée"),"Statut inconnu",IF(AND(E1360="Préventif",F1360=""),"Plan manquant (préventif)",IF(AND(F1360&lt;&gt;"",ISNA(MATCH(F1360,pl_num,0))),"Plan inconnu",IF(AND(F1360&lt;&gt;"",IFERROR(INDEX(pl_eq,MATCH(F1360,pl_num,0))&amp;"",C1360)&lt;&gt;C1360),"Plan d'un autre équipement",IF(AND(J1360&lt;&gt;"",OR(NOT(ISNUMBER(J1360)),N(J1360)&lt;0)),"Compteur invalide",IF(OR(AND(K1360&lt;&gt;"",OR(NOT(ISNUMBER(K1360)),N(K1360)&lt;0)),AND(L1360&lt;&gt;"",OR(NOT(ISNUMBER(L1360)),N(L1360)&lt;0))),"Durée invalide",IF(OR(AND(N1360&lt;&gt;"",OR(NOT(ISNUMBER(N1360)),N(N1360)&lt;0)),AND(P1360&lt;&gt;"",OR(NOT(ISNUMBER(P1360)),N(P1360)&lt;0))),"Coût invalide",IF(AND(M1360&lt;&gt;"",ISNA(MATCH(M1360,tech_name,0))),"Technicien inconnu",IF(AND(I1360="Terminée",S1360&gt;p_today),"Terminée à une date future",IF(AND(I1360="Terminée",V1360=0),"Durée d'intervention manquante",IF(AND(I1360="Terminée",E1360="Préventif",T1360=0,OR(IFERROR(INDEX(pl_trig,MATCH(F1360,pl_num,0))&amp;"","")="Compteur",IFERROR(INDEX(pl_trig,MATCH(F1360,pl_num,0))&amp;"","")="Au premier des deux")),"Compteur manquant (plan au compteur)","OK"))))))))))))))))))</f>
        <v/>
      </c>
      <c r="S1360" s="67">
        <f>IF(AND(ISNUMBER(B1360),N(B1360)&gt;0),INT(B1360),0)</f>
        <v>0.0</v>
      </c>
      <c r="T1360" s="67">
        <f>IF(AND(ISNUMBER(J1360),N(J1360)&gt;=0),N(J1360),0)</f>
        <v>0.0</v>
      </c>
      <c r="U1360" s="67">
        <f>IF(AND(ISNUMBER(K1360),N(K1360)&gt;0),N(K1360),0)</f>
        <v>0.0</v>
      </c>
      <c r="V1360" s="67">
        <f>IF(AND(ISNUMBER(L1360),N(L1360)&gt;0),N(L1360),0)</f>
        <v>0.0</v>
      </c>
      <c r="W1360" s="67">
        <f>IF(AND(I1360="Terminée",S1360&gt;0,C1360&lt;&gt;"",ISNUMBER(MATCH(C1360,eq_code,0))),1,0)</f>
        <v>0.0</v>
      </c>
      <c r="X1360" s="67">
        <f>IF(AND(W1360=1,E1360="Préventif"),1,0)</f>
        <v>0.0</v>
      </c>
      <c r="Y1360" s="67">
        <f>IF(AND(ISNUMBER(N1360),N(N1360)&gt;0),N(N1360),0)</f>
        <v>0.0</v>
      </c>
      <c r="Z1360" s="67">
        <f>IF(AND(ISNUMBER(P1360),N(P1360)&gt;0),N(P1360),0)</f>
        <v>0.0</v>
      </c>
    </row>
    <row r="1361">
      <c r="A1361" s="79" t="str">
        <f>IF(COUNTA(B1361:C1361,E1361:G1361,I1361)=0,"","BI-"&amp;RIGHT("0000"&amp;(ROW()-5),4))</f>
        <v/>
      </c>
      <c r="B1361" s="72" t="n"/>
      <c r="C1361" s="66" t="n"/>
      <c r="D1361" s="67" t="str">
        <f>IF(C1361="","",IFERROR(INDEX(eq_des,MATCH(C1361,eq_code,0))&amp;"","Équipement inconnu"))</f>
        <v/>
      </c>
      <c r="E1361" s="68" t="n"/>
      <c r="F1361" s="68" t="n"/>
      <c r="G1361" s="66" t="n"/>
      <c r="H1361" s="66" t="n"/>
      <c r="I1361" s="68" t="n"/>
      <c r="J1361" s="73" t="n"/>
      <c r="K1361" s="71" t="n"/>
      <c r="L1361" s="71" t="n"/>
      <c r="M1361" s="66" t="n"/>
      <c r="N1361" s="80" t="n"/>
      <c r="O1361" s="81" t="str">
        <f>IF(A1361="","",ROUND(V1361*IFERROR(N(INDEX(tech_rate,MATCH(M1361,tech_name,0))),0),2))</f>
        <v/>
      </c>
      <c r="P1361" s="80" t="n"/>
      <c r="Q1361" s="81" t="str">
        <f>IF(A1361="","",ROUND(Y1361+O1361+Z1361,2))</f>
        <v/>
      </c>
      <c r="R1361" s="79" t="str">
        <f>IF(A1361="","",IF(S1361=0,"Date manquante ou invalide",IF(C1361="","Équipement manquant",IF(ISNA(MATCH(C1361,eq_code,0)),"Équipement inconnu",IF(E1361="","Type manquant",IF(AND(E1361&lt;&gt;"Préventif",E1361&lt;&gt;"Correctif",E1361&lt;&gt;"Amélioratif"),"Type inconnu",IF(I1361="","Statut manquant",IF(AND(I1361&lt;&gt;"Terminée",I1361&lt;&gt;"En cours",I1361&lt;&gt;"À faire",I1361&lt;&gt;"Annulée"),"Statut inconnu",IF(AND(E1361="Préventif",F1361=""),"Plan manquant (préventif)",IF(AND(F1361&lt;&gt;"",ISNA(MATCH(F1361,pl_num,0))),"Plan inconnu",IF(AND(F1361&lt;&gt;"",IFERROR(INDEX(pl_eq,MATCH(F1361,pl_num,0))&amp;"",C1361)&lt;&gt;C1361),"Plan d'un autre équipement",IF(AND(J1361&lt;&gt;"",OR(NOT(ISNUMBER(J1361)),N(J1361)&lt;0)),"Compteur invalide",IF(OR(AND(K1361&lt;&gt;"",OR(NOT(ISNUMBER(K1361)),N(K1361)&lt;0)),AND(L1361&lt;&gt;"",OR(NOT(ISNUMBER(L1361)),N(L1361)&lt;0))),"Durée invalide",IF(OR(AND(N1361&lt;&gt;"",OR(NOT(ISNUMBER(N1361)),N(N1361)&lt;0)),AND(P1361&lt;&gt;"",OR(NOT(ISNUMBER(P1361)),N(P1361)&lt;0))),"Coût invalide",IF(AND(M1361&lt;&gt;"",ISNA(MATCH(M1361,tech_name,0))),"Technicien inconnu",IF(AND(I1361="Terminée",S1361&gt;p_today),"Terminée à une date future",IF(AND(I1361="Terminée",V1361=0),"Durée d'intervention manquante",IF(AND(I1361="Terminée",E1361="Préventif",T1361=0,OR(IFERROR(INDEX(pl_trig,MATCH(F1361,pl_num,0))&amp;"","")="Compteur",IFERROR(INDEX(pl_trig,MATCH(F1361,pl_num,0))&amp;"","")="Au premier des deux")),"Compteur manquant (plan au compteur)","OK"))))))))))))))))))</f>
        <v/>
      </c>
      <c r="S1361" s="67">
        <f>IF(AND(ISNUMBER(B1361),N(B1361)&gt;0),INT(B1361),0)</f>
        <v>0.0</v>
      </c>
      <c r="T1361" s="67">
        <f>IF(AND(ISNUMBER(J1361),N(J1361)&gt;=0),N(J1361),0)</f>
        <v>0.0</v>
      </c>
      <c r="U1361" s="67">
        <f>IF(AND(ISNUMBER(K1361),N(K1361)&gt;0),N(K1361),0)</f>
        <v>0.0</v>
      </c>
      <c r="V1361" s="67">
        <f>IF(AND(ISNUMBER(L1361),N(L1361)&gt;0),N(L1361),0)</f>
        <v>0.0</v>
      </c>
      <c r="W1361" s="67">
        <f>IF(AND(I1361="Terminée",S1361&gt;0,C1361&lt;&gt;"",ISNUMBER(MATCH(C1361,eq_code,0))),1,0)</f>
        <v>0.0</v>
      </c>
      <c r="X1361" s="67">
        <f>IF(AND(W1361=1,E1361="Préventif"),1,0)</f>
        <v>0.0</v>
      </c>
      <c r="Y1361" s="67">
        <f>IF(AND(ISNUMBER(N1361),N(N1361)&gt;0),N(N1361),0)</f>
        <v>0.0</v>
      </c>
      <c r="Z1361" s="67">
        <f>IF(AND(ISNUMBER(P1361),N(P1361)&gt;0),N(P1361),0)</f>
        <v>0.0</v>
      </c>
    </row>
    <row r="1362">
      <c r="A1362" s="79" t="str">
        <f>IF(COUNTA(B1362:C1362,E1362:G1362,I1362)=0,"","BI-"&amp;RIGHT("0000"&amp;(ROW()-5),4))</f>
        <v/>
      </c>
      <c r="B1362" s="72" t="n"/>
      <c r="C1362" s="66" t="n"/>
      <c r="D1362" s="67" t="str">
        <f>IF(C1362="","",IFERROR(INDEX(eq_des,MATCH(C1362,eq_code,0))&amp;"","Équipement inconnu"))</f>
        <v/>
      </c>
      <c r="E1362" s="68" t="n"/>
      <c r="F1362" s="68" t="n"/>
      <c r="G1362" s="66" t="n"/>
      <c r="H1362" s="66" t="n"/>
      <c r="I1362" s="68" t="n"/>
      <c r="J1362" s="73" t="n"/>
      <c r="K1362" s="71" t="n"/>
      <c r="L1362" s="71" t="n"/>
      <c r="M1362" s="66" t="n"/>
      <c r="N1362" s="80" t="n"/>
      <c r="O1362" s="81" t="str">
        <f>IF(A1362="","",ROUND(V1362*IFERROR(N(INDEX(tech_rate,MATCH(M1362,tech_name,0))),0),2))</f>
        <v/>
      </c>
      <c r="P1362" s="80" t="n"/>
      <c r="Q1362" s="81" t="str">
        <f>IF(A1362="","",ROUND(Y1362+O1362+Z1362,2))</f>
        <v/>
      </c>
      <c r="R1362" s="79" t="str">
        <f>IF(A1362="","",IF(S1362=0,"Date manquante ou invalide",IF(C1362="","Équipement manquant",IF(ISNA(MATCH(C1362,eq_code,0)),"Équipement inconnu",IF(E1362="","Type manquant",IF(AND(E1362&lt;&gt;"Préventif",E1362&lt;&gt;"Correctif",E1362&lt;&gt;"Amélioratif"),"Type inconnu",IF(I1362="","Statut manquant",IF(AND(I1362&lt;&gt;"Terminée",I1362&lt;&gt;"En cours",I1362&lt;&gt;"À faire",I1362&lt;&gt;"Annulée"),"Statut inconnu",IF(AND(E1362="Préventif",F1362=""),"Plan manquant (préventif)",IF(AND(F1362&lt;&gt;"",ISNA(MATCH(F1362,pl_num,0))),"Plan inconnu",IF(AND(F1362&lt;&gt;"",IFERROR(INDEX(pl_eq,MATCH(F1362,pl_num,0))&amp;"",C1362)&lt;&gt;C1362),"Plan d'un autre équipement",IF(AND(J1362&lt;&gt;"",OR(NOT(ISNUMBER(J1362)),N(J1362)&lt;0)),"Compteur invalide",IF(OR(AND(K1362&lt;&gt;"",OR(NOT(ISNUMBER(K1362)),N(K1362)&lt;0)),AND(L1362&lt;&gt;"",OR(NOT(ISNUMBER(L1362)),N(L1362)&lt;0))),"Durée invalide",IF(OR(AND(N1362&lt;&gt;"",OR(NOT(ISNUMBER(N1362)),N(N1362)&lt;0)),AND(P1362&lt;&gt;"",OR(NOT(ISNUMBER(P1362)),N(P1362)&lt;0))),"Coût invalide",IF(AND(M1362&lt;&gt;"",ISNA(MATCH(M1362,tech_name,0))),"Technicien inconnu",IF(AND(I1362="Terminée",S1362&gt;p_today),"Terminée à une date future",IF(AND(I1362="Terminée",V1362=0),"Durée d'intervention manquante",IF(AND(I1362="Terminée",E1362="Préventif",T1362=0,OR(IFERROR(INDEX(pl_trig,MATCH(F1362,pl_num,0))&amp;"","")="Compteur",IFERROR(INDEX(pl_trig,MATCH(F1362,pl_num,0))&amp;"","")="Au premier des deux")),"Compteur manquant (plan au compteur)","OK"))))))))))))))))))</f>
        <v/>
      </c>
      <c r="S1362" s="67">
        <f>IF(AND(ISNUMBER(B1362),N(B1362)&gt;0),INT(B1362),0)</f>
        <v>0.0</v>
      </c>
      <c r="T1362" s="67">
        <f>IF(AND(ISNUMBER(J1362),N(J1362)&gt;=0),N(J1362),0)</f>
        <v>0.0</v>
      </c>
      <c r="U1362" s="67">
        <f>IF(AND(ISNUMBER(K1362),N(K1362)&gt;0),N(K1362),0)</f>
        <v>0.0</v>
      </c>
      <c r="V1362" s="67">
        <f>IF(AND(ISNUMBER(L1362),N(L1362)&gt;0),N(L1362),0)</f>
        <v>0.0</v>
      </c>
      <c r="W1362" s="67">
        <f>IF(AND(I1362="Terminée",S1362&gt;0,C1362&lt;&gt;"",ISNUMBER(MATCH(C1362,eq_code,0))),1,0)</f>
        <v>0.0</v>
      </c>
      <c r="X1362" s="67">
        <f>IF(AND(W1362=1,E1362="Préventif"),1,0)</f>
        <v>0.0</v>
      </c>
      <c r="Y1362" s="67">
        <f>IF(AND(ISNUMBER(N1362),N(N1362)&gt;0),N(N1362),0)</f>
        <v>0.0</v>
      </c>
      <c r="Z1362" s="67">
        <f>IF(AND(ISNUMBER(P1362),N(P1362)&gt;0),N(P1362),0)</f>
        <v>0.0</v>
      </c>
    </row>
    <row r="1363">
      <c r="A1363" s="79" t="str">
        <f>IF(COUNTA(B1363:C1363,E1363:G1363,I1363)=0,"","BI-"&amp;RIGHT("0000"&amp;(ROW()-5),4))</f>
        <v/>
      </c>
      <c r="B1363" s="72" t="n"/>
      <c r="C1363" s="66" t="n"/>
      <c r="D1363" s="67" t="str">
        <f>IF(C1363="","",IFERROR(INDEX(eq_des,MATCH(C1363,eq_code,0))&amp;"","Équipement inconnu"))</f>
        <v/>
      </c>
      <c r="E1363" s="68" t="n"/>
      <c r="F1363" s="68" t="n"/>
      <c r="G1363" s="66" t="n"/>
      <c r="H1363" s="66" t="n"/>
      <c r="I1363" s="68" t="n"/>
      <c r="J1363" s="73" t="n"/>
      <c r="K1363" s="71" t="n"/>
      <c r="L1363" s="71" t="n"/>
      <c r="M1363" s="66" t="n"/>
      <c r="N1363" s="80" t="n"/>
      <c r="O1363" s="81" t="str">
        <f>IF(A1363="","",ROUND(V1363*IFERROR(N(INDEX(tech_rate,MATCH(M1363,tech_name,0))),0),2))</f>
        <v/>
      </c>
      <c r="P1363" s="80" t="n"/>
      <c r="Q1363" s="81" t="str">
        <f>IF(A1363="","",ROUND(Y1363+O1363+Z1363,2))</f>
        <v/>
      </c>
      <c r="R1363" s="79" t="str">
        <f>IF(A1363="","",IF(S1363=0,"Date manquante ou invalide",IF(C1363="","Équipement manquant",IF(ISNA(MATCH(C1363,eq_code,0)),"Équipement inconnu",IF(E1363="","Type manquant",IF(AND(E1363&lt;&gt;"Préventif",E1363&lt;&gt;"Correctif",E1363&lt;&gt;"Amélioratif"),"Type inconnu",IF(I1363="","Statut manquant",IF(AND(I1363&lt;&gt;"Terminée",I1363&lt;&gt;"En cours",I1363&lt;&gt;"À faire",I1363&lt;&gt;"Annulée"),"Statut inconnu",IF(AND(E1363="Préventif",F1363=""),"Plan manquant (préventif)",IF(AND(F1363&lt;&gt;"",ISNA(MATCH(F1363,pl_num,0))),"Plan inconnu",IF(AND(F1363&lt;&gt;"",IFERROR(INDEX(pl_eq,MATCH(F1363,pl_num,0))&amp;"",C1363)&lt;&gt;C1363),"Plan d'un autre équipement",IF(AND(J1363&lt;&gt;"",OR(NOT(ISNUMBER(J1363)),N(J1363)&lt;0)),"Compteur invalide",IF(OR(AND(K1363&lt;&gt;"",OR(NOT(ISNUMBER(K1363)),N(K1363)&lt;0)),AND(L1363&lt;&gt;"",OR(NOT(ISNUMBER(L1363)),N(L1363)&lt;0))),"Durée invalide",IF(OR(AND(N1363&lt;&gt;"",OR(NOT(ISNUMBER(N1363)),N(N1363)&lt;0)),AND(P1363&lt;&gt;"",OR(NOT(ISNUMBER(P1363)),N(P1363)&lt;0))),"Coût invalide",IF(AND(M1363&lt;&gt;"",ISNA(MATCH(M1363,tech_name,0))),"Technicien inconnu",IF(AND(I1363="Terminée",S1363&gt;p_today),"Terminée à une date future",IF(AND(I1363="Terminée",V1363=0),"Durée d'intervention manquante",IF(AND(I1363="Terminée",E1363="Préventif",T1363=0,OR(IFERROR(INDEX(pl_trig,MATCH(F1363,pl_num,0))&amp;"","")="Compteur",IFERROR(INDEX(pl_trig,MATCH(F1363,pl_num,0))&amp;"","")="Au premier des deux")),"Compteur manquant (plan au compteur)","OK"))))))))))))))))))</f>
        <v/>
      </c>
      <c r="S1363" s="67">
        <f>IF(AND(ISNUMBER(B1363),N(B1363)&gt;0),INT(B1363),0)</f>
        <v>0.0</v>
      </c>
      <c r="T1363" s="67">
        <f>IF(AND(ISNUMBER(J1363),N(J1363)&gt;=0),N(J1363),0)</f>
        <v>0.0</v>
      </c>
      <c r="U1363" s="67">
        <f>IF(AND(ISNUMBER(K1363),N(K1363)&gt;0),N(K1363),0)</f>
        <v>0.0</v>
      </c>
      <c r="V1363" s="67">
        <f>IF(AND(ISNUMBER(L1363),N(L1363)&gt;0),N(L1363),0)</f>
        <v>0.0</v>
      </c>
      <c r="W1363" s="67">
        <f>IF(AND(I1363="Terminée",S1363&gt;0,C1363&lt;&gt;"",ISNUMBER(MATCH(C1363,eq_code,0))),1,0)</f>
        <v>0.0</v>
      </c>
      <c r="X1363" s="67">
        <f>IF(AND(W1363=1,E1363="Préventif"),1,0)</f>
        <v>0.0</v>
      </c>
      <c r="Y1363" s="67">
        <f>IF(AND(ISNUMBER(N1363),N(N1363)&gt;0),N(N1363),0)</f>
        <v>0.0</v>
      </c>
      <c r="Z1363" s="67">
        <f>IF(AND(ISNUMBER(P1363),N(P1363)&gt;0),N(P1363),0)</f>
        <v>0.0</v>
      </c>
    </row>
    <row r="1364">
      <c r="A1364" s="79" t="str">
        <f>IF(COUNTA(B1364:C1364,E1364:G1364,I1364)=0,"","BI-"&amp;RIGHT("0000"&amp;(ROW()-5),4))</f>
        <v/>
      </c>
      <c r="B1364" s="72" t="n"/>
      <c r="C1364" s="66" t="n"/>
      <c r="D1364" s="67" t="str">
        <f>IF(C1364="","",IFERROR(INDEX(eq_des,MATCH(C1364,eq_code,0))&amp;"","Équipement inconnu"))</f>
        <v/>
      </c>
      <c r="E1364" s="68" t="n"/>
      <c r="F1364" s="68" t="n"/>
      <c r="G1364" s="66" t="n"/>
      <c r="H1364" s="66" t="n"/>
      <c r="I1364" s="68" t="n"/>
      <c r="J1364" s="73" t="n"/>
      <c r="K1364" s="71" t="n"/>
      <c r="L1364" s="71" t="n"/>
      <c r="M1364" s="66" t="n"/>
      <c r="N1364" s="80" t="n"/>
      <c r="O1364" s="81" t="str">
        <f>IF(A1364="","",ROUND(V1364*IFERROR(N(INDEX(tech_rate,MATCH(M1364,tech_name,0))),0),2))</f>
        <v/>
      </c>
      <c r="P1364" s="80" t="n"/>
      <c r="Q1364" s="81" t="str">
        <f>IF(A1364="","",ROUND(Y1364+O1364+Z1364,2))</f>
        <v/>
      </c>
      <c r="R1364" s="79" t="str">
        <f>IF(A1364="","",IF(S1364=0,"Date manquante ou invalide",IF(C1364="","Équipement manquant",IF(ISNA(MATCH(C1364,eq_code,0)),"Équipement inconnu",IF(E1364="","Type manquant",IF(AND(E1364&lt;&gt;"Préventif",E1364&lt;&gt;"Correctif",E1364&lt;&gt;"Amélioratif"),"Type inconnu",IF(I1364="","Statut manquant",IF(AND(I1364&lt;&gt;"Terminée",I1364&lt;&gt;"En cours",I1364&lt;&gt;"À faire",I1364&lt;&gt;"Annulée"),"Statut inconnu",IF(AND(E1364="Préventif",F1364=""),"Plan manquant (préventif)",IF(AND(F1364&lt;&gt;"",ISNA(MATCH(F1364,pl_num,0))),"Plan inconnu",IF(AND(F1364&lt;&gt;"",IFERROR(INDEX(pl_eq,MATCH(F1364,pl_num,0))&amp;"",C1364)&lt;&gt;C1364),"Plan d'un autre équipement",IF(AND(J1364&lt;&gt;"",OR(NOT(ISNUMBER(J1364)),N(J1364)&lt;0)),"Compteur invalide",IF(OR(AND(K1364&lt;&gt;"",OR(NOT(ISNUMBER(K1364)),N(K1364)&lt;0)),AND(L1364&lt;&gt;"",OR(NOT(ISNUMBER(L1364)),N(L1364)&lt;0))),"Durée invalide",IF(OR(AND(N1364&lt;&gt;"",OR(NOT(ISNUMBER(N1364)),N(N1364)&lt;0)),AND(P1364&lt;&gt;"",OR(NOT(ISNUMBER(P1364)),N(P1364)&lt;0))),"Coût invalide",IF(AND(M1364&lt;&gt;"",ISNA(MATCH(M1364,tech_name,0))),"Technicien inconnu",IF(AND(I1364="Terminée",S1364&gt;p_today),"Terminée à une date future",IF(AND(I1364="Terminée",V1364=0),"Durée d'intervention manquante",IF(AND(I1364="Terminée",E1364="Préventif",T1364=0,OR(IFERROR(INDEX(pl_trig,MATCH(F1364,pl_num,0))&amp;"","")="Compteur",IFERROR(INDEX(pl_trig,MATCH(F1364,pl_num,0))&amp;"","")="Au premier des deux")),"Compteur manquant (plan au compteur)","OK"))))))))))))))))))</f>
        <v/>
      </c>
      <c r="S1364" s="67">
        <f>IF(AND(ISNUMBER(B1364),N(B1364)&gt;0),INT(B1364),0)</f>
        <v>0.0</v>
      </c>
      <c r="T1364" s="67">
        <f>IF(AND(ISNUMBER(J1364),N(J1364)&gt;=0),N(J1364),0)</f>
        <v>0.0</v>
      </c>
      <c r="U1364" s="67">
        <f>IF(AND(ISNUMBER(K1364),N(K1364)&gt;0),N(K1364),0)</f>
        <v>0.0</v>
      </c>
      <c r="V1364" s="67">
        <f>IF(AND(ISNUMBER(L1364),N(L1364)&gt;0),N(L1364),0)</f>
        <v>0.0</v>
      </c>
      <c r="W1364" s="67">
        <f>IF(AND(I1364="Terminée",S1364&gt;0,C1364&lt;&gt;"",ISNUMBER(MATCH(C1364,eq_code,0))),1,0)</f>
        <v>0.0</v>
      </c>
      <c r="X1364" s="67">
        <f>IF(AND(W1364=1,E1364="Préventif"),1,0)</f>
        <v>0.0</v>
      </c>
      <c r="Y1364" s="67">
        <f>IF(AND(ISNUMBER(N1364),N(N1364)&gt;0),N(N1364),0)</f>
        <v>0.0</v>
      </c>
      <c r="Z1364" s="67">
        <f>IF(AND(ISNUMBER(P1364),N(P1364)&gt;0),N(P1364),0)</f>
        <v>0.0</v>
      </c>
    </row>
    <row r="1365">
      <c r="A1365" s="79" t="str">
        <f>IF(COUNTA(B1365:C1365,E1365:G1365,I1365)=0,"","BI-"&amp;RIGHT("0000"&amp;(ROW()-5),4))</f>
        <v/>
      </c>
      <c r="B1365" s="72" t="n"/>
      <c r="C1365" s="66" t="n"/>
      <c r="D1365" s="67" t="str">
        <f>IF(C1365="","",IFERROR(INDEX(eq_des,MATCH(C1365,eq_code,0))&amp;"","Équipement inconnu"))</f>
        <v/>
      </c>
      <c r="E1365" s="68" t="n"/>
      <c r="F1365" s="68" t="n"/>
      <c r="G1365" s="66" t="n"/>
      <c r="H1365" s="66" t="n"/>
      <c r="I1365" s="68" t="n"/>
      <c r="J1365" s="73" t="n"/>
      <c r="K1365" s="71" t="n"/>
      <c r="L1365" s="71" t="n"/>
      <c r="M1365" s="66" t="n"/>
      <c r="N1365" s="80" t="n"/>
      <c r="O1365" s="81" t="str">
        <f>IF(A1365="","",ROUND(V1365*IFERROR(N(INDEX(tech_rate,MATCH(M1365,tech_name,0))),0),2))</f>
        <v/>
      </c>
      <c r="P1365" s="80" t="n"/>
      <c r="Q1365" s="81" t="str">
        <f>IF(A1365="","",ROUND(Y1365+O1365+Z1365,2))</f>
        <v/>
      </c>
      <c r="R1365" s="79" t="str">
        <f>IF(A1365="","",IF(S1365=0,"Date manquante ou invalide",IF(C1365="","Équipement manquant",IF(ISNA(MATCH(C1365,eq_code,0)),"Équipement inconnu",IF(E1365="","Type manquant",IF(AND(E1365&lt;&gt;"Préventif",E1365&lt;&gt;"Correctif",E1365&lt;&gt;"Amélioratif"),"Type inconnu",IF(I1365="","Statut manquant",IF(AND(I1365&lt;&gt;"Terminée",I1365&lt;&gt;"En cours",I1365&lt;&gt;"À faire",I1365&lt;&gt;"Annulée"),"Statut inconnu",IF(AND(E1365="Préventif",F1365=""),"Plan manquant (préventif)",IF(AND(F1365&lt;&gt;"",ISNA(MATCH(F1365,pl_num,0))),"Plan inconnu",IF(AND(F1365&lt;&gt;"",IFERROR(INDEX(pl_eq,MATCH(F1365,pl_num,0))&amp;"",C1365)&lt;&gt;C1365),"Plan d'un autre équipement",IF(AND(J1365&lt;&gt;"",OR(NOT(ISNUMBER(J1365)),N(J1365)&lt;0)),"Compteur invalide",IF(OR(AND(K1365&lt;&gt;"",OR(NOT(ISNUMBER(K1365)),N(K1365)&lt;0)),AND(L1365&lt;&gt;"",OR(NOT(ISNUMBER(L1365)),N(L1365)&lt;0))),"Durée invalide",IF(OR(AND(N1365&lt;&gt;"",OR(NOT(ISNUMBER(N1365)),N(N1365)&lt;0)),AND(P1365&lt;&gt;"",OR(NOT(ISNUMBER(P1365)),N(P1365)&lt;0))),"Coût invalide",IF(AND(M1365&lt;&gt;"",ISNA(MATCH(M1365,tech_name,0))),"Technicien inconnu",IF(AND(I1365="Terminée",S1365&gt;p_today),"Terminée à une date future",IF(AND(I1365="Terminée",V1365=0),"Durée d'intervention manquante",IF(AND(I1365="Terminée",E1365="Préventif",T1365=0,OR(IFERROR(INDEX(pl_trig,MATCH(F1365,pl_num,0))&amp;"","")="Compteur",IFERROR(INDEX(pl_trig,MATCH(F1365,pl_num,0))&amp;"","")="Au premier des deux")),"Compteur manquant (plan au compteur)","OK"))))))))))))))))))</f>
        <v/>
      </c>
      <c r="S1365" s="67">
        <f>IF(AND(ISNUMBER(B1365),N(B1365)&gt;0),INT(B1365),0)</f>
        <v>0.0</v>
      </c>
      <c r="T1365" s="67">
        <f>IF(AND(ISNUMBER(J1365),N(J1365)&gt;=0),N(J1365),0)</f>
        <v>0.0</v>
      </c>
      <c r="U1365" s="67">
        <f>IF(AND(ISNUMBER(K1365),N(K1365)&gt;0),N(K1365),0)</f>
        <v>0.0</v>
      </c>
      <c r="V1365" s="67">
        <f>IF(AND(ISNUMBER(L1365),N(L1365)&gt;0),N(L1365),0)</f>
        <v>0.0</v>
      </c>
      <c r="W1365" s="67">
        <f>IF(AND(I1365="Terminée",S1365&gt;0,C1365&lt;&gt;"",ISNUMBER(MATCH(C1365,eq_code,0))),1,0)</f>
        <v>0.0</v>
      </c>
      <c r="X1365" s="67">
        <f>IF(AND(W1365=1,E1365="Préventif"),1,0)</f>
        <v>0.0</v>
      </c>
      <c r="Y1365" s="67">
        <f>IF(AND(ISNUMBER(N1365),N(N1365)&gt;0),N(N1365),0)</f>
        <v>0.0</v>
      </c>
      <c r="Z1365" s="67">
        <f>IF(AND(ISNUMBER(P1365),N(P1365)&gt;0),N(P1365),0)</f>
        <v>0.0</v>
      </c>
    </row>
    <row r="1366">
      <c r="A1366" s="79" t="str">
        <f>IF(COUNTA(B1366:C1366,E1366:G1366,I1366)=0,"","BI-"&amp;RIGHT("0000"&amp;(ROW()-5),4))</f>
        <v/>
      </c>
      <c r="B1366" s="72" t="n"/>
      <c r="C1366" s="66" t="n"/>
      <c r="D1366" s="67" t="str">
        <f>IF(C1366="","",IFERROR(INDEX(eq_des,MATCH(C1366,eq_code,0))&amp;"","Équipement inconnu"))</f>
        <v/>
      </c>
      <c r="E1366" s="68" t="n"/>
      <c r="F1366" s="68" t="n"/>
      <c r="G1366" s="66" t="n"/>
      <c r="H1366" s="66" t="n"/>
      <c r="I1366" s="68" t="n"/>
      <c r="J1366" s="73" t="n"/>
      <c r="K1366" s="71" t="n"/>
      <c r="L1366" s="71" t="n"/>
      <c r="M1366" s="66" t="n"/>
      <c r="N1366" s="80" t="n"/>
      <c r="O1366" s="81" t="str">
        <f>IF(A1366="","",ROUND(V1366*IFERROR(N(INDEX(tech_rate,MATCH(M1366,tech_name,0))),0),2))</f>
        <v/>
      </c>
      <c r="P1366" s="80" t="n"/>
      <c r="Q1366" s="81" t="str">
        <f>IF(A1366="","",ROUND(Y1366+O1366+Z1366,2))</f>
        <v/>
      </c>
      <c r="R1366" s="79" t="str">
        <f>IF(A1366="","",IF(S1366=0,"Date manquante ou invalide",IF(C1366="","Équipement manquant",IF(ISNA(MATCH(C1366,eq_code,0)),"Équipement inconnu",IF(E1366="","Type manquant",IF(AND(E1366&lt;&gt;"Préventif",E1366&lt;&gt;"Correctif",E1366&lt;&gt;"Amélioratif"),"Type inconnu",IF(I1366="","Statut manquant",IF(AND(I1366&lt;&gt;"Terminée",I1366&lt;&gt;"En cours",I1366&lt;&gt;"À faire",I1366&lt;&gt;"Annulée"),"Statut inconnu",IF(AND(E1366="Préventif",F1366=""),"Plan manquant (préventif)",IF(AND(F1366&lt;&gt;"",ISNA(MATCH(F1366,pl_num,0))),"Plan inconnu",IF(AND(F1366&lt;&gt;"",IFERROR(INDEX(pl_eq,MATCH(F1366,pl_num,0))&amp;"",C1366)&lt;&gt;C1366),"Plan d'un autre équipement",IF(AND(J1366&lt;&gt;"",OR(NOT(ISNUMBER(J1366)),N(J1366)&lt;0)),"Compteur invalide",IF(OR(AND(K1366&lt;&gt;"",OR(NOT(ISNUMBER(K1366)),N(K1366)&lt;0)),AND(L1366&lt;&gt;"",OR(NOT(ISNUMBER(L1366)),N(L1366)&lt;0))),"Durée invalide",IF(OR(AND(N1366&lt;&gt;"",OR(NOT(ISNUMBER(N1366)),N(N1366)&lt;0)),AND(P1366&lt;&gt;"",OR(NOT(ISNUMBER(P1366)),N(P1366)&lt;0))),"Coût invalide",IF(AND(M1366&lt;&gt;"",ISNA(MATCH(M1366,tech_name,0))),"Technicien inconnu",IF(AND(I1366="Terminée",S1366&gt;p_today),"Terminée à une date future",IF(AND(I1366="Terminée",V1366=0),"Durée d'intervention manquante",IF(AND(I1366="Terminée",E1366="Préventif",T1366=0,OR(IFERROR(INDEX(pl_trig,MATCH(F1366,pl_num,0))&amp;"","")="Compteur",IFERROR(INDEX(pl_trig,MATCH(F1366,pl_num,0))&amp;"","")="Au premier des deux")),"Compteur manquant (plan au compteur)","OK"))))))))))))))))))</f>
        <v/>
      </c>
      <c r="S1366" s="67">
        <f>IF(AND(ISNUMBER(B1366),N(B1366)&gt;0),INT(B1366),0)</f>
        <v>0.0</v>
      </c>
      <c r="T1366" s="67">
        <f>IF(AND(ISNUMBER(J1366),N(J1366)&gt;=0),N(J1366),0)</f>
        <v>0.0</v>
      </c>
      <c r="U1366" s="67">
        <f>IF(AND(ISNUMBER(K1366),N(K1366)&gt;0),N(K1366),0)</f>
        <v>0.0</v>
      </c>
      <c r="V1366" s="67">
        <f>IF(AND(ISNUMBER(L1366),N(L1366)&gt;0),N(L1366),0)</f>
        <v>0.0</v>
      </c>
      <c r="W1366" s="67">
        <f>IF(AND(I1366="Terminée",S1366&gt;0,C1366&lt;&gt;"",ISNUMBER(MATCH(C1366,eq_code,0))),1,0)</f>
        <v>0.0</v>
      </c>
      <c r="X1366" s="67">
        <f>IF(AND(W1366=1,E1366="Préventif"),1,0)</f>
        <v>0.0</v>
      </c>
      <c r="Y1366" s="67">
        <f>IF(AND(ISNUMBER(N1366),N(N1366)&gt;0),N(N1366),0)</f>
        <v>0.0</v>
      </c>
      <c r="Z1366" s="67">
        <f>IF(AND(ISNUMBER(P1366),N(P1366)&gt;0),N(P1366),0)</f>
        <v>0.0</v>
      </c>
    </row>
    <row r="1367">
      <c r="A1367" s="79" t="str">
        <f>IF(COUNTA(B1367:C1367,E1367:G1367,I1367)=0,"","BI-"&amp;RIGHT("0000"&amp;(ROW()-5),4))</f>
        <v/>
      </c>
      <c r="B1367" s="72" t="n"/>
      <c r="C1367" s="66" t="n"/>
      <c r="D1367" s="67" t="str">
        <f>IF(C1367="","",IFERROR(INDEX(eq_des,MATCH(C1367,eq_code,0))&amp;"","Équipement inconnu"))</f>
        <v/>
      </c>
      <c r="E1367" s="68" t="n"/>
      <c r="F1367" s="68" t="n"/>
      <c r="G1367" s="66" t="n"/>
      <c r="H1367" s="66" t="n"/>
      <c r="I1367" s="68" t="n"/>
      <c r="J1367" s="73" t="n"/>
      <c r="K1367" s="71" t="n"/>
      <c r="L1367" s="71" t="n"/>
      <c r="M1367" s="66" t="n"/>
      <c r="N1367" s="80" t="n"/>
      <c r="O1367" s="81" t="str">
        <f>IF(A1367="","",ROUND(V1367*IFERROR(N(INDEX(tech_rate,MATCH(M1367,tech_name,0))),0),2))</f>
        <v/>
      </c>
      <c r="P1367" s="80" t="n"/>
      <c r="Q1367" s="81" t="str">
        <f>IF(A1367="","",ROUND(Y1367+O1367+Z1367,2))</f>
        <v/>
      </c>
      <c r="R1367" s="79" t="str">
        <f>IF(A1367="","",IF(S1367=0,"Date manquante ou invalide",IF(C1367="","Équipement manquant",IF(ISNA(MATCH(C1367,eq_code,0)),"Équipement inconnu",IF(E1367="","Type manquant",IF(AND(E1367&lt;&gt;"Préventif",E1367&lt;&gt;"Correctif",E1367&lt;&gt;"Amélioratif"),"Type inconnu",IF(I1367="","Statut manquant",IF(AND(I1367&lt;&gt;"Terminée",I1367&lt;&gt;"En cours",I1367&lt;&gt;"À faire",I1367&lt;&gt;"Annulée"),"Statut inconnu",IF(AND(E1367="Préventif",F1367=""),"Plan manquant (préventif)",IF(AND(F1367&lt;&gt;"",ISNA(MATCH(F1367,pl_num,0))),"Plan inconnu",IF(AND(F1367&lt;&gt;"",IFERROR(INDEX(pl_eq,MATCH(F1367,pl_num,0))&amp;"",C1367)&lt;&gt;C1367),"Plan d'un autre équipement",IF(AND(J1367&lt;&gt;"",OR(NOT(ISNUMBER(J1367)),N(J1367)&lt;0)),"Compteur invalide",IF(OR(AND(K1367&lt;&gt;"",OR(NOT(ISNUMBER(K1367)),N(K1367)&lt;0)),AND(L1367&lt;&gt;"",OR(NOT(ISNUMBER(L1367)),N(L1367)&lt;0))),"Durée invalide",IF(OR(AND(N1367&lt;&gt;"",OR(NOT(ISNUMBER(N1367)),N(N1367)&lt;0)),AND(P1367&lt;&gt;"",OR(NOT(ISNUMBER(P1367)),N(P1367)&lt;0))),"Coût invalide",IF(AND(M1367&lt;&gt;"",ISNA(MATCH(M1367,tech_name,0))),"Technicien inconnu",IF(AND(I1367="Terminée",S1367&gt;p_today),"Terminée à une date future",IF(AND(I1367="Terminée",V1367=0),"Durée d'intervention manquante",IF(AND(I1367="Terminée",E1367="Préventif",T1367=0,OR(IFERROR(INDEX(pl_trig,MATCH(F1367,pl_num,0))&amp;"","")="Compteur",IFERROR(INDEX(pl_trig,MATCH(F1367,pl_num,0))&amp;"","")="Au premier des deux")),"Compteur manquant (plan au compteur)","OK"))))))))))))))))))</f>
        <v/>
      </c>
      <c r="S1367" s="67">
        <f>IF(AND(ISNUMBER(B1367),N(B1367)&gt;0),INT(B1367),0)</f>
        <v>0.0</v>
      </c>
      <c r="T1367" s="67">
        <f>IF(AND(ISNUMBER(J1367),N(J1367)&gt;=0),N(J1367),0)</f>
        <v>0.0</v>
      </c>
      <c r="U1367" s="67">
        <f>IF(AND(ISNUMBER(K1367),N(K1367)&gt;0),N(K1367),0)</f>
        <v>0.0</v>
      </c>
      <c r="V1367" s="67">
        <f>IF(AND(ISNUMBER(L1367),N(L1367)&gt;0),N(L1367),0)</f>
        <v>0.0</v>
      </c>
      <c r="W1367" s="67">
        <f>IF(AND(I1367="Terminée",S1367&gt;0,C1367&lt;&gt;"",ISNUMBER(MATCH(C1367,eq_code,0))),1,0)</f>
        <v>0.0</v>
      </c>
      <c r="X1367" s="67">
        <f>IF(AND(W1367=1,E1367="Préventif"),1,0)</f>
        <v>0.0</v>
      </c>
      <c r="Y1367" s="67">
        <f>IF(AND(ISNUMBER(N1367),N(N1367)&gt;0),N(N1367),0)</f>
        <v>0.0</v>
      </c>
      <c r="Z1367" s="67">
        <f>IF(AND(ISNUMBER(P1367),N(P1367)&gt;0),N(P1367),0)</f>
        <v>0.0</v>
      </c>
    </row>
    <row r="1368">
      <c r="A1368" s="79" t="str">
        <f>IF(COUNTA(B1368:C1368,E1368:G1368,I1368)=0,"","BI-"&amp;RIGHT("0000"&amp;(ROW()-5),4))</f>
        <v/>
      </c>
      <c r="B1368" s="72" t="n"/>
      <c r="C1368" s="66" t="n"/>
      <c r="D1368" s="67" t="str">
        <f>IF(C1368="","",IFERROR(INDEX(eq_des,MATCH(C1368,eq_code,0))&amp;"","Équipement inconnu"))</f>
        <v/>
      </c>
      <c r="E1368" s="68" t="n"/>
      <c r="F1368" s="68" t="n"/>
      <c r="G1368" s="66" t="n"/>
      <c r="H1368" s="66" t="n"/>
      <c r="I1368" s="68" t="n"/>
      <c r="J1368" s="73" t="n"/>
      <c r="K1368" s="71" t="n"/>
      <c r="L1368" s="71" t="n"/>
      <c r="M1368" s="66" t="n"/>
      <c r="N1368" s="80" t="n"/>
      <c r="O1368" s="81" t="str">
        <f>IF(A1368="","",ROUND(V1368*IFERROR(N(INDEX(tech_rate,MATCH(M1368,tech_name,0))),0),2))</f>
        <v/>
      </c>
      <c r="P1368" s="80" t="n"/>
      <c r="Q1368" s="81" t="str">
        <f>IF(A1368="","",ROUND(Y1368+O1368+Z1368,2))</f>
        <v/>
      </c>
      <c r="R1368" s="79" t="str">
        <f>IF(A1368="","",IF(S1368=0,"Date manquante ou invalide",IF(C1368="","Équipement manquant",IF(ISNA(MATCH(C1368,eq_code,0)),"Équipement inconnu",IF(E1368="","Type manquant",IF(AND(E1368&lt;&gt;"Préventif",E1368&lt;&gt;"Correctif",E1368&lt;&gt;"Amélioratif"),"Type inconnu",IF(I1368="","Statut manquant",IF(AND(I1368&lt;&gt;"Terminée",I1368&lt;&gt;"En cours",I1368&lt;&gt;"À faire",I1368&lt;&gt;"Annulée"),"Statut inconnu",IF(AND(E1368="Préventif",F1368=""),"Plan manquant (préventif)",IF(AND(F1368&lt;&gt;"",ISNA(MATCH(F1368,pl_num,0))),"Plan inconnu",IF(AND(F1368&lt;&gt;"",IFERROR(INDEX(pl_eq,MATCH(F1368,pl_num,0))&amp;"",C1368)&lt;&gt;C1368),"Plan d'un autre équipement",IF(AND(J1368&lt;&gt;"",OR(NOT(ISNUMBER(J1368)),N(J1368)&lt;0)),"Compteur invalide",IF(OR(AND(K1368&lt;&gt;"",OR(NOT(ISNUMBER(K1368)),N(K1368)&lt;0)),AND(L1368&lt;&gt;"",OR(NOT(ISNUMBER(L1368)),N(L1368)&lt;0))),"Durée invalide",IF(OR(AND(N1368&lt;&gt;"",OR(NOT(ISNUMBER(N1368)),N(N1368)&lt;0)),AND(P1368&lt;&gt;"",OR(NOT(ISNUMBER(P1368)),N(P1368)&lt;0))),"Coût invalide",IF(AND(M1368&lt;&gt;"",ISNA(MATCH(M1368,tech_name,0))),"Technicien inconnu",IF(AND(I1368="Terminée",S1368&gt;p_today),"Terminée à une date future",IF(AND(I1368="Terminée",V1368=0),"Durée d'intervention manquante",IF(AND(I1368="Terminée",E1368="Préventif",T1368=0,OR(IFERROR(INDEX(pl_trig,MATCH(F1368,pl_num,0))&amp;"","")="Compteur",IFERROR(INDEX(pl_trig,MATCH(F1368,pl_num,0))&amp;"","")="Au premier des deux")),"Compteur manquant (plan au compteur)","OK"))))))))))))))))))</f>
        <v/>
      </c>
      <c r="S1368" s="67">
        <f>IF(AND(ISNUMBER(B1368),N(B1368)&gt;0),INT(B1368),0)</f>
        <v>0.0</v>
      </c>
      <c r="T1368" s="67">
        <f>IF(AND(ISNUMBER(J1368),N(J1368)&gt;=0),N(J1368),0)</f>
        <v>0.0</v>
      </c>
      <c r="U1368" s="67">
        <f>IF(AND(ISNUMBER(K1368),N(K1368)&gt;0),N(K1368),0)</f>
        <v>0.0</v>
      </c>
      <c r="V1368" s="67">
        <f>IF(AND(ISNUMBER(L1368),N(L1368)&gt;0),N(L1368),0)</f>
        <v>0.0</v>
      </c>
      <c r="W1368" s="67">
        <f>IF(AND(I1368="Terminée",S1368&gt;0,C1368&lt;&gt;"",ISNUMBER(MATCH(C1368,eq_code,0))),1,0)</f>
        <v>0.0</v>
      </c>
      <c r="X1368" s="67">
        <f>IF(AND(W1368=1,E1368="Préventif"),1,0)</f>
        <v>0.0</v>
      </c>
      <c r="Y1368" s="67">
        <f>IF(AND(ISNUMBER(N1368),N(N1368)&gt;0),N(N1368),0)</f>
        <v>0.0</v>
      </c>
      <c r="Z1368" s="67">
        <f>IF(AND(ISNUMBER(P1368),N(P1368)&gt;0),N(P1368),0)</f>
        <v>0.0</v>
      </c>
    </row>
    <row r="1369">
      <c r="A1369" s="79" t="str">
        <f>IF(COUNTA(B1369:C1369,E1369:G1369,I1369)=0,"","BI-"&amp;RIGHT("0000"&amp;(ROW()-5),4))</f>
        <v/>
      </c>
      <c r="B1369" s="72" t="n"/>
      <c r="C1369" s="66" t="n"/>
      <c r="D1369" s="67" t="str">
        <f>IF(C1369="","",IFERROR(INDEX(eq_des,MATCH(C1369,eq_code,0))&amp;"","Équipement inconnu"))</f>
        <v/>
      </c>
      <c r="E1369" s="68" t="n"/>
      <c r="F1369" s="68" t="n"/>
      <c r="G1369" s="66" t="n"/>
      <c r="H1369" s="66" t="n"/>
      <c r="I1369" s="68" t="n"/>
      <c r="J1369" s="73" t="n"/>
      <c r="K1369" s="71" t="n"/>
      <c r="L1369" s="71" t="n"/>
      <c r="M1369" s="66" t="n"/>
      <c r="N1369" s="80" t="n"/>
      <c r="O1369" s="81" t="str">
        <f>IF(A1369="","",ROUND(V1369*IFERROR(N(INDEX(tech_rate,MATCH(M1369,tech_name,0))),0),2))</f>
        <v/>
      </c>
      <c r="P1369" s="80" t="n"/>
      <c r="Q1369" s="81" t="str">
        <f>IF(A1369="","",ROUND(Y1369+O1369+Z1369,2))</f>
        <v/>
      </c>
      <c r="R1369" s="79" t="str">
        <f>IF(A1369="","",IF(S1369=0,"Date manquante ou invalide",IF(C1369="","Équipement manquant",IF(ISNA(MATCH(C1369,eq_code,0)),"Équipement inconnu",IF(E1369="","Type manquant",IF(AND(E1369&lt;&gt;"Préventif",E1369&lt;&gt;"Correctif",E1369&lt;&gt;"Amélioratif"),"Type inconnu",IF(I1369="","Statut manquant",IF(AND(I1369&lt;&gt;"Terminée",I1369&lt;&gt;"En cours",I1369&lt;&gt;"À faire",I1369&lt;&gt;"Annulée"),"Statut inconnu",IF(AND(E1369="Préventif",F1369=""),"Plan manquant (préventif)",IF(AND(F1369&lt;&gt;"",ISNA(MATCH(F1369,pl_num,0))),"Plan inconnu",IF(AND(F1369&lt;&gt;"",IFERROR(INDEX(pl_eq,MATCH(F1369,pl_num,0))&amp;"",C1369)&lt;&gt;C1369),"Plan d'un autre équipement",IF(AND(J1369&lt;&gt;"",OR(NOT(ISNUMBER(J1369)),N(J1369)&lt;0)),"Compteur invalide",IF(OR(AND(K1369&lt;&gt;"",OR(NOT(ISNUMBER(K1369)),N(K1369)&lt;0)),AND(L1369&lt;&gt;"",OR(NOT(ISNUMBER(L1369)),N(L1369)&lt;0))),"Durée invalide",IF(OR(AND(N1369&lt;&gt;"",OR(NOT(ISNUMBER(N1369)),N(N1369)&lt;0)),AND(P1369&lt;&gt;"",OR(NOT(ISNUMBER(P1369)),N(P1369)&lt;0))),"Coût invalide",IF(AND(M1369&lt;&gt;"",ISNA(MATCH(M1369,tech_name,0))),"Technicien inconnu",IF(AND(I1369="Terminée",S1369&gt;p_today),"Terminée à une date future",IF(AND(I1369="Terminée",V1369=0),"Durée d'intervention manquante",IF(AND(I1369="Terminée",E1369="Préventif",T1369=0,OR(IFERROR(INDEX(pl_trig,MATCH(F1369,pl_num,0))&amp;"","")="Compteur",IFERROR(INDEX(pl_trig,MATCH(F1369,pl_num,0))&amp;"","")="Au premier des deux")),"Compteur manquant (plan au compteur)","OK"))))))))))))))))))</f>
        <v/>
      </c>
      <c r="S1369" s="67">
        <f>IF(AND(ISNUMBER(B1369),N(B1369)&gt;0),INT(B1369),0)</f>
        <v>0.0</v>
      </c>
      <c r="T1369" s="67">
        <f>IF(AND(ISNUMBER(J1369),N(J1369)&gt;=0),N(J1369),0)</f>
        <v>0.0</v>
      </c>
      <c r="U1369" s="67">
        <f>IF(AND(ISNUMBER(K1369),N(K1369)&gt;0),N(K1369),0)</f>
        <v>0.0</v>
      </c>
      <c r="V1369" s="67">
        <f>IF(AND(ISNUMBER(L1369),N(L1369)&gt;0),N(L1369),0)</f>
        <v>0.0</v>
      </c>
      <c r="W1369" s="67">
        <f>IF(AND(I1369="Terminée",S1369&gt;0,C1369&lt;&gt;"",ISNUMBER(MATCH(C1369,eq_code,0))),1,0)</f>
        <v>0.0</v>
      </c>
      <c r="X1369" s="67">
        <f>IF(AND(W1369=1,E1369="Préventif"),1,0)</f>
        <v>0.0</v>
      </c>
      <c r="Y1369" s="67">
        <f>IF(AND(ISNUMBER(N1369),N(N1369)&gt;0),N(N1369),0)</f>
        <v>0.0</v>
      </c>
      <c r="Z1369" s="67">
        <f>IF(AND(ISNUMBER(P1369),N(P1369)&gt;0),N(P1369),0)</f>
        <v>0.0</v>
      </c>
    </row>
    <row r="1370">
      <c r="A1370" s="79" t="str">
        <f>IF(COUNTA(B1370:C1370,E1370:G1370,I1370)=0,"","BI-"&amp;RIGHT("0000"&amp;(ROW()-5),4))</f>
        <v/>
      </c>
      <c r="B1370" s="72" t="n"/>
      <c r="C1370" s="66" t="n"/>
      <c r="D1370" s="67" t="str">
        <f>IF(C1370="","",IFERROR(INDEX(eq_des,MATCH(C1370,eq_code,0))&amp;"","Équipement inconnu"))</f>
        <v/>
      </c>
      <c r="E1370" s="68" t="n"/>
      <c r="F1370" s="68" t="n"/>
      <c r="G1370" s="66" t="n"/>
      <c r="H1370" s="66" t="n"/>
      <c r="I1370" s="68" t="n"/>
      <c r="J1370" s="73" t="n"/>
      <c r="K1370" s="71" t="n"/>
      <c r="L1370" s="71" t="n"/>
      <c r="M1370" s="66" t="n"/>
      <c r="N1370" s="80" t="n"/>
      <c r="O1370" s="81" t="str">
        <f>IF(A1370="","",ROUND(V1370*IFERROR(N(INDEX(tech_rate,MATCH(M1370,tech_name,0))),0),2))</f>
        <v/>
      </c>
      <c r="P1370" s="80" t="n"/>
      <c r="Q1370" s="81" t="str">
        <f>IF(A1370="","",ROUND(Y1370+O1370+Z1370,2))</f>
        <v/>
      </c>
      <c r="R1370" s="79" t="str">
        <f>IF(A1370="","",IF(S1370=0,"Date manquante ou invalide",IF(C1370="","Équipement manquant",IF(ISNA(MATCH(C1370,eq_code,0)),"Équipement inconnu",IF(E1370="","Type manquant",IF(AND(E1370&lt;&gt;"Préventif",E1370&lt;&gt;"Correctif",E1370&lt;&gt;"Amélioratif"),"Type inconnu",IF(I1370="","Statut manquant",IF(AND(I1370&lt;&gt;"Terminée",I1370&lt;&gt;"En cours",I1370&lt;&gt;"À faire",I1370&lt;&gt;"Annulée"),"Statut inconnu",IF(AND(E1370="Préventif",F1370=""),"Plan manquant (préventif)",IF(AND(F1370&lt;&gt;"",ISNA(MATCH(F1370,pl_num,0))),"Plan inconnu",IF(AND(F1370&lt;&gt;"",IFERROR(INDEX(pl_eq,MATCH(F1370,pl_num,0))&amp;"",C1370)&lt;&gt;C1370),"Plan d'un autre équipement",IF(AND(J1370&lt;&gt;"",OR(NOT(ISNUMBER(J1370)),N(J1370)&lt;0)),"Compteur invalide",IF(OR(AND(K1370&lt;&gt;"",OR(NOT(ISNUMBER(K1370)),N(K1370)&lt;0)),AND(L1370&lt;&gt;"",OR(NOT(ISNUMBER(L1370)),N(L1370)&lt;0))),"Durée invalide",IF(OR(AND(N1370&lt;&gt;"",OR(NOT(ISNUMBER(N1370)),N(N1370)&lt;0)),AND(P1370&lt;&gt;"",OR(NOT(ISNUMBER(P1370)),N(P1370)&lt;0))),"Coût invalide",IF(AND(M1370&lt;&gt;"",ISNA(MATCH(M1370,tech_name,0))),"Technicien inconnu",IF(AND(I1370="Terminée",S1370&gt;p_today),"Terminée à une date future",IF(AND(I1370="Terminée",V1370=0),"Durée d'intervention manquante",IF(AND(I1370="Terminée",E1370="Préventif",T1370=0,OR(IFERROR(INDEX(pl_trig,MATCH(F1370,pl_num,0))&amp;"","")="Compteur",IFERROR(INDEX(pl_trig,MATCH(F1370,pl_num,0))&amp;"","")="Au premier des deux")),"Compteur manquant (plan au compteur)","OK"))))))))))))))))))</f>
        <v/>
      </c>
      <c r="S1370" s="67">
        <f>IF(AND(ISNUMBER(B1370),N(B1370)&gt;0),INT(B1370),0)</f>
        <v>0.0</v>
      </c>
      <c r="T1370" s="67">
        <f>IF(AND(ISNUMBER(J1370),N(J1370)&gt;=0),N(J1370),0)</f>
        <v>0.0</v>
      </c>
      <c r="U1370" s="67">
        <f>IF(AND(ISNUMBER(K1370),N(K1370)&gt;0),N(K1370),0)</f>
        <v>0.0</v>
      </c>
      <c r="V1370" s="67">
        <f>IF(AND(ISNUMBER(L1370),N(L1370)&gt;0),N(L1370),0)</f>
        <v>0.0</v>
      </c>
      <c r="W1370" s="67">
        <f>IF(AND(I1370="Terminée",S1370&gt;0,C1370&lt;&gt;"",ISNUMBER(MATCH(C1370,eq_code,0))),1,0)</f>
        <v>0.0</v>
      </c>
      <c r="X1370" s="67">
        <f>IF(AND(W1370=1,E1370="Préventif"),1,0)</f>
        <v>0.0</v>
      </c>
      <c r="Y1370" s="67">
        <f>IF(AND(ISNUMBER(N1370),N(N1370)&gt;0),N(N1370),0)</f>
        <v>0.0</v>
      </c>
      <c r="Z1370" s="67">
        <f>IF(AND(ISNUMBER(P1370),N(P1370)&gt;0),N(P1370),0)</f>
        <v>0.0</v>
      </c>
    </row>
    <row r="1371">
      <c r="A1371" s="79" t="str">
        <f>IF(COUNTA(B1371:C1371,E1371:G1371,I1371)=0,"","BI-"&amp;RIGHT("0000"&amp;(ROW()-5),4))</f>
        <v/>
      </c>
      <c r="B1371" s="72" t="n"/>
      <c r="C1371" s="66" t="n"/>
      <c r="D1371" s="67" t="str">
        <f>IF(C1371="","",IFERROR(INDEX(eq_des,MATCH(C1371,eq_code,0))&amp;"","Équipement inconnu"))</f>
        <v/>
      </c>
      <c r="E1371" s="68" t="n"/>
      <c r="F1371" s="68" t="n"/>
      <c r="G1371" s="66" t="n"/>
      <c r="H1371" s="66" t="n"/>
      <c r="I1371" s="68" t="n"/>
      <c r="J1371" s="73" t="n"/>
      <c r="K1371" s="71" t="n"/>
      <c r="L1371" s="71" t="n"/>
      <c r="M1371" s="66" t="n"/>
      <c r="N1371" s="80" t="n"/>
      <c r="O1371" s="81" t="str">
        <f>IF(A1371="","",ROUND(V1371*IFERROR(N(INDEX(tech_rate,MATCH(M1371,tech_name,0))),0),2))</f>
        <v/>
      </c>
      <c r="P1371" s="80" t="n"/>
      <c r="Q1371" s="81" t="str">
        <f>IF(A1371="","",ROUND(Y1371+O1371+Z1371,2))</f>
        <v/>
      </c>
      <c r="R1371" s="79" t="str">
        <f>IF(A1371="","",IF(S1371=0,"Date manquante ou invalide",IF(C1371="","Équipement manquant",IF(ISNA(MATCH(C1371,eq_code,0)),"Équipement inconnu",IF(E1371="","Type manquant",IF(AND(E1371&lt;&gt;"Préventif",E1371&lt;&gt;"Correctif",E1371&lt;&gt;"Amélioratif"),"Type inconnu",IF(I1371="","Statut manquant",IF(AND(I1371&lt;&gt;"Terminée",I1371&lt;&gt;"En cours",I1371&lt;&gt;"À faire",I1371&lt;&gt;"Annulée"),"Statut inconnu",IF(AND(E1371="Préventif",F1371=""),"Plan manquant (préventif)",IF(AND(F1371&lt;&gt;"",ISNA(MATCH(F1371,pl_num,0))),"Plan inconnu",IF(AND(F1371&lt;&gt;"",IFERROR(INDEX(pl_eq,MATCH(F1371,pl_num,0))&amp;"",C1371)&lt;&gt;C1371),"Plan d'un autre équipement",IF(AND(J1371&lt;&gt;"",OR(NOT(ISNUMBER(J1371)),N(J1371)&lt;0)),"Compteur invalide",IF(OR(AND(K1371&lt;&gt;"",OR(NOT(ISNUMBER(K1371)),N(K1371)&lt;0)),AND(L1371&lt;&gt;"",OR(NOT(ISNUMBER(L1371)),N(L1371)&lt;0))),"Durée invalide",IF(OR(AND(N1371&lt;&gt;"",OR(NOT(ISNUMBER(N1371)),N(N1371)&lt;0)),AND(P1371&lt;&gt;"",OR(NOT(ISNUMBER(P1371)),N(P1371)&lt;0))),"Coût invalide",IF(AND(M1371&lt;&gt;"",ISNA(MATCH(M1371,tech_name,0))),"Technicien inconnu",IF(AND(I1371="Terminée",S1371&gt;p_today),"Terminée à une date future",IF(AND(I1371="Terminée",V1371=0),"Durée d'intervention manquante",IF(AND(I1371="Terminée",E1371="Préventif",T1371=0,OR(IFERROR(INDEX(pl_trig,MATCH(F1371,pl_num,0))&amp;"","")="Compteur",IFERROR(INDEX(pl_trig,MATCH(F1371,pl_num,0))&amp;"","")="Au premier des deux")),"Compteur manquant (plan au compteur)","OK"))))))))))))))))))</f>
        <v/>
      </c>
      <c r="S1371" s="67">
        <f>IF(AND(ISNUMBER(B1371),N(B1371)&gt;0),INT(B1371),0)</f>
        <v>0.0</v>
      </c>
      <c r="T1371" s="67">
        <f>IF(AND(ISNUMBER(J1371),N(J1371)&gt;=0),N(J1371),0)</f>
        <v>0.0</v>
      </c>
      <c r="U1371" s="67">
        <f>IF(AND(ISNUMBER(K1371),N(K1371)&gt;0),N(K1371),0)</f>
        <v>0.0</v>
      </c>
      <c r="V1371" s="67">
        <f>IF(AND(ISNUMBER(L1371),N(L1371)&gt;0),N(L1371),0)</f>
        <v>0.0</v>
      </c>
      <c r="W1371" s="67">
        <f>IF(AND(I1371="Terminée",S1371&gt;0,C1371&lt;&gt;"",ISNUMBER(MATCH(C1371,eq_code,0))),1,0)</f>
        <v>0.0</v>
      </c>
      <c r="X1371" s="67">
        <f>IF(AND(W1371=1,E1371="Préventif"),1,0)</f>
        <v>0.0</v>
      </c>
      <c r="Y1371" s="67">
        <f>IF(AND(ISNUMBER(N1371),N(N1371)&gt;0),N(N1371),0)</f>
        <v>0.0</v>
      </c>
      <c r="Z1371" s="67">
        <f>IF(AND(ISNUMBER(P1371),N(P1371)&gt;0),N(P1371),0)</f>
        <v>0.0</v>
      </c>
    </row>
    <row r="1372">
      <c r="A1372" s="79" t="str">
        <f>IF(COUNTA(B1372:C1372,E1372:G1372,I1372)=0,"","BI-"&amp;RIGHT("0000"&amp;(ROW()-5),4))</f>
        <v/>
      </c>
      <c r="B1372" s="72" t="n"/>
      <c r="C1372" s="66" t="n"/>
      <c r="D1372" s="67" t="str">
        <f>IF(C1372="","",IFERROR(INDEX(eq_des,MATCH(C1372,eq_code,0))&amp;"","Équipement inconnu"))</f>
        <v/>
      </c>
      <c r="E1372" s="68" t="n"/>
      <c r="F1372" s="68" t="n"/>
      <c r="G1372" s="66" t="n"/>
      <c r="H1372" s="66" t="n"/>
      <c r="I1372" s="68" t="n"/>
      <c r="J1372" s="73" t="n"/>
      <c r="K1372" s="71" t="n"/>
      <c r="L1372" s="71" t="n"/>
      <c r="M1372" s="66" t="n"/>
      <c r="N1372" s="80" t="n"/>
      <c r="O1372" s="81" t="str">
        <f>IF(A1372="","",ROUND(V1372*IFERROR(N(INDEX(tech_rate,MATCH(M1372,tech_name,0))),0),2))</f>
        <v/>
      </c>
      <c r="P1372" s="80" t="n"/>
      <c r="Q1372" s="81" t="str">
        <f>IF(A1372="","",ROUND(Y1372+O1372+Z1372,2))</f>
        <v/>
      </c>
      <c r="R1372" s="79" t="str">
        <f>IF(A1372="","",IF(S1372=0,"Date manquante ou invalide",IF(C1372="","Équipement manquant",IF(ISNA(MATCH(C1372,eq_code,0)),"Équipement inconnu",IF(E1372="","Type manquant",IF(AND(E1372&lt;&gt;"Préventif",E1372&lt;&gt;"Correctif",E1372&lt;&gt;"Amélioratif"),"Type inconnu",IF(I1372="","Statut manquant",IF(AND(I1372&lt;&gt;"Terminée",I1372&lt;&gt;"En cours",I1372&lt;&gt;"À faire",I1372&lt;&gt;"Annulée"),"Statut inconnu",IF(AND(E1372="Préventif",F1372=""),"Plan manquant (préventif)",IF(AND(F1372&lt;&gt;"",ISNA(MATCH(F1372,pl_num,0))),"Plan inconnu",IF(AND(F1372&lt;&gt;"",IFERROR(INDEX(pl_eq,MATCH(F1372,pl_num,0))&amp;"",C1372)&lt;&gt;C1372),"Plan d'un autre équipement",IF(AND(J1372&lt;&gt;"",OR(NOT(ISNUMBER(J1372)),N(J1372)&lt;0)),"Compteur invalide",IF(OR(AND(K1372&lt;&gt;"",OR(NOT(ISNUMBER(K1372)),N(K1372)&lt;0)),AND(L1372&lt;&gt;"",OR(NOT(ISNUMBER(L1372)),N(L1372)&lt;0))),"Durée invalide",IF(OR(AND(N1372&lt;&gt;"",OR(NOT(ISNUMBER(N1372)),N(N1372)&lt;0)),AND(P1372&lt;&gt;"",OR(NOT(ISNUMBER(P1372)),N(P1372)&lt;0))),"Coût invalide",IF(AND(M1372&lt;&gt;"",ISNA(MATCH(M1372,tech_name,0))),"Technicien inconnu",IF(AND(I1372="Terminée",S1372&gt;p_today),"Terminée à une date future",IF(AND(I1372="Terminée",V1372=0),"Durée d'intervention manquante",IF(AND(I1372="Terminée",E1372="Préventif",T1372=0,OR(IFERROR(INDEX(pl_trig,MATCH(F1372,pl_num,0))&amp;"","")="Compteur",IFERROR(INDEX(pl_trig,MATCH(F1372,pl_num,0))&amp;"","")="Au premier des deux")),"Compteur manquant (plan au compteur)","OK"))))))))))))))))))</f>
        <v/>
      </c>
      <c r="S1372" s="67">
        <f>IF(AND(ISNUMBER(B1372),N(B1372)&gt;0),INT(B1372),0)</f>
        <v>0.0</v>
      </c>
      <c r="T1372" s="67">
        <f>IF(AND(ISNUMBER(J1372),N(J1372)&gt;=0),N(J1372),0)</f>
        <v>0.0</v>
      </c>
      <c r="U1372" s="67">
        <f>IF(AND(ISNUMBER(K1372),N(K1372)&gt;0),N(K1372),0)</f>
        <v>0.0</v>
      </c>
      <c r="V1372" s="67">
        <f>IF(AND(ISNUMBER(L1372),N(L1372)&gt;0),N(L1372),0)</f>
        <v>0.0</v>
      </c>
      <c r="W1372" s="67">
        <f>IF(AND(I1372="Terminée",S1372&gt;0,C1372&lt;&gt;"",ISNUMBER(MATCH(C1372,eq_code,0))),1,0)</f>
        <v>0.0</v>
      </c>
      <c r="X1372" s="67">
        <f>IF(AND(W1372=1,E1372="Préventif"),1,0)</f>
        <v>0.0</v>
      </c>
      <c r="Y1372" s="67">
        <f>IF(AND(ISNUMBER(N1372),N(N1372)&gt;0),N(N1372),0)</f>
        <v>0.0</v>
      </c>
      <c r="Z1372" s="67">
        <f>IF(AND(ISNUMBER(P1372),N(P1372)&gt;0),N(P1372),0)</f>
        <v>0.0</v>
      </c>
    </row>
    <row r="1373">
      <c r="A1373" s="79" t="str">
        <f>IF(COUNTA(B1373:C1373,E1373:G1373,I1373)=0,"","BI-"&amp;RIGHT("0000"&amp;(ROW()-5),4))</f>
        <v/>
      </c>
      <c r="B1373" s="72" t="n"/>
      <c r="C1373" s="66" t="n"/>
      <c r="D1373" s="67" t="str">
        <f>IF(C1373="","",IFERROR(INDEX(eq_des,MATCH(C1373,eq_code,0))&amp;"","Équipement inconnu"))</f>
        <v/>
      </c>
      <c r="E1373" s="68" t="n"/>
      <c r="F1373" s="68" t="n"/>
      <c r="G1373" s="66" t="n"/>
      <c r="H1373" s="66" t="n"/>
      <c r="I1373" s="68" t="n"/>
      <c r="J1373" s="73" t="n"/>
      <c r="K1373" s="71" t="n"/>
      <c r="L1373" s="71" t="n"/>
      <c r="M1373" s="66" t="n"/>
      <c r="N1373" s="80" t="n"/>
      <c r="O1373" s="81" t="str">
        <f>IF(A1373="","",ROUND(V1373*IFERROR(N(INDEX(tech_rate,MATCH(M1373,tech_name,0))),0),2))</f>
        <v/>
      </c>
      <c r="P1373" s="80" t="n"/>
      <c r="Q1373" s="81" t="str">
        <f>IF(A1373="","",ROUND(Y1373+O1373+Z1373,2))</f>
        <v/>
      </c>
      <c r="R1373" s="79" t="str">
        <f>IF(A1373="","",IF(S1373=0,"Date manquante ou invalide",IF(C1373="","Équipement manquant",IF(ISNA(MATCH(C1373,eq_code,0)),"Équipement inconnu",IF(E1373="","Type manquant",IF(AND(E1373&lt;&gt;"Préventif",E1373&lt;&gt;"Correctif",E1373&lt;&gt;"Amélioratif"),"Type inconnu",IF(I1373="","Statut manquant",IF(AND(I1373&lt;&gt;"Terminée",I1373&lt;&gt;"En cours",I1373&lt;&gt;"À faire",I1373&lt;&gt;"Annulée"),"Statut inconnu",IF(AND(E1373="Préventif",F1373=""),"Plan manquant (préventif)",IF(AND(F1373&lt;&gt;"",ISNA(MATCH(F1373,pl_num,0))),"Plan inconnu",IF(AND(F1373&lt;&gt;"",IFERROR(INDEX(pl_eq,MATCH(F1373,pl_num,0))&amp;"",C1373)&lt;&gt;C1373),"Plan d'un autre équipement",IF(AND(J1373&lt;&gt;"",OR(NOT(ISNUMBER(J1373)),N(J1373)&lt;0)),"Compteur invalide",IF(OR(AND(K1373&lt;&gt;"",OR(NOT(ISNUMBER(K1373)),N(K1373)&lt;0)),AND(L1373&lt;&gt;"",OR(NOT(ISNUMBER(L1373)),N(L1373)&lt;0))),"Durée invalide",IF(OR(AND(N1373&lt;&gt;"",OR(NOT(ISNUMBER(N1373)),N(N1373)&lt;0)),AND(P1373&lt;&gt;"",OR(NOT(ISNUMBER(P1373)),N(P1373)&lt;0))),"Coût invalide",IF(AND(M1373&lt;&gt;"",ISNA(MATCH(M1373,tech_name,0))),"Technicien inconnu",IF(AND(I1373="Terminée",S1373&gt;p_today),"Terminée à une date future",IF(AND(I1373="Terminée",V1373=0),"Durée d'intervention manquante",IF(AND(I1373="Terminée",E1373="Préventif",T1373=0,OR(IFERROR(INDEX(pl_trig,MATCH(F1373,pl_num,0))&amp;"","")="Compteur",IFERROR(INDEX(pl_trig,MATCH(F1373,pl_num,0))&amp;"","")="Au premier des deux")),"Compteur manquant (plan au compteur)","OK"))))))))))))))))))</f>
        <v/>
      </c>
      <c r="S1373" s="67">
        <f>IF(AND(ISNUMBER(B1373),N(B1373)&gt;0),INT(B1373),0)</f>
        <v>0.0</v>
      </c>
      <c r="T1373" s="67">
        <f>IF(AND(ISNUMBER(J1373),N(J1373)&gt;=0),N(J1373),0)</f>
        <v>0.0</v>
      </c>
      <c r="U1373" s="67">
        <f>IF(AND(ISNUMBER(K1373),N(K1373)&gt;0),N(K1373),0)</f>
        <v>0.0</v>
      </c>
      <c r="V1373" s="67">
        <f>IF(AND(ISNUMBER(L1373),N(L1373)&gt;0),N(L1373),0)</f>
        <v>0.0</v>
      </c>
      <c r="W1373" s="67">
        <f>IF(AND(I1373="Terminée",S1373&gt;0,C1373&lt;&gt;"",ISNUMBER(MATCH(C1373,eq_code,0))),1,0)</f>
        <v>0.0</v>
      </c>
      <c r="X1373" s="67">
        <f>IF(AND(W1373=1,E1373="Préventif"),1,0)</f>
        <v>0.0</v>
      </c>
      <c r="Y1373" s="67">
        <f>IF(AND(ISNUMBER(N1373),N(N1373)&gt;0),N(N1373),0)</f>
        <v>0.0</v>
      </c>
      <c r="Z1373" s="67">
        <f>IF(AND(ISNUMBER(P1373),N(P1373)&gt;0),N(P1373),0)</f>
        <v>0.0</v>
      </c>
    </row>
    <row r="1374">
      <c r="A1374" s="79" t="str">
        <f>IF(COUNTA(B1374:C1374,E1374:G1374,I1374)=0,"","BI-"&amp;RIGHT("0000"&amp;(ROW()-5),4))</f>
        <v/>
      </c>
      <c r="B1374" s="72" t="n"/>
      <c r="C1374" s="66" t="n"/>
      <c r="D1374" s="67" t="str">
        <f>IF(C1374="","",IFERROR(INDEX(eq_des,MATCH(C1374,eq_code,0))&amp;"","Équipement inconnu"))</f>
        <v/>
      </c>
      <c r="E1374" s="68" t="n"/>
      <c r="F1374" s="68" t="n"/>
      <c r="G1374" s="66" t="n"/>
      <c r="H1374" s="66" t="n"/>
      <c r="I1374" s="68" t="n"/>
      <c r="J1374" s="73" t="n"/>
      <c r="K1374" s="71" t="n"/>
      <c r="L1374" s="71" t="n"/>
      <c r="M1374" s="66" t="n"/>
      <c r="N1374" s="80" t="n"/>
      <c r="O1374" s="81" t="str">
        <f>IF(A1374="","",ROUND(V1374*IFERROR(N(INDEX(tech_rate,MATCH(M1374,tech_name,0))),0),2))</f>
        <v/>
      </c>
      <c r="P1374" s="80" t="n"/>
      <c r="Q1374" s="81" t="str">
        <f>IF(A1374="","",ROUND(Y1374+O1374+Z1374,2))</f>
        <v/>
      </c>
      <c r="R1374" s="79" t="str">
        <f>IF(A1374="","",IF(S1374=0,"Date manquante ou invalide",IF(C1374="","Équipement manquant",IF(ISNA(MATCH(C1374,eq_code,0)),"Équipement inconnu",IF(E1374="","Type manquant",IF(AND(E1374&lt;&gt;"Préventif",E1374&lt;&gt;"Correctif",E1374&lt;&gt;"Amélioratif"),"Type inconnu",IF(I1374="","Statut manquant",IF(AND(I1374&lt;&gt;"Terminée",I1374&lt;&gt;"En cours",I1374&lt;&gt;"À faire",I1374&lt;&gt;"Annulée"),"Statut inconnu",IF(AND(E1374="Préventif",F1374=""),"Plan manquant (préventif)",IF(AND(F1374&lt;&gt;"",ISNA(MATCH(F1374,pl_num,0))),"Plan inconnu",IF(AND(F1374&lt;&gt;"",IFERROR(INDEX(pl_eq,MATCH(F1374,pl_num,0))&amp;"",C1374)&lt;&gt;C1374),"Plan d'un autre équipement",IF(AND(J1374&lt;&gt;"",OR(NOT(ISNUMBER(J1374)),N(J1374)&lt;0)),"Compteur invalide",IF(OR(AND(K1374&lt;&gt;"",OR(NOT(ISNUMBER(K1374)),N(K1374)&lt;0)),AND(L1374&lt;&gt;"",OR(NOT(ISNUMBER(L1374)),N(L1374)&lt;0))),"Durée invalide",IF(OR(AND(N1374&lt;&gt;"",OR(NOT(ISNUMBER(N1374)),N(N1374)&lt;0)),AND(P1374&lt;&gt;"",OR(NOT(ISNUMBER(P1374)),N(P1374)&lt;0))),"Coût invalide",IF(AND(M1374&lt;&gt;"",ISNA(MATCH(M1374,tech_name,0))),"Technicien inconnu",IF(AND(I1374="Terminée",S1374&gt;p_today),"Terminée à une date future",IF(AND(I1374="Terminée",V1374=0),"Durée d'intervention manquante",IF(AND(I1374="Terminée",E1374="Préventif",T1374=0,OR(IFERROR(INDEX(pl_trig,MATCH(F1374,pl_num,0))&amp;"","")="Compteur",IFERROR(INDEX(pl_trig,MATCH(F1374,pl_num,0))&amp;"","")="Au premier des deux")),"Compteur manquant (plan au compteur)","OK"))))))))))))))))))</f>
        <v/>
      </c>
      <c r="S1374" s="67">
        <f>IF(AND(ISNUMBER(B1374),N(B1374)&gt;0),INT(B1374),0)</f>
        <v>0.0</v>
      </c>
      <c r="T1374" s="67">
        <f>IF(AND(ISNUMBER(J1374),N(J1374)&gt;=0),N(J1374),0)</f>
        <v>0.0</v>
      </c>
      <c r="U1374" s="67">
        <f>IF(AND(ISNUMBER(K1374),N(K1374)&gt;0),N(K1374),0)</f>
        <v>0.0</v>
      </c>
      <c r="V1374" s="67">
        <f>IF(AND(ISNUMBER(L1374),N(L1374)&gt;0),N(L1374),0)</f>
        <v>0.0</v>
      </c>
      <c r="W1374" s="67">
        <f>IF(AND(I1374="Terminée",S1374&gt;0,C1374&lt;&gt;"",ISNUMBER(MATCH(C1374,eq_code,0))),1,0)</f>
        <v>0.0</v>
      </c>
      <c r="X1374" s="67">
        <f>IF(AND(W1374=1,E1374="Préventif"),1,0)</f>
        <v>0.0</v>
      </c>
      <c r="Y1374" s="67">
        <f>IF(AND(ISNUMBER(N1374),N(N1374)&gt;0),N(N1374),0)</f>
        <v>0.0</v>
      </c>
      <c r="Z1374" s="67">
        <f>IF(AND(ISNUMBER(P1374),N(P1374)&gt;0),N(P1374),0)</f>
        <v>0.0</v>
      </c>
    </row>
    <row r="1375">
      <c r="A1375" s="79" t="str">
        <f>IF(COUNTA(B1375:C1375,E1375:G1375,I1375)=0,"","BI-"&amp;RIGHT("0000"&amp;(ROW()-5),4))</f>
        <v/>
      </c>
      <c r="B1375" s="72" t="n"/>
      <c r="C1375" s="66" t="n"/>
      <c r="D1375" s="67" t="str">
        <f>IF(C1375="","",IFERROR(INDEX(eq_des,MATCH(C1375,eq_code,0))&amp;"","Équipement inconnu"))</f>
        <v/>
      </c>
      <c r="E1375" s="68" t="n"/>
      <c r="F1375" s="68" t="n"/>
      <c r="G1375" s="66" t="n"/>
      <c r="H1375" s="66" t="n"/>
      <c r="I1375" s="68" t="n"/>
      <c r="J1375" s="73" t="n"/>
      <c r="K1375" s="71" t="n"/>
      <c r="L1375" s="71" t="n"/>
      <c r="M1375" s="66" t="n"/>
      <c r="N1375" s="80" t="n"/>
      <c r="O1375" s="81" t="str">
        <f>IF(A1375="","",ROUND(V1375*IFERROR(N(INDEX(tech_rate,MATCH(M1375,tech_name,0))),0),2))</f>
        <v/>
      </c>
      <c r="P1375" s="80" t="n"/>
      <c r="Q1375" s="81" t="str">
        <f>IF(A1375="","",ROUND(Y1375+O1375+Z1375,2))</f>
        <v/>
      </c>
      <c r="R1375" s="79" t="str">
        <f>IF(A1375="","",IF(S1375=0,"Date manquante ou invalide",IF(C1375="","Équipement manquant",IF(ISNA(MATCH(C1375,eq_code,0)),"Équipement inconnu",IF(E1375="","Type manquant",IF(AND(E1375&lt;&gt;"Préventif",E1375&lt;&gt;"Correctif",E1375&lt;&gt;"Amélioratif"),"Type inconnu",IF(I1375="","Statut manquant",IF(AND(I1375&lt;&gt;"Terminée",I1375&lt;&gt;"En cours",I1375&lt;&gt;"À faire",I1375&lt;&gt;"Annulée"),"Statut inconnu",IF(AND(E1375="Préventif",F1375=""),"Plan manquant (préventif)",IF(AND(F1375&lt;&gt;"",ISNA(MATCH(F1375,pl_num,0))),"Plan inconnu",IF(AND(F1375&lt;&gt;"",IFERROR(INDEX(pl_eq,MATCH(F1375,pl_num,0))&amp;"",C1375)&lt;&gt;C1375),"Plan d'un autre équipement",IF(AND(J1375&lt;&gt;"",OR(NOT(ISNUMBER(J1375)),N(J1375)&lt;0)),"Compteur invalide",IF(OR(AND(K1375&lt;&gt;"",OR(NOT(ISNUMBER(K1375)),N(K1375)&lt;0)),AND(L1375&lt;&gt;"",OR(NOT(ISNUMBER(L1375)),N(L1375)&lt;0))),"Durée invalide",IF(OR(AND(N1375&lt;&gt;"",OR(NOT(ISNUMBER(N1375)),N(N1375)&lt;0)),AND(P1375&lt;&gt;"",OR(NOT(ISNUMBER(P1375)),N(P1375)&lt;0))),"Coût invalide",IF(AND(M1375&lt;&gt;"",ISNA(MATCH(M1375,tech_name,0))),"Technicien inconnu",IF(AND(I1375="Terminée",S1375&gt;p_today),"Terminée à une date future",IF(AND(I1375="Terminée",V1375=0),"Durée d'intervention manquante",IF(AND(I1375="Terminée",E1375="Préventif",T1375=0,OR(IFERROR(INDEX(pl_trig,MATCH(F1375,pl_num,0))&amp;"","")="Compteur",IFERROR(INDEX(pl_trig,MATCH(F1375,pl_num,0))&amp;"","")="Au premier des deux")),"Compteur manquant (plan au compteur)","OK"))))))))))))))))))</f>
        <v/>
      </c>
      <c r="S1375" s="67">
        <f>IF(AND(ISNUMBER(B1375),N(B1375)&gt;0),INT(B1375),0)</f>
        <v>0.0</v>
      </c>
      <c r="T1375" s="67">
        <f>IF(AND(ISNUMBER(J1375),N(J1375)&gt;=0),N(J1375),0)</f>
        <v>0.0</v>
      </c>
      <c r="U1375" s="67">
        <f>IF(AND(ISNUMBER(K1375),N(K1375)&gt;0),N(K1375),0)</f>
        <v>0.0</v>
      </c>
      <c r="V1375" s="67">
        <f>IF(AND(ISNUMBER(L1375),N(L1375)&gt;0),N(L1375),0)</f>
        <v>0.0</v>
      </c>
      <c r="W1375" s="67">
        <f>IF(AND(I1375="Terminée",S1375&gt;0,C1375&lt;&gt;"",ISNUMBER(MATCH(C1375,eq_code,0))),1,0)</f>
        <v>0.0</v>
      </c>
      <c r="X1375" s="67">
        <f>IF(AND(W1375=1,E1375="Préventif"),1,0)</f>
        <v>0.0</v>
      </c>
      <c r="Y1375" s="67">
        <f>IF(AND(ISNUMBER(N1375),N(N1375)&gt;0),N(N1375),0)</f>
        <v>0.0</v>
      </c>
      <c r="Z1375" s="67">
        <f>IF(AND(ISNUMBER(P1375),N(P1375)&gt;0),N(P1375),0)</f>
        <v>0.0</v>
      </c>
    </row>
    <row r="1376">
      <c r="A1376" s="79" t="str">
        <f>IF(COUNTA(B1376:C1376,E1376:G1376,I1376)=0,"","BI-"&amp;RIGHT("0000"&amp;(ROW()-5),4))</f>
        <v/>
      </c>
      <c r="B1376" s="72" t="n"/>
      <c r="C1376" s="66" t="n"/>
      <c r="D1376" s="67" t="str">
        <f>IF(C1376="","",IFERROR(INDEX(eq_des,MATCH(C1376,eq_code,0))&amp;"","Équipement inconnu"))</f>
        <v/>
      </c>
      <c r="E1376" s="68" t="n"/>
      <c r="F1376" s="68" t="n"/>
      <c r="G1376" s="66" t="n"/>
      <c r="H1376" s="66" t="n"/>
      <c r="I1376" s="68" t="n"/>
      <c r="J1376" s="73" t="n"/>
      <c r="K1376" s="71" t="n"/>
      <c r="L1376" s="71" t="n"/>
      <c r="M1376" s="66" t="n"/>
      <c r="N1376" s="80" t="n"/>
      <c r="O1376" s="81" t="str">
        <f>IF(A1376="","",ROUND(V1376*IFERROR(N(INDEX(tech_rate,MATCH(M1376,tech_name,0))),0),2))</f>
        <v/>
      </c>
      <c r="P1376" s="80" t="n"/>
      <c r="Q1376" s="81" t="str">
        <f>IF(A1376="","",ROUND(Y1376+O1376+Z1376,2))</f>
        <v/>
      </c>
      <c r="R1376" s="79" t="str">
        <f>IF(A1376="","",IF(S1376=0,"Date manquante ou invalide",IF(C1376="","Équipement manquant",IF(ISNA(MATCH(C1376,eq_code,0)),"Équipement inconnu",IF(E1376="","Type manquant",IF(AND(E1376&lt;&gt;"Préventif",E1376&lt;&gt;"Correctif",E1376&lt;&gt;"Amélioratif"),"Type inconnu",IF(I1376="","Statut manquant",IF(AND(I1376&lt;&gt;"Terminée",I1376&lt;&gt;"En cours",I1376&lt;&gt;"À faire",I1376&lt;&gt;"Annulée"),"Statut inconnu",IF(AND(E1376="Préventif",F1376=""),"Plan manquant (préventif)",IF(AND(F1376&lt;&gt;"",ISNA(MATCH(F1376,pl_num,0))),"Plan inconnu",IF(AND(F1376&lt;&gt;"",IFERROR(INDEX(pl_eq,MATCH(F1376,pl_num,0))&amp;"",C1376)&lt;&gt;C1376),"Plan d'un autre équipement",IF(AND(J1376&lt;&gt;"",OR(NOT(ISNUMBER(J1376)),N(J1376)&lt;0)),"Compteur invalide",IF(OR(AND(K1376&lt;&gt;"",OR(NOT(ISNUMBER(K1376)),N(K1376)&lt;0)),AND(L1376&lt;&gt;"",OR(NOT(ISNUMBER(L1376)),N(L1376)&lt;0))),"Durée invalide",IF(OR(AND(N1376&lt;&gt;"",OR(NOT(ISNUMBER(N1376)),N(N1376)&lt;0)),AND(P1376&lt;&gt;"",OR(NOT(ISNUMBER(P1376)),N(P1376)&lt;0))),"Coût invalide",IF(AND(M1376&lt;&gt;"",ISNA(MATCH(M1376,tech_name,0))),"Technicien inconnu",IF(AND(I1376="Terminée",S1376&gt;p_today),"Terminée à une date future",IF(AND(I1376="Terminée",V1376=0),"Durée d'intervention manquante",IF(AND(I1376="Terminée",E1376="Préventif",T1376=0,OR(IFERROR(INDEX(pl_trig,MATCH(F1376,pl_num,0))&amp;"","")="Compteur",IFERROR(INDEX(pl_trig,MATCH(F1376,pl_num,0))&amp;"","")="Au premier des deux")),"Compteur manquant (plan au compteur)","OK"))))))))))))))))))</f>
        <v/>
      </c>
      <c r="S1376" s="67">
        <f>IF(AND(ISNUMBER(B1376),N(B1376)&gt;0),INT(B1376),0)</f>
        <v>0.0</v>
      </c>
      <c r="T1376" s="67">
        <f>IF(AND(ISNUMBER(J1376),N(J1376)&gt;=0),N(J1376),0)</f>
        <v>0.0</v>
      </c>
      <c r="U1376" s="67">
        <f>IF(AND(ISNUMBER(K1376),N(K1376)&gt;0),N(K1376),0)</f>
        <v>0.0</v>
      </c>
      <c r="V1376" s="67">
        <f>IF(AND(ISNUMBER(L1376),N(L1376)&gt;0),N(L1376),0)</f>
        <v>0.0</v>
      </c>
      <c r="W1376" s="67">
        <f>IF(AND(I1376="Terminée",S1376&gt;0,C1376&lt;&gt;"",ISNUMBER(MATCH(C1376,eq_code,0))),1,0)</f>
        <v>0.0</v>
      </c>
      <c r="X1376" s="67">
        <f>IF(AND(W1376=1,E1376="Préventif"),1,0)</f>
        <v>0.0</v>
      </c>
      <c r="Y1376" s="67">
        <f>IF(AND(ISNUMBER(N1376),N(N1376)&gt;0),N(N1376),0)</f>
        <v>0.0</v>
      </c>
      <c r="Z1376" s="67">
        <f>IF(AND(ISNUMBER(P1376),N(P1376)&gt;0),N(P1376),0)</f>
        <v>0.0</v>
      </c>
    </row>
    <row r="1377">
      <c r="A1377" s="79" t="str">
        <f>IF(COUNTA(B1377:C1377,E1377:G1377,I1377)=0,"","BI-"&amp;RIGHT("0000"&amp;(ROW()-5),4))</f>
        <v/>
      </c>
      <c r="B1377" s="72" t="n"/>
      <c r="C1377" s="66" t="n"/>
      <c r="D1377" s="67" t="str">
        <f>IF(C1377="","",IFERROR(INDEX(eq_des,MATCH(C1377,eq_code,0))&amp;"","Équipement inconnu"))</f>
        <v/>
      </c>
      <c r="E1377" s="68" t="n"/>
      <c r="F1377" s="68" t="n"/>
      <c r="G1377" s="66" t="n"/>
      <c r="H1377" s="66" t="n"/>
      <c r="I1377" s="68" t="n"/>
      <c r="J1377" s="73" t="n"/>
      <c r="K1377" s="71" t="n"/>
      <c r="L1377" s="71" t="n"/>
      <c r="M1377" s="66" t="n"/>
      <c r="N1377" s="80" t="n"/>
      <c r="O1377" s="81" t="str">
        <f>IF(A1377="","",ROUND(V1377*IFERROR(N(INDEX(tech_rate,MATCH(M1377,tech_name,0))),0),2))</f>
        <v/>
      </c>
      <c r="P1377" s="80" t="n"/>
      <c r="Q1377" s="81" t="str">
        <f>IF(A1377="","",ROUND(Y1377+O1377+Z1377,2))</f>
        <v/>
      </c>
      <c r="R1377" s="79" t="str">
        <f>IF(A1377="","",IF(S1377=0,"Date manquante ou invalide",IF(C1377="","Équipement manquant",IF(ISNA(MATCH(C1377,eq_code,0)),"Équipement inconnu",IF(E1377="","Type manquant",IF(AND(E1377&lt;&gt;"Préventif",E1377&lt;&gt;"Correctif",E1377&lt;&gt;"Amélioratif"),"Type inconnu",IF(I1377="","Statut manquant",IF(AND(I1377&lt;&gt;"Terminée",I1377&lt;&gt;"En cours",I1377&lt;&gt;"À faire",I1377&lt;&gt;"Annulée"),"Statut inconnu",IF(AND(E1377="Préventif",F1377=""),"Plan manquant (préventif)",IF(AND(F1377&lt;&gt;"",ISNA(MATCH(F1377,pl_num,0))),"Plan inconnu",IF(AND(F1377&lt;&gt;"",IFERROR(INDEX(pl_eq,MATCH(F1377,pl_num,0))&amp;"",C1377)&lt;&gt;C1377),"Plan d'un autre équipement",IF(AND(J1377&lt;&gt;"",OR(NOT(ISNUMBER(J1377)),N(J1377)&lt;0)),"Compteur invalide",IF(OR(AND(K1377&lt;&gt;"",OR(NOT(ISNUMBER(K1377)),N(K1377)&lt;0)),AND(L1377&lt;&gt;"",OR(NOT(ISNUMBER(L1377)),N(L1377)&lt;0))),"Durée invalide",IF(OR(AND(N1377&lt;&gt;"",OR(NOT(ISNUMBER(N1377)),N(N1377)&lt;0)),AND(P1377&lt;&gt;"",OR(NOT(ISNUMBER(P1377)),N(P1377)&lt;0))),"Coût invalide",IF(AND(M1377&lt;&gt;"",ISNA(MATCH(M1377,tech_name,0))),"Technicien inconnu",IF(AND(I1377="Terminée",S1377&gt;p_today),"Terminée à une date future",IF(AND(I1377="Terminée",V1377=0),"Durée d'intervention manquante",IF(AND(I1377="Terminée",E1377="Préventif",T1377=0,OR(IFERROR(INDEX(pl_trig,MATCH(F1377,pl_num,0))&amp;"","")="Compteur",IFERROR(INDEX(pl_trig,MATCH(F1377,pl_num,0))&amp;"","")="Au premier des deux")),"Compteur manquant (plan au compteur)","OK"))))))))))))))))))</f>
        <v/>
      </c>
      <c r="S1377" s="67">
        <f>IF(AND(ISNUMBER(B1377),N(B1377)&gt;0),INT(B1377),0)</f>
        <v>0.0</v>
      </c>
      <c r="T1377" s="67">
        <f>IF(AND(ISNUMBER(J1377),N(J1377)&gt;=0),N(J1377),0)</f>
        <v>0.0</v>
      </c>
      <c r="U1377" s="67">
        <f>IF(AND(ISNUMBER(K1377),N(K1377)&gt;0),N(K1377),0)</f>
        <v>0.0</v>
      </c>
      <c r="V1377" s="67">
        <f>IF(AND(ISNUMBER(L1377),N(L1377)&gt;0),N(L1377),0)</f>
        <v>0.0</v>
      </c>
      <c r="W1377" s="67">
        <f>IF(AND(I1377="Terminée",S1377&gt;0,C1377&lt;&gt;"",ISNUMBER(MATCH(C1377,eq_code,0))),1,0)</f>
        <v>0.0</v>
      </c>
      <c r="X1377" s="67">
        <f>IF(AND(W1377=1,E1377="Préventif"),1,0)</f>
        <v>0.0</v>
      </c>
      <c r="Y1377" s="67">
        <f>IF(AND(ISNUMBER(N1377),N(N1377)&gt;0),N(N1377),0)</f>
        <v>0.0</v>
      </c>
      <c r="Z1377" s="67">
        <f>IF(AND(ISNUMBER(P1377),N(P1377)&gt;0),N(P1377),0)</f>
        <v>0.0</v>
      </c>
    </row>
    <row r="1378">
      <c r="A1378" s="79" t="str">
        <f>IF(COUNTA(B1378:C1378,E1378:G1378,I1378)=0,"","BI-"&amp;RIGHT("0000"&amp;(ROW()-5),4))</f>
        <v/>
      </c>
      <c r="B1378" s="72" t="n"/>
      <c r="C1378" s="66" t="n"/>
      <c r="D1378" s="67" t="str">
        <f>IF(C1378="","",IFERROR(INDEX(eq_des,MATCH(C1378,eq_code,0))&amp;"","Équipement inconnu"))</f>
        <v/>
      </c>
      <c r="E1378" s="68" t="n"/>
      <c r="F1378" s="68" t="n"/>
      <c r="G1378" s="66" t="n"/>
      <c r="H1378" s="66" t="n"/>
      <c r="I1378" s="68" t="n"/>
      <c r="J1378" s="73" t="n"/>
      <c r="K1378" s="71" t="n"/>
      <c r="L1378" s="71" t="n"/>
      <c r="M1378" s="66" t="n"/>
      <c r="N1378" s="80" t="n"/>
      <c r="O1378" s="81" t="str">
        <f>IF(A1378="","",ROUND(V1378*IFERROR(N(INDEX(tech_rate,MATCH(M1378,tech_name,0))),0),2))</f>
        <v/>
      </c>
      <c r="P1378" s="80" t="n"/>
      <c r="Q1378" s="81" t="str">
        <f>IF(A1378="","",ROUND(Y1378+O1378+Z1378,2))</f>
        <v/>
      </c>
      <c r="R1378" s="79" t="str">
        <f>IF(A1378="","",IF(S1378=0,"Date manquante ou invalide",IF(C1378="","Équipement manquant",IF(ISNA(MATCH(C1378,eq_code,0)),"Équipement inconnu",IF(E1378="","Type manquant",IF(AND(E1378&lt;&gt;"Préventif",E1378&lt;&gt;"Correctif",E1378&lt;&gt;"Amélioratif"),"Type inconnu",IF(I1378="","Statut manquant",IF(AND(I1378&lt;&gt;"Terminée",I1378&lt;&gt;"En cours",I1378&lt;&gt;"À faire",I1378&lt;&gt;"Annulée"),"Statut inconnu",IF(AND(E1378="Préventif",F1378=""),"Plan manquant (préventif)",IF(AND(F1378&lt;&gt;"",ISNA(MATCH(F1378,pl_num,0))),"Plan inconnu",IF(AND(F1378&lt;&gt;"",IFERROR(INDEX(pl_eq,MATCH(F1378,pl_num,0))&amp;"",C1378)&lt;&gt;C1378),"Plan d'un autre équipement",IF(AND(J1378&lt;&gt;"",OR(NOT(ISNUMBER(J1378)),N(J1378)&lt;0)),"Compteur invalide",IF(OR(AND(K1378&lt;&gt;"",OR(NOT(ISNUMBER(K1378)),N(K1378)&lt;0)),AND(L1378&lt;&gt;"",OR(NOT(ISNUMBER(L1378)),N(L1378)&lt;0))),"Durée invalide",IF(OR(AND(N1378&lt;&gt;"",OR(NOT(ISNUMBER(N1378)),N(N1378)&lt;0)),AND(P1378&lt;&gt;"",OR(NOT(ISNUMBER(P1378)),N(P1378)&lt;0))),"Coût invalide",IF(AND(M1378&lt;&gt;"",ISNA(MATCH(M1378,tech_name,0))),"Technicien inconnu",IF(AND(I1378="Terminée",S1378&gt;p_today),"Terminée à une date future",IF(AND(I1378="Terminée",V1378=0),"Durée d'intervention manquante",IF(AND(I1378="Terminée",E1378="Préventif",T1378=0,OR(IFERROR(INDEX(pl_trig,MATCH(F1378,pl_num,0))&amp;"","")="Compteur",IFERROR(INDEX(pl_trig,MATCH(F1378,pl_num,0))&amp;"","")="Au premier des deux")),"Compteur manquant (plan au compteur)","OK"))))))))))))))))))</f>
        <v/>
      </c>
      <c r="S1378" s="67">
        <f>IF(AND(ISNUMBER(B1378),N(B1378)&gt;0),INT(B1378),0)</f>
        <v>0.0</v>
      </c>
      <c r="T1378" s="67">
        <f>IF(AND(ISNUMBER(J1378),N(J1378)&gt;=0),N(J1378),0)</f>
        <v>0.0</v>
      </c>
      <c r="U1378" s="67">
        <f>IF(AND(ISNUMBER(K1378),N(K1378)&gt;0),N(K1378),0)</f>
        <v>0.0</v>
      </c>
      <c r="V1378" s="67">
        <f>IF(AND(ISNUMBER(L1378),N(L1378)&gt;0),N(L1378),0)</f>
        <v>0.0</v>
      </c>
      <c r="W1378" s="67">
        <f>IF(AND(I1378="Terminée",S1378&gt;0,C1378&lt;&gt;"",ISNUMBER(MATCH(C1378,eq_code,0))),1,0)</f>
        <v>0.0</v>
      </c>
      <c r="X1378" s="67">
        <f>IF(AND(W1378=1,E1378="Préventif"),1,0)</f>
        <v>0.0</v>
      </c>
      <c r="Y1378" s="67">
        <f>IF(AND(ISNUMBER(N1378),N(N1378)&gt;0),N(N1378),0)</f>
        <v>0.0</v>
      </c>
      <c r="Z1378" s="67">
        <f>IF(AND(ISNUMBER(P1378),N(P1378)&gt;0),N(P1378),0)</f>
        <v>0.0</v>
      </c>
    </row>
    <row r="1379">
      <c r="A1379" s="79" t="str">
        <f>IF(COUNTA(B1379:C1379,E1379:G1379,I1379)=0,"","BI-"&amp;RIGHT("0000"&amp;(ROW()-5),4))</f>
        <v/>
      </c>
      <c r="B1379" s="72" t="n"/>
      <c r="C1379" s="66" t="n"/>
      <c r="D1379" s="67" t="str">
        <f>IF(C1379="","",IFERROR(INDEX(eq_des,MATCH(C1379,eq_code,0))&amp;"","Équipement inconnu"))</f>
        <v/>
      </c>
      <c r="E1379" s="68" t="n"/>
      <c r="F1379" s="68" t="n"/>
      <c r="G1379" s="66" t="n"/>
      <c r="H1379" s="66" t="n"/>
      <c r="I1379" s="68" t="n"/>
      <c r="J1379" s="73" t="n"/>
      <c r="K1379" s="71" t="n"/>
      <c r="L1379" s="71" t="n"/>
      <c r="M1379" s="66" t="n"/>
      <c r="N1379" s="80" t="n"/>
      <c r="O1379" s="81" t="str">
        <f>IF(A1379="","",ROUND(V1379*IFERROR(N(INDEX(tech_rate,MATCH(M1379,tech_name,0))),0),2))</f>
        <v/>
      </c>
      <c r="P1379" s="80" t="n"/>
      <c r="Q1379" s="81" t="str">
        <f>IF(A1379="","",ROUND(Y1379+O1379+Z1379,2))</f>
        <v/>
      </c>
      <c r="R1379" s="79" t="str">
        <f>IF(A1379="","",IF(S1379=0,"Date manquante ou invalide",IF(C1379="","Équipement manquant",IF(ISNA(MATCH(C1379,eq_code,0)),"Équipement inconnu",IF(E1379="","Type manquant",IF(AND(E1379&lt;&gt;"Préventif",E1379&lt;&gt;"Correctif",E1379&lt;&gt;"Amélioratif"),"Type inconnu",IF(I1379="","Statut manquant",IF(AND(I1379&lt;&gt;"Terminée",I1379&lt;&gt;"En cours",I1379&lt;&gt;"À faire",I1379&lt;&gt;"Annulée"),"Statut inconnu",IF(AND(E1379="Préventif",F1379=""),"Plan manquant (préventif)",IF(AND(F1379&lt;&gt;"",ISNA(MATCH(F1379,pl_num,0))),"Plan inconnu",IF(AND(F1379&lt;&gt;"",IFERROR(INDEX(pl_eq,MATCH(F1379,pl_num,0))&amp;"",C1379)&lt;&gt;C1379),"Plan d'un autre équipement",IF(AND(J1379&lt;&gt;"",OR(NOT(ISNUMBER(J1379)),N(J1379)&lt;0)),"Compteur invalide",IF(OR(AND(K1379&lt;&gt;"",OR(NOT(ISNUMBER(K1379)),N(K1379)&lt;0)),AND(L1379&lt;&gt;"",OR(NOT(ISNUMBER(L1379)),N(L1379)&lt;0))),"Durée invalide",IF(OR(AND(N1379&lt;&gt;"",OR(NOT(ISNUMBER(N1379)),N(N1379)&lt;0)),AND(P1379&lt;&gt;"",OR(NOT(ISNUMBER(P1379)),N(P1379)&lt;0))),"Coût invalide",IF(AND(M1379&lt;&gt;"",ISNA(MATCH(M1379,tech_name,0))),"Technicien inconnu",IF(AND(I1379="Terminée",S1379&gt;p_today),"Terminée à une date future",IF(AND(I1379="Terminée",V1379=0),"Durée d'intervention manquante",IF(AND(I1379="Terminée",E1379="Préventif",T1379=0,OR(IFERROR(INDEX(pl_trig,MATCH(F1379,pl_num,0))&amp;"","")="Compteur",IFERROR(INDEX(pl_trig,MATCH(F1379,pl_num,0))&amp;"","")="Au premier des deux")),"Compteur manquant (plan au compteur)","OK"))))))))))))))))))</f>
        <v/>
      </c>
      <c r="S1379" s="67">
        <f>IF(AND(ISNUMBER(B1379),N(B1379)&gt;0),INT(B1379),0)</f>
        <v>0.0</v>
      </c>
      <c r="T1379" s="67">
        <f>IF(AND(ISNUMBER(J1379),N(J1379)&gt;=0),N(J1379),0)</f>
        <v>0.0</v>
      </c>
      <c r="U1379" s="67">
        <f>IF(AND(ISNUMBER(K1379),N(K1379)&gt;0),N(K1379),0)</f>
        <v>0.0</v>
      </c>
      <c r="V1379" s="67">
        <f>IF(AND(ISNUMBER(L1379),N(L1379)&gt;0),N(L1379),0)</f>
        <v>0.0</v>
      </c>
      <c r="W1379" s="67">
        <f>IF(AND(I1379="Terminée",S1379&gt;0,C1379&lt;&gt;"",ISNUMBER(MATCH(C1379,eq_code,0))),1,0)</f>
        <v>0.0</v>
      </c>
      <c r="X1379" s="67">
        <f>IF(AND(W1379=1,E1379="Préventif"),1,0)</f>
        <v>0.0</v>
      </c>
      <c r="Y1379" s="67">
        <f>IF(AND(ISNUMBER(N1379),N(N1379)&gt;0),N(N1379),0)</f>
        <v>0.0</v>
      </c>
      <c r="Z1379" s="67">
        <f>IF(AND(ISNUMBER(P1379),N(P1379)&gt;0),N(P1379),0)</f>
        <v>0.0</v>
      </c>
    </row>
    <row r="1380">
      <c r="A1380" s="79" t="str">
        <f>IF(COUNTA(B1380:C1380,E1380:G1380,I1380)=0,"","BI-"&amp;RIGHT("0000"&amp;(ROW()-5),4))</f>
        <v/>
      </c>
      <c r="B1380" s="72" t="n"/>
      <c r="C1380" s="66" t="n"/>
      <c r="D1380" s="67" t="str">
        <f>IF(C1380="","",IFERROR(INDEX(eq_des,MATCH(C1380,eq_code,0))&amp;"","Équipement inconnu"))</f>
        <v/>
      </c>
      <c r="E1380" s="68" t="n"/>
      <c r="F1380" s="68" t="n"/>
      <c r="G1380" s="66" t="n"/>
      <c r="H1380" s="66" t="n"/>
      <c r="I1380" s="68" t="n"/>
      <c r="J1380" s="73" t="n"/>
      <c r="K1380" s="71" t="n"/>
      <c r="L1380" s="71" t="n"/>
      <c r="M1380" s="66" t="n"/>
      <c r="N1380" s="80" t="n"/>
      <c r="O1380" s="81" t="str">
        <f>IF(A1380="","",ROUND(V1380*IFERROR(N(INDEX(tech_rate,MATCH(M1380,tech_name,0))),0),2))</f>
        <v/>
      </c>
      <c r="P1380" s="80" t="n"/>
      <c r="Q1380" s="81" t="str">
        <f>IF(A1380="","",ROUND(Y1380+O1380+Z1380,2))</f>
        <v/>
      </c>
      <c r="R1380" s="79" t="str">
        <f>IF(A1380="","",IF(S1380=0,"Date manquante ou invalide",IF(C1380="","Équipement manquant",IF(ISNA(MATCH(C1380,eq_code,0)),"Équipement inconnu",IF(E1380="","Type manquant",IF(AND(E1380&lt;&gt;"Préventif",E1380&lt;&gt;"Correctif",E1380&lt;&gt;"Amélioratif"),"Type inconnu",IF(I1380="","Statut manquant",IF(AND(I1380&lt;&gt;"Terminée",I1380&lt;&gt;"En cours",I1380&lt;&gt;"À faire",I1380&lt;&gt;"Annulée"),"Statut inconnu",IF(AND(E1380="Préventif",F1380=""),"Plan manquant (préventif)",IF(AND(F1380&lt;&gt;"",ISNA(MATCH(F1380,pl_num,0))),"Plan inconnu",IF(AND(F1380&lt;&gt;"",IFERROR(INDEX(pl_eq,MATCH(F1380,pl_num,0))&amp;"",C1380)&lt;&gt;C1380),"Plan d'un autre équipement",IF(AND(J1380&lt;&gt;"",OR(NOT(ISNUMBER(J1380)),N(J1380)&lt;0)),"Compteur invalide",IF(OR(AND(K1380&lt;&gt;"",OR(NOT(ISNUMBER(K1380)),N(K1380)&lt;0)),AND(L1380&lt;&gt;"",OR(NOT(ISNUMBER(L1380)),N(L1380)&lt;0))),"Durée invalide",IF(OR(AND(N1380&lt;&gt;"",OR(NOT(ISNUMBER(N1380)),N(N1380)&lt;0)),AND(P1380&lt;&gt;"",OR(NOT(ISNUMBER(P1380)),N(P1380)&lt;0))),"Coût invalide",IF(AND(M1380&lt;&gt;"",ISNA(MATCH(M1380,tech_name,0))),"Technicien inconnu",IF(AND(I1380="Terminée",S1380&gt;p_today),"Terminée à une date future",IF(AND(I1380="Terminée",V1380=0),"Durée d'intervention manquante",IF(AND(I1380="Terminée",E1380="Préventif",T1380=0,OR(IFERROR(INDEX(pl_trig,MATCH(F1380,pl_num,0))&amp;"","")="Compteur",IFERROR(INDEX(pl_trig,MATCH(F1380,pl_num,0))&amp;"","")="Au premier des deux")),"Compteur manquant (plan au compteur)","OK"))))))))))))))))))</f>
        <v/>
      </c>
      <c r="S1380" s="67">
        <f>IF(AND(ISNUMBER(B1380),N(B1380)&gt;0),INT(B1380),0)</f>
        <v>0.0</v>
      </c>
      <c r="T1380" s="67">
        <f>IF(AND(ISNUMBER(J1380),N(J1380)&gt;=0),N(J1380),0)</f>
        <v>0.0</v>
      </c>
      <c r="U1380" s="67">
        <f>IF(AND(ISNUMBER(K1380),N(K1380)&gt;0),N(K1380),0)</f>
        <v>0.0</v>
      </c>
      <c r="V1380" s="67">
        <f>IF(AND(ISNUMBER(L1380),N(L1380)&gt;0),N(L1380),0)</f>
        <v>0.0</v>
      </c>
      <c r="W1380" s="67">
        <f>IF(AND(I1380="Terminée",S1380&gt;0,C1380&lt;&gt;"",ISNUMBER(MATCH(C1380,eq_code,0))),1,0)</f>
        <v>0.0</v>
      </c>
      <c r="X1380" s="67">
        <f>IF(AND(W1380=1,E1380="Préventif"),1,0)</f>
        <v>0.0</v>
      </c>
      <c r="Y1380" s="67">
        <f>IF(AND(ISNUMBER(N1380),N(N1380)&gt;0),N(N1380),0)</f>
        <v>0.0</v>
      </c>
      <c r="Z1380" s="67">
        <f>IF(AND(ISNUMBER(P1380),N(P1380)&gt;0),N(P1380),0)</f>
        <v>0.0</v>
      </c>
    </row>
    <row r="1381">
      <c r="A1381" s="79" t="str">
        <f>IF(COUNTA(B1381:C1381,E1381:G1381,I1381)=0,"","BI-"&amp;RIGHT("0000"&amp;(ROW()-5),4))</f>
        <v/>
      </c>
      <c r="B1381" s="72" t="n"/>
      <c r="C1381" s="66" t="n"/>
      <c r="D1381" s="67" t="str">
        <f>IF(C1381="","",IFERROR(INDEX(eq_des,MATCH(C1381,eq_code,0))&amp;"","Équipement inconnu"))</f>
        <v/>
      </c>
      <c r="E1381" s="68" t="n"/>
      <c r="F1381" s="68" t="n"/>
      <c r="G1381" s="66" t="n"/>
      <c r="H1381" s="66" t="n"/>
      <c r="I1381" s="68" t="n"/>
      <c r="J1381" s="73" t="n"/>
      <c r="K1381" s="71" t="n"/>
      <c r="L1381" s="71" t="n"/>
      <c r="M1381" s="66" t="n"/>
      <c r="N1381" s="80" t="n"/>
      <c r="O1381" s="81" t="str">
        <f>IF(A1381="","",ROUND(V1381*IFERROR(N(INDEX(tech_rate,MATCH(M1381,tech_name,0))),0),2))</f>
        <v/>
      </c>
      <c r="P1381" s="80" t="n"/>
      <c r="Q1381" s="81" t="str">
        <f>IF(A1381="","",ROUND(Y1381+O1381+Z1381,2))</f>
        <v/>
      </c>
      <c r="R1381" s="79" t="str">
        <f>IF(A1381="","",IF(S1381=0,"Date manquante ou invalide",IF(C1381="","Équipement manquant",IF(ISNA(MATCH(C1381,eq_code,0)),"Équipement inconnu",IF(E1381="","Type manquant",IF(AND(E1381&lt;&gt;"Préventif",E1381&lt;&gt;"Correctif",E1381&lt;&gt;"Amélioratif"),"Type inconnu",IF(I1381="","Statut manquant",IF(AND(I1381&lt;&gt;"Terminée",I1381&lt;&gt;"En cours",I1381&lt;&gt;"À faire",I1381&lt;&gt;"Annulée"),"Statut inconnu",IF(AND(E1381="Préventif",F1381=""),"Plan manquant (préventif)",IF(AND(F1381&lt;&gt;"",ISNA(MATCH(F1381,pl_num,0))),"Plan inconnu",IF(AND(F1381&lt;&gt;"",IFERROR(INDEX(pl_eq,MATCH(F1381,pl_num,0))&amp;"",C1381)&lt;&gt;C1381),"Plan d'un autre équipement",IF(AND(J1381&lt;&gt;"",OR(NOT(ISNUMBER(J1381)),N(J1381)&lt;0)),"Compteur invalide",IF(OR(AND(K1381&lt;&gt;"",OR(NOT(ISNUMBER(K1381)),N(K1381)&lt;0)),AND(L1381&lt;&gt;"",OR(NOT(ISNUMBER(L1381)),N(L1381)&lt;0))),"Durée invalide",IF(OR(AND(N1381&lt;&gt;"",OR(NOT(ISNUMBER(N1381)),N(N1381)&lt;0)),AND(P1381&lt;&gt;"",OR(NOT(ISNUMBER(P1381)),N(P1381)&lt;0))),"Coût invalide",IF(AND(M1381&lt;&gt;"",ISNA(MATCH(M1381,tech_name,0))),"Technicien inconnu",IF(AND(I1381="Terminée",S1381&gt;p_today),"Terminée à une date future",IF(AND(I1381="Terminée",V1381=0),"Durée d'intervention manquante",IF(AND(I1381="Terminée",E1381="Préventif",T1381=0,OR(IFERROR(INDEX(pl_trig,MATCH(F1381,pl_num,0))&amp;"","")="Compteur",IFERROR(INDEX(pl_trig,MATCH(F1381,pl_num,0))&amp;"","")="Au premier des deux")),"Compteur manquant (plan au compteur)","OK"))))))))))))))))))</f>
        <v/>
      </c>
      <c r="S1381" s="67">
        <f>IF(AND(ISNUMBER(B1381),N(B1381)&gt;0),INT(B1381),0)</f>
        <v>0.0</v>
      </c>
      <c r="T1381" s="67">
        <f>IF(AND(ISNUMBER(J1381),N(J1381)&gt;=0),N(J1381),0)</f>
        <v>0.0</v>
      </c>
      <c r="U1381" s="67">
        <f>IF(AND(ISNUMBER(K1381),N(K1381)&gt;0),N(K1381),0)</f>
        <v>0.0</v>
      </c>
      <c r="V1381" s="67">
        <f>IF(AND(ISNUMBER(L1381),N(L1381)&gt;0),N(L1381),0)</f>
        <v>0.0</v>
      </c>
      <c r="W1381" s="67">
        <f>IF(AND(I1381="Terminée",S1381&gt;0,C1381&lt;&gt;"",ISNUMBER(MATCH(C1381,eq_code,0))),1,0)</f>
        <v>0.0</v>
      </c>
      <c r="X1381" s="67">
        <f>IF(AND(W1381=1,E1381="Préventif"),1,0)</f>
        <v>0.0</v>
      </c>
      <c r="Y1381" s="67">
        <f>IF(AND(ISNUMBER(N1381),N(N1381)&gt;0),N(N1381),0)</f>
        <v>0.0</v>
      </c>
      <c r="Z1381" s="67">
        <f>IF(AND(ISNUMBER(P1381),N(P1381)&gt;0),N(P1381),0)</f>
        <v>0.0</v>
      </c>
    </row>
    <row r="1382">
      <c r="A1382" s="79" t="str">
        <f>IF(COUNTA(B1382:C1382,E1382:G1382,I1382)=0,"","BI-"&amp;RIGHT("0000"&amp;(ROW()-5),4))</f>
        <v/>
      </c>
      <c r="B1382" s="72" t="n"/>
      <c r="C1382" s="66" t="n"/>
      <c r="D1382" s="67" t="str">
        <f>IF(C1382="","",IFERROR(INDEX(eq_des,MATCH(C1382,eq_code,0))&amp;"","Équipement inconnu"))</f>
        <v/>
      </c>
      <c r="E1382" s="68" t="n"/>
      <c r="F1382" s="68" t="n"/>
      <c r="G1382" s="66" t="n"/>
      <c r="H1382" s="66" t="n"/>
      <c r="I1382" s="68" t="n"/>
      <c r="J1382" s="73" t="n"/>
      <c r="K1382" s="71" t="n"/>
      <c r="L1382" s="71" t="n"/>
      <c r="M1382" s="66" t="n"/>
      <c r="N1382" s="80" t="n"/>
      <c r="O1382" s="81" t="str">
        <f>IF(A1382="","",ROUND(V1382*IFERROR(N(INDEX(tech_rate,MATCH(M1382,tech_name,0))),0),2))</f>
        <v/>
      </c>
      <c r="P1382" s="80" t="n"/>
      <c r="Q1382" s="81" t="str">
        <f>IF(A1382="","",ROUND(Y1382+O1382+Z1382,2))</f>
        <v/>
      </c>
      <c r="R1382" s="79" t="str">
        <f>IF(A1382="","",IF(S1382=0,"Date manquante ou invalide",IF(C1382="","Équipement manquant",IF(ISNA(MATCH(C1382,eq_code,0)),"Équipement inconnu",IF(E1382="","Type manquant",IF(AND(E1382&lt;&gt;"Préventif",E1382&lt;&gt;"Correctif",E1382&lt;&gt;"Amélioratif"),"Type inconnu",IF(I1382="","Statut manquant",IF(AND(I1382&lt;&gt;"Terminée",I1382&lt;&gt;"En cours",I1382&lt;&gt;"À faire",I1382&lt;&gt;"Annulée"),"Statut inconnu",IF(AND(E1382="Préventif",F1382=""),"Plan manquant (préventif)",IF(AND(F1382&lt;&gt;"",ISNA(MATCH(F1382,pl_num,0))),"Plan inconnu",IF(AND(F1382&lt;&gt;"",IFERROR(INDEX(pl_eq,MATCH(F1382,pl_num,0))&amp;"",C1382)&lt;&gt;C1382),"Plan d'un autre équipement",IF(AND(J1382&lt;&gt;"",OR(NOT(ISNUMBER(J1382)),N(J1382)&lt;0)),"Compteur invalide",IF(OR(AND(K1382&lt;&gt;"",OR(NOT(ISNUMBER(K1382)),N(K1382)&lt;0)),AND(L1382&lt;&gt;"",OR(NOT(ISNUMBER(L1382)),N(L1382)&lt;0))),"Durée invalide",IF(OR(AND(N1382&lt;&gt;"",OR(NOT(ISNUMBER(N1382)),N(N1382)&lt;0)),AND(P1382&lt;&gt;"",OR(NOT(ISNUMBER(P1382)),N(P1382)&lt;0))),"Coût invalide",IF(AND(M1382&lt;&gt;"",ISNA(MATCH(M1382,tech_name,0))),"Technicien inconnu",IF(AND(I1382="Terminée",S1382&gt;p_today),"Terminée à une date future",IF(AND(I1382="Terminée",V1382=0),"Durée d'intervention manquante",IF(AND(I1382="Terminée",E1382="Préventif",T1382=0,OR(IFERROR(INDEX(pl_trig,MATCH(F1382,pl_num,0))&amp;"","")="Compteur",IFERROR(INDEX(pl_trig,MATCH(F1382,pl_num,0))&amp;"","")="Au premier des deux")),"Compteur manquant (plan au compteur)","OK"))))))))))))))))))</f>
        <v/>
      </c>
      <c r="S1382" s="67">
        <f>IF(AND(ISNUMBER(B1382),N(B1382)&gt;0),INT(B1382),0)</f>
        <v>0.0</v>
      </c>
      <c r="T1382" s="67">
        <f>IF(AND(ISNUMBER(J1382),N(J1382)&gt;=0),N(J1382),0)</f>
        <v>0.0</v>
      </c>
      <c r="U1382" s="67">
        <f>IF(AND(ISNUMBER(K1382),N(K1382)&gt;0),N(K1382),0)</f>
        <v>0.0</v>
      </c>
      <c r="V1382" s="67">
        <f>IF(AND(ISNUMBER(L1382),N(L1382)&gt;0),N(L1382),0)</f>
        <v>0.0</v>
      </c>
      <c r="W1382" s="67">
        <f>IF(AND(I1382="Terminée",S1382&gt;0,C1382&lt;&gt;"",ISNUMBER(MATCH(C1382,eq_code,0))),1,0)</f>
        <v>0.0</v>
      </c>
      <c r="X1382" s="67">
        <f>IF(AND(W1382=1,E1382="Préventif"),1,0)</f>
        <v>0.0</v>
      </c>
      <c r="Y1382" s="67">
        <f>IF(AND(ISNUMBER(N1382),N(N1382)&gt;0),N(N1382),0)</f>
        <v>0.0</v>
      </c>
      <c r="Z1382" s="67">
        <f>IF(AND(ISNUMBER(P1382),N(P1382)&gt;0),N(P1382),0)</f>
        <v>0.0</v>
      </c>
    </row>
    <row r="1383">
      <c r="A1383" s="79" t="str">
        <f>IF(COUNTA(B1383:C1383,E1383:G1383,I1383)=0,"","BI-"&amp;RIGHT("0000"&amp;(ROW()-5),4))</f>
        <v/>
      </c>
      <c r="B1383" s="72" t="n"/>
      <c r="C1383" s="66" t="n"/>
      <c r="D1383" s="67" t="str">
        <f>IF(C1383="","",IFERROR(INDEX(eq_des,MATCH(C1383,eq_code,0))&amp;"","Équipement inconnu"))</f>
        <v/>
      </c>
      <c r="E1383" s="68" t="n"/>
      <c r="F1383" s="68" t="n"/>
      <c r="G1383" s="66" t="n"/>
      <c r="H1383" s="66" t="n"/>
      <c r="I1383" s="68" t="n"/>
      <c r="J1383" s="73" t="n"/>
      <c r="K1383" s="71" t="n"/>
      <c r="L1383" s="71" t="n"/>
      <c r="M1383" s="66" t="n"/>
      <c r="N1383" s="80" t="n"/>
      <c r="O1383" s="81" t="str">
        <f>IF(A1383="","",ROUND(V1383*IFERROR(N(INDEX(tech_rate,MATCH(M1383,tech_name,0))),0),2))</f>
        <v/>
      </c>
      <c r="P1383" s="80" t="n"/>
      <c r="Q1383" s="81" t="str">
        <f>IF(A1383="","",ROUND(Y1383+O1383+Z1383,2))</f>
        <v/>
      </c>
      <c r="R1383" s="79" t="str">
        <f>IF(A1383="","",IF(S1383=0,"Date manquante ou invalide",IF(C1383="","Équipement manquant",IF(ISNA(MATCH(C1383,eq_code,0)),"Équipement inconnu",IF(E1383="","Type manquant",IF(AND(E1383&lt;&gt;"Préventif",E1383&lt;&gt;"Correctif",E1383&lt;&gt;"Amélioratif"),"Type inconnu",IF(I1383="","Statut manquant",IF(AND(I1383&lt;&gt;"Terminée",I1383&lt;&gt;"En cours",I1383&lt;&gt;"À faire",I1383&lt;&gt;"Annulée"),"Statut inconnu",IF(AND(E1383="Préventif",F1383=""),"Plan manquant (préventif)",IF(AND(F1383&lt;&gt;"",ISNA(MATCH(F1383,pl_num,0))),"Plan inconnu",IF(AND(F1383&lt;&gt;"",IFERROR(INDEX(pl_eq,MATCH(F1383,pl_num,0))&amp;"",C1383)&lt;&gt;C1383),"Plan d'un autre équipement",IF(AND(J1383&lt;&gt;"",OR(NOT(ISNUMBER(J1383)),N(J1383)&lt;0)),"Compteur invalide",IF(OR(AND(K1383&lt;&gt;"",OR(NOT(ISNUMBER(K1383)),N(K1383)&lt;0)),AND(L1383&lt;&gt;"",OR(NOT(ISNUMBER(L1383)),N(L1383)&lt;0))),"Durée invalide",IF(OR(AND(N1383&lt;&gt;"",OR(NOT(ISNUMBER(N1383)),N(N1383)&lt;0)),AND(P1383&lt;&gt;"",OR(NOT(ISNUMBER(P1383)),N(P1383)&lt;0))),"Coût invalide",IF(AND(M1383&lt;&gt;"",ISNA(MATCH(M1383,tech_name,0))),"Technicien inconnu",IF(AND(I1383="Terminée",S1383&gt;p_today),"Terminée à une date future",IF(AND(I1383="Terminée",V1383=0),"Durée d'intervention manquante",IF(AND(I1383="Terminée",E1383="Préventif",T1383=0,OR(IFERROR(INDEX(pl_trig,MATCH(F1383,pl_num,0))&amp;"","")="Compteur",IFERROR(INDEX(pl_trig,MATCH(F1383,pl_num,0))&amp;"","")="Au premier des deux")),"Compteur manquant (plan au compteur)","OK"))))))))))))))))))</f>
        <v/>
      </c>
      <c r="S1383" s="67">
        <f>IF(AND(ISNUMBER(B1383),N(B1383)&gt;0),INT(B1383),0)</f>
        <v>0.0</v>
      </c>
      <c r="T1383" s="67">
        <f>IF(AND(ISNUMBER(J1383),N(J1383)&gt;=0),N(J1383),0)</f>
        <v>0.0</v>
      </c>
      <c r="U1383" s="67">
        <f>IF(AND(ISNUMBER(K1383),N(K1383)&gt;0),N(K1383),0)</f>
        <v>0.0</v>
      </c>
      <c r="V1383" s="67">
        <f>IF(AND(ISNUMBER(L1383),N(L1383)&gt;0),N(L1383),0)</f>
        <v>0.0</v>
      </c>
      <c r="W1383" s="67">
        <f>IF(AND(I1383="Terminée",S1383&gt;0,C1383&lt;&gt;"",ISNUMBER(MATCH(C1383,eq_code,0))),1,0)</f>
        <v>0.0</v>
      </c>
      <c r="X1383" s="67">
        <f>IF(AND(W1383=1,E1383="Préventif"),1,0)</f>
        <v>0.0</v>
      </c>
      <c r="Y1383" s="67">
        <f>IF(AND(ISNUMBER(N1383),N(N1383)&gt;0),N(N1383),0)</f>
        <v>0.0</v>
      </c>
      <c r="Z1383" s="67">
        <f>IF(AND(ISNUMBER(P1383),N(P1383)&gt;0),N(P1383),0)</f>
        <v>0.0</v>
      </c>
    </row>
    <row r="1384">
      <c r="A1384" s="79" t="str">
        <f>IF(COUNTA(B1384:C1384,E1384:G1384,I1384)=0,"","BI-"&amp;RIGHT("0000"&amp;(ROW()-5),4))</f>
        <v/>
      </c>
      <c r="B1384" s="72" t="n"/>
      <c r="C1384" s="66" t="n"/>
      <c r="D1384" s="67" t="str">
        <f>IF(C1384="","",IFERROR(INDEX(eq_des,MATCH(C1384,eq_code,0))&amp;"","Équipement inconnu"))</f>
        <v/>
      </c>
      <c r="E1384" s="68" t="n"/>
      <c r="F1384" s="68" t="n"/>
      <c r="G1384" s="66" t="n"/>
      <c r="H1384" s="66" t="n"/>
      <c r="I1384" s="68" t="n"/>
      <c r="J1384" s="73" t="n"/>
      <c r="K1384" s="71" t="n"/>
      <c r="L1384" s="71" t="n"/>
      <c r="M1384" s="66" t="n"/>
      <c r="N1384" s="80" t="n"/>
      <c r="O1384" s="81" t="str">
        <f>IF(A1384="","",ROUND(V1384*IFERROR(N(INDEX(tech_rate,MATCH(M1384,tech_name,0))),0),2))</f>
        <v/>
      </c>
      <c r="P1384" s="80" t="n"/>
      <c r="Q1384" s="81" t="str">
        <f>IF(A1384="","",ROUND(Y1384+O1384+Z1384,2))</f>
        <v/>
      </c>
      <c r="R1384" s="79" t="str">
        <f>IF(A1384="","",IF(S1384=0,"Date manquante ou invalide",IF(C1384="","Équipement manquant",IF(ISNA(MATCH(C1384,eq_code,0)),"Équipement inconnu",IF(E1384="","Type manquant",IF(AND(E1384&lt;&gt;"Préventif",E1384&lt;&gt;"Correctif",E1384&lt;&gt;"Amélioratif"),"Type inconnu",IF(I1384="","Statut manquant",IF(AND(I1384&lt;&gt;"Terminée",I1384&lt;&gt;"En cours",I1384&lt;&gt;"À faire",I1384&lt;&gt;"Annulée"),"Statut inconnu",IF(AND(E1384="Préventif",F1384=""),"Plan manquant (préventif)",IF(AND(F1384&lt;&gt;"",ISNA(MATCH(F1384,pl_num,0))),"Plan inconnu",IF(AND(F1384&lt;&gt;"",IFERROR(INDEX(pl_eq,MATCH(F1384,pl_num,0))&amp;"",C1384)&lt;&gt;C1384),"Plan d'un autre équipement",IF(AND(J1384&lt;&gt;"",OR(NOT(ISNUMBER(J1384)),N(J1384)&lt;0)),"Compteur invalide",IF(OR(AND(K1384&lt;&gt;"",OR(NOT(ISNUMBER(K1384)),N(K1384)&lt;0)),AND(L1384&lt;&gt;"",OR(NOT(ISNUMBER(L1384)),N(L1384)&lt;0))),"Durée invalide",IF(OR(AND(N1384&lt;&gt;"",OR(NOT(ISNUMBER(N1384)),N(N1384)&lt;0)),AND(P1384&lt;&gt;"",OR(NOT(ISNUMBER(P1384)),N(P1384)&lt;0))),"Coût invalide",IF(AND(M1384&lt;&gt;"",ISNA(MATCH(M1384,tech_name,0))),"Technicien inconnu",IF(AND(I1384="Terminée",S1384&gt;p_today),"Terminée à une date future",IF(AND(I1384="Terminée",V1384=0),"Durée d'intervention manquante",IF(AND(I1384="Terminée",E1384="Préventif",T1384=0,OR(IFERROR(INDEX(pl_trig,MATCH(F1384,pl_num,0))&amp;"","")="Compteur",IFERROR(INDEX(pl_trig,MATCH(F1384,pl_num,0))&amp;"","")="Au premier des deux")),"Compteur manquant (plan au compteur)","OK"))))))))))))))))))</f>
        <v/>
      </c>
      <c r="S1384" s="67">
        <f>IF(AND(ISNUMBER(B1384),N(B1384)&gt;0),INT(B1384),0)</f>
        <v>0.0</v>
      </c>
      <c r="T1384" s="67">
        <f>IF(AND(ISNUMBER(J1384),N(J1384)&gt;=0),N(J1384),0)</f>
        <v>0.0</v>
      </c>
      <c r="U1384" s="67">
        <f>IF(AND(ISNUMBER(K1384),N(K1384)&gt;0),N(K1384),0)</f>
        <v>0.0</v>
      </c>
      <c r="V1384" s="67">
        <f>IF(AND(ISNUMBER(L1384),N(L1384)&gt;0),N(L1384),0)</f>
        <v>0.0</v>
      </c>
      <c r="W1384" s="67">
        <f>IF(AND(I1384="Terminée",S1384&gt;0,C1384&lt;&gt;"",ISNUMBER(MATCH(C1384,eq_code,0))),1,0)</f>
        <v>0.0</v>
      </c>
      <c r="X1384" s="67">
        <f>IF(AND(W1384=1,E1384="Préventif"),1,0)</f>
        <v>0.0</v>
      </c>
      <c r="Y1384" s="67">
        <f>IF(AND(ISNUMBER(N1384),N(N1384)&gt;0),N(N1384),0)</f>
        <v>0.0</v>
      </c>
      <c r="Z1384" s="67">
        <f>IF(AND(ISNUMBER(P1384),N(P1384)&gt;0),N(P1384),0)</f>
        <v>0.0</v>
      </c>
    </row>
    <row r="1385">
      <c r="A1385" s="79" t="str">
        <f>IF(COUNTA(B1385:C1385,E1385:G1385,I1385)=0,"","BI-"&amp;RIGHT("0000"&amp;(ROW()-5),4))</f>
        <v/>
      </c>
      <c r="B1385" s="72" t="n"/>
      <c r="C1385" s="66" t="n"/>
      <c r="D1385" s="67" t="str">
        <f>IF(C1385="","",IFERROR(INDEX(eq_des,MATCH(C1385,eq_code,0))&amp;"","Équipement inconnu"))</f>
        <v/>
      </c>
      <c r="E1385" s="68" t="n"/>
      <c r="F1385" s="68" t="n"/>
      <c r="G1385" s="66" t="n"/>
      <c r="H1385" s="66" t="n"/>
      <c r="I1385" s="68" t="n"/>
      <c r="J1385" s="73" t="n"/>
      <c r="K1385" s="71" t="n"/>
      <c r="L1385" s="71" t="n"/>
      <c r="M1385" s="66" t="n"/>
      <c r="N1385" s="80" t="n"/>
      <c r="O1385" s="81" t="str">
        <f>IF(A1385="","",ROUND(V1385*IFERROR(N(INDEX(tech_rate,MATCH(M1385,tech_name,0))),0),2))</f>
        <v/>
      </c>
      <c r="P1385" s="80" t="n"/>
      <c r="Q1385" s="81" t="str">
        <f>IF(A1385="","",ROUND(Y1385+O1385+Z1385,2))</f>
        <v/>
      </c>
      <c r="R1385" s="79" t="str">
        <f>IF(A1385="","",IF(S1385=0,"Date manquante ou invalide",IF(C1385="","Équipement manquant",IF(ISNA(MATCH(C1385,eq_code,0)),"Équipement inconnu",IF(E1385="","Type manquant",IF(AND(E1385&lt;&gt;"Préventif",E1385&lt;&gt;"Correctif",E1385&lt;&gt;"Amélioratif"),"Type inconnu",IF(I1385="","Statut manquant",IF(AND(I1385&lt;&gt;"Terminée",I1385&lt;&gt;"En cours",I1385&lt;&gt;"À faire",I1385&lt;&gt;"Annulée"),"Statut inconnu",IF(AND(E1385="Préventif",F1385=""),"Plan manquant (préventif)",IF(AND(F1385&lt;&gt;"",ISNA(MATCH(F1385,pl_num,0))),"Plan inconnu",IF(AND(F1385&lt;&gt;"",IFERROR(INDEX(pl_eq,MATCH(F1385,pl_num,0))&amp;"",C1385)&lt;&gt;C1385),"Plan d'un autre équipement",IF(AND(J1385&lt;&gt;"",OR(NOT(ISNUMBER(J1385)),N(J1385)&lt;0)),"Compteur invalide",IF(OR(AND(K1385&lt;&gt;"",OR(NOT(ISNUMBER(K1385)),N(K1385)&lt;0)),AND(L1385&lt;&gt;"",OR(NOT(ISNUMBER(L1385)),N(L1385)&lt;0))),"Durée invalide",IF(OR(AND(N1385&lt;&gt;"",OR(NOT(ISNUMBER(N1385)),N(N1385)&lt;0)),AND(P1385&lt;&gt;"",OR(NOT(ISNUMBER(P1385)),N(P1385)&lt;0))),"Coût invalide",IF(AND(M1385&lt;&gt;"",ISNA(MATCH(M1385,tech_name,0))),"Technicien inconnu",IF(AND(I1385="Terminée",S1385&gt;p_today),"Terminée à une date future",IF(AND(I1385="Terminée",V1385=0),"Durée d'intervention manquante",IF(AND(I1385="Terminée",E1385="Préventif",T1385=0,OR(IFERROR(INDEX(pl_trig,MATCH(F1385,pl_num,0))&amp;"","")="Compteur",IFERROR(INDEX(pl_trig,MATCH(F1385,pl_num,0))&amp;"","")="Au premier des deux")),"Compteur manquant (plan au compteur)","OK"))))))))))))))))))</f>
        <v/>
      </c>
      <c r="S1385" s="67">
        <f>IF(AND(ISNUMBER(B1385),N(B1385)&gt;0),INT(B1385),0)</f>
        <v>0.0</v>
      </c>
      <c r="T1385" s="67">
        <f>IF(AND(ISNUMBER(J1385),N(J1385)&gt;=0),N(J1385),0)</f>
        <v>0.0</v>
      </c>
      <c r="U1385" s="67">
        <f>IF(AND(ISNUMBER(K1385),N(K1385)&gt;0),N(K1385),0)</f>
        <v>0.0</v>
      </c>
      <c r="V1385" s="67">
        <f>IF(AND(ISNUMBER(L1385),N(L1385)&gt;0),N(L1385),0)</f>
        <v>0.0</v>
      </c>
      <c r="W1385" s="67">
        <f>IF(AND(I1385="Terminée",S1385&gt;0,C1385&lt;&gt;"",ISNUMBER(MATCH(C1385,eq_code,0))),1,0)</f>
        <v>0.0</v>
      </c>
      <c r="X1385" s="67">
        <f>IF(AND(W1385=1,E1385="Préventif"),1,0)</f>
        <v>0.0</v>
      </c>
      <c r="Y1385" s="67">
        <f>IF(AND(ISNUMBER(N1385),N(N1385)&gt;0),N(N1385),0)</f>
        <v>0.0</v>
      </c>
      <c r="Z1385" s="67">
        <f>IF(AND(ISNUMBER(P1385),N(P1385)&gt;0),N(P1385),0)</f>
        <v>0.0</v>
      </c>
    </row>
    <row r="1386">
      <c r="A1386" s="79" t="str">
        <f>IF(COUNTA(B1386:C1386,E1386:G1386,I1386)=0,"","BI-"&amp;RIGHT("0000"&amp;(ROW()-5),4))</f>
        <v/>
      </c>
      <c r="B1386" s="72" t="n"/>
      <c r="C1386" s="66" t="n"/>
      <c r="D1386" s="67" t="str">
        <f>IF(C1386="","",IFERROR(INDEX(eq_des,MATCH(C1386,eq_code,0))&amp;"","Équipement inconnu"))</f>
        <v/>
      </c>
      <c r="E1386" s="68" t="n"/>
      <c r="F1386" s="68" t="n"/>
      <c r="G1386" s="66" t="n"/>
      <c r="H1386" s="66" t="n"/>
      <c r="I1386" s="68" t="n"/>
      <c r="J1386" s="73" t="n"/>
      <c r="K1386" s="71" t="n"/>
      <c r="L1386" s="71" t="n"/>
      <c r="M1386" s="66" t="n"/>
      <c r="N1386" s="80" t="n"/>
      <c r="O1386" s="81" t="str">
        <f>IF(A1386="","",ROUND(V1386*IFERROR(N(INDEX(tech_rate,MATCH(M1386,tech_name,0))),0),2))</f>
        <v/>
      </c>
      <c r="P1386" s="80" t="n"/>
      <c r="Q1386" s="81" t="str">
        <f>IF(A1386="","",ROUND(Y1386+O1386+Z1386,2))</f>
        <v/>
      </c>
      <c r="R1386" s="79" t="str">
        <f>IF(A1386="","",IF(S1386=0,"Date manquante ou invalide",IF(C1386="","Équipement manquant",IF(ISNA(MATCH(C1386,eq_code,0)),"Équipement inconnu",IF(E1386="","Type manquant",IF(AND(E1386&lt;&gt;"Préventif",E1386&lt;&gt;"Correctif",E1386&lt;&gt;"Amélioratif"),"Type inconnu",IF(I1386="","Statut manquant",IF(AND(I1386&lt;&gt;"Terminée",I1386&lt;&gt;"En cours",I1386&lt;&gt;"À faire",I1386&lt;&gt;"Annulée"),"Statut inconnu",IF(AND(E1386="Préventif",F1386=""),"Plan manquant (préventif)",IF(AND(F1386&lt;&gt;"",ISNA(MATCH(F1386,pl_num,0))),"Plan inconnu",IF(AND(F1386&lt;&gt;"",IFERROR(INDEX(pl_eq,MATCH(F1386,pl_num,0))&amp;"",C1386)&lt;&gt;C1386),"Plan d'un autre équipement",IF(AND(J1386&lt;&gt;"",OR(NOT(ISNUMBER(J1386)),N(J1386)&lt;0)),"Compteur invalide",IF(OR(AND(K1386&lt;&gt;"",OR(NOT(ISNUMBER(K1386)),N(K1386)&lt;0)),AND(L1386&lt;&gt;"",OR(NOT(ISNUMBER(L1386)),N(L1386)&lt;0))),"Durée invalide",IF(OR(AND(N1386&lt;&gt;"",OR(NOT(ISNUMBER(N1386)),N(N1386)&lt;0)),AND(P1386&lt;&gt;"",OR(NOT(ISNUMBER(P1386)),N(P1386)&lt;0))),"Coût invalide",IF(AND(M1386&lt;&gt;"",ISNA(MATCH(M1386,tech_name,0))),"Technicien inconnu",IF(AND(I1386="Terminée",S1386&gt;p_today),"Terminée à une date future",IF(AND(I1386="Terminée",V1386=0),"Durée d'intervention manquante",IF(AND(I1386="Terminée",E1386="Préventif",T1386=0,OR(IFERROR(INDEX(pl_trig,MATCH(F1386,pl_num,0))&amp;"","")="Compteur",IFERROR(INDEX(pl_trig,MATCH(F1386,pl_num,0))&amp;"","")="Au premier des deux")),"Compteur manquant (plan au compteur)","OK"))))))))))))))))))</f>
        <v/>
      </c>
      <c r="S1386" s="67">
        <f>IF(AND(ISNUMBER(B1386),N(B1386)&gt;0),INT(B1386),0)</f>
        <v>0.0</v>
      </c>
      <c r="T1386" s="67">
        <f>IF(AND(ISNUMBER(J1386),N(J1386)&gt;=0),N(J1386),0)</f>
        <v>0.0</v>
      </c>
      <c r="U1386" s="67">
        <f>IF(AND(ISNUMBER(K1386),N(K1386)&gt;0),N(K1386),0)</f>
        <v>0.0</v>
      </c>
      <c r="V1386" s="67">
        <f>IF(AND(ISNUMBER(L1386),N(L1386)&gt;0),N(L1386),0)</f>
        <v>0.0</v>
      </c>
      <c r="W1386" s="67">
        <f>IF(AND(I1386="Terminée",S1386&gt;0,C1386&lt;&gt;"",ISNUMBER(MATCH(C1386,eq_code,0))),1,0)</f>
        <v>0.0</v>
      </c>
      <c r="X1386" s="67">
        <f>IF(AND(W1386=1,E1386="Préventif"),1,0)</f>
        <v>0.0</v>
      </c>
      <c r="Y1386" s="67">
        <f>IF(AND(ISNUMBER(N1386),N(N1386)&gt;0),N(N1386),0)</f>
        <v>0.0</v>
      </c>
      <c r="Z1386" s="67">
        <f>IF(AND(ISNUMBER(P1386),N(P1386)&gt;0),N(P1386),0)</f>
        <v>0.0</v>
      </c>
    </row>
    <row r="1387">
      <c r="A1387" s="79" t="str">
        <f>IF(COUNTA(B1387:C1387,E1387:G1387,I1387)=0,"","BI-"&amp;RIGHT("0000"&amp;(ROW()-5),4))</f>
        <v/>
      </c>
      <c r="B1387" s="72" t="n"/>
      <c r="C1387" s="66" t="n"/>
      <c r="D1387" s="67" t="str">
        <f>IF(C1387="","",IFERROR(INDEX(eq_des,MATCH(C1387,eq_code,0))&amp;"","Équipement inconnu"))</f>
        <v/>
      </c>
      <c r="E1387" s="68" t="n"/>
      <c r="F1387" s="68" t="n"/>
      <c r="G1387" s="66" t="n"/>
      <c r="H1387" s="66" t="n"/>
      <c r="I1387" s="68" t="n"/>
      <c r="J1387" s="73" t="n"/>
      <c r="K1387" s="71" t="n"/>
      <c r="L1387" s="71" t="n"/>
      <c r="M1387" s="66" t="n"/>
      <c r="N1387" s="80" t="n"/>
      <c r="O1387" s="81" t="str">
        <f>IF(A1387="","",ROUND(V1387*IFERROR(N(INDEX(tech_rate,MATCH(M1387,tech_name,0))),0),2))</f>
        <v/>
      </c>
      <c r="P1387" s="80" t="n"/>
      <c r="Q1387" s="81" t="str">
        <f>IF(A1387="","",ROUND(Y1387+O1387+Z1387,2))</f>
        <v/>
      </c>
      <c r="R1387" s="79" t="str">
        <f>IF(A1387="","",IF(S1387=0,"Date manquante ou invalide",IF(C1387="","Équipement manquant",IF(ISNA(MATCH(C1387,eq_code,0)),"Équipement inconnu",IF(E1387="","Type manquant",IF(AND(E1387&lt;&gt;"Préventif",E1387&lt;&gt;"Correctif",E1387&lt;&gt;"Amélioratif"),"Type inconnu",IF(I1387="","Statut manquant",IF(AND(I1387&lt;&gt;"Terminée",I1387&lt;&gt;"En cours",I1387&lt;&gt;"À faire",I1387&lt;&gt;"Annulée"),"Statut inconnu",IF(AND(E1387="Préventif",F1387=""),"Plan manquant (préventif)",IF(AND(F1387&lt;&gt;"",ISNA(MATCH(F1387,pl_num,0))),"Plan inconnu",IF(AND(F1387&lt;&gt;"",IFERROR(INDEX(pl_eq,MATCH(F1387,pl_num,0))&amp;"",C1387)&lt;&gt;C1387),"Plan d'un autre équipement",IF(AND(J1387&lt;&gt;"",OR(NOT(ISNUMBER(J1387)),N(J1387)&lt;0)),"Compteur invalide",IF(OR(AND(K1387&lt;&gt;"",OR(NOT(ISNUMBER(K1387)),N(K1387)&lt;0)),AND(L1387&lt;&gt;"",OR(NOT(ISNUMBER(L1387)),N(L1387)&lt;0))),"Durée invalide",IF(OR(AND(N1387&lt;&gt;"",OR(NOT(ISNUMBER(N1387)),N(N1387)&lt;0)),AND(P1387&lt;&gt;"",OR(NOT(ISNUMBER(P1387)),N(P1387)&lt;0))),"Coût invalide",IF(AND(M1387&lt;&gt;"",ISNA(MATCH(M1387,tech_name,0))),"Technicien inconnu",IF(AND(I1387="Terminée",S1387&gt;p_today),"Terminée à une date future",IF(AND(I1387="Terminée",V1387=0),"Durée d'intervention manquante",IF(AND(I1387="Terminée",E1387="Préventif",T1387=0,OR(IFERROR(INDEX(pl_trig,MATCH(F1387,pl_num,0))&amp;"","")="Compteur",IFERROR(INDEX(pl_trig,MATCH(F1387,pl_num,0))&amp;"","")="Au premier des deux")),"Compteur manquant (plan au compteur)","OK"))))))))))))))))))</f>
        <v/>
      </c>
      <c r="S1387" s="67">
        <f>IF(AND(ISNUMBER(B1387),N(B1387)&gt;0),INT(B1387),0)</f>
        <v>0.0</v>
      </c>
      <c r="T1387" s="67">
        <f>IF(AND(ISNUMBER(J1387),N(J1387)&gt;=0),N(J1387),0)</f>
        <v>0.0</v>
      </c>
      <c r="U1387" s="67">
        <f>IF(AND(ISNUMBER(K1387),N(K1387)&gt;0),N(K1387),0)</f>
        <v>0.0</v>
      </c>
      <c r="V1387" s="67">
        <f>IF(AND(ISNUMBER(L1387),N(L1387)&gt;0),N(L1387),0)</f>
        <v>0.0</v>
      </c>
      <c r="W1387" s="67">
        <f>IF(AND(I1387="Terminée",S1387&gt;0,C1387&lt;&gt;"",ISNUMBER(MATCH(C1387,eq_code,0))),1,0)</f>
        <v>0.0</v>
      </c>
      <c r="X1387" s="67">
        <f>IF(AND(W1387=1,E1387="Préventif"),1,0)</f>
        <v>0.0</v>
      </c>
      <c r="Y1387" s="67">
        <f>IF(AND(ISNUMBER(N1387),N(N1387)&gt;0),N(N1387),0)</f>
        <v>0.0</v>
      </c>
      <c r="Z1387" s="67">
        <f>IF(AND(ISNUMBER(P1387),N(P1387)&gt;0),N(P1387),0)</f>
        <v>0.0</v>
      </c>
    </row>
    <row r="1388">
      <c r="A1388" s="79" t="str">
        <f>IF(COUNTA(B1388:C1388,E1388:G1388,I1388)=0,"","BI-"&amp;RIGHT("0000"&amp;(ROW()-5),4))</f>
        <v/>
      </c>
      <c r="B1388" s="72" t="n"/>
      <c r="C1388" s="66" t="n"/>
      <c r="D1388" s="67" t="str">
        <f>IF(C1388="","",IFERROR(INDEX(eq_des,MATCH(C1388,eq_code,0))&amp;"","Équipement inconnu"))</f>
        <v/>
      </c>
      <c r="E1388" s="68" t="n"/>
      <c r="F1388" s="68" t="n"/>
      <c r="G1388" s="66" t="n"/>
      <c r="H1388" s="66" t="n"/>
      <c r="I1388" s="68" t="n"/>
      <c r="J1388" s="73" t="n"/>
      <c r="K1388" s="71" t="n"/>
      <c r="L1388" s="71" t="n"/>
      <c r="M1388" s="66" t="n"/>
      <c r="N1388" s="80" t="n"/>
      <c r="O1388" s="81" t="str">
        <f>IF(A1388="","",ROUND(V1388*IFERROR(N(INDEX(tech_rate,MATCH(M1388,tech_name,0))),0),2))</f>
        <v/>
      </c>
      <c r="P1388" s="80" t="n"/>
      <c r="Q1388" s="81" t="str">
        <f>IF(A1388="","",ROUND(Y1388+O1388+Z1388,2))</f>
        <v/>
      </c>
      <c r="R1388" s="79" t="str">
        <f>IF(A1388="","",IF(S1388=0,"Date manquante ou invalide",IF(C1388="","Équipement manquant",IF(ISNA(MATCH(C1388,eq_code,0)),"Équipement inconnu",IF(E1388="","Type manquant",IF(AND(E1388&lt;&gt;"Préventif",E1388&lt;&gt;"Correctif",E1388&lt;&gt;"Amélioratif"),"Type inconnu",IF(I1388="","Statut manquant",IF(AND(I1388&lt;&gt;"Terminée",I1388&lt;&gt;"En cours",I1388&lt;&gt;"À faire",I1388&lt;&gt;"Annulée"),"Statut inconnu",IF(AND(E1388="Préventif",F1388=""),"Plan manquant (préventif)",IF(AND(F1388&lt;&gt;"",ISNA(MATCH(F1388,pl_num,0))),"Plan inconnu",IF(AND(F1388&lt;&gt;"",IFERROR(INDEX(pl_eq,MATCH(F1388,pl_num,0))&amp;"",C1388)&lt;&gt;C1388),"Plan d'un autre équipement",IF(AND(J1388&lt;&gt;"",OR(NOT(ISNUMBER(J1388)),N(J1388)&lt;0)),"Compteur invalide",IF(OR(AND(K1388&lt;&gt;"",OR(NOT(ISNUMBER(K1388)),N(K1388)&lt;0)),AND(L1388&lt;&gt;"",OR(NOT(ISNUMBER(L1388)),N(L1388)&lt;0))),"Durée invalide",IF(OR(AND(N1388&lt;&gt;"",OR(NOT(ISNUMBER(N1388)),N(N1388)&lt;0)),AND(P1388&lt;&gt;"",OR(NOT(ISNUMBER(P1388)),N(P1388)&lt;0))),"Coût invalide",IF(AND(M1388&lt;&gt;"",ISNA(MATCH(M1388,tech_name,0))),"Technicien inconnu",IF(AND(I1388="Terminée",S1388&gt;p_today),"Terminée à une date future",IF(AND(I1388="Terminée",V1388=0),"Durée d'intervention manquante",IF(AND(I1388="Terminée",E1388="Préventif",T1388=0,OR(IFERROR(INDEX(pl_trig,MATCH(F1388,pl_num,0))&amp;"","")="Compteur",IFERROR(INDEX(pl_trig,MATCH(F1388,pl_num,0))&amp;"","")="Au premier des deux")),"Compteur manquant (plan au compteur)","OK"))))))))))))))))))</f>
        <v/>
      </c>
      <c r="S1388" s="67">
        <f>IF(AND(ISNUMBER(B1388),N(B1388)&gt;0),INT(B1388),0)</f>
        <v>0.0</v>
      </c>
      <c r="T1388" s="67">
        <f>IF(AND(ISNUMBER(J1388),N(J1388)&gt;=0),N(J1388),0)</f>
        <v>0.0</v>
      </c>
      <c r="U1388" s="67">
        <f>IF(AND(ISNUMBER(K1388),N(K1388)&gt;0),N(K1388),0)</f>
        <v>0.0</v>
      </c>
      <c r="V1388" s="67">
        <f>IF(AND(ISNUMBER(L1388),N(L1388)&gt;0),N(L1388),0)</f>
        <v>0.0</v>
      </c>
      <c r="W1388" s="67">
        <f>IF(AND(I1388="Terminée",S1388&gt;0,C1388&lt;&gt;"",ISNUMBER(MATCH(C1388,eq_code,0))),1,0)</f>
        <v>0.0</v>
      </c>
      <c r="X1388" s="67">
        <f>IF(AND(W1388=1,E1388="Préventif"),1,0)</f>
        <v>0.0</v>
      </c>
      <c r="Y1388" s="67">
        <f>IF(AND(ISNUMBER(N1388),N(N1388)&gt;0),N(N1388),0)</f>
        <v>0.0</v>
      </c>
      <c r="Z1388" s="67">
        <f>IF(AND(ISNUMBER(P1388),N(P1388)&gt;0),N(P1388),0)</f>
        <v>0.0</v>
      </c>
    </row>
    <row r="1389">
      <c r="A1389" s="79" t="str">
        <f>IF(COUNTA(B1389:C1389,E1389:G1389,I1389)=0,"","BI-"&amp;RIGHT("0000"&amp;(ROW()-5),4))</f>
        <v/>
      </c>
      <c r="B1389" s="72" t="n"/>
      <c r="C1389" s="66" t="n"/>
      <c r="D1389" s="67" t="str">
        <f>IF(C1389="","",IFERROR(INDEX(eq_des,MATCH(C1389,eq_code,0))&amp;"","Équipement inconnu"))</f>
        <v/>
      </c>
      <c r="E1389" s="68" t="n"/>
      <c r="F1389" s="68" t="n"/>
      <c r="G1389" s="66" t="n"/>
      <c r="H1389" s="66" t="n"/>
      <c r="I1389" s="68" t="n"/>
      <c r="J1389" s="73" t="n"/>
      <c r="K1389" s="71" t="n"/>
      <c r="L1389" s="71" t="n"/>
      <c r="M1389" s="66" t="n"/>
      <c r="N1389" s="80" t="n"/>
      <c r="O1389" s="81" t="str">
        <f>IF(A1389="","",ROUND(V1389*IFERROR(N(INDEX(tech_rate,MATCH(M1389,tech_name,0))),0),2))</f>
        <v/>
      </c>
      <c r="P1389" s="80" t="n"/>
      <c r="Q1389" s="81" t="str">
        <f>IF(A1389="","",ROUND(Y1389+O1389+Z1389,2))</f>
        <v/>
      </c>
      <c r="R1389" s="79" t="str">
        <f>IF(A1389="","",IF(S1389=0,"Date manquante ou invalide",IF(C1389="","Équipement manquant",IF(ISNA(MATCH(C1389,eq_code,0)),"Équipement inconnu",IF(E1389="","Type manquant",IF(AND(E1389&lt;&gt;"Préventif",E1389&lt;&gt;"Correctif",E1389&lt;&gt;"Amélioratif"),"Type inconnu",IF(I1389="","Statut manquant",IF(AND(I1389&lt;&gt;"Terminée",I1389&lt;&gt;"En cours",I1389&lt;&gt;"À faire",I1389&lt;&gt;"Annulée"),"Statut inconnu",IF(AND(E1389="Préventif",F1389=""),"Plan manquant (préventif)",IF(AND(F1389&lt;&gt;"",ISNA(MATCH(F1389,pl_num,0))),"Plan inconnu",IF(AND(F1389&lt;&gt;"",IFERROR(INDEX(pl_eq,MATCH(F1389,pl_num,0))&amp;"",C1389)&lt;&gt;C1389),"Plan d'un autre équipement",IF(AND(J1389&lt;&gt;"",OR(NOT(ISNUMBER(J1389)),N(J1389)&lt;0)),"Compteur invalide",IF(OR(AND(K1389&lt;&gt;"",OR(NOT(ISNUMBER(K1389)),N(K1389)&lt;0)),AND(L1389&lt;&gt;"",OR(NOT(ISNUMBER(L1389)),N(L1389)&lt;0))),"Durée invalide",IF(OR(AND(N1389&lt;&gt;"",OR(NOT(ISNUMBER(N1389)),N(N1389)&lt;0)),AND(P1389&lt;&gt;"",OR(NOT(ISNUMBER(P1389)),N(P1389)&lt;0))),"Coût invalide",IF(AND(M1389&lt;&gt;"",ISNA(MATCH(M1389,tech_name,0))),"Technicien inconnu",IF(AND(I1389="Terminée",S1389&gt;p_today),"Terminée à une date future",IF(AND(I1389="Terminée",V1389=0),"Durée d'intervention manquante",IF(AND(I1389="Terminée",E1389="Préventif",T1389=0,OR(IFERROR(INDEX(pl_trig,MATCH(F1389,pl_num,0))&amp;"","")="Compteur",IFERROR(INDEX(pl_trig,MATCH(F1389,pl_num,0))&amp;"","")="Au premier des deux")),"Compteur manquant (plan au compteur)","OK"))))))))))))))))))</f>
        <v/>
      </c>
      <c r="S1389" s="67">
        <f>IF(AND(ISNUMBER(B1389),N(B1389)&gt;0),INT(B1389),0)</f>
        <v>0.0</v>
      </c>
      <c r="T1389" s="67">
        <f>IF(AND(ISNUMBER(J1389),N(J1389)&gt;=0),N(J1389),0)</f>
        <v>0.0</v>
      </c>
      <c r="U1389" s="67">
        <f>IF(AND(ISNUMBER(K1389),N(K1389)&gt;0),N(K1389),0)</f>
        <v>0.0</v>
      </c>
      <c r="V1389" s="67">
        <f>IF(AND(ISNUMBER(L1389),N(L1389)&gt;0),N(L1389),0)</f>
        <v>0.0</v>
      </c>
      <c r="W1389" s="67">
        <f>IF(AND(I1389="Terminée",S1389&gt;0,C1389&lt;&gt;"",ISNUMBER(MATCH(C1389,eq_code,0))),1,0)</f>
        <v>0.0</v>
      </c>
      <c r="X1389" s="67">
        <f>IF(AND(W1389=1,E1389="Préventif"),1,0)</f>
        <v>0.0</v>
      </c>
      <c r="Y1389" s="67">
        <f>IF(AND(ISNUMBER(N1389),N(N1389)&gt;0),N(N1389),0)</f>
        <v>0.0</v>
      </c>
      <c r="Z1389" s="67">
        <f>IF(AND(ISNUMBER(P1389),N(P1389)&gt;0),N(P1389),0)</f>
        <v>0.0</v>
      </c>
    </row>
    <row r="1390">
      <c r="A1390" s="79" t="str">
        <f>IF(COUNTA(B1390:C1390,E1390:G1390,I1390)=0,"","BI-"&amp;RIGHT("0000"&amp;(ROW()-5),4))</f>
        <v/>
      </c>
      <c r="B1390" s="72" t="n"/>
      <c r="C1390" s="66" t="n"/>
      <c r="D1390" s="67" t="str">
        <f>IF(C1390="","",IFERROR(INDEX(eq_des,MATCH(C1390,eq_code,0))&amp;"","Équipement inconnu"))</f>
        <v/>
      </c>
      <c r="E1390" s="68" t="n"/>
      <c r="F1390" s="68" t="n"/>
      <c r="G1390" s="66" t="n"/>
      <c r="H1390" s="66" t="n"/>
      <c r="I1390" s="68" t="n"/>
      <c r="J1390" s="73" t="n"/>
      <c r="K1390" s="71" t="n"/>
      <c r="L1390" s="71" t="n"/>
      <c r="M1390" s="66" t="n"/>
      <c r="N1390" s="80" t="n"/>
      <c r="O1390" s="81" t="str">
        <f>IF(A1390="","",ROUND(V1390*IFERROR(N(INDEX(tech_rate,MATCH(M1390,tech_name,0))),0),2))</f>
        <v/>
      </c>
      <c r="P1390" s="80" t="n"/>
      <c r="Q1390" s="81" t="str">
        <f>IF(A1390="","",ROUND(Y1390+O1390+Z1390,2))</f>
        <v/>
      </c>
      <c r="R1390" s="79" t="str">
        <f>IF(A1390="","",IF(S1390=0,"Date manquante ou invalide",IF(C1390="","Équipement manquant",IF(ISNA(MATCH(C1390,eq_code,0)),"Équipement inconnu",IF(E1390="","Type manquant",IF(AND(E1390&lt;&gt;"Préventif",E1390&lt;&gt;"Correctif",E1390&lt;&gt;"Amélioratif"),"Type inconnu",IF(I1390="","Statut manquant",IF(AND(I1390&lt;&gt;"Terminée",I1390&lt;&gt;"En cours",I1390&lt;&gt;"À faire",I1390&lt;&gt;"Annulée"),"Statut inconnu",IF(AND(E1390="Préventif",F1390=""),"Plan manquant (préventif)",IF(AND(F1390&lt;&gt;"",ISNA(MATCH(F1390,pl_num,0))),"Plan inconnu",IF(AND(F1390&lt;&gt;"",IFERROR(INDEX(pl_eq,MATCH(F1390,pl_num,0))&amp;"",C1390)&lt;&gt;C1390),"Plan d'un autre équipement",IF(AND(J1390&lt;&gt;"",OR(NOT(ISNUMBER(J1390)),N(J1390)&lt;0)),"Compteur invalide",IF(OR(AND(K1390&lt;&gt;"",OR(NOT(ISNUMBER(K1390)),N(K1390)&lt;0)),AND(L1390&lt;&gt;"",OR(NOT(ISNUMBER(L1390)),N(L1390)&lt;0))),"Durée invalide",IF(OR(AND(N1390&lt;&gt;"",OR(NOT(ISNUMBER(N1390)),N(N1390)&lt;0)),AND(P1390&lt;&gt;"",OR(NOT(ISNUMBER(P1390)),N(P1390)&lt;0))),"Coût invalide",IF(AND(M1390&lt;&gt;"",ISNA(MATCH(M1390,tech_name,0))),"Technicien inconnu",IF(AND(I1390="Terminée",S1390&gt;p_today),"Terminée à une date future",IF(AND(I1390="Terminée",V1390=0),"Durée d'intervention manquante",IF(AND(I1390="Terminée",E1390="Préventif",T1390=0,OR(IFERROR(INDEX(pl_trig,MATCH(F1390,pl_num,0))&amp;"","")="Compteur",IFERROR(INDEX(pl_trig,MATCH(F1390,pl_num,0))&amp;"","")="Au premier des deux")),"Compteur manquant (plan au compteur)","OK"))))))))))))))))))</f>
        <v/>
      </c>
      <c r="S1390" s="67">
        <f>IF(AND(ISNUMBER(B1390),N(B1390)&gt;0),INT(B1390),0)</f>
        <v>0.0</v>
      </c>
      <c r="T1390" s="67">
        <f>IF(AND(ISNUMBER(J1390),N(J1390)&gt;=0),N(J1390),0)</f>
        <v>0.0</v>
      </c>
      <c r="U1390" s="67">
        <f>IF(AND(ISNUMBER(K1390),N(K1390)&gt;0),N(K1390),0)</f>
        <v>0.0</v>
      </c>
      <c r="V1390" s="67">
        <f>IF(AND(ISNUMBER(L1390),N(L1390)&gt;0),N(L1390),0)</f>
        <v>0.0</v>
      </c>
      <c r="W1390" s="67">
        <f>IF(AND(I1390="Terminée",S1390&gt;0,C1390&lt;&gt;"",ISNUMBER(MATCH(C1390,eq_code,0))),1,0)</f>
        <v>0.0</v>
      </c>
      <c r="X1390" s="67">
        <f>IF(AND(W1390=1,E1390="Préventif"),1,0)</f>
        <v>0.0</v>
      </c>
      <c r="Y1390" s="67">
        <f>IF(AND(ISNUMBER(N1390),N(N1390)&gt;0),N(N1390),0)</f>
        <v>0.0</v>
      </c>
      <c r="Z1390" s="67">
        <f>IF(AND(ISNUMBER(P1390),N(P1390)&gt;0),N(P1390),0)</f>
        <v>0.0</v>
      </c>
    </row>
    <row r="1391">
      <c r="A1391" s="79" t="str">
        <f>IF(COUNTA(B1391:C1391,E1391:G1391,I1391)=0,"","BI-"&amp;RIGHT("0000"&amp;(ROW()-5),4))</f>
        <v/>
      </c>
      <c r="B1391" s="72" t="n"/>
      <c r="C1391" s="66" t="n"/>
      <c r="D1391" s="67" t="str">
        <f>IF(C1391="","",IFERROR(INDEX(eq_des,MATCH(C1391,eq_code,0))&amp;"","Équipement inconnu"))</f>
        <v/>
      </c>
      <c r="E1391" s="68" t="n"/>
      <c r="F1391" s="68" t="n"/>
      <c r="G1391" s="66" t="n"/>
      <c r="H1391" s="66" t="n"/>
      <c r="I1391" s="68" t="n"/>
      <c r="J1391" s="73" t="n"/>
      <c r="K1391" s="71" t="n"/>
      <c r="L1391" s="71" t="n"/>
      <c r="M1391" s="66" t="n"/>
      <c r="N1391" s="80" t="n"/>
      <c r="O1391" s="81" t="str">
        <f>IF(A1391="","",ROUND(V1391*IFERROR(N(INDEX(tech_rate,MATCH(M1391,tech_name,0))),0),2))</f>
        <v/>
      </c>
      <c r="P1391" s="80" t="n"/>
      <c r="Q1391" s="81" t="str">
        <f>IF(A1391="","",ROUND(Y1391+O1391+Z1391,2))</f>
        <v/>
      </c>
      <c r="R1391" s="79" t="str">
        <f>IF(A1391="","",IF(S1391=0,"Date manquante ou invalide",IF(C1391="","Équipement manquant",IF(ISNA(MATCH(C1391,eq_code,0)),"Équipement inconnu",IF(E1391="","Type manquant",IF(AND(E1391&lt;&gt;"Préventif",E1391&lt;&gt;"Correctif",E1391&lt;&gt;"Amélioratif"),"Type inconnu",IF(I1391="","Statut manquant",IF(AND(I1391&lt;&gt;"Terminée",I1391&lt;&gt;"En cours",I1391&lt;&gt;"À faire",I1391&lt;&gt;"Annulée"),"Statut inconnu",IF(AND(E1391="Préventif",F1391=""),"Plan manquant (préventif)",IF(AND(F1391&lt;&gt;"",ISNA(MATCH(F1391,pl_num,0))),"Plan inconnu",IF(AND(F1391&lt;&gt;"",IFERROR(INDEX(pl_eq,MATCH(F1391,pl_num,0))&amp;"",C1391)&lt;&gt;C1391),"Plan d'un autre équipement",IF(AND(J1391&lt;&gt;"",OR(NOT(ISNUMBER(J1391)),N(J1391)&lt;0)),"Compteur invalide",IF(OR(AND(K1391&lt;&gt;"",OR(NOT(ISNUMBER(K1391)),N(K1391)&lt;0)),AND(L1391&lt;&gt;"",OR(NOT(ISNUMBER(L1391)),N(L1391)&lt;0))),"Durée invalide",IF(OR(AND(N1391&lt;&gt;"",OR(NOT(ISNUMBER(N1391)),N(N1391)&lt;0)),AND(P1391&lt;&gt;"",OR(NOT(ISNUMBER(P1391)),N(P1391)&lt;0))),"Coût invalide",IF(AND(M1391&lt;&gt;"",ISNA(MATCH(M1391,tech_name,0))),"Technicien inconnu",IF(AND(I1391="Terminée",S1391&gt;p_today),"Terminée à une date future",IF(AND(I1391="Terminée",V1391=0),"Durée d'intervention manquante",IF(AND(I1391="Terminée",E1391="Préventif",T1391=0,OR(IFERROR(INDEX(pl_trig,MATCH(F1391,pl_num,0))&amp;"","")="Compteur",IFERROR(INDEX(pl_trig,MATCH(F1391,pl_num,0))&amp;"","")="Au premier des deux")),"Compteur manquant (plan au compteur)","OK"))))))))))))))))))</f>
        <v/>
      </c>
      <c r="S1391" s="67">
        <f>IF(AND(ISNUMBER(B1391),N(B1391)&gt;0),INT(B1391),0)</f>
        <v>0.0</v>
      </c>
      <c r="T1391" s="67">
        <f>IF(AND(ISNUMBER(J1391),N(J1391)&gt;=0),N(J1391),0)</f>
        <v>0.0</v>
      </c>
      <c r="U1391" s="67">
        <f>IF(AND(ISNUMBER(K1391),N(K1391)&gt;0),N(K1391),0)</f>
        <v>0.0</v>
      </c>
      <c r="V1391" s="67">
        <f>IF(AND(ISNUMBER(L1391),N(L1391)&gt;0),N(L1391),0)</f>
        <v>0.0</v>
      </c>
      <c r="W1391" s="67">
        <f>IF(AND(I1391="Terminée",S1391&gt;0,C1391&lt;&gt;"",ISNUMBER(MATCH(C1391,eq_code,0))),1,0)</f>
        <v>0.0</v>
      </c>
      <c r="X1391" s="67">
        <f>IF(AND(W1391=1,E1391="Préventif"),1,0)</f>
        <v>0.0</v>
      </c>
      <c r="Y1391" s="67">
        <f>IF(AND(ISNUMBER(N1391),N(N1391)&gt;0),N(N1391),0)</f>
        <v>0.0</v>
      </c>
      <c r="Z1391" s="67">
        <f>IF(AND(ISNUMBER(P1391),N(P1391)&gt;0),N(P1391),0)</f>
        <v>0.0</v>
      </c>
    </row>
    <row r="1392">
      <c r="A1392" s="79" t="str">
        <f>IF(COUNTA(B1392:C1392,E1392:G1392,I1392)=0,"","BI-"&amp;RIGHT("0000"&amp;(ROW()-5),4))</f>
        <v/>
      </c>
      <c r="B1392" s="72" t="n"/>
      <c r="C1392" s="66" t="n"/>
      <c r="D1392" s="67" t="str">
        <f>IF(C1392="","",IFERROR(INDEX(eq_des,MATCH(C1392,eq_code,0))&amp;"","Équipement inconnu"))</f>
        <v/>
      </c>
      <c r="E1392" s="68" t="n"/>
      <c r="F1392" s="68" t="n"/>
      <c r="G1392" s="66" t="n"/>
      <c r="H1392" s="66" t="n"/>
      <c r="I1392" s="68" t="n"/>
      <c r="J1392" s="73" t="n"/>
      <c r="K1392" s="71" t="n"/>
      <c r="L1392" s="71" t="n"/>
      <c r="M1392" s="66" t="n"/>
      <c r="N1392" s="80" t="n"/>
      <c r="O1392" s="81" t="str">
        <f>IF(A1392="","",ROUND(V1392*IFERROR(N(INDEX(tech_rate,MATCH(M1392,tech_name,0))),0),2))</f>
        <v/>
      </c>
      <c r="P1392" s="80" t="n"/>
      <c r="Q1392" s="81" t="str">
        <f>IF(A1392="","",ROUND(Y1392+O1392+Z1392,2))</f>
        <v/>
      </c>
      <c r="R1392" s="79" t="str">
        <f>IF(A1392="","",IF(S1392=0,"Date manquante ou invalide",IF(C1392="","Équipement manquant",IF(ISNA(MATCH(C1392,eq_code,0)),"Équipement inconnu",IF(E1392="","Type manquant",IF(AND(E1392&lt;&gt;"Préventif",E1392&lt;&gt;"Correctif",E1392&lt;&gt;"Amélioratif"),"Type inconnu",IF(I1392="","Statut manquant",IF(AND(I1392&lt;&gt;"Terminée",I1392&lt;&gt;"En cours",I1392&lt;&gt;"À faire",I1392&lt;&gt;"Annulée"),"Statut inconnu",IF(AND(E1392="Préventif",F1392=""),"Plan manquant (préventif)",IF(AND(F1392&lt;&gt;"",ISNA(MATCH(F1392,pl_num,0))),"Plan inconnu",IF(AND(F1392&lt;&gt;"",IFERROR(INDEX(pl_eq,MATCH(F1392,pl_num,0))&amp;"",C1392)&lt;&gt;C1392),"Plan d'un autre équipement",IF(AND(J1392&lt;&gt;"",OR(NOT(ISNUMBER(J1392)),N(J1392)&lt;0)),"Compteur invalide",IF(OR(AND(K1392&lt;&gt;"",OR(NOT(ISNUMBER(K1392)),N(K1392)&lt;0)),AND(L1392&lt;&gt;"",OR(NOT(ISNUMBER(L1392)),N(L1392)&lt;0))),"Durée invalide",IF(OR(AND(N1392&lt;&gt;"",OR(NOT(ISNUMBER(N1392)),N(N1392)&lt;0)),AND(P1392&lt;&gt;"",OR(NOT(ISNUMBER(P1392)),N(P1392)&lt;0))),"Coût invalide",IF(AND(M1392&lt;&gt;"",ISNA(MATCH(M1392,tech_name,0))),"Technicien inconnu",IF(AND(I1392="Terminée",S1392&gt;p_today),"Terminée à une date future",IF(AND(I1392="Terminée",V1392=0),"Durée d'intervention manquante",IF(AND(I1392="Terminée",E1392="Préventif",T1392=0,OR(IFERROR(INDEX(pl_trig,MATCH(F1392,pl_num,0))&amp;"","")="Compteur",IFERROR(INDEX(pl_trig,MATCH(F1392,pl_num,0))&amp;"","")="Au premier des deux")),"Compteur manquant (plan au compteur)","OK"))))))))))))))))))</f>
        <v/>
      </c>
      <c r="S1392" s="67">
        <f>IF(AND(ISNUMBER(B1392),N(B1392)&gt;0),INT(B1392),0)</f>
        <v>0.0</v>
      </c>
      <c r="T1392" s="67">
        <f>IF(AND(ISNUMBER(J1392),N(J1392)&gt;=0),N(J1392),0)</f>
        <v>0.0</v>
      </c>
      <c r="U1392" s="67">
        <f>IF(AND(ISNUMBER(K1392),N(K1392)&gt;0),N(K1392),0)</f>
        <v>0.0</v>
      </c>
      <c r="V1392" s="67">
        <f>IF(AND(ISNUMBER(L1392),N(L1392)&gt;0),N(L1392),0)</f>
        <v>0.0</v>
      </c>
      <c r="W1392" s="67">
        <f>IF(AND(I1392="Terminée",S1392&gt;0,C1392&lt;&gt;"",ISNUMBER(MATCH(C1392,eq_code,0))),1,0)</f>
        <v>0.0</v>
      </c>
      <c r="X1392" s="67">
        <f>IF(AND(W1392=1,E1392="Préventif"),1,0)</f>
        <v>0.0</v>
      </c>
      <c r="Y1392" s="67">
        <f>IF(AND(ISNUMBER(N1392),N(N1392)&gt;0),N(N1392),0)</f>
        <v>0.0</v>
      </c>
      <c r="Z1392" s="67">
        <f>IF(AND(ISNUMBER(P1392),N(P1392)&gt;0),N(P1392),0)</f>
        <v>0.0</v>
      </c>
    </row>
    <row r="1393">
      <c r="A1393" s="79" t="str">
        <f>IF(COUNTA(B1393:C1393,E1393:G1393,I1393)=0,"","BI-"&amp;RIGHT("0000"&amp;(ROW()-5),4))</f>
        <v/>
      </c>
      <c r="B1393" s="72" t="n"/>
      <c r="C1393" s="66" t="n"/>
      <c r="D1393" s="67" t="str">
        <f>IF(C1393="","",IFERROR(INDEX(eq_des,MATCH(C1393,eq_code,0))&amp;"","Équipement inconnu"))</f>
        <v/>
      </c>
      <c r="E1393" s="68" t="n"/>
      <c r="F1393" s="68" t="n"/>
      <c r="G1393" s="66" t="n"/>
      <c r="H1393" s="66" t="n"/>
      <c r="I1393" s="68" t="n"/>
      <c r="J1393" s="73" t="n"/>
      <c r="K1393" s="71" t="n"/>
      <c r="L1393" s="71" t="n"/>
      <c r="M1393" s="66" t="n"/>
      <c r="N1393" s="80" t="n"/>
      <c r="O1393" s="81" t="str">
        <f>IF(A1393="","",ROUND(V1393*IFERROR(N(INDEX(tech_rate,MATCH(M1393,tech_name,0))),0),2))</f>
        <v/>
      </c>
      <c r="P1393" s="80" t="n"/>
      <c r="Q1393" s="81" t="str">
        <f>IF(A1393="","",ROUND(Y1393+O1393+Z1393,2))</f>
        <v/>
      </c>
      <c r="R1393" s="79" t="str">
        <f>IF(A1393="","",IF(S1393=0,"Date manquante ou invalide",IF(C1393="","Équipement manquant",IF(ISNA(MATCH(C1393,eq_code,0)),"Équipement inconnu",IF(E1393="","Type manquant",IF(AND(E1393&lt;&gt;"Préventif",E1393&lt;&gt;"Correctif",E1393&lt;&gt;"Amélioratif"),"Type inconnu",IF(I1393="","Statut manquant",IF(AND(I1393&lt;&gt;"Terminée",I1393&lt;&gt;"En cours",I1393&lt;&gt;"À faire",I1393&lt;&gt;"Annulée"),"Statut inconnu",IF(AND(E1393="Préventif",F1393=""),"Plan manquant (préventif)",IF(AND(F1393&lt;&gt;"",ISNA(MATCH(F1393,pl_num,0))),"Plan inconnu",IF(AND(F1393&lt;&gt;"",IFERROR(INDEX(pl_eq,MATCH(F1393,pl_num,0))&amp;"",C1393)&lt;&gt;C1393),"Plan d'un autre équipement",IF(AND(J1393&lt;&gt;"",OR(NOT(ISNUMBER(J1393)),N(J1393)&lt;0)),"Compteur invalide",IF(OR(AND(K1393&lt;&gt;"",OR(NOT(ISNUMBER(K1393)),N(K1393)&lt;0)),AND(L1393&lt;&gt;"",OR(NOT(ISNUMBER(L1393)),N(L1393)&lt;0))),"Durée invalide",IF(OR(AND(N1393&lt;&gt;"",OR(NOT(ISNUMBER(N1393)),N(N1393)&lt;0)),AND(P1393&lt;&gt;"",OR(NOT(ISNUMBER(P1393)),N(P1393)&lt;0))),"Coût invalide",IF(AND(M1393&lt;&gt;"",ISNA(MATCH(M1393,tech_name,0))),"Technicien inconnu",IF(AND(I1393="Terminée",S1393&gt;p_today),"Terminée à une date future",IF(AND(I1393="Terminée",V1393=0),"Durée d'intervention manquante",IF(AND(I1393="Terminée",E1393="Préventif",T1393=0,OR(IFERROR(INDEX(pl_trig,MATCH(F1393,pl_num,0))&amp;"","")="Compteur",IFERROR(INDEX(pl_trig,MATCH(F1393,pl_num,0))&amp;"","")="Au premier des deux")),"Compteur manquant (plan au compteur)","OK"))))))))))))))))))</f>
        <v/>
      </c>
      <c r="S1393" s="67">
        <f>IF(AND(ISNUMBER(B1393),N(B1393)&gt;0),INT(B1393),0)</f>
        <v>0.0</v>
      </c>
      <c r="T1393" s="67">
        <f>IF(AND(ISNUMBER(J1393),N(J1393)&gt;=0),N(J1393),0)</f>
        <v>0.0</v>
      </c>
      <c r="U1393" s="67">
        <f>IF(AND(ISNUMBER(K1393),N(K1393)&gt;0),N(K1393),0)</f>
        <v>0.0</v>
      </c>
      <c r="V1393" s="67">
        <f>IF(AND(ISNUMBER(L1393),N(L1393)&gt;0),N(L1393),0)</f>
        <v>0.0</v>
      </c>
      <c r="W1393" s="67">
        <f>IF(AND(I1393="Terminée",S1393&gt;0,C1393&lt;&gt;"",ISNUMBER(MATCH(C1393,eq_code,0))),1,0)</f>
        <v>0.0</v>
      </c>
      <c r="X1393" s="67">
        <f>IF(AND(W1393=1,E1393="Préventif"),1,0)</f>
        <v>0.0</v>
      </c>
      <c r="Y1393" s="67">
        <f>IF(AND(ISNUMBER(N1393),N(N1393)&gt;0),N(N1393),0)</f>
        <v>0.0</v>
      </c>
      <c r="Z1393" s="67">
        <f>IF(AND(ISNUMBER(P1393),N(P1393)&gt;0),N(P1393),0)</f>
        <v>0.0</v>
      </c>
    </row>
    <row r="1394">
      <c r="A1394" s="79" t="str">
        <f>IF(COUNTA(B1394:C1394,E1394:G1394,I1394)=0,"","BI-"&amp;RIGHT("0000"&amp;(ROW()-5),4))</f>
        <v/>
      </c>
      <c r="B1394" s="72" t="n"/>
      <c r="C1394" s="66" t="n"/>
      <c r="D1394" s="67" t="str">
        <f>IF(C1394="","",IFERROR(INDEX(eq_des,MATCH(C1394,eq_code,0))&amp;"","Équipement inconnu"))</f>
        <v/>
      </c>
      <c r="E1394" s="68" t="n"/>
      <c r="F1394" s="68" t="n"/>
      <c r="G1394" s="66" t="n"/>
      <c r="H1394" s="66" t="n"/>
      <c r="I1394" s="68" t="n"/>
      <c r="J1394" s="73" t="n"/>
      <c r="K1394" s="71" t="n"/>
      <c r="L1394" s="71" t="n"/>
      <c r="M1394" s="66" t="n"/>
      <c r="N1394" s="80" t="n"/>
      <c r="O1394" s="81" t="str">
        <f>IF(A1394="","",ROUND(V1394*IFERROR(N(INDEX(tech_rate,MATCH(M1394,tech_name,0))),0),2))</f>
        <v/>
      </c>
      <c r="P1394" s="80" t="n"/>
      <c r="Q1394" s="81" t="str">
        <f>IF(A1394="","",ROUND(Y1394+O1394+Z1394,2))</f>
        <v/>
      </c>
      <c r="R1394" s="79" t="str">
        <f>IF(A1394="","",IF(S1394=0,"Date manquante ou invalide",IF(C1394="","Équipement manquant",IF(ISNA(MATCH(C1394,eq_code,0)),"Équipement inconnu",IF(E1394="","Type manquant",IF(AND(E1394&lt;&gt;"Préventif",E1394&lt;&gt;"Correctif",E1394&lt;&gt;"Amélioratif"),"Type inconnu",IF(I1394="","Statut manquant",IF(AND(I1394&lt;&gt;"Terminée",I1394&lt;&gt;"En cours",I1394&lt;&gt;"À faire",I1394&lt;&gt;"Annulée"),"Statut inconnu",IF(AND(E1394="Préventif",F1394=""),"Plan manquant (préventif)",IF(AND(F1394&lt;&gt;"",ISNA(MATCH(F1394,pl_num,0))),"Plan inconnu",IF(AND(F1394&lt;&gt;"",IFERROR(INDEX(pl_eq,MATCH(F1394,pl_num,0))&amp;"",C1394)&lt;&gt;C1394),"Plan d'un autre équipement",IF(AND(J1394&lt;&gt;"",OR(NOT(ISNUMBER(J1394)),N(J1394)&lt;0)),"Compteur invalide",IF(OR(AND(K1394&lt;&gt;"",OR(NOT(ISNUMBER(K1394)),N(K1394)&lt;0)),AND(L1394&lt;&gt;"",OR(NOT(ISNUMBER(L1394)),N(L1394)&lt;0))),"Durée invalide",IF(OR(AND(N1394&lt;&gt;"",OR(NOT(ISNUMBER(N1394)),N(N1394)&lt;0)),AND(P1394&lt;&gt;"",OR(NOT(ISNUMBER(P1394)),N(P1394)&lt;0))),"Coût invalide",IF(AND(M1394&lt;&gt;"",ISNA(MATCH(M1394,tech_name,0))),"Technicien inconnu",IF(AND(I1394="Terminée",S1394&gt;p_today),"Terminée à une date future",IF(AND(I1394="Terminée",V1394=0),"Durée d'intervention manquante",IF(AND(I1394="Terminée",E1394="Préventif",T1394=0,OR(IFERROR(INDEX(pl_trig,MATCH(F1394,pl_num,0))&amp;"","")="Compteur",IFERROR(INDEX(pl_trig,MATCH(F1394,pl_num,0))&amp;"","")="Au premier des deux")),"Compteur manquant (plan au compteur)","OK"))))))))))))))))))</f>
        <v/>
      </c>
      <c r="S1394" s="67">
        <f>IF(AND(ISNUMBER(B1394),N(B1394)&gt;0),INT(B1394),0)</f>
        <v>0.0</v>
      </c>
      <c r="T1394" s="67">
        <f>IF(AND(ISNUMBER(J1394),N(J1394)&gt;=0),N(J1394),0)</f>
        <v>0.0</v>
      </c>
      <c r="U1394" s="67">
        <f>IF(AND(ISNUMBER(K1394),N(K1394)&gt;0),N(K1394),0)</f>
        <v>0.0</v>
      </c>
      <c r="V1394" s="67">
        <f>IF(AND(ISNUMBER(L1394),N(L1394)&gt;0),N(L1394),0)</f>
        <v>0.0</v>
      </c>
      <c r="W1394" s="67">
        <f>IF(AND(I1394="Terminée",S1394&gt;0,C1394&lt;&gt;"",ISNUMBER(MATCH(C1394,eq_code,0))),1,0)</f>
        <v>0.0</v>
      </c>
      <c r="X1394" s="67">
        <f>IF(AND(W1394=1,E1394="Préventif"),1,0)</f>
        <v>0.0</v>
      </c>
      <c r="Y1394" s="67">
        <f>IF(AND(ISNUMBER(N1394),N(N1394)&gt;0),N(N1394),0)</f>
        <v>0.0</v>
      </c>
      <c r="Z1394" s="67">
        <f>IF(AND(ISNUMBER(P1394),N(P1394)&gt;0),N(P1394),0)</f>
        <v>0.0</v>
      </c>
    </row>
    <row r="1395">
      <c r="A1395" s="79" t="str">
        <f>IF(COUNTA(B1395:C1395,E1395:G1395,I1395)=0,"","BI-"&amp;RIGHT("0000"&amp;(ROW()-5),4))</f>
        <v/>
      </c>
      <c r="B1395" s="72" t="n"/>
      <c r="C1395" s="66" t="n"/>
      <c r="D1395" s="67" t="str">
        <f>IF(C1395="","",IFERROR(INDEX(eq_des,MATCH(C1395,eq_code,0))&amp;"","Équipement inconnu"))</f>
        <v/>
      </c>
      <c r="E1395" s="68" t="n"/>
      <c r="F1395" s="68" t="n"/>
      <c r="G1395" s="66" t="n"/>
      <c r="H1395" s="66" t="n"/>
      <c r="I1395" s="68" t="n"/>
      <c r="J1395" s="73" t="n"/>
      <c r="K1395" s="71" t="n"/>
      <c r="L1395" s="71" t="n"/>
      <c r="M1395" s="66" t="n"/>
      <c r="N1395" s="80" t="n"/>
      <c r="O1395" s="81" t="str">
        <f>IF(A1395="","",ROUND(V1395*IFERROR(N(INDEX(tech_rate,MATCH(M1395,tech_name,0))),0),2))</f>
        <v/>
      </c>
      <c r="P1395" s="80" t="n"/>
      <c r="Q1395" s="81" t="str">
        <f>IF(A1395="","",ROUND(Y1395+O1395+Z1395,2))</f>
        <v/>
      </c>
      <c r="R1395" s="79" t="str">
        <f>IF(A1395="","",IF(S1395=0,"Date manquante ou invalide",IF(C1395="","Équipement manquant",IF(ISNA(MATCH(C1395,eq_code,0)),"Équipement inconnu",IF(E1395="","Type manquant",IF(AND(E1395&lt;&gt;"Préventif",E1395&lt;&gt;"Correctif",E1395&lt;&gt;"Amélioratif"),"Type inconnu",IF(I1395="","Statut manquant",IF(AND(I1395&lt;&gt;"Terminée",I1395&lt;&gt;"En cours",I1395&lt;&gt;"À faire",I1395&lt;&gt;"Annulée"),"Statut inconnu",IF(AND(E1395="Préventif",F1395=""),"Plan manquant (préventif)",IF(AND(F1395&lt;&gt;"",ISNA(MATCH(F1395,pl_num,0))),"Plan inconnu",IF(AND(F1395&lt;&gt;"",IFERROR(INDEX(pl_eq,MATCH(F1395,pl_num,0))&amp;"",C1395)&lt;&gt;C1395),"Plan d'un autre équipement",IF(AND(J1395&lt;&gt;"",OR(NOT(ISNUMBER(J1395)),N(J1395)&lt;0)),"Compteur invalide",IF(OR(AND(K1395&lt;&gt;"",OR(NOT(ISNUMBER(K1395)),N(K1395)&lt;0)),AND(L1395&lt;&gt;"",OR(NOT(ISNUMBER(L1395)),N(L1395)&lt;0))),"Durée invalide",IF(OR(AND(N1395&lt;&gt;"",OR(NOT(ISNUMBER(N1395)),N(N1395)&lt;0)),AND(P1395&lt;&gt;"",OR(NOT(ISNUMBER(P1395)),N(P1395)&lt;0))),"Coût invalide",IF(AND(M1395&lt;&gt;"",ISNA(MATCH(M1395,tech_name,0))),"Technicien inconnu",IF(AND(I1395="Terminée",S1395&gt;p_today),"Terminée à une date future",IF(AND(I1395="Terminée",V1395=0),"Durée d'intervention manquante",IF(AND(I1395="Terminée",E1395="Préventif",T1395=0,OR(IFERROR(INDEX(pl_trig,MATCH(F1395,pl_num,0))&amp;"","")="Compteur",IFERROR(INDEX(pl_trig,MATCH(F1395,pl_num,0))&amp;"","")="Au premier des deux")),"Compteur manquant (plan au compteur)","OK"))))))))))))))))))</f>
        <v/>
      </c>
      <c r="S1395" s="67">
        <f>IF(AND(ISNUMBER(B1395),N(B1395)&gt;0),INT(B1395),0)</f>
        <v>0.0</v>
      </c>
      <c r="T1395" s="67">
        <f>IF(AND(ISNUMBER(J1395),N(J1395)&gt;=0),N(J1395),0)</f>
        <v>0.0</v>
      </c>
      <c r="U1395" s="67">
        <f>IF(AND(ISNUMBER(K1395),N(K1395)&gt;0),N(K1395),0)</f>
        <v>0.0</v>
      </c>
      <c r="V1395" s="67">
        <f>IF(AND(ISNUMBER(L1395),N(L1395)&gt;0),N(L1395),0)</f>
        <v>0.0</v>
      </c>
      <c r="W1395" s="67">
        <f>IF(AND(I1395="Terminée",S1395&gt;0,C1395&lt;&gt;"",ISNUMBER(MATCH(C1395,eq_code,0))),1,0)</f>
        <v>0.0</v>
      </c>
      <c r="X1395" s="67">
        <f>IF(AND(W1395=1,E1395="Préventif"),1,0)</f>
        <v>0.0</v>
      </c>
      <c r="Y1395" s="67">
        <f>IF(AND(ISNUMBER(N1395),N(N1395)&gt;0),N(N1395),0)</f>
        <v>0.0</v>
      </c>
      <c r="Z1395" s="67">
        <f>IF(AND(ISNUMBER(P1395),N(P1395)&gt;0),N(P1395),0)</f>
        <v>0.0</v>
      </c>
    </row>
    <row r="1396">
      <c r="A1396" s="79" t="str">
        <f>IF(COUNTA(B1396:C1396,E1396:G1396,I1396)=0,"","BI-"&amp;RIGHT("0000"&amp;(ROW()-5),4))</f>
        <v/>
      </c>
      <c r="B1396" s="72" t="n"/>
      <c r="C1396" s="66" t="n"/>
      <c r="D1396" s="67" t="str">
        <f>IF(C1396="","",IFERROR(INDEX(eq_des,MATCH(C1396,eq_code,0))&amp;"","Équipement inconnu"))</f>
        <v/>
      </c>
      <c r="E1396" s="68" t="n"/>
      <c r="F1396" s="68" t="n"/>
      <c r="G1396" s="66" t="n"/>
      <c r="H1396" s="66" t="n"/>
      <c r="I1396" s="68" t="n"/>
      <c r="J1396" s="73" t="n"/>
      <c r="K1396" s="71" t="n"/>
      <c r="L1396" s="71" t="n"/>
      <c r="M1396" s="66" t="n"/>
      <c r="N1396" s="80" t="n"/>
      <c r="O1396" s="81" t="str">
        <f>IF(A1396="","",ROUND(V1396*IFERROR(N(INDEX(tech_rate,MATCH(M1396,tech_name,0))),0),2))</f>
        <v/>
      </c>
      <c r="P1396" s="80" t="n"/>
      <c r="Q1396" s="81" t="str">
        <f>IF(A1396="","",ROUND(Y1396+O1396+Z1396,2))</f>
        <v/>
      </c>
      <c r="R1396" s="79" t="str">
        <f>IF(A1396="","",IF(S1396=0,"Date manquante ou invalide",IF(C1396="","Équipement manquant",IF(ISNA(MATCH(C1396,eq_code,0)),"Équipement inconnu",IF(E1396="","Type manquant",IF(AND(E1396&lt;&gt;"Préventif",E1396&lt;&gt;"Correctif",E1396&lt;&gt;"Amélioratif"),"Type inconnu",IF(I1396="","Statut manquant",IF(AND(I1396&lt;&gt;"Terminée",I1396&lt;&gt;"En cours",I1396&lt;&gt;"À faire",I1396&lt;&gt;"Annulée"),"Statut inconnu",IF(AND(E1396="Préventif",F1396=""),"Plan manquant (préventif)",IF(AND(F1396&lt;&gt;"",ISNA(MATCH(F1396,pl_num,0))),"Plan inconnu",IF(AND(F1396&lt;&gt;"",IFERROR(INDEX(pl_eq,MATCH(F1396,pl_num,0))&amp;"",C1396)&lt;&gt;C1396),"Plan d'un autre équipement",IF(AND(J1396&lt;&gt;"",OR(NOT(ISNUMBER(J1396)),N(J1396)&lt;0)),"Compteur invalide",IF(OR(AND(K1396&lt;&gt;"",OR(NOT(ISNUMBER(K1396)),N(K1396)&lt;0)),AND(L1396&lt;&gt;"",OR(NOT(ISNUMBER(L1396)),N(L1396)&lt;0))),"Durée invalide",IF(OR(AND(N1396&lt;&gt;"",OR(NOT(ISNUMBER(N1396)),N(N1396)&lt;0)),AND(P1396&lt;&gt;"",OR(NOT(ISNUMBER(P1396)),N(P1396)&lt;0))),"Coût invalide",IF(AND(M1396&lt;&gt;"",ISNA(MATCH(M1396,tech_name,0))),"Technicien inconnu",IF(AND(I1396="Terminée",S1396&gt;p_today),"Terminée à une date future",IF(AND(I1396="Terminée",V1396=0),"Durée d'intervention manquante",IF(AND(I1396="Terminée",E1396="Préventif",T1396=0,OR(IFERROR(INDEX(pl_trig,MATCH(F1396,pl_num,0))&amp;"","")="Compteur",IFERROR(INDEX(pl_trig,MATCH(F1396,pl_num,0))&amp;"","")="Au premier des deux")),"Compteur manquant (plan au compteur)","OK"))))))))))))))))))</f>
        <v/>
      </c>
      <c r="S1396" s="67">
        <f>IF(AND(ISNUMBER(B1396),N(B1396)&gt;0),INT(B1396),0)</f>
        <v>0.0</v>
      </c>
      <c r="T1396" s="67">
        <f>IF(AND(ISNUMBER(J1396),N(J1396)&gt;=0),N(J1396),0)</f>
        <v>0.0</v>
      </c>
      <c r="U1396" s="67">
        <f>IF(AND(ISNUMBER(K1396),N(K1396)&gt;0),N(K1396),0)</f>
        <v>0.0</v>
      </c>
      <c r="V1396" s="67">
        <f>IF(AND(ISNUMBER(L1396),N(L1396)&gt;0),N(L1396),0)</f>
        <v>0.0</v>
      </c>
      <c r="W1396" s="67">
        <f>IF(AND(I1396="Terminée",S1396&gt;0,C1396&lt;&gt;"",ISNUMBER(MATCH(C1396,eq_code,0))),1,0)</f>
        <v>0.0</v>
      </c>
      <c r="X1396" s="67">
        <f>IF(AND(W1396=1,E1396="Préventif"),1,0)</f>
        <v>0.0</v>
      </c>
      <c r="Y1396" s="67">
        <f>IF(AND(ISNUMBER(N1396),N(N1396)&gt;0),N(N1396),0)</f>
        <v>0.0</v>
      </c>
      <c r="Z1396" s="67">
        <f>IF(AND(ISNUMBER(P1396),N(P1396)&gt;0),N(P1396),0)</f>
        <v>0.0</v>
      </c>
    </row>
    <row r="1397">
      <c r="A1397" s="79" t="str">
        <f>IF(COUNTA(B1397:C1397,E1397:G1397,I1397)=0,"","BI-"&amp;RIGHT("0000"&amp;(ROW()-5),4))</f>
        <v/>
      </c>
      <c r="B1397" s="72" t="n"/>
      <c r="C1397" s="66" t="n"/>
      <c r="D1397" s="67" t="str">
        <f>IF(C1397="","",IFERROR(INDEX(eq_des,MATCH(C1397,eq_code,0))&amp;"","Équipement inconnu"))</f>
        <v/>
      </c>
      <c r="E1397" s="68" t="n"/>
      <c r="F1397" s="68" t="n"/>
      <c r="G1397" s="66" t="n"/>
      <c r="H1397" s="66" t="n"/>
      <c r="I1397" s="68" t="n"/>
      <c r="J1397" s="73" t="n"/>
      <c r="K1397" s="71" t="n"/>
      <c r="L1397" s="71" t="n"/>
      <c r="M1397" s="66" t="n"/>
      <c r="N1397" s="80" t="n"/>
      <c r="O1397" s="81" t="str">
        <f>IF(A1397="","",ROUND(V1397*IFERROR(N(INDEX(tech_rate,MATCH(M1397,tech_name,0))),0),2))</f>
        <v/>
      </c>
      <c r="P1397" s="80" t="n"/>
      <c r="Q1397" s="81" t="str">
        <f>IF(A1397="","",ROUND(Y1397+O1397+Z1397,2))</f>
        <v/>
      </c>
      <c r="R1397" s="79" t="str">
        <f>IF(A1397="","",IF(S1397=0,"Date manquante ou invalide",IF(C1397="","Équipement manquant",IF(ISNA(MATCH(C1397,eq_code,0)),"Équipement inconnu",IF(E1397="","Type manquant",IF(AND(E1397&lt;&gt;"Préventif",E1397&lt;&gt;"Correctif",E1397&lt;&gt;"Amélioratif"),"Type inconnu",IF(I1397="","Statut manquant",IF(AND(I1397&lt;&gt;"Terminée",I1397&lt;&gt;"En cours",I1397&lt;&gt;"À faire",I1397&lt;&gt;"Annulée"),"Statut inconnu",IF(AND(E1397="Préventif",F1397=""),"Plan manquant (préventif)",IF(AND(F1397&lt;&gt;"",ISNA(MATCH(F1397,pl_num,0))),"Plan inconnu",IF(AND(F1397&lt;&gt;"",IFERROR(INDEX(pl_eq,MATCH(F1397,pl_num,0))&amp;"",C1397)&lt;&gt;C1397),"Plan d'un autre équipement",IF(AND(J1397&lt;&gt;"",OR(NOT(ISNUMBER(J1397)),N(J1397)&lt;0)),"Compteur invalide",IF(OR(AND(K1397&lt;&gt;"",OR(NOT(ISNUMBER(K1397)),N(K1397)&lt;0)),AND(L1397&lt;&gt;"",OR(NOT(ISNUMBER(L1397)),N(L1397)&lt;0))),"Durée invalide",IF(OR(AND(N1397&lt;&gt;"",OR(NOT(ISNUMBER(N1397)),N(N1397)&lt;0)),AND(P1397&lt;&gt;"",OR(NOT(ISNUMBER(P1397)),N(P1397)&lt;0))),"Coût invalide",IF(AND(M1397&lt;&gt;"",ISNA(MATCH(M1397,tech_name,0))),"Technicien inconnu",IF(AND(I1397="Terminée",S1397&gt;p_today),"Terminée à une date future",IF(AND(I1397="Terminée",V1397=0),"Durée d'intervention manquante",IF(AND(I1397="Terminée",E1397="Préventif",T1397=0,OR(IFERROR(INDEX(pl_trig,MATCH(F1397,pl_num,0))&amp;"","")="Compteur",IFERROR(INDEX(pl_trig,MATCH(F1397,pl_num,0))&amp;"","")="Au premier des deux")),"Compteur manquant (plan au compteur)","OK"))))))))))))))))))</f>
        <v/>
      </c>
      <c r="S1397" s="67">
        <f>IF(AND(ISNUMBER(B1397),N(B1397)&gt;0),INT(B1397),0)</f>
        <v>0.0</v>
      </c>
      <c r="T1397" s="67">
        <f>IF(AND(ISNUMBER(J1397),N(J1397)&gt;=0),N(J1397),0)</f>
        <v>0.0</v>
      </c>
      <c r="U1397" s="67">
        <f>IF(AND(ISNUMBER(K1397),N(K1397)&gt;0),N(K1397),0)</f>
        <v>0.0</v>
      </c>
      <c r="V1397" s="67">
        <f>IF(AND(ISNUMBER(L1397),N(L1397)&gt;0),N(L1397),0)</f>
        <v>0.0</v>
      </c>
      <c r="W1397" s="67">
        <f>IF(AND(I1397="Terminée",S1397&gt;0,C1397&lt;&gt;"",ISNUMBER(MATCH(C1397,eq_code,0))),1,0)</f>
        <v>0.0</v>
      </c>
      <c r="X1397" s="67">
        <f>IF(AND(W1397=1,E1397="Préventif"),1,0)</f>
        <v>0.0</v>
      </c>
      <c r="Y1397" s="67">
        <f>IF(AND(ISNUMBER(N1397),N(N1397)&gt;0),N(N1397),0)</f>
        <v>0.0</v>
      </c>
      <c r="Z1397" s="67">
        <f>IF(AND(ISNUMBER(P1397),N(P1397)&gt;0),N(P1397),0)</f>
        <v>0.0</v>
      </c>
    </row>
    <row r="1398">
      <c r="A1398" s="79" t="str">
        <f>IF(COUNTA(B1398:C1398,E1398:G1398,I1398)=0,"","BI-"&amp;RIGHT("0000"&amp;(ROW()-5),4))</f>
        <v/>
      </c>
      <c r="B1398" s="72" t="n"/>
      <c r="C1398" s="66" t="n"/>
      <c r="D1398" s="67" t="str">
        <f>IF(C1398="","",IFERROR(INDEX(eq_des,MATCH(C1398,eq_code,0))&amp;"","Équipement inconnu"))</f>
        <v/>
      </c>
      <c r="E1398" s="68" t="n"/>
      <c r="F1398" s="68" t="n"/>
      <c r="G1398" s="66" t="n"/>
      <c r="H1398" s="66" t="n"/>
      <c r="I1398" s="68" t="n"/>
      <c r="J1398" s="73" t="n"/>
      <c r="K1398" s="71" t="n"/>
      <c r="L1398" s="71" t="n"/>
      <c r="M1398" s="66" t="n"/>
      <c r="N1398" s="80" t="n"/>
      <c r="O1398" s="81" t="str">
        <f>IF(A1398="","",ROUND(V1398*IFERROR(N(INDEX(tech_rate,MATCH(M1398,tech_name,0))),0),2))</f>
        <v/>
      </c>
      <c r="P1398" s="80" t="n"/>
      <c r="Q1398" s="81" t="str">
        <f>IF(A1398="","",ROUND(Y1398+O1398+Z1398,2))</f>
        <v/>
      </c>
      <c r="R1398" s="79" t="str">
        <f>IF(A1398="","",IF(S1398=0,"Date manquante ou invalide",IF(C1398="","Équipement manquant",IF(ISNA(MATCH(C1398,eq_code,0)),"Équipement inconnu",IF(E1398="","Type manquant",IF(AND(E1398&lt;&gt;"Préventif",E1398&lt;&gt;"Correctif",E1398&lt;&gt;"Amélioratif"),"Type inconnu",IF(I1398="","Statut manquant",IF(AND(I1398&lt;&gt;"Terminée",I1398&lt;&gt;"En cours",I1398&lt;&gt;"À faire",I1398&lt;&gt;"Annulée"),"Statut inconnu",IF(AND(E1398="Préventif",F1398=""),"Plan manquant (préventif)",IF(AND(F1398&lt;&gt;"",ISNA(MATCH(F1398,pl_num,0))),"Plan inconnu",IF(AND(F1398&lt;&gt;"",IFERROR(INDEX(pl_eq,MATCH(F1398,pl_num,0))&amp;"",C1398)&lt;&gt;C1398),"Plan d'un autre équipement",IF(AND(J1398&lt;&gt;"",OR(NOT(ISNUMBER(J1398)),N(J1398)&lt;0)),"Compteur invalide",IF(OR(AND(K1398&lt;&gt;"",OR(NOT(ISNUMBER(K1398)),N(K1398)&lt;0)),AND(L1398&lt;&gt;"",OR(NOT(ISNUMBER(L1398)),N(L1398)&lt;0))),"Durée invalide",IF(OR(AND(N1398&lt;&gt;"",OR(NOT(ISNUMBER(N1398)),N(N1398)&lt;0)),AND(P1398&lt;&gt;"",OR(NOT(ISNUMBER(P1398)),N(P1398)&lt;0))),"Coût invalide",IF(AND(M1398&lt;&gt;"",ISNA(MATCH(M1398,tech_name,0))),"Technicien inconnu",IF(AND(I1398="Terminée",S1398&gt;p_today),"Terminée à une date future",IF(AND(I1398="Terminée",V1398=0),"Durée d'intervention manquante",IF(AND(I1398="Terminée",E1398="Préventif",T1398=0,OR(IFERROR(INDEX(pl_trig,MATCH(F1398,pl_num,0))&amp;"","")="Compteur",IFERROR(INDEX(pl_trig,MATCH(F1398,pl_num,0))&amp;"","")="Au premier des deux")),"Compteur manquant (plan au compteur)","OK"))))))))))))))))))</f>
        <v/>
      </c>
      <c r="S1398" s="67">
        <f>IF(AND(ISNUMBER(B1398),N(B1398)&gt;0),INT(B1398),0)</f>
        <v>0.0</v>
      </c>
      <c r="T1398" s="67">
        <f>IF(AND(ISNUMBER(J1398),N(J1398)&gt;=0),N(J1398),0)</f>
        <v>0.0</v>
      </c>
      <c r="U1398" s="67">
        <f>IF(AND(ISNUMBER(K1398),N(K1398)&gt;0),N(K1398),0)</f>
        <v>0.0</v>
      </c>
      <c r="V1398" s="67">
        <f>IF(AND(ISNUMBER(L1398),N(L1398)&gt;0),N(L1398),0)</f>
        <v>0.0</v>
      </c>
      <c r="W1398" s="67">
        <f>IF(AND(I1398="Terminée",S1398&gt;0,C1398&lt;&gt;"",ISNUMBER(MATCH(C1398,eq_code,0))),1,0)</f>
        <v>0.0</v>
      </c>
      <c r="X1398" s="67">
        <f>IF(AND(W1398=1,E1398="Préventif"),1,0)</f>
        <v>0.0</v>
      </c>
      <c r="Y1398" s="67">
        <f>IF(AND(ISNUMBER(N1398),N(N1398)&gt;0),N(N1398),0)</f>
        <v>0.0</v>
      </c>
      <c r="Z1398" s="67">
        <f>IF(AND(ISNUMBER(P1398),N(P1398)&gt;0),N(P1398),0)</f>
        <v>0.0</v>
      </c>
    </row>
    <row r="1399">
      <c r="A1399" s="79" t="str">
        <f>IF(COUNTA(B1399:C1399,E1399:G1399,I1399)=0,"","BI-"&amp;RIGHT("0000"&amp;(ROW()-5),4))</f>
        <v/>
      </c>
      <c r="B1399" s="72" t="n"/>
      <c r="C1399" s="66" t="n"/>
      <c r="D1399" s="67" t="str">
        <f>IF(C1399="","",IFERROR(INDEX(eq_des,MATCH(C1399,eq_code,0))&amp;"","Équipement inconnu"))</f>
        <v/>
      </c>
      <c r="E1399" s="68" t="n"/>
      <c r="F1399" s="68" t="n"/>
      <c r="G1399" s="66" t="n"/>
      <c r="H1399" s="66" t="n"/>
      <c r="I1399" s="68" t="n"/>
      <c r="J1399" s="73" t="n"/>
      <c r="K1399" s="71" t="n"/>
      <c r="L1399" s="71" t="n"/>
      <c r="M1399" s="66" t="n"/>
      <c r="N1399" s="80" t="n"/>
      <c r="O1399" s="81" t="str">
        <f>IF(A1399="","",ROUND(V1399*IFERROR(N(INDEX(tech_rate,MATCH(M1399,tech_name,0))),0),2))</f>
        <v/>
      </c>
      <c r="P1399" s="80" t="n"/>
      <c r="Q1399" s="81" t="str">
        <f>IF(A1399="","",ROUND(Y1399+O1399+Z1399,2))</f>
        <v/>
      </c>
      <c r="R1399" s="79" t="str">
        <f>IF(A1399="","",IF(S1399=0,"Date manquante ou invalide",IF(C1399="","Équipement manquant",IF(ISNA(MATCH(C1399,eq_code,0)),"Équipement inconnu",IF(E1399="","Type manquant",IF(AND(E1399&lt;&gt;"Préventif",E1399&lt;&gt;"Correctif",E1399&lt;&gt;"Amélioratif"),"Type inconnu",IF(I1399="","Statut manquant",IF(AND(I1399&lt;&gt;"Terminée",I1399&lt;&gt;"En cours",I1399&lt;&gt;"À faire",I1399&lt;&gt;"Annulée"),"Statut inconnu",IF(AND(E1399="Préventif",F1399=""),"Plan manquant (préventif)",IF(AND(F1399&lt;&gt;"",ISNA(MATCH(F1399,pl_num,0))),"Plan inconnu",IF(AND(F1399&lt;&gt;"",IFERROR(INDEX(pl_eq,MATCH(F1399,pl_num,0))&amp;"",C1399)&lt;&gt;C1399),"Plan d'un autre équipement",IF(AND(J1399&lt;&gt;"",OR(NOT(ISNUMBER(J1399)),N(J1399)&lt;0)),"Compteur invalide",IF(OR(AND(K1399&lt;&gt;"",OR(NOT(ISNUMBER(K1399)),N(K1399)&lt;0)),AND(L1399&lt;&gt;"",OR(NOT(ISNUMBER(L1399)),N(L1399)&lt;0))),"Durée invalide",IF(OR(AND(N1399&lt;&gt;"",OR(NOT(ISNUMBER(N1399)),N(N1399)&lt;0)),AND(P1399&lt;&gt;"",OR(NOT(ISNUMBER(P1399)),N(P1399)&lt;0))),"Coût invalide",IF(AND(M1399&lt;&gt;"",ISNA(MATCH(M1399,tech_name,0))),"Technicien inconnu",IF(AND(I1399="Terminée",S1399&gt;p_today),"Terminée à une date future",IF(AND(I1399="Terminée",V1399=0),"Durée d'intervention manquante",IF(AND(I1399="Terminée",E1399="Préventif",T1399=0,OR(IFERROR(INDEX(pl_trig,MATCH(F1399,pl_num,0))&amp;"","")="Compteur",IFERROR(INDEX(pl_trig,MATCH(F1399,pl_num,0))&amp;"","")="Au premier des deux")),"Compteur manquant (plan au compteur)","OK"))))))))))))))))))</f>
        <v/>
      </c>
      <c r="S1399" s="67">
        <f>IF(AND(ISNUMBER(B1399),N(B1399)&gt;0),INT(B1399),0)</f>
        <v>0.0</v>
      </c>
      <c r="T1399" s="67">
        <f>IF(AND(ISNUMBER(J1399),N(J1399)&gt;=0),N(J1399),0)</f>
        <v>0.0</v>
      </c>
      <c r="U1399" s="67">
        <f>IF(AND(ISNUMBER(K1399),N(K1399)&gt;0),N(K1399),0)</f>
        <v>0.0</v>
      </c>
      <c r="V1399" s="67">
        <f>IF(AND(ISNUMBER(L1399),N(L1399)&gt;0),N(L1399),0)</f>
        <v>0.0</v>
      </c>
      <c r="W1399" s="67">
        <f>IF(AND(I1399="Terminée",S1399&gt;0,C1399&lt;&gt;"",ISNUMBER(MATCH(C1399,eq_code,0))),1,0)</f>
        <v>0.0</v>
      </c>
      <c r="X1399" s="67">
        <f>IF(AND(W1399=1,E1399="Préventif"),1,0)</f>
        <v>0.0</v>
      </c>
      <c r="Y1399" s="67">
        <f>IF(AND(ISNUMBER(N1399),N(N1399)&gt;0),N(N1399),0)</f>
        <v>0.0</v>
      </c>
      <c r="Z1399" s="67">
        <f>IF(AND(ISNUMBER(P1399),N(P1399)&gt;0),N(P1399),0)</f>
        <v>0.0</v>
      </c>
    </row>
    <row r="1400">
      <c r="A1400" s="79" t="str">
        <f>IF(COUNTA(B1400:C1400,E1400:G1400,I1400)=0,"","BI-"&amp;RIGHT("0000"&amp;(ROW()-5),4))</f>
        <v/>
      </c>
      <c r="B1400" s="72" t="n"/>
      <c r="C1400" s="66" t="n"/>
      <c r="D1400" s="67" t="str">
        <f>IF(C1400="","",IFERROR(INDEX(eq_des,MATCH(C1400,eq_code,0))&amp;"","Équipement inconnu"))</f>
        <v/>
      </c>
      <c r="E1400" s="68" t="n"/>
      <c r="F1400" s="68" t="n"/>
      <c r="G1400" s="66" t="n"/>
      <c r="H1400" s="66" t="n"/>
      <c r="I1400" s="68" t="n"/>
      <c r="J1400" s="73" t="n"/>
      <c r="K1400" s="71" t="n"/>
      <c r="L1400" s="71" t="n"/>
      <c r="M1400" s="66" t="n"/>
      <c r="N1400" s="80" t="n"/>
      <c r="O1400" s="81" t="str">
        <f>IF(A1400="","",ROUND(V1400*IFERROR(N(INDEX(tech_rate,MATCH(M1400,tech_name,0))),0),2))</f>
        <v/>
      </c>
      <c r="P1400" s="80" t="n"/>
      <c r="Q1400" s="81" t="str">
        <f>IF(A1400="","",ROUND(Y1400+O1400+Z1400,2))</f>
        <v/>
      </c>
      <c r="R1400" s="79" t="str">
        <f>IF(A1400="","",IF(S1400=0,"Date manquante ou invalide",IF(C1400="","Équipement manquant",IF(ISNA(MATCH(C1400,eq_code,0)),"Équipement inconnu",IF(E1400="","Type manquant",IF(AND(E1400&lt;&gt;"Préventif",E1400&lt;&gt;"Correctif",E1400&lt;&gt;"Amélioratif"),"Type inconnu",IF(I1400="","Statut manquant",IF(AND(I1400&lt;&gt;"Terminée",I1400&lt;&gt;"En cours",I1400&lt;&gt;"À faire",I1400&lt;&gt;"Annulée"),"Statut inconnu",IF(AND(E1400="Préventif",F1400=""),"Plan manquant (préventif)",IF(AND(F1400&lt;&gt;"",ISNA(MATCH(F1400,pl_num,0))),"Plan inconnu",IF(AND(F1400&lt;&gt;"",IFERROR(INDEX(pl_eq,MATCH(F1400,pl_num,0))&amp;"",C1400)&lt;&gt;C1400),"Plan d'un autre équipement",IF(AND(J1400&lt;&gt;"",OR(NOT(ISNUMBER(J1400)),N(J1400)&lt;0)),"Compteur invalide",IF(OR(AND(K1400&lt;&gt;"",OR(NOT(ISNUMBER(K1400)),N(K1400)&lt;0)),AND(L1400&lt;&gt;"",OR(NOT(ISNUMBER(L1400)),N(L1400)&lt;0))),"Durée invalide",IF(OR(AND(N1400&lt;&gt;"",OR(NOT(ISNUMBER(N1400)),N(N1400)&lt;0)),AND(P1400&lt;&gt;"",OR(NOT(ISNUMBER(P1400)),N(P1400)&lt;0))),"Coût invalide",IF(AND(M1400&lt;&gt;"",ISNA(MATCH(M1400,tech_name,0))),"Technicien inconnu",IF(AND(I1400="Terminée",S1400&gt;p_today),"Terminée à une date future",IF(AND(I1400="Terminée",V1400=0),"Durée d'intervention manquante",IF(AND(I1400="Terminée",E1400="Préventif",T1400=0,OR(IFERROR(INDEX(pl_trig,MATCH(F1400,pl_num,0))&amp;"","")="Compteur",IFERROR(INDEX(pl_trig,MATCH(F1400,pl_num,0))&amp;"","")="Au premier des deux")),"Compteur manquant (plan au compteur)","OK"))))))))))))))))))</f>
        <v/>
      </c>
      <c r="S1400" s="67">
        <f>IF(AND(ISNUMBER(B1400),N(B1400)&gt;0),INT(B1400),0)</f>
        <v>0.0</v>
      </c>
      <c r="T1400" s="67">
        <f>IF(AND(ISNUMBER(J1400),N(J1400)&gt;=0),N(J1400),0)</f>
        <v>0.0</v>
      </c>
      <c r="U1400" s="67">
        <f>IF(AND(ISNUMBER(K1400),N(K1400)&gt;0),N(K1400),0)</f>
        <v>0.0</v>
      </c>
      <c r="V1400" s="67">
        <f>IF(AND(ISNUMBER(L1400),N(L1400)&gt;0),N(L1400),0)</f>
        <v>0.0</v>
      </c>
      <c r="W1400" s="67">
        <f>IF(AND(I1400="Terminée",S1400&gt;0,C1400&lt;&gt;"",ISNUMBER(MATCH(C1400,eq_code,0))),1,0)</f>
        <v>0.0</v>
      </c>
      <c r="X1400" s="67">
        <f>IF(AND(W1400=1,E1400="Préventif"),1,0)</f>
        <v>0.0</v>
      </c>
      <c r="Y1400" s="67">
        <f>IF(AND(ISNUMBER(N1400),N(N1400)&gt;0),N(N1400),0)</f>
        <v>0.0</v>
      </c>
      <c r="Z1400" s="67">
        <f>IF(AND(ISNUMBER(P1400),N(P1400)&gt;0),N(P1400),0)</f>
        <v>0.0</v>
      </c>
    </row>
    <row r="1401">
      <c r="A1401" s="79" t="str">
        <f>IF(COUNTA(B1401:C1401,E1401:G1401,I1401)=0,"","BI-"&amp;RIGHT("0000"&amp;(ROW()-5),4))</f>
        <v/>
      </c>
      <c r="B1401" s="72" t="n"/>
      <c r="C1401" s="66" t="n"/>
      <c r="D1401" s="67" t="str">
        <f>IF(C1401="","",IFERROR(INDEX(eq_des,MATCH(C1401,eq_code,0))&amp;"","Équipement inconnu"))</f>
        <v/>
      </c>
      <c r="E1401" s="68" t="n"/>
      <c r="F1401" s="68" t="n"/>
      <c r="G1401" s="66" t="n"/>
      <c r="H1401" s="66" t="n"/>
      <c r="I1401" s="68" t="n"/>
      <c r="J1401" s="73" t="n"/>
      <c r="K1401" s="71" t="n"/>
      <c r="L1401" s="71" t="n"/>
      <c r="M1401" s="66" t="n"/>
      <c r="N1401" s="80" t="n"/>
      <c r="O1401" s="81" t="str">
        <f>IF(A1401="","",ROUND(V1401*IFERROR(N(INDEX(tech_rate,MATCH(M1401,tech_name,0))),0),2))</f>
        <v/>
      </c>
      <c r="P1401" s="80" t="n"/>
      <c r="Q1401" s="81" t="str">
        <f>IF(A1401="","",ROUND(Y1401+O1401+Z1401,2))</f>
        <v/>
      </c>
      <c r="R1401" s="79" t="str">
        <f>IF(A1401="","",IF(S1401=0,"Date manquante ou invalide",IF(C1401="","Équipement manquant",IF(ISNA(MATCH(C1401,eq_code,0)),"Équipement inconnu",IF(E1401="","Type manquant",IF(AND(E1401&lt;&gt;"Préventif",E1401&lt;&gt;"Correctif",E1401&lt;&gt;"Amélioratif"),"Type inconnu",IF(I1401="","Statut manquant",IF(AND(I1401&lt;&gt;"Terminée",I1401&lt;&gt;"En cours",I1401&lt;&gt;"À faire",I1401&lt;&gt;"Annulée"),"Statut inconnu",IF(AND(E1401="Préventif",F1401=""),"Plan manquant (préventif)",IF(AND(F1401&lt;&gt;"",ISNA(MATCH(F1401,pl_num,0))),"Plan inconnu",IF(AND(F1401&lt;&gt;"",IFERROR(INDEX(pl_eq,MATCH(F1401,pl_num,0))&amp;"",C1401)&lt;&gt;C1401),"Plan d'un autre équipement",IF(AND(J1401&lt;&gt;"",OR(NOT(ISNUMBER(J1401)),N(J1401)&lt;0)),"Compteur invalide",IF(OR(AND(K1401&lt;&gt;"",OR(NOT(ISNUMBER(K1401)),N(K1401)&lt;0)),AND(L1401&lt;&gt;"",OR(NOT(ISNUMBER(L1401)),N(L1401)&lt;0))),"Durée invalide",IF(OR(AND(N1401&lt;&gt;"",OR(NOT(ISNUMBER(N1401)),N(N1401)&lt;0)),AND(P1401&lt;&gt;"",OR(NOT(ISNUMBER(P1401)),N(P1401)&lt;0))),"Coût invalide",IF(AND(M1401&lt;&gt;"",ISNA(MATCH(M1401,tech_name,0))),"Technicien inconnu",IF(AND(I1401="Terminée",S1401&gt;p_today),"Terminée à une date future",IF(AND(I1401="Terminée",V1401=0),"Durée d'intervention manquante",IF(AND(I1401="Terminée",E1401="Préventif",T1401=0,OR(IFERROR(INDEX(pl_trig,MATCH(F1401,pl_num,0))&amp;"","")="Compteur",IFERROR(INDEX(pl_trig,MATCH(F1401,pl_num,0))&amp;"","")="Au premier des deux")),"Compteur manquant (plan au compteur)","OK"))))))))))))))))))</f>
        <v/>
      </c>
      <c r="S1401" s="67">
        <f>IF(AND(ISNUMBER(B1401),N(B1401)&gt;0),INT(B1401),0)</f>
        <v>0.0</v>
      </c>
      <c r="T1401" s="67">
        <f>IF(AND(ISNUMBER(J1401),N(J1401)&gt;=0),N(J1401),0)</f>
        <v>0.0</v>
      </c>
      <c r="U1401" s="67">
        <f>IF(AND(ISNUMBER(K1401),N(K1401)&gt;0),N(K1401),0)</f>
        <v>0.0</v>
      </c>
      <c r="V1401" s="67">
        <f>IF(AND(ISNUMBER(L1401),N(L1401)&gt;0),N(L1401),0)</f>
        <v>0.0</v>
      </c>
      <c r="W1401" s="67">
        <f>IF(AND(I1401="Terminée",S1401&gt;0,C1401&lt;&gt;"",ISNUMBER(MATCH(C1401,eq_code,0))),1,0)</f>
        <v>0.0</v>
      </c>
      <c r="X1401" s="67">
        <f>IF(AND(W1401=1,E1401="Préventif"),1,0)</f>
        <v>0.0</v>
      </c>
      <c r="Y1401" s="67">
        <f>IF(AND(ISNUMBER(N1401),N(N1401)&gt;0),N(N1401),0)</f>
        <v>0.0</v>
      </c>
      <c r="Z1401" s="67">
        <f>IF(AND(ISNUMBER(P1401),N(P1401)&gt;0),N(P1401),0)</f>
        <v>0.0</v>
      </c>
    </row>
    <row r="1402">
      <c r="A1402" s="79" t="str">
        <f>IF(COUNTA(B1402:C1402,E1402:G1402,I1402)=0,"","BI-"&amp;RIGHT("0000"&amp;(ROW()-5),4))</f>
        <v/>
      </c>
      <c r="B1402" s="72" t="n"/>
      <c r="C1402" s="66" t="n"/>
      <c r="D1402" s="67" t="str">
        <f>IF(C1402="","",IFERROR(INDEX(eq_des,MATCH(C1402,eq_code,0))&amp;"","Équipement inconnu"))</f>
        <v/>
      </c>
      <c r="E1402" s="68" t="n"/>
      <c r="F1402" s="68" t="n"/>
      <c r="G1402" s="66" t="n"/>
      <c r="H1402" s="66" t="n"/>
      <c r="I1402" s="68" t="n"/>
      <c r="J1402" s="73" t="n"/>
      <c r="K1402" s="71" t="n"/>
      <c r="L1402" s="71" t="n"/>
      <c r="M1402" s="66" t="n"/>
      <c r="N1402" s="80" t="n"/>
      <c r="O1402" s="81" t="str">
        <f>IF(A1402="","",ROUND(V1402*IFERROR(N(INDEX(tech_rate,MATCH(M1402,tech_name,0))),0),2))</f>
        <v/>
      </c>
      <c r="P1402" s="80" t="n"/>
      <c r="Q1402" s="81" t="str">
        <f>IF(A1402="","",ROUND(Y1402+O1402+Z1402,2))</f>
        <v/>
      </c>
      <c r="R1402" s="79" t="str">
        <f>IF(A1402="","",IF(S1402=0,"Date manquante ou invalide",IF(C1402="","Équipement manquant",IF(ISNA(MATCH(C1402,eq_code,0)),"Équipement inconnu",IF(E1402="","Type manquant",IF(AND(E1402&lt;&gt;"Préventif",E1402&lt;&gt;"Correctif",E1402&lt;&gt;"Amélioratif"),"Type inconnu",IF(I1402="","Statut manquant",IF(AND(I1402&lt;&gt;"Terminée",I1402&lt;&gt;"En cours",I1402&lt;&gt;"À faire",I1402&lt;&gt;"Annulée"),"Statut inconnu",IF(AND(E1402="Préventif",F1402=""),"Plan manquant (préventif)",IF(AND(F1402&lt;&gt;"",ISNA(MATCH(F1402,pl_num,0))),"Plan inconnu",IF(AND(F1402&lt;&gt;"",IFERROR(INDEX(pl_eq,MATCH(F1402,pl_num,0))&amp;"",C1402)&lt;&gt;C1402),"Plan d'un autre équipement",IF(AND(J1402&lt;&gt;"",OR(NOT(ISNUMBER(J1402)),N(J1402)&lt;0)),"Compteur invalide",IF(OR(AND(K1402&lt;&gt;"",OR(NOT(ISNUMBER(K1402)),N(K1402)&lt;0)),AND(L1402&lt;&gt;"",OR(NOT(ISNUMBER(L1402)),N(L1402)&lt;0))),"Durée invalide",IF(OR(AND(N1402&lt;&gt;"",OR(NOT(ISNUMBER(N1402)),N(N1402)&lt;0)),AND(P1402&lt;&gt;"",OR(NOT(ISNUMBER(P1402)),N(P1402)&lt;0))),"Coût invalide",IF(AND(M1402&lt;&gt;"",ISNA(MATCH(M1402,tech_name,0))),"Technicien inconnu",IF(AND(I1402="Terminée",S1402&gt;p_today),"Terminée à une date future",IF(AND(I1402="Terminée",V1402=0),"Durée d'intervention manquante",IF(AND(I1402="Terminée",E1402="Préventif",T1402=0,OR(IFERROR(INDEX(pl_trig,MATCH(F1402,pl_num,0))&amp;"","")="Compteur",IFERROR(INDEX(pl_trig,MATCH(F1402,pl_num,0))&amp;"","")="Au premier des deux")),"Compteur manquant (plan au compteur)","OK"))))))))))))))))))</f>
        <v/>
      </c>
      <c r="S1402" s="67">
        <f>IF(AND(ISNUMBER(B1402),N(B1402)&gt;0),INT(B1402),0)</f>
        <v>0.0</v>
      </c>
      <c r="T1402" s="67">
        <f>IF(AND(ISNUMBER(J1402),N(J1402)&gt;=0),N(J1402),0)</f>
        <v>0.0</v>
      </c>
      <c r="U1402" s="67">
        <f>IF(AND(ISNUMBER(K1402),N(K1402)&gt;0),N(K1402),0)</f>
        <v>0.0</v>
      </c>
      <c r="V1402" s="67">
        <f>IF(AND(ISNUMBER(L1402),N(L1402)&gt;0),N(L1402),0)</f>
        <v>0.0</v>
      </c>
      <c r="W1402" s="67">
        <f>IF(AND(I1402="Terminée",S1402&gt;0,C1402&lt;&gt;"",ISNUMBER(MATCH(C1402,eq_code,0))),1,0)</f>
        <v>0.0</v>
      </c>
      <c r="X1402" s="67">
        <f>IF(AND(W1402=1,E1402="Préventif"),1,0)</f>
        <v>0.0</v>
      </c>
      <c r="Y1402" s="67">
        <f>IF(AND(ISNUMBER(N1402),N(N1402)&gt;0),N(N1402),0)</f>
        <v>0.0</v>
      </c>
      <c r="Z1402" s="67">
        <f>IF(AND(ISNUMBER(P1402),N(P1402)&gt;0),N(P1402),0)</f>
        <v>0.0</v>
      </c>
    </row>
    <row r="1403">
      <c r="A1403" s="79" t="str">
        <f>IF(COUNTA(B1403:C1403,E1403:G1403,I1403)=0,"","BI-"&amp;RIGHT("0000"&amp;(ROW()-5),4))</f>
        <v/>
      </c>
      <c r="B1403" s="72" t="n"/>
      <c r="C1403" s="66" t="n"/>
      <c r="D1403" s="67" t="str">
        <f>IF(C1403="","",IFERROR(INDEX(eq_des,MATCH(C1403,eq_code,0))&amp;"","Équipement inconnu"))</f>
        <v/>
      </c>
      <c r="E1403" s="68" t="n"/>
      <c r="F1403" s="68" t="n"/>
      <c r="G1403" s="66" t="n"/>
      <c r="H1403" s="66" t="n"/>
      <c r="I1403" s="68" t="n"/>
      <c r="J1403" s="73" t="n"/>
      <c r="K1403" s="71" t="n"/>
      <c r="L1403" s="71" t="n"/>
      <c r="M1403" s="66" t="n"/>
      <c r="N1403" s="80" t="n"/>
      <c r="O1403" s="81" t="str">
        <f>IF(A1403="","",ROUND(V1403*IFERROR(N(INDEX(tech_rate,MATCH(M1403,tech_name,0))),0),2))</f>
        <v/>
      </c>
      <c r="P1403" s="80" t="n"/>
      <c r="Q1403" s="81" t="str">
        <f>IF(A1403="","",ROUND(Y1403+O1403+Z1403,2))</f>
        <v/>
      </c>
      <c r="R1403" s="79" t="str">
        <f>IF(A1403="","",IF(S1403=0,"Date manquante ou invalide",IF(C1403="","Équipement manquant",IF(ISNA(MATCH(C1403,eq_code,0)),"Équipement inconnu",IF(E1403="","Type manquant",IF(AND(E1403&lt;&gt;"Préventif",E1403&lt;&gt;"Correctif",E1403&lt;&gt;"Amélioratif"),"Type inconnu",IF(I1403="","Statut manquant",IF(AND(I1403&lt;&gt;"Terminée",I1403&lt;&gt;"En cours",I1403&lt;&gt;"À faire",I1403&lt;&gt;"Annulée"),"Statut inconnu",IF(AND(E1403="Préventif",F1403=""),"Plan manquant (préventif)",IF(AND(F1403&lt;&gt;"",ISNA(MATCH(F1403,pl_num,0))),"Plan inconnu",IF(AND(F1403&lt;&gt;"",IFERROR(INDEX(pl_eq,MATCH(F1403,pl_num,0))&amp;"",C1403)&lt;&gt;C1403),"Plan d'un autre équipement",IF(AND(J1403&lt;&gt;"",OR(NOT(ISNUMBER(J1403)),N(J1403)&lt;0)),"Compteur invalide",IF(OR(AND(K1403&lt;&gt;"",OR(NOT(ISNUMBER(K1403)),N(K1403)&lt;0)),AND(L1403&lt;&gt;"",OR(NOT(ISNUMBER(L1403)),N(L1403)&lt;0))),"Durée invalide",IF(OR(AND(N1403&lt;&gt;"",OR(NOT(ISNUMBER(N1403)),N(N1403)&lt;0)),AND(P1403&lt;&gt;"",OR(NOT(ISNUMBER(P1403)),N(P1403)&lt;0))),"Coût invalide",IF(AND(M1403&lt;&gt;"",ISNA(MATCH(M1403,tech_name,0))),"Technicien inconnu",IF(AND(I1403="Terminée",S1403&gt;p_today),"Terminée à une date future",IF(AND(I1403="Terminée",V1403=0),"Durée d'intervention manquante",IF(AND(I1403="Terminée",E1403="Préventif",T1403=0,OR(IFERROR(INDEX(pl_trig,MATCH(F1403,pl_num,0))&amp;"","")="Compteur",IFERROR(INDEX(pl_trig,MATCH(F1403,pl_num,0))&amp;"","")="Au premier des deux")),"Compteur manquant (plan au compteur)","OK"))))))))))))))))))</f>
        <v/>
      </c>
      <c r="S1403" s="67">
        <f>IF(AND(ISNUMBER(B1403),N(B1403)&gt;0),INT(B1403),0)</f>
        <v>0.0</v>
      </c>
      <c r="T1403" s="67">
        <f>IF(AND(ISNUMBER(J1403),N(J1403)&gt;=0),N(J1403),0)</f>
        <v>0.0</v>
      </c>
      <c r="U1403" s="67">
        <f>IF(AND(ISNUMBER(K1403),N(K1403)&gt;0),N(K1403),0)</f>
        <v>0.0</v>
      </c>
      <c r="V1403" s="67">
        <f>IF(AND(ISNUMBER(L1403),N(L1403)&gt;0),N(L1403),0)</f>
        <v>0.0</v>
      </c>
      <c r="W1403" s="67">
        <f>IF(AND(I1403="Terminée",S1403&gt;0,C1403&lt;&gt;"",ISNUMBER(MATCH(C1403,eq_code,0))),1,0)</f>
        <v>0.0</v>
      </c>
      <c r="X1403" s="67">
        <f>IF(AND(W1403=1,E1403="Préventif"),1,0)</f>
        <v>0.0</v>
      </c>
      <c r="Y1403" s="67">
        <f>IF(AND(ISNUMBER(N1403),N(N1403)&gt;0),N(N1403),0)</f>
        <v>0.0</v>
      </c>
      <c r="Z1403" s="67">
        <f>IF(AND(ISNUMBER(P1403),N(P1403)&gt;0),N(P1403),0)</f>
        <v>0.0</v>
      </c>
    </row>
    <row r="1404">
      <c r="A1404" s="79" t="str">
        <f>IF(COUNTA(B1404:C1404,E1404:G1404,I1404)=0,"","BI-"&amp;RIGHT("0000"&amp;(ROW()-5),4))</f>
        <v/>
      </c>
      <c r="B1404" s="72" t="n"/>
      <c r="C1404" s="66" t="n"/>
      <c r="D1404" s="67" t="str">
        <f>IF(C1404="","",IFERROR(INDEX(eq_des,MATCH(C1404,eq_code,0))&amp;"","Équipement inconnu"))</f>
        <v/>
      </c>
      <c r="E1404" s="68" t="n"/>
      <c r="F1404" s="68" t="n"/>
      <c r="G1404" s="66" t="n"/>
      <c r="H1404" s="66" t="n"/>
      <c r="I1404" s="68" t="n"/>
      <c r="J1404" s="73" t="n"/>
      <c r="K1404" s="71" t="n"/>
      <c r="L1404" s="71" t="n"/>
      <c r="M1404" s="66" t="n"/>
      <c r="N1404" s="80" t="n"/>
      <c r="O1404" s="81" t="str">
        <f>IF(A1404="","",ROUND(V1404*IFERROR(N(INDEX(tech_rate,MATCH(M1404,tech_name,0))),0),2))</f>
        <v/>
      </c>
      <c r="P1404" s="80" t="n"/>
      <c r="Q1404" s="81" t="str">
        <f>IF(A1404="","",ROUND(Y1404+O1404+Z1404,2))</f>
        <v/>
      </c>
      <c r="R1404" s="79" t="str">
        <f>IF(A1404="","",IF(S1404=0,"Date manquante ou invalide",IF(C1404="","Équipement manquant",IF(ISNA(MATCH(C1404,eq_code,0)),"Équipement inconnu",IF(E1404="","Type manquant",IF(AND(E1404&lt;&gt;"Préventif",E1404&lt;&gt;"Correctif",E1404&lt;&gt;"Amélioratif"),"Type inconnu",IF(I1404="","Statut manquant",IF(AND(I1404&lt;&gt;"Terminée",I1404&lt;&gt;"En cours",I1404&lt;&gt;"À faire",I1404&lt;&gt;"Annulée"),"Statut inconnu",IF(AND(E1404="Préventif",F1404=""),"Plan manquant (préventif)",IF(AND(F1404&lt;&gt;"",ISNA(MATCH(F1404,pl_num,0))),"Plan inconnu",IF(AND(F1404&lt;&gt;"",IFERROR(INDEX(pl_eq,MATCH(F1404,pl_num,0))&amp;"",C1404)&lt;&gt;C1404),"Plan d'un autre équipement",IF(AND(J1404&lt;&gt;"",OR(NOT(ISNUMBER(J1404)),N(J1404)&lt;0)),"Compteur invalide",IF(OR(AND(K1404&lt;&gt;"",OR(NOT(ISNUMBER(K1404)),N(K1404)&lt;0)),AND(L1404&lt;&gt;"",OR(NOT(ISNUMBER(L1404)),N(L1404)&lt;0))),"Durée invalide",IF(OR(AND(N1404&lt;&gt;"",OR(NOT(ISNUMBER(N1404)),N(N1404)&lt;0)),AND(P1404&lt;&gt;"",OR(NOT(ISNUMBER(P1404)),N(P1404)&lt;0))),"Coût invalide",IF(AND(M1404&lt;&gt;"",ISNA(MATCH(M1404,tech_name,0))),"Technicien inconnu",IF(AND(I1404="Terminée",S1404&gt;p_today),"Terminée à une date future",IF(AND(I1404="Terminée",V1404=0),"Durée d'intervention manquante",IF(AND(I1404="Terminée",E1404="Préventif",T1404=0,OR(IFERROR(INDEX(pl_trig,MATCH(F1404,pl_num,0))&amp;"","")="Compteur",IFERROR(INDEX(pl_trig,MATCH(F1404,pl_num,0))&amp;"","")="Au premier des deux")),"Compteur manquant (plan au compteur)","OK"))))))))))))))))))</f>
        <v/>
      </c>
      <c r="S1404" s="67">
        <f>IF(AND(ISNUMBER(B1404),N(B1404)&gt;0),INT(B1404),0)</f>
        <v>0.0</v>
      </c>
      <c r="T1404" s="67">
        <f>IF(AND(ISNUMBER(J1404),N(J1404)&gt;=0),N(J1404),0)</f>
        <v>0.0</v>
      </c>
      <c r="U1404" s="67">
        <f>IF(AND(ISNUMBER(K1404),N(K1404)&gt;0),N(K1404),0)</f>
        <v>0.0</v>
      </c>
      <c r="V1404" s="67">
        <f>IF(AND(ISNUMBER(L1404),N(L1404)&gt;0),N(L1404),0)</f>
        <v>0.0</v>
      </c>
      <c r="W1404" s="67">
        <f>IF(AND(I1404="Terminée",S1404&gt;0,C1404&lt;&gt;"",ISNUMBER(MATCH(C1404,eq_code,0))),1,0)</f>
        <v>0.0</v>
      </c>
      <c r="X1404" s="67">
        <f>IF(AND(W1404=1,E1404="Préventif"),1,0)</f>
        <v>0.0</v>
      </c>
      <c r="Y1404" s="67">
        <f>IF(AND(ISNUMBER(N1404),N(N1404)&gt;0),N(N1404),0)</f>
        <v>0.0</v>
      </c>
      <c r="Z1404" s="67">
        <f>IF(AND(ISNUMBER(P1404),N(P1404)&gt;0),N(P1404),0)</f>
        <v>0.0</v>
      </c>
    </row>
    <row r="1405">
      <c r="A1405" s="79" t="str">
        <f>IF(COUNTA(B1405:C1405,E1405:G1405,I1405)=0,"","BI-"&amp;RIGHT("0000"&amp;(ROW()-5),4))</f>
        <v/>
      </c>
      <c r="B1405" s="72" t="n"/>
      <c r="C1405" s="66" t="n"/>
      <c r="D1405" s="67" t="str">
        <f>IF(C1405="","",IFERROR(INDEX(eq_des,MATCH(C1405,eq_code,0))&amp;"","Équipement inconnu"))</f>
        <v/>
      </c>
      <c r="E1405" s="68" t="n"/>
      <c r="F1405" s="68" t="n"/>
      <c r="G1405" s="66" t="n"/>
      <c r="H1405" s="66" t="n"/>
      <c r="I1405" s="68" t="n"/>
      <c r="J1405" s="73" t="n"/>
      <c r="K1405" s="71" t="n"/>
      <c r="L1405" s="71" t="n"/>
      <c r="M1405" s="66" t="n"/>
      <c r="N1405" s="80" t="n"/>
      <c r="O1405" s="81" t="str">
        <f>IF(A1405="","",ROUND(V1405*IFERROR(N(INDEX(tech_rate,MATCH(M1405,tech_name,0))),0),2))</f>
        <v/>
      </c>
      <c r="P1405" s="80" t="n"/>
      <c r="Q1405" s="81" t="str">
        <f>IF(A1405="","",ROUND(Y1405+O1405+Z1405,2))</f>
        <v/>
      </c>
      <c r="R1405" s="79" t="str">
        <f>IF(A1405="","",IF(S1405=0,"Date manquante ou invalide",IF(C1405="","Équipement manquant",IF(ISNA(MATCH(C1405,eq_code,0)),"Équipement inconnu",IF(E1405="","Type manquant",IF(AND(E1405&lt;&gt;"Préventif",E1405&lt;&gt;"Correctif",E1405&lt;&gt;"Amélioratif"),"Type inconnu",IF(I1405="","Statut manquant",IF(AND(I1405&lt;&gt;"Terminée",I1405&lt;&gt;"En cours",I1405&lt;&gt;"À faire",I1405&lt;&gt;"Annulée"),"Statut inconnu",IF(AND(E1405="Préventif",F1405=""),"Plan manquant (préventif)",IF(AND(F1405&lt;&gt;"",ISNA(MATCH(F1405,pl_num,0))),"Plan inconnu",IF(AND(F1405&lt;&gt;"",IFERROR(INDEX(pl_eq,MATCH(F1405,pl_num,0))&amp;"",C1405)&lt;&gt;C1405),"Plan d'un autre équipement",IF(AND(J1405&lt;&gt;"",OR(NOT(ISNUMBER(J1405)),N(J1405)&lt;0)),"Compteur invalide",IF(OR(AND(K1405&lt;&gt;"",OR(NOT(ISNUMBER(K1405)),N(K1405)&lt;0)),AND(L1405&lt;&gt;"",OR(NOT(ISNUMBER(L1405)),N(L1405)&lt;0))),"Durée invalide",IF(OR(AND(N1405&lt;&gt;"",OR(NOT(ISNUMBER(N1405)),N(N1405)&lt;0)),AND(P1405&lt;&gt;"",OR(NOT(ISNUMBER(P1405)),N(P1405)&lt;0))),"Coût invalide",IF(AND(M1405&lt;&gt;"",ISNA(MATCH(M1405,tech_name,0))),"Technicien inconnu",IF(AND(I1405="Terminée",S1405&gt;p_today),"Terminée à une date future",IF(AND(I1405="Terminée",V1405=0),"Durée d'intervention manquante",IF(AND(I1405="Terminée",E1405="Préventif",T1405=0,OR(IFERROR(INDEX(pl_trig,MATCH(F1405,pl_num,0))&amp;"","")="Compteur",IFERROR(INDEX(pl_trig,MATCH(F1405,pl_num,0))&amp;"","")="Au premier des deux")),"Compteur manquant (plan au compteur)","OK"))))))))))))))))))</f>
        <v/>
      </c>
      <c r="S1405" s="67">
        <f>IF(AND(ISNUMBER(B1405),N(B1405)&gt;0),INT(B1405),0)</f>
        <v>0.0</v>
      </c>
      <c r="T1405" s="67">
        <f>IF(AND(ISNUMBER(J1405),N(J1405)&gt;=0),N(J1405),0)</f>
        <v>0.0</v>
      </c>
      <c r="U1405" s="67">
        <f>IF(AND(ISNUMBER(K1405),N(K1405)&gt;0),N(K1405),0)</f>
        <v>0.0</v>
      </c>
      <c r="V1405" s="67">
        <f>IF(AND(ISNUMBER(L1405),N(L1405)&gt;0),N(L1405),0)</f>
        <v>0.0</v>
      </c>
      <c r="W1405" s="67">
        <f>IF(AND(I1405="Terminée",S1405&gt;0,C1405&lt;&gt;"",ISNUMBER(MATCH(C1405,eq_code,0))),1,0)</f>
        <v>0.0</v>
      </c>
      <c r="X1405" s="67">
        <f>IF(AND(W1405=1,E1405="Préventif"),1,0)</f>
        <v>0.0</v>
      </c>
      <c r="Y1405" s="67">
        <f>IF(AND(ISNUMBER(N1405),N(N1405)&gt;0),N(N1405),0)</f>
        <v>0.0</v>
      </c>
      <c r="Z1405" s="67">
        <f>IF(AND(ISNUMBER(P1405),N(P1405)&gt;0),N(P1405),0)</f>
        <v>0.0</v>
      </c>
    </row>
    <row r="1406">
      <c r="A1406" s="79" t="str">
        <f>IF(COUNTA(B1406:C1406,E1406:G1406,I1406)=0,"","BI-"&amp;RIGHT("0000"&amp;(ROW()-5),4))</f>
        <v/>
      </c>
      <c r="B1406" s="72" t="n"/>
      <c r="C1406" s="66" t="n"/>
      <c r="D1406" s="67" t="str">
        <f>IF(C1406="","",IFERROR(INDEX(eq_des,MATCH(C1406,eq_code,0))&amp;"","Équipement inconnu"))</f>
        <v/>
      </c>
      <c r="E1406" s="68" t="n"/>
      <c r="F1406" s="68" t="n"/>
      <c r="G1406" s="66" t="n"/>
      <c r="H1406" s="66" t="n"/>
      <c r="I1406" s="68" t="n"/>
      <c r="J1406" s="73" t="n"/>
      <c r="K1406" s="71" t="n"/>
      <c r="L1406" s="71" t="n"/>
      <c r="M1406" s="66" t="n"/>
      <c r="N1406" s="80" t="n"/>
      <c r="O1406" s="81" t="str">
        <f>IF(A1406="","",ROUND(V1406*IFERROR(N(INDEX(tech_rate,MATCH(M1406,tech_name,0))),0),2))</f>
        <v/>
      </c>
      <c r="P1406" s="80" t="n"/>
      <c r="Q1406" s="81" t="str">
        <f>IF(A1406="","",ROUND(Y1406+O1406+Z1406,2))</f>
        <v/>
      </c>
      <c r="R1406" s="79" t="str">
        <f>IF(A1406="","",IF(S1406=0,"Date manquante ou invalide",IF(C1406="","Équipement manquant",IF(ISNA(MATCH(C1406,eq_code,0)),"Équipement inconnu",IF(E1406="","Type manquant",IF(AND(E1406&lt;&gt;"Préventif",E1406&lt;&gt;"Correctif",E1406&lt;&gt;"Amélioratif"),"Type inconnu",IF(I1406="","Statut manquant",IF(AND(I1406&lt;&gt;"Terminée",I1406&lt;&gt;"En cours",I1406&lt;&gt;"À faire",I1406&lt;&gt;"Annulée"),"Statut inconnu",IF(AND(E1406="Préventif",F1406=""),"Plan manquant (préventif)",IF(AND(F1406&lt;&gt;"",ISNA(MATCH(F1406,pl_num,0))),"Plan inconnu",IF(AND(F1406&lt;&gt;"",IFERROR(INDEX(pl_eq,MATCH(F1406,pl_num,0))&amp;"",C1406)&lt;&gt;C1406),"Plan d'un autre équipement",IF(AND(J1406&lt;&gt;"",OR(NOT(ISNUMBER(J1406)),N(J1406)&lt;0)),"Compteur invalide",IF(OR(AND(K1406&lt;&gt;"",OR(NOT(ISNUMBER(K1406)),N(K1406)&lt;0)),AND(L1406&lt;&gt;"",OR(NOT(ISNUMBER(L1406)),N(L1406)&lt;0))),"Durée invalide",IF(OR(AND(N1406&lt;&gt;"",OR(NOT(ISNUMBER(N1406)),N(N1406)&lt;0)),AND(P1406&lt;&gt;"",OR(NOT(ISNUMBER(P1406)),N(P1406)&lt;0))),"Coût invalide",IF(AND(M1406&lt;&gt;"",ISNA(MATCH(M1406,tech_name,0))),"Technicien inconnu",IF(AND(I1406="Terminée",S1406&gt;p_today),"Terminée à une date future",IF(AND(I1406="Terminée",V1406=0),"Durée d'intervention manquante",IF(AND(I1406="Terminée",E1406="Préventif",T1406=0,OR(IFERROR(INDEX(pl_trig,MATCH(F1406,pl_num,0))&amp;"","")="Compteur",IFERROR(INDEX(pl_trig,MATCH(F1406,pl_num,0))&amp;"","")="Au premier des deux")),"Compteur manquant (plan au compteur)","OK"))))))))))))))))))</f>
        <v/>
      </c>
      <c r="S1406" s="67">
        <f>IF(AND(ISNUMBER(B1406),N(B1406)&gt;0),INT(B1406),0)</f>
        <v>0.0</v>
      </c>
      <c r="T1406" s="67">
        <f>IF(AND(ISNUMBER(J1406),N(J1406)&gt;=0),N(J1406),0)</f>
        <v>0.0</v>
      </c>
      <c r="U1406" s="67">
        <f>IF(AND(ISNUMBER(K1406),N(K1406)&gt;0),N(K1406),0)</f>
        <v>0.0</v>
      </c>
      <c r="V1406" s="67">
        <f>IF(AND(ISNUMBER(L1406),N(L1406)&gt;0),N(L1406),0)</f>
        <v>0.0</v>
      </c>
      <c r="W1406" s="67">
        <f>IF(AND(I1406="Terminée",S1406&gt;0,C1406&lt;&gt;"",ISNUMBER(MATCH(C1406,eq_code,0))),1,0)</f>
        <v>0.0</v>
      </c>
      <c r="X1406" s="67">
        <f>IF(AND(W1406=1,E1406="Préventif"),1,0)</f>
        <v>0.0</v>
      </c>
      <c r="Y1406" s="67">
        <f>IF(AND(ISNUMBER(N1406),N(N1406)&gt;0),N(N1406),0)</f>
        <v>0.0</v>
      </c>
      <c r="Z1406" s="67">
        <f>IF(AND(ISNUMBER(P1406),N(P1406)&gt;0),N(P1406),0)</f>
        <v>0.0</v>
      </c>
    </row>
    <row r="1407">
      <c r="A1407" s="79" t="str">
        <f>IF(COUNTA(B1407:C1407,E1407:G1407,I1407)=0,"","BI-"&amp;RIGHT("0000"&amp;(ROW()-5),4))</f>
        <v/>
      </c>
      <c r="B1407" s="72" t="n"/>
      <c r="C1407" s="66" t="n"/>
      <c r="D1407" s="67" t="str">
        <f>IF(C1407="","",IFERROR(INDEX(eq_des,MATCH(C1407,eq_code,0))&amp;"","Équipement inconnu"))</f>
        <v/>
      </c>
      <c r="E1407" s="68" t="n"/>
      <c r="F1407" s="68" t="n"/>
      <c r="G1407" s="66" t="n"/>
      <c r="H1407" s="66" t="n"/>
      <c r="I1407" s="68" t="n"/>
      <c r="J1407" s="73" t="n"/>
      <c r="K1407" s="71" t="n"/>
      <c r="L1407" s="71" t="n"/>
      <c r="M1407" s="66" t="n"/>
      <c r="N1407" s="80" t="n"/>
      <c r="O1407" s="81" t="str">
        <f>IF(A1407="","",ROUND(V1407*IFERROR(N(INDEX(tech_rate,MATCH(M1407,tech_name,0))),0),2))</f>
        <v/>
      </c>
      <c r="P1407" s="80" t="n"/>
      <c r="Q1407" s="81" t="str">
        <f>IF(A1407="","",ROUND(Y1407+O1407+Z1407,2))</f>
        <v/>
      </c>
      <c r="R1407" s="79" t="str">
        <f>IF(A1407="","",IF(S1407=0,"Date manquante ou invalide",IF(C1407="","Équipement manquant",IF(ISNA(MATCH(C1407,eq_code,0)),"Équipement inconnu",IF(E1407="","Type manquant",IF(AND(E1407&lt;&gt;"Préventif",E1407&lt;&gt;"Correctif",E1407&lt;&gt;"Amélioratif"),"Type inconnu",IF(I1407="","Statut manquant",IF(AND(I1407&lt;&gt;"Terminée",I1407&lt;&gt;"En cours",I1407&lt;&gt;"À faire",I1407&lt;&gt;"Annulée"),"Statut inconnu",IF(AND(E1407="Préventif",F1407=""),"Plan manquant (préventif)",IF(AND(F1407&lt;&gt;"",ISNA(MATCH(F1407,pl_num,0))),"Plan inconnu",IF(AND(F1407&lt;&gt;"",IFERROR(INDEX(pl_eq,MATCH(F1407,pl_num,0))&amp;"",C1407)&lt;&gt;C1407),"Plan d'un autre équipement",IF(AND(J1407&lt;&gt;"",OR(NOT(ISNUMBER(J1407)),N(J1407)&lt;0)),"Compteur invalide",IF(OR(AND(K1407&lt;&gt;"",OR(NOT(ISNUMBER(K1407)),N(K1407)&lt;0)),AND(L1407&lt;&gt;"",OR(NOT(ISNUMBER(L1407)),N(L1407)&lt;0))),"Durée invalide",IF(OR(AND(N1407&lt;&gt;"",OR(NOT(ISNUMBER(N1407)),N(N1407)&lt;0)),AND(P1407&lt;&gt;"",OR(NOT(ISNUMBER(P1407)),N(P1407)&lt;0))),"Coût invalide",IF(AND(M1407&lt;&gt;"",ISNA(MATCH(M1407,tech_name,0))),"Technicien inconnu",IF(AND(I1407="Terminée",S1407&gt;p_today),"Terminée à une date future",IF(AND(I1407="Terminée",V1407=0),"Durée d'intervention manquante",IF(AND(I1407="Terminée",E1407="Préventif",T1407=0,OR(IFERROR(INDEX(pl_trig,MATCH(F1407,pl_num,0))&amp;"","")="Compteur",IFERROR(INDEX(pl_trig,MATCH(F1407,pl_num,0))&amp;"","")="Au premier des deux")),"Compteur manquant (plan au compteur)","OK"))))))))))))))))))</f>
        <v/>
      </c>
      <c r="S1407" s="67">
        <f>IF(AND(ISNUMBER(B1407),N(B1407)&gt;0),INT(B1407),0)</f>
        <v>0.0</v>
      </c>
      <c r="T1407" s="67">
        <f>IF(AND(ISNUMBER(J1407),N(J1407)&gt;=0),N(J1407),0)</f>
        <v>0.0</v>
      </c>
      <c r="U1407" s="67">
        <f>IF(AND(ISNUMBER(K1407),N(K1407)&gt;0),N(K1407),0)</f>
        <v>0.0</v>
      </c>
      <c r="V1407" s="67">
        <f>IF(AND(ISNUMBER(L1407),N(L1407)&gt;0),N(L1407),0)</f>
        <v>0.0</v>
      </c>
      <c r="W1407" s="67">
        <f>IF(AND(I1407="Terminée",S1407&gt;0,C1407&lt;&gt;"",ISNUMBER(MATCH(C1407,eq_code,0))),1,0)</f>
        <v>0.0</v>
      </c>
      <c r="X1407" s="67">
        <f>IF(AND(W1407=1,E1407="Préventif"),1,0)</f>
        <v>0.0</v>
      </c>
      <c r="Y1407" s="67">
        <f>IF(AND(ISNUMBER(N1407),N(N1407)&gt;0),N(N1407),0)</f>
        <v>0.0</v>
      </c>
      <c r="Z1407" s="67">
        <f>IF(AND(ISNUMBER(P1407),N(P1407)&gt;0),N(P1407),0)</f>
        <v>0.0</v>
      </c>
    </row>
    <row r="1408">
      <c r="A1408" s="79" t="str">
        <f>IF(COUNTA(B1408:C1408,E1408:G1408,I1408)=0,"","BI-"&amp;RIGHT("0000"&amp;(ROW()-5),4))</f>
        <v/>
      </c>
      <c r="B1408" s="72" t="n"/>
      <c r="C1408" s="66" t="n"/>
      <c r="D1408" s="67" t="str">
        <f>IF(C1408="","",IFERROR(INDEX(eq_des,MATCH(C1408,eq_code,0))&amp;"","Équipement inconnu"))</f>
        <v/>
      </c>
      <c r="E1408" s="68" t="n"/>
      <c r="F1408" s="68" t="n"/>
      <c r="G1408" s="66" t="n"/>
      <c r="H1408" s="66" t="n"/>
      <c r="I1408" s="68" t="n"/>
      <c r="J1408" s="73" t="n"/>
      <c r="K1408" s="71" t="n"/>
      <c r="L1408" s="71" t="n"/>
      <c r="M1408" s="66" t="n"/>
      <c r="N1408" s="80" t="n"/>
      <c r="O1408" s="81" t="str">
        <f>IF(A1408="","",ROUND(V1408*IFERROR(N(INDEX(tech_rate,MATCH(M1408,tech_name,0))),0),2))</f>
        <v/>
      </c>
      <c r="P1408" s="80" t="n"/>
      <c r="Q1408" s="81" t="str">
        <f>IF(A1408="","",ROUND(Y1408+O1408+Z1408,2))</f>
        <v/>
      </c>
      <c r="R1408" s="79" t="str">
        <f>IF(A1408="","",IF(S1408=0,"Date manquante ou invalide",IF(C1408="","Équipement manquant",IF(ISNA(MATCH(C1408,eq_code,0)),"Équipement inconnu",IF(E1408="","Type manquant",IF(AND(E1408&lt;&gt;"Préventif",E1408&lt;&gt;"Correctif",E1408&lt;&gt;"Amélioratif"),"Type inconnu",IF(I1408="","Statut manquant",IF(AND(I1408&lt;&gt;"Terminée",I1408&lt;&gt;"En cours",I1408&lt;&gt;"À faire",I1408&lt;&gt;"Annulée"),"Statut inconnu",IF(AND(E1408="Préventif",F1408=""),"Plan manquant (préventif)",IF(AND(F1408&lt;&gt;"",ISNA(MATCH(F1408,pl_num,0))),"Plan inconnu",IF(AND(F1408&lt;&gt;"",IFERROR(INDEX(pl_eq,MATCH(F1408,pl_num,0))&amp;"",C1408)&lt;&gt;C1408),"Plan d'un autre équipement",IF(AND(J1408&lt;&gt;"",OR(NOT(ISNUMBER(J1408)),N(J1408)&lt;0)),"Compteur invalide",IF(OR(AND(K1408&lt;&gt;"",OR(NOT(ISNUMBER(K1408)),N(K1408)&lt;0)),AND(L1408&lt;&gt;"",OR(NOT(ISNUMBER(L1408)),N(L1408)&lt;0))),"Durée invalide",IF(OR(AND(N1408&lt;&gt;"",OR(NOT(ISNUMBER(N1408)),N(N1408)&lt;0)),AND(P1408&lt;&gt;"",OR(NOT(ISNUMBER(P1408)),N(P1408)&lt;0))),"Coût invalide",IF(AND(M1408&lt;&gt;"",ISNA(MATCH(M1408,tech_name,0))),"Technicien inconnu",IF(AND(I1408="Terminée",S1408&gt;p_today),"Terminée à une date future",IF(AND(I1408="Terminée",V1408=0),"Durée d'intervention manquante",IF(AND(I1408="Terminée",E1408="Préventif",T1408=0,OR(IFERROR(INDEX(pl_trig,MATCH(F1408,pl_num,0))&amp;"","")="Compteur",IFERROR(INDEX(pl_trig,MATCH(F1408,pl_num,0))&amp;"","")="Au premier des deux")),"Compteur manquant (plan au compteur)","OK"))))))))))))))))))</f>
        <v/>
      </c>
      <c r="S1408" s="67">
        <f>IF(AND(ISNUMBER(B1408),N(B1408)&gt;0),INT(B1408),0)</f>
        <v>0.0</v>
      </c>
      <c r="T1408" s="67">
        <f>IF(AND(ISNUMBER(J1408),N(J1408)&gt;=0),N(J1408),0)</f>
        <v>0.0</v>
      </c>
      <c r="U1408" s="67">
        <f>IF(AND(ISNUMBER(K1408),N(K1408)&gt;0),N(K1408),0)</f>
        <v>0.0</v>
      </c>
      <c r="V1408" s="67">
        <f>IF(AND(ISNUMBER(L1408),N(L1408)&gt;0),N(L1408),0)</f>
        <v>0.0</v>
      </c>
      <c r="W1408" s="67">
        <f>IF(AND(I1408="Terminée",S1408&gt;0,C1408&lt;&gt;"",ISNUMBER(MATCH(C1408,eq_code,0))),1,0)</f>
        <v>0.0</v>
      </c>
      <c r="X1408" s="67">
        <f>IF(AND(W1408=1,E1408="Préventif"),1,0)</f>
        <v>0.0</v>
      </c>
      <c r="Y1408" s="67">
        <f>IF(AND(ISNUMBER(N1408),N(N1408)&gt;0),N(N1408),0)</f>
        <v>0.0</v>
      </c>
      <c r="Z1408" s="67">
        <f>IF(AND(ISNUMBER(P1408),N(P1408)&gt;0),N(P1408),0)</f>
        <v>0.0</v>
      </c>
    </row>
    <row r="1409">
      <c r="A1409" s="79" t="str">
        <f>IF(COUNTA(B1409:C1409,E1409:G1409,I1409)=0,"","BI-"&amp;RIGHT("0000"&amp;(ROW()-5),4))</f>
        <v/>
      </c>
      <c r="B1409" s="72" t="n"/>
      <c r="C1409" s="66" t="n"/>
      <c r="D1409" s="67" t="str">
        <f>IF(C1409="","",IFERROR(INDEX(eq_des,MATCH(C1409,eq_code,0))&amp;"","Équipement inconnu"))</f>
        <v/>
      </c>
      <c r="E1409" s="68" t="n"/>
      <c r="F1409" s="68" t="n"/>
      <c r="G1409" s="66" t="n"/>
      <c r="H1409" s="66" t="n"/>
      <c r="I1409" s="68" t="n"/>
      <c r="J1409" s="73" t="n"/>
      <c r="K1409" s="71" t="n"/>
      <c r="L1409" s="71" t="n"/>
      <c r="M1409" s="66" t="n"/>
      <c r="N1409" s="80" t="n"/>
      <c r="O1409" s="81" t="str">
        <f>IF(A1409="","",ROUND(V1409*IFERROR(N(INDEX(tech_rate,MATCH(M1409,tech_name,0))),0),2))</f>
        <v/>
      </c>
      <c r="P1409" s="80" t="n"/>
      <c r="Q1409" s="81" t="str">
        <f>IF(A1409="","",ROUND(Y1409+O1409+Z1409,2))</f>
        <v/>
      </c>
      <c r="R1409" s="79" t="str">
        <f>IF(A1409="","",IF(S1409=0,"Date manquante ou invalide",IF(C1409="","Équipement manquant",IF(ISNA(MATCH(C1409,eq_code,0)),"Équipement inconnu",IF(E1409="","Type manquant",IF(AND(E1409&lt;&gt;"Préventif",E1409&lt;&gt;"Correctif",E1409&lt;&gt;"Amélioratif"),"Type inconnu",IF(I1409="","Statut manquant",IF(AND(I1409&lt;&gt;"Terminée",I1409&lt;&gt;"En cours",I1409&lt;&gt;"À faire",I1409&lt;&gt;"Annulée"),"Statut inconnu",IF(AND(E1409="Préventif",F1409=""),"Plan manquant (préventif)",IF(AND(F1409&lt;&gt;"",ISNA(MATCH(F1409,pl_num,0))),"Plan inconnu",IF(AND(F1409&lt;&gt;"",IFERROR(INDEX(pl_eq,MATCH(F1409,pl_num,0))&amp;"",C1409)&lt;&gt;C1409),"Plan d'un autre équipement",IF(AND(J1409&lt;&gt;"",OR(NOT(ISNUMBER(J1409)),N(J1409)&lt;0)),"Compteur invalide",IF(OR(AND(K1409&lt;&gt;"",OR(NOT(ISNUMBER(K1409)),N(K1409)&lt;0)),AND(L1409&lt;&gt;"",OR(NOT(ISNUMBER(L1409)),N(L1409)&lt;0))),"Durée invalide",IF(OR(AND(N1409&lt;&gt;"",OR(NOT(ISNUMBER(N1409)),N(N1409)&lt;0)),AND(P1409&lt;&gt;"",OR(NOT(ISNUMBER(P1409)),N(P1409)&lt;0))),"Coût invalide",IF(AND(M1409&lt;&gt;"",ISNA(MATCH(M1409,tech_name,0))),"Technicien inconnu",IF(AND(I1409="Terminée",S1409&gt;p_today),"Terminée à une date future",IF(AND(I1409="Terminée",V1409=0),"Durée d'intervention manquante",IF(AND(I1409="Terminée",E1409="Préventif",T1409=0,OR(IFERROR(INDEX(pl_trig,MATCH(F1409,pl_num,0))&amp;"","")="Compteur",IFERROR(INDEX(pl_trig,MATCH(F1409,pl_num,0))&amp;"","")="Au premier des deux")),"Compteur manquant (plan au compteur)","OK"))))))))))))))))))</f>
        <v/>
      </c>
      <c r="S1409" s="67">
        <f>IF(AND(ISNUMBER(B1409),N(B1409)&gt;0),INT(B1409),0)</f>
        <v>0.0</v>
      </c>
      <c r="T1409" s="67">
        <f>IF(AND(ISNUMBER(J1409),N(J1409)&gt;=0),N(J1409),0)</f>
        <v>0.0</v>
      </c>
      <c r="U1409" s="67">
        <f>IF(AND(ISNUMBER(K1409),N(K1409)&gt;0),N(K1409),0)</f>
        <v>0.0</v>
      </c>
      <c r="V1409" s="67">
        <f>IF(AND(ISNUMBER(L1409),N(L1409)&gt;0),N(L1409),0)</f>
        <v>0.0</v>
      </c>
      <c r="W1409" s="67">
        <f>IF(AND(I1409="Terminée",S1409&gt;0,C1409&lt;&gt;"",ISNUMBER(MATCH(C1409,eq_code,0))),1,0)</f>
        <v>0.0</v>
      </c>
      <c r="X1409" s="67">
        <f>IF(AND(W1409=1,E1409="Préventif"),1,0)</f>
        <v>0.0</v>
      </c>
      <c r="Y1409" s="67">
        <f>IF(AND(ISNUMBER(N1409),N(N1409)&gt;0),N(N1409),0)</f>
        <v>0.0</v>
      </c>
      <c r="Z1409" s="67">
        <f>IF(AND(ISNUMBER(P1409),N(P1409)&gt;0),N(P1409),0)</f>
        <v>0.0</v>
      </c>
    </row>
    <row r="1410">
      <c r="A1410" s="79" t="str">
        <f>IF(COUNTA(B1410:C1410,E1410:G1410,I1410)=0,"","BI-"&amp;RIGHT("0000"&amp;(ROW()-5),4))</f>
        <v/>
      </c>
      <c r="B1410" s="72" t="n"/>
      <c r="C1410" s="66" t="n"/>
      <c r="D1410" s="67" t="str">
        <f>IF(C1410="","",IFERROR(INDEX(eq_des,MATCH(C1410,eq_code,0))&amp;"","Équipement inconnu"))</f>
        <v/>
      </c>
      <c r="E1410" s="68" t="n"/>
      <c r="F1410" s="68" t="n"/>
      <c r="G1410" s="66" t="n"/>
      <c r="H1410" s="66" t="n"/>
      <c r="I1410" s="68" t="n"/>
      <c r="J1410" s="73" t="n"/>
      <c r="K1410" s="71" t="n"/>
      <c r="L1410" s="71" t="n"/>
      <c r="M1410" s="66" t="n"/>
      <c r="N1410" s="80" t="n"/>
      <c r="O1410" s="81" t="str">
        <f>IF(A1410="","",ROUND(V1410*IFERROR(N(INDEX(tech_rate,MATCH(M1410,tech_name,0))),0),2))</f>
        <v/>
      </c>
      <c r="P1410" s="80" t="n"/>
      <c r="Q1410" s="81" t="str">
        <f>IF(A1410="","",ROUND(Y1410+O1410+Z1410,2))</f>
        <v/>
      </c>
      <c r="R1410" s="79" t="str">
        <f>IF(A1410="","",IF(S1410=0,"Date manquante ou invalide",IF(C1410="","Équipement manquant",IF(ISNA(MATCH(C1410,eq_code,0)),"Équipement inconnu",IF(E1410="","Type manquant",IF(AND(E1410&lt;&gt;"Préventif",E1410&lt;&gt;"Correctif",E1410&lt;&gt;"Amélioratif"),"Type inconnu",IF(I1410="","Statut manquant",IF(AND(I1410&lt;&gt;"Terminée",I1410&lt;&gt;"En cours",I1410&lt;&gt;"À faire",I1410&lt;&gt;"Annulée"),"Statut inconnu",IF(AND(E1410="Préventif",F1410=""),"Plan manquant (préventif)",IF(AND(F1410&lt;&gt;"",ISNA(MATCH(F1410,pl_num,0))),"Plan inconnu",IF(AND(F1410&lt;&gt;"",IFERROR(INDEX(pl_eq,MATCH(F1410,pl_num,0))&amp;"",C1410)&lt;&gt;C1410),"Plan d'un autre équipement",IF(AND(J1410&lt;&gt;"",OR(NOT(ISNUMBER(J1410)),N(J1410)&lt;0)),"Compteur invalide",IF(OR(AND(K1410&lt;&gt;"",OR(NOT(ISNUMBER(K1410)),N(K1410)&lt;0)),AND(L1410&lt;&gt;"",OR(NOT(ISNUMBER(L1410)),N(L1410)&lt;0))),"Durée invalide",IF(OR(AND(N1410&lt;&gt;"",OR(NOT(ISNUMBER(N1410)),N(N1410)&lt;0)),AND(P1410&lt;&gt;"",OR(NOT(ISNUMBER(P1410)),N(P1410)&lt;0))),"Coût invalide",IF(AND(M1410&lt;&gt;"",ISNA(MATCH(M1410,tech_name,0))),"Technicien inconnu",IF(AND(I1410="Terminée",S1410&gt;p_today),"Terminée à une date future",IF(AND(I1410="Terminée",V1410=0),"Durée d'intervention manquante",IF(AND(I1410="Terminée",E1410="Préventif",T1410=0,OR(IFERROR(INDEX(pl_trig,MATCH(F1410,pl_num,0))&amp;"","")="Compteur",IFERROR(INDEX(pl_trig,MATCH(F1410,pl_num,0))&amp;"","")="Au premier des deux")),"Compteur manquant (plan au compteur)","OK"))))))))))))))))))</f>
        <v/>
      </c>
      <c r="S1410" s="67">
        <f>IF(AND(ISNUMBER(B1410),N(B1410)&gt;0),INT(B1410),0)</f>
        <v>0.0</v>
      </c>
      <c r="T1410" s="67">
        <f>IF(AND(ISNUMBER(J1410),N(J1410)&gt;=0),N(J1410),0)</f>
        <v>0.0</v>
      </c>
      <c r="U1410" s="67">
        <f>IF(AND(ISNUMBER(K1410),N(K1410)&gt;0),N(K1410),0)</f>
        <v>0.0</v>
      </c>
      <c r="V1410" s="67">
        <f>IF(AND(ISNUMBER(L1410),N(L1410)&gt;0),N(L1410),0)</f>
        <v>0.0</v>
      </c>
      <c r="W1410" s="67">
        <f>IF(AND(I1410="Terminée",S1410&gt;0,C1410&lt;&gt;"",ISNUMBER(MATCH(C1410,eq_code,0))),1,0)</f>
        <v>0.0</v>
      </c>
      <c r="X1410" s="67">
        <f>IF(AND(W1410=1,E1410="Préventif"),1,0)</f>
        <v>0.0</v>
      </c>
      <c r="Y1410" s="67">
        <f>IF(AND(ISNUMBER(N1410),N(N1410)&gt;0),N(N1410),0)</f>
        <v>0.0</v>
      </c>
      <c r="Z1410" s="67">
        <f>IF(AND(ISNUMBER(P1410),N(P1410)&gt;0),N(P1410),0)</f>
        <v>0.0</v>
      </c>
    </row>
    <row r="1411">
      <c r="A1411" s="79" t="str">
        <f>IF(COUNTA(B1411:C1411,E1411:G1411,I1411)=0,"","BI-"&amp;RIGHT("0000"&amp;(ROW()-5),4))</f>
        <v/>
      </c>
      <c r="B1411" s="72" t="n"/>
      <c r="C1411" s="66" t="n"/>
      <c r="D1411" s="67" t="str">
        <f>IF(C1411="","",IFERROR(INDEX(eq_des,MATCH(C1411,eq_code,0))&amp;"","Équipement inconnu"))</f>
        <v/>
      </c>
      <c r="E1411" s="68" t="n"/>
      <c r="F1411" s="68" t="n"/>
      <c r="G1411" s="66" t="n"/>
      <c r="H1411" s="66" t="n"/>
      <c r="I1411" s="68" t="n"/>
      <c r="J1411" s="73" t="n"/>
      <c r="K1411" s="71" t="n"/>
      <c r="L1411" s="71" t="n"/>
      <c r="M1411" s="66" t="n"/>
      <c r="N1411" s="80" t="n"/>
      <c r="O1411" s="81" t="str">
        <f>IF(A1411="","",ROUND(V1411*IFERROR(N(INDEX(tech_rate,MATCH(M1411,tech_name,0))),0),2))</f>
        <v/>
      </c>
      <c r="P1411" s="80" t="n"/>
      <c r="Q1411" s="81" t="str">
        <f>IF(A1411="","",ROUND(Y1411+O1411+Z1411,2))</f>
        <v/>
      </c>
      <c r="R1411" s="79" t="str">
        <f>IF(A1411="","",IF(S1411=0,"Date manquante ou invalide",IF(C1411="","Équipement manquant",IF(ISNA(MATCH(C1411,eq_code,0)),"Équipement inconnu",IF(E1411="","Type manquant",IF(AND(E1411&lt;&gt;"Préventif",E1411&lt;&gt;"Correctif",E1411&lt;&gt;"Amélioratif"),"Type inconnu",IF(I1411="","Statut manquant",IF(AND(I1411&lt;&gt;"Terminée",I1411&lt;&gt;"En cours",I1411&lt;&gt;"À faire",I1411&lt;&gt;"Annulée"),"Statut inconnu",IF(AND(E1411="Préventif",F1411=""),"Plan manquant (préventif)",IF(AND(F1411&lt;&gt;"",ISNA(MATCH(F1411,pl_num,0))),"Plan inconnu",IF(AND(F1411&lt;&gt;"",IFERROR(INDEX(pl_eq,MATCH(F1411,pl_num,0))&amp;"",C1411)&lt;&gt;C1411),"Plan d'un autre équipement",IF(AND(J1411&lt;&gt;"",OR(NOT(ISNUMBER(J1411)),N(J1411)&lt;0)),"Compteur invalide",IF(OR(AND(K1411&lt;&gt;"",OR(NOT(ISNUMBER(K1411)),N(K1411)&lt;0)),AND(L1411&lt;&gt;"",OR(NOT(ISNUMBER(L1411)),N(L1411)&lt;0))),"Durée invalide",IF(OR(AND(N1411&lt;&gt;"",OR(NOT(ISNUMBER(N1411)),N(N1411)&lt;0)),AND(P1411&lt;&gt;"",OR(NOT(ISNUMBER(P1411)),N(P1411)&lt;0))),"Coût invalide",IF(AND(M1411&lt;&gt;"",ISNA(MATCH(M1411,tech_name,0))),"Technicien inconnu",IF(AND(I1411="Terminée",S1411&gt;p_today),"Terminée à une date future",IF(AND(I1411="Terminée",V1411=0),"Durée d'intervention manquante",IF(AND(I1411="Terminée",E1411="Préventif",T1411=0,OR(IFERROR(INDEX(pl_trig,MATCH(F1411,pl_num,0))&amp;"","")="Compteur",IFERROR(INDEX(pl_trig,MATCH(F1411,pl_num,0))&amp;"","")="Au premier des deux")),"Compteur manquant (plan au compteur)","OK"))))))))))))))))))</f>
        <v/>
      </c>
      <c r="S1411" s="67">
        <f>IF(AND(ISNUMBER(B1411),N(B1411)&gt;0),INT(B1411),0)</f>
        <v>0.0</v>
      </c>
      <c r="T1411" s="67">
        <f>IF(AND(ISNUMBER(J1411),N(J1411)&gt;=0),N(J1411),0)</f>
        <v>0.0</v>
      </c>
      <c r="U1411" s="67">
        <f>IF(AND(ISNUMBER(K1411),N(K1411)&gt;0),N(K1411),0)</f>
        <v>0.0</v>
      </c>
      <c r="V1411" s="67">
        <f>IF(AND(ISNUMBER(L1411),N(L1411)&gt;0),N(L1411),0)</f>
        <v>0.0</v>
      </c>
      <c r="W1411" s="67">
        <f>IF(AND(I1411="Terminée",S1411&gt;0,C1411&lt;&gt;"",ISNUMBER(MATCH(C1411,eq_code,0))),1,0)</f>
        <v>0.0</v>
      </c>
      <c r="X1411" s="67">
        <f>IF(AND(W1411=1,E1411="Préventif"),1,0)</f>
        <v>0.0</v>
      </c>
      <c r="Y1411" s="67">
        <f>IF(AND(ISNUMBER(N1411),N(N1411)&gt;0),N(N1411),0)</f>
        <v>0.0</v>
      </c>
      <c r="Z1411" s="67">
        <f>IF(AND(ISNUMBER(P1411),N(P1411)&gt;0),N(P1411),0)</f>
        <v>0.0</v>
      </c>
    </row>
    <row r="1412">
      <c r="A1412" s="79" t="str">
        <f>IF(COUNTA(B1412:C1412,E1412:G1412,I1412)=0,"","BI-"&amp;RIGHT("0000"&amp;(ROW()-5),4))</f>
        <v/>
      </c>
      <c r="B1412" s="72" t="n"/>
      <c r="C1412" s="66" t="n"/>
      <c r="D1412" s="67" t="str">
        <f>IF(C1412="","",IFERROR(INDEX(eq_des,MATCH(C1412,eq_code,0))&amp;"","Équipement inconnu"))</f>
        <v/>
      </c>
      <c r="E1412" s="68" t="n"/>
      <c r="F1412" s="68" t="n"/>
      <c r="G1412" s="66" t="n"/>
      <c r="H1412" s="66" t="n"/>
      <c r="I1412" s="68" t="n"/>
      <c r="J1412" s="73" t="n"/>
      <c r="K1412" s="71" t="n"/>
      <c r="L1412" s="71" t="n"/>
      <c r="M1412" s="66" t="n"/>
      <c r="N1412" s="80" t="n"/>
      <c r="O1412" s="81" t="str">
        <f>IF(A1412="","",ROUND(V1412*IFERROR(N(INDEX(tech_rate,MATCH(M1412,tech_name,0))),0),2))</f>
        <v/>
      </c>
      <c r="P1412" s="80" t="n"/>
      <c r="Q1412" s="81" t="str">
        <f>IF(A1412="","",ROUND(Y1412+O1412+Z1412,2))</f>
        <v/>
      </c>
      <c r="R1412" s="79" t="str">
        <f>IF(A1412="","",IF(S1412=0,"Date manquante ou invalide",IF(C1412="","Équipement manquant",IF(ISNA(MATCH(C1412,eq_code,0)),"Équipement inconnu",IF(E1412="","Type manquant",IF(AND(E1412&lt;&gt;"Préventif",E1412&lt;&gt;"Correctif",E1412&lt;&gt;"Amélioratif"),"Type inconnu",IF(I1412="","Statut manquant",IF(AND(I1412&lt;&gt;"Terminée",I1412&lt;&gt;"En cours",I1412&lt;&gt;"À faire",I1412&lt;&gt;"Annulée"),"Statut inconnu",IF(AND(E1412="Préventif",F1412=""),"Plan manquant (préventif)",IF(AND(F1412&lt;&gt;"",ISNA(MATCH(F1412,pl_num,0))),"Plan inconnu",IF(AND(F1412&lt;&gt;"",IFERROR(INDEX(pl_eq,MATCH(F1412,pl_num,0))&amp;"",C1412)&lt;&gt;C1412),"Plan d'un autre équipement",IF(AND(J1412&lt;&gt;"",OR(NOT(ISNUMBER(J1412)),N(J1412)&lt;0)),"Compteur invalide",IF(OR(AND(K1412&lt;&gt;"",OR(NOT(ISNUMBER(K1412)),N(K1412)&lt;0)),AND(L1412&lt;&gt;"",OR(NOT(ISNUMBER(L1412)),N(L1412)&lt;0))),"Durée invalide",IF(OR(AND(N1412&lt;&gt;"",OR(NOT(ISNUMBER(N1412)),N(N1412)&lt;0)),AND(P1412&lt;&gt;"",OR(NOT(ISNUMBER(P1412)),N(P1412)&lt;0))),"Coût invalide",IF(AND(M1412&lt;&gt;"",ISNA(MATCH(M1412,tech_name,0))),"Technicien inconnu",IF(AND(I1412="Terminée",S1412&gt;p_today),"Terminée à une date future",IF(AND(I1412="Terminée",V1412=0),"Durée d'intervention manquante",IF(AND(I1412="Terminée",E1412="Préventif",T1412=0,OR(IFERROR(INDEX(pl_trig,MATCH(F1412,pl_num,0))&amp;"","")="Compteur",IFERROR(INDEX(pl_trig,MATCH(F1412,pl_num,0))&amp;"","")="Au premier des deux")),"Compteur manquant (plan au compteur)","OK"))))))))))))))))))</f>
        <v/>
      </c>
      <c r="S1412" s="67">
        <f>IF(AND(ISNUMBER(B1412),N(B1412)&gt;0),INT(B1412),0)</f>
        <v>0.0</v>
      </c>
      <c r="T1412" s="67">
        <f>IF(AND(ISNUMBER(J1412),N(J1412)&gt;=0),N(J1412),0)</f>
        <v>0.0</v>
      </c>
      <c r="U1412" s="67">
        <f>IF(AND(ISNUMBER(K1412),N(K1412)&gt;0),N(K1412),0)</f>
        <v>0.0</v>
      </c>
      <c r="V1412" s="67">
        <f>IF(AND(ISNUMBER(L1412),N(L1412)&gt;0),N(L1412),0)</f>
        <v>0.0</v>
      </c>
      <c r="W1412" s="67">
        <f>IF(AND(I1412="Terminée",S1412&gt;0,C1412&lt;&gt;"",ISNUMBER(MATCH(C1412,eq_code,0))),1,0)</f>
        <v>0.0</v>
      </c>
      <c r="X1412" s="67">
        <f>IF(AND(W1412=1,E1412="Préventif"),1,0)</f>
        <v>0.0</v>
      </c>
      <c r="Y1412" s="67">
        <f>IF(AND(ISNUMBER(N1412),N(N1412)&gt;0),N(N1412),0)</f>
        <v>0.0</v>
      </c>
      <c r="Z1412" s="67">
        <f>IF(AND(ISNUMBER(P1412),N(P1412)&gt;0),N(P1412),0)</f>
        <v>0.0</v>
      </c>
    </row>
    <row r="1413">
      <c r="A1413" s="79" t="str">
        <f>IF(COUNTA(B1413:C1413,E1413:G1413,I1413)=0,"","BI-"&amp;RIGHT("0000"&amp;(ROW()-5),4))</f>
        <v/>
      </c>
      <c r="B1413" s="72" t="n"/>
      <c r="C1413" s="66" t="n"/>
      <c r="D1413" s="67" t="str">
        <f>IF(C1413="","",IFERROR(INDEX(eq_des,MATCH(C1413,eq_code,0))&amp;"","Équipement inconnu"))</f>
        <v/>
      </c>
      <c r="E1413" s="68" t="n"/>
      <c r="F1413" s="68" t="n"/>
      <c r="G1413" s="66" t="n"/>
      <c r="H1413" s="66" t="n"/>
      <c r="I1413" s="68" t="n"/>
      <c r="J1413" s="73" t="n"/>
      <c r="K1413" s="71" t="n"/>
      <c r="L1413" s="71" t="n"/>
      <c r="M1413" s="66" t="n"/>
      <c r="N1413" s="80" t="n"/>
      <c r="O1413" s="81" t="str">
        <f>IF(A1413="","",ROUND(V1413*IFERROR(N(INDEX(tech_rate,MATCH(M1413,tech_name,0))),0),2))</f>
        <v/>
      </c>
      <c r="P1413" s="80" t="n"/>
      <c r="Q1413" s="81" t="str">
        <f>IF(A1413="","",ROUND(Y1413+O1413+Z1413,2))</f>
        <v/>
      </c>
      <c r="R1413" s="79" t="str">
        <f>IF(A1413="","",IF(S1413=0,"Date manquante ou invalide",IF(C1413="","Équipement manquant",IF(ISNA(MATCH(C1413,eq_code,0)),"Équipement inconnu",IF(E1413="","Type manquant",IF(AND(E1413&lt;&gt;"Préventif",E1413&lt;&gt;"Correctif",E1413&lt;&gt;"Amélioratif"),"Type inconnu",IF(I1413="","Statut manquant",IF(AND(I1413&lt;&gt;"Terminée",I1413&lt;&gt;"En cours",I1413&lt;&gt;"À faire",I1413&lt;&gt;"Annulée"),"Statut inconnu",IF(AND(E1413="Préventif",F1413=""),"Plan manquant (préventif)",IF(AND(F1413&lt;&gt;"",ISNA(MATCH(F1413,pl_num,0))),"Plan inconnu",IF(AND(F1413&lt;&gt;"",IFERROR(INDEX(pl_eq,MATCH(F1413,pl_num,0))&amp;"",C1413)&lt;&gt;C1413),"Plan d'un autre équipement",IF(AND(J1413&lt;&gt;"",OR(NOT(ISNUMBER(J1413)),N(J1413)&lt;0)),"Compteur invalide",IF(OR(AND(K1413&lt;&gt;"",OR(NOT(ISNUMBER(K1413)),N(K1413)&lt;0)),AND(L1413&lt;&gt;"",OR(NOT(ISNUMBER(L1413)),N(L1413)&lt;0))),"Durée invalide",IF(OR(AND(N1413&lt;&gt;"",OR(NOT(ISNUMBER(N1413)),N(N1413)&lt;0)),AND(P1413&lt;&gt;"",OR(NOT(ISNUMBER(P1413)),N(P1413)&lt;0))),"Coût invalide",IF(AND(M1413&lt;&gt;"",ISNA(MATCH(M1413,tech_name,0))),"Technicien inconnu",IF(AND(I1413="Terminée",S1413&gt;p_today),"Terminée à une date future",IF(AND(I1413="Terminée",V1413=0),"Durée d'intervention manquante",IF(AND(I1413="Terminée",E1413="Préventif",T1413=0,OR(IFERROR(INDEX(pl_trig,MATCH(F1413,pl_num,0))&amp;"","")="Compteur",IFERROR(INDEX(pl_trig,MATCH(F1413,pl_num,0))&amp;"","")="Au premier des deux")),"Compteur manquant (plan au compteur)","OK"))))))))))))))))))</f>
        <v/>
      </c>
      <c r="S1413" s="67">
        <f>IF(AND(ISNUMBER(B1413),N(B1413)&gt;0),INT(B1413),0)</f>
        <v>0.0</v>
      </c>
      <c r="T1413" s="67">
        <f>IF(AND(ISNUMBER(J1413),N(J1413)&gt;=0),N(J1413),0)</f>
        <v>0.0</v>
      </c>
      <c r="U1413" s="67">
        <f>IF(AND(ISNUMBER(K1413),N(K1413)&gt;0),N(K1413),0)</f>
        <v>0.0</v>
      </c>
      <c r="V1413" s="67">
        <f>IF(AND(ISNUMBER(L1413),N(L1413)&gt;0),N(L1413),0)</f>
        <v>0.0</v>
      </c>
      <c r="W1413" s="67">
        <f>IF(AND(I1413="Terminée",S1413&gt;0,C1413&lt;&gt;"",ISNUMBER(MATCH(C1413,eq_code,0))),1,0)</f>
        <v>0.0</v>
      </c>
      <c r="X1413" s="67">
        <f>IF(AND(W1413=1,E1413="Préventif"),1,0)</f>
        <v>0.0</v>
      </c>
      <c r="Y1413" s="67">
        <f>IF(AND(ISNUMBER(N1413),N(N1413)&gt;0),N(N1413),0)</f>
        <v>0.0</v>
      </c>
      <c r="Z1413" s="67">
        <f>IF(AND(ISNUMBER(P1413),N(P1413)&gt;0),N(P1413),0)</f>
        <v>0.0</v>
      </c>
    </row>
    <row r="1414">
      <c r="A1414" s="79" t="str">
        <f>IF(COUNTA(B1414:C1414,E1414:G1414,I1414)=0,"","BI-"&amp;RIGHT("0000"&amp;(ROW()-5),4))</f>
        <v/>
      </c>
      <c r="B1414" s="72" t="n"/>
      <c r="C1414" s="66" t="n"/>
      <c r="D1414" s="67" t="str">
        <f>IF(C1414="","",IFERROR(INDEX(eq_des,MATCH(C1414,eq_code,0))&amp;"","Équipement inconnu"))</f>
        <v/>
      </c>
      <c r="E1414" s="68" t="n"/>
      <c r="F1414" s="68" t="n"/>
      <c r="G1414" s="66" t="n"/>
      <c r="H1414" s="66" t="n"/>
      <c r="I1414" s="68" t="n"/>
      <c r="J1414" s="73" t="n"/>
      <c r="K1414" s="71" t="n"/>
      <c r="L1414" s="71" t="n"/>
      <c r="M1414" s="66" t="n"/>
      <c r="N1414" s="80" t="n"/>
      <c r="O1414" s="81" t="str">
        <f>IF(A1414="","",ROUND(V1414*IFERROR(N(INDEX(tech_rate,MATCH(M1414,tech_name,0))),0),2))</f>
        <v/>
      </c>
      <c r="P1414" s="80" t="n"/>
      <c r="Q1414" s="81" t="str">
        <f>IF(A1414="","",ROUND(Y1414+O1414+Z1414,2))</f>
        <v/>
      </c>
      <c r="R1414" s="79" t="str">
        <f>IF(A1414="","",IF(S1414=0,"Date manquante ou invalide",IF(C1414="","Équipement manquant",IF(ISNA(MATCH(C1414,eq_code,0)),"Équipement inconnu",IF(E1414="","Type manquant",IF(AND(E1414&lt;&gt;"Préventif",E1414&lt;&gt;"Correctif",E1414&lt;&gt;"Amélioratif"),"Type inconnu",IF(I1414="","Statut manquant",IF(AND(I1414&lt;&gt;"Terminée",I1414&lt;&gt;"En cours",I1414&lt;&gt;"À faire",I1414&lt;&gt;"Annulée"),"Statut inconnu",IF(AND(E1414="Préventif",F1414=""),"Plan manquant (préventif)",IF(AND(F1414&lt;&gt;"",ISNA(MATCH(F1414,pl_num,0))),"Plan inconnu",IF(AND(F1414&lt;&gt;"",IFERROR(INDEX(pl_eq,MATCH(F1414,pl_num,0))&amp;"",C1414)&lt;&gt;C1414),"Plan d'un autre équipement",IF(AND(J1414&lt;&gt;"",OR(NOT(ISNUMBER(J1414)),N(J1414)&lt;0)),"Compteur invalide",IF(OR(AND(K1414&lt;&gt;"",OR(NOT(ISNUMBER(K1414)),N(K1414)&lt;0)),AND(L1414&lt;&gt;"",OR(NOT(ISNUMBER(L1414)),N(L1414)&lt;0))),"Durée invalide",IF(OR(AND(N1414&lt;&gt;"",OR(NOT(ISNUMBER(N1414)),N(N1414)&lt;0)),AND(P1414&lt;&gt;"",OR(NOT(ISNUMBER(P1414)),N(P1414)&lt;0))),"Coût invalide",IF(AND(M1414&lt;&gt;"",ISNA(MATCH(M1414,tech_name,0))),"Technicien inconnu",IF(AND(I1414="Terminée",S1414&gt;p_today),"Terminée à une date future",IF(AND(I1414="Terminée",V1414=0),"Durée d'intervention manquante",IF(AND(I1414="Terminée",E1414="Préventif",T1414=0,OR(IFERROR(INDEX(pl_trig,MATCH(F1414,pl_num,0))&amp;"","")="Compteur",IFERROR(INDEX(pl_trig,MATCH(F1414,pl_num,0))&amp;"","")="Au premier des deux")),"Compteur manquant (plan au compteur)","OK"))))))))))))))))))</f>
        <v/>
      </c>
      <c r="S1414" s="67">
        <f>IF(AND(ISNUMBER(B1414),N(B1414)&gt;0),INT(B1414),0)</f>
        <v>0.0</v>
      </c>
      <c r="T1414" s="67">
        <f>IF(AND(ISNUMBER(J1414),N(J1414)&gt;=0),N(J1414),0)</f>
        <v>0.0</v>
      </c>
      <c r="U1414" s="67">
        <f>IF(AND(ISNUMBER(K1414),N(K1414)&gt;0),N(K1414),0)</f>
        <v>0.0</v>
      </c>
      <c r="V1414" s="67">
        <f>IF(AND(ISNUMBER(L1414),N(L1414)&gt;0),N(L1414),0)</f>
        <v>0.0</v>
      </c>
      <c r="W1414" s="67">
        <f>IF(AND(I1414="Terminée",S1414&gt;0,C1414&lt;&gt;"",ISNUMBER(MATCH(C1414,eq_code,0))),1,0)</f>
        <v>0.0</v>
      </c>
      <c r="X1414" s="67">
        <f>IF(AND(W1414=1,E1414="Préventif"),1,0)</f>
        <v>0.0</v>
      </c>
      <c r="Y1414" s="67">
        <f>IF(AND(ISNUMBER(N1414),N(N1414)&gt;0),N(N1414),0)</f>
        <v>0.0</v>
      </c>
      <c r="Z1414" s="67">
        <f>IF(AND(ISNUMBER(P1414),N(P1414)&gt;0),N(P1414),0)</f>
        <v>0.0</v>
      </c>
    </row>
    <row r="1415">
      <c r="A1415" s="79" t="str">
        <f>IF(COUNTA(B1415:C1415,E1415:G1415,I1415)=0,"","BI-"&amp;RIGHT("0000"&amp;(ROW()-5),4))</f>
        <v/>
      </c>
      <c r="B1415" s="72" t="n"/>
      <c r="C1415" s="66" t="n"/>
      <c r="D1415" s="67" t="str">
        <f>IF(C1415="","",IFERROR(INDEX(eq_des,MATCH(C1415,eq_code,0))&amp;"","Équipement inconnu"))</f>
        <v/>
      </c>
      <c r="E1415" s="68" t="n"/>
      <c r="F1415" s="68" t="n"/>
      <c r="G1415" s="66" t="n"/>
      <c r="H1415" s="66" t="n"/>
      <c r="I1415" s="68" t="n"/>
      <c r="J1415" s="73" t="n"/>
      <c r="K1415" s="71" t="n"/>
      <c r="L1415" s="71" t="n"/>
      <c r="M1415" s="66" t="n"/>
      <c r="N1415" s="80" t="n"/>
      <c r="O1415" s="81" t="str">
        <f>IF(A1415="","",ROUND(V1415*IFERROR(N(INDEX(tech_rate,MATCH(M1415,tech_name,0))),0),2))</f>
        <v/>
      </c>
      <c r="P1415" s="80" t="n"/>
      <c r="Q1415" s="81" t="str">
        <f>IF(A1415="","",ROUND(Y1415+O1415+Z1415,2))</f>
        <v/>
      </c>
      <c r="R1415" s="79" t="str">
        <f>IF(A1415="","",IF(S1415=0,"Date manquante ou invalide",IF(C1415="","Équipement manquant",IF(ISNA(MATCH(C1415,eq_code,0)),"Équipement inconnu",IF(E1415="","Type manquant",IF(AND(E1415&lt;&gt;"Préventif",E1415&lt;&gt;"Correctif",E1415&lt;&gt;"Amélioratif"),"Type inconnu",IF(I1415="","Statut manquant",IF(AND(I1415&lt;&gt;"Terminée",I1415&lt;&gt;"En cours",I1415&lt;&gt;"À faire",I1415&lt;&gt;"Annulée"),"Statut inconnu",IF(AND(E1415="Préventif",F1415=""),"Plan manquant (préventif)",IF(AND(F1415&lt;&gt;"",ISNA(MATCH(F1415,pl_num,0))),"Plan inconnu",IF(AND(F1415&lt;&gt;"",IFERROR(INDEX(pl_eq,MATCH(F1415,pl_num,0))&amp;"",C1415)&lt;&gt;C1415),"Plan d'un autre équipement",IF(AND(J1415&lt;&gt;"",OR(NOT(ISNUMBER(J1415)),N(J1415)&lt;0)),"Compteur invalide",IF(OR(AND(K1415&lt;&gt;"",OR(NOT(ISNUMBER(K1415)),N(K1415)&lt;0)),AND(L1415&lt;&gt;"",OR(NOT(ISNUMBER(L1415)),N(L1415)&lt;0))),"Durée invalide",IF(OR(AND(N1415&lt;&gt;"",OR(NOT(ISNUMBER(N1415)),N(N1415)&lt;0)),AND(P1415&lt;&gt;"",OR(NOT(ISNUMBER(P1415)),N(P1415)&lt;0))),"Coût invalide",IF(AND(M1415&lt;&gt;"",ISNA(MATCH(M1415,tech_name,0))),"Technicien inconnu",IF(AND(I1415="Terminée",S1415&gt;p_today),"Terminée à une date future",IF(AND(I1415="Terminée",V1415=0),"Durée d'intervention manquante",IF(AND(I1415="Terminée",E1415="Préventif",T1415=0,OR(IFERROR(INDEX(pl_trig,MATCH(F1415,pl_num,0))&amp;"","")="Compteur",IFERROR(INDEX(pl_trig,MATCH(F1415,pl_num,0))&amp;"","")="Au premier des deux")),"Compteur manquant (plan au compteur)","OK"))))))))))))))))))</f>
        <v/>
      </c>
      <c r="S1415" s="67">
        <f>IF(AND(ISNUMBER(B1415),N(B1415)&gt;0),INT(B1415),0)</f>
        <v>0.0</v>
      </c>
      <c r="T1415" s="67">
        <f>IF(AND(ISNUMBER(J1415),N(J1415)&gt;=0),N(J1415),0)</f>
        <v>0.0</v>
      </c>
      <c r="U1415" s="67">
        <f>IF(AND(ISNUMBER(K1415),N(K1415)&gt;0),N(K1415),0)</f>
        <v>0.0</v>
      </c>
      <c r="V1415" s="67">
        <f>IF(AND(ISNUMBER(L1415),N(L1415)&gt;0),N(L1415),0)</f>
        <v>0.0</v>
      </c>
      <c r="W1415" s="67">
        <f>IF(AND(I1415="Terminée",S1415&gt;0,C1415&lt;&gt;"",ISNUMBER(MATCH(C1415,eq_code,0))),1,0)</f>
        <v>0.0</v>
      </c>
      <c r="X1415" s="67">
        <f>IF(AND(W1415=1,E1415="Préventif"),1,0)</f>
        <v>0.0</v>
      </c>
      <c r="Y1415" s="67">
        <f>IF(AND(ISNUMBER(N1415),N(N1415)&gt;0),N(N1415),0)</f>
        <v>0.0</v>
      </c>
      <c r="Z1415" s="67">
        <f>IF(AND(ISNUMBER(P1415),N(P1415)&gt;0),N(P1415),0)</f>
        <v>0.0</v>
      </c>
    </row>
    <row r="1416">
      <c r="A1416" s="79" t="str">
        <f>IF(COUNTA(B1416:C1416,E1416:G1416,I1416)=0,"","BI-"&amp;RIGHT("0000"&amp;(ROW()-5),4))</f>
        <v/>
      </c>
      <c r="B1416" s="72" t="n"/>
      <c r="C1416" s="66" t="n"/>
      <c r="D1416" s="67" t="str">
        <f>IF(C1416="","",IFERROR(INDEX(eq_des,MATCH(C1416,eq_code,0))&amp;"","Équipement inconnu"))</f>
        <v/>
      </c>
      <c r="E1416" s="68" t="n"/>
      <c r="F1416" s="68" t="n"/>
      <c r="G1416" s="66" t="n"/>
      <c r="H1416" s="66" t="n"/>
      <c r="I1416" s="68" t="n"/>
      <c r="J1416" s="73" t="n"/>
      <c r="K1416" s="71" t="n"/>
      <c r="L1416" s="71" t="n"/>
      <c r="M1416" s="66" t="n"/>
      <c r="N1416" s="80" t="n"/>
      <c r="O1416" s="81" t="str">
        <f>IF(A1416="","",ROUND(V1416*IFERROR(N(INDEX(tech_rate,MATCH(M1416,tech_name,0))),0),2))</f>
        <v/>
      </c>
      <c r="P1416" s="80" t="n"/>
      <c r="Q1416" s="81" t="str">
        <f>IF(A1416="","",ROUND(Y1416+O1416+Z1416,2))</f>
        <v/>
      </c>
      <c r="R1416" s="79" t="str">
        <f>IF(A1416="","",IF(S1416=0,"Date manquante ou invalide",IF(C1416="","Équipement manquant",IF(ISNA(MATCH(C1416,eq_code,0)),"Équipement inconnu",IF(E1416="","Type manquant",IF(AND(E1416&lt;&gt;"Préventif",E1416&lt;&gt;"Correctif",E1416&lt;&gt;"Amélioratif"),"Type inconnu",IF(I1416="","Statut manquant",IF(AND(I1416&lt;&gt;"Terminée",I1416&lt;&gt;"En cours",I1416&lt;&gt;"À faire",I1416&lt;&gt;"Annulée"),"Statut inconnu",IF(AND(E1416="Préventif",F1416=""),"Plan manquant (préventif)",IF(AND(F1416&lt;&gt;"",ISNA(MATCH(F1416,pl_num,0))),"Plan inconnu",IF(AND(F1416&lt;&gt;"",IFERROR(INDEX(pl_eq,MATCH(F1416,pl_num,0))&amp;"",C1416)&lt;&gt;C1416),"Plan d'un autre équipement",IF(AND(J1416&lt;&gt;"",OR(NOT(ISNUMBER(J1416)),N(J1416)&lt;0)),"Compteur invalide",IF(OR(AND(K1416&lt;&gt;"",OR(NOT(ISNUMBER(K1416)),N(K1416)&lt;0)),AND(L1416&lt;&gt;"",OR(NOT(ISNUMBER(L1416)),N(L1416)&lt;0))),"Durée invalide",IF(OR(AND(N1416&lt;&gt;"",OR(NOT(ISNUMBER(N1416)),N(N1416)&lt;0)),AND(P1416&lt;&gt;"",OR(NOT(ISNUMBER(P1416)),N(P1416)&lt;0))),"Coût invalide",IF(AND(M1416&lt;&gt;"",ISNA(MATCH(M1416,tech_name,0))),"Technicien inconnu",IF(AND(I1416="Terminée",S1416&gt;p_today),"Terminée à une date future",IF(AND(I1416="Terminée",V1416=0),"Durée d'intervention manquante",IF(AND(I1416="Terminée",E1416="Préventif",T1416=0,OR(IFERROR(INDEX(pl_trig,MATCH(F1416,pl_num,0))&amp;"","")="Compteur",IFERROR(INDEX(pl_trig,MATCH(F1416,pl_num,0))&amp;"","")="Au premier des deux")),"Compteur manquant (plan au compteur)","OK"))))))))))))))))))</f>
        <v/>
      </c>
      <c r="S1416" s="67">
        <f>IF(AND(ISNUMBER(B1416),N(B1416)&gt;0),INT(B1416),0)</f>
        <v>0.0</v>
      </c>
      <c r="T1416" s="67">
        <f>IF(AND(ISNUMBER(J1416),N(J1416)&gt;=0),N(J1416),0)</f>
        <v>0.0</v>
      </c>
      <c r="U1416" s="67">
        <f>IF(AND(ISNUMBER(K1416),N(K1416)&gt;0),N(K1416),0)</f>
        <v>0.0</v>
      </c>
      <c r="V1416" s="67">
        <f>IF(AND(ISNUMBER(L1416),N(L1416)&gt;0),N(L1416),0)</f>
        <v>0.0</v>
      </c>
      <c r="W1416" s="67">
        <f>IF(AND(I1416="Terminée",S1416&gt;0,C1416&lt;&gt;"",ISNUMBER(MATCH(C1416,eq_code,0))),1,0)</f>
        <v>0.0</v>
      </c>
      <c r="X1416" s="67">
        <f>IF(AND(W1416=1,E1416="Préventif"),1,0)</f>
        <v>0.0</v>
      </c>
      <c r="Y1416" s="67">
        <f>IF(AND(ISNUMBER(N1416),N(N1416)&gt;0),N(N1416),0)</f>
        <v>0.0</v>
      </c>
      <c r="Z1416" s="67">
        <f>IF(AND(ISNUMBER(P1416),N(P1416)&gt;0),N(P1416),0)</f>
        <v>0.0</v>
      </c>
    </row>
    <row r="1417">
      <c r="A1417" s="79" t="str">
        <f>IF(COUNTA(B1417:C1417,E1417:G1417,I1417)=0,"","BI-"&amp;RIGHT("0000"&amp;(ROW()-5),4))</f>
        <v/>
      </c>
      <c r="B1417" s="72" t="n"/>
      <c r="C1417" s="66" t="n"/>
      <c r="D1417" s="67" t="str">
        <f>IF(C1417="","",IFERROR(INDEX(eq_des,MATCH(C1417,eq_code,0))&amp;"","Équipement inconnu"))</f>
        <v/>
      </c>
      <c r="E1417" s="68" t="n"/>
      <c r="F1417" s="68" t="n"/>
      <c r="G1417" s="66" t="n"/>
      <c r="H1417" s="66" t="n"/>
      <c r="I1417" s="68" t="n"/>
      <c r="J1417" s="73" t="n"/>
      <c r="K1417" s="71" t="n"/>
      <c r="L1417" s="71" t="n"/>
      <c r="M1417" s="66" t="n"/>
      <c r="N1417" s="80" t="n"/>
      <c r="O1417" s="81" t="str">
        <f>IF(A1417="","",ROUND(V1417*IFERROR(N(INDEX(tech_rate,MATCH(M1417,tech_name,0))),0),2))</f>
        <v/>
      </c>
      <c r="P1417" s="80" t="n"/>
      <c r="Q1417" s="81" t="str">
        <f>IF(A1417="","",ROUND(Y1417+O1417+Z1417,2))</f>
        <v/>
      </c>
      <c r="R1417" s="79" t="str">
        <f>IF(A1417="","",IF(S1417=0,"Date manquante ou invalide",IF(C1417="","Équipement manquant",IF(ISNA(MATCH(C1417,eq_code,0)),"Équipement inconnu",IF(E1417="","Type manquant",IF(AND(E1417&lt;&gt;"Préventif",E1417&lt;&gt;"Correctif",E1417&lt;&gt;"Amélioratif"),"Type inconnu",IF(I1417="","Statut manquant",IF(AND(I1417&lt;&gt;"Terminée",I1417&lt;&gt;"En cours",I1417&lt;&gt;"À faire",I1417&lt;&gt;"Annulée"),"Statut inconnu",IF(AND(E1417="Préventif",F1417=""),"Plan manquant (préventif)",IF(AND(F1417&lt;&gt;"",ISNA(MATCH(F1417,pl_num,0))),"Plan inconnu",IF(AND(F1417&lt;&gt;"",IFERROR(INDEX(pl_eq,MATCH(F1417,pl_num,0))&amp;"",C1417)&lt;&gt;C1417),"Plan d'un autre équipement",IF(AND(J1417&lt;&gt;"",OR(NOT(ISNUMBER(J1417)),N(J1417)&lt;0)),"Compteur invalide",IF(OR(AND(K1417&lt;&gt;"",OR(NOT(ISNUMBER(K1417)),N(K1417)&lt;0)),AND(L1417&lt;&gt;"",OR(NOT(ISNUMBER(L1417)),N(L1417)&lt;0))),"Durée invalide",IF(OR(AND(N1417&lt;&gt;"",OR(NOT(ISNUMBER(N1417)),N(N1417)&lt;0)),AND(P1417&lt;&gt;"",OR(NOT(ISNUMBER(P1417)),N(P1417)&lt;0))),"Coût invalide",IF(AND(M1417&lt;&gt;"",ISNA(MATCH(M1417,tech_name,0))),"Technicien inconnu",IF(AND(I1417="Terminée",S1417&gt;p_today),"Terminée à une date future",IF(AND(I1417="Terminée",V1417=0),"Durée d'intervention manquante",IF(AND(I1417="Terminée",E1417="Préventif",T1417=0,OR(IFERROR(INDEX(pl_trig,MATCH(F1417,pl_num,0))&amp;"","")="Compteur",IFERROR(INDEX(pl_trig,MATCH(F1417,pl_num,0))&amp;"","")="Au premier des deux")),"Compteur manquant (plan au compteur)","OK"))))))))))))))))))</f>
        <v/>
      </c>
      <c r="S1417" s="67">
        <f>IF(AND(ISNUMBER(B1417),N(B1417)&gt;0),INT(B1417),0)</f>
        <v>0.0</v>
      </c>
      <c r="T1417" s="67">
        <f>IF(AND(ISNUMBER(J1417),N(J1417)&gt;=0),N(J1417),0)</f>
        <v>0.0</v>
      </c>
      <c r="U1417" s="67">
        <f>IF(AND(ISNUMBER(K1417),N(K1417)&gt;0),N(K1417),0)</f>
        <v>0.0</v>
      </c>
      <c r="V1417" s="67">
        <f>IF(AND(ISNUMBER(L1417),N(L1417)&gt;0),N(L1417),0)</f>
        <v>0.0</v>
      </c>
      <c r="W1417" s="67">
        <f>IF(AND(I1417="Terminée",S1417&gt;0,C1417&lt;&gt;"",ISNUMBER(MATCH(C1417,eq_code,0))),1,0)</f>
        <v>0.0</v>
      </c>
      <c r="X1417" s="67">
        <f>IF(AND(W1417=1,E1417="Préventif"),1,0)</f>
        <v>0.0</v>
      </c>
      <c r="Y1417" s="67">
        <f>IF(AND(ISNUMBER(N1417),N(N1417)&gt;0),N(N1417),0)</f>
        <v>0.0</v>
      </c>
      <c r="Z1417" s="67">
        <f>IF(AND(ISNUMBER(P1417),N(P1417)&gt;0),N(P1417),0)</f>
        <v>0.0</v>
      </c>
    </row>
    <row r="1418">
      <c r="A1418" s="79" t="str">
        <f>IF(COUNTA(B1418:C1418,E1418:G1418,I1418)=0,"","BI-"&amp;RIGHT("0000"&amp;(ROW()-5),4))</f>
        <v/>
      </c>
      <c r="B1418" s="72" t="n"/>
      <c r="C1418" s="66" t="n"/>
      <c r="D1418" s="67" t="str">
        <f>IF(C1418="","",IFERROR(INDEX(eq_des,MATCH(C1418,eq_code,0))&amp;"","Équipement inconnu"))</f>
        <v/>
      </c>
      <c r="E1418" s="68" t="n"/>
      <c r="F1418" s="68" t="n"/>
      <c r="G1418" s="66" t="n"/>
      <c r="H1418" s="66" t="n"/>
      <c r="I1418" s="68" t="n"/>
      <c r="J1418" s="73" t="n"/>
      <c r="K1418" s="71" t="n"/>
      <c r="L1418" s="71" t="n"/>
      <c r="M1418" s="66" t="n"/>
      <c r="N1418" s="80" t="n"/>
      <c r="O1418" s="81" t="str">
        <f>IF(A1418="","",ROUND(V1418*IFERROR(N(INDEX(tech_rate,MATCH(M1418,tech_name,0))),0),2))</f>
        <v/>
      </c>
      <c r="P1418" s="80" t="n"/>
      <c r="Q1418" s="81" t="str">
        <f>IF(A1418="","",ROUND(Y1418+O1418+Z1418,2))</f>
        <v/>
      </c>
      <c r="R1418" s="79" t="str">
        <f>IF(A1418="","",IF(S1418=0,"Date manquante ou invalide",IF(C1418="","Équipement manquant",IF(ISNA(MATCH(C1418,eq_code,0)),"Équipement inconnu",IF(E1418="","Type manquant",IF(AND(E1418&lt;&gt;"Préventif",E1418&lt;&gt;"Correctif",E1418&lt;&gt;"Amélioratif"),"Type inconnu",IF(I1418="","Statut manquant",IF(AND(I1418&lt;&gt;"Terminée",I1418&lt;&gt;"En cours",I1418&lt;&gt;"À faire",I1418&lt;&gt;"Annulée"),"Statut inconnu",IF(AND(E1418="Préventif",F1418=""),"Plan manquant (préventif)",IF(AND(F1418&lt;&gt;"",ISNA(MATCH(F1418,pl_num,0))),"Plan inconnu",IF(AND(F1418&lt;&gt;"",IFERROR(INDEX(pl_eq,MATCH(F1418,pl_num,0))&amp;"",C1418)&lt;&gt;C1418),"Plan d'un autre équipement",IF(AND(J1418&lt;&gt;"",OR(NOT(ISNUMBER(J1418)),N(J1418)&lt;0)),"Compteur invalide",IF(OR(AND(K1418&lt;&gt;"",OR(NOT(ISNUMBER(K1418)),N(K1418)&lt;0)),AND(L1418&lt;&gt;"",OR(NOT(ISNUMBER(L1418)),N(L1418)&lt;0))),"Durée invalide",IF(OR(AND(N1418&lt;&gt;"",OR(NOT(ISNUMBER(N1418)),N(N1418)&lt;0)),AND(P1418&lt;&gt;"",OR(NOT(ISNUMBER(P1418)),N(P1418)&lt;0))),"Coût invalide",IF(AND(M1418&lt;&gt;"",ISNA(MATCH(M1418,tech_name,0))),"Technicien inconnu",IF(AND(I1418="Terminée",S1418&gt;p_today),"Terminée à une date future",IF(AND(I1418="Terminée",V1418=0),"Durée d'intervention manquante",IF(AND(I1418="Terminée",E1418="Préventif",T1418=0,OR(IFERROR(INDEX(pl_trig,MATCH(F1418,pl_num,0))&amp;"","")="Compteur",IFERROR(INDEX(pl_trig,MATCH(F1418,pl_num,0))&amp;"","")="Au premier des deux")),"Compteur manquant (plan au compteur)","OK"))))))))))))))))))</f>
        <v/>
      </c>
      <c r="S1418" s="67">
        <f>IF(AND(ISNUMBER(B1418),N(B1418)&gt;0),INT(B1418),0)</f>
        <v>0.0</v>
      </c>
      <c r="T1418" s="67">
        <f>IF(AND(ISNUMBER(J1418),N(J1418)&gt;=0),N(J1418),0)</f>
        <v>0.0</v>
      </c>
      <c r="U1418" s="67">
        <f>IF(AND(ISNUMBER(K1418),N(K1418)&gt;0),N(K1418),0)</f>
        <v>0.0</v>
      </c>
      <c r="V1418" s="67">
        <f>IF(AND(ISNUMBER(L1418),N(L1418)&gt;0),N(L1418),0)</f>
        <v>0.0</v>
      </c>
      <c r="W1418" s="67">
        <f>IF(AND(I1418="Terminée",S1418&gt;0,C1418&lt;&gt;"",ISNUMBER(MATCH(C1418,eq_code,0))),1,0)</f>
        <v>0.0</v>
      </c>
      <c r="X1418" s="67">
        <f>IF(AND(W1418=1,E1418="Préventif"),1,0)</f>
        <v>0.0</v>
      </c>
      <c r="Y1418" s="67">
        <f>IF(AND(ISNUMBER(N1418),N(N1418)&gt;0),N(N1418),0)</f>
        <v>0.0</v>
      </c>
      <c r="Z1418" s="67">
        <f>IF(AND(ISNUMBER(P1418),N(P1418)&gt;0),N(P1418),0)</f>
        <v>0.0</v>
      </c>
    </row>
    <row r="1419">
      <c r="A1419" s="79" t="str">
        <f>IF(COUNTA(B1419:C1419,E1419:G1419,I1419)=0,"","BI-"&amp;RIGHT("0000"&amp;(ROW()-5),4))</f>
        <v/>
      </c>
      <c r="B1419" s="72" t="n"/>
      <c r="C1419" s="66" t="n"/>
      <c r="D1419" s="67" t="str">
        <f>IF(C1419="","",IFERROR(INDEX(eq_des,MATCH(C1419,eq_code,0))&amp;"","Équipement inconnu"))</f>
        <v/>
      </c>
      <c r="E1419" s="68" t="n"/>
      <c r="F1419" s="68" t="n"/>
      <c r="G1419" s="66" t="n"/>
      <c r="H1419" s="66" t="n"/>
      <c r="I1419" s="68" t="n"/>
      <c r="J1419" s="73" t="n"/>
      <c r="K1419" s="71" t="n"/>
      <c r="L1419" s="71" t="n"/>
      <c r="M1419" s="66" t="n"/>
      <c r="N1419" s="80" t="n"/>
      <c r="O1419" s="81" t="str">
        <f>IF(A1419="","",ROUND(V1419*IFERROR(N(INDEX(tech_rate,MATCH(M1419,tech_name,0))),0),2))</f>
        <v/>
      </c>
      <c r="P1419" s="80" t="n"/>
      <c r="Q1419" s="81" t="str">
        <f>IF(A1419="","",ROUND(Y1419+O1419+Z1419,2))</f>
        <v/>
      </c>
      <c r="R1419" s="79" t="str">
        <f>IF(A1419="","",IF(S1419=0,"Date manquante ou invalide",IF(C1419="","Équipement manquant",IF(ISNA(MATCH(C1419,eq_code,0)),"Équipement inconnu",IF(E1419="","Type manquant",IF(AND(E1419&lt;&gt;"Préventif",E1419&lt;&gt;"Correctif",E1419&lt;&gt;"Amélioratif"),"Type inconnu",IF(I1419="","Statut manquant",IF(AND(I1419&lt;&gt;"Terminée",I1419&lt;&gt;"En cours",I1419&lt;&gt;"À faire",I1419&lt;&gt;"Annulée"),"Statut inconnu",IF(AND(E1419="Préventif",F1419=""),"Plan manquant (préventif)",IF(AND(F1419&lt;&gt;"",ISNA(MATCH(F1419,pl_num,0))),"Plan inconnu",IF(AND(F1419&lt;&gt;"",IFERROR(INDEX(pl_eq,MATCH(F1419,pl_num,0))&amp;"",C1419)&lt;&gt;C1419),"Plan d'un autre équipement",IF(AND(J1419&lt;&gt;"",OR(NOT(ISNUMBER(J1419)),N(J1419)&lt;0)),"Compteur invalide",IF(OR(AND(K1419&lt;&gt;"",OR(NOT(ISNUMBER(K1419)),N(K1419)&lt;0)),AND(L1419&lt;&gt;"",OR(NOT(ISNUMBER(L1419)),N(L1419)&lt;0))),"Durée invalide",IF(OR(AND(N1419&lt;&gt;"",OR(NOT(ISNUMBER(N1419)),N(N1419)&lt;0)),AND(P1419&lt;&gt;"",OR(NOT(ISNUMBER(P1419)),N(P1419)&lt;0))),"Coût invalide",IF(AND(M1419&lt;&gt;"",ISNA(MATCH(M1419,tech_name,0))),"Technicien inconnu",IF(AND(I1419="Terminée",S1419&gt;p_today),"Terminée à une date future",IF(AND(I1419="Terminée",V1419=0),"Durée d'intervention manquante",IF(AND(I1419="Terminée",E1419="Préventif",T1419=0,OR(IFERROR(INDEX(pl_trig,MATCH(F1419,pl_num,0))&amp;"","")="Compteur",IFERROR(INDEX(pl_trig,MATCH(F1419,pl_num,0))&amp;"","")="Au premier des deux")),"Compteur manquant (plan au compteur)","OK"))))))))))))))))))</f>
        <v/>
      </c>
      <c r="S1419" s="67">
        <f>IF(AND(ISNUMBER(B1419),N(B1419)&gt;0),INT(B1419),0)</f>
        <v>0.0</v>
      </c>
      <c r="T1419" s="67">
        <f>IF(AND(ISNUMBER(J1419),N(J1419)&gt;=0),N(J1419),0)</f>
        <v>0.0</v>
      </c>
      <c r="U1419" s="67">
        <f>IF(AND(ISNUMBER(K1419),N(K1419)&gt;0),N(K1419),0)</f>
        <v>0.0</v>
      </c>
      <c r="V1419" s="67">
        <f>IF(AND(ISNUMBER(L1419),N(L1419)&gt;0),N(L1419),0)</f>
        <v>0.0</v>
      </c>
      <c r="W1419" s="67">
        <f>IF(AND(I1419="Terminée",S1419&gt;0,C1419&lt;&gt;"",ISNUMBER(MATCH(C1419,eq_code,0))),1,0)</f>
        <v>0.0</v>
      </c>
      <c r="X1419" s="67">
        <f>IF(AND(W1419=1,E1419="Préventif"),1,0)</f>
        <v>0.0</v>
      </c>
      <c r="Y1419" s="67">
        <f>IF(AND(ISNUMBER(N1419),N(N1419)&gt;0),N(N1419),0)</f>
        <v>0.0</v>
      </c>
      <c r="Z1419" s="67">
        <f>IF(AND(ISNUMBER(P1419),N(P1419)&gt;0),N(P1419),0)</f>
        <v>0.0</v>
      </c>
    </row>
    <row r="1420">
      <c r="A1420" s="79" t="str">
        <f>IF(COUNTA(B1420:C1420,E1420:G1420,I1420)=0,"","BI-"&amp;RIGHT("0000"&amp;(ROW()-5),4))</f>
        <v/>
      </c>
      <c r="B1420" s="72" t="n"/>
      <c r="C1420" s="66" t="n"/>
      <c r="D1420" s="67" t="str">
        <f>IF(C1420="","",IFERROR(INDEX(eq_des,MATCH(C1420,eq_code,0))&amp;"","Équipement inconnu"))</f>
        <v/>
      </c>
      <c r="E1420" s="68" t="n"/>
      <c r="F1420" s="68" t="n"/>
      <c r="G1420" s="66" t="n"/>
      <c r="H1420" s="66" t="n"/>
      <c r="I1420" s="68" t="n"/>
      <c r="J1420" s="73" t="n"/>
      <c r="K1420" s="71" t="n"/>
      <c r="L1420" s="71" t="n"/>
      <c r="M1420" s="66" t="n"/>
      <c r="N1420" s="80" t="n"/>
      <c r="O1420" s="81" t="str">
        <f>IF(A1420="","",ROUND(V1420*IFERROR(N(INDEX(tech_rate,MATCH(M1420,tech_name,0))),0),2))</f>
        <v/>
      </c>
      <c r="P1420" s="80" t="n"/>
      <c r="Q1420" s="81" t="str">
        <f>IF(A1420="","",ROUND(Y1420+O1420+Z1420,2))</f>
        <v/>
      </c>
      <c r="R1420" s="79" t="str">
        <f>IF(A1420="","",IF(S1420=0,"Date manquante ou invalide",IF(C1420="","Équipement manquant",IF(ISNA(MATCH(C1420,eq_code,0)),"Équipement inconnu",IF(E1420="","Type manquant",IF(AND(E1420&lt;&gt;"Préventif",E1420&lt;&gt;"Correctif",E1420&lt;&gt;"Amélioratif"),"Type inconnu",IF(I1420="","Statut manquant",IF(AND(I1420&lt;&gt;"Terminée",I1420&lt;&gt;"En cours",I1420&lt;&gt;"À faire",I1420&lt;&gt;"Annulée"),"Statut inconnu",IF(AND(E1420="Préventif",F1420=""),"Plan manquant (préventif)",IF(AND(F1420&lt;&gt;"",ISNA(MATCH(F1420,pl_num,0))),"Plan inconnu",IF(AND(F1420&lt;&gt;"",IFERROR(INDEX(pl_eq,MATCH(F1420,pl_num,0))&amp;"",C1420)&lt;&gt;C1420),"Plan d'un autre équipement",IF(AND(J1420&lt;&gt;"",OR(NOT(ISNUMBER(J1420)),N(J1420)&lt;0)),"Compteur invalide",IF(OR(AND(K1420&lt;&gt;"",OR(NOT(ISNUMBER(K1420)),N(K1420)&lt;0)),AND(L1420&lt;&gt;"",OR(NOT(ISNUMBER(L1420)),N(L1420)&lt;0))),"Durée invalide",IF(OR(AND(N1420&lt;&gt;"",OR(NOT(ISNUMBER(N1420)),N(N1420)&lt;0)),AND(P1420&lt;&gt;"",OR(NOT(ISNUMBER(P1420)),N(P1420)&lt;0))),"Coût invalide",IF(AND(M1420&lt;&gt;"",ISNA(MATCH(M1420,tech_name,0))),"Technicien inconnu",IF(AND(I1420="Terminée",S1420&gt;p_today),"Terminée à une date future",IF(AND(I1420="Terminée",V1420=0),"Durée d'intervention manquante",IF(AND(I1420="Terminée",E1420="Préventif",T1420=0,OR(IFERROR(INDEX(pl_trig,MATCH(F1420,pl_num,0))&amp;"","")="Compteur",IFERROR(INDEX(pl_trig,MATCH(F1420,pl_num,0))&amp;"","")="Au premier des deux")),"Compteur manquant (plan au compteur)","OK"))))))))))))))))))</f>
        <v/>
      </c>
      <c r="S1420" s="67">
        <f>IF(AND(ISNUMBER(B1420),N(B1420)&gt;0),INT(B1420),0)</f>
        <v>0.0</v>
      </c>
      <c r="T1420" s="67">
        <f>IF(AND(ISNUMBER(J1420),N(J1420)&gt;=0),N(J1420),0)</f>
        <v>0.0</v>
      </c>
      <c r="U1420" s="67">
        <f>IF(AND(ISNUMBER(K1420),N(K1420)&gt;0),N(K1420),0)</f>
        <v>0.0</v>
      </c>
      <c r="V1420" s="67">
        <f>IF(AND(ISNUMBER(L1420),N(L1420)&gt;0),N(L1420),0)</f>
        <v>0.0</v>
      </c>
      <c r="W1420" s="67">
        <f>IF(AND(I1420="Terminée",S1420&gt;0,C1420&lt;&gt;"",ISNUMBER(MATCH(C1420,eq_code,0))),1,0)</f>
        <v>0.0</v>
      </c>
      <c r="X1420" s="67">
        <f>IF(AND(W1420=1,E1420="Préventif"),1,0)</f>
        <v>0.0</v>
      </c>
      <c r="Y1420" s="67">
        <f>IF(AND(ISNUMBER(N1420),N(N1420)&gt;0),N(N1420),0)</f>
        <v>0.0</v>
      </c>
      <c r="Z1420" s="67">
        <f>IF(AND(ISNUMBER(P1420),N(P1420)&gt;0),N(P1420),0)</f>
        <v>0.0</v>
      </c>
    </row>
    <row r="1421">
      <c r="A1421" s="79" t="str">
        <f>IF(COUNTA(B1421:C1421,E1421:G1421,I1421)=0,"","BI-"&amp;RIGHT("0000"&amp;(ROW()-5),4))</f>
        <v/>
      </c>
      <c r="B1421" s="72" t="n"/>
      <c r="C1421" s="66" t="n"/>
      <c r="D1421" s="67" t="str">
        <f>IF(C1421="","",IFERROR(INDEX(eq_des,MATCH(C1421,eq_code,0))&amp;"","Équipement inconnu"))</f>
        <v/>
      </c>
      <c r="E1421" s="68" t="n"/>
      <c r="F1421" s="68" t="n"/>
      <c r="G1421" s="66" t="n"/>
      <c r="H1421" s="66" t="n"/>
      <c r="I1421" s="68" t="n"/>
      <c r="J1421" s="73" t="n"/>
      <c r="K1421" s="71" t="n"/>
      <c r="L1421" s="71" t="n"/>
      <c r="M1421" s="66" t="n"/>
      <c r="N1421" s="80" t="n"/>
      <c r="O1421" s="81" t="str">
        <f>IF(A1421="","",ROUND(V1421*IFERROR(N(INDEX(tech_rate,MATCH(M1421,tech_name,0))),0),2))</f>
        <v/>
      </c>
      <c r="P1421" s="80" t="n"/>
      <c r="Q1421" s="81" t="str">
        <f>IF(A1421="","",ROUND(Y1421+O1421+Z1421,2))</f>
        <v/>
      </c>
      <c r="R1421" s="79" t="str">
        <f>IF(A1421="","",IF(S1421=0,"Date manquante ou invalide",IF(C1421="","Équipement manquant",IF(ISNA(MATCH(C1421,eq_code,0)),"Équipement inconnu",IF(E1421="","Type manquant",IF(AND(E1421&lt;&gt;"Préventif",E1421&lt;&gt;"Correctif",E1421&lt;&gt;"Amélioratif"),"Type inconnu",IF(I1421="","Statut manquant",IF(AND(I1421&lt;&gt;"Terminée",I1421&lt;&gt;"En cours",I1421&lt;&gt;"À faire",I1421&lt;&gt;"Annulée"),"Statut inconnu",IF(AND(E1421="Préventif",F1421=""),"Plan manquant (préventif)",IF(AND(F1421&lt;&gt;"",ISNA(MATCH(F1421,pl_num,0))),"Plan inconnu",IF(AND(F1421&lt;&gt;"",IFERROR(INDEX(pl_eq,MATCH(F1421,pl_num,0))&amp;"",C1421)&lt;&gt;C1421),"Plan d'un autre équipement",IF(AND(J1421&lt;&gt;"",OR(NOT(ISNUMBER(J1421)),N(J1421)&lt;0)),"Compteur invalide",IF(OR(AND(K1421&lt;&gt;"",OR(NOT(ISNUMBER(K1421)),N(K1421)&lt;0)),AND(L1421&lt;&gt;"",OR(NOT(ISNUMBER(L1421)),N(L1421)&lt;0))),"Durée invalide",IF(OR(AND(N1421&lt;&gt;"",OR(NOT(ISNUMBER(N1421)),N(N1421)&lt;0)),AND(P1421&lt;&gt;"",OR(NOT(ISNUMBER(P1421)),N(P1421)&lt;0))),"Coût invalide",IF(AND(M1421&lt;&gt;"",ISNA(MATCH(M1421,tech_name,0))),"Technicien inconnu",IF(AND(I1421="Terminée",S1421&gt;p_today),"Terminée à une date future",IF(AND(I1421="Terminée",V1421=0),"Durée d'intervention manquante",IF(AND(I1421="Terminée",E1421="Préventif",T1421=0,OR(IFERROR(INDEX(pl_trig,MATCH(F1421,pl_num,0))&amp;"","")="Compteur",IFERROR(INDEX(pl_trig,MATCH(F1421,pl_num,0))&amp;"","")="Au premier des deux")),"Compteur manquant (plan au compteur)","OK"))))))))))))))))))</f>
        <v/>
      </c>
      <c r="S1421" s="67">
        <f>IF(AND(ISNUMBER(B1421),N(B1421)&gt;0),INT(B1421),0)</f>
        <v>0.0</v>
      </c>
      <c r="T1421" s="67">
        <f>IF(AND(ISNUMBER(J1421),N(J1421)&gt;=0),N(J1421),0)</f>
        <v>0.0</v>
      </c>
      <c r="U1421" s="67">
        <f>IF(AND(ISNUMBER(K1421),N(K1421)&gt;0),N(K1421),0)</f>
        <v>0.0</v>
      </c>
      <c r="V1421" s="67">
        <f>IF(AND(ISNUMBER(L1421),N(L1421)&gt;0),N(L1421),0)</f>
        <v>0.0</v>
      </c>
      <c r="W1421" s="67">
        <f>IF(AND(I1421="Terminée",S1421&gt;0,C1421&lt;&gt;"",ISNUMBER(MATCH(C1421,eq_code,0))),1,0)</f>
        <v>0.0</v>
      </c>
      <c r="X1421" s="67">
        <f>IF(AND(W1421=1,E1421="Préventif"),1,0)</f>
        <v>0.0</v>
      </c>
      <c r="Y1421" s="67">
        <f>IF(AND(ISNUMBER(N1421),N(N1421)&gt;0),N(N1421),0)</f>
        <v>0.0</v>
      </c>
      <c r="Z1421" s="67">
        <f>IF(AND(ISNUMBER(P1421),N(P1421)&gt;0),N(P1421),0)</f>
        <v>0.0</v>
      </c>
    </row>
    <row r="1422">
      <c r="A1422" s="79" t="str">
        <f>IF(COUNTA(B1422:C1422,E1422:G1422,I1422)=0,"","BI-"&amp;RIGHT("0000"&amp;(ROW()-5),4))</f>
        <v/>
      </c>
      <c r="B1422" s="72" t="n"/>
      <c r="C1422" s="66" t="n"/>
      <c r="D1422" s="67" t="str">
        <f>IF(C1422="","",IFERROR(INDEX(eq_des,MATCH(C1422,eq_code,0))&amp;"","Équipement inconnu"))</f>
        <v/>
      </c>
      <c r="E1422" s="68" t="n"/>
      <c r="F1422" s="68" t="n"/>
      <c r="G1422" s="66" t="n"/>
      <c r="H1422" s="66" t="n"/>
      <c r="I1422" s="68" t="n"/>
      <c r="J1422" s="73" t="n"/>
      <c r="K1422" s="71" t="n"/>
      <c r="L1422" s="71" t="n"/>
      <c r="M1422" s="66" t="n"/>
      <c r="N1422" s="80" t="n"/>
      <c r="O1422" s="81" t="str">
        <f>IF(A1422="","",ROUND(V1422*IFERROR(N(INDEX(tech_rate,MATCH(M1422,tech_name,0))),0),2))</f>
        <v/>
      </c>
      <c r="P1422" s="80" t="n"/>
      <c r="Q1422" s="81" t="str">
        <f>IF(A1422="","",ROUND(Y1422+O1422+Z1422,2))</f>
        <v/>
      </c>
      <c r="R1422" s="79" t="str">
        <f>IF(A1422="","",IF(S1422=0,"Date manquante ou invalide",IF(C1422="","Équipement manquant",IF(ISNA(MATCH(C1422,eq_code,0)),"Équipement inconnu",IF(E1422="","Type manquant",IF(AND(E1422&lt;&gt;"Préventif",E1422&lt;&gt;"Correctif",E1422&lt;&gt;"Amélioratif"),"Type inconnu",IF(I1422="","Statut manquant",IF(AND(I1422&lt;&gt;"Terminée",I1422&lt;&gt;"En cours",I1422&lt;&gt;"À faire",I1422&lt;&gt;"Annulée"),"Statut inconnu",IF(AND(E1422="Préventif",F1422=""),"Plan manquant (préventif)",IF(AND(F1422&lt;&gt;"",ISNA(MATCH(F1422,pl_num,0))),"Plan inconnu",IF(AND(F1422&lt;&gt;"",IFERROR(INDEX(pl_eq,MATCH(F1422,pl_num,0))&amp;"",C1422)&lt;&gt;C1422),"Plan d'un autre équipement",IF(AND(J1422&lt;&gt;"",OR(NOT(ISNUMBER(J1422)),N(J1422)&lt;0)),"Compteur invalide",IF(OR(AND(K1422&lt;&gt;"",OR(NOT(ISNUMBER(K1422)),N(K1422)&lt;0)),AND(L1422&lt;&gt;"",OR(NOT(ISNUMBER(L1422)),N(L1422)&lt;0))),"Durée invalide",IF(OR(AND(N1422&lt;&gt;"",OR(NOT(ISNUMBER(N1422)),N(N1422)&lt;0)),AND(P1422&lt;&gt;"",OR(NOT(ISNUMBER(P1422)),N(P1422)&lt;0))),"Coût invalide",IF(AND(M1422&lt;&gt;"",ISNA(MATCH(M1422,tech_name,0))),"Technicien inconnu",IF(AND(I1422="Terminée",S1422&gt;p_today),"Terminée à une date future",IF(AND(I1422="Terminée",V1422=0),"Durée d'intervention manquante",IF(AND(I1422="Terminée",E1422="Préventif",T1422=0,OR(IFERROR(INDEX(pl_trig,MATCH(F1422,pl_num,0))&amp;"","")="Compteur",IFERROR(INDEX(pl_trig,MATCH(F1422,pl_num,0))&amp;"","")="Au premier des deux")),"Compteur manquant (plan au compteur)","OK"))))))))))))))))))</f>
        <v/>
      </c>
      <c r="S1422" s="67">
        <f>IF(AND(ISNUMBER(B1422),N(B1422)&gt;0),INT(B1422),0)</f>
        <v>0.0</v>
      </c>
      <c r="T1422" s="67">
        <f>IF(AND(ISNUMBER(J1422),N(J1422)&gt;=0),N(J1422),0)</f>
        <v>0.0</v>
      </c>
      <c r="U1422" s="67">
        <f>IF(AND(ISNUMBER(K1422),N(K1422)&gt;0),N(K1422),0)</f>
        <v>0.0</v>
      </c>
      <c r="V1422" s="67">
        <f>IF(AND(ISNUMBER(L1422),N(L1422)&gt;0),N(L1422),0)</f>
        <v>0.0</v>
      </c>
      <c r="W1422" s="67">
        <f>IF(AND(I1422="Terminée",S1422&gt;0,C1422&lt;&gt;"",ISNUMBER(MATCH(C1422,eq_code,0))),1,0)</f>
        <v>0.0</v>
      </c>
      <c r="X1422" s="67">
        <f>IF(AND(W1422=1,E1422="Préventif"),1,0)</f>
        <v>0.0</v>
      </c>
      <c r="Y1422" s="67">
        <f>IF(AND(ISNUMBER(N1422),N(N1422)&gt;0),N(N1422),0)</f>
        <v>0.0</v>
      </c>
      <c r="Z1422" s="67">
        <f>IF(AND(ISNUMBER(P1422),N(P1422)&gt;0),N(P1422),0)</f>
        <v>0.0</v>
      </c>
    </row>
    <row r="1423">
      <c r="A1423" s="79" t="str">
        <f>IF(COUNTA(B1423:C1423,E1423:G1423,I1423)=0,"","BI-"&amp;RIGHT("0000"&amp;(ROW()-5),4))</f>
        <v/>
      </c>
      <c r="B1423" s="72" t="n"/>
      <c r="C1423" s="66" t="n"/>
      <c r="D1423" s="67" t="str">
        <f>IF(C1423="","",IFERROR(INDEX(eq_des,MATCH(C1423,eq_code,0))&amp;"","Équipement inconnu"))</f>
        <v/>
      </c>
      <c r="E1423" s="68" t="n"/>
      <c r="F1423" s="68" t="n"/>
      <c r="G1423" s="66" t="n"/>
      <c r="H1423" s="66" t="n"/>
      <c r="I1423" s="68" t="n"/>
      <c r="J1423" s="73" t="n"/>
      <c r="K1423" s="71" t="n"/>
      <c r="L1423" s="71" t="n"/>
      <c r="M1423" s="66" t="n"/>
      <c r="N1423" s="80" t="n"/>
      <c r="O1423" s="81" t="str">
        <f>IF(A1423="","",ROUND(V1423*IFERROR(N(INDEX(tech_rate,MATCH(M1423,tech_name,0))),0),2))</f>
        <v/>
      </c>
      <c r="P1423" s="80" t="n"/>
      <c r="Q1423" s="81" t="str">
        <f>IF(A1423="","",ROUND(Y1423+O1423+Z1423,2))</f>
        <v/>
      </c>
      <c r="R1423" s="79" t="str">
        <f>IF(A1423="","",IF(S1423=0,"Date manquante ou invalide",IF(C1423="","Équipement manquant",IF(ISNA(MATCH(C1423,eq_code,0)),"Équipement inconnu",IF(E1423="","Type manquant",IF(AND(E1423&lt;&gt;"Préventif",E1423&lt;&gt;"Correctif",E1423&lt;&gt;"Amélioratif"),"Type inconnu",IF(I1423="","Statut manquant",IF(AND(I1423&lt;&gt;"Terminée",I1423&lt;&gt;"En cours",I1423&lt;&gt;"À faire",I1423&lt;&gt;"Annulée"),"Statut inconnu",IF(AND(E1423="Préventif",F1423=""),"Plan manquant (préventif)",IF(AND(F1423&lt;&gt;"",ISNA(MATCH(F1423,pl_num,0))),"Plan inconnu",IF(AND(F1423&lt;&gt;"",IFERROR(INDEX(pl_eq,MATCH(F1423,pl_num,0))&amp;"",C1423)&lt;&gt;C1423),"Plan d'un autre équipement",IF(AND(J1423&lt;&gt;"",OR(NOT(ISNUMBER(J1423)),N(J1423)&lt;0)),"Compteur invalide",IF(OR(AND(K1423&lt;&gt;"",OR(NOT(ISNUMBER(K1423)),N(K1423)&lt;0)),AND(L1423&lt;&gt;"",OR(NOT(ISNUMBER(L1423)),N(L1423)&lt;0))),"Durée invalide",IF(OR(AND(N1423&lt;&gt;"",OR(NOT(ISNUMBER(N1423)),N(N1423)&lt;0)),AND(P1423&lt;&gt;"",OR(NOT(ISNUMBER(P1423)),N(P1423)&lt;0))),"Coût invalide",IF(AND(M1423&lt;&gt;"",ISNA(MATCH(M1423,tech_name,0))),"Technicien inconnu",IF(AND(I1423="Terminée",S1423&gt;p_today),"Terminée à une date future",IF(AND(I1423="Terminée",V1423=0),"Durée d'intervention manquante",IF(AND(I1423="Terminée",E1423="Préventif",T1423=0,OR(IFERROR(INDEX(pl_trig,MATCH(F1423,pl_num,0))&amp;"","")="Compteur",IFERROR(INDEX(pl_trig,MATCH(F1423,pl_num,0))&amp;"","")="Au premier des deux")),"Compteur manquant (plan au compteur)","OK"))))))))))))))))))</f>
        <v/>
      </c>
      <c r="S1423" s="67">
        <f>IF(AND(ISNUMBER(B1423),N(B1423)&gt;0),INT(B1423),0)</f>
        <v>0.0</v>
      </c>
      <c r="T1423" s="67">
        <f>IF(AND(ISNUMBER(J1423),N(J1423)&gt;=0),N(J1423),0)</f>
        <v>0.0</v>
      </c>
      <c r="U1423" s="67">
        <f>IF(AND(ISNUMBER(K1423),N(K1423)&gt;0),N(K1423),0)</f>
        <v>0.0</v>
      </c>
      <c r="V1423" s="67">
        <f>IF(AND(ISNUMBER(L1423),N(L1423)&gt;0),N(L1423),0)</f>
        <v>0.0</v>
      </c>
      <c r="W1423" s="67">
        <f>IF(AND(I1423="Terminée",S1423&gt;0,C1423&lt;&gt;"",ISNUMBER(MATCH(C1423,eq_code,0))),1,0)</f>
        <v>0.0</v>
      </c>
      <c r="X1423" s="67">
        <f>IF(AND(W1423=1,E1423="Préventif"),1,0)</f>
        <v>0.0</v>
      </c>
      <c r="Y1423" s="67">
        <f>IF(AND(ISNUMBER(N1423),N(N1423)&gt;0),N(N1423),0)</f>
        <v>0.0</v>
      </c>
      <c r="Z1423" s="67">
        <f>IF(AND(ISNUMBER(P1423),N(P1423)&gt;0),N(P1423),0)</f>
        <v>0.0</v>
      </c>
    </row>
    <row r="1424">
      <c r="A1424" s="79" t="str">
        <f>IF(COUNTA(B1424:C1424,E1424:G1424,I1424)=0,"","BI-"&amp;RIGHT("0000"&amp;(ROW()-5),4))</f>
        <v/>
      </c>
      <c r="B1424" s="72" t="n"/>
      <c r="C1424" s="66" t="n"/>
      <c r="D1424" s="67" t="str">
        <f>IF(C1424="","",IFERROR(INDEX(eq_des,MATCH(C1424,eq_code,0))&amp;"","Équipement inconnu"))</f>
        <v/>
      </c>
      <c r="E1424" s="68" t="n"/>
      <c r="F1424" s="68" t="n"/>
      <c r="G1424" s="66" t="n"/>
      <c r="H1424" s="66" t="n"/>
      <c r="I1424" s="68" t="n"/>
      <c r="J1424" s="73" t="n"/>
      <c r="K1424" s="71" t="n"/>
      <c r="L1424" s="71" t="n"/>
      <c r="M1424" s="66" t="n"/>
      <c r="N1424" s="80" t="n"/>
      <c r="O1424" s="81" t="str">
        <f>IF(A1424="","",ROUND(V1424*IFERROR(N(INDEX(tech_rate,MATCH(M1424,tech_name,0))),0),2))</f>
        <v/>
      </c>
      <c r="P1424" s="80" t="n"/>
      <c r="Q1424" s="81" t="str">
        <f>IF(A1424="","",ROUND(Y1424+O1424+Z1424,2))</f>
        <v/>
      </c>
      <c r="R1424" s="79" t="str">
        <f>IF(A1424="","",IF(S1424=0,"Date manquante ou invalide",IF(C1424="","Équipement manquant",IF(ISNA(MATCH(C1424,eq_code,0)),"Équipement inconnu",IF(E1424="","Type manquant",IF(AND(E1424&lt;&gt;"Préventif",E1424&lt;&gt;"Correctif",E1424&lt;&gt;"Amélioratif"),"Type inconnu",IF(I1424="","Statut manquant",IF(AND(I1424&lt;&gt;"Terminée",I1424&lt;&gt;"En cours",I1424&lt;&gt;"À faire",I1424&lt;&gt;"Annulée"),"Statut inconnu",IF(AND(E1424="Préventif",F1424=""),"Plan manquant (préventif)",IF(AND(F1424&lt;&gt;"",ISNA(MATCH(F1424,pl_num,0))),"Plan inconnu",IF(AND(F1424&lt;&gt;"",IFERROR(INDEX(pl_eq,MATCH(F1424,pl_num,0))&amp;"",C1424)&lt;&gt;C1424),"Plan d'un autre équipement",IF(AND(J1424&lt;&gt;"",OR(NOT(ISNUMBER(J1424)),N(J1424)&lt;0)),"Compteur invalide",IF(OR(AND(K1424&lt;&gt;"",OR(NOT(ISNUMBER(K1424)),N(K1424)&lt;0)),AND(L1424&lt;&gt;"",OR(NOT(ISNUMBER(L1424)),N(L1424)&lt;0))),"Durée invalide",IF(OR(AND(N1424&lt;&gt;"",OR(NOT(ISNUMBER(N1424)),N(N1424)&lt;0)),AND(P1424&lt;&gt;"",OR(NOT(ISNUMBER(P1424)),N(P1424)&lt;0))),"Coût invalide",IF(AND(M1424&lt;&gt;"",ISNA(MATCH(M1424,tech_name,0))),"Technicien inconnu",IF(AND(I1424="Terminée",S1424&gt;p_today),"Terminée à une date future",IF(AND(I1424="Terminée",V1424=0),"Durée d'intervention manquante",IF(AND(I1424="Terminée",E1424="Préventif",T1424=0,OR(IFERROR(INDEX(pl_trig,MATCH(F1424,pl_num,0))&amp;"","")="Compteur",IFERROR(INDEX(pl_trig,MATCH(F1424,pl_num,0))&amp;"","")="Au premier des deux")),"Compteur manquant (plan au compteur)","OK"))))))))))))))))))</f>
        <v/>
      </c>
      <c r="S1424" s="67">
        <f>IF(AND(ISNUMBER(B1424),N(B1424)&gt;0),INT(B1424),0)</f>
        <v>0.0</v>
      </c>
      <c r="T1424" s="67">
        <f>IF(AND(ISNUMBER(J1424),N(J1424)&gt;=0),N(J1424),0)</f>
        <v>0.0</v>
      </c>
      <c r="U1424" s="67">
        <f>IF(AND(ISNUMBER(K1424),N(K1424)&gt;0),N(K1424),0)</f>
        <v>0.0</v>
      </c>
      <c r="V1424" s="67">
        <f>IF(AND(ISNUMBER(L1424),N(L1424)&gt;0),N(L1424),0)</f>
        <v>0.0</v>
      </c>
      <c r="W1424" s="67">
        <f>IF(AND(I1424="Terminée",S1424&gt;0,C1424&lt;&gt;"",ISNUMBER(MATCH(C1424,eq_code,0))),1,0)</f>
        <v>0.0</v>
      </c>
      <c r="X1424" s="67">
        <f>IF(AND(W1424=1,E1424="Préventif"),1,0)</f>
        <v>0.0</v>
      </c>
      <c r="Y1424" s="67">
        <f>IF(AND(ISNUMBER(N1424),N(N1424)&gt;0),N(N1424),0)</f>
        <v>0.0</v>
      </c>
      <c r="Z1424" s="67">
        <f>IF(AND(ISNUMBER(P1424),N(P1424)&gt;0),N(P1424),0)</f>
        <v>0.0</v>
      </c>
    </row>
    <row r="1425">
      <c r="A1425" s="79" t="str">
        <f>IF(COUNTA(B1425:C1425,E1425:G1425,I1425)=0,"","BI-"&amp;RIGHT("0000"&amp;(ROW()-5),4))</f>
        <v/>
      </c>
      <c r="B1425" s="72" t="n"/>
      <c r="C1425" s="66" t="n"/>
      <c r="D1425" s="67" t="str">
        <f>IF(C1425="","",IFERROR(INDEX(eq_des,MATCH(C1425,eq_code,0))&amp;"","Équipement inconnu"))</f>
        <v/>
      </c>
      <c r="E1425" s="68" t="n"/>
      <c r="F1425" s="68" t="n"/>
      <c r="G1425" s="66" t="n"/>
      <c r="H1425" s="66" t="n"/>
      <c r="I1425" s="68" t="n"/>
      <c r="J1425" s="73" t="n"/>
      <c r="K1425" s="71" t="n"/>
      <c r="L1425" s="71" t="n"/>
      <c r="M1425" s="66" t="n"/>
      <c r="N1425" s="80" t="n"/>
      <c r="O1425" s="81" t="str">
        <f>IF(A1425="","",ROUND(V1425*IFERROR(N(INDEX(tech_rate,MATCH(M1425,tech_name,0))),0),2))</f>
        <v/>
      </c>
      <c r="P1425" s="80" t="n"/>
      <c r="Q1425" s="81" t="str">
        <f>IF(A1425="","",ROUND(Y1425+O1425+Z1425,2))</f>
        <v/>
      </c>
      <c r="R1425" s="79" t="str">
        <f>IF(A1425="","",IF(S1425=0,"Date manquante ou invalide",IF(C1425="","Équipement manquant",IF(ISNA(MATCH(C1425,eq_code,0)),"Équipement inconnu",IF(E1425="","Type manquant",IF(AND(E1425&lt;&gt;"Préventif",E1425&lt;&gt;"Correctif",E1425&lt;&gt;"Amélioratif"),"Type inconnu",IF(I1425="","Statut manquant",IF(AND(I1425&lt;&gt;"Terminée",I1425&lt;&gt;"En cours",I1425&lt;&gt;"À faire",I1425&lt;&gt;"Annulée"),"Statut inconnu",IF(AND(E1425="Préventif",F1425=""),"Plan manquant (préventif)",IF(AND(F1425&lt;&gt;"",ISNA(MATCH(F1425,pl_num,0))),"Plan inconnu",IF(AND(F1425&lt;&gt;"",IFERROR(INDEX(pl_eq,MATCH(F1425,pl_num,0))&amp;"",C1425)&lt;&gt;C1425),"Plan d'un autre équipement",IF(AND(J1425&lt;&gt;"",OR(NOT(ISNUMBER(J1425)),N(J1425)&lt;0)),"Compteur invalide",IF(OR(AND(K1425&lt;&gt;"",OR(NOT(ISNUMBER(K1425)),N(K1425)&lt;0)),AND(L1425&lt;&gt;"",OR(NOT(ISNUMBER(L1425)),N(L1425)&lt;0))),"Durée invalide",IF(OR(AND(N1425&lt;&gt;"",OR(NOT(ISNUMBER(N1425)),N(N1425)&lt;0)),AND(P1425&lt;&gt;"",OR(NOT(ISNUMBER(P1425)),N(P1425)&lt;0))),"Coût invalide",IF(AND(M1425&lt;&gt;"",ISNA(MATCH(M1425,tech_name,0))),"Technicien inconnu",IF(AND(I1425="Terminée",S1425&gt;p_today),"Terminée à une date future",IF(AND(I1425="Terminée",V1425=0),"Durée d'intervention manquante",IF(AND(I1425="Terminée",E1425="Préventif",T1425=0,OR(IFERROR(INDEX(pl_trig,MATCH(F1425,pl_num,0))&amp;"","")="Compteur",IFERROR(INDEX(pl_trig,MATCH(F1425,pl_num,0))&amp;"","")="Au premier des deux")),"Compteur manquant (plan au compteur)","OK"))))))))))))))))))</f>
        <v/>
      </c>
      <c r="S1425" s="67">
        <f>IF(AND(ISNUMBER(B1425),N(B1425)&gt;0),INT(B1425),0)</f>
        <v>0.0</v>
      </c>
      <c r="T1425" s="67">
        <f>IF(AND(ISNUMBER(J1425),N(J1425)&gt;=0),N(J1425),0)</f>
        <v>0.0</v>
      </c>
      <c r="U1425" s="67">
        <f>IF(AND(ISNUMBER(K1425),N(K1425)&gt;0),N(K1425),0)</f>
        <v>0.0</v>
      </c>
      <c r="V1425" s="67">
        <f>IF(AND(ISNUMBER(L1425),N(L1425)&gt;0),N(L1425),0)</f>
        <v>0.0</v>
      </c>
      <c r="W1425" s="67">
        <f>IF(AND(I1425="Terminée",S1425&gt;0,C1425&lt;&gt;"",ISNUMBER(MATCH(C1425,eq_code,0))),1,0)</f>
        <v>0.0</v>
      </c>
      <c r="X1425" s="67">
        <f>IF(AND(W1425=1,E1425="Préventif"),1,0)</f>
        <v>0.0</v>
      </c>
      <c r="Y1425" s="67">
        <f>IF(AND(ISNUMBER(N1425),N(N1425)&gt;0),N(N1425),0)</f>
        <v>0.0</v>
      </c>
      <c r="Z1425" s="67">
        <f>IF(AND(ISNUMBER(P1425),N(P1425)&gt;0),N(P1425),0)</f>
        <v>0.0</v>
      </c>
    </row>
    <row r="1426">
      <c r="A1426" s="79" t="str">
        <f>IF(COUNTA(B1426:C1426,E1426:G1426,I1426)=0,"","BI-"&amp;RIGHT("0000"&amp;(ROW()-5),4))</f>
        <v/>
      </c>
      <c r="B1426" s="72" t="n"/>
      <c r="C1426" s="66" t="n"/>
      <c r="D1426" s="67" t="str">
        <f>IF(C1426="","",IFERROR(INDEX(eq_des,MATCH(C1426,eq_code,0))&amp;"","Équipement inconnu"))</f>
        <v/>
      </c>
      <c r="E1426" s="68" t="n"/>
      <c r="F1426" s="68" t="n"/>
      <c r="G1426" s="66" t="n"/>
      <c r="H1426" s="66" t="n"/>
      <c r="I1426" s="68" t="n"/>
      <c r="J1426" s="73" t="n"/>
      <c r="K1426" s="71" t="n"/>
      <c r="L1426" s="71" t="n"/>
      <c r="M1426" s="66" t="n"/>
      <c r="N1426" s="80" t="n"/>
      <c r="O1426" s="81" t="str">
        <f>IF(A1426="","",ROUND(V1426*IFERROR(N(INDEX(tech_rate,MATCH(M1426,tech_name,0))),0),2))</f>
        <v/>
      </c>
      <c r="P1426" s="80" t="n"/>
      <c r="Q1426" s="81" t="str">
        <f>IF(A1426="","",ROUND(Y1426+O1426+Z1426,2))</f>
        <v/>
      </c>
      <c r="R1426" s="79" t="str">
        <f>IF(A1426="","",IF(S1426=0,"Date manquante ou invalide",IF(C1426="","Équipement manquant",IF(ISNA(MATCH(C1426,eq_code,0)),"Équipement inconnu",IF(E1426="","Type manquant",IF(AND(E1426&lt;&gt;"Préventif",E1426&lt;&gt;"Correctif",E1426&lt;&gt;"Amélioratif"),"Type inconnu",IF(I1426="","Statut manquant",IF(AND(I1426&lt;&gt;"Terminée",I1426&lt;&gt;"En cours",I1426&lt;&gt;"À faire",I1426&lt;&gt;"Annulée"),"Statut inconnu",IF(AND(E1426="Préventif",F1426=""),"Plan manquant (préventif)",IF(AND(F1426&lt;&gt;"",ISNA(MATCH(F1426,pl_num,0))),"Plan inconnu",IF(AND(F1426&lt;&gt;"",IFERROR(INDEX(pl_eq,MATCH(F1426,pl_num,0))&amp;"",C1426)&lt;&gt;C1426),"Plan d'un autre équipement",IF(AND(J1426&lt;&gt;"",OR(NOT(ISNUMBER(J1426)),N(J1426)&lt;0)),"Compteur invalide",IF(OR(AND(K1426&lt;&gt;"",OR(NOT(ISNUMBER(K1426)),N(K1426)&lt;0)),AND(L1426&lt;&gt;"",OR(NOT(ISNUMBER(L1426)),N(L1426)&lt;0))),"Durée invalide",IF(OR(AND(N1426&lt;&gt;"",OR(NOT(ISNUMBER(N1426)),N(N1426)&lt;0)),AND(P1426&lt;&gt;"",OR(NOT(ISNUMBER(P1426)),N(P1426)&lt;0))),"Coût invalide",IF(AND(M1426&lt;&gt;"",ISNA(MATCH(M1426,tech_name,0))),"Technicien inconnu",IF(AND(I1426="Terminée",S1426&gt;p_today),"Terminée à une date future",IF(AND(I1426="Terminée",V1426=0),"Durée d'intervention manquante",IF(AND(I1426="Terminée",E1426="Préventif",T1426=0,OR(IFERROR(INDEX(pl_trig,MATCH(F1426,pl_num,0))&amp;"","")="Compteur",IFERROR(INDEX(pl_trig,MATCH(F1426,pl_num,0))&amp;"","")="Au premier des deux")),"Compteur manquant (plan au compteur)","OK"))))))))))))))))))</f>
        <v/>
      </c>
      <c r="S1426" s="67">
        <f>IF(AND(ISNUMBER(B1426),N(B1426)&gt;0),INT(B1426),0)</f>
        <v>0.0</v>
      </c>
      <c r="T1426" s="67">
        <f>IF(AND(ISNUMBER(J1426),N(J1426)&gt;=0),N(J1426),0)</f>
        <v>0.0</v>
      </c>
      <c r="U1426" s="67">
        <f>IF(AND(ISNUMBER(K1426),N(K1426)&gt;0),N(K1426),0)</f>
        <v>0.0</v>
      </c>
      <c r="V1426" s="67">
        <f>IF(AND(ISNUMBER(L1426),N(L1426)&gt;0),N(L1426),0)</f>
        <v>0.0</v>
      </c>
      <c r="W1426" s="67">
        <f>IF(AND(I1426="Terminée",S1426&gt;0,C1426&lt;&gt;"",ISNUMBER(MATCH(C1426,eq_code,0))),1,0)</f>
        <v>0.0</v>
      </c>
      <c r="X1426" s="67">
        <f>IF(AND(W1426=1,E1426="Préventif"),1,0)</f>
        <v>0.0</v>
      </c>
      <c r="Y1426" s="67">
        <f>IF(AND(ISNUMBER(N1426),N(N1426)&gt;0),N(N1426),0)</f>
        <v>0.0</v>
      </c>
      <c r="Z1426" s="67">
        <f>IF(AND(ISNUMBER(P1426),N(P1426)&gt;0),N(P1426),0)</f>
        <v>0.0</v>
      </c>
    </row>
    <row r="1427">
      <c r="A1427" s="79" t="str">
        <f>IF(COUNTA(B1427:C1427,E1427:G1427,I1427)=0,"","BI-"&amp;RIGHT("0000"&amp;(ROW()-5),4))</f>
        <v/>
      </c>
      <c r="B1427" s="72" t="n"/>
      <c r="C1427" s="66" t="n"/>
      <c r="D1427" s="67" t="str">
        <f>IF(C1427="","",IFERROR(INDEX(eq_des,MATCH(C1427,eq_code,0))&amp;"","Équipement inconnu"))</f>
        <v/>
      </c>
      <c r="E1427" s="68" t="n"/>
      <c r="F1427" s="68" t="n"/>
      <c r="G1427" s="66" t="n"/>
      <c r="H1427" s="66" t="n"/>
      <c r="I1427" s="68" t="n"/>
      <c r="J1427" s="73" t="n"/>
      <c r="K1427" s="71" t="n"/>
      <c r="L1427" s="71" t="n"/>
      <c r="M1427" s="66" t="n"/>
      <c r="N1427" s="80" t="n"/>
      <c r="O1427" s="81" t="str">
        <f>IF(A1427="","",ROUND(V1427*IFERROR(N(INDEX(tech_rate,MATCH(M1427,tech_name,0))),0),2))</f>
        <v/>
      </c>
      <c r="P1427" s="80" t="n"/>
      <c r="Q1427" s="81" t="str">
        <f>IF(A1427="","",ROUND(Y1427+O1427+Z1427,2))</f>
        <v/>
      </c>
      <c r="R1427" s="79" t="str">
        <f>IF(A1427="","",IF(S1427=0,"Date manquante ou invalide",IF(C1427="","Équipement manquant",IF(ISNA(MATCH(C1427,eq_code,0)),"Équipement inconnu",IF(E1427="","Type manquant",IF(AND(E1427&lt;&gt;"Préventif",E1427&lt;&gt;"Correctif",E1427&lt;&gt;"Amélioratif"),"Type inconnu",IF(I1427="","Statut manquant",IF(AND(I1427&lt;&gt;"Terminée",I1427&lt;&gt;"En cours",I1427&lt;&gt;"À faire",I1427&lt;&gt;"Annulée"),"Statut inconnu",IF(AND(E1427="Préventif",F1427=""),"Plan manquant (préventif)",IF(AND(F1427&lt;&gt;"",ISNA(MATCH(F1427,pl_num,0))),"Plan inconnu",IF(AND(F1427&lt;&gt;"",IFERROR(INDEX(pl_eq,MATCH(F1427,pl_num,0))&amp;"",C1427)&lt;&gt;C1427),"Plan d'un autre équipement",IF(AND(J1427&lt;&gt;"",OR(NOT(ISNUMBER(J1427)),N(J1427)&lt;0)),"Compteur invalide",IF(OR(AND(K1427&lt;&gt;"",OR(NOT(ISNUMBER(K1427)),N(K1427)&lt;0)),AND(L1427&lt;&gt;"",OR(NOT(ISNUMBER(L1427)),N(L1427)&lt;0))),"Durée invalide",IF(OR(AND(N1427&lt;&gt;"",OR(NOT(ISNUMBER(N1427)),N(N1427)&lt;0)),AND(P1427&lt;&gt;"",OR(NOT(ISNUMBER(P1427)),N(P1427)&lt;0))),"Coût invalide",IF(AND(M1427&lt;&gt;"",ISNA(MATCH(M1427,tech_name,0))),"Technicien inconnu",IF(AND(I1427="Terminée",S1427&gt;p_today),"Terminée à une date future",IF(AND(I1427="Terminée",V1427=0),"Durée d'intervention manquante",IF(AND(I1427="Terminée",E1427="Préventif",T1427=0,OR(IFERROR(INDEX(pl_trig,MATCH(F1427,pl_num,0))&amp;"","")="Compteur",IFERROR(INDEX(pl_trig,MATCH(F1427,pl_num,0))&amp;"","")="Au premier des deux")),"Compteur manquant (plan au compteur)","OK"))))))))))))))))))</f>
        <v/>
      </c>
      <c r="S1427" s="67">
        <f>IF(AND(ISNUMBER(B1427),N(B1427)&gt;0),INT(B1427),0)</f>
        <v>0.0</v>
      </c>
      <c r="T1427" s="67">
        <f>IF(AND(ISNUMBER(J1427),N(J1427)&gt;=0),N(J1427),0)</f>
        <v>0.0</v>
      </c>
      <c r="U1427" s="67">
        <f>IF(AND(ISNUMBER(K1427),N(K1427)&gt;0),N(K1427),0)</f>
        <v>0.0</v>
      </c>
      <c r="V1427" s="67">
        <f>IF(AND(ISNUMBER(L1427),N(L1427)&gt;0),N(L1427),0)</f>
        <v>0.0</v>
      </c>
      <c r="W1427" s="67">
        <f>IF(AND(I1427="Terminée",S1427&gt;0,C1427&lt;&gt;"",ISNUMBER(MATCH(C1427,eq_code,0))),1,0)</f>
        <v>0.0</v>
      </c>
      <c r="X1427" s="67">
        <f>IF(AND(W1427=1,E1427="Préventif"),1,0)</f>
        <v>0.0</v>
      </c>
      <c r="Y1427" s="67">
        <f>IF(AND(ISNUMBER(N1427),N(N1427)&gt;0),N(N1427),0)</f>
        <v>0.0</v>
      </c>
      <c r="Z1427" s="67">
        <f>IF(AND(ISNUMBER(P1427),N(P1427)&gt;0),N(P1427),0)</f>
        <v>0.0</v>
      </c>
    </row>
    <row r="1428">
      <c r="A1428" s="79" t="str">
        <f>IF(COUNTA(B1428:C1428,E1428:G1428,I1428)=0,"","BI-"&amp;RIGHT("0000"&amp;(ROW()-5),4))</f>
        <v/>
      </c>
      <c r="B1428" s="72" t="n"/>
      <c r="C1428" s="66" t="n"/>
      <c r="D1428" s="67" t="str">
        <f>IF(C1428="","",IFERROR(INDEX(eq_des,MATCH(C1428,eq_code,0))&amp;"","Équipement inconnu"))</f>
        <v/>
      </c>
      <c r="E1428" s="68" t="n"/>
      <c r="F1428" s="68" t="n"/>
      <c r="G1428" s="66" t="n"/>
      <c r="H1428" s="66" t="n"/>
      <c r="I1428" s="68" t="n"/>
      <c r="J1428" s="73" t="n"/>
      <c r="K1428" s="71" t="n"/>
      <c r="L1428" s="71" t="n"/>
      <c r="M1428" s="66" t="n"/>
      <c r="N1428" s="80" t="n"/>
      <c r="O1428" s="81" t="str">
        <f>IF(A1428="","",ROUND(V1428*IFERROR(N(INDEX(tech_rate,MATCH(M1428,tech_name,0))),0),2))</f>
        <v/>
      </c>
      <c r="P1428" s="80" t="n"/>
      <c r="Q1428" s="81" t="str">
        <f>IF(A1428="","",ROUND(Y1428+O1428+Z1428,2))</f>
        <v/>
      </c>
      <c r="R1428" s="79" t="str">
        <f>IF(A1428="","",IF(S1428=0,"Date manquante ou invalide",IF(C1428="","Équipement manquant",IF(ISNA(MATCH(C1428,eq_code,0)),"Équipement inconnu",IF(E1428="","Type manquant",IF(AND(E1428&lt;&gt;"Préventif",E1428&lt;&gt;"Correctif",E1428&lt;&gt;"Amélioratif"),"Type inconnu",IF(I1428="","Statut manquant",IF(AND(I1428&lt;&gt;"Terminée",I1428&lt;&gt;"En cours",I1428&lt;&gt;"À faire",I1428&lt;&gt;"Annulée"),"Statut inconnu",IF(AND(E1428="Préventif",F1428=""),"Plan manquant (préventif)",IF(AND(F1428&lt;&gt;"",ISNA(MATCH(F1428,pl_num,0))),"Plan inconnu",IF(AND(F1428&lt;&gt;"",IFERROR(INDEX(pl_eq,MATCH(F1428,pl_num,0))&amp;"",C1428)&lt;&gt;C1428),"Plan d'un autre équipement",IF(AND(J1428&lt;&gt;"",OR(NOT(ISNUMBER(J1428)),N(J1428)&lt;0)),"Compteur invalide",IF(OR(AND(K1428&lt;&gt;"",OR(NOT(ISNUMBER(K1428)),N(K1428)&lt;0)),AND(L1428&lt;&gt;"",OR(NOT(ISNUMBER(L1428)),N(L1428)&lt;0))),"Durée invalide",IF(OR(AND(N1428&lt;&gt;"",OR(NOT(ISNUMBER(N1428)),N(N1428)&lt;0)),AND(P1428&lt;&gt;"",OR(NOT(ISNUMBER(P1428)),N(P1428)&lt;0))),"Coût invalide",IF(AND(M1428&lt;&gt;"",ISNA(MATCH(M1428,tech_name,0))),"Technicien inconnu",IF(AND(I1428="Terminée",S1428&gt;p_today),"Terminée à une date future",IF(AND(I1428="Terminée",V1428=0),"Durée d'intervention manquante",IF(AND(I1428="Terminée",E1428="Préventif",T1428=0,OR(IFERROR(INDEX(pl_trig,MATCH(F1428,pl_num,0))&amp;"","")="Compteur",IFERROR(INDEX(pl_trig,MATCH(F1428,pl_num,0))&amp;"","")="Au premier des deux")),"Compteur manquant (plan au compteur)","OK"))))))))))))))))))</f>
        <v/>
      </c>
      <c r="S1428" s="67">
        <f>IF(AND(ISNUMBER(B1428),N(B1428)&gt;0),INT(B1428),0)</f>
        <v>0.0</v>
      </c>
      <c r="T1428" s="67">
        <f>IF(AND(ISNUMBER(J1428),N(J1428)&gt;=0),N(J1428),0)</f>
        <v>0.0</v>
      </c>
      <c r="U1428" s="67">
        <f>IF(AND(ISNUMBER(K1428),N(K1428)&gt;0),N(K1428),0)</f>
        <v>0.0</v>
      </c>
      <c r="V1428" s="67">
        <f>IF(AND(ISNUMBER(L1428),N(L1428)&gt;0),N(L1428),0)</f>
        <v>0.0</v>
      </c>
      <c r="W1428" s="67">
        <f>IF(AND(I1428="Terminée",S1428&gt;0,C1428&lt;&gt;"",ISNUMBER(MATCH(C1428,eq_code,0))),1,0)</f>
        <v>0.0</v>
      </c>
      <c r="X1428" s="67">
        <f>IF(AND(W1428=1,E1428="Préventif"),1,0)</f>
        <v>0.0</v>
      </c>
      <c r="Y1428" s="67">
        <f>IF(AND(ISNUMBER(N1428),N(N1428)&gt;0),N(N1428),0)</f>
        <v>0.0</v>
      </c>
      <c r="Z1428" s="67">
        <f>IF(AND(ISNUMBER(P1428),N(P1428)&gt;0),N(P1428),0)</f>
        <v>0.0</v>
      </c>
    </row>
    <row r="1429">
      <c r="A1429" s="79" t="str">
        <f>IF(COUNTA(B1429:C1429,E1429:G1429,I1429)=0,"","BI-"&amp;RIGHT("0000"&amp;(ROW()-5),4))</f>
        <v/>
      </c>
      <c r="B1429" s="72" t="n"/>
      <c r="C1429" s="66" t="n"/>
      <c r="D1429" s="67" t="str">
        <f>IF(C1429="","",IFERROR(INDEX(eq_des,MATCH(C1429,eq_code,0))&amp;"","Équipement inconnu"))</f>
        <v/>
      </c>
      <c r="E1429" s="68" t="n"/>
      <c r="F1429" s="68" t="n"/>
      <c r="G1429" s="66" t="n"/>
      <c r="H1429" s="66" t="n"/>
      <c r="I1429" s="68" t="n"/>
      <c r="J1429" s="73" t="n"/>
      <c r="K1429" s="71" t="n"/>
      <c r="L1429" s="71" t="n"/>
      <c r="M1429" s="66" t="n"/>
      <c r="N1429" s="80" t="n"/>
      <c r="O1429" s="81" t="str">
        <f>IF(A1429="","",ROUND(V1429*IFERROR(N(INDEX(tech_rate,MATCH(M1429,tech_name,0))),0),2))</f>
        <v/>
      </c>
      <c r="P1429" s="80" t="n"/>
      <c r="Q1429" s="81" t="str">
        <f>IF(A1429="","",ROUND(Y1429+O1429+Z1429,2))</f>
        <v/>
      </c>
      <c r="R1429" s="79" t="str">
        <f>IF(A1429="","",IF(S1429=0,"Date manquante ou invalide",IF(C1429="","Équipement manquant",IF(ISNA(MATCH(C1429,eq_code,0)),"Équipement inconnu",IF(E1429="","Type manquant",IF(AND(E1429&lt;&gt;"Préventif",E1429&lt;&gt;"Correctif",E1429&lt;&gt;"Amélioratif"),"Type inconnu",IF(I1429="","Statut manquant",IF(AND(I1429&lt;&gt;"Terminée",I1429&lt;&gt;"En cours",I1429&lt;&gt;"À faire",I1429&lt;&gt;"Annulée"),"Statut inconnu",IF(AND(E1429="Préventif",F1429=""),"Plan manquant (préventif)",IF(AND(F1429&lt;&gt;"",ISNA(MATCH(F1429,pl_num,0))),"Plan inconnu",IF(AND(F1429&lt;&gt;"",IFERROR(INDEX(pl_eq,MATCH(F1429,pl_num,0))&amp;"",C1429)&lt;&gt;C1429),"Plan d'un autre équipement",IF(AND(J1429&lt;&gt;"",OR(NOT(ISNUMBER(J1429)),N(J1429)&lt;0)),"Compteur invalide",IF(OR(AND(K1429&lt;&gt;"",OR(NOT(ISNUMBER(K1429)),N(K1429)&lt;0)),AND(L1429&lt;&gt;"",OR(NOT(ISNUMBER(L1429)),N(L1429)&lt;0))),"Durée invalide",IF(OR(AND(N1429&lt;&gt;"",OR(NOT(ISNUMBER(N1429)),N(N1429)&lt;0)),AND(P1429&lt;&gt;"",OR(NOT(ISNUMBER(P1429)),N(P1429)&lt;0))),"Coût invalide",IF(AND(M1429&lt;&gt;"",ISNA(MATCH(M1429,tech_name,0))),"Technicien inconnu",IF(AND(I1429="Terminée",S1429&gt;p_today),"Terminée à une date future",IF(AND(I1429="Terminée",V1429=0),"Durée d'intervention manquante",IF(AND(I1429="Terminée",E1429="Préventif",T1429=0,OR(IFERROR(INDEX(pl_trig,MATCH(F1429,pl_num,0))&amp;"","")="Compteur",IFERROR(INDEX(pl_trig,MATCH(F1429,pl_num,0))&amp;"","")="Au premier des deux")),"Compteur manquant (plan au compteur)","OK"))))))))))))))))))</f>
        <v/>
      </c>
      <c r="S1429" s="67">
        <f>IF(AND(ISNUMBER(B1429),N(B1429)&gt;0),INT(B1429),0)</f>
        <v>0.0</v>
      </c>
      <c r="T1429" s="67">
        <f>IF(AND(ISNUMBER(J1429),N(J1429)&gt;=0),N(J1429),0)</f>
        <v>0.0</v>
      </c>
      <c r="U1429" s="67">
        <f>IF(AND(ISNUMBER(K1429),N(K1429)&gt;0),N(K1429),0)</f>
        <v>0.0</v>
      </c>
      <c r="V1429" s="67">
        <f>IF(AND(ISNUMBER(L1429),N(L1429)&gt;0),N(L1429),0)</f>
        <v>0.0</v>
      </c>
      <c r="W1429" s="67">
        <f>IF(AND(I1429="Terminée",S1429&gt;0,C1429&lt;&gt;"",ISNUMBER(MATCH(C1429,eq_code,0))),1,0)</f>
        <v>0.0</v>
      </c>
      <c r="X1429" s="67">
        <f>IF(AND(W1429=1,E1429="Préventif"),1,0)</f>
        <v>0.0</v>
      </c>
      <c r="Y1429" s="67">
        <f>IF(AND(ISNUMBER(N1429),N(N1429)&gt;0),N(N1429),0)</f>
        <v>0.0</v>
      </c>
      <c r="Z1429" s="67">
        <f>IF(AND(ISNUMBER(P1429),N(P1429)&gt;0),N(P1429),0)</f>
        <v>0.0</v>
      </c>
    </row>
    <row r="1430">
      <c r="A1430" s="79" t="str">
        <f>IF(COUNTA(B1430:C1430,E1430:G1430,I1430)=0,"","BI-"&amp;RIGHT("0000"&amp;(ROW()-5),4))</f>
        <v/>
      </c>
      <c r="B1430" s="72" t="n"/>
      <c r="C1430" s="66" t="n"/>
      <c r="D1430" s="67" t="str">
        <f>IF(C1430="","",IFERROR(INDEX(eq_des,MATCH(C1430,eq_code,0))&amp;"","Équipement inconnu"))</f>
        <v/>
      </c>
      <c r="E1430" s="68" t="n"/>
      <c r="F1430" s="68" t="n"/>
      <c r="G1430" s="66" t="n"/>
      <c r="H1430" s="66" t="n"/>
      <c r="I1430" s="68" t="n"/>
      <c r="J1430" s="73" t="n"/>
      <c r="K1430" s="71" t="n"/>
      <c r="L1430" s="71" t="n"/>
      <c r="M1430" s="66" t="n"/>
      <c r="N1430" s="80" t="n"/>
      <c r="O1430" s="81" t="str">
        <f>IF(A1430="","",ROUND(V1430*IFERROR(N(INDEX(tech_rate,MATCH(M1430,tech_name,0))),0),2))</f>
        <v/>
      </c>
      <c r="P1430" s="80" t="n"/>
      <c r="Q1430" s="81" t="str">
        <f>IF(A1430="","",ROUND(Y1430+O1430+Z1430,2))</f>
        <v/>
      </c>
      <c r="R1430" s="79" t="str">
        <f>IF(A1430="","",IF(S1430=0,"Date manquante ou invalide",IF(C1430="","Équipement manquant",IF(ISNA(MATCH(C1430,eq_code,0)),"Équipement inconnu",IF(E1430="","Type manquant",IF(AND(E1430&lt;&gt;"Préventif",E1430&lt;&gt;"Correctif",E1430&lt;&gt;"Amélioratif"),"Type inconnu",IF(I1430="","Statut manquant",IF(AND(I1430&lt;&gt;"Terminée",I1430&lt;&gt;"En cours",I1430&lt;&gt;"À faire",I1430&lt;&gt;"Annulée"),"Statut inconnu",IF(AND(E1430="Préventif",F1430=""),"Plan manquant (préventif)",IF(AND(F1430&lt;&gt;"",ISNA(MATCH(F1430,pl_num,0))),"Plan inconnu",IF(AND(F1430&lt;&gt;"",IFERROR(INDEX(pl_eq,MATCH(F1430,pl_num,0))&amp;"",C1430)&lt;&gt;C1430),"Plan d'un autre équipement",IF(AND(J1430&lt;&gt;"",OR(NOT(ISNUMBER(J1430)),N(J1430)&lt;0)),"Compteur invalide",IF(OR(AND(K1430&lt;&gt;"",OR(NOT(ISNUMBER(K1430)),N(K1430)&lt;0)),AND(L1430&lt;&gt;"",OR(NOT(ISNUMBER(L1430)),N(L1430)&lt;0))),"Durée invalide",IF(OR(AND(N1430&lt;&gt;"",OR(NOT(ISNUMBER(N1430)),N(N1430)&lt;0)),AND(P1430&lt;&gt;"",OR(NOT(ISNUMBER(P1430)),N(P1430)&lt;0))),"Coût invalide",IF(AND(M1430&lt;&gt;"",ISNA(MATCH(M1430,tech_name,0))),"Technicien inconnu",IF(AND(I1430="Terminée",S1430&gt;p_today),"Terminée à une date future",IF(AND(I1430="Terminée",V1430=0),"Durée d'intervention manquante",IF(AND(I1430="Terminée",E1430="Préventif",T1430=0,OR(IFERROR(INDEX(pl_trig,MATCH(F1430,pl_num,0))&amp;"","")="Compteur",IFERROR(INDEX(pl_trig,MATCH(F1430,pl_num,0))&amp;"","")="Au premier des deux")),"Compteur manquant (plan au compteur)","OK"))))))))))))))))))</f>
        <v/>
      </c>
      <c r="S1430" s="67">
        <f>IF(AND(ISNUMBER(B1430),N(B1430)&gt;0),INT(B1430),0)</f>
        <v>0.0</v>
      </c>
      <c r="T1430" s="67">
        <f>IF(AND(ISNUMBER(J1430),N(J1430)&gt;=0),N(J1430),0)</f>
        <v>0.0</v>
      </c>
      <c r="U1430" s="67">
        <f>IF(AND(ISNUMBER(K1430),N(K1430)&gt;0),N(K1430),0)</f>
        <v>0.0</v>
      </c>
      <c r="V1430" s="67">
        <f>IF(AND(ISNUMBER(L1430),N(L1430)&gt;0),N(L1430),0)</f>
        <v>0.0</v>
      </c>
      <c r="W1430" s="67">
        <f>IF(AND(I1430="Terminée",S1430&gt;0,C1430&lt;&gt;"",ISNUMBER(MATCH(C1430,eq_code,0))),1,0)</f>
        <v>0.0</v>
      </c>
      <c r="X1430" s="67">
        <f>IF(AND(W1430=1,E1430="Préventif"),1,0)</f>
        <v>0.0</v>
      </c>
      <c r="Y1430" s="67">
        <f>IF(AND(ISNUMBER(N1430),N(N1430)&gt;0),N(N1430),0)</f>
        <v>0.0</v>
      </c>
      <c r="Z1430" s="67">
        <f>IF(AND(ISNUMBER(P1430),N(P1430)&gt;0),N(P1430),0)</f>
        <v>0.0</v>
      </c>
    </row>
    <row r="1431">
      <c r="A1431" s="79" t="str">
        <f>IF(COUNTA(B1431:C1431,E1431:G1431,I1431)=0,"","BI-"&amp;RIGHT("0000"&amp;(ROW()-5),4))</f>
        <v/>
      </c>
      <c r="B1431" s="72" t="n"/>
      <c r="C1431" s="66" t="n"/>
      <c r="D1431" s="67" t="str">
        <f>IF(C1431="","",IFERROR(INDEX(eq_des,MATCH(C1431,eq_code,0))&amp;"","Équipement inconnu"))</f>
        <v/>
      </c>
      <c r="E1431" s="68" t="n"/>
      <c r="F1431" s="68" t="n"/>
      <c r="G1431" s="66" t="n"/>
      <c r="H1431" s="66" t="n"/>
      <c r="I1431" s="68" t="n"/>
      <c r="J1431" s="73" t="n"/>
      <c r="K1431" s="71" t="n"/>
      <c r="L1431" s="71" t="n"/>
      <c r="M1431" s="66" t="n"/>
      <c r="N1431" s="80" t="n"/>
      <c r="O1431" s="81" t="str">
        <f>IF(A1431="","",ROUND(V1431*IFERROR(N(INDEX(tech_rate,MATCH(M1431,tech_name,0))),0),2))</f>
        <v/>
      </c>
      <c r="P1431" s="80" t="n"/>
      <c r="Q1431" s="81" t="str">
        <f>IF(A1431="","",ROUND(Y1431+O1431+Z1431,2))</f>
        <v/>
      </c>
      <c r="R1431" s="79" t="str">
        <f>IF(A1431="","",IF(S1431=0,"Date manquante ou invalide",IF(C1431="","Équipement manquant",IF(ISNA(MATCH(C1431,eq_code,0)),"Équipement inconnu",IF(E1431="","Type manquant",IF(AND(E1431&lt;&gt;"Préventif",E1431&lt;&gt;"Correctif",E1431&lt;&gt;"Amélioratif"),"Type inconnu",IF(I1431="","Statut manquant",IF(AND(I1431&lt;&gt;"Terminée",I1431&lt;&gt;"En cours",I1431&lt;&gt;"À faire",I1431&lt;&gt;"Annulée"),"Statut inconnu",IF(AND(E1431="Préventif",F1431=""),"Plan manquant (préventif)",IF(AND(F1431&lt;&gt;"",ISNA(MATCH(F1431,pl_num,0))),"Plan inconnu",IF(AND(F1431&lt;&gt;"",IFERROR(INDEX(pl_eq,MATCH(F1431,pl_num,0))&amp;"",C1431)&lt;&gt;C1431),"Plan d'un autre équipement",IF(AND(J1431&lt;&gt;"",OR(NOT(ISNUMBER(J1431)),N(J1431)&lt;0)),"Compteur invalide",IF(OR(AND(K1431&lt;&gt;"",OR(NOT(ISNUMBER(K1431)),N(K1431)&lt;0)),AND(L1431&lt;&gt;"",OR(NOT(ISNUMBER(L1431)),N(L1431)&lt;0))),"Durée invalide",IF(OR(AND(N1431&lt;&gt;"",OR(NOT(ISNUMBER(N1431)),N(N1431)&lt;0)),AND(P1431&lt;&gt;"",OR(NOT(ISNUMBER(P1431)),N(P1431)&lt;0))),"Coût invalide",IF(AND(M1431&lt;&gt;"",ISNA(MATCH(M1431,tech_name,0))),"Technicien inconnu",IF(AND(I1431="Terminée",S1431&gt;p_today),"Terminée à une date future",IF(AND(I1431="Terminée",V1431=0),"Durée d'intervention manquante",IF(AND(I1431="Terminée",E1431="Préventif",T1431=0,OR(IFERROR(INDEX(pl_trig,MATCH(F1431,pl_num,0))&amp;"","")="Compteur",IFERROR(INDEX(pl_trig,MATCH(F1431,pl_num,0))&amp;"","")="Au premier des deux")),"Compteur manquant (plan au compteur)","OK"))))))))))))))))))</f>
        <v/>
      </c>
      <c r="S1431" s="67">
        <f>IF(AND(ISNUMBER(B1431),N(B1431)&gt;0),INT(B1431),0)</f>
        <v>0.0</v>
      </c>
      <c r="T1431" s="67">
        <f>IF(AND(ISNUMBER(J1431),N(J1431)&gt;=0),N(J1431),0)</f>
        <v>0.0</v>
      </c>
      <c r="U1431" s="67">
        <f>IF(AND(ISNUMBER(K1431),N(K1431)&gt;0),N(K1431),0)</f>
        <v>0.0</v>
      </c>
      <c r="V1431" s="67">
        <f>IF(AND(ISNUMBER(L1431),N(L1431)&gt;0),N(L1431),0)</f>
        <v>0.0</v>
      </c>
      <c r="W1431" s="67">
        <f>IF(AND(I1431="Terminée",S1431&gt;0,C1431&lt;&gt;"",ISNUMBER(MATCH(C1431,eq_code,0))),1,0)</f>
        <v>0.0</v>
      </c>
      <c r="X1431" s="67">
        <f>IF(AND(W1431=1,E1431="Préventif"),1,0)</f>
        <v>0.0</v>
      </c>
      <c r="Y1431" s="67">
        <f>IF(AND(ISNUMBER(N1431),N(N1431)&gt;0),N(N1431),0)</f>
        <v>0.0</v>
      </c>
      <c r="Z1431" s="67">
        <f>IF(AND(ISNUMBER(P1431),N(P1431)&gt;0),N(P1431),0)</f>
        <v>0.0</v>
      </c>
    </row>
    <row r="1432">
      <c r="A1432" s="79" t="str">
        <f>IF(COUNTA(B1432:C1432,E1432:G1432,I1432)=0,"","BI-"&amp;RIGHT("0000"&amp;(ROW()-5),4))</f>
        <v/>
      </c>
      <c r="B1432" s="72" t="n"/>
      <c r="C1432" s="66" t="n"/>
      <c r="D1432" s="67" t="str">
        <f>IF(C1432="","",IFERROR(INDEX(eq_des,MATCH(C1432,eq_code,0))&amp;"","Équipement inconnu"))</f>
        <v/>
      </c>
      <c r="E1432" s="68" t="n"/>
      <c r="F1432" s="68" t="n"/>
      <c r="G1432" s="66" t="n"/>
      <c r="H1432" s="66" t="n"/>
      <c r="I1432" s="68" t="n"/>
      <c r="J1432" s="73" t="n"/>
      <c r="K1432" s="71" t="n"/>
      <c r="L1432" s="71" t="n"/>
      <c r="M1432" s="66" t="n"/>
      <c r="N1432" s="80" t="n"/>
      <c r="O1432" s="81" t="str">
        <f>IF(A1432="","",ROUND(V1432*IFERROR(N(INDEX(tech_rate,MATCH(M1432,tech_name,0))),0),2))</f>
        <v/>
      </c>
      <c r="P1432" s="80" t="n"/>
      <c r="Q1432" s="81" t="str">
        <f>IF(A1432="","",ROUND(Y1432+O1432+Z1432,2))</f>
        <v/>
      </c>
      <c r="R1432" s="79" t="str">
        <f>IF(A1432="","",IF(S1432=0,"Date manquante ou invalide",IF(C1432="","Équipement manquant",IF(ISNA(MATCH(C1432,eq_code,0)),"Équipement inconnu",IF(E1432="","Type manquant",IF(AND(E1432&lt;&gt;"Préventif",E1432&lt;&gt;"Correctif",E1432&lt;&gt;"Amélioratif"),"Type inconnu",IF(I1432="","Statut manquant",IF(AND(I1432&lt;&gt;"Terminée",I1432&lt;&gt;"En cours",I1432&lt;&gt;"À faire",I1432&lt;&gt;"Annulée"),"Statut inconnu",IF(AND(E1432="Préventif",F1432=""),"Plan manquant (préventif)",IF(AND(F1432&lt;&gt;"",ISNA(MATCH(F1432,pl_num,0))),"Plan inconnu",IF(AND(F1432&lt;&gt;"",IFERROR(INDEX(pl_eq,MATCH(F1432,pl_num,0))&amp;"",C1432)&lt;&gt;C1432),"Plan d'un autre équipement",IF(AND(J1432&lt;&gt;"",OR(NOT(ISNUMBER(J1432)),N(J1432)&lt;0)),"Compteur invalide",IF(OR(AND(K1432&lt;&gt;"",OR(NOT(ISNUMBER(K1432)),N(K1432)&lt;0)),AND(L1432&lt;&gt;"",OR(NOT(ISNUMBER(L1432)),N(L1432)&lt;0))),"Durée invalide",IF(OR(AND(N1432&lt;&gt;"",OR(NOT(ISNUMBER(N1432)),N(N1432)&lt;0)),AND(P1432&lt;&gt;"",OR(NOT(ISNUMBER(P1432)),N(P1432)&lt;0))),"Coût invalide",IF(AND(M1432&lt;&gt;"",ISNA(MATCH(M1432,tech_name,0))),"Technicien inconnu",IF(AND(I1432="Terminée",S1432&gt;p_today),"Terminée à une date future",IF(AND(I1432="Terminée",V1432=0),"Durée d'intervention manquante",IF(AND(I1432="Terminée",E1432="Préventif",T1432=0,OR(IFERROR(INDEX(pl_trig,MATCH(F1432,pl_num,0))&amp;"","")="Compteur",IFERROR(INDEX(pl_trig,MATCH(F1432,pl_num,0))&amp;"","")="Au premier des deux")),"Compteur manquant (plan au compteur)","OK"))))))))))))))))))</f>
        <v/>
      </c>
      <c r="S1432" s="67">
        <f>IF(AND(ISNUMBER(B1432),N(B1432)&gt;0),INT(B1432),0)</f>
        <v>0.0</v>
      </c>
      <c r="T1432" s="67">
        <f>IF(AND(ISNUMBER(J1432),N(J1432)&gt;=0),N(J1432),0)</f>
        <v>0.0</v>
      </c>
      <c r="U1432" s="67">
        <f>IF(AND(ISNUMBER(K1432),N(K1432)&gt;0),N(K1432),0)</f>
        <v>0.0</v>
      </c>
      <c r="V1432" s="67">
        <f>IF(AND(ISNUMBER(L1432),N(L1432)&gt;0),N(L1432),0)</f>
        <v>0.0</v>
      </c>
      <c r="W1432" s="67">
        <f>IF(AND(I1432="Terminée",S1432&gt;0,C1432&lt;&gt;"",ISNUMBER(MATCH(C1432,eq_code,0))),1,0)</f>
        <v>0.0</v>
      </c>
      <c r="X1432" s="67">
        <f>IF(AND(W1432=1,E1432="Préventif"),1,0)</f>
        <v>0.0</v>
      </c>
      <c r="Y1432" s="67">
        <f>IF(AND(ISNUMBER(N1432),N(N1432)&gt;0),N(N1432),0)</f>
        <v>0.0</v>
      </c>
      <c r="Z1432" s="67">
        <f>IF(AND(ISNUMBER(P1432),N(P1432)&gt;0),N(P1432),0)</f>
        <v>0.0</v>
      </c>
    </row>
    <row r="1433">
      <c r="A1433" s="79" t="str">
        <f>IF(COUNTA(B1433:C1433,E1433:G1433,I1433)=0,"","BI-"&amp;RIGHT("0000"&amp;(ROW()-5),4))</f>
        <v/>
      </c>
      <c r="B1433" s="72" t="n"/>
      <c r="C1433" s="66" t="n"/>
      <c r="D1433" s="67" t="str">
        <f>IF(C1433="","",IFERROR(INDEX(eq_des,MATCH(C1433,eq_code,0))&amp;"","Équipement inconnu"))</f>
        <v/>
      </c>
      <c r="E1433" s="68" t="n"/>
      <c r="F1433" s="68" t="n"/>
      <c r="G1433" s="66" t="n"/>
      <c r="H1433" s="66" t="n"/>
      <c r="I1433" s="68" t="n"/>
      <c r="J1433" s="73" t="n"/>
      <c r="K1433" s="71" t="n"/>
      <c r="L1433" s="71" t="n"/>
      <c r="M1433" s="66" t="n"/>
      <c r="N1433" s="80" t="n"/>
      <c r="O1433" s="81" t="str">
        <f>IF(A1433="","",ROUND(V1433*IFERROR(N(INDEX(tech_rate,MATCH(M1433,tech_name,0))),0),2))</f>
        <v/>
      </c>
      <c r="P1433" s="80" t="n"/>
      <c r="Q1433" s="81" t="str">
        <f>IF(A1433="","",ROUND(Y1433+O1433+Z1433,2))</f>
        <v/>
      </c>
      <c r="R1433" s="79" t="str">
        <f>IF(A1433="","",IF(S1433=0,"Date manquante ou invalide",IF(C1433="","Équipement manquant",IF(ISNA(MATCH(C1433,eq_code,0)),"Équipement inconnu",IF(E1433="","Type manquant",IF(AND(E1433&lt;&gt;"Préventif",E1433&lt;&gt;"Correctif",E1433&lt;&gt;"Amélioratif"),"Type inconnu",IF(I1433="","Statut manquant",IF(AND(I1433&lt;&gt;"Terminée",I1433&lt;&gt;"En cours",I1433&lt;&gt;"À faire",I1433&lt;&gt;"Annulée"),"Statut inconnu",IF(AND(E1433="Préventif",F1433=""),"Plan manquant (préventif)",IF(AND(F1433&lt;&gt;"",ISNA(MATCH(F1433,pl_num,0))),"Plan inconnu",IF(AND(F1433&lt;&gt;"",IFERROR(INDEX(pl_eq,MATCH(F1433,pl_num,0))&amp;"",C1433)&lt;&gt;C1433),"Plan d'un autre équipement",IF(AND(J1433&lt;&gt;"",OR(NOT(ISNUMBER(J1433)),N(J1433)&lt;0)),"Compteur invalide",IF(OR(AND(K1433&lt;&gt;"",OR(NOT(ISNUMBER(K1433)),N(K1433)&lt;0)),AND(L1433&lt;&gt;"",OR(NOT(ISNUMBER(L1433)),N(L1433)&lt;0))),"Durée invalide",IF(OR(AND(N1433&lt;&gt;"",OR(NOT(ISNUMBER(N1433)),N(N1433)&lt;0)),AND(P1433&lt;&gt;"",OR(NOT(ISNUMBER(P1433)),N(P1433)&lt;0))),"Coût invalide",IF(AND(M1433&lt;&gt;"",ISNA(MATCH(M1433,tech_name,0))),"Technicien inconnu",IF(AND(I1433="Terminée",S1433&gt;p_today),"Terminée à une date future",IF(AND(I1433="Terminée",V1433=0),"Durée d'intervention manquante",IF(AND(I1433="Terminée",E1433="Préventif",T1433=0,OR(IFERROR(INDEX(pl_trig,MATCH(F1433,pl_num,0))&amp;"","")="Compteur",IFERROR(INDEX(pl_trig,MATCH(F1433,pl_num,0))&amp;"","")="Au premier des deux")),"Compteur manquant (plan au compteur)","OK"))))))))))))))))))</f>
        <v/>
      </c>
      <c r="S1433" s="67">
        <f>IF(AND(ISNUMBER(B1433),N(B1433)&gt;0),INT(B1433),0)</f>
        <v>0.0</v>
      </c>
      <c r="T1433" s="67">
        <f>IF(AND(ISNUMBER(J1433),N(J1433)&gt;=0),N(J1433),0)</f>
        <v>0.0</v>
      </c>
      <c r="U1433" s="67">
        <f>IF(AND(ISNUMBER(K1433),N(K1433)&gt;0),N(K1433),0)</f>
        <v>0.0</v>
      </c>
      <c r="V1433" s="67">
        <f>IF(AND(ISNUMBER(L1433),N(L1433)&gt;0),N(L1433),0)</f>
        <v>0.0</v>
      </c>
      <c r="W1433" s="67">
        <f>IF(AND(I1433="Terminée",S1433&gt;0,C1433&lt;&gt;"",ISNUMBER(MATCH(C1433,eq_code,0))),1,0)</f>
        <v>0.0</v>
      </c>
      <c r="X1433" s="67">
        <f>IF(AND(W1433=1,E1433="Préventif"),1,0)</f>
        <v>0.0</v>
      </c>
      <c r="Y1433" s="67">
        <f>IF(AND(ISNUMBER(N1433),N(N1433)&gt;0),N(N1433),0)</f>
        <v>0.0</v>
      </c>
      <c r="Z1433" s="67">
        <f>IF(AND(ISNUMBER(P1433),N(P1433)&gt;0),N(P1433),0)</f>
        <v>0.0</v>
      </c>
    </row>
    <row r="1434">
      <c r="A1434" s="79" t="str">
        <f>IF(COUNTA(B1434:C1434,E1434:G1434,I1434)=0,"","BI-"&amp;RIGHT("0000"&amp;(ROW()-5),4))</f>
        <v/>
      </c>
      <c r="B1434" s="72" t="n"/>
      <c r="C1434" s="66" t="n"/>
      <c r="D1434" s="67" t="str">
        <f>IF(C1434="","",IFERROR(INDEX(eq_des,MATCH(C1434,eq_code,0))&amp;"","Équipement inconnu"))</f>
        <v/>
      </c>
      <c r="E1434" s="68" t="n"/>
      <c r="F1434" s="68" t="n"/>
      <c r="G1434" s="66" t="n"/>
      <c r="H1434" s="66" t="n"/>
      <c r="I1434" s="68" t="n"/>
      <c r="J1434" s="73" t="n"/>
      <c r="K1434" s="71" t="n"/>
      <c r="L1434" s="71" t="n"/>
      <c r="M1434" s="66" t="n"/>
      <c r="N1434" s="80" t="n"/>
      <c r="O1434" s="81" t="str">
        <f>IF(A1434="","",ROUND(V1434*IFERROR(N(INDEX(tech_rate,MATCH(M1434,tech_name,0))),0),2))</f>
        <v/>
      </c>
      <c r="P1434" s="80" t="n"/>
      <c r="Q1434" s="81" t="str">
        <f>IF(A1434="","",ROUND(Y1434+O1434+Z1434,2))</f>
        <v/>
      </c>
      <c r="R1434" s="79" t="str">
        <f>IF(A1434="","",IF(S1434=0,"Date manquante ou invalide",IF(C1434="","Équipement manquant",IF(ISNA(MATCH(C1434,eq_code,0)),"Équipement inconnu",IF(E1434="","Type manquant",IF(AND(E1434&lt;&gt;"Préventif",E1434&lt;&gt;"Correctif",E1434&lt;&gt;"Amélioratif"),"Type inconnu",IF(I1434="","Statut manquant",IF(AND(I1434&lt;&gt;"Terminée",I1434&lt;&gt;"En cours",I1434&lt;&gt;"À faire",I1434&lt;&gt;"Annulée"),"Statut inconnu",IF(AND(E1434="Préventif",F1434=""),"Plan manquant (préventif)",IF(AND(F1434&lt;&gt;"",ISNA(MATCH(F1434,pl_num,0))),"Plan inconnu",IF(AND(F1434&lt;&gt;"",IFERROR(INDEX(pl_eq,MATCH(F1434,pl_num,0))&amp;"",C1434)&lt;&gt;C1434),"Plan d'un autre équipement",IF(AND(J1434&lt;&gt;"",OR(NOT(ISNUMBER(J1434)),N(J1434)&lt;0)),"Compteur invalide",IF(OR(AND(K1434&lt;&gt;"",OR(NOT(ISNUMBER(K1434)),N(K1434)&lt;0)),AND(L1434&lt;&gt;"",OR(NOT(ISNUMBER(L1434)),N(L1434)&lt;0))),"Durée invalide",IF(OR(AND(N1434&lt;&gt;"",OR(NOT(ISNUMBER(N1434)),N(N1434)&lt;0)),AND(P1434&lt;&gt;"",OR(NOT(ISNUMBER(P1434)),N(P1434)&lt;0))),"Coût invalide",IF(AND(M1434&lt;&gt;"",ISNA(MATCH(M1434,tech_name,0))),"Technicien inconnu",IF(AND(I1434="Terminée",S1434&gt;p_today),"Terminée à une date future",IF(AND(I1434="Terminée",V1434=0),"Durée d'intervention manquante",IF(AND(I1434="Terminée",E1434="Préventif",T1434=0,OR(IFERROR(INDEX(pl_trig,MATCH(F1434,pl_num,0))&amp;"","")="Compteur",IFERROR(INDEX(pl_trig,MATCH(F1434,pl_num,0))&amp;"","")="Au premier des deux")),"Compteur manquant (plan au compteur)","OK"))))))))))))))))))</f>
        <v/>
      </c>
      <c r="S1434" s="67">
        <f>IF(AND(ISNUMBER(B1434),N(B1434)&gt;0),INT(B1434),0)</f>
        <v>0.0</v>
      </c>
      <c r="T1434" s="67">
        <f>IF(AND(ISNUMBER(J1434),N(J1434)&gt;=0),N(J1434),0)</f>
        <v>0.0</v>
      </c>
      <c r="U1434" s="67">
        <f>IF(AND(ISNUMBER(K1434),N(K1434)&gt;0),N(K1434),0)</f>
        <v>0.0</v>
      </c>
      <c r="V1434" s="67">
        <f>IF(AND(ISNUMBER(L1434),N(L1434)&gt;0),N(L1434),0)</f>
        <v>0.0</v>
      </c>
      <c r="W1434" s="67">
        <f>IF(AND(I1434="Terminée",S1434&gt;0,C1434&lt;&gt;"",ISNUMBER(MATCH(C1434,eq_code,0))),1,0)</f>
        <v>0.0</v>
      </c>
      <c r="X1434" s="67">
        <f>IF(AND(W1434=1,E1434="Préventif"),1,0)</f>
        <v>0.0</v>
      </c>
      <c r="Y1434" s="67">
        <f>IF(AND(ISNUMBER(N1434),N(N1434)&gt;0),N(N1434),0)</f>
        <v>0.0</v>
      </c>
      <c r="Z1434" s="67">
        <f>IF(AND(ISNUMBER(P1434),N(P1434)&gt;0),N(P1434),0)</f>
        <v>0.0</v>
      </c>
    </row>
    <row r="1435">
      <c r="A1435" s="79" t="str">
        <f>IF(COUNTA(B1435:C1435,E1435:G1435,I1435)=0,"","BI-"&amp;RIGHT("0000"&amp;(ROW()-5),4))</f>
        <v/>
      </c>
      <c r="B1435" s="72" t="n"/>
      <c r="C1435" s="66" t="n"/>
      <c r="D1435" s="67" t="str">
        <f>IF(C1435="","",IFERROR(INDEX(eq_des,MATCH(C1435,eq_code,0))&amp;"","Équipement inconnu"))</f>
        <v/>
      </c>
      <c r="E1435" s="68" t="n"/>
      <c r="F1435" s="68" t="n"/>
      <c r="G1435" s="66" t="n"/>
      <c r="H1435" s="66" t="n"/>
      <c r="I1435" s="68" t="n"/>
      <c r="J1435" s="73" t="n"/>
      <c r="K1435" s="71" t="n"/>
      <c r="L1435" s="71" t="n"/>
      <c r="M1435" s="66" t="n"/>
      <c r="N1435" s="80" t="n"/>
      <c r="O1435" s="81" t="str">
        <f>IF(A1435="","",ROUND(V1435*IFERROR(N(INDEX(tech_rate,MATCH(M1435,tech_name,0))),0),2))</f>
        <v/>
      </c>
      <c r="P1435" s="80" t="n"/>
      <c r="Q1435" s="81" t="str">
        <f>IF(A1435="","",ROUND(Y1435+O1435+Z1435,2))</f>
        <v/>
      </c>
      <c r="R1435" s="79" t="str">
        <f>IF(A1435="","",IF(S1435=0,"Date manquante ou invalide",IF(C1435="","Équipement manquant",IF(ISNA(MATCH(C1435,eq_code,0)),"Équipement inconnu",IF(E1435="","Type manquant",IF(AND(E1435&lt;&gt;"Préventif",E1435&lt;&gt;"Correctif",E1435&lt;&gt;"Amélioratif"),"Type inconnu",IF(I1435="","Statut manquant",IF(AND(I1435&lt;&gt;"Terminée",I1435&lt;&gt;"En cours",I1435&lt;&gt;"À faire",I1435&lt;&gt;"Annulée"),"Statut inconnu",IF(AND(E1435="Préventif",F1435=""),"Plan manquant (préventif)",IF(AND(F1435&lt;&gt;"",ISNA(MATCH(F1435,pl_num,0))),"Plan inconnu",IF(AND(F1435&lt;&gt;"",IFERROR(INDEX(pl_eq,MATCH(F1435,pl_num,0))&amp;"",C1435)&lt;&gt;C1435),"Plan d'un autre équipement",IF(AND(J1435&lt;&gt;"",OR(NOT(ISNUMBER(J1435)),N(J1435)&lt;0)),"Compteur invalide",IF(OR(AND(K1435&lt;&gt;"",OR(NOT(ISNUMBER(K1435)),N(K1435)&lt;0)),AND(L1435&lt;&gt;"",OR(NOT(ISNUMBER(L1435)),N(L1435)&lt;0))),"Durée invalide",IF(OR(AND(N1435&lt;&gt;"",OR(NOT(ISNUMBER(N1435)),N(N1435)&lt;0)),AND(P1435&lt;&gt;"",OR(NOT(ISNUMBER(P1435)),N(P1435)&lt;0))),"Coût invalide",IF(AND(M1435&lt;&gt;"",ISNA(MATCH(M1435,tech_name,0))),"Technicien inconnu",IF(AND(I1435="Terminée",S1435&gt;p_today),"Terminée à une date future",IF(AND(I1435="Terminée",V1435=0),"Durée d'intervention manquante",IF(AND(I1435="Terminée",E1435="Préventif",T1435=0,OR(IFERROR(INDEX(pl_trig,MATCH(F1435,pl_num,0))&amp;"","")="Compteur",IFERROR(INDEX(pl_trig,MATCH(F1435,pl_num,0))&amp;"","")="Au premier des deux")),"Compteur manquant (plan au compteur)","OK"))))))))))))))))))</f>
        <v/>
      </c>
      <c r="S1435" s="67">
        <f>IF(AND(ISNUMBER(B1435),N(B1435)&gt;0),INT(B1435),0)</f>
        <v>0.0</v>
      </c>
      <c r="T1435" s="67">
        <f>IF(AND(ISNUMBER(J1435),N(J1435)&gt;=0),N(J1435),0)</f>
        <v>0.0</v>
      </c>
      <c r="U1435" s="67">
        <f>IF(AND(ISNUMBER(K1435),N(K1435)&gt;0),N(K1435),0)</f>
        <v>0.0</v>
      </c>
      <c r="V1435" s="67">
        <f>IF(AND(ISNUMBER(L1435),N(L1435)&gt;0),N(L1435),0)</f>
        <v>0.0</v>
      </c>
      <c r="W1435" s="67">
        <f>IF(AND(I1435="Terminée",S1435&gt;0,C1435&lt;&gt;"",ISNUMBER(MATCH(C1435,eq_code,0))),1,0)</f>
        <v>0.0</v>
      </c>
      <c r="X1435" s="67">
        <f>IF(AND(W1435=1,E1435="Préventif"),1,0)</f>
        <v>0.0</v>
      </c>
      <c r="Y1435" s="67">
        <f>IF(AND(ISNUMBER(N1435),N(N1435)&gt;0),N(N1435),0)</f>
        <v>0.0</v>
      </c>
      <c r="Z1435" s="67">
        <f>IF(AND(ISNUMBER(P1435),N(P1435)&gt;0),N(P1435),0)</f>
        <v>0.0</v>
      </c>
    </row>
    <row r="1436">
      <c r="A1436" s="79" t="str">
        <f>IF(COUNTA(B1436:C1436,E1436:G1436,I1436)=0,"","BI-"&amp;RIGHT("0000"&amp;(ROW()-5),4))</f>
        <v/>
      </c>
      <c r="B1436" s="72" t="n"/>
      <c r="C1436" s="66" t="n"/>
      <c r="D1436" s="67" t="str">
        <f>IF(C1436="","",IFERROR(INDEX(eq_des,MATCH(C1436,eq_code,0))&amp;"","Équipement inconnu"))</f>
        <v/>
      </c>
      <c r="E1436" s="68" t="n"/>
      <c r="F1436" s="68" t="n"/>
      <c r="G1436" s="66" t="n"/>
      <c r="H1436" s="66" t="n"/>
      <c r="I1436" s="68" t="n"/>
      <c r="J1436" s="73" t="n"/>
      <c r="K1436" s="71" t="n"/>
      <c r="L1436" s="71" t="n"/>
      <c r="M1436" s="66" t="n"/>
      <c r="N1436" s="80" t="n"/>
      <c r="O1436" s="81" t="str">
        <f>IF(A1436="","",ROUND(V1436*IFERROR(N(INDEX(tech_rate,MATCH(M1436,tech_name,0))),0),2))</f>
        <v/>
      </c>
      <c r="P1436" s="80" t="n"/>
      <c r="Q1436" s="81" t="str">
        <f>IF(A1436="","",ROUND(Y1436+O1436+Z1436,2))</f>
        <v/>
      </c>
      <c r="R1436" s="79" t="str">
        <f>IF(A1436="","",IF(S1436=0,"Date manquante ou invalide",IF(C1436="","Équipement manquant",IF(ISNA(MATCH(C1436,eq_code,0)),"Équipement inconnu",IF(E1436="","Type manquant",IF(AND(E1436&lt;&gt;"Préventif",E1436&lt;&gt;"Correctif",E1436&lt;&gt;"Amélioratif"),"Type inconnu",IF(I1436="","Statut manquant",IF(AND(I1436&lt;&gt;"Terminée",I1436&lt;&gt;"En cours",I1436&lt;&gt;"À faire",I1436&lt;&gt;"Annulée"),"Statut inconnu",IF(AND(E1436="Préventif",F1436=""),"Plan manquant (préventif)",IF(AND(F1436&lt;&gt;"",ISNA(MATCH(F1436,pl_num,0))),"Plan inconnu",IF(AND(F1436&lt;&gt;"",IFERROR(INDEX(pl_eq,MATCH(F1436,pl_num,0))&amp;"",C1436)&lt;&gt;C1436),"Plan d'un autre équipement",IF(AND(J1436&lt;&gt;"",OR(NOT(ISNUMBER(J1436)),N(J1436)&lt;0)),"Compteur invalide",IF(OR(AND(K1436&lt;&gt;"",OR(NOT(ISNUMBER(K1436)),N(K1436)&lt;0)),AND(L1436&lt;&gt;"",OR(NOT(ISNUMBER(L1436)),N(L1436)&lt;0))),"Durée invalide",IF(OR(AND(N1436&lt;&gt;"",OR(NOT(ISNUMBER(N1436)),N(N1436)&lt;0)),AND(P1436&lt;&gt;"",OR(NOT(ISNUMBER(P1436)),N(P1436)&lt;0))),"Coût invalide",IF(AND(M1436&lt;&gt;"",ISNA(MATCH(M1436,tech_name,0))),"Technicien inconnu",IF(AND(I1436="Terminée",S1436&gt;p_today),"Terminée à une date future",IF(AND(I1436="Terminée",V1436=0),"Durée d'intervention manquante",IF(AND(I1436="Terminée",E1436="Préventif",T1436=0,OR(IFERROR(INDEX(pl_trig,MATCH(F1436,pl_num,0))&amp;"","")="Compteur",IFERROR(INDEX(pl_trig,MATCH(F1436,pl_num,0))&amp;"","")="Au premier des deux")),"Compteur manquant (plan au compteur)","OK"))))))))))))))))))</f>
        <v/>
      </c>
      <c r="S1436" s="67">
        <f>IF(AND(ISNUMBER(B1436),N(B1436)&gt;0),INT(B1436),0)</f>
        <v>0.0</v>
      </c>
      <c r="T1436" s="67">
        <f>IF(AND(ISNUMBER(J1436),N(J1436)&gt;=0),N(J1436),0)</f>
        <v>0.0</v>
      </c>
      <c r="U1436" s="67">
        <f>IF(AND(ISNUMBER(K1436),N(K1436)&gt;0),N(K1436),0)</f>
        <v>0.0</v>
      </c>
      <c r="V1436" s="67">
        <f>IF(AND(ISNUMBER(L1436),N(L1436)&gt;0),N(L1436),0)</f>
        <v>0.0</v>
      </c>
      <c r="W1436" s="67">
        <f>IF(AND(I1436="Terminée",S1436&gt;0,C1436&lt;&gt;"",ISNUMBER(MATCH(C1436,eq_code,0))),1,0)</f>
        <v>0.0</v>
      </c>
      <c r="X1436" s="67">
        <f>IF(AND(W1436=1,E1436="Préventif"),1,0)</f>
        <v>0.0</v>
      </c>
      <c r="Y1436" s="67">
        <f>IF(AND(ISNUMBER(N1436),N(N1436)&gt;0),N(N1436),0)</f>
        <v>0.0</v>
      </c>
      <c r="Z1436" s="67">
        <f>IF(AND(ISNUMBER(P1436),N(P1436)&gt;0),N(P1436),0)</f>
        <v>0.0</v>
      </c>
    </row>
    <row r="1437">
      <c r="A1437" s="79" t="str">
        <f>IF(COUNTA(B1437:C1437,E1437:G1437,I1437)=0,"","BI-"&amp;RIGHT("0000"&amp;(ROW()-5),4))</f>
        <v/>
      </c>
      <c r="B1437" s="72" t="n"/>
      <c r="C1437" s="66" t="n"/>
      <c r="D1437" s="67" t="str">
        <f>IF(C1437="","",IFERROR(INDEX(eq_des,MATCH(C1437,eq_code,0))&amp;"","Équipement inconnu"))</f>
        <v/>
      </c>
      <c r="E1437" s="68" t="n"/>
      <c r="F1437" s="68" t="n"/>
      <c r="G1437" s="66" t="n"/>
      <c r="H1437" s="66" t="n"/>
      <c r="I1437" s="68" t="n"/>
      <c r="J1437" s="73" t="n"/>
      <c r="K1437" s="71" t="n"/>
      <c r="L1437" s="71" t="n"/>
      <c r="M1437" s="66" t="n"/>
      <c r="N1437" s="80" t="n"/>
      <c r="O1437" s="81" t="str">
        <f>IF(A1437="","",ROUND(V1437*IFERROR(N(INDEX(tech_rate,MATCH(M1437,tech_name,0))),0),2))</f>
        <v/>
      </c>
      <c r="P1437" s="80" t="n"/>
      <c r="Q1437" s="81" t="str">
        <f>IF(A1437="","",ROUND(Y1437+O1437+Z1437,2))</f>
        <v/>
      </c>
      <c r="R1437" s="79" t="str">
        <f>IF(A1437="","",IF(S1437=0,"Date manquante ou invalide",IF(C1437="","Équipement manquant",IF(ISNA(MATCH(C1437,eq_code,0)),"Équipement inconnu",IF(E1437="","Type manquant",IF(AND(E1437&lt;&gt;"Préventif",E1437&lt;&gt;"Correctif",E1437&lt;&gt;"Amélioratif"),"Type inconnu",IF(I1437="","Statut manquant",IF(AND(I1437&lt;&gt;"Terminée",I1437&lt;&gt;"En cours",I1437&lt;&gt;"À faire",I1437&lt;&gt;"Annulée"),"Statut inconnu",IF(AND(E1437="Préventif",F1437=""),"Plan manquant (préventif)",IF(AND(F1437&lt;&gt;"",ISNA(MATCH(F1437,pl_num,0))),"Plan inconnu",IF(AND(F1437&lt;&gt;"",IFERROR(INDEX(pl_eq,MATCH(F1437,pl_num,0))&amp;"",C1437)&lt;&gt;C1437),"Plan d'un autre équipement",IF(AND(J1437&lt;&gt;"",OR(NOT(ISNUMBER(J1437)),N(J1437)&lt;0)),"Compteur invalide",IF(OR(AND(K1437&lt;&gt;"",OR(NOT(ISNUMBER(K1437)),N(K1437)&lt;0)),AND(L1437&lt;&gt;"",OR(NOT(ISNUMBER(L1437)),N(L1437)&lt;0))),"Durée invalide",IF(OR(AND(N1437&lt;&gt;"",OR(NOT(ISNUMBER(N1437)),N(N1437)&lt;0)),AND(P1437&lt;&gt;"",OR(NOT(ISNUMBER(P1437)),N(P1437)&lt;0))),"Coût invalide",IF(AND(M1437&lt;&gt;"",ISNA(MATCH(M1437,tech_name,0))),"Technicien inconnu",IF(AND(I1437="Terminée",S1437&gt;p_today),"Terminée à une date future",IF(AND(I1437="Terminée",V1437=0),"Durée d'intervention manquante",IF(AND(I1437="Terminée",E1437="Préventif",T1437=0,OR(IFERROR(INDEX(pl_trig,MATCH(F1437,pl_num,0))&amp;"","")="Compteur",IFERROR(INDEX(pl_trig,MATCH(F1437,pl_num,0))&amp;"","")="Au premier des deux")),"Compteur manquant (plan au compteur)","OK"))))))))))))))))))</f>
        <v/>
      </c>
      <c r="S1437" s="67">
        <f>IF(AND(ISNUMBER(B1437),N(B1437)&gt;0),INT(B1437),0)</f>
        <v>0.0</v>
      </c>
      <c r="T1437" s="67">
        <f>IF(AND(ISNUMBER(J1437),N(J1437)&gt;=0),N(J1437),0)</f>
        <v>0.0</v>
      </c>
      <c r="U1437" s="67">
        <f>IF(AND(ISNUMBER(K1437),N(K1437)&gt;0),N(K1437),0)</f>
        <v>0.0</v>
      </c>
      <c r="V1437" s="67">
        <f>IF(AND(ISNUMBER(L1437),N(L1437)&gt;0),N(L1437),0)</f>
        <v>0.0</v>
      </c>
      <c r="W1437" s="67">
        <f>IF(AND(I1437="Terminée",S1437&gt;0,C1437&lt;&gt;"",ISNUMBER(MATCH(C1437,eq_code,0))),1,0)</f>
        <v>0.0</v>
      </c>
      <c r="X1437" s="67">
        <f>IF(AND(W1437=1,E1437="Préventif"),1,0)</f>
        <v>0.0</v>
      </c>
      <c r="Y1437" s="67">
        <f>IF(AND(ISNUMBER(N1437),N(N1437)&gt;0),N(N1437),0)</f>
        <v>0.0</v>
      </c>
      <c r="Z1437" s="67">
        <f>IF(AND(ISNUMBER(P1437),N(P1437)&gt;0),N(P1437),0)</f>
        <v>0.0</v>
      </c>
    </row>
    <row r="1438">
      <c r="A1438" s="79" t="str">
        <f>IF(COUNTA(B1438:C1438,E1438:G1438,I1438)=0,"","BI-"&amp;RIGHT("0000"&amp;(ROW()-5),4))</f>
        <v/>
      </c>
      <c r="B1438" s="72" t="n"/>
      <c r="C1438" s="66" t="n"/>
      <c r="D1438" s="67" t="str">
        <f>IF(C1438="","",IFERROR(INDEX(eq_des,MATCH(C1438,eq_code,0))&amp;"","Équipement inconnu"))</f>
        <v/>
      </c>
      <c r="E1438" s="68" t="n"/>
      <c r="F1438" s="68" t="n"/>
      <c r="G1438" s="66" t="n"/>
      <c r="H1438" s="66" t="n"/>
      <c r="I1438" s="68" t="n"/>
      <c r="J1438" s="73" t="n"/>
      <c r="K1438" s="71" t="n"/>
      <c r="L1438" s="71" t="n"/>
      <c r="M1438" s="66" t="n"/>
      <c r="N1438" s="80" t="n"/>
      <c r="O1438" s="81" t="str">
        <f>IF(A1438="","",ROUND(V1438*IFERROR(N(INDEX(tech_rate,MATCH(M1438,tech_name,0))),0),2))</f>
        <v/>
      </c>
      <c r="P1438" s="80" t="n"/>
      <c r="Q1438" s="81" t="str">
        <f>IF(A1438="","",ROUND(Y1438+O1438+Z1438,2))</f>
        <v/>
      </c>
      <c r="R1438" s="79" t="str">
        <f>IF(A1438="","",IF(S1438=0,"Date manquante ou invalide",IF(C1438="","Équipement manquant",IF(ISNA(MATCH(C1438,eq_code,0)),"Équipement inconnu",IF(E1438="","Type manquant",IF(AND(E1438&lt;&gt;"Préventif",E1438&lt;&gt;"Correctif",E1438&lt;&gt;"Amélioratif"),"Type inconnu",IF(I1438="","Statut manquant",IF(AND(I1438&lt;&gt;"Terminée",I1438&lt;&gt;"En cours",I1438&lt;&gt;"À faire",I1438&lt;&gt;"Annulée"),"Statut inconnu",IF(AND(E1438="Préventif",F1438=""),"Plan manquant (préventif)",IF(AND(F1438&lt;&gt;"",ISNA(MATCH(F1438,pl_num,0))),"Plan inconnu",IF(AND(F1438&lt;&gt;"",IFERROR(INDEX(pl_eq,MATCH(F1438,pl_num,0))&amp;"",C1438)&lt;&gt;C1438),"Plan d'un autre équipement",IF(AND(J1438&lt;&gt;"",OR(NOT(ISNUMBER(J1438)),N(J1438)&lt;0)),"Compteur invalide",IF(OR(AND(K1438&lt;&gt;"",OR(NOT(ISNUMBER(K1438)),N(K1438)&lt;0)),AND(L1438&lt;&gt;"",OR(NOT(ISNUMBER(L1438)),N(L1438)&lt;0))),"Durée invalide",IF(OR(AND(N1438&lt;&gt;"",OR(NOT(ISNUMBER(N1438)),N(N1438)&lt;0)),AND(P1438&lt;&gt;"",OR(NOT(ISNUMBER(P1438)),N(P1438)&lt;0))),"Coût invalide",IF(AND(M1438&lt;&gt;"",ISNA(MATCH(M1438,tech_name,0))),"Technicien inconnu",IF(AND(I1438="Terminée",S1438&gt;p_today),"Terminée à une date future",IF(AND(I1438="Terminée",V1438=0),"Durée d'intervention manquante",IF(AND(I1438="Terminée",E1438="Préventif",T1438=0,OR(IFERROR(INDEX(pl_trig,MATCH(F1438,pl_num,0))&amp;"","")="Compteur",IFERROR(INDEX(pl_trig,MATCH(F1438,pl_num,0))&amp;"","")="Au premier des deux")),"Compteur manquant (plan au compteur)","OK"))))))))))))))))))</f>
        <v/>
      </c>
      <c r="S1438" s="67">
        <f>IF(AND(ISNUMBER(B1438),N(B1438)&gt;0),INT(B1438),0)</f>
        <v>0.0</v>
      </c>
      <c r="T1438" s="67">
        <f>IF(AND(ISNUMBER(J1438),N(J1438)&gt;=0),N(J1438),0)</f>
        <v>0.0</v>
      </c>
      <c r="U1438" s="67">
        <f>IF(AND(ISNUMBER(K1438),N(K1438)&gt;0),N(K1438),0)</f>
        <v>0.0</v>
      </c>
      <c r="V1438" s="67">
        <f>IF(AND(ISNUMBER(L1438),N(L1438)&gt;0),N(L1438),0)</f>
        <v>0.0</v>
      </c>
      <c r="W1438" s="67">
        <f>IF(AND(I1438="Terminée",S1438&gt;0,C1438&lt;&gt;"",ISNUMBER(MATCH(C1438,eq_code,0))),1,0)</f>
        <v>0.0</v>
      </c>
      <c r="X1438" s="67">
        <f>IF(AND(W1438=1,E1438="Préventif"),1,0)</f>
        <v>0.0</v>
      </c>
      <c r="Y1438" s="67">
        <f>IF(AND(ISNUMBER(N1438),N(N1438)&gt;0),N(N1438),0)</f>
        <v>0.0</v>
      </c>
      <c r="Z1438" s="67">
        <f>IF(AND(ISNUMBER(P1438),N(P1438)&gt;0),N(P1438),0)</f>
        <v>0.0</v>
      </c>
    </row>
    <row r="1439">
      <c r="A1439" s="79" t="str">
        <f>IF(COUNTA(B1439:C1439,E1439:G1439,I1439)=0,"","BI-"&amp;RIGHT("0000"&amp;(ROW()-5),4))</f>
        <v/>
      </c>
      <c r="B1439" s="72" t="n"/>
      <c r="C1439" s="66" t="n"/>
      <c r="D1439" s="67" t="str">
        <f>IF(C1439="","",IFERROR(INDEX(eq_des,MATCH(C1439,eq_code,0))&amp;"","Équipement inconnu"))</f>
        <v/>
      </c>
      <c r="E1439" s="68" t="n"/>
      <c r="F1439" s="68" t="n"/>
      <c r="G1439" s="66" t="n"/>
      <c r="H1439" s="66" t="n"/>
      <c r="I1439" s="68" t="n"/>
      <c r="J1439" s="73" t="n"/>
      <c r="K1439" s="71" t="n"/>
      <c r="L1439" s="71" t="n"/>
      <c r="M1439" s="66" t="n"/>
      <c r="N1439" s="80" t="n"/>
      <c r="O1439" s="81" t="str">
        <f>IF(A1439="","",ROUND(V1439*IFERROR(N(INDEX(tech_rate,MATCH(M1439,tech_name,0))),0),2))</f>
        <v/>
      </c>
      <c r="P1439" s="80" t="n"/>
      <c r="Q1439" s="81" t="str">
        <f>IF(A1439="","",ROUND(Y1439+O1439+Z1439,2))</f>
        <v/>
      </c>
      <c r="R1439" s="79" t="str">
        <f>IF(A1439="","",IF(S1439=0,"Date manquante ou invalide",IF(C1439="","Équipement manquant",IF(ISNA(MATCH(C1439,eq_code,0)),"Équipement inconnu",IF(E1439="","Type manquant",IF(AND(E1439&lt;&gt;"Préventif",E1439&lt;&gt;"Correctif",E1439&lt;&gt;"Amélioratif"),"Type inconnu",IF(I1439="","Statut manquant",IF(AND(I1439&lt;&gt;"Terminée",I1439&lt;&gt;"En cours",I1439&lt;&gt;"À faire",I1439&lt;&gt;"Annulée"),"Statut inconnu",IF(AND(E1439="Préventif",F1439=""),"Plan manquant (préventif)",IF(AND(F1439&lt;&gt;"",ISNA(MATCH(F1439,pl_num,0))),"Plan inconnu",IF(AND(F1439&lt;&gt;"",IFERROR(INDEX(pl_eq,MATCH(F1439,pl_num,0))&amp;"",C1439)&lt;&gt;C1439),"Plan d'un autre équipement",IF(AND(J1439&lt;&gt;"",OR(NOT(ISNUMBER(J1439)),N(J1439)&lt;0)),"Compteur invalide",IF(OR(AND(K1439&lt;&gt;"",OR(NOT(ISNUMBER(K1439)),N(K1439)&lt;0)),AND(L1439&lt;&gt;"",OR(NOT(ISNUMBER(L1439)),N(L1439)&lt;0))),"Durée invalide",IF(OR(AND(N1439&lt;&gt;"",OR(NOT(ISNUMBER(N1439)),N(N1439)&lt;0)),AND(P1439&lt;&gt;"",OR(NOT(ISNUMBER(P1439)),N(P1439)&lt;0))),"Coût invalide",IF(AND(M1439&lt;&gt;"",ISNA(MATCH(M1439,tech_name,0))),"Technicien inconnu",IF(AND(I1439="Terminée",S1439&gt;p_today),"Terminée à une date future",IF(AND(I1439="Terminée",V1439=0),"Durée d'intervention manquante",IF(AND(I1439="Terminée",E1439="Préventif",T1439=0,OR(IFERROR(INDEX(pl_trig,MATCH(F1439,pl_num,0))&amp;"","")="Compteur",IFERROR(INDEX(pl_trig,MATCH(F1439,pl_num,0))&amp;"","")="Au premier des deux")),"Compteur manquant (plan au compteur)","OK"))))))))))))))))))</f>
        <v/>
      </c>
      <c r="S1439" s="67">
        <f>IF(AND(ISNUMBER(B1439),N(B1439)&gt;0),INT(B1439),0)</f>
        <v>0.0</v>
      </c>
      <c r="T1439" s="67">
        <f>IF(AND(ISNUMBER(J1439),N(J1439)&gt;=0),N(J1439),0)</f>
        <v>0.0</v>
      </c>
      <c r="U1439" s="67">
        <f>IF(AND(ISNUMBER(K1439),N(K1439)&gt;0),N(K1439),0)</f>
        <v>0.0</v>
      </c>
      <c r="V1439" s="67">
        <f>IF(AND(ISNUMBER(L1439),N(L1439)&gt;0),N(L1439),0)</f>
        <v>0.0</v>
      </c>
      <c r="W1439" s="67">
        <f>IF(AND(I1439="Terminée",S1439&gt;0,C1439&lt;&gt;"",ISNUMBER(MATCH(C1439,eq_code,0))),1,0)</f>
        <v>0.0</v>
      </c>
      <c r="X1439" s="67">
        <f>IF(AND(W1439=1,E1439="Préventif"),1,0)</f>
        <v>0.0</v>
      </c>
      <c r="Y1439" s="67">
        <f>IF(AND(ISNUMBER(N1439),N(N1439)&gt;0),N(N1439),0)</f>
        <v>0.0</v>
      </c>
      <c r="Z1439" s="67">
        <f>IF(AND(ISNUMBER(P1439),N(P1439)&gt;0),N(P1439),0)</f>
        <v>0.0</v>
      </c>
    </row>
    <row r="1440">
      <c r="A1440" s="79" t="str">
        <f>IF(COUNTA(B1440:C1440,E1440:G1440,I1440)=0,"","BI-"&amp;RIGHT("0000"&amp;(ROW()-5),4))</f>
        <v/>
      </c>
      <c r="B1440" s="72" t="n"/>
      <c r="C1440" s="66" t="n"/>
      <c r="D1440" s="67" t="str">
        <f>IF(C1440="","",IFERROR(INDEX(eq_des,MATCH(C1440,eq_code,0))&amp;"","Équipement inconnu"))</f>
        <v/>
      </c>
      <c r="E1440" s="68" t="n"/>
      <c r="F1440" s="68" t="n"/>
      <c r="G1440" s="66" t="n"/>
      <c r="H1440" s="66" t="n"/>
      <c r="I1440" s="68" t="n"/>
      <c r="J1440" s="73" t="n"/>
      <c r="K1440" s="71" t="n"/>
      <c r="L1440" s="71" t="n"/>
      <c r="M1440" s="66" t="n"/>
      <c r="N1440" s="80" t="n"/>
      <c r="O1440" s="81" t="str">
        <f>IF(A1440="","",ROUND(V1440*IFERROR(N(INDEX(tech_rate,MATCH(M1440,tech_name,0))),0),2))</f>
        <v/>
      </c>
      <c r="P1440" s="80" t="n"/>
      <c r="Q1440" s="81" t="str">
        <f>IF(A1440="","",ROUND(Y1440+O1440+Z1440,2))</f>
        <v/>
      </c>
      <c r="R1440" s="79" t="str">
        <f>IF(A1440="","",IF(S1440=0,"Date manquante ou invalide",IF(C1440="","Équipement manquant",IF(ISNA(MATCH(C1440,eq_code,0)),"Équipement inconnu",IF(E1440="","Type manquant",IF(AND(E1440&lt;&gt;"Préventif",E1440&lt;&gt;"Correctif",E1440&lt;&gt;"Amélioratif"),"Type inconnu",IF(I1440="","Statut manquant",IF(AND(I1440&lt;&gt;"Terminée",I1440&lt;&gt;"En cours",I1440&lt;&gt;"À faire",I1440&lt;&gt;"Annulée"),"Statut inconnu",IF(AND(E1440="Préventif",F1440=""),"Plan manquant (préventif)",IF(AND(F1440&lt;&gt;"",ISNA(MATCH(F1440,pl_num,0))),"Plan inconnu",IF(AND(F1440&lt;&gt;"",IFERROR(INDEX(pl_eq,MATCH(F1440,pl_num,0))&amp;"",C1440)&lt;&gt;C1440),"Plan d'un autre équipement",IF(AND(J1440&lt;&gt;"",OR(NOT(ISNUMBER(J1440)),N(J1440)&lt;0)),"Compteur invalide",IF(OR(AND(K1440&lt;&gt;"",OR(NOT(ISNUMBER(K1440)),N(K1440)&lt;0)),AND(L1440&lt;&gt;"",OR(NOT(ISNUMBER(L1440)),N(L1440)&lt;0))),"Durée invalide",IF(OR(AND(N1440&lt;&gt;"",OR(NOT(ISNUMBER(N1440)),N(N1440)&lt;0)),AND(P1440&lt;&gt;"",OR(NOT(ISNUMBER(P1440)),N(P1440)&lt;0))),"Coût invalide",IF(AND(M1440&lt;&gt;"",ISNA(MATCH(M1440,tech_name,0))),"Technicien inconnu",IF(AND(I1440="Terminée",S1440&gt;p_today),"Terminée à une date future",IF(AND(I1440="Terminée",V1440=0),"Durée d'intervention manquante",IF(AND(I1440="Terminée",E1440="Préventif",T1440=0,OR(IFERROR(INDEX(pl_trig,MATCH(F1440,pl_num,0))&amp;"","")="Compteur",IFERROR(INDEX(pl_trig,MATCH(F1440,pl_num,0))&amp;"","")="Au premier des deux")),"Compteur manquant (plan au compteur)","OK"))))))))))))))))))</f>
        <v/>
      </c>
      <c r="S1440" s="67">
        <f>IF(AND(ISNUMBER(B1440),N(B1440)&gt;0),INT(B1440),0)</f>
        <v>0.0</v>
      </c>
      <c r="T1440" s="67">
        <f>IF(AND(ISNUMBER(J1440),N(J1440)&gt;=0),N(J1440),0)</f>
        <v>0.0</v>
      </c>
      <c r="U1440" s="67">
        <f>IF(AND(ISNUMBER(K1440),N(K1440)&gt;0),N(K1440),0)</f>
        <v>0.0</v>
      </c>
      <c r="V1440" s="67">
        <f>IF(AND(ISNUMBER(L1440),N(L1440)&gt;0),N(L1440),0)</f>
        <v>0.0</v>
      </c>
      <c r="W1440" s="67">
        <f>IF(AND(I1440="Terminée",S1440&gt;0,C1440&lt;&gt;"",ISNUMBER(MATCH(C1440,eq_code,0))),1,0)</f>
        <v>0.0</v>
      </c>
      <c r="X1440" s="67">
        <f>IF(AND(W1440=1,E1440="Préventif"),1,0)</f>
        <v>0.0</v>
      </c>
      <c r="Y1440" s="67">
        <f>IF(AND(ISNUMBER(N1440),N(N1440)&gt;0),N(N1440),0)</f>
        <v>0.0</v>
      </c>
      <c r="Z1440" s="67">
        <f>IF(AND(ISNUMBER(P1440),N(P1440)&gt;0),N(P1440),0)</f>
        <v>0.0</v>
      </c>
    </row>
    <row r="1441">
      <c r="A1441" s="79" t="str">
        <f>IF(COUNTA(B1441:C1441,E1441:G1441,I1441)=0,"","BI-"&amp;RIGHT("0000"&amp;(ROW()-5),4))</f>
        <v/>
      </c>
      <c r="B1441" s="72" t="n"/>
      <c r="C1441" s="66" t="n"/>
      <c r="D1441" s="67" t="str">
        <f>IF(C1441="","",IFERROR(INDEX(eq_des,MATCH(C1441,eq_code,0))&amp;"","Équipement inconnu"))</f>
        <v/>
      </c>
      <c r="E1441" s="68" t="n"/>
      <c r="F1441" s="68" t="n"/>
      <c r="G1441" s="66" t="n"/>
      <c r="H1441" s="66" t="n"/>
      <c r="I1441" s="68" t="n"/>
      <c r="J1441" s="73" t="n"/>
      <c r="K1441" s="71" t="n"/>
      <c r="L1441" s="71" t="n"/>
      <c r="M1441" s="66" t="n"/>
      <c r="N1441" s="80" t="n"/>
      <c r="O1441" s="81" t="str">
        <f>IF(A1441="","",ROUND(V1441*IFERROR(N(INDEX(tech_rate,MATCH(M1441,tech_name,0))),0),2))</f>
        <v/>
      </c>
      <c r="P1441" s="80" t="n"/>
      <c r="Q1441" s="81" t="str">
        <f>IF(A1441="","",ROUND(Y1441+O1441+Z1441,2))</f>
        <v/>
      </c>
      <c r="R1441" s="79" t="str">
        <f>IF(A1441="","",IF(S1441=0,"Date manquante ou invalide",IF(C1441="","Équipement manquant",IF(ISNA(MATCH(C1441,eq_code,0)),"Équipement inconnu",IF(E1441="","Type manquant",IF(AND(E1441&lt;&gt;"Préventif",E1441&lt;&gt;"Correctif",E1441&lt;&gt;"Amélioratif"),"Type inconnu",IF(I1441="","Statut manquant",IF(AND(I1441&lt;&gt;"Terminée",I1441&lt;&gt;"En cours",I1441&lt;&gt;"À faire",I1441&lt;&gt;"Annulée"),"Statut inconnu",IF(AND(E1441="Préventif",F1441=""),"Plan manquant (préventif)",IF(AND(F1441&lt;&gt;"",ISNA(MATCH(F1441,pl_num,0))),"Plan inconnu",IF(AND(F1441&lt;&gt;"",IFERROR(INDEX(pl_eq,MATCH(F1441,pl_num,0))&amp;"",C1441)&lt;&gt;C1441),"Plan d'un autre équipement",IF(AND(J1441&lt;&gt;"",OR(NOT(ISNUMBER(J1441)),N(J1441)&lt;0)),"Compteur invalide",IF(OR(AND(K1441&lt;&gt;"",OR(NOT(ISNUMBER(K1441)),N(K1441)&lt;0)),AND(L1441&lt;&gt;"",OR(NOT(ISNUMBER(L1441)),N(L1441)&lt;0))),"Durée invalide",IF(OR(AND(N1441&lt;&gt;"",OR(NOT(ISNUMBER(N1441)),N(N1441)&lt;0)),AND(P1441&lt;&gt;"",OR(NOT(ISNUMBER(P1441)),N(P1441)&lt;0))),"Coût invalide",IF(AND(M1441&lt;&gt;"",ISNA(MATCH(M1441,tech_name,0))),"Technicien inconnu",IF(AND(I1441="Terminée",S1441&gt;p_today),"Terminée à une date future",IF(AND(I1441="Terminée",V1441=0),"Durée d'intervention manquante",IF(AND(I1441="Terminée",E1441="Préventif",T1441=0,OR(IFERROR(INDEX(pl_trig,MATCH(F1441,pl_num,0))&amp;"","")="Compteur",IFERROR(INDEX(pl_trig,MATCH(F1441,pl_num,0))&amp;"","")="Au premier des deux")),"Compteur manquant (plan au compteur)","OK"))))))))))))))))))</f>
        <v/>
      </c>
      <c r="S1441" s="67">
        <f>IF(AND(ISNUMBER(B1441),N(B1441)&gt;0),INT(B1441),0)</f>
        <v>0.0</v>
      </c>
      <c r="T1441" s="67">
        <f>IF(AND(ISNUMBER(J1441),N(J1441)&gt;=0),N(J1441),0)</f>
        <v>0.0</v>
      </c>
      <c r="U1441" s="67">
        <f>IF(AND(ISNUMBER(K1441),N(K1441)&gt;0),N(K1441),0)</f>
        <v>0.0</v>
      </c>
      <c r="V1441" s="67">
        <f>IF(AND(ISNUMBER(L1441),N(L1441)&gt;0),N(L1441),0)</f>
        <v>0.0</v>
      </c>
      <c r="W1441" s="67">
        <f>IF(AND(I1441="Terminée",S1441&gt;0,C1441&lt;&gt;"",ISNUMBER(MATCH(C1441,eq_code,0))),1,0)</f>
        <v>0.0</v>
      </c>
      <c r="X1441" s="67">
        <f>IF(AND(W1441=1,E1441="Préventif"),1,0)</f>
        <v>0.0</v>
      </c>
      <c r="Y1441" s="67">
        <f>IF(AND(ISNUMBER(N1441),N(N1441)&gt;0),N(N1441),0)</f>
        <v>0.0</v>
      </c>
      <c r="Z1441" s="67">
        <f>IF(AND(ISNUMBER(P1441),N(P1441)&gt;0),N(P1441),0)</f>
        <v>0.0</v>
      </c>
    </row>
    <row r="1442">
      <c r="A1442" s="79" t="str">
        <f>IF(COUNTA(B1442:C1442,E1442:G1442,I1442)=0,"","BI-"&amp;RIGHT("0000"&amp;(ROW()-5),4))</f>
        <v/>
      </c>
      <c r="B1442" s="72" t="n"/>
      <c r="C1442" s="66" t="n"/>
      <c r="D1442" s="67" t="str">
        <f>IF(C1442="","",IFERROR(INDEX(eq_des,MATCH(C1442,eq_code,0))&amp;"","Équipement inconnu"))</f>
        <v/>
      </c>
      <c r="E1442" s="68" t="n"/>
      <c r="F1442" s="68" t="n"/>
      <c r="G1442" s="66" t="n"/>
      <c r="H1442" s="66" t="n"/>
      <c r="I1442" s="68" t="n"/>
      <c r="J1442" s="73" t="n"/>
      <c r="K1442" s="71" t="n"/>
      <c r="L1442" s="71" t="n"/>
      <c r="M1442" s="66" t="n"/>
      <c r="N1442" s="80" t="n"/>
      <c r="O1442" s="81" t="str">
        <f>IF(A1442="","",ROUND(V1442*IFERROR(N(INDEX(tech_rate,MATCH(M1442,tech_name,0))),0),2))</f>
        <v/>
      </c>
      <c r="P1442" s="80" t="n"/>
      <c r="Q1442" s="81" t="str">
        <f>IF(A1442="","",ROUND(Y1442+O1442+Z1442,2))</f>
        <v/>
      </c>
      <c r="R1442" s="79" t="str">
        <f>IF(A1442="","",IF(S1442=0,"Date manquante ou invalide",IF(C1442="","Équipement manquant",IF(ISNA(MATCH(C1442,eq_code,0)),"Équipement inconnu",IF(E1442="","Type manquant",IF(AND(E1442&lt;&gt;"Préventif",E1442&lt;&gt;"Correctif",E1442&lt;&gt;"Amélioratif"),"Type inconnu",IF(I1442="","Statut manquant",IF(AND(I1442&lt;&gt;"Terminée",I1442&lt;&gt;"En cours",I1442&lt;&gt;"À faire",I1442&lt;&gt;"Annulée"),"Statut inconnu",IF(AND(E1442="Préventif",F1442=""),"Plan manquant (préventif)",IF(AND(F1442&lt;&gt;"",ISNA(MATCH(F1442,pl_num,0))),"Plan inconnu",IF(AND(F1442&lt;&gt;"",IFERROR(INDEX(pl_eq,MATCH(F1442,pl_num,0))&amp;"",C1442)&lt;&gt;C1442),"Plan d'un autre équipement",IF(AND(J1442&lt;&gt;"",OR(NOT(ISNUMBER(J1442)),N(J1442)&lt;0)),"Compteur invalide",IF(OR(AND(K1442&lt;&gt;"",OR(NOT(ISNUMBER(K1442)),N(K1442)&lt;0)),AND(L1442&lt;&gt;"",OR(NOT(ISNUMBER(L1442)),N(L1442)&lt;0))),"Durée invalide",IF(OR(AND(N1442&lt;&gt;"",OR(NOT(ISNUMBER(N1442)),N(N1442)&lt;0)),AND(P1442&lt;&gt;"",OR(NOT(ISNUMBER(P1442)),N(P1442)&lt;0))),"Coût invalide",IF(AND(M1442&lt;&gt;"",ISNA(MATCH(M1442,tech_name,0))),"Technicien inconnu",IF(AND(I1442="Terminée",S1442&gt;p_today),"Terminée à une date future",IF(AND(I1442="Terminée",V1442=0),"Durée d'intervention manquante",IF(AND(I1442="Terminée",E1442="Préventif",T1442=0,OR(IFERROR(INDEX(pl_trig,MATCH(F1442,pl_num,0))&amp;"","")="Compteur",IFERROR(INDEX(pl_trig,MATCH(F1442,pl_num,0))&amp;"","")="Au premier des deux")),"Compteur manquant (plan au compteur)","OK"))))))))))))))))))</f>
        <v/>
      </c>
      <c r="S1442" s="67">
        <f>IF(AND(ISNUMBER(B1442),N(B1442)&gt;0),INT(B1442),0)</f>
        <v>0.0</v>
      </c>
      <c r="T1442" s="67">
        <f>IF(AND(ISNUMBER(J1442),N(J1442)&gt;=0),N(J1442),0)</f>
        <v>0.0</v>
      </c>
      <c r="U1442" s="67">
        <f>IF(AND(ISNUMBER(K1442),N(K1442)&gt;0),N(K1442),0)</f>
        <v>0.0</v>
      </c>
      <c r="V1442" s="67">
        <f>IF(AND(ISNUMBER(L1442),N(L1442)&gt;0),N(L1442),0)</f>
        <v>0.0</v>
      </c>
      <c r="W1442" s="67">
        <f>IF(AND(I1442="Terminée",S1442&gt;0,C1442&lt;&gt;"",ISNUMBER(MATCH(C1442,eq_code,0))),1,0)</f>
        <v>0.0</v>
      </c>
      <c r="X1442" s="67">
        <f>IF(AND(W1442=1,E1442="Préventif"),1,0)</f>
        <v>0.0</v>
      </c>
      <c r="Y1442" s="67">
        <f>IF(AND(ISNUMBER(N1442),N(N1442)&gt;0),N(N1442),0)</f>
        <v>0.0</v>
      </c>
      <c r="Z1442" s="67">
        <f>IF(AND(ISNUMBER(P1442),N(P1442)&gt;0),N(P1442),0)</f>
        <v>0.0</v>
      </c>
    </row>
    <row r="1443">
      <c r="A1443" s="79" t="str">
        <f>IF(COUNTA(B1443:C1443,E1443:G1443,I1443)=0,"","BI-"&amp;RIGHT("0000"&amp;(ROW()-5),4))</f>
        <v/>
      </c>
      <c r="B1443" s="72" t="n"/>
      <c r="C1443" s="66" t="n"/>
      <c r="D1443" s="67" t="str">
        <f>IF(C1443="","",IFERROR(INDEX(eq_des,MATCH(C1443,eq_code,0))&amp;"","Équipement inconnu"))</f>
        <v/>
      </c>
      <c r="E1443" s="68" t="n"/>
      <c r="F1443" s="68" t="n"/>
      <c r="G1443" s="66" t="n"/>
      <c r="H1443" s="66" t="n"/>
      <c r="I1443" s="68" t="n"/>
      <c r="J1443" s="73" t="n"/>
      <c r="K1443" s="71" t="n"/>
      <c r="L1443" s="71" t="n"/>
      <c r="M1443" s="66" t="n"/>
      <c r="N1443" s="80" t="n"/>
      <c r="O1443" s="81" t="str">
        <f>IF(A1443="","",ROUND(V1443*IFERROR(N(INDEX(tech_rate,MATCH(M1443,tech_name,0))),0),2))</f>
        <v/>
      </c>
      <c r="P1443" s="80" t="n"/>
      <c r="Q1443" s="81" t="str">
        <f>IF(A1443="","",ROUND(Y1443+O1443+Z1443,2))</f>
        <v/>
      </c>
      <c r="R1443" s="79" t="str">
        <f>IF(A1443="","",IF(S1443=0,"Date manquante ou invalide",IF(C1443="","Équipement manquant",IF(ISNA(MATCH(C1443,eq_code,0)),"Équipement inconnu",IF(E1443="","Type manquant",IF(AND(E1443&lt;&gt;"Préventif",E1443&lt;&gt;"Correctif",E1443&lt;&gt;"Amélioratif"),"Type inconnu",IF(I1443="","Statut manquant",IF(AND(I1443&lt;&gt;"Terminée",I1443&lt;&gt;"En cours",I1443&lt;&gt;"À faire",I1443&lt;&gt;"Annulée"),"Statut inconnu",IF(AND(E1443="Préventif",F1443=""),"Plan manquant (préventif)",IF(AND(F1443&lt;&gt;"",ISNA(MATCH(F1443,pl_num,0))),"Plan inconnu",IF(AND(F1443&lt;&gt;"",IFERROR(INDEX(pl_eq,MATCH(F1443,pl_num,0))&amp;"",C1443)&lt;&gt;C1443),"Plan d'un autre équipement",IF(AND(J1443&lt;&gt;"",OR(NOT(ISNUMBER(J1443)),N(J1443)&lt;0)),"Compteur invalide",IF(OR(AND(K1443&lt;&gt;"",OR(NOT(ISNUMBER(K1443)),N(K1443)&lt;0)),AND(L1443&lt;&gt;"",OR(NOT(ISNUMBER(L1443)),N(L1443)&lt;0))),"Durée invalide",IF(OR(AND(N1443&lt;&gt;"",OR(NOT(ISNUMBER(N1443)),N(N1443)&lt;0)),AND(P1443&lt;&gt;"",OR(NOT(ISNUMBER(P1443)),N(P1443)&lt;0))),"Coût invalide",IF(AND(M1443&lt;&gt;"",ISNA(MATCH(M1443,tech_name,0))),"Technicien inconnu",IF(AND(I1443="Terminée",S1443&gt;p_today),"Terminée à une date future",IF(AND(I1443="Terminée",V1443=0),"Durée d'intervention manquante",IF(AND(I1443="Terminée",E1443="Préventif",T1443=0,OR(IFERROR(INDEX(pl_trig,MATCH(F1443,pl_num,0))&amp;"","")="Compteur",IFERROR(INDEX(pl_trig,MATCH(F1443,pl_num,0))&amp;"","")="Au premier des deux")),"Compteur manquant (plan au compteur)","OK"))))))))))))))))))</f>
        <v/>
      </c>
      <c r="S1443" s="67">
        <f>IF(AND(ISNUMBER(B1443),N(B1443)&gt;0),INT(B1443),0)</f>
        <v>0.0</v>
      </c>
      <c r="T1443" s="67">
        <f>IF(AND(ISNUMBER(J1443),N(J1443)&gt;=0),N(J1443),0)</f>
        <v>0.0</v>
      </c>
      <c r="U1443" s="67">
        <f>IF(AND(ISNUMBER(K1443),N(K1443)&gt;0),N(K1443),0)</f>
        <v>0.0</v>
      </c>
      <c r="V1443" s="67">
        <f>IF(AND(ISNUMBER(L1443),N(L1443)&gt;0),N(L1443),0)</f>
        <v>0.0</v>
      </c>
      <c r="W1443" s="67">
        <f>IF(AND(I1443="Terminée",S1443&gt;0,C1443&lt;&gt;"",ISNUMBER(MATCH(C1443,eq_code,0))),1,0)</f>
        <v>0.0</v>
      </c>
      <c r="X1443" s="67">
        <f>IF(AND(W1443=1,E1443="Préventif"),1,0)</f>
        <v>0.0</v>
      </c>
      <c r="Y1443" s="67">
        <f>IF(AND(ISNUMBER(N1443),N(N1443)&gt;0),N(N1443),0)</f>
        <v>0.0</v>
      </c>
      <c r="Z1443" s="67">
        <f>IF(AND(ISNUMBER(P1443),N(P1443)&gt;0),N(P1443),0)</f>
        <v>0.0</v>
      </c>
    </row>
    <row r="1444">
      <c r="A1444" s="79" t="str">
        <f>IF(COUNTA(B1444:C1444,E1444:G1444,I1444)=0,"","BI-"&amp;RIGHT("0000"&amp;(ROW()-5),4))</f>
        <v/>
      </c>
      <c r="B1444" s="72" t="n"/>
      <c r="C1444" s="66" t="n"/>
      <c r="D1444" s="67" t="str">
        <f>IF(C1444="","",IFERROR(INDEX(eq_des,MATCH(C1444,eq_code,0))&amp;"","Équipement inconnu"))</f>
        <v/>
      </c>
      <c r="E1444" s="68" t="n"/>
      <c r="F1444" s="68" t="n"/>
      <c r="G1444" s="66" t="n"/>
      <c r="H1444" s="66" t="n"/>
      <c r="I1444" s="68" t="n"/>
      <c r="J1444" s="73" t="n"/>
      <c r="K1444" s="71" t="n"/>
      <c r="L1444" s="71" t="n"/>
      <c r="M1444" s="66" t="n"/>
      <c r="N1444" s="80" t="n"/>
      <c r="O1444" s="81" t="str">
        <f>IF(A1444="","",ROUND(V1444*IFERROR(N(INDEX(tech_rate,MATCH(M1444,tech_name,0))),0),2))</f>
        <v/>
      </c>
      <c r="P1444" s="80" t="n"/>
      <c r="Q1444" s="81" t="str">
        <f>IF(A1444="","",ROUND(Y1444+O1444+Z1444,2))</f>
        <v/>
      </c>
      <c r="R1444" s="79" t="str">
        <f>IF(A1444="","",IF(S1444=0,"Date manquante ou invalide",IF(C1444="","Équipement manquant",IF(ISNA(MATCH(C1444,eq_code,0)),"Équipement inconnu",IF(E1444="","Type manquant",IF(AND(E1444&lt;&gt;"Préventif",E1444&lt;&gt;"Correctif",E1444&lt;&gt;"Amélioratif"),"Type inconnu",IF(I1444="","Statut manquant",IF(AND(I1444&lt;&gt;"Terminée",I1444&lt;&gt;"En cours",I1444&lt;&gt;"À faire",I1444&lt;&gt;"Annulée"),"Statut inconnu",IF(AND(E1444="Préventif",F1444=""),"Plan manquant (préventif)",IF(AND(F1444&lt;&gt;"",ISNA(MATCH(F1444,pl_num,0))),"Plan inconnu",IF(AND(F1444&lt;&gt;"",IFERROR(INDEX(pl_eq,MATCH(F1444,pl_num,0))&amp;"",C1444)&lt;&gt;C1444),"Plan d'un autre équipement",IF(AND(J1444&lt;&gt;"",OR(NOT(ISNUMBER(J1444)),N(J1444)&lt;0)),"Compteur invalide",IF(OR(AND(K1444&lt;&gt;"",OR(NOT(ISNUMBER(K1444)),N(K1444)&lt;0)),AND(L1444&lt;&gt;"",OR(NOT(ISNUMBER(L1444)),N(L1444)&lt;0))),"Durée invalide",IF(OR(AND(N1444&lt;&gt;"",OR(NOT(ISNUMBER(N1444)),N(N1444)&lt;0)),AND(P1444&lt;&gt;"",OR(NOT(ISNUMBER(P1444)),N(P1444)&lt;0))),"Coût invalide",IF(AND(M1444&lt;&gt;"",ISNA(MATCH(M1444,tech_name,0))),"Technicien inconnu",IF(AND(I1444="Terminée",S1444&gt;p_today),"Terminée à une date future",IF(AND(I1444="Terminée",V1444=0),"Durée d'intervention manquante",IF(AND(I1444="Terminée",E1444="Préventif",T1444=0,OR(IFERROR(INDEX(pl_trig,MATCH(F1444,pl_num,0))&amp;"","")="Compteur",IFERROR(INDEX(pl_trig,MATCH(F1444,pl_num,0))&amp;"","")="Au premier des deux")),"Compteur manquant (plan au compteur)","OK"))))))))))))))))))</f>
        <v/>
      </c>
      <c r="S1444" s="67">
        <f>IF(AND(ISNUMBER(B1444),N(B1444)&gt;0),INT(B1444),0)</f>
        <v>0.0</v>
      </c>
      <c r="T1444" s="67">
        <f>IF(AND(ISNUMBER(J1444),N(J1444)&gt;=0),N(J1444),0)</f>
        <v>0.0</v>
      </c>
      <c r="U1444" s="67">
        <f>IF(AND(ISNUMBER(K1444),N(K1444)&gt;0),N(K1444),0)</f>
        <v>0.0</v>
      </c>
      <c r="V1444" s="67">
        <f>IF(AND(ISNUMBER(L1444),N(L1444)&gt;0),N(L1444),0)</f>
        <v>0.0</v>
      </c>
      <c r="W1444" s="67">
        <f>IF(AND(I1444="Terminée",S1444&gt;0,C1444&lt;&gt;"",ISNUMBER(MATCH(C1444,eq_code,0))),1,0)</f>
        <v>0.0</v>
      </c>
      <c r="X1444" s="67">
        <f>IF(AND(W1444=1,E1444="Préventif"),1,0)</f>
        <v>0.0</v>
      </c>
      <c r="Y1444" s="67">
        <f>IF(AND(ISNUMBER(N1444),N(N1444)&gt;0),N(N1444),0)</f>
        <v>0.0</v>
      </c>
      <c r="Z1444" s="67">
        <f>IF(AND(ISNUMBER(P1444),N(P1444)&gt;0),N(P1444),0)</f>
        <v>0.0</v>
      </c>
    </row>
    <row r="1445">
      <c r="A1445" s="79" t="str">
        <f>IF(COUNTA(B1445:C1445,E1445:G1445,I1445)=0,"","BI-"&amp;RIGHT("0000"&amp;(ROW()-5),4))</f>
        <v/>
      </c>
      <c r="B1445" s="72" t="n"/>
      <c r="C1445" s="66" t="n"/>
      <c r="D1445" s="67" t="str">
        <f>IF(C1445="","",IFERROR(INDEX(eq_des,MATCH(C1445,eq_code,0))&amp;"","Équipement inconnu"))</f>
        <v/>
      </c>
      <c r="E1445" s="68" t="n"/>
      <c r="F1445" s="68" t="n"/>
      <c r="G1445" s="66" t="n"/>
      <c r="H1445" s="66" t="n"/>
      <c r="I1445" s="68" t="n"/>
      <c r="J1445" s="73" t="n"/>
      <c r="K1445" s="71" t="n"/>
      <c r="L1445" s="71" t="n"/>
      <c r="M1445" s="66" t="n"/>
      <c r="N1445" s="80" t="n"/>
      <c r="O1445" s="81" t="str">
        <f>IF(A1445="","",ROUND(V1445*IFERROR(N(INDEX(tech_rate,MATCH(M1445,tech_name,0))),0),2))</f>
        <v/>
      </c>
      <c r="P1445" s="80" t="n"/>
      <c r="Q1445" s="81" t="str">
        <f>IF(A1445="","",ROUND(Y1445+O1445+Z1445,2))</f>
        <v/>
      </c>
      <c r="R1445" s="79" t="str">
        <f>IF(A1445="","",IF(S1445=0,"Date manquante ou invalide",IF(C1445="","Équipement manquant",IF(ISNA(MATCH(C1445,eq_code,0)),"Équipement inconnu",IF(E1445="","Type manquant",IF(AND(E1445&lt;&gt;"Préventif",E1445&lt;&gt;"Correctif",E1445&lt;&gt;"Amélioratif"),"Type inconnu",IF(I1445="","Statut manquant",IF(AND(I1445&lt;&gt;"Terminée",I1445&lt;&gt;"En cours",I1445&lt;&gt;"À faire",I1445&lt;&gt;"Annulée"),"Statut inconnu",IF(AND(E1445="Préventif",F1445=""),"Plan manquant (préventif)",IF(AND(F1445&lt;&gt;"",ISNA(MATCH(F1445,pl_num,0))),"Plan inconnu",IF(AND(F1445&lt;&gt;"",IFERROR(INDEX(pl_eq,MATCH(F1445,pl_num,0))&amp;"",C1445)&lt;&gt;C1445),"Plan d'un autre équipement",IF(AND(J1445&lt;&gt;"",OR(NOT(ISNUMBER(J1445)),N(J1445)&lt;0)),"Compteur invalide",IF(OR(AND(K1445&lt;&gt;"",OR(NOT(ISNUMBER(K1445)),N(K1445)&lt;0)),AND(L1445&lt;&gt;"",OR(NOT(ISNUMBER(L1445)),N(L1445)&lt;0))),"Durée invalide",IF(OR(AND(N1445&lt;&gt;"",OR(NOT(ISNUMBER(N1445)),N(N1445)&lt;0)),AND(P1445&lt;&gt;"",OR(NOT(ISNUMBER(P1445)),N(P1445)&lt;0))),"Coût invalide",IF(AND(M1445&lt;&gt;"",ISNA(MATCH(M1445,tech_name,0))),"Technicien inconnu",IF(AND(I1445="Terminée",S1445&gt;p_today),"Terminée à une date future",IF(AND(I1445="Terminée",V1445=0),"Durée d'intervention manquante",IF(AND(I1445="Terminée",E1445="Préventif",T1445=0,OR(IFERROR(INDEX(pl_trig,MATCH(F1445,pl_num,0))&amp;"","")="Compteur",IFERROR(INDEX(pl_trig,MATCH(F1445,pl_num,0))&amp;"","")="Au premier des deux")),"Compteur manquant (plan au compteur)","OK"))))))))))))))))))</f>
        <v/>
      </c>
      <c r="S1445" s="67">
        <f>IF(AND(ISNUMBER(B1445),N(B1445)&gt;0),INT(B1445),0)</f>
        <v>0.0</v>
      </c>
      <c r="T1445" s="67">
        <f>IF(AND(ISNUMBER(J1445),N(J1445)&gt;=0),N(J1445),0)</f>
        <v>0.0</v>
      </c>
      <c r="U1445" s="67">
        <f>IF(AND(ISNUMBER(K1445),N(K1445)&gt;0),N(K1445),0)</f>
        <v>0.0</v>
      </c>
      <c r="V1445" s="67">
        <f>IF(AND(ISNUMBER(L1445),N(L1445)&gt;0),N(L1445),0)</f>
        <v>0.0</v>
      </c>
      <c r="W1445" s="67">
        <f>IF(AND(I1445="Terminée",S1445&gt;0,C1445&lt;&gt;"",ISNUMBER(MATCH(C1445,eq_code,0))),1,0)</f>
        <v>0.0</v>
      </c>
      <c r="X1445" s="67">
        <f>IF(AND(W1445=1,E1445="Préventif"),1,0)</f>
        <v>0.0</v>
      </c>
      <c r="Y1445" s="67">
        <f>IF(AND(ISNUMBER(N1445),N(N1445)&gt;0),N(N1445),0)</f>
        <v>0.0</v>
      </c>
      <c r="Z1445" s="67">
        <f>IF(AND(ISNUMBER(P1445),N(P1445)&gt;0),N(P1445),0)</f>
        <v>0.0</v>
      </c>
    </row>
    <row r="1446">
      <c r="A1446" s="79" t="str">
        <f>IF(COUNTA(B1446:C1446,E1446:G1446,I1446)=0,"","BI-"&amp;RIGHT("0000"&amp;(ROW()-5),4))</f>
        <v/>
      </c>
      <c r="B1446" s="72" t="n"/>
      <c r="C1446" s="66" t="n"/>
      <c r="D1446" s="67" t="str">
        <f>IF(C1446="","",IFERROR(INDEX(eq_des,MATCH(C1446,eq_code,0))&amp;"","Équipement inconnu"))</f>
        <v/>
      </c>
      <c r="E1446" s="68" t="n"/>
      <c r="F1446" s="68" t="n"/>
      <c r="G1446" s="66" t="n"/>
      <c r="H1446" s="66" t="n"/>
      <c r="I1446" s="68" t="n"/>
      <c r="J1446" s="73" t="n"/>
      <c r="K1446" s="71" t="n"/>
      <c r="L1446" s="71" t="n"/>
      <c r="M1446" s="66" t="n"/>
      <c r="N1446" s="80" t="n"/>
      <c r="O1446" s="81" t="str">
        <f>IF(A1446="","",ROUND(V1446*IFERROR(N(INDEX(tech_rate,MATCH(M1446,tech_name,0))),0),2))</f>
        <v/>
      </c>
      <c r="P1446" s="80" t="n"/>
      <c r="Q1446" s="81" t="str">
        <f>IF(A1446="","",ROUND(Y1446+O1446+Z1446,2))</f>
        <v/>
      </c>
      <c r="R1446" s="79" t="str">
        <f>IF(A1446="","",IF(S1446=0,"Date manquante ou invalide",IF(C1446="","Équipement manquant",IF(ISNA(MATCH(C1446,eq_code,0)),"Équipement inconnu",IF(E1446="","Type manquant",IF(AND(E1446&lt;&gt;"Préventif",E1446&lt;&gt;"Correctif",E1446&lt;&gt;"Amélioratif"),"Type inconnu",IF(I1446="","Statut manquant",IF(AND(I1446&lt;&gt;"Terminée",I1446&lt;&gt;"En cours",I1446&lt;&gt;"À faire",I1446&lt;&gt;"Annulée"),"Statut inconnu",IF(AND(E1446="Préventif",F1446=""),"Plan manquant (préventif)",IF(AND(F1446&lt;&gt;"",ISNA(MATCH(F1446,pl_num,0))),"Plan inconnu",IF(AND(F1446&lt;&gt;"",IFERROR(INDEX(pl_eq,MATCH(F1446,pl_num,0))&amp;"",C1446)&lt;&gt;C1446),"Plan d'un autre équipement",IF(AND(J1446&lt;&gt;"",OR(NOT(ISNUMBER(J1446)),N(J1446)&lt;0)),"Compteur invalide",IF(OR(AND(K1446&lt;&gt;"",OR(NOT(ISNUMBER(K1446)),N(K1446)&lt;0)),AND(L1446&lt;&gt;"",OR(NOT(ISNUMBER(L1446)),N(L1446)&lt;0))),"Durée invalide",IF(OR(AND(N1446&lt;&gt;"",OR(NOT(ISNUMBER(N1446)),N(N1446)&lt;0)),AND(P1446&lt;&gt;"",OR(NOT(ISNUMBER(P1446)),N(P1446)&lt;0))),"Coût invalide",IF(AND(M1446&lt;&gt;"",ISNA(MATCH(M1446,tech_name,0))),"Technicien inconnu",IF(AND(I1446="Terminée",S1446&gt;p_today),"Terminée à une date future",IF(AND(I1446="Terminée",V1446=0),"Durée d'intervention manquante",IF(AND(I1446="Terminée",E1446="Préventif",T1446=0,OR(IFERROR(INDEX(pl_trig,MATCH(F1446,pl_num,0))&amp;"","")="Compteur",IFERROR(INDEX(pl_trig,MATCH(F1446,pl_num,0))&amp;"","")="Au premier des deux")),"Compteur manquant (plan au compteur)","OK"))))))))))))))))))</f>
        <v/>
      </c>
      <c r="S1446" s="67">
        <f>IF(AND(ISNUMBER(B1446),N(B1446)&gt;0),INT(B1446),0)</f>
        <v>0.0</v>
      </c>
      <c r="T1446" s="67">
        <f>IF(AND(ISNUMBER(J1446),N(J1446)&gt;=0),N(J1446),0)</f>
        <v>0.0</v>
      </c>
      <c r="U1446" s="67">
        <f>IF(AND(ISNUMBER(K1446),N(K1446)&gt;0),N(K1446),0)</f>
        <v>0.0</v>
      </c>
      <c r="V1446" s="67">
        <f>IF(AND(ISNUMBER(L1446),N(L1446)&gt;0),N(L1446),0)</f>
        <v>0.0</v>
      </c>
      <c r="W1446" s="67">
        <f>IF(AND(I1446="Terminée",S1446&gt;0,C1446&lt;&gt;"",ISNUMBER(MATCH(C1446,eq_code,0))),1,0)</f>
        <v>0.0</v>
      </c>
      <c r="X1446" s="67">
        <f>IF(AND(W1446=1,E1446="Préventif"),1,0)</f>
        <v>0.0</v>
      </c>
      <c r="Y1446" s="67">
        <f>IF(AND(ISNUMBER(N1446),N(N1446)&gt;0),N(N1446),0)</f>
        <v>0.0</v>
      </c>
      <c r="Z1446" s="67">
        <f>IF(AND(ISNUMBER(P1446),N(P1446)&gt;0),N(P1446),0)</f>
        <v>0.0</v>
      </c>
    </row>
    <row r="1447">
      <c r="A1447" s="79" t="str">
        <f>IF(COUNTA(B1447:C1447,E1447:G1447,I1447)=0,"","BI-"&amp;RIGHT("0000"&amp;(ROW()-5),4))</f>
        <v/>
      </c>
      <c r="B1447" s="72" t="n"/>
      <c r="C1447" s="66" t="n"/>
      <c r="D1447" s="67" t="str">
        <f>IF(C1447="","",IFERROR(INDEX(eq_des,MATCH(C1447,eq_code,0))&amp;"","Équipement inconnu"))</f>
        <v/>
      </c>
      <c r="E1447" s="68" t="n"/>
      <c r="F1447" s="68" t="n"/>
      <c r="G1447" s="66" t="n"/>
      <c r="H1447" s="66" t="n"/>
      <c r="I1447" s="68" t="n"/>
      <c r="J1447" s="73" t="n"/>
      <c r="K1447" s="71" t="n"/>
      <c r="L1447" s="71" t="n"/>
      <c r="M1447" s="66" t="n"/>
      <c r="N1447" s="80" t="n"/>
      <c r="O1447" s="81" t="str">
        <f>IF(A1447="","",ROUND(V1447*IFERROR(N(INDEX(tech_rate,MATCH(M1447,tech_name,0))),0),2))</f>
        <v/>
      </c>
      <c r="P1447" s="80" t="n"/>
      <c r="Q1447" s="81" t="str">
        <f>IF(A1447="","",ROUND(Y1447+O1447+Z1447,2))</f>
        <v/>
      </c>
      <c r="R1447" s="79" t="str">
        <f>IF(A1447="","",IF(S1447=0,"Date manquante ou invalide",IF(C1447="","Équipement manquant",IF(ISNA(MATCH(C1447,eq_code,0)),"Équipement inconnu",IF(E1447="","Type manquant",IF(AND(E1447&lt;&gt;"Préventif",E1447&lt;&gt;"Correctif",E1447&lt;&gt;"Amélioratif"),"Type inconnu",IF(I1447="","Statut manquant",IF(AND(I1447&lt;&gt;"Terminée",I1447&lt;&gt;"En cours",I1447&lt;&gt;"À faire",I1447&lt;&gt;"Annulée"),"Statut inconnu",IF(AND(E1447="Préventif",F1447=""),"Plan manquant (préventif)",IF(AND(F1447&lt;&gt;"",ISNA(MATCH(F1447,pl_num,0))),"Plan inconnu",IF(AND(F1447&lt;&gt;"",IFERROR(INDEX(pl_eq,MATCH(F1447,pl_num,0))&amp;"",C1447)&lt;&gt;C1447),"Plan d'un autre équipement",IF(AND(J1447&lt;&gt;"",OR(NOT(ISNUMBER(J1447)),N(J1447)&lt;0)),"Compteur invalide",IF(OR(AND(K1447&lt;&gt;"",OR(NOT(ISNUMBER(K1447)),N(K1447)&lt;0)),AND(L1447&lt;&gt;"",OR(NOT(ISNUMBER(L1447)),N(L1447)&lt;0))),"Durée invalide",IF(OR(AND(N1447&lt;&gt;"",OR(NOT(ISNUMBER(N1447)),N(N1447)&lt;0)),AND(P1447&lt;&gt;"",OR(NOT(ISNUMBER(P1447)),N(P1447)&lt;0))),"Coût invalide",IF(AND(M1447&lt;&gt;"",ISNA(MATCH(M1447,tech_name,0))),"Technicien inconnu",IF(AND(I1447="Terminée",S1447&gt;p_today),"Terminée à une date future",IF(AND(I1447="Terminée",V1447=0),"Durée d'intervention manquante",IF(AND(I1447="Terminée",E1447="Préventif",T1447=0,OR(IFERROR(INDEX(pl_trig,MATCH(F1447,pl_num,0))&amp;"","")="Compteur",IFERROR(INDEX(pl_trig,MATCH(F1447,pl_num,0))&amp;"","")="Au premier des deux")),"Compteur manquant (plan au compteur)","OK"))))))))))))))))))</f>
        <v/>
      </c>
      <c r="S1447" s="67">
        <f>IF(AND(ISNUMBER(B1447),N(B1447)&gt;0),INT(B1447),0)</f>
        <v>0.0</v>
      </c>
      <c r="T1447" s="67">
        <f>IF(AND(ISNUMBER(J1447),N(J1447)&gt;=0),N(J1447),0)</f>
        <v>0.0</v>
      </c>
      <c r="U1447" s="67">
        <f>IF(AND(ISNUMBER(K1447),N(K1447)&gt;0),N(K1447),0)</f>
        <v>0.0</v>
      </c>
      <c r="V1447" s="67">
        <f>IF(AND(ISNUMBER(L1447),N(L1447)&gt;0),N(L1447),0)</f>
        <v>0.0</v>
      </c>
      <c r="W1447" s="67">
        <f>IF(AND(I1447="Terminée",S1447&gt;0,C1447&lt;&gt;"",ISNUMBER(MATCH(C1447,eq_code,0))),1,0)</f>
        <v>0.0</v>
      </c>
      <c r="X1447" s="67">
        <f>IF(AND(W1447=1,E1447="Préventif"),1,0)</f>
        <v>0.0</v>
      </c>
      <c r="Y1447" s="67">
        <f>IF(AND(ISNUMBER(N1447),N(N1447)&gt;0),N(N1447),0)</f>
        <v>0.0</v>
      </c>
      <c r="Z1447" s="67">
        <f>IF(AND(ISNUMBER(P1447),N(P1447)&gt;0),N(P1447),0)</f>
        <v>0.0</v>
      </c>
    </row>
    <row r="1448">
      <c r="A1448" s="79" t="str">
        <f>IF(COUNTA(B1448:C1448,E1448:G1448,I1448)=0,"","BI-"&amp;RIGHT("0000"&amp;(ROW()-5),4))</f>
        <v/>
      </c>
      <c r="B1448" s="72" t="n"/>
      <c r="C1448" s="66" t="n"/>
      <c r="D1448" s="67" t="str">
        <f>IF(C1448="","",IFERROR(INDEX(eq_des,MATCH(C1448,eq_code,0))&amp;"","Équipement inconnu"))</f>
        <v/>
      </c>
      <c r="E1448" s="68" t="n"/>
      <c r="F1448" s="68" t="n"/>
      <c r="G1448" s="66" t="n"/>
      <c r="H1448" s="66" t="n"/>
      <c r="I1448" s="68" t="n"/>
      <c r="J1448" s="73" t="n"/>
      <c r="K1448" s="71" t="n"/>
      <c r="L1448" s="71" t="n"/>
      <c r="M1448" s="66" t="n"/>
      <c r="N1448" s="80" t="n"/>
      <c r="O1448" s="81" t="str">
        <f>IF(A1448="","",ROUND(V1448*IFERROR(N(INDEX(tech_rate,MATCH(M1448,tech_name,0))),0),2))</f>
        <v/>
      </c>
      <c r="P1448" s="80" t="n"/>
      <c r="Q1448" s="81" t="str">
        <f>IF(A1448="","",ROUND(Y1448+O1448+Z1448,2))</f>
        <v/>
      </c>
      <c r="R1448" s="79" t="str">
        <f>IF(A1448="","",IF(S1448=0,"Date manquante ou invalide",IF(C1448="","Équipement manquant",IF(ISNA(MATCH(C1448,eq_code,0)),"Équipement inconnu",IF(E1448="","Type manquant",IF(AND(E1448&lt;&gt;"Préventif",E1448&lt;&gt;"Correctif",E1448&lt;&gt;"Amélioratif"),"Type inconnu",IF(I1448="","Statut manquant",IF(AND(I1448&lt;&gt;"Terminée",I1448&lt;&gt;"En cours",I1448&lt;&gt;"À faire",I1448&lt;&gt;"Annulée"),"Statut inconnu",IF(AND(E1448="Préventif",F1448=""),"Plan manquant (préventif)",IF(AND(F1448&lt;&gt;"",ISNA(MATCH(F1448,pl_num,0))),"Plan inconnu",IF(AND(F1448&lt;&gt;"",IFERROR(INDEX(pl_eq,MATCH(F1448,pl_num,0))&amp;"",C1448)&lt;&gt;C1448),"Plan d'un autre équipement",IF(AND(J1448&lt;&gt;"",OR(NOT(ISNUMBER(J1448)),N(J1448)&lt;0)),"Compteur invalide",IF(OR(AND(K1448&lt;&gt;"",OR(NOT(ISNUMBER(K1448)),N(K1448)&lt;0)),AND(L1448&lt;&gt;"",OR(NOT(ISNUMBER(L1448)),N(L1448)&lt;0))),"Durée invalide",IF(OR(AND(N1448&lt;&gt;"",OR(NOT(ISNUMBER(N1448)),N(N1448)&lt;0)),AND(P1448&lt;&gt;"",OR(NOT(ISNUMBER(P1448)),N(P1448)&lt;0))),"Coût invalide",IF(AND(M1448&lt;&gt;"",ISNA(MATCH(M1448,tech_name,0))),"Technicien inconnu",IF(AND(I1448="Terminée",S1448&gt;p_today),"Terminée à une date future",IF(AND(I1448="Terminée",V1448=0),"Durée d'intervention manquante",IF(AND(I1448="Terminée",E1448="Préventif",T1448=0,OR(IFERROR(INDEX(pl_trig,MATCH(F1448,pl_num,0))&amp;"","")="Compteur",IFERROR(INDEX(pl_trig,MATCH(F1448,pl_num,0))&amp;"","")="Au premier des deux")),"Compteur manquant (plan au compteur)","OK"))))))))))))))))))</f>
        <v/>
      </c>
      <c r="S1448" s="67">
        <f>IF(AND(ISNUMBER(B1448),N(B1448)&gt;0),INT(B1448),0)</f>
        <v>0.0</v>
      </c>
      <c r="T1448" s="67">
        <f>IF(AND(ISNUMBER(J1448),N(J1448)&gt;=0),N(J1448),0)</f>
        <v>0.0</v>
      </c>
      <c r="U1448" s="67">
        <f>IF(AND(ISNUMBER(K1448),N(K1448)&gt;0),N(K1448),0)</f>
        <v>0.0</v>
      </c>
      <c r="V1448" s="67">
        <f>IF(AND(ISNUMBER(L1448),N(L1448)&gt;0),N(L1448),0)</f>
        <v>0.0</v>
      </c>
      <c r="W1448" s="67">
        <f>IF(AND(I1448="Terminée",S1448&gt;0,C1448&lt;&gt;"",ISNUMBER(MATCH(C1448,eq_code,0))),1,0)</f>
        <v>0.0</v>
      </c>
      <c r="X1448" s="67">
        <f>IF(AND(W1448=1,E1448="Préventif"),1,0)</f>
        <v>0.0</v>
      </c>
      <c r="Y1448" s="67">
        <f>IF(AND(ISNUMBER(N1448),N(N1448)&gt;0),N(N1448),0)</f>
        <v>0.0</v>
      </c>
      <c r="Z1448" s="67">
        <f>IF(AND(ISNUMBER(P1448),N(P1448)&gt;0),N(P1448),0)</f>
        <v>0.0</v>
      </c>
    </row>
    <row r="1449">
      <c r="A1449" s="79" t="str">
        <f>IF(COUNTA(B1449:C1449,E1449:G1449,I1449)=0,"","BI-"&amp;RIGHT("0000"&amp;(ROW()-5),4))</f>
        <v/>
      </c>
      <c r="B1449" s="72" t="n"/>
      <c r="C1449" s="66" t="n"/>
      <c r="D1449" s="67" t="str">
        <f>IF(C1449="","",IFERROR(INDEX(eq_des,MATCH(C1449,eq_code,0))&amp;"","Équipement inconnu"))</f>
        <v/>
      </c>
      <c r="E1449" s="68" t="n"/>
      <c r="F1449" s="68" t="n"/>
      <c r="G1449" s="66" t="n"/>
      <c r="H1449" s="66" t="n"/>
      <c r="I1449" s="68" t="n"/>
      <c r="J1449" s="73" t="n"/>
      <c r="K1449" s="71" t="n"/>
      <c r="L1449" s="71" t="n"/>
      <c r="M1449" s="66" t="n"/>
      <c r="N1449" s="80" t="n"/>
      <c r="O1449" s="81" t="str">
        <f>IF(A1449="","",ROUND(V1449*IFERROR(N(INDEX(tech_rate,MATCH(M1449,tech_name,0))),0),2))</f>
        <v/>
      </c>
      <c r="P1449" s="80" t="n"/>
      <c r="Q1449" s="81" t="str">
        <f>IF(A1449="","",ROUND(Y1449+O1449+Z1449,2))</f>
        <v/>
      </c>
      <c r="R1449" s="79" t="str">
        <f>IF(A1449="","",IF(S1449=0,"Date manquante ou invalide",IF(C1449="","Équipement manquant",IF(ISNA(MATCH(C1449,eq_code,0)),"Équipement inconnu",IF(E1449="","Type manquant",IF(AND(E1449&lt;&gt;"Préventif",E1449&lt;&gt;"Correctif",E1449&lt;&gt;"Amélioratif"),"Type inconnu",IF(I1449="","Statut manquant",IF(AND(I1449&lt;&gt;"Terminée",I1449&lt;&gt;"En cours",I1449&lt;&gt;"À faire",I1449&lt;&gt;"Annulée"),"Statut inconnu",IF(AND(E1449="Préventif",F1449=""),"Plan manquant (préventif)",IF(AND(F1449&lt;&gt;"",ISNA(MATCH(F1449,pl_num,0))),"Plan inconnu",IF(AND(F1449&lt;&gt;"",IFERROR(INDEX(pl_eq,MATCH(F1449,pl_num,0))&amp;"",C1449)&lt;&gt;C1449),"Plan d'un autre équipement",IF(AND(J1449&lt;&gt;"",OR(NOT(ISNUMBER(J1449)),N(J1449)&lt;0)),"Compteur invalide",IF(OR(AND(K1449&lt;&gt;"",OR(NOT(ISNUMBER(K1449)),N(K1449)&lt;0)),AND(L1449&lt;&gt;"",OR(NOT(ISNUMBER(L1449)),N(L1449)&lt;0))),"Durée invalide",IF(OR(AND(N1449&lt;&gt;"",OR(NOT(ISNUMBER(N1449)),N(N1449)&lt;0)),AND(P1449&lt;&gt;"",OR(NOT(ISNUMBER(P1449)),N(P1449)&lt;0))),"Coût invalide",IF(AND(M1449&lt;&gt;"",ISNA(MATCH(M1449,tech_name,0))),"Technicien inconnu",IF(AND(I1449="Terminée",S1449&gt;p_today),"Terminée à une date future",IF(AND(I1449="Terminée",V1449=0),"Durée d'intervention manquante",IF(AND(I1449="Terminée",E1449="Préventif",T1449=0,OR(IFERROR(INDEX(pl_trig,MATCH(F1449,pl_num,0))&amp;"","")="Compteur",IFERROR(INDEX(pl_trig,MATCH(F1449,pl_num,0))&amp;"","")="Au premier des deux")),"Compteur manquant (plan au compteur)","OK"))))))))))))))))))</f>
        <v/>
      </c>
      <c r="S1449" s="67">
        <f>IF(AND(ISNUMBER(B1449),N(B1449)&gt;0),INT(B1449),0)</f>
        <v>0.0</v>
      </c>
      <c r="T1449" s="67">
        <f>IF(AND(ISNUMBER(J1449),N(J1449)&gt;=0),N(J1449),0)</f>
        <v>0.0</v>
      </c>
      <c r="U1449" s="67">
        <f>IF(AND(ISNUMBER(K1449),N(K1449)&gt;0),N(K1449),0)</f>
        <v>0.0</v>
      </c>
      <c r="V1449" s="67">
        <f>IF(AND(ISNUMBER(L1449),N(L1449)&gt;0),N(L1449),0)</f>
        <v>0.0</v>
      </c>
      <c r="W1449" s="67">
        <f>IF(AND(I1449="Terminée",S1449&gt;0,C1449&lt;&gt;"",ISNUMBER(MATCH(C1449,eq_code,0))),1,0)</f>
        <v>0.0</v>
      </c>
      <c r="X1449" s="67">
        <f>IF(AND(W1449=1,E1449="Préventif"),1,0)</f>
        <v>0.0</v>
      </c>
      <c r="Y1449" s="67">
        <f>IF(AND(ISNUMBER(N1449),N(N1449)&gt;0),N(N1449),0)</f>
        <v>0.0</v>
      </c>
      <c r="Z1449" s="67">
        <f>IF(AND(ISNUMBER(P1449),N(P1449)&gt;0),N(P1449),0)</f>
        <v>0.0</v>
      </c>
    </row>
    <row r="1450">
      <c r="A1450" s="79" t="str">
        <f>IF(COUNTA(B1450:C1450,E1450:G1450,I1450)=0,"","BI-"&amp;RIGHT("0000"&amp;(ROW()-5),4))</f>
        <v/>
      </c>
      <c r="B1450" s="72" t="n"/>
      <c r="C1450" s="66" t="n"/>
      <c r="D1450" s="67" t="str">
        <f>IF(C1450="","",IFERROR(INDEX(eq_des,MATCH(C1450,eq_code,0))&amp;"","Équipement inconnu"))</f>
        <v/>
      </c>
      <c r="E1450" s="68" t="n"/>
      <c r="F1450" s="68" t="n"/>
      <c r="G1450" s="66" t="n"/>
      <c r="H1450" s="66" t="n"/>
      <c r="I1450" s="68" t="n"/>
      <c r="J1450" s="73" t="n"/>
      <c r="K1450" s="71" t="n"/>
      <c r="L1450" s="71" t="n"/>
      <c r="M1450" s="66" t="n"/>
      <c r="N1450" s="80" t="n"/>
      <c r="O1450" s="81" t="str">
        <f>IF(A1450="","",ROUND(V1450*IFERROR(N(INDEX(tech_rate,MATCH(M1450,tech_name,0))),0),2))</f>
        <v/>
      </c>
      <c r="P1450" s="80" t="n"/>
      <c r="Q1450" s="81" t="str">
        <f>IF(A1450="","",ROUND(Y1450+O1450+Z1450,2))</f>
        <v/>
      </c>
      <c r="R1450" s="79" t="str">
        <f>IF(A1450="","",IF(S1450=0,"Date manquante ou invalide",IF(C1450="","Équipement manquant",IF(ISNA(MATCH(C1450,eq_code,0)),"Équipement inconnu",IF(E1450="","Type manquant",IF(AND(E1450&lt;&gt;"Préventif",E1450&lt;&gt;"Correctif",E1450&lt;&gt;"Amélioratif"),"Type inconnu",IF(I1450="","Statut manquant",IF(AND(I1450&lt;&gt;"Terminée",I1450&lt;&gt;"En cours",I1450&lt;&gt;"À faire",I1450&lt;&gt;"Annulée"),"Statut inconnu",IF(AND(E1450="Préventif",F1450=""),"Plan manquant (préventif)",IF(AND(F1450&lt;&gt;"",ISNA(MATCH(F1450,pl_num,0))),"Plan inconnu",IF(AND(F1450&lt;&gt;"",IFERROR(INDEX(pl_eq,MATCH(F1450,pl_num,0))&amp;"",C1450)&lt;&gt;C1450),"Plan d'un autre équipement",IF(AND(J1450&lt;&gt;"",OR(NOT(ISNUMBER(J1450)),N(J1450)&lt;0)),"Compteur invalide",IF(OR(AND(K1450&lt;&gt;"",OR(NOT(ISNUMBER(K1450)),N(K1450)&lt;0)),AND(L1450&lt;&gt;"",OR(NOT(ISNUMBER(L1450)),N(L1450)&lt;0))),"Durée invalide",IF(OR(AND(N1450&lt;&gt;"",OR(NOT(ISNUMBER(N1450)),N(N1450)&lt;0)),AND(P1450&lt;&gt;"",OR(NOT(ISNUMBER(P1450)),N(P1450)&lt;0))),"Coût invalide",IF(AND(M1450&lt;&gt;"",ISNA(MATCH(M1450,tech_name,0))),"Technicien inconnu",IF(AND(I1450="Terminée",S1450&gt;p_today),"Terminée à une date future",IF(AND(I1450="Terminée",V1450=0),"Durée d'intervention manquante",IF(AND(I1450="Terminée",E1450="Préventif",T1450=0,OR(IFERROR(INDEX(pl_trig,MATCH(F1450,pl_num,0))&amp;"","")="Compteur",IFERROR(INDEX(pl_trig,MATCH(F1450,pl_num,0))&amp;"","")="Au premier des deux")),"Compteur manquant (plan au compteur)","OK"))))))))))))))))))</f>
        <v/>
      </c>
      <c r="S1450" s="67">
        <f>IF(AND(ISNUMBER(B1450),N(B1450)&gt;0),INT(B1450),0)</f>
        <v>0.0</v>
      </c>
      <c r="T1450" s="67">
        <f>IF(AND(ISNUMBER(J1450),N(J1450)&gt;=0),N(J1450),0)</f>
        <v>0.0</v>
      </c>
      <c r="U1450" s="67">
        <f>IF(AND(ISNUMBER(K1450),N(K1450)&gt;0),N(K1450),0)</f>
        <v>0.0</v>
      </c>
      <c r="V1450" s="67">
        <f>IF(AND(ISNUMBER(L1450),N(L1450)&gt;0),N(L1450),0)</f>
        <v>0.0</v>
      </c>
      <c r="W1450" s="67">
        <f>IF(AND(I1450="Terminée",S1450&gt;0,C1450&lt;&gt;"",ISNUMBER(MATCH(C1450,eq_code,0))),1,0)</f>
        <v>0.0</v>
      </c>
      <c r="X1450" s="67">
        <f>IF(AND(W1450=1,E1450="Préventif"),1,0)</f>
        <v>0.0</v>
      </c>
      <c r="Y1450" s="67">
        <f>IF(AND(ISNUMBER(N1450),N(N1450)&gt;0),N(N1450),0)</f>
        <v>0.0</v>
      </c>
      <c r="Z1450" s="67">
        <f>IF(AND(ISNUMBER(P1450),N(P1450)&gt;0),N(P1450),0)</f>
        <v>0.0</v>
      </c>
    </row>
    <row r="1451">
      <c r="A1451" s="79" t="str">
        <f>IF(COUNTA(B1451:C1451,E1451:G1451,I1451)=0,"","BI-"&amp;RIGHT("0000"&amp;(ROW()-5),4))</f>
        <v/>
      </c>
      <c r="B1451" s="72" t="n"/>
      <c r="C1451" s="66" t="n"/>
      <c r="D1451" s="67" t="str">
        <f>IF(C1451="","",IFERROR(INDEX(eq_des,MATCH(C1451,eq_code,0))&amp;"","Équipement inconnu"))</f>
        <v/>
      </c>
      <c r="E1451" s="68" t="n"/>
      <c r="F1451" s="68" t="n"/>
      <c r="G1451" s="66" t="n"/>
      <c r="H1451" s="66" t="n"/>
      <c r="I1451" s="68" t="n"/>
      <c r="J1451" s="73" t="n"/>
      <c r="K1451" s="71" t="n"/>
      <c r="L1451" s="71" t="n"/>
      <c r="M1451" s="66" t="n"/>
      <c r="N1451" s="80" t="n"/>
      <c r="O1451" s="81" t="str">
        <f>IF(A1451="","",ROUND(V1451*IFERROR(N(INDEX(tech_rate,MATCH(M1451,tech_name,0))),0),2))</f>
        <v/>
      </c>
      <c r="P1451" s="80" t="n"/>
      <c r="Q1451" s="81" t="str">
        <f>IF(A1451="","",ROUND(Y1451+O1451+Z1451,2))</f>
        <v/>
      </c>
      <c r="R1451" s="79" t="str">
        <f>IF(A1451="","",IF(S1451=0,"Date manquante ou invalide",IF(C1451="","Équipement manquant",IF(ISNA(MATCH(C1451,eq_code,0)),"Équipement inconnu",IF(E1451="","Type manquant",IF(AND(E1451&lt;&gt;"Préventif",E1451&lt;&gt;"Correctif",E1451&lt;&gt;"Amélioratif"),"Type inconnu",IF(I1451="","Statut manquant",IF(AND(I1451&lt;&gt;"Terminée",I1451&lt;&gt;"En cours",I1451&lt;&gt;"À faire",I1451&lt;&gt;"Annulée"),"Statut inconnu",IF(AND(E1451="Préventif",F1451=""),"Plan manquant (préventif)",IF(AND(F1451&lt;&gt;"",ISNA(MATCH(F1451,pl_num,0))),"Plan inconnu",IF(AND(F1451&lt;&gt;"",IFERROR(INDEX(pl_eq,MATCH(F1451,pl_num,0))&amp;"",C1451)&lt;&gt;C1451),"Plan d'un autre équipement",IF(AND(J1451&lt;&gt;"",OR(NOT(ISNUMBER(J1451)),N(J1451)&lt;0)),"Compteur invalide",IF(OR(AND(K1451&lt;&gt;"",OR(NOT(ISNUMBER(K1451)),N(K1451)&lt;0)),AND(L1451&lt;&gt;"",OR(NOT(ISNUMBER(L1451)),N(L1451)&lt;0))),"Durée invalide",IF(OR(AND(N1451&lt;&gt;"",OR(NOT(ISNUMBER(N1451)),N(N1451)&lt;0)),AND(P1451&lt;&gt;"",OR(NOT(ISNUMBER(P1451)),N(P1451)&lt;0))),"Coût invalide",IF(AND(M1451&lt;&gt;"",ISNA(MATCH(M1451,tech_name,0))),"Technicien inconnu",IF(AND(I1451="Terminée",S1451&gt;p_today),"Terminée à une date future",IF(AND(I1451="Terminée",V1451=0),"Durée d'intervention manquante",IF(AND(I1451="Terminée",E1451="Préventif",T1451=0,OR(IFERROR(INDEX(pl_trig,MATCH(F1451,pl_num,0))&amp;"","")="Compteur",IFERROR(INDEX(pl_trig,MATCH(F1451,pl_num,0))&amp;"","")="Au premier des deux")),"Compteur manquant (plan au compteur)","OK"))))))))))))))))))</f>
        <v/>
      </c>
      <c r="S1451" s="67">
        <f>IF(AND(ISNUMBER(B1451),N(B1451)&gt;0),INT(B1451),0)</f>
        <v>0.0</v>
      </c>
      <c r="T1451" s="67">
        <f>IF(AND(ISNUMBER(J1451),N(J1451)&gt;=0),N(J1451),0)</f>
        <v>0.0</v>
      </c>
      <c r="U1451" s="67">
        <f>IF(AND(ISNUMBER(K1451),N(K1451)&gt;0),N(K1451),0)</f>
        <v>0.0</v>
      </c>
      <c r="V1451" s="67">
        <f>IF(AND(ISNUMBER(L1451),N(L1451)&gt;0),N(L1451),0)</f>
        <v>0.0</v>
      </c>
      <c r="W1451" s="67">
        <f>IF(AND(I1451="Terminée",S1451&gt;0,C1451&lt;&gt;"",ISNUMBER(MATCH(C1451,eq_code,0))),1,0)</f>
        <v>0.0</v>
      </c>
      <c r="X1451" s="67">
        <f>IF(AND(W1451=1,E1451="Préventif"),1,0)</f>
        <v>0.0</v>
      </c>
      <c r="Y1451" s="67">
        <f>IF(AND(ISNUMBER(N1451),N(N1451)&gt;0),N(N1451),0)</f>
        <v>0.0</v>
      </c>
      <c r="Z1451" s="67">
        <f>IF(AND(ISNUMBER(P1451),N(P1451)&gt;0),N(P1451),0)</f>
        <v>0.0</v>
      </c>
    </row>
    <row r="1452">
      <c r="A1452" s="79" t="str">
        <f>IF(COUNTA(B1452:C1452,E1452:G1452,I1452)=0,"","BI-"&amp;RIGHT("0000"&amp;(ROW()-5),4))</f>
        <v/>
      </c>
      <c r="B1452" s="72" t="n"/>
      <c r="C1452" s="66" t="n"/>
      <c r="D1452" s="67" t="str">
        <f>IF(C1452="","",IFERROR(INDEX(eq_des,MATCH(C1452,eq_code,0))&amp;"","Équipement inconnu"))</f>
        <v/>
      </c>
      <c r="E1452" s="68" t="n"/>
      <c r="F1452" s="68" t="n"/>
      <c r="G1452" s="66" t="n"/>
      <c r="H1452" s="66" t="n"/>
      <c r="I1452" s="68" t="n"/>
      <c r="J1452" s="73" t="n"/>
      <c r="K1452" s="71" t="n"/>
      <c r="L1452" s="71" t="n"/>
      <c r="M1452" s="66" t="n"/>
      <c r="N1452" s="80" t="n"/>
      <c r="O1452" s="81" t="str">
        <f>IF(A1452="","",ROUND(V1452*IFERROR(N(INDEX(tech_rate,MATCH(M1452,tech_name,0))),0),2))</f>
        <v/>
      </c>
      <c r="P1452" s="80" t="n"/>
      <c r="Q1452" s="81" t="str">
        <f>IF(A1452="","",ROUND(Y1452+O1452+Z1452,2))</f>
        <v/>
      </c>
      <c r="R1452" s="79" t="str">
        <f>IF(A1452="","",IF(S1452=0,"Date manquante ou invalide",IF(C1452="","Équipement manquant",IF(ISNA(MATCH(C1452,eq_code,0)),"Équipement inconnu",IF(E1452="","Type manquant",IF(AND(E1452&lt;&gt;"Préventif",E1452&lt;&gt;"Correctif",E1452&lt;&gt;"Amélioratif"),"Type inconnu",IF(I1452="","Statut manquant",IF(AND(I1452&lt;&gt;"Terminée",I1452&lt;&gt;"En cours",I1452&lt;&gt;"À faire",I1452&lt;&gt;"Annulée"),"Statut inconnu",IF(AND(E1452="Préventif",F1452=""),"Plan manquant (préventif)",IF(AND(F1452&lt;&gt;"",ISNA(MATCH(F1452,pl_num,0))),"Plan inconnu",IF(AND(F1452&lt;&gt;"",IFERROR(INDEX(pl_eq,MATCH(F1452,pl_num,0))&amp;"",C1452)&lt;&gt;C1452),"Plan d'un autre équipement",IF(AND(J1452&lt;&gt;"",OR(NOT(ISNUMBER(J1452)),N(J1452)&lt;0)),"Compteur invalide",IF(OR(AND(K1452&lt;&gt;"",OR(NOT(ISNUMBER(K1452)),N(K1452)&lt;0)),AND(L1452&lt;&gt;"",OR(NOT(ISNUMBER(L1452)),N(L1452)&lt;0))),"Durée invalide",IF(OR(AND(N1452&lt;&gt;"",OR(NOT(ISNUMBER(N1452)),N(N1452)&lt;0)),AND(P1452&lt;&gt;"",OR(NOT(ISNUMBER(P1452)),N(P1452)&lt;0))),"Coût invalide",IF(AND(M1452&lt;&gt;"",ISNA(MATCH(M1452,tech_name,0))),"Technicien inconnu",IF(AND(I1452="Terminée",S1452&gt;p_today),"Terminée à une date future",IF(AND(I1452="Terminée",V1452=0),"Durée d'intervention manquante",IF(AND(I1452="Terminée",E1452="Préventif",T1452=0,OR(IFERROR(INDEX(pl_trig,MATCH(F1452,pl_num,0))&amp;"","")="Compteur",IFERROR(INDEX(pl_trig,MATCH(F1452,pl_num,0))&amp;"","")="Au premier des deux")),"Compteur manquant (plan au compteur)","OK"))))))))))))))))))</f>
        <v/>
      </c>
      <c r="S1452" s="67">
        <f>IF(AND(ISNUMBER(B1452),N(B1452)&gt;0),INT(B1452),0)</f>
        <v>0.0</v>
      </c>
      <c r="T1452" s="67">
        <f>IF(AND(ISNUMBER(J1452),N(J1452)&gt;=0),N(J1452),0)</f>
        <v>0.0</v>
      </c>
      <c r="U1452" s="67">
        <f>IF(AND(ISNUMBER(K1452),N(K1452)&gt;0),N(K1452),0)</f>
        <v>0.0</v>
      </c>
      <c r="V1452" s="67">
        <f>IF(AND(ISNUMBER(L1452),N(L1452)&gt;0),N(L1452),0)</f>
        <v>0.0</v>
      </c>
      <c r="W1452" s="67">
        <f>IF(AND(I1452="Terminée",S1452&gt;0,C1452&lt;&gt;"",ISNUMBER(MATCH(C1452,eq_code,0))),1,0)</f>
        <v>0.0</v>
      </c>
      <c r="X1452" s="67">
        <f>IF(AND(W1452=1,E1452="Préventif"),1,0)</f>
        <v>0.0</v>
      </c>
      <c r="Y1452" s="67">
        <f>IF(AND(ISNUMBER(N1452),N(N1452)&gt;0),N(N1452),0)</f>
        <v>0.0</v>
      </c>
      <c r="Z1452" s="67">
        <f>IF(AND(ISNUMBER(P1452),N(P1452)&gt;0),N(P1452),0)</f>
        <v>0.0</v>
      </c>
    </row>
    <row r="1453">
      <c r="A1453" s="79" t="str">
        <f>IF(COUNTA(B1453:C1453,E1453:G1453,I1453)=0,"","BI-"&amp;RIGHT("0000"&amp;(ROW()-5),4))</f>
        <v/>
      </c>
      <c r="B1453" s="72" t="n"/>
      <c r="C1453" s="66" t="n"/>
      <c r="D1453" s="67" t="str">
        <f>IF(C1453="","",IFERROR(INDEX(eq_des,MATCH(C1453,eq_code,0))&amp;"","Équipement inconnu"))</f>
        <v/>
      </c>
      <c r="E1453" s="68" t="n"/>
      <c r="F1453" s="68" t="n"/>
      <c r="G1453" s="66" t="n"/>
      <c r="H1453" s="66" t="n"/>
      <c r="I1453" s="68" t="n"/>
      <c r="J1453" s="73" t="n"/>
      <c r="K1453" s="71" t="n"/>
      <c r="L1453" s="71" t="n"/>
      <c r="M1453" s="66" t="n"/>
      <c r="N1453" s="80" t="n"/>
      <c r="O1453" s="81" t="str">
        <f>IF(A1453="","",ROUND(V1453*IFERROR(N(INDEX(tech_rate,MATCH(M1453,tech_name,0))),0),2))</f>
        <v/>
      </c>
      <c r="P1453" s="80" t="n"/>
      <c r="Q1453" s="81" t="str">
        <f>IF(A1453="","",ROUND(Y1453+O1453+Z1453,2))</f>
        <v/>
      </c>
      <c r="R1453" s="79" t="str">
        <f>IF(A1453="","",IF(S1453=0,"Date manquante ou invalide",IF(C1453="","Équipement manquant",IF(ISNA(MATCH(C1453,eq_code,0)),"Équipement inconnu",IF(E1453="","Type manquant",IF(AND(E1453&lt;&gt;"Préventif",E1453&lt;&gt;"Correctif",E1453&lt;&gt;"Amélioratif"),"Type inconnu",IF(I1453="","Statut manquant",IF(AND(I1453&lt;&gt;"Terminée",I1453&lt;&gt;"En cours",I1453&lt;&gt;"À faire",I1453&lt;&gt;"Annulée"),"Statut inconnu",IF(AND(E1453="Préventif",F1453=""),"Plan manquant (préventif)",IF(AND(F1453&lt;&gt;"",ISNA(MATCH(F1453,pl_num,0))),"Plan inconnu",IF(AND(F1453&lt;&gt;"",IFERROR(INDEX(pl_eq,MATCH(F1453,pl_num,0))&amp;"",C1453)&lt;&gt;C1453),"Plan d'un autre équipement",IF(AND(J1453&lt;&gt;"",OR(NOT(ISNUMBER(J1453)),N(J1453)&lt;0)),"Compteur invalide",IF(OR(AND(K1453&lt;&gt;"",OR(NOT(ISNUMBER(K1453)),N(K1453)&lt;0)),AND(L1453&lt;&gt;"",OR(NOT(ISNUMBER(L1453)),N(L1453)&lt;0))),"Durée invalide",IF(OR(AND(N1453&lt;&gt;"",OR(NOT(ISNUMBER(N1453)),N(N1453)&lt;0)),AND(P1453&lt;&gt;"",OR(NOT(ISNUMBER(P1453)),N(P1453)&lt;0))),"Coût invalide",IF(AND(M1453&lt;&gt;"",ISNA(MATCH(M1453,tech_name,0))),"Technicien inconnu",IF(AND(I1453="Terminée",S1453&gt;p_today),"Terminée à une date future",IF(AND(I1453="Terminée",V1453=0),"Durée d'intervention manquante",IF(AND(I1453="Terminée",E1453="Préventif",T1453=0,OR(IFERROR(INDEX(pl_trig,MATCH(F1453,pl_num,0))&amp;"","")="Compteur",IFERROR(INDEX(pl_trig,MATCH(F1453,pl_num,0))&amp;"","")="Au premier des deux")),"Compteur manquant (plan au compteur)","OK"))))))))))))))))))</f>
        <v/>
      </c>
      <c r="S1453" s="67">
        <f>IF(AND(ISNUMBER(B1453),N(B1453)&gt;0),INT(B1453),0)</f>
        <v>0.0</v>
      </c>
      <c r="T1453" s="67">
        <f>IF(AND(ISNUMBER(J1453),N(J1453)&gt;=0),N(J1453),0)</f>
        <v>0.0</v>
      </c>
      <c r="U1453" s="67">
        <f>IF(AND(ISNUMBER(K1453),N(K1453)&gt;0),N(K1453),0)</f>
        <v>0.0</v>
      </c>
      <c r="V1453" s="67">
        <f>IF(AND(ISNUMBER(L1453),N(L1453)&gt;0),N(L1453),0)</f>
        <v>0.0</v>
      </c>
      <c r="W1453" s="67">
        <f>IF(AND(I1453="Terminée",S1453&gt;0,C1453&lt;&gt;"",ISNUMBER(MATCH(C1453,eq_code,0))),1,0)</f>
        <v>0.0</v>
      </c>
      <c r="X1453" s="67">
        <f>IF(AND(W1453=1,E1453="Préventif"),1,0)</f>
        <v>0.0</v>
      </c>
      <c r="Y1453" s="67">
        <f>IF(AND(ISNUMBER(N1453),N(N1453)&gt;0),N(N1453),0)</f>
        <v>0.0</v>
      </c>
      <c r="Z1453" s="67">
        <f>IF(AND(ISNUMBER(P1453),N(P1453)&gt;0),N(P1453),0)</f>
        <v>0.0</v>
      </c>
    </row>
    <row r="1454">
      <c r="A1454" s="79" t="str">
        <f>IF(COUNTA(B1454:C1454,E1454:G1454,I1454)=0,"","BI-"&amp;RIGHT("0000"&amp;(ROW()-5),4))</f>
        <v/>
      </c>
      <c r="B1454" s="72" t="n"/>
      <c r="C1454" s="66" t="n"/>
      <c r="D1454" s="67" t="str">
        <f>IF(C1454="","",IFERROR(INDEX(eq_des,MATCH(C1454,eq_code,0))&amp;"","Équipement inconnu"))</f>
        <v/>
      </c>
      <c r="E1454" s="68" t="n"/>
      <c r="F1454" s="68" t="n"/>
      <c r="G1454" s="66" t="n"/>
      <c r="H1454" s="66" t="n"/>
      <c r="I1454" s="68" t="n"/>
      <c r="J1454" s="73" t="n"/>
      <c r="K1454" s="71" t="n"/>
      <c r="L1454" s="71" t="n"/>
      <c r="M1454" s="66" t="n"/>
      <c r="N1454" s="80" t="n"/>
      <c r="O1454" s="81" t="str">
        <f>IF(A1454="","",ROUND(V1454*IFERROR(N(INDEX(tech_rate,MATCH(M1454,tech_name,0))),0),2))</f>
        <v/>
      </c>
      <c r="P1454" s="80" t="n"/>
      <c r="Q1454" s="81" t="str">
        <f>IF(A1454="","",ROUND(Y1454+O1454+Z1454,2))</f>
        <v/>
      </c>
      <c r="R1454" s="79" t="str">
        <f>IF(A1454="","",IF(S1454=0,"Date manquante ou invalide",IF(C1454="","Équipement manquant",IF(ISNA(MATCH(C1454,eq_code,0)),"Équipement inconnu",IF(E1454="","Type manquant",IF(AND(E1454&lt;&gt;"Préventif",E1454&lt;&gt;"Correctif",E1454&lt;&gt;"Amélioratif"),"Type inconnu",IF(I1454="","Statut manquant",IF(AND(I1454&lt;&gt;"Terminée",I1454&lt;&gt;"En cours",I1454&lt;&gt;"À faire",I1454&lt;&gt;"Annulée"),"Statut inconnu",IF(AND(E1454="Préventif",F1454=""),"Plan manquant (préventif)",IF(AND(F1454&lt;&gt;"",ISNA(MATCH(F1454,pl_num,0))),"Plan inconnu",IF(AND(F1454&lt;&gt;"",IFERROR(INDEX(pl_eq,MATCH(F1454,pl_num,0))&amp;"",C1454)&lt;&gt;C1454),"Plan d'un autre équipement",IF(AND(J1454&lt;&gt;"",OR(NOT(ISNUMBER(J1454)),N(J1454)&lt;0)),"Compteur invalide",IF(OR(AND(K1454&lt;&gt;"",OR(NOT(ISNUMBER(K1454)),N(K1454)&lt;0)),AND(L1454&lt;&gt;"",OR(NOT(ISNUMBER(L1454)),N(L1454)&lt;0))),"Durée invalide",IF(OR(AND(N1454&lt;&gt;"",OR(NOT(ISNUMBER(N1454)),N(N1454)&lt;0)),AND(P1454&lt;&gt;"",OR(NOT(ISNUMBER(P1454)),N(P1454)&lt;0))),"Coût invalide",IF(AND(M1454&lt;&gt;"",ISNA(MATCH(M1454,tech_name,0))),"Technicien inconnu",IF(AND(I1454="Terminée",S1454&gt;p_today),"Terminée à une date future",IF(AND(I1454="Terminée",V1454=0),"Durée d'intervention manquante",IF(AND(I1454="Terminée",E1454="Préventif",T1454=0,OR(IFERROR(INDEX(pl_trig,MATCH(F1454,pl_num,0))&amp;"","")="Compteur",IFERROR(INDEX(pl_trig,MATCH(F1454,pl_num,0))&amp;"","")="Au premier des deux")),"Compteur manquant (plan au compteur)","OK"))))))))))))))))))</f>
        <v/>
      </c>
      <c r="S1454" s="67">
        <f>IF(AND(ISNUMBER(B1454),N(B1454)&gt;0),INT(B1454),0)</f>
        <v>0.0</v>
      </c>
      <c r="T1454" s="67">
        <f>IF(AND(ISNUMBER(J1454),N(J1454)&gt;=0),N(J1454),0)</f>
        <v>0.0</v>
      </c>
      <c r="U1454" s="67">
        <f>IF(AND(ISNUMBER(K1454),N(K1454)&gt;0),N(K1454),0)</f>
        <v>0.0</v>
      </c>
      <c r="V1454" s="67">
        <f>IF(AND(ISNUMBER(L1454),N(L1454)&gt;0),N(L1454),0)</f>
        <v>0.0</v>
      </c>
      <c r="W1454" s="67">
        <f>IF(AND(I1454="Terminée",S1454&gt;0,C1454&lt;&gt;"",ISNUMBER(MATCH(C1454,eq_code,0))),1,0)</f>
        <v>0.0</v>
      </c>
      <c r="X1454" s="67">
        <f>IF(AND(W1454=1,E1454="Préventif"),1,0)</f>
        <v>0.0</v>
      </c>
      <c r="Y1454" s="67">
        <f>IF(AND(ISNUMBER(N1454),N(N1454)&gt;0),N(N1454),0)</f>
        <v>0.0</v>
      </c>
      <c r="Z1454" s="67">
        <f>IF(AND(ISNUMBER(P1454),N(P1454)&gt;0),N(P1454),0)</f>
        <v>0.0</v>
      </c>
    </row>
    <row r="1455">
      <c r="A1455" s="79" t="str">
        <f>IF(COUNTA(B1455:C1455,E1455:G1455,I1455)=0,"","BI-"&amp;RIGHT("0000"&amp;(ROW()-5),4))</f>
        <v/>
      </c>
      <c r="B1455" s="72" t="n"/>
      <c r="C1455" s="66" t="n"/>
      <c r="D1455" s="67" t="str">
        <f>IF(C1455="","",IFERROR(INDEX(eq_des,MATCH(C1455,eq_code,0))&amp;"","Équipement inconnu"))</f>
        <v/>
      </c>
      <c r="E1455" s="68" t="n"/>
      <c r="F1455" s="68" t="n"/>
      <c r="G1455" s="66" t="n"/>
      <c r="H1455" s="66" t="n"/>
      <c r="I1455" s="68" t="n"/>
      <c r="J1455" s="73" t="n"/>
      <c r="K1455" s="71" t="n"/>
      <c r="L1455" s="71" t="n"/>
      <c r="M1455" s="66" t="n"/>
      <c r="N1455" s="80" t="n"/>
      <c r="O1455" s="81" t="str">
        <f>IF(A1455="","",ROUND(V1455*IFERROR(N(INDEX(tech_rate,MATCH(M1455,tech_name,0))),0),2))</f>
        <v/>
      </c>
      <c r="P1455" s="80" t="n"/>
      <c r="Q1455" s="81" t="str">
        <f>IF(A1455="","",ROUND(Y1455+O1455+Z1455,2))</f>
        <v/>
      </c>
      <c r="R1455" s="79" t="str">
        <f>IF(A1455="","",IF(S1455=0,"Date manquante ou invalide",IF(C1455="","Équipement manquant",IF(ISNA(MATCH(C1455,eq_code,0)),"Équipement inconnu",IF(E1455="","Type manquant",IF(AND(E1455&lt;&gt;"Préventif",E1455&lt;&gt;"Correctif",E1455&lt;&gt;"Amélioratif"),"Type inconnu",IF(I1455="","Statut manquant",IF(AND(I1455&lt;&gt;"Terminée",I1455&lt;&gt;"En cours",I1455&lt;&gt;"À faire",I1455&lt;&gt;"Annulée"),"Statut inconnu",IF(AND(E1455="Préventif",F1455=""),"Plan manquant (préventif)",IF(AND(F1455&lt;&gt;"",ISNA(MATCH(F1455,pl_num,0))),"Plan inconnu",IF(AND(F1455&lt;&gt;"",IFERROR(INDEX(pl_eq,MATCH(F1455,pl_num,0))&amp;"",C1455)&lt;&gt;C1455),"Plan d'un autre équipement",IF(AND(J1455&lt;&gt;"",OR(NOT(ISNUMBER(J1455)),N(J1455)&lt;0)),"Compteur invalide",IF(OR(AND(K1455&lt;&gt;"",OR(NOT(ISNUMBER(K1455)),N(K1455)&lt;0)),AND(L1455&lt;&gt;"",OR(NOT(ISNUMBER(L1455)),N(L1455)&lt;0))),"Durée invalide",IF(OR(AND(N1455&lt;&gt;"",OR(NOT(ISNUMBER(N1455)),N(N1455)&lt;0)),AND(P1455&lt;&gt;"",OR(NOT(ISNUMBER(P1455)),N(P1455)&lt;0))),"Coût invalide",IF(AND(M1455&lt;&gt;"",ISNA(MATCH(M1455,tech_name,0))),"Technicien inconnu",IF(AND(I1455="Terminée",S1455&gt;p_today),"Terminée à une date future",IF(AND(I1455="Terminée",V1455=0),"Durée d'intervention manquante",IF(AND(I1455="Terminée",E1455="Préventif",T1455=0,OR(IFERROR(INDEX(pl_trig,MATCH(F1455,pl_num,0))&amp;"","")="Compteur",IFERROR(INDEX(pl_trig,MATCH(F1455,pl_num,0))&amp;"","")="Au premier des deux")),"Compteur manquant (plan au compteur)","OK"))))))))))))))))))</f>
        <v/>
      </c>
      <c r="S1455" s="67">
        <f>IF(AND(ISNUMBER(B1455),N(B1455)&gt;0),INT(B1455),0)</f>
        <v>0.0</v>
      </c>
      <c r="T1455" s="67">
        <f>IF(AND(ISNUMBER(J1455),N(J1455)&gt;=0),N(J1455),0)</f>
        <v>0.0</v>
      </c>
      <c r="U1455" s="67">
        <f>IF(AND(ISNUMBER(K1455),N(K1455)&gt;0),N(K1455),0)</f>
        <v>0.0</v>
      </c>
      <c r="V1455" s="67">
        <f>IF(AND(ISNUMBER(L1455),N(L1455)&gt;0),N(L1455),0)</f>
        <v>0.0</v>
      </c>
      <c r="W1455" s="67">
        <f>IF(AND(I1455="Terminée",S1455&gt;0,C1455&lt;&gt;"",ISNUMBER(MATCH(C1455,eq_code,0))),1,0)</f>
        <v>0.0</v>
      </c>
      <c r="X1455" s="67">
        <f>IF(AND(W1455=1,E1455="Préventif"),1,0)</f>
        <v>0.0</v>
      </c>
      <c r="Y1455" s="67">
        <f>IF(AND(ISNUMBER(N1455),N(N1455)&gt;0),N(N1455),0)</f>
        <v>0.0</v>
      </c>
      <c r="Z1455" s="67">
        <f>IF(AND(ISNUMBER(P1455),N(P1455)&gt;0),N(P1455),0)</f>
        <v>0.0</v>
      </c>
    </row>
    <row r="1456">
      <c r="A1456" s="79" t="str">
        <f>IF(COUNTA(B1456:C1456,E1456:G1456,I1456)=0,"","BI-"&amp;RIGHT("0000"&amp;(ROW()-5),4))</f>
        <v/>
      </c>
      <c r="B1456" s="72" t="n"/>
      <c r="C1456" s="66" t="n"/>
      <c r="D1456" s="67" t="str">
        <f>IF(C1456="","",IFERROR(INDEX(eq_des,MATCH(C1456,eq_code,0))&amp;"","Équipement inconnu"))</f>
        <v/>
      </c>
      <c r="E1456" s="68" t="n"/>
      <c r="F1456" s="68" t="n"/>
      <c r="G1456" s="66" t="n"/>
      <c r="H1456" s="66" t="n"/>
      <c r="I1456" s="68" t="n"/>
      <c r="J1456" s="73" t="n"/>
      <c r="K1456" s="71" t="n"/>
      <c r="L1456" s="71" t="n"/>
      <c r="M1456" s="66" t="n"/>
      <c r="N1456" s="80" t="n"/>
      <c r="O1456" s="81" t="str">
        <f>IF(A1456="","",ROUND(V1456*IFERROR(N(INDEX(tech_rate,MATCH(M1456,tech_name,0))),0),2))</f>
        <v/>
      </c>
      <c r="P1456" s="80" t="n"/>
      <c r="Q1456" s="81" t="str">
        <f>IF(A1456="","",ROUND(Y1456+O1456+Z1456,2))</f>
        <v/>
      </c>
      <c r="R1456" s="79" t="str">
        <f>IF(A1456="","",IF(S1456=0,"Date manquante ou invalide",IF(C1456="","Équipement manquant",IF(ISNA(MATCH(C1456,eq_code,0)),"Équipement inconnu",IF(E1456="","Type manquant",IF(AND(E1456&lt;&gt;"Préventif",E1456&lt;&gt;"Correctif",E1456&lt;&gt;"Amélioratif"),"Type inconnu",IF(I1456="","Statut manquant",IF(AND(I1456&lt;&gt;"Terminée",I1456&lt;&gt;"En cours",I1456&lt;&gt;"À faire",I1456&lt;&gt;"Annulée"),"Statut inconnu",IF(AND(E1456="Préventif",F1456=""),"Plan manquant (préventif)",IF(AND(F1456&lt;&gt;"",ISNA(MATCH(F1456,pl_num,0))),"Plan inconnu",IF(AND(F1456&lt;&gt;"",IFERROR(INDEX(pl_eq,MATCH(F1456,pl_num,0))&amp;"",C1456)&lt;&gt;C1456),"Plan d'un autre équipement",IF(AND(J1456&lt;&gt;"",OR(NOT(ISNUMBER(J1456)),N(J1456)&lt;0)),"Compteur invalide",IF(OR(AND(K1456&lt;&gt;"",OR(NOT(ISNUMBER(K1456)),N(K1456)&lt;0)),AND(L1456&lt;&gt;"",OR(NOT(ISNUMBER(L1456)),N(L1456)&lt;0))),"Durée invalide",IF(OR(AND(N1456&lt;&gt;"",OR(NOT(ISNUMBER(N1456)),N(N1456)&lt;0)),AND(P1456&lt;&gt;"",OR(NOT(ISNUMBER(P1456)),N(P1456)&lt;0))),"Coût invalide",IF(AND(M1456&lt;&gt;"",ISNA(MATCH(M1456,tech_name,0))),"Technicien inconnu",IF(AND(I1456="Terminée",S1456&gt;p_today),"Terminée à une date future",IF(AND(I1456="Terminée",V1456=0),"Durée d'intervention manquante",IF(AND(I1456="Terminée",E1456="Préventif",T1456=0,OR(IFERROR(INDEX(pl_trig,MATCH(F1456,pl_num,0))&amp;"","")="Compteur",IFERROR(INDEX(pl_trig,MATCH(F1456,pl_num,0))&amp;"","")="Au premier des deux")),"Compteur manquant (plan au compteur)","OK"))))))))))))))))))</f>
        <v/>
      </c>
      <c r="S1456" s="67">
        <f>IF(AND(ISNUMBER(B1456),N(B1456)&gt;0),INT(B1456),0)</f>
        <v>0.0</v>
      </c>
      <c r="T1456" s="67">
        <f>IF(AND(ISNUMBER(J1456),N(J1456)&gt;=0),N(J1456),0)</f>
        <v>0.0</v>
      </c>
      <c r="U1456" s="67">
        <f>IF(AND(ISNUMBER(K1456),N(K1456)&gt;0),N(K1456),0)</f>
        <v>0.0</v>
      </c>
      <c r="V1456" s="67">
        <f>IF(AND(ISNUMBER(L1456),N(L1456)&gt;0),N(L1456),0)</f>
        <v>0.0</v>
      </c>
      <c r="W1456" s="67">
        <f>IF(AND(I1456="Terminée",S1456&gt;0,C1456&lt;&gt;"",ISNUMBER(MATCH(C1456,eq_code,0))),1,0)</f>
        <v>0.0</v>
      </c>
      <c r="X1456" s="67">
        <f>IF(AND(W1456=1,E1456="Préventif"),1,0)</f>
        <v>0.0</v>
      </c>
      <c r="Y1456" s="67">
        <f>IF(AND(ISNUMBER(N1456),N(N1456)&gt;0),N(N1456),0)</f>
        <v>0.0</v>
      </c>
      <c r="Z1456" s="67">
        <f>IF(AND(ISNUMBER(P1456),N(P1456)&gt;0),N(P1456),0)</f>
        <v>0.0</v>
      </c>
    </row>
    <row r="1457">
      <c r="A1457" s="79" t="str">
        <f>IF(COUNTA(B1457:C1457,E1457:G1457,I1457)=0,"","BI-"&amp;RIGHT("0000"&amp;(ROW()-5),4))</f>
        <v/>
      </c>
      <c r="B1457" s="72" t="n"/>
      <c r="C1457" s="66" t="n"/>
      <c r="D1457" s="67" t="str">
        <f>IF(C1457="","",IFERROR(INDEX(eq_des,MATCH(C1457,eq_code,0))&amp;"","Équipement inconnu"))</f>
        <v/>
      </c>
      <c r="E1457" s="68" t="n"/>
      <c r="F1457" s="68" t="n"/>
      <c r="G1457" s="66" t="n"/>
      <c r="H1457" s="66" t="n"/>
      <c r="I1457" s="68" t="n"/>
      <c r="J1457" s="73" t="n"/>
      <c r="K1457" s="71" t="n"/>
      <c r="L1457" s="71" t="n"/>
      <c r="M1457" s="66" t="n"/>
      <c r="N1457" s="80" t="n"/>
      <c r="O1457" s="81" t="str">
        <f>IF(A1457="","",ROUND(V1457*IFERROR(N(INDEX(tech_rate,MATCH(M1457,tech_name,0))),0),2))</f>
        <v/>
      </c>
      <c r="P1457" s="80" t="n"/>
      <c r="Q1457" s="81" t="str">
        <f>IF(A1457="","",ROUND(Y1457+O1457+Z1457,2))</f>
        <v/>
      </c>
      <c r="R1457" s="79" t="str">
        <f>IF(A1457="","",IF(S1457=0,"Date manquante ou invalide",IF(C1457="","Équipement manquant",IF(ISNA(MATCH(C1457,eq_code,0)),"Équipement inconnu",IF(E1457="","Type manquant",IF(AND(E1457&lt;&gt;"Préventif",E1457&lt;&gt;"Correctif",E1457&lt;&gt;"Amélioratif"),"Type inconnu",IF(I1457="","Statut manquant",IF(AND(I1457&lt;&gt;"Terminée",I1457&lt;&gt;"En cours",I1457&lt;&gt;"À faire",I1457&lt;&gt;"Annulée"),"Statut inconnu",IF(AND(E1457="Préventif",F1457=""),"Plan manquant (préventif)",IF(AND(F1457&lt;&gt;"",ISNA(MATCH(F1457,pl_num,0))),"Plan inconnu",IF(AND(F1457&lt;&gt;"",IFERROR(INDEX(pl_eq,MATCH(F1457,pl_num,0))&amp;"",C1457)&lt;&gt;C1457),"Plan d'un autre équipement",IF(AND(J1457&lt;&gt;"",OR(NOT(ISNUMBER(J1457)),N(J1457)&lt;0)),"Compteur invalide",IF(OR(AND(K1457&lt;&gt;"",OR(NOT(ISNUMBER(K1457)),N(K1457)&lt;0)),AND(L1457&lt;&gt;"",OR(NOT(ISNUMBER(L1457)),N(L1457)&lt;0))),"Durée invalide",IF(OR(AND(N1457&lt;&gt;"",OR(NOT(ISNUMBER(N1457)),N(N1457)&lt;0)),AND(P1457&lt;&gt;"",OR(NOT(ISNUMBER(P1457)),N(P1457)&lt;0))),"Coût invalide",IF(AND(M1457&lt;&gt;"",ISNA(MATCH(M1457,tech_name,0))),"Technicien inconnu",IF(AND(I1457="Terminée",S1457&gt;p_today),"Terminée à une date future",IF(AND(I1457="Terminée",V1457=0),"Durée d'intervention manquante",IF(AND(I1457="Terminée",E1457="Préventif",T1457=0,OR(IFERROR(INDEX(pl_trig,MATCH(F1457,pl_num,0))&amp;"","")="Compteur",IFERROR(INDEX(pl_trig,MATCH(F1457,pl_num,0))&amp;"","")="Au premier des deux")),"Compteur manquant (plan au compteur)","OK"))))))))))))))))))</f>
        <v/>
      </c>
      <c r="S1457" s="67">
        <f>IF(AND(ISNUMBER(B1457),N(B1457)&gt;0),INT(B1457),0)</f>
        <v>0.0</v>
      </c>
      <c r="T1457" s="67">
        <f>IF(AND(ISNUMBER(J1457),N(J1457)&gt;=0),N(J1457),0)</f>
        <v>0.0</v>
      </c>
      <c r="U1457" s="67">
        <f>IF(AND(ISNUMBER(K1457),N(K1457)&gt;0),N(K1457),0)</f>
        <v>0.0</v>
      </c>
      <c r="V1457" s="67">
        <f>IF(AND(ISNUMBER(L1457),N(L1457)&gt;0),N(L1457),0)</f>
        <v>0.0</v>
      </c>
      <c r="W1457" s="67">
        <f>IF(AND(I1457="Terminée",S1457&gt;0,C1457&lt;&gt;"",ISNUMBER(MATCH(C1457,eq_code,0))),1,0)</f>
        <v>0.0</v>
      </c>
      <c r="X1457" s="67">
        <f>IF(AND(W1457=1,E1457="Préventif"),1,0)</f>
        <v>0.0</v>
      </c>
      <c r="Y1457" s="67">
        <f>IF(AND(ISNUMBER(N1457),N(N1457)&gt;0),N(N1457),0)</f>
        <v>0.0</v>
      </c>
      <c r="Z1457" s="67">
        <f>IF(AND(ISNUMBER(P1457),N(P1457)&gt;0),N(P1457),0)</f>
        <v>0.0</v>
      </c>
    </row>
    <row r="1458">
      <c r="A1458" s="79" t="str">
        <f>IF(COUNTA(B1458:C1458,E1458:G1458,I1458)=0,"","BI-"&amp;RIGHT("0000"&amp;(ROW()-5),4))</f>
        <v/>
      </c>
      <c r="B1458" s="72" t="n"/>
      <c r="C1458" s="66" t="n"/>
      <c r="D1458" s="67" t="str">
        <f>IF(C1458="","",IFERROR(INDEX(eq_des,MATCH(C1458,eq_code,0))&amp;"","Équipement inconnu"))</f>
        <v/>
      </c>
      <c r="E1458" s="68" t="n"/>
      <c r="F1458" s="68" t="n"/>
      <c r="G1458" s="66" t="n"/>
      <c r="H1458" s="66" t="n"/>
      <c r="I1458" s="68" t="n"/>
      <c r="J1458" s="73" t="n"/>
      <c r="K1458" s="71" t="n"/>
      <c r="L1458" s="71" t="n"/>
      <c r="M1458" s="66" t="n"/>
      <c r="N1458" s="80" t="n"/>
      <c r="O1458" s="81" t="str">
        <f>IF(A1458="","",ROUND(V1458*IFERROR(N(INDEX(tech_rate,MATCH(M1458,tech_name,0))),0),2))</f>
        <v/>
      </c>
      <c r="P1458" s="80" t="n"/>
      <c r="Q1458" s="81" t="str">
        <f>IF(A1458="","",ROUND(Y1458+O1458+Z1458,2))</f>
        <v/>
      </c>
      <c r="R1458" s="79" t="str">
        <f>IF(A1458="","",IF(S1458=0,"Date manquante ou invalide",IF(C1458="","Équipement manquant",IF(ISNA(MATCH(C1458,eq_code,0)),"Équipement inconnu",IF(E1458="","Type manquant",IF(AND(E1458&lt;&gt;"Préventif",E1458&lt;&gt;"Correctif",E1458&lt;&gt;"Amélioratif"),"Type inconnu",IF(I1458="","Statut manquant",IF(AND(I1458&lt;&gt;"Terminée",I1458&lt;&gt;"En cours",I1458&lt;&gt;"À faire",I1458&lt;&gt;"Annulée"),"Statut inconnu",IF(AND(E1458="Préventif",F1458=""),"Plan manquant (préventif)",IF(AND(F1458&lt;&gt;"",ISNA(MATCH(F1458,pl_num,0))),"Plan inconnu",IF(AND(F1458&lt;&gt;"",IFERROR(INDEX(pl_eq,MATCH(F1458,pl_num,0))&amp;"",C1458)&lt;&gt;C1458),"Plan d'un autre équipement",IF(AND(J1458&lt;&gt;"",OR(NOT(ISNUMBER(J1458)),N(J1458)&lt;0)),"Compteur invalide",IF(OR(AND(K1458&lt;&gt;"",OR(NOT(ISNUMBER(K1458)),N(K1458)&lt;0)),AND(L1458&lt;&gt;"",OR(NOT(ISNUMBER(L1458)),N(L1458)&lt;0))),"Durée invalide",IF(OR(AND(N1458&lt;&gt;"",OR(NOT(ISNUMBER(N1458)),N(N1458)&lt;0)),AND(P1458&lt;&gt;"",OR(NOT(ISNUMBER(P1458)),N(P1458)&lt;0))),"Coût invalide",IF(AND(M1458&lt;&gt;"",ISNA(MATCH(M1458,tech_name,0))),"Technicien inconnu",IF(AND(I1458="Terminée",S1458&gt;p_today),"Terminée à une date future",IF(AND(I1458="Terminée",V1458=0),"Durée d'intervention manquante",IF(AND(I1458="Terminée",E1458="Préventif",T1458=0,OR(IFERROR(INDEX(pl_trig,MATCH(F1458,pl_num,0))&amp;"","")="Compteur",IFERROR(INDEX(pl_trig,MATCH(F1458,pl_num,0))&amp;"","")="Au premier des deux")),"Compteur manquant (plan au compteur)","OK"))))))))))))))))))</f>
        <v/>
      </c>
      <c r="S1458" s="67">
        <f>IF(AND(ISNUMBER(B1458),N(B1458)&gt;0),INT(B1458),0)</f>
        <v>0.0</v>
      </c>
      <c r="T1458" s="67">
        <f>IF(AND(ISNUMBER(J1458),N(J1458)&gt;=0),N(J1458),0)</f>
        <v>0.0</v>
      </c>
      <c r="U1458" s="67">
        <f>IF(AND(ISNUMBER(K1458),N(K1458)&gt;0),N(K1458),0)</f>
        <v>0.0</v>
      </c>
      <c r="V1458" s="67">
        <f>IF(AND(ISNUMBER(L1458),N(L1458)&gt;0),N(L1458),0)</f>
        <v>0.0</v>
      </c>
      <c r="W1458" s="67">
        <f>IF(AND(I1458="Terminée",S1458&gt;0,C1458&lt;&gt;"",ISNUMBER(MATCH(C1458,eq_code,0))),1,0)</f>
        <v>0.0</v>
      </c>
      <c r="X1458" s="67">
        <f>IF(AND(W1458=1,E1458="Préventif"),1,0)</f>
        <v>0.0</v>
      </c>
      <c r="Y1458" s="67">
        <f>IF(AND(ISNUMBER(N1458),N(N1458)&gt;0),N(N1458),0)</f>
        <v>0.0</v>
      </c>
      <c r="Z1458" s="67">
        <f>IF(AND(ISNUMBER(P1458),N(P1458)&gt;0),N(P1458),0)</f>
        <v>0.0</v>
      </c>
    </row>
    <row r="1459">
      <c r="A1459" s="79" t="str">
        <f>IF(COUNTA(B1459:C1459,E1459:G1459,I1459)=0,"","BI-"&amp;RIGHT("0000"&amp;(ROW()-5),4))</f>
        <v/>
      </c>
      <c r="B1459" s="72" t="n"/>
      <c r="C1459" s="66" t="n"/>
      <c r="D1459" s="67" t="str">
        <f>IF(C1459="","",IFERROR(INDEX(eq_des,MATCH(C1459,eq_code,0))&amp;"","Équipement inconnu"))</f>
        <v/>
      </c>
      <c r="E1459" s="68" t="n"/>
      <c r="F1459" s="68" t="n"/>
      <c r="G1459" s="66" t="n"/>
      <c r="H1459" s="66" t="n"/>
      <c r="I1459" s="68" t="n"/>
      <c r="J1459" s="73" t="n"/>
      <c r="K1459" s="71" t="n"/>
      <c r="L1459" s="71" t="n"/>
      <c r="M1459" s="66" t="n"/>
      <c r="N1459" s="80" t="n"/>
      <c r="O1459" s="81" t="str">
        <f>IF(A1459="","",ROUND(V1459*IFERROR(N(INDEX(tech_rate,MATCH(M1459,tech_name,0))),0),2))</f>
        <v/>
      </c>
      <c r="P1459" s="80" t="n"/>
      <c r="Q1459" s="81" t="str">
        <f>IF(A1459="","",ROUND(Y1459+O1459+Z1459,2))</f>
        <v/>
      </c>
      <c r="R1459" s="79" t="str">
        <f>IF(A1459="","",IF(S1459=0,"Date manquante ou invalide",IF(C1459="","Équipement manquant",IF(ISNA(MATCH(C1459,eq_code,0)),"Équipement inconnu",IF(E1459="","Type manquant",IF(AND(E1459&lt;&gt;"Préventif",E1459&lt;&gt;"Correctif",E1459&lt;&gt;"Amélioratif"),"Type inconnu",IF(I1459="","Statut manquant",IF(AND(I1459&lt;&gt;"Terminée",I1459&lt;&gt;"En cours",I1459&lt;&gt;"À faire",I1459&lt;&gt;"Annulée"),"Statut inconnu",IF(AND(E1459="Préventif",F1459=""),"Plan manquant (préventif)",IF(AND(F1459&lt;&gt;"",ISNA(MATCH(F1459,pl_num,0))),"Plan inconnu",IF(AND(F1459&lt;&gt;"",IFERROR(INDEX(pl_eq,MATCH(F1459,pl_num,0))&amp;"",C1459)&lt;&gt;C1459),"Plan d'un autre équipement",IF(AND(J1459&lt;&gt;"",OR(NOT(ISNUMBER(J1459)),N(J1459)&lt;0)),"Compteur invalide",IF(OR(AND(K1459&lt;&gt;"",OR(NOT(ISNUMBER(K1459)),N(K1459)&lt;0)),AND(L1459&lt;&gt;"",OR(NOT(ISNUMBER(L1459)),N(L1459)&lt;0))),"Durée invalide",IF(OR(AND(N1459&lt;&gt;"",OR(NOT(ISNUMBER(N1459)),N(N1459)&lt;0)),AND(P1459&lt;&gt;"",OR(NOT(ISNUMBER(P1459)),N(P1459)&lt;0))),"Coût invalide",IF(AND(M1459&lt;&gt;"",ISNA(MATCH(M1459,tech_name,0))),"Technicien inconnu",IF(AND(I1459="Terminée",S1459&gt;p_today),"Terminée à une date future",IF(AND(I1459="Terminée",V1459=0),"Durée d'intervention manquante",IF(AND(I1459="Terminée",E1459="Préventif",T1459=0,OR(IFERROR(INDEX(pl_trig,MATCH(F1459,pl_num,0))&amp;"","")="Compteur",IFERROR(INDEX(pl_trig,MATCH(F1459,pl_num,0))&amp;"","")="Au premier des deux")),"Compteur manquant (plan au compteur)","OK"))))))))))))))))))</f>
        <v/>
      </c>
      <c r="S1459" s="67">
        <f>IF(AND(ISNUMBER(B1459),N(B1459)&gt;0),INT(B1459),0)</f>
        <v>0.0</v>
      </c>
      <c r="T1459" s="67">
        <f>IF(AND(ISNUMBER(J1459),N(J1459)&gt;=0),N(J1459),0)</f>
        <v>0.0</v>
      </c>
      <c r="U1459" s="67">
        <f>IF(AND(ISNUMBER(K1459),N(K1459)&gt;0),N(K1459),0)</f>
        <v>0.0</v>
      </c>
      <c r="V1459" s="67">
        <f>IF(AND(ISNUMBER(L1459),N(L1459)&gt;0),N(L1459),0)</f>
        <v>0.0</v>
      </c>
      <c r="W1459" s="67">
        <f>IF(AND(I1459="Terminée",S1459&gt;0,C1459&lt;&gt;"",ISNUMBER(MATCH(C1459,eq_code,0))),1,0)</f>
        <v>0.0</v>
      </c>
      <c r="X1459" s="67">
        <f>IF(AND(W1459=1,E1459="Préventif"),1,0)</f>
        <v>0.0</v>
      </c>
      <c r="Y1459" s="67">
        <f>IF(AND(ISNUMBER(N1459),N(N1459)&gt;0),N(N1459),0)</f>
        <v>0.0</v>
      </c>
      <c r="Z1459" s="67">
        <f>IF(AND(ISNUMBER(P1459),N(P1459)&gt;0),N(P1459),0)</f>
        <v>0.0</v>
      </c>
    </row>
    <row r="1460">
      <c r="A1460" s="79" t="str">
        <f>IF(COUNTA(B1460:C1460,E1460:G1460,I1460)=0,"","BI-"&amp;RIGHT("0000"&amp;(ROW()-5),4))</f>
        <v/>
      </c>
      <c r="B1460" s="72" t="n"/>
      <c r="C1460" s="66" t="n"/>
      <c r="D1460" s="67" t="str">
        <f>IF(C1460="","",IFERROR(INDEX(eq_des,MATCH(C1460,eq_code,0))&amp;"","Équipement inconnu"))</f>
        <v/>
      </c>
      <c r="E1460" s="68" t="n"/>
      <c r="F1460" s="68" t="n"/>
      <c r="G1460" s="66" t="n"/>
      <c r="H1460" s="66" t="n"/>
      <c r="I1460" s="68" t="n"/>
      <c r="J1460" s="73" t="n"/>
      <c r="K1460" s="71" t="n"/>
      <c r="L1460" s="71" t="n"/>
      <c r="M1460" s="66" t="n"/>
      <c r="N1460" s="80" t="n"/>
      <c r="O1460" s="81" t="str">
        <f>IF(A1460="","",ROUND(V1460*IFERROR(N(INDEX(tech_rate,MATCH(M1460,tech_name,0))),0),2))</f>
        <v/>
      </c>
      <c r="P1460" s="80" t="n"/>
      <c r="Q1460" s="81" t="str">
        <f>IF(A1460="","",ROUND(Y1460+O1460+Z1460,2))</f>
        <v/>
      </c>
      <c r="R1460" s="79" t="str">
        <f>IF(A1460="","",IF(S1460=0,"Date manquante ou invalide",IF(C1460="","Équipement manquant",IF(ISNA(MATCH(C1460,eq_code,0)),"Équipement inconnu",IF(E1460="","Type manquant",IF(AND(E1460&lt;&gt;"Préventif",E1460&lt;&gt;"Correctif",E1460&lt;&gt;"Amélioratif"),"Type inconnu",IF(I1460="","Statut manquant",IF(AND(I1460&lt;&gt;"Terminée",I1460&lt;&gt;"En cours",I1460&lt;&gt;"À faire",I1460&lt;&gt;"Annulée"),"Statut inconnu",IF(AND(E1460="Préventif",F1460=""),"Plan manquant (préventif)",IF(AND(F1460&lt;&gt;"",ISNA(MATCH(F1460,pl_num,0))),"Plan inconnu",IF(AND(F1460&lt;&gt;"",IFERROR(INDEX(pl_eq,MATCH(F1460,pl_num,0))&amp;"",C1460)&lt;&gt;C1460),"Plan d'un autre équipement",IF(AND(J1460&lt;&gt;"",OR(NOT(ISNUMBER(J1460)),N(J1460)&lt;0)),"Compteur invalide",IF(OR(AND(K1460&lt;&gt;"",OR(NOT(ISNUMBER(K1460)),N(K1460)&lt;0)),AND(L1460&lt;&gt;"",OR(NOT(ISNUMBER(L1460)),N(L1460)&lt;0))),"Durée invalide",IF(OR(AND(N1460&lt;&gt;"",OR(NOT(ISNUMBER(N1460)),N(N1460)&lt;0)),AND(P1460&lt;&gt;"",OR(NOT(ISNUMBER(P1460)),N(P1460)&lt;0))),"Coût invalide",IF(AND(M1460&lt;&gt;"",ISNA(MATCH(M1460,tech_name,0))),"Technicien inconnu",IF(AND(I1460="Terminée",S1460&gt;p_today),"Terminée à une date future",IF(AND(I1460="Terminée",V1460=0),"Durée d'intervention manquante",IF(AND(I1460="Terminée",E1460="Préventif",T1460=0,OR(IFERROR(INDEX(pl_trig,MATCH(F1460,pl_num,0))&amp;"","")="Compteur",IFERROR(INDEX(pl_trig,MATCH(F1460,pl_num,0))&amp;"","")="Au premier des deux")),"Compteur manquant (plan au compteur)","OK"))))))))))))))))))</f>
        <v/>
      </c>
      <c r="S1460" s="67">
        <f>IF(AND(ISNUMBER(B1460),N(B1460)&gt;0),INT(B1460),0)</f>
        <v>0.0</v>
      </c>
      <c r="T1460" s="67">
        <f>IF(AND(ISNUMBER(J1460),N(J1460)&gt;=0),N(J1460),0)</f>
        <v>0.0</v>
      </c>
      <c r="U1460" s="67">
        <f>IF(AND(ISNUMBER(K1460),N(K1460)&gt;0),N(K1460),0)</f>
        <v>0.0</v>
      </c>
      <c r="V1460" s="67">
        <f>IF(AND(ISNUMBER(L1460),N(L1460)&gt;0),N(L1460),0)</f>
        <v>0.0</v>
      </c>
      <c r="W1460" s="67">
        <f>IF(AND(I1460="Terminée",S1460&gt;0,C1460&lt;&gt;"",ISNUMBER(MATCH(C1460,eq_code,0))),1,0)</f>
        <v>0.0</v>
      </c>
      <c r="X1460" s="67">
        <f>IF(AND(W1460=1,E1460="Préventif"),1,0)</f>
        <v>0.0</v>
      </c>
      <c r="Y1460" s="67">
        <f>IF(AND(ISNUMBER(N1460),N(N1460)&gt;0),N(N1460),0)</f>
        <v>0.0</v>
      </c>
      <c r="Z1460" s="67">
        <f>IF(AND(ISNUMBER(P1460),N(P1460)&gt;0),N(P1460),0)</f>
        <v>0.0</v>
      </c>
    </row>
    <row r="1461">
      <c r="A1461" s="79" t="str">
        <f>IF(COUNTA(B1461:C1461,E1461:G1461,I1461)=0,"","BI-"&amp;RIGHT("0000"&amp;(ROW()-5),4))</f>
        <v/>
      </c>
      <c r="B1461" s="72" t="n"/>
      <c r="C1461" s="66" t="n"/>
      <c r="D1461" s="67" t="str">
        <f>IF(C1461="","",IFERROR(INDEX(eq_des,MATCH(C1461,eq_code,0))&amp;"","Équipement inconnu"))</f>
        <v/>
      </c>
      <c r="E1461" s="68" t="n"/>
      <c r="F1461" s="68" t="n"/>
      <c r="G1461" s="66" t="n"/>
      <c r="H1461" s="66" t="n"/>
      <c r="I1461" s="68" t="n"/>
      <c r="J1461" s="73" t="n"/>
      <c r="K1461" s="71" t="n"/>
      <c r="L1461" s="71" t="n"/>
      <c r="M1461" s="66" t="n"/>
      <c r="N1461" s="80" t="n"/>
      <c r="O1461" s="81" t="str">
        <f>IF(A1461="","",ROUND(V1461*IFERROR(N(INDEX(tech_rate,MATCH(M1461,tech_name,0))),0),2))</f>
        <v/>
      </c>
      <c r="P1461" s="80" t="n"/>
      <c r="Q1461" s="81" t="str">
        <f>IF(A1461="","",ROUND(Y1461+O1461+Z1461,2))</f>
        <v/>
      </c>
      <c r="R1461" s="79" t="str">
        <f>IF(A1461="","",IF(S1461=0,"Date manquante ou invalide",IF(C1461="","Équipement manquant",IF(ISNA(MATCH(C1461,eq_code,0)),"Équipement inconnu",IF(E1461="","Type manquant",IF(AND(E1461&lt;&gt;"Préventif",E1461&lt;&gt;"Correctif",E1461&lt;&gt;"Amélioratif"),"Type inconnu",IF(I1461="","Statut manquant",IF(AND(I1461&lt;&gt;"Terminée",I1461&lt;&gt;"En cours",I1461&lt;&gt;"À faire",I1461&lt;&gt;"Annulée"),"Statut inconnu",IF(AND(E1461="Préventif",F1461=""),"Plan manquant (préventif)",IF(AND(F1461&lt;&gt;"",ISNA(MATCH(F1461,pl_num,0))),"Plan inconnu",IF(AND(F1461&lt;&gt;"",IFERROR(INDEX(pl_eq,MATCH(F1461,pl_num,0))&amp;"",C1461)&lt;&gt;C1461),"Plan d'un autre équipement",IF(AND(J1461&lt;&gt;"",OR(NOT(ISNUMBER(J1461)),N(J1461)&lt;0)),"Compteur invalide",IF(OR(AND(K1461&lt;&gt;"",OR(NOT(ISNUMBER(K1461)),N(K1461)&lt;0)),AND(L1461&lt;&gt;"",OR(NOT(ISNUMBER(L1461)),N(L1461)&lt;0))),"Durée invalide",IF(OR(AND(N1461&lt;&gt;"",OR(NOT(ISNUMBER(N1461)),N(N1461)&lt;0)),AND(P1461&lt;&gt;"",OR(NOT(ISNUMBER(P1461)),N(P1461)&lt;0))),"Coût invalide",IF(AND(M1461&lt;&gt;"",ISNA(MATCH(M1461,tech_name,0))),"Technicien inconnu",IF(AND(I1461="Terminée",S1461&gt;p_today),"Terminée à une date future",IF(AND(I1461="Terminée",V1461=0),"Durée d'intervention manquante",IF(AND(I1461="Terminée",E1461="Préventif",T1461=0,OR(IFERROR(INDEX(pl_trig,MATCH(F1461,pl_num,0))&amp;"","")="Compteur",IFERROR(INDEX(pl_trig,MATCH(F1461,pl_num,0))&amp;"","")="Au premier des deux")),"Compteur manquant (plan au compteur)","OK"))))))))))))))))))</f>
        <v/>
      </c>
      <c r="S1461" s="67">
        <f>IF(AND(ISNUMBER(B1461),N(B1461)&gt;0),INT(B1461),0)</f>
        <v>0.0</v>
      </c>
      <c r="T1461" s="67">
        <f>IF(AND(ISNUMBER(J1461),N(J1461)&gt;=0),N(J1461),0)</f>
        <v>0.0</v>
      </c>
      <c r="U1461" s="67">
        <f>IF(AND(ISNUMBER(K1461),N(K1461)&gt;0),N(K1461),0)</f>
        <v>0.0</v>
      </c>
      <c r="V1461" s="67">
        <f>IF(AND(ISNUMBER(L1461),N(L1461)&gt;0),N(L1461),0)</f>
        <v>0.0</v>
      </c>
      <c r="W1461" s="67">
        <f>IF(AND(I1461="Terminée",S1461&gt;0,C1461&lt;&gt;"",ISNUMBER(MATCH(C1461,eq_code,0))),1,0)</f>
        <v>0.0</v>
      </c>
      <c r="X1461" s="67">
        <f>IF(AND(W1461=1,E1461="Préventif"),1,0)</f>
        <v>0.0</v>
      </c>
      <c r="Y1461" s="67">
        <f>IF(AND(ISNUMBER(N1461),N(N1461)&gt;0),N(N1461),0)</f>
        <v>0.0</v>
      </c>
      <c r="Z1461" s="67">
        <f>IF(AND(ISNUMBER(P1461),N(P1461)&gt;0),N(P1461),0)</f>
        <v>0.0</v>
      </c>
    </row>
    <row r="1462">
      <c r="A1462" s="79" t="str">
        <f>IF(COUNTA(B1462:C1462,E1462:G1462,I1462)=0,"","BI-"&amp;RIGHT("0000"&amp;(ROW()-5),4))</f>
        <v/>
      </c>
      <c r="B1462" s="72" t="n"/>
      <c r="C1462" s="66" t="n"/>
      <c r="D1462" s="67" t="str">
        <f>IF(C1462="","",IFERROR(INDEX(eq_des,MATCH(C1462,eq_code,0))&amp;"","Équipement inconnu"))</f>
        <v/>
      </c>
      <c r="E1462" s="68" t="n"/>
      <c r="F1462" s="68" t="n"/>
      <c r="G1462" s="66" t="n"/>
      <c r="H1462" s="66" t="n"/>
      <c r="I1462" s="68" t="n"/>
      <c r="J1462" s="73" t="n"/>
      <c r="K1462" s="71" t="n"/>
      <c r="L1462" s="71" t="n"/>
      <c r="M1462" s="66" t="n"/>
      <c r="N1462" s="80" t="n"/>
      <c r="O1462" s="81" t="str">
        <f>IF(A1462="","",ROUND(V1462*IFERROR(N(INDEX(tech_rate,MATCH(M1462,tech_name,0))),0),2))</f>
        <v/>
      </c>
      <c r="P1462" s="80" t="n"/>
      <c r="Q1462" s="81" t="str">
        <f>IF(A1462="","",ROUND(Y1462+O1462+Z1462,2))</f>
        <v/>
      </c>
      <c r="R1462" s="79" t="str">
        <f>IF(A1462="","",IF(S1462=0,"Date manquante ou invalide",IF(C1462="","Équipement manquant",IF(ISNA(MATCH(C1462,eq_code,0)),"Équipement inconnu",IF(E1462="","Type manquant",IF(AND(E1462&lt;&gt;"Préventif",E1462&lt;&gt;"Correctif",E1462&lt;&gt;"Amélioratif"),"Type inconnu",IF(I1462="","Statut manquant",IF(AND(I1462&lt;&gt;"Terminée",I1462&lt;&gt;"En cours",I1462&lt;&gt;"À faire",I1462&lt;&gt;"Annulée"),"Statut inconnu",IF(AND(E1462="Préventif",F1462=""),"Plan manquant (préventif)",IF(AND(F1462&lt;&gt;"",ISNA(MATCH(F1462,pl_num,0))),"Plan inconnu",IF(AND(F1462&lt;&gt;"",IFERROR(INDEX(pl_eq,MATCH(F1462,pl_num,0))&amp;"",C1462)&lt;&gt;C1462),"Plan d'un autre équipement",IF(AND(J1462&lt;&gt;"",OR(NOT(ISNUMBER(J1462)),N(J1462)&lt;0)),"Compteur invalide",IF(OR(AND(K1462&lt;&gt;"",OR(NOT(ISNUMBER(K1462)),N(K1462)&lt;0)),AND(L1462&lt;&gt;"",OR(NOT(ISNUMBER(L1462)),N(L1462)&lt;0))),"Durée invalide",IF(OR(AND(N1462&lt;&gt;"",OR(NOT(ISNUMBER(N1462)),N(N1462)&lt;0)),AND(P1462&lt;&gt;"",OR(NOT(ISNUMBER(P1462)),N(P1462)&lt;0))),"Coût invalide",IF(AND(M1462&lt;&gt;"",ISNA(MATCH(M1462,tech_name,0))),"Technicien inconnu",IF(AND(I1462="Terminée",S1462&gt;p_today),"Terminée à une date future",IF(AND(I1462="Terminée",V1462=0),"Durée d'intervention manquante",IF(AND(I1462="Terminée",E1462="Préventif",T1462=0,OR(IFERROR(INDEX(pl_trig,MATCH(F1462,pl_num,0))&amp;"","")="Compteur",IFERROR(INDEX(pl_trig,MATCH(F1462,pl_num,0))&amp;"","")="Au premier des deux")),"Compteur manquant (plan au compteur)","OK"))))))))))))))))))</f>
        <v/>
      </c>
      <c r="S1462" s="67">
        <f>IF(AND(ISNUMBER(B1462),N(B1462)&gt;0),INT(B1462),0)</f>
        <v>0.0</v>
      </c>
      <c r="T1462" s="67">
        <f>IF(AND(ISNUMBER(J1462),N(J1462)&gt;=0),N(J1462),0)</f>
        <v>0.0</v>
      </c>
      <c r="U1462" s="67">
        <f>IF(AND(ISNUMBER(K1462),N(K1462)&gt;0),N(K1462),0)</f>
        <v>0.0</v>
      </c>
      <c r="V1462" s="67">
        <f>IF(AND(ISNUMBER(L1462),N(L1462)&gt;0),N(L1462),0)</f>
        <v>0.0</v>
      </c>
      <c r="W1462" s="67">
        <f>IF(AND(I1462="Terminée",S1462&gt;0,C1462&lt;&gt;"",ISNUMBER(MATCH(C1462,eq_code,0))),1,0)</f>
        <v>0.0</v>
      </c>
      <c r="X1462" s="67">
        <f>IF(AND(W1462=1,E1462="Préventif"),1,0)</f>
        <v>0.0</v>
      </c>
      <c r="Y1462" s="67">
        <f>IF(AND(ISNUMBER(N1462),N(N1462)&gt;0),N(N1462),0)</f>
        <v>0.0</v>
      </c>
      <c r="Z1462" s="67">
        <f>IF(AND(ISNUMBER(P1462),N(P1462)&gt;0),N(P1462),0)</f>
        <v>0.0</v>
      </c>
    </row>
    <row r="1463">
      <c r="A1463" s="79" t="str">
        <f>IF(COUNTA(B1463:C1463,E1463:G1463,I1463)=0,"","BI-"&amp;RIGHT("0000"&amp;(ROW()-5),4))</f>
        <v/>
      </c>
      <c r="B1463" s="72" t="n"/>
      <c r="C1463" s="66" t="n"/>
      <c r="D1463" s="67" t="str">
        <f>IF(C1463="","",IFERROR(INDEX(eq_des,MATCH(C1463,eq_code,0))&amp;"","Équipement inconnu"))</f>
        <v/>
      </c>
      <c r="E1463" s="68" t="n"/>
      <c r="F1463" s="68" t="n"/>
      <c r="G1463" s="66" t="n"/>
      <c r="H1463" s="66" t="n"/>
      <c r="I1463" s="68" t="n"/>
      <c r="J1463" s="73" t="n"/>
      <c r="K1463" s="71" t="n"/>
      <c r="L1463" s="71" t="n"/>
      <c r="M1463" s="66" t="n"/>
      <c r="N1463" s="80" t="n"/>
      <c r="O1463" s="81" t="str">
        <f>IF(A1463="","",ROUND(V1463*IFERROR(N(INDEX(tech_rate,MATCH(M1463,tech_name,0))),0),2))</f>
        <v/>
      </c>
      <c r="P1463" s="80" t="n"/>
      <c r="Q1463" s="81" t="str">
        <f>IF(A1463="","",ROUND(Y1463+O1463+Z1463,2))</f>
        <v/>
      </c>
      <c r="R1463" s="79" t="str">
        <f>IF(A1463="","",IF(S1463=0,"Date manquante ou invalide",IF(C1463="","Équipement manquant",IF(ISNA(MATCH(C1463,eq_code,0)),"Équipement inconnu",IF(E1463="","Type manquant",IF(AND(E1463&lt;&gt;"Préventif",E1463&lt;&gt;"Correctif",E1463&lt;&gt;"Amélioratif"),"Type inconnu",IF(I1463="","Statut manquant",IF(AND(I1463&lt;&gt;"Terminée",I1463&lt;&gt;"En cours",I1463&lt;&gt;"À faire",I1463&lt;&gt;"Annulée"),"Statut inconnu",IF(AND(E1463="Préventif",F1463=""),"Plan manquant (préventif)",IF(AND(F1463&lt;&gt;"",ISNA(MATCH(F1463,pl_num,0))),"Plan inconnu",IF(AND(F1463&lt;&gt;"",IFERROR(INDEX(pl_eq,MATCH(F1463,pl_num,0))&amp;"",C1463)&lt;&gt;C1463),"Plan d'un autre équipement",IF(AND(J1463&lt;&gt;"",OR(NOT(ISNUMBER(J1463)),N(J1463)&lt;0)),"Compteur invalide",IF(OR(AND(K1463&lt;&gt;"",OR(NOT(ISNUMBER(K1463)),N(K1463)&lt;0)),AND(L1463&lt;&gt;"",OR(NOT(ISNUMBER(L1463)),N(L1463)&lt;0))),"Durée invalide",IF(OR(AND(N1463&lt;&gt;"",OR(NOT(ISNUMBER(N1463)),N(N1463)&lt;0)),AND(P1463&lt;&gt;"",OR(NOT(ISNUMBER(P1463)),N(P1463)&lt;0))),"Coût invalide",IF(AND(M1463&lt;&gt;"",ISNA(MATCH(M1463,tech_name,0))),"Technicien inconnu",IF(AND(I1463="Terminée",S1463&gt;p_today),"Terminée à une date future",IF(AND(I1463="Terminée",V1463=0),"Durée d'intervention manquante",IF(AND(I1463="Terminée",E1463="Préventif",T1463=0,OR(IFERROR(INDEX(pl_trig,MATCH(F1463,pl_num,0))&amp;"","")="Compteur",IFERROR(INDEX(pl_trig,MATCH(F1463,pl_num,0))&amp;"","")="Au premier des deux")),"Compteur manquant (plan au compteur)","OK"))))))))))))))))))</f>
        <v/>
      </c>
      <c r="S1463" s="67">
        <f>IF(AND(ISNUMBER(B1463),N(B1463)&gt;0),INT(B1463),0)</f>
        <v>0.0</v>
      </c>
      <c r="T1463" s="67">
        <f>IF(AND(ISNUMBER(J1463),N(J1463)&gt;=0),N(J1463),0)</f>
        <v>0.0</v>
      </c>
      <c r="U1463" s="67">
        <f>IF(AND(ISNUMBER(K1463),N(K1463)&gt;0),N(K1463),0)</f>
        <v>0.0</v>
      </c>
      <c r="V1463" s="67">
        <f>IF(AND(ISNUMBER(L1463),N(L1463)&gt;0),N(L1463),0)</f>
        <v>0.0</v>
      </c>
      <c r="W1463" s="67">
        <f>IF(AND(I1463="Terminée",S1463&gt;0,C1463&lt;&gt;"",ISNUMBER(MATCH(C1463,eq_code,0))),1,0)</f>
        <v>0.0</v>
      </c>
      <c r="X1463" s="67">
        <f>IF(AND(W1463=1,E1463="Préventif"),1,0)</f>
        <v>0.0</v>
      </c>
      <c r="Y1463" s="67">
        <f>IF(AND(ISNUMBER(N1463),N(N1463)&gt;0),N(N1463),0)</f>
        <v>0.0</v>
      </c>
      <c r="Z1463" s="67">
        <f>IF(AND(ISNUMBER(P1463),N(P1463)&gt;0),N(P1463),0)</f>
        <v>0.0</v>
      </c>
    </row>
    <row r="1464">
      <c r="A1464" s="79" t="str">
        <f>IF(COUNTA(B1464:C1464,E1464:G1464,I1464)=0,"","BI-"&amp;RIGHT("0000"&amp;(ROW()-5),4))</f>
        <v/>
      </c>
      <c r="B1464" s="72" t="n"/>
      <c r="C1464" s="66" t="n"/>
      <c r="D1464" s="67" t="str">
        <f>IF(C1464="","",IFERROR(INDEX(eq_des,MATCH(C1464,eq_code,0))&amp;"","Équipement inconnu"))</f>
        <v/>
      </c>
      <c r="E1464" s="68" t="n"/>
      <c r="F1464" s="68" t="n"/>
      <c r="G1464" s="66" t="n"/>
      <c r="H1464" s="66" t="n"/>
      <c r="I1464" s="68" t="n"/>
      <c r="J1464" s="73" t="n"/>
      <c r="K1464" s="71" t="n"/>
      <c r="L1464" s="71" t="n"/>
      <c r="M1464" s="66" t="n"/>
      <c r="N1464" s="80" t="n"/>
      <c r="O1464" s="81" t="str">
        <f>IF(A1464="","",ROUND(V1464*IFERROR(N(INDEX(tech_rate,MATCH(M1464,tech_name,0))),0),2))</f>
        <v/>
      </c>
      <c r="P1464" s="80" t="n"/>
      <c r="Q1464" s="81" t="str">
        <f>IF(A1464="","",ROUND(Y1464+O1464+Z1464,2))</f>
        <v/>
      </c>
      <c r="R1464" s="79" t="str">
        <f>IF(A1464="","",IF(S1464=0,"Date manquante ou invalide",IF(C1464="","Équipement manquant",IF(ISNA(MATCH(C1464,eq_code,0)),"Équipement inconnu",IF(E1464="","Type manquant",IF(AND(E1464&lt;&gt;"Préventif",E1464&lt;&gt;"Correctif",E1464&lt;&gt;"Amélioratif"),"Type inconnu",IF(I1464="","Statut manquant",IF(AND(I1464&lt;&gt;"Terminée",I1464&lt;&gt;"En cours",I1464&lt;&gt;"À faire",I1464&lt;&gt;"Annulée"),"Statut inconnu",IF(AND(E1464="Préventif",F1464=""),"Plan manquant (préventif)",IF(AND(F1464&lt;&gt;"",ISNA(MATCH(F1464,pl_num,0))),"Plan inconnu",IF(AND(F1464&lt;&gt;"",IFERROR(INDEX(pl_eq,MATCH(F1464,pl_num,0))&amp;"",C1464)&lt;&gt;C1464),"Plan d'un autre équipement",IF(AND(J1464&lt;&gt;"",OR(NOT(ISNUMBER(J1464)),N(J1464)&lt;0)),"Compteur invalide",IF(OR(AND(K1464&lt;&gt;"",OR(NOT(ISNUMBER(K1464)),N(K1464)&lt;0)),AND(L1464&lt;&gt;"",OR(NOT(ISNUMBER(L1464)),N(L1464)&lt;0))),"Durée invalide",IF(OR(AND(N1464&lt;&gt;"",OR(NOT(ISNUMBER(N1464)),N(N1464)&lt;0)),AND(P1464&lt;&gt;"",OR(NOT(ISNUMBER(P1464)),N(P1464)&lt;0))),"Coût invalide",IF(AND(M1464&lt;&gt;"",ISNA(MATCH(M1464,tech_name,0))),"Technicien inconnu",IF(AND(I1464="Terminée",S1464&gt;p_today),"Terminée à une date future",IF(AND(I1464="Terminée",V1464=0),"Durée d'intervention manquante",IF(AND(I1464="Terminée",E1464="Préventif",T1464=0,OR(IFERROR(INDEX(pl_trig,MATCH(F1464,pl_num,0))&amp;"","")="Compteur",IFERROR(INDEX(pl_trig,MATCH(F1464,pl_num,0))&amp;"","")="Au premier des deux")),"Compteur manquant (plan au compteur)","OK"))))))))))))))))))</f>
        <v/>
      </c>
      <c r="S1464" s="67">
        <f>IF(AND(ISNUMBER(B1464),N(B1464)&gt;0),INT(B1464),0)</f>
        <v>0.0</v>
      </c>
      <c r="T1464" s="67">
        <f>IF(AND(ISNUMBER(J1464),N(J1464)&gt;=0),N(J1464),0)</f>
        <v>0.0</v>
      </c>
      <c r="U1464" s="67">
        <f>IF(AND(ISNUMBER(K1464),N(K1464)&gt;0),N(K1464),0)</f>
        <v>0.0</v>
      </c>
      <c r="V1464" s="67">
        <f>IF(AND(ISNUMBER(L1464),N(L1464)&gt;0),N(L1464),0)</f>
        <v>0.0</v>
      </c>
      <c r="W1464" s="67">
        <f>IF(AND(I1464="Terminée",S1464&gt;0,C1464&lt;&gt;"",ISNUMBER(MATCH(C1464,eq_code,0))),1,0)</f>
        <v>0.0</v>
      </c>
      <c r="X1464" s="67">
        <f>IF(AND(W1464=1,E1464="Préventif"),1,0)</f>
        <v>0.0</v>
      </c>
      <c r="Y1464" s="67">
        <f>IF(AND(ISNUMBER(N1464),N(N1464)&gt;0),N(N1464),0)</f>
        <v>0.0</v>
      </c>
      <c r="Z1464" s="67">
        <f>IF(AND(ISNUMBER(P1464),N(P1464)&gt;0),N(P1464),0)</f>
        <v>0.0</v>
      </c>
    </row>
    <row r="1465">
      <c r="A1465" s="79" t="str">
        <f>IF(COUNTA(B1465:C1465,E1465:G1465,I1465)=0,"","BI-"&amp;RIGHT("0000"&amp;(ROW()-5),4))</f>
        <v/>
      </c>
      <c r="B1465" s="72" t="n"/>
      <c r="C1465" s="66" t="n"/>
      <c r="D1465" s="67" t="str">
        <f>IF(C1465="","",IFERROR(INDEX(eq_des,MATCH(C1465,eq_code,0))&amp;"","Équipement inconnu"))</f>
        <v/>
      </c>
      <c r="E1465" s="68" t="n"/>
      <c r="F1465" s="68" t="n"/>
      <c r="G1465" s="66" t="n"/>
      <c r="H1465" s="66" t="n"/>
      <c r="I1465" s="68" t="n"/>
      <c r="J1465" s="73" t="n"/>
      <c r="K1465" s="71" t="n"/>
      <c r="L1465" s="71" t="n"/>
      <c r="M1465" s="66" t="n"/>
      <c r="N1465" s="80" t="n"/>
      <c r="O1465" s="81" t="str">
        <f>IF(A1465="","",ROUND(V1465*IFERROR(N(INDEX(tech_rate,MATCH(M1465,tech_name,0))),0),2))</f>
        <v/>
      </c>
      <c r="P1465" s="80" t="n"/>
      <c r="Q1465" s="81" t="str">
        <f>IF(A1465="","",ROUND(Y1465+O1465+Z1465,2))</f>
        <v/>
      </c>
      <c r="R1465" s="79" t="str">
        <f>IF(A1465="","",IF(S1465=0,"Date manquante ou invalide",IF(C1465="","Équipement manquant",IF(ISNA(MATCH(C1465,eq_code,0)),"Équipement inconnu",IF(E1465="","Type manquant",IF(AND(E1465&lt;&gt;"Préventif",E1465&lt;&gt;"Correctif",E1465&lt;&gt;"Amélioratif"),"Type inconnu",IF(I1465="","Statut manquant",IF(AND(I1465&lt;&gt;"Terminée",I1465&lt;&gt;"En cours",I1465&lt;&gt;"À faire",I1465&lt;&gt;"Annulée"),"Statut inconnu",IF(AND(E1465="Préventif",F1465=""),"Plan manquant (préventif)",IF(AND(F1465&lt;&gt;"",ISNA(MATCH(F1465,pl_num,0))),"Plan inconnu",IF(AND(F1465&lt;&gt;"",IFERROR(INDEX(pl_eq,MATCH(F1465,pl_num,0))&amp;"",C1465)&lt;&gt;C1465),"Plan d'un autre équipement",IF(AND(J1465&lt;&gt;"",OR(NOT(ISNUMBER(J1465)),N(J1465)&lt;0)),"Compteur invalide",IF(OR(AND(K1465&lt;&gt;"",OR(NOT(ISNUMBER(K1465)),N(K1465)&lt;0)),AND(L1465&lt;&gt;"",OR(NOT(ISNUMBER(L1465)),N(L1465)&lt;0))),"Durée invalide",IF(OR(AND(N1465&lt;&gt;"",OR(NOT(ISNUMBER(N1465)),N(N1465)&lt;0)),AND(P1465&lt;&gt;"",OR(NOT(ISNUMBER(P1465)),N(P1465)&lt;0))),"Coût invalide",IF(AND(M1465&lt;&gt;"",ISNA(MATCH(M1465,tech_name,0))),"Technicien inconnu",IF(AND(I1465="Terminée",S1465&gt;p_today),"Terminée à une date future",IF(AND(I1465="Terminée",V1465=0),"Durée d'intervention manquante",IF(AND(I1465="Terminée",E1465="Préventif",T1465=0,OR(IFERROR(INDEX(pl_trig,MATCH(F1465,pl_num,0))&amp;"","")="Compteur",IFERROR(INDEX(pl_trig,MATCH(F1465,pl_num,0))&amp;"","")="Au premier des deux")),"Compteur manquant (plan au compteur)","OK"))))))))))))))))))</f>
        <v/>
      </c>
      <c r="S1465" s="67">
        <f>IF(AND(ISNUMBER(B1465),N(B1465)&gt;0),INT(B1465),0)</f>
        <v>0.0</v>
      </c>
      <c r="T1465" s="67">
        <f>IF(AND(ISNUMBER(J1465),N(J1465)&gt;=0),N(J1465),0)</f>
        <v>0.0</v>
      </c>
      <c r="U1465" s="67">
        <f>IF(AND(ISNUMBER(K1465),N(K1465)&gt;0),N(K1465),0)</f>
        <v>0.0</v>
      </c>
      <c r="V1465" s="67">
        <f>IF(AND(ISNUMBER(L1465),N(L1465)&gt;0),N(L1465),0)</f>
        <v>0.0</v>
      </c>
      <c r="W1465" s="67">
        <f>IF(AND(I1465="Terminée",S1465&gt;0,C1465&lt;&gt;"",ISNUMBER(MATCH(C1465,eq_code,0))),1,0)</f>
        <v>0.0</v>
      </c>
      <c r="X1465" s="67">
        <f>IF(AND(W1465=1,E1465="Préventif"),1,0)</f>
        <v>0.0</v>
      </c>
      <c r="Y1465" s="67">
        <f>IF(AND(ISNUMBER(N1465),N(N1465)&gt;0),N(N1465),0)</f>
        <v>0.0</v>
      </c>
      <c r="Z1465" s="67">
        <f>IF(AND(ISNUMBER(P1465),N(P1465)&gt;0),N(P1465),0)</f>
        <v>0.0</v>
      </c>
    </row>
    <row r="1466">
      <c r="A1466" s="79" t="str">
        <f>IF(COUNTA(B1466:C1466,E1466:G1466,I1466)=0,"","BI-"&amp;RIGHT("0000"&amp;(ROW()-5),4))</f>
        <v/>
      </c>
      <c r="B1466" s="72" t="n"/>
      <c r="C1466" s="66" t="n"/>
      <c r="D1466" s="67" t="str">
        <f>IF(C1466="","",IFERROR(INDEX(eq_des,MATCH(C1466,eq_code,0))&amp;"","Équipement inconnu"))</f>
        <v/>
      </c>
      <c r="E1466" s="68" t="n"/>
      <c r="F1466" s="68" t="n"/>
      <c r="G1466" s="66" t="n"/>
      <c r="H1466" s="66" t="n"/>
      <c r="I1466" s="68" t="n"/>
      <c r="J1466" s="73" t="n"/>
      <c r="K1466" s="71" t="n"/>
      <c r="L1466" s="71" t="n"/>
      <c r="M1466" s="66" t="n"/>
      <c r="N1466" s="80" t="n"/>
      <c r="O1466" s="81" t="str">
        <f>IF(A1466="","",ROUND(V1466*IFERROR(N(INDEX(tech_rate,MATCH(M1466,tech_name,0))),0),2))</f>
        <v/>
      </c>
      <c r="P1466" s="80" t="n"/>
      <c r="Q1466" s="81" t="str">
        <f>IF(A1466="","",ROUND(Y1466+O1466+Z1466,2))</f>
        <v/>
      </c>
      <c r="R1466" s="79" t="str">
        <f>IF(A1466="","",IF(S1466=0,"Date manquante ou invalide",IF(C1466="","Équipement manquant",IF(ISNA(MATCH(C1466,eq_code,0)),"Équipement inconnu",IF(E1466="","Type manquant",IF(AND(E1466&lt;&gt;"Préventif",E1466&lt;&gt;"Correctif",E1466&lt;&gt;"Amélioratif"),"Type inconnu",IF(I1466="","Statut manquant",IF(AND(I1466&lt;&gt;"Terminée",I1466&lt;&gt;"En cours",I1466&lt;&gt;"À faire",I1466&lt;&gt;"Annulée"),"Statut inconnu",IF(AND(E1466="Préventif",F1466=""),"Plan manquant (préventif)",IF(AND(F1466&lt;&gt;"",ISNA(MATCH(F1466,pl_num,0))),"Plan inconnu",IF(AND(F1466&lt;&gt;"",IFERROR(INDEX(pl_eq,MATCH(F1466,pl_num,0))&amp;"",C1466)&lt;&gt;C1466),"Plan d'un autre équipement",IF(AND(J1466&lt;&gt;"",OR(NOT(ISNUMBER(J1466)),N(J1466)&lt;0)),"Compteur invalide",IF(OR(AND(K1466&lt;&gt;"",OR(NOT(ISNUMBER(K1466)),N(K1466)&lt;0)),AND(L1466&lt;&gt;"",OR(NOT(ISNUMBER(L1466)),N(L1466)&lt;0))),"Durée invalide",IF(OR(AND(N1466&lt;&gt;"",OR(NOT(ISNUMBER(N1466)),N(N1466)&lt;0)),AND(P1466&lt;&gt;"",OR(NOT(ISNUMBER(P1466)),N(P1466)&lt;0))),"Coût invalide",IF(AND(M1466&lt;&gt;"",ISNA(MATCH(M1466,tech_name,0))),"Technicien inconnu",IF(AND(I1466="Terminée",S1466&gt;p_today),"Terminée à une date future",IF(AND(I1466="Terminée",V1466=0),"Durée d'intervention manquante",IF(AND(I1466="Terminée",E1466="Préventif",T1466=0,OR(IFERROR(INDEX(pl_trig,MATCH(F1466,pl_num,0))&amp;"","")="Compteur",IFERROR(INDEX(pl_trig,MATCH(F1466,pl_num,0))&amp;"","")="Au premier des deux")),"Compteur manquant (plan au compteur)","OK"))))))))))))))))))</f>
        <v/>
      </c>
      <c r="S1466" s="67">
        <f>IF(AND(ISNUMBER(B1466),N(B1466)&gt;0),INT(B1466),0)</f>
        <v>0.0</v>
      </c>
      <c r="T1466" s="67">
        <f>IF(AND(ISNUMBER(J1466),N(J1466)&gt;=0),N(J1466),0)</f>
        <v>0.0</v>
      </c>
      <c r="U1466" s="67">
        <f>IF(AND(ISNUMBER(K1466),N(K1466)&gt;0),N(K1466),0)</f>
        <v>0.0</v>
      </c>
      <c r="V1466" s="67">
        <f>IF(AND(ISNUMBER(L1466),N(L1466)&gt;0),N(L1466),0)</f>
        <v>0.0</v>
      </c>
      <c r="W1466" s="67">
        <f>IF(AND(I1466="Terminée",S1466&gt;0,C1466&lt;&gt;"",ISNUMBER(MATCH(C1466,eq_code,0))),1,0)</f>
        <v>0.0</v>
      </c>
      <c r="X1466" s="67">
        <f>IF(AND(W1466=1,E1466="Préventif"),1,0)</f>
        <v>0.0</v>
      </c>
      <c r="Y1466" s="67">
        <f>IF(AND(ISNUMBER(N1466),N(N1466)&gt;0),N(N1466),0)</f>
        <v>0.0</v>
      </c>
      <c r="Z1466" s="67">
        <f>IF(AND(ISNUMBER(P1466),N(P1466)&gt;0),N(P1466),0)</f>
        <v>0.0</v>
      </c>
    </row>
    <row r="1467">
      <c r="A1467" s="79" t="str">
        <f>IF(COUNTA(B1467:C1467,E1467:G1467,I1467)=0,"","BI-"&amp;RIGHT("0000"&amp;(ROW()-5),4))</f>
        <v/>
      </c>
      <c r="B1467" s="72" t="n"/>
      <c r="C1467" s="66" t="n"/>
      <c r="D1467" s="67" t="str">
        <f>IF(C1467="","",IFERROR(INDEX(eq_des,MATCH(C1467,eq_code,0))&amp;"","Équipement inconnu"))</f>
        <v/>
      </c>
      <c r="E1467" s="68" t="n"/>
      <c r="F1467" s="68" t="n"/>
      <c r="G1467" s="66" t="n"/>
      <c r="H1467" s="66" t="n"/>
      <c r="I1467" s="68" t="n"/>
      <c r="J1467" s="73" t="n"/>
      <c r="K1467" s="71" t="n"/>
      <c r="L1467" s="71" t="n"/>
      <c r="M1467" s="66" t="n"/>
      <c r="N1467" s="80" t="n"/>
      <c r="O1467" s="81" t="str">
        <f>IF(A1467="","",ROUND(V1467*IFERROR(N(INDEX(tech_rate,MATCH(M1467,tech_name,0))),0),2))</f>
        <v/>
      </c>
      <c r="P1467" s="80" t="n"/>
      <c r="Q1467" s="81" t="str">
        <f>IF(A1467="","",ROUND(Y1467+O1467+Z1467,2))</f>
        <v/>
      </c>
      <c r="R1467" s="79" t="str">
        <f>IF(A1467="","",IF(S1467=0,"Date manquante ou invalide",IF(C1467="","Équipement manquant",IF(ISNA(MATCH(C1467,eq_code,0)),"Équipement inconnu",IF(E1467="","Type manquant",IF(AND(E1467&lt;&gt;"Préventif",E1467&lt;&gt;"Correctif",E1467&lt;&gt;"Amélioratif"),"Type inconnu",IF(I1467="","Statut manquant",IF(AND(I1467&lt;&gt;"Terminée",I1467&lt;&gt;"En cours",I1467&lt;&gt;"À faire",I1467&lt;&gt;"Annulée"),"Statut inconnu",IF(AND(E1467="Préventif",F1467=""),"Plan manquant (préventif)",IF(AND(F1467&lt;&gt;"",ISNA(MATCH(F1467,pl_num,0))),"Plan inconnu",IF(AND(F1467&lt;&gt;"",IFERROR(INDEX(pl_eq,MATCH(F1467,pl_num,0))&amp;"",C1467)&lt;&gt;C1467),"Plan d'un autre équipement",IF(AND(J1467&lt;&gt;"",OR(NOT(ISNUMBER(J1467)),N(J1467)&lt;0)),"Compteur invalide",IF(OR(AND(K1467&lt;&gt;"",OR(NOT(ISNUMBER(K1467)),N(K1467)&lt;0)),AND(L1467&lt;&gt;"",OR(NOT(ISNUMBER(L1467)),N(L1467)&lt;0))),"Durée invalide",IF(OR(AND(N1467&lt;&gt;"",OR(NOT(ISNUMBER(N1467)),N(N1467)&lt;0)),AND(P1467&lt;&gt;"",OR(NOT(ISNUMBER(P1467)),N(P1467)&lt;0))),"Coût invalide",IF(AND(M1467&lt;&gt;"",ISNA(MATCH(M1467,tech_name,0))),"Technicien inconnu",IF(AND(I1467="Terminée",S1467&gt;p_today),"Terminée à une date future",IF(AND(I1467="Terminée",V1467=0),"Durée d'intervention manquante",IF(AND(I1467="Terminée",E1467="Préventif",T1467=0,OR(IFERROR(INDEX(pl_trig,MATCH(F1467,pl_num,0))&amp;"","")="Compteur",IFERROR(INDEX(pl_trig,MATCH(F1467,pl_num,0))&amp;"","")="Au premier des deux")),"Compteur manquant (plan au compteur)","OK"))))))))))))))))))</f>
        <v/>
      </c>
      <c r="S1467" s="67">
        <f>IF(AND(ISNUMBER(B1467),N(B1467)&gt;0),INT(B1467),0)</f>
        <v>0.0</v>
      </c>
      <c r="T1467" s="67">
        <f>IF(AND(ISNUMBER(J1467),N(J1467)&gt;=0),N(J1467),0)</f>
        <v>0.0</v>
      </c>
      <c r="U1467" s="67">
        <f>IF(AND(ISNUMBER(K1467),N(K1467)&gt;0),N(K1467),0)</f>
        <v>0.0</v>
      </c>
      <c r="V1467" s="67">
        <f>IF(AND(ISNUMBER(L1467),N(L1467)&gt;0),N(L1467),0)</f>
        <v>0.0</v>
      </c>
      <c r="W1467" s="67">
        <f>IF(AND(I1467="Terminée",S1467&gt;0,C1467&lt;&gt;"",ISNUMBER(MATCH(C1467,eq_code,0))),1,0)</f>
        <v>0.0</v>
      </c>
      <c r="X1467" s="67">
        <f>IF(AND(W1467=1,E1467="Préventif"),1,0)</f>
        <v>0.0</v>
      </c>
      <c r="Y1467" s="67">
        <f>IF(AND(ISNUMBER(N1467),N(N1467)&gt;0),N(N1467),0)</f>
        <v>0.0</v>
      </c>
      <c r="Z1467" s="67">
        <f>IF(AND(ISNUMBER(P1467),N(P1467)&gt;0),N(P1467),0)</f>
        <v>0.0</v>
      </c>
    </row>
    <row r="1468">
      <c r="A1468" s="79" t="str">
        <f>IF(COUNTA(B1468:C1468,E1468:G1468,I1468)=0,"","BI-"&amp;RIGHT("0000"&amp;(ROW()-5),4))</f>
        <v/>
      </c>
      <c r="B1468" s="72" t="n"/>
      <c r="C1468" s="66" t="n"/>
      <c r="D1468" s="67" t="str">
        <f>IF(C1468="","",IFERROR(INDEX(eq_des,MATCH(C1468,eq_code,0))&amp;"","Équipement inconnu"))</f>
        <v/>
      </c>
      <c r="E1468" s="68" t="n"/>
      <c r="F1468" s="68" t="n"/>
      <c r="G1468" s="66" t="n"/>
      <c r="H1468" s="66" t="n"/>
      <c r="I1468" s="68" t="n"/>
      <c r="J1468" s="73" t="n"/>
      <c r="K1468" s="71" t="n"/>
      <c r="L1468" s="71" t="n"/>
      <c r="M1468" s="66" t="n"/>
      <c r="N1468" s="80" t="n"/>
      <c r="O1468" s="81" t="str">
        <f>IF(A1468="","",ROUND(V1468*IFERROR(N(INDEX(tech_rate,MATCH(M1468,tech_name,0))),0),2))</f>
        <v/>
      </c>
      <c r="P1468" s="80" t="n"/>
      <c r="Q1468" s="81" t="str">
        <f>IF(A1468="","",ROUND(Y1468+O1468+Z1468,2))</f>
        <v/>
      </c>
      <c r="R1468" s="79" t="str">
        <f>IF(A1468="","",IF(S1468=0,"Date manquante ou invalide",IF(C1468="","Équipement manquant",IF(ISNA(MATCH(C1468,eq_code,0)),"Équipement inconnu",IF(E1468="","Type manquant",IF(AND(E1468&lt;&gt;"Préventif",E1468&lt;&gt;"Correctif",E1468&lt;&gt;"Amélioratif"),"Type inconnu",IF(I1468="","Statut manquant",IF(AND(I1468&lt;&gt;"Terminée",I1468&lt;&gt;"En cours",I1468&lt;&gt;"À faire",I1468&lt;&gt;"Annulée"),"Statut inconnu",IF(AND(E1468="Préventif",F1468=""),"Plan manquant (préventif)",IF(AND(F1468&lt;&gt;"",ISNA(MATCH(F1468,pl_num,0))),"Plan inconnu",IF(AND(F1468&lt;&gt;"",IFERROR(INDEX(pl_eq,MATCH(F1468,pl_num,0))&amp;"",C1468)&lt;&gt;C1468),"Plan d'un autre équipement",IF(AND(J1468&lt;&gt;"",OR(NOT(ISNUMBER(J1468)),N(J1468)&lt;0)),"Compteur invalide",IF(OR(AND(K1468&lt;&gt;"",OR(NOT(ISNUMBER(K1468)),N(K1468)&lt;0)),AND(L1468&lt;&gt;"",OR(NOT(ISNUMBER(L1468)),N(L1468)&lt;0))),"Durée invalide",IF(OR(AND(N1468&lt;&gt;"",OR(NOT(ISNUMBER(N1468)),N(N1468)&lt;0)),AND(P1468&lt;&gt;"",OR(NOT(ISNUMBER(P1468)),N(P1468)&lt;0))),"Coût invalide",IF(AND(M1468&lt;&gt;"",ISNA(MATCH(M1468,tech_name,0))),"Technicien inconnu",IF(AND(I1468="Terminée",S1468&gt;p_today),"Terminée à une date future",IF(AND(I1468="Terminée",V1468=0),"Durée d'intervention manquante",IF(AND(I1468="Terminée",E1468="Préventif",T1468=0,OR(IFERROR(INDEX(pl_trig,MATCH(F1468,pl_num,0))&amp;"","")="Compteur",IFERROR(INDEX(pl_trig,MATCH(F1468,pl_num,0))&amp;"","")="Au premier des deux")),"Compteur manquant (plan au compteur)","OK"))))))))))))))))))</f>
        <v/>
      </c>
      <c r="S1468" s="67">
        <f>IF(AND(ISNUMBER(B1468),N(B1468)&gt;0),INT(B1468),0)</f>
        <v>0.0</v>
      </c>
      <c r="T1468" s="67">
        <f>IF(AND(ISNUMBER(J1468),N(J1468)&gt;=0),N(J1468),0)</f>
        <v>0.0</v>
      </c>
      <c r="U1468" s="67">
        <f>IF(AND(ISNUMBER(K1468),N(K1468)&gt;0),N(K1468),0)</f>
        <v>0.0</v>
      </c>
      <c r="V1468" s="67">
        <f>IF(AND(ISNUMBER(L1468),N(L1468)&gt;0),N(L1468),0)</f>
        <v>0.0</v>
      </c>
      <c r="W1468" s="67">
        <f>IF(AND(I1468="Terminée",S1468&gt;0,C1468&lt;&gt;"",ISNUMBER(MATCH(C1468,eq_code,0))),1,0)</f>
        <v>0.0</v>
      </c>
      <c r="X1468" s="67">
        <f>IF(AND(W1468=1,E1468="Préventif"),1,0)</f>
        <v>0.0</v>
      </c>
      <c r="Y1468" s="67">
        <f>IF(AND(ISNUMBER(N1468),N(N1468)&gt;0),N(N1468),0)</f>
        <v>0.0</v>
      </c>
      <c r="Z1468" s="67">
        <f>IF(AND(ISNUMBER(P1468),N(P1468)&gt;0),N(P1468),0)</f>
        <v>0.0</v>
      </c>
    </row>
    <row r="1469">
      <c r="A1469" s="79" t="str">
        <f>IF(COUNTA(B1469:C1469,E1469:G1469,I1469)=0,"","BI-"&amp;RIGHT("0000"&amp;(ROW()-5),4))</f>
        <v/>
      </c>
      <c r="B1469" s="72" t="n"/>
      <c r="C1469" s="66" t="n"/>
      <c r="D1469" s="67" t="str">
        <f>IF(C1469="","",IFERROR(INDEX(eq_des,MATCH(C1469,eq_code,0))&amp;"","Équipement inconnu"))</f>
        <v/>
      </c>
      <c r="E1469" s="68" t="n"/>
      <c r="F1469" s="68" t="n"/>
      <c r="G1469" s="66" t="n"/>
      <c r="H1469" s="66" t="n"/>
      <c r="I1469" s="68" t="n"/>
      <c r="J1469" s="73" t="n"/>
      <c r="K1469" s="71" t="n"/>
      <c r="L1469" s="71" t="n"/>
      <c r="M1469" s="66" t="n"/>
      <c r="N1469" s="80" t="n"/>
      <c r="O1469" s="81" t="str">
        <f>IF(A1469="","",ROUND(V1469*IFERROR(N(INDEX(tech_rate,MATCH(M1469,tech_name,0))),0),2))</f>
        <v/>
      </c>
      <c r="P1469" s="80" t="n"/>
      <c r="Q1469" s="81" t="str">
        <f>IF(A1469="","",ROUND(Y1469+O1469+Z1469,2))</f>
        <v/>
      </c>
      <c r="R1469" s="79" t="str">
        <f>IF(A1469="","",IF(S1469=0,"Date manquante ou invalide",IF(C1469="","Équipement manquant",IF(ISNA(MATCH(C1469,eq_code,0)),"Équipement inconnu",IF(E1469="","Type manquant",IF(AND(E1469&lt;&gt;"Préventif",E1469&lt;&gt;"Correctif",E1469&lt;&gt;"Amélioratif"),"Type inconnu",IF(I1469="","Statut manquant",IF(AND(I1469&lt;&gt;"Terminée",I1469&lt;&gt;"En cours",I1469&lt;&gt;"À faire",I1469&lt;&gt;"Annulée"),"Statut inconnu",IF(AND(E1469="Préventif",F1469=""),"Plan manquant (préventif)",IF(AND(F1469&lt;&gt;"",ISNA(MATCH(F1469,pl_num,0))),"Plan inconnu",IF(AND(F1469&lt;&gt;"",IFERROR(INDEX(pl_eq,MATCH(F1469,pl_num,0))&amp;"",C1469)&lt;&gt;C1469),"Plan d'un autre équipement",IF(AND(J1469&lt;&gt;"",OR(NOT(ISNUMBER(J1469)),N(J1469)&lt;0)),"Compteur invalide",IF(OR(AND(K1469&lt;&gt;"",OR(NOT(ISNUMBER(K1469)),N(K1469)&lt;0)),AND(L1469&lt;&gt;"",OR(NOT(ISNUMBER(L1469)),N(L1469)&lt;0))),"Durée invalide",IF(OR(AND(N1469&lt;&gt;"",OR(NOT(ISNUMBER(N1469)),N(N1469)&lt;0)),AND(P1469&lt;&gt;"",OR(NOT(ISNUMBER(P1469)),N(P1469)&lt;0))),"Coût invalide",IF(AND(M1469&lt;&gt;"",ISNA(MATCH(M1469,tech_name,0))),"Technicien inconnu",IF(AND(I1469="Terminée",S1469&gt;p_today),"Terminée à une date future",IF(AND(I1469="Terminée",V1469=0),"Durée d'intervention manquante",IF(AND(I1469="Terminée",E1469="Préventif",T1469=0,OR(IFERROR(INDEX(pl_trig,MATCH(F1469,pl_num,0))&amp;"","")="Compteur",IFERROR(INDEX(pl_trig,MATCH(F1469,pl_num,0))&amp;"","")="Au premier des deux")),"Compteur manquant (plan au compteur)","OK"))))))))))))))))))</f>
        <v/>
      </c>
      <c r="S1469" s="67">
        <f>IF(AND(ISNUMBER(B1469),N(B1469)&gt;0),INT(B1469),0)</f>
        <v>0.0</v>
      </c>
      <c r="T1469" s="67">
        <f>IF(AND(ISNUMBER(J1469),N(J1469)&gt;=0),N(J1469),0)</f>
        <v>0.0</v>
      </c>
      <c r="U1469" s="67">
        <f>IF(AND(ISNUMBER(K1469),N(K1469)&gt;0),N(K1469),0)</f>
        <v>0.0</v>
      </c>
      <c r="V1469" s="67">
        <f>IF(AND(ISNUMBER(L1469),N(L1469)&gt;0),N(L1469),0)</f>
        <v>0.0</v>
      </c>
      <c r="W1469" s="67">
        <f>IF(AND(I1469="Terminée",S1469&gt;0,C1469&lt;&gt;"",ISNUMBER(MATCH(C1469,eq_code,0))),1,0)</f>
        <v>0.0</v>
      </c>
      <c r="X1469" s="67">
        <f>IF(AND(W1469=1,E1469="Préventif"),1,0)</f>
        <v>0.0</v>
      </c>
      <c r="Y1469" s="67">
        <f>IF(AND(ISNUMBER(N1469),N(N1469)&gt;0),N(N1469),0)</f>
        <v>0.0</v>
      </c>
      <c r="Z1469" s="67">
        <f>IF(AND(ISNUMBER(P1469),N(P1469)&gt;0),N(P1469),0)</f>
        <v>0.0</v>
      </c>
    </row>
    <row r="1470">
      <c r="A1470" s="79" t="str">
        <f>IF(COUNTA(B1470:C1470,E1470:G1470,I1470)=0,"","BI-"&amp;RIGHT("0000"&amp;(ROW()-5),4))</f>
        <v/>
      </c>
      <c r="B1470" s="72" t="n"/>
      <c r="C1470" s="66" t="n"/>
      <c r="D1470" s="67" t="str">
        <f>IF(C1470="","",IFERROR(INDEX(eq_des,MATCH(C1470,eq_code,0))&amp;"","Équipement inconnu"))</f>
        <v/>
      </c>
      <c r="E1470" s="68" t="n"/>
      <c r="F1470" s="68" t="n"/>
      <c r="G1470" s="66" t="n"/>
      <c r="H1470" s="66" t="n"/>
      <c r="I1470" s="68" t="n"/>
      <c r="J1470" s="73" t="n"/>
      <c r="K1470" s="71" t="n"/>
      <c r="L1470" s="71" t="n"/>
      <c r="M1470" s="66" t="n"/>
      <c r="N1470" s="80" t="n"/>
      <c r="O1470" s="81" t="str">
        <f>IF(A1470="","",ROUND(V1470*IFERROR(N(INDEX(tech_rate,MATCH(M1470,tech_name,0))),0),2))</f>
        <v/>
      </c>
      <c r="P1470" s="80" t="n"/>
      <c r="Q1470" s="81" t="str">
        <f>IF(A1470="","",ROUND(Y1470+O1470+Z1470,2))</f>
        <v/>
      </c>
      <c r="R1470" s="79" t="str">
        <f>IF(A1470="","",IF(S1470=0,"Date manquante ou invalide",IF(C1470="","Équipement manquant",IF(ISNA(MATCH(C1470,eq_code,0)),"Équipement inconnu",IF(E1470="","Type manquant",IF(AND(E1470&lt;&gt;"Préventif",E1470&lt;&gt;"Correctif",E1470&lt;&gt;"Amélioratif"),"Type inconnu",IF(I1470="","Statut manquant",IF(AND(I1470&lt;&gt;"Terminée",I1470&lt;&gt;"En cours",I1470&lt;&gt;"À faire",I1470&lt;&gt;"Annulée"),"Statut inconnu",IF(AND(E1470="Préventif",F1470=""),"Plan manquant (préventif)",IF(AND(F1470&lt;&gt;"",ISNA(MATCH(F1470,pl_num,0))),"Plan inconnu",IF(AND(F1470&lt;&gt;"",IFERROR(INDEX(pl_eq,MATCH(F1470,pl_num,0))&amp;"",C1470)&lt;&gt;C1470),"Plan d'un autre équipement",IF(AND(J1470&lt;&gt;"",OR(NOT(ISNUMBER(J1470)),N(J1470)&lt;0)),"Compteur invalide",IF(OR(AND(K1470&lt;&gt;"",OR(NOT(ISNUMBER(K1470)),N(K1470)&lt;0)),AND(L1470&lt;&gt;"",OR(NOT(ISNUMBER(L1470)),N(L1470)&lt;0))),"Durée invalide",IF(OR(AND(N1470&lt;&gt;"",OR(NOT(ISNUMBER(N1470)),N(N1470)&lt;0)),AND(P1470&lt;&gt;"",OR(NOT(ISNUMBER(P1470)),N(P1470)&lt;0))),"Coût invalide",IF(AND(M1470&lt;&gt;"",ISNA(MATCH(M1470,tech_name,0))),"Technicien inconnu",IF(AND(I1470="Terminée",S1470&gt;p_today),"Terminée à une date future",IF(AND(I1470="Terminée",V1470=0),"Durée d'intervention manquante",IF(AND(I1470="Terminée",E1470="Préventif",T1470=0,OR(IFERROR(INDEX(pl_trig,MATCH(F1470,pl_num,0))&amp;"","")="Compteur",IFERROR(INDEX(pl_trig,MATCH(F1470,pl_num,0))&amp;"","")="Au premier des deux")),"Compteur manquant (plan au compteur)","OK"))))))))))))))))))</f>
        <v/>
      </c>
      <c r="S1470" s="67">
        <f>IF(AND(ISNUMBER(B1470),N(B1470)&gt;0),INT(B1470),0)</f>
        <v>0.0</v>
      </c>
      <c r="T1470" s="67">
        <f>IF(AND(ISNUMBER(J1470),N(J1470)&gt;=0),N(J1470),0)</f>
        <v>0.0</v>
      </c>
      <c r="U1470" s="67">
        <f>IF(AND(ISNUMBER(K1470),N(K1470)&gt;0),N(K1470),0)</f>
        <v>0.0</v>
      </c>
      <c r="V1470" s="67">
        <f>IF(AND(ISNUMBER(L1470),N(L1470)&gt;0),N(L1470),0)</f>
        <v>0.0</v>
      </c>
      <c r="W1470" s="67">
        <f>IF(AND(I1470="Terminée",S1470&gt;0,C1470&lt;&gt;"",ISNUMBER(MATCH(C1470,eq_code,0))),1,0)</f>
        <v>0.0</v>
      </c>
      <c r="X1470" s="67">
        <f>IF(AND(W1470=1,E1470="Préventif"),1,0)</f>
        <v>0.0</v>
      </c>
      <c r="Y1470" s="67">
        <f>IF(AND(ISNUMBER(N1470),N(N1470)&gt;0),N(N1470),0)</f>
        <v>0.0</v>
      </c>
      <c r="Z1470" s="67">
        <f>IF(AND(ISNUMBER(P1470),N(P1470)&gt;0),N(P1470),0)</f>
        <v>0.0</v>
      </c>
    </row>
    <row r="1471">
      <c r="A1471" s="79" t="str">
        <f>IF(COUNTA(B1471:C1471,E1471:G1471,I1471)=0,"","BI-"&amp;RIGHT("0000"&amp;(ROW()-5),4))</f>
        <v/>
      </c>
      <c r="B1471" s="72" t="n"/>
      <c r="C1471" s="66" t="n"/>
      <c r="D1471" s="67" t="str">
        <f>IF(C1471="","",IFERROR(INDEX(eq_des,MATCH(C1471,eq_code,0))&amp;"","Équipement inconnu"))</f>
        <v/>
      </c>
      <c r="E1471" s="68" t="n"/>
      <c r="F1471" s="68" t="n"/>
      <c r="G1471" s="66" t="n"/>
      <c r="H1471" s="66" t="n"/>
      <c r="I1471" s="68" t="n"/>
      <c r="J1471" s="73" t="n"/>
      <c r="K1471" s="71" t="n"/>
      <c r="L1471" s="71" t="n"/>
      <c r="M1471" s="66" t="n"/>
      <c r="N1471" s="80" t="n"/>
      <c r="O1471" s="81" t="str">
        <f>IF(A1471="","",ROUND(V1471*IFERROR(N(INDEX(tech_rate,MATCH(M1471,tech_name,0))),0),2))</f>
        <v/>
      </c>
      <c r="P1471" s="80" t="n"/>
      <c r="Q1471" s="81" t="str">
        <f>IF(A1471="","",ROUND(Y1471+O1471+Z1471,2))</f>
        <v/>
      </c>
      <c r="R1471" s="79" t="str">
        <f>IF(A1471="","",IF(S1471=0,"Date manquante ou invalide",IF(C1471="","Équipement manquant",IF(ISNA(MATCH(C1471,eq_code,0)),"Équipement inconnu",IF(E1471="","Type manquant",IF(AND(E1471&lt;&gt;"Préventif",E1471&lt;&gt;"Correctif",E1471&lt;&gt;"Amélioratif"),"Type inconnu",IF(I1471="","Statut manquant",IF(AND(I1471&lt;&gt;"Terminée",I1471&lt;&gt;"En cours",I1471&lt;&gt;"À faire",I1471&lt;&gt;"Annulée"),"Statut inconnu",IF(AND(E1471="Préventif",F1471=""),"Plan manquant (préventif)",IF(AND(F1471&lt;&gt;"",ISNA(MATCH(F1471,pl_num,0))),"Plan inconnu",IF(AND(F1471&lt;&gt;"",IFERROR(INDEX(pl_eq,MATCH(F1471,pl_num,0))&amp;"",C1471)&lt;&gt;C1471),"Plan d'un autre équipement",IF(AND(J1471&lt;&gt;"",OR(NOT(ISNUMBER(J1471)),N(J1471)&lt;0)),"Compteur invalide",IF(OR(AND(K1471&lt;&gt;"",OR(NOT(ISNUMBER(K1471)),N(K1471)&lt;0)),AND(L1471&lt;&gt;"",OR(NOT(ISNUMBER(L1471)),N(L1471)&lt;0))),"Durée invalide",IF(OR(AND(N1471&lt;&gt;"",OR(NOT(ISNUMBER(N1471)),N(N1471)&lt;0)),AND(P1471&lt;&gt;"",OR(NOT(ISNUMBER(P1471)),N(P1471)&lt;0))),"Coût invalide",IF(AND(M1471&lt;&gt;"",ISNA(MATCH(M1471,tech_name,0))),"Technicien inconnu",IF(AND(I1471="Terminée",S1471&gt;p_today),"Terminée à une date future",IF(AND(I1471="Terminée",V1471=0),"Durée d'intervention manquante",IF(AND(I1471="Terminée",E1471="Préventif",T1471=0,OR(IFERROR(INDEX(pl_trig,MATCH(F1471,pl_num,0))&amp;"","")="Compteur",IFERROR(INDEX(pl_trig,MATCH(F1471,pl_num,0))&amp;"","")="Au premier des deux")),"Compteur manquant (plan au compteur)","OK"))))))))))))))))))</f>
        <v/>
      </c>
      <c r="S1471" s="67">
        <f>IF(AND(ISNUMBER(B1471),N(B1471)&gt;0),INT(B1471),0)</f>
        <v>0.0</v>
      </c>
      <c r="T1471" s="67">
        <f>IF(AND(ISNUMBER(J1471),N(J1471)&gt;=0),N(J1471),0)</f>
        <v>0.0</v>
      </c>
      <c r="U1471" s="67">
        <f>IF(AND(ISNUMBER(K1471),N(K1471)&gt;0),N(K1471),0)</f>
        <v>0.0</v>
      </c>
      <c r="V1471" s="67">
        <f>IF(AND(ISNUMBER(L1471),N(L1471)&gt;0),N(L1471),0)</f>
        <v>0.0</v>
      </c>
      <c r="W1471" s="67">
        <f>IF(AND(I1471="Terminée",S1471&gt;0,C1471&lt;&gt;"",ISNUMBER(MATCH(C1471,eq_code,0))),1,0)</f>
        <v>0.0</v>
      </c>
      <c r="X1471" s="67">
        <f>IF(AND(W1471=1,E1471="Préventif"),1,0)</f>
        <v>0.0</v>
      </c>
      <c r="Y1471" s="67">
        <f>IF(AND(ISNUMBER(N1471),N(N1471)&gt;0),N(N1471),0)</f>
        <v>0.0</v>
      </c>
      <c r="Z1471" s="67">
        <f>IF(AND(ISNUMBER(P1471),N(P1471)&gt;0),N(P1471),0)</f>
        <v>0.0</v>
      </c>
    </row>
    <row r="1472">
      <c r="A1472" s="79" t="str">
        <f>IF(COUNTA(B1472:C1472,E1472:G1472,I1472)=0,"","BI-"&amp;RIGHT("0000"&amp;(ROW()-5),4))</f>
        <v/>
      </c>
      <c r="B1472" s="72" t="n"/>
      <c r="C1472" s="66" t="n"/>
      <c r="D1472" s="67" t="str">
        <f>IF(C1472="","",IFERROR(INDEX(eq_des,MATCH(C1472,eq_code,0))&amp;"","Équipement inconnu"))</f>
        <v/>
      </c>
      <c r="E1472" s="68" t="n"/>
      <c r="F1472" s="68" t="n"/>
      <c r="G1472" s="66" t="n"/>
      <c r="H1472" s="66" t="n"/>
      <c r="I1472" s="68" t="n"/>
      <c r="J1472" s="73" t="n"/>
      <c r="K1472" s="71" t="n"/>
      <c r="L1472" s="71" t="n"/>
      <c r="M1472" s="66" t="n"/>
      <c r="N1472" s="80" t="n"/>
      <c r="O1472" s="81" t="str">
        <f>IF(A1472="","",ROUND(V1472*IFERROR(N(INDEX(tech_rate,MATCH(M1472,tech_name,0))),0),2))</f>
        <v/>
      </c>
      <c r="P1472" s="80" t="n"/>
      <c r="Q1472" s="81" t="str">
        <f>IF(A1472="","",ROUND(Y1472+O1472+Z1472,2))</f>
        <v/>
      </c>
      <c r="R1472" s="79" t="str">
        <f>IF(A1472="","",IF(S1472=0,"Date manquante ou invalide",IF(C1472="","Équipement manquant",IF(ISNA(MATCH(C1472,eq_code,0)),"Équipement inconnu",IF(E1472="","Type manquant",IF(AND(E1472&lt;&gt;"Préventif",E1472&lt;&gt;"Correctif",E1472&lt;&gt;"Amélioratif"),"Type inconnu",IF(I1472="","Statut manquant",IF(AND(I1472&lt;&gt;"Terminée",I1472&lt;&gt;"En cours",I1472&lt;&gt;"À faire",I1472&lt;&gt;"Annulée"),"Statut inconnu",IF(AND(E1472="Préventif",F1472=""),"Plan manquant (préventif)",IF(AND(F1472&lt;&gt;"",ISNA(MATCH(F1472,pl_num,0))),"Plan inconnu",IF(AND(F1472&lt;&gt;"",IFERROR(INDEX(pl_eq,MATCH(F1472,pl_num,0))&amp;"",C1472)&lt;&gt;C1472),"Plan d'un autre équipement",IF(AND(J1472&lt;&gt;"",OR(NOT(ISNUMBER(J1472)),N(J1472)&lt;0)),"Compteur invalide",IF(OR(AND(K1472&lt;&gt;"",OR(NOT(ISNUMBER(K1472)),N(K1472)&lt;0)),AND(L1472&lt;&gt;"",OR(NOT(ISNUMBER(L1472)),N(L1472)&lt;0))),"Durée invalide",IF(OR(AND(N1472&lt;&gt;"",OR(NOT(ISNUMBER(N1472)),N(N1472)&lt;0)),AND(P1472&lt;&gt;"",OR(NOT(ISNUMBER(P1472)),N(P1472)&lt;0))),"Coût invalide",IF(AND(M1472&lt;&gt;"",ISNA(MATCH(M1472,tech_name,0))),"Technicien inconnu",IF(AND(I1472="Terminée",S1472&gt;p_today),"Terminée à une date future",IF(AND(I1472="Terminée",V1472=0),"Durée d'intervention manquante",IF(AND(I1472="Terminée",E1472="Préventif",T1472=0,OR(IFERROR(INDEX(pl_trig,MATCH(F1472,pl_num,0))&amp;"","")="Compteur",IFERROR(INDEX(pl_trig,MATCH(F1472,pl_num,0))&amp;"","")="Au premier des deux")),"Compteur manquant (plan au compteur)","OK"))))))))))))))))))</f>
        <v/>
      </c>
      <c r="S1472" s="67">
        <f>IF(AND(ISNUMBER(B1472),N(B1472)&gt;0),INT(B1472),0)</f>
        <v>0.0</v>
      </c>
      <c r="T1472" s="67">
        <f>IF(AND(ISNUMBER(J1472),N(J1472)&gt;=0),N(J1472),0)</f>
        <v>0.0</v>
      </c>
      <c r="U1472" s="67">
        <f>IF(AND(ISNUMBER(K1472),N(K1472)&gt;0),N(K1472),0)</f>
        <v>0.0</v>
      </c>
      <c r="V1472" s="67">
        <f>IF(AND(ISNUMBER(L1472),N(L1472)&gt;0),N(L1472),0)</f>
        <v>0.0</v>
      </c>
      <c r="W1472" s="67">
        <f>IF(AND(I1472="Terminée",S1472&gt;0,C1472&lt;&gt;"",ISNUMBER(MATCH(C1472,eq_code,0))),1,0)</f>
        <v>0.0</v>
      </c>
      <c r="X1472" s="67">
        <f>IF(AND(W1472=1,E1472="Préventif"),1,0)</f>
        <v>0.0</v>
      </c>
      <c r="Y1472" s="67">
        <f>IF(AND(ISNUMBER(N1472),N(N1472)&gt;0),N(N1472),0)</f>
        <v>0.0</v>
      </c>
      <c r="Z1472" s="67">
        <f>IF(AND(ISNUMBER(P1472),N(P1472)&gt;0),N(P1472),0)</f>
        <v>0.0</v>
      </c>
    </row>
    <row r="1473">
      <c r="A1473" s="79" t="str">
        <f>IF(COUNTA(B1473:C1473,E1473:G1473,I1473)=0,"","BI-"&amp;RIGHT("0000"&amp;(ROW()-5),4))</f>
        <v/>
      </c>
      <c r="B1473" s="72" t="n"/>
      <c r="C1473" s="66" t="n"/>
      <c r="D1473" s="67" t="str">
        <f>IF(C1473="","",IFERROR(INDEX(eq_des,MATCH(C1473,eq_code,0))&amp;"","Équipement inconnu"))</f>
        <v/>
      </c>
      <c r="E1473" s="68" t="n"/>
      <c r="F1473" s="68" t="n"/>
      <c r="G1473" s="66" t="n"/>
      <c r="H1473" s="66" t="n"/>
      <c r="I1473" s="68" t="n"/>
      <c r="J1473" s="73" t="n"/>
      <c r="K1473" s="71" t="n"/>
      <c r="L1473" s="71" t="n"/>
      <c r="M1473" s="66" t="n"/>
      <c r="N1473" s="80" t="n"/>
      <c r="O1473" s="81" t="str">
        <f>IF(A1473="","",ROUND(V1473*IFERROR(N(INDEX(tech_rate,MATCH(M1473,tech_name,0))),0),2))</f>
        <v/>
      </c>
      <c r="P1473" s="80" t="n"/>
      <c r="Q1473" s="81" t="str">
        <f>IF(A1473="","",ROUND(Y1473+O1473+Z1473,2))</f>
        <v/>
      </c>
      <c r="R1473" s="79" t="str">
        <f>IF(A1473="","",IF(S1473=0,"Date manquante ou invalide",IF(C1473="","Équipement manquant",IF(ISNA(MATCH(C1473,eq_code,0)),"Équipement inconnu",IF(E1473="","Type manquant",IF(AND(E1473&lt;&gt;"Préventif",E1473&lt;&gt;"Correctif",E1473&lt;&gt;"Amélioratif"),"Type inconnu",IF(I1473="","Statut manquant",IF(AND(I1473&lt;&gt;"Terminée",I1473&lt;&gt;"En cours",I1473&lt;&gt;"À faire",I1473&lt;&gt;"Annulée"),"Statut inconnu",IF(AND(E1473="Préventif",F1473=""),"Plan manquant (préventif)",IF(AND(F1473&lt;&gt;"",ISNA(MATCH(F1473,pl_num,0))),"Plan inconnu",IF(AND(F1473&lt;&gt;"",IFERROR(INDEX(pl_eq,MATCH(F1473,pl_num,0))&amp;"",C1473)&lt;&gt;C1473),"Plan d'un autre équipement",IF(AND(J1473&lt;&gt;"",OR(NOT(ISNUMBER(J1473)),N(J1473)&lt;0)),"Compteur invalide",IF(OR(AND(K1473&lt;&gt;"",OR(NOT(ISNUMBER(K1473)),N(K1473)&lt;0)),AND(L1473&lt;&gt;"",OR(NOT(ISNUMBER(L1473)),N(L1473)&lt;0))),"Durée invalide",IF(OR(AND(N1473&lt;&gt;"",OR(NOT(ISNUMBER(N1473)),N(N1473)&lt;0)),AND(P1473&lt;&gt;"",OR(NOT(ISNUMBER(P1473)),N(P1473)&lt;0))),"Coût invalide",IF(AND(M1473&lt;&gt;"",ISNA(MATCH(M1473,tech_name,0))),"Technicien inconnu",IF(AND(I1473="Terminée",S1473&gt;p_today),"Terminée à une date future",IF(AND(I1473="Terminée",V1473=0),"Durée d'intervention manquante",IF(AND(I1473="Terminée",E1473="Préventif",T1473=0,OR(IFERROR(INDEX(pl_trig,MATCH(F1473,pl_num,0))&amp;"","")="Compteur",IFERROR(INDEX(pl_trig,MATCH(F1473,pl_num,0))&amp;"","")="Au premier des deux")),"Compteur manquant (plan au compteur)","OK"))))))))))))))))))</f>
        <v/>
      </c>
      <c r="S1473" s="67">
        <f>IF(AND(ISNUMBER(B1473),N(B1473)&gt;0),INT(B1473),0)</f>
        <v>0.0</v>
      </c>
      <c r="T1473" s="67">
        <f>IF(AND(ISNUMBER(J1473),N(J1473)&gt;=0),N(J1473),0)</f>
        <v>0.0</v>
      </c>
      <c r="U1473" s="67">
        <f>IF(AND(ISNUMBER(K1473),N(K1473)&gt;0),N(K1473),0)</f>
        <v>0.0</v>
      </c>
      <c r="V1473" s="67">
        <f>IF(AND(ISNUMBER(L1473),N(L1473)&gt;0),N(L1473),0)</f>
        <v>0.0</v>
      </c>
      <c r="W1473" s="67">
        <f>IF(AND(I1473="Terminée",S1473&gt;0,C1473&lt;&gt;"",ISNUMBER(MATCH(C1473,eq_code,0))),1,0)</f>
        <v>0.0</v>
      </c>
      <c r="X1473" s="67">
        <f>IF(AND(W1473=1,E1473="Préventif"),1,0)</f>
        <v>0.0</v>
      </c>
      <c r="Y1473" s="67">
        <f>IF(AND(ISNUMBER(N1473),N(N1473)&gt;0),N(N1473),0)</f>
        <v>0.0</v>
      </c>
      <c r="Z1473" s="67">
        <f>IF(AND(ISNUMBER(P1473),N(P1473)&gt;0),N(P1473),0)</f>
        <v>0.0</v>
      </c>
    </row>
    <row r="1474">
      <c r="A1474" s="79" t="str">
        <f>IF(COUNTA(B1474:C1474,E1474:G1474,I1474)=0,"","BI-"&amp;RIGHT("0000"&amp;(ROW()-5),4))</f>
        <v/>
      </c>
      <c r="B1474" s="72" t="n"/>
      <c r="C1474" s="66" t="n"/>
      <c r="D1474" s="67" t="str">
        <f>IF(C1474="","",IFERROR(INDEX(eq_des,MATCH(C1474,eq_code,0))&amp;"","Équipement inconnu"))</f>
        <v/>
      </c>
      <c r="E1474" s="68" t="n"/>
      <c r="F1474" s="68" t="n"/>
      <c r="G1474" s="66" t="n"/>
      <c r="H1474" s="66" t="n"/>
      <c r="I1474" s="68" t="n"/>
      <c r="J1474" s="73" t="n"/>
      <c r="K1474" s="71" t="n"/>
      <c r="L1474" s="71" t="n"/>
      <c r="M1474" s="66" t="n"/>
      <c r="N1474" s="80" t="n"/>
      <c r="O1474" s="81" t="str">
        <f>IF(A1474="","",ROUND(V1474*IFERROR(N(INDEX(tech_rate,MATCH(M1474,tech_name,0))),0),2))</f>
        <v/>
      </c>
      <c r="P1474" s="80" t="n"/>
      <c r="Q1474" s="81" t="str">
        <f>IF(A1474="","",ROUND(Y1474+O1474+Z1474,2))</f>
        <v/>
      </c>
      <c r="R1474" s="79" t="str">
        <f>IF(A1474="","",IF(S1474=0,"Date manquante ou invalide",IF(C1474="","Équipement manquant",IF(ISNA(MATCH(C1474,eq_code,0)),"Équipement inconnu",IF(E1474="","Type manquant",IF(AND(E1474&lt;&gt;"Préventif",E1474&lt;&gt;"Correctif",E1474&lt;&gt;"Amélioratif"),"Type inconnu",IF(I1474="","Statut manquant",IF(AND(I1474&lt;&gt;"Terminée",I1474&lt;&gt;"En cours",I1474&lt;&gt;"À faire",I1474&lt;&gt;"Annulée"),"Statut inconnu",IF(AND(E1474="Préventif",F1474=""),"Plan manquant (préventif)",IF(AND(F1474&lt;&gt;"",ISNA(MATCH(F1474,pl_num,0))),"Plan inconnu",IF(AND(F1474&lt;&gt;"",IFERROR(INDEX(pl_eq,MATCH(F1474,pl_num,0))&amp;"",C1474)&lt;&gt;C1474),"Plan d'un autre équipement",IF(AND(J1474&lt;&gt;"",OR(NOT(ISNUMBER(J1474)),N(J1474)&lt;0)),"Compteur invalide",IF(OR(AND(K1474&lt;&gt;"",OR(NOT(ISNUMBER(K1474)),N(K1474)&lt;0)),AND(L1474&lt;&gt;"",OR(NOT(ISNUMBER(L1474)),N(L1474)&lt;0))),"Durée invalide",IF(OR(AND(N1474&lt;&gt;"",OR(NOT(ISNUMBER(N1474)),N(N1474)&lt;0)),AND(P1474&lt;&gt;"",OR(NOT(ISNUMBER(P1474)),N(P1474)&lt;0))),"Coût invalide",IF(AND(M1474&lt;&gt;"",ISNA(MATCH(M1474,tech_name,0))),"Technicien inconnu",IF(AND(I1474="Terminée",S1474&gt;p_today),"Terminée à une date future",IF(AND(I1474="Terminée",V1474=0),"Durée d'intervention manquante",IF(AND(I1474="Terminée",E1474="Préventif",T1474=0,OR(IFERROR(INDEX(pl_trig,MATCH(F1474,pl_num,0))&amp;"","")="Compteur",IFERROR(INDEX(pl_trig,MATCH(F1474,pl_num,0))&amp;"","")="Au premier des deux")),"Compteur manquant (plan au compteur)","OK"))))))))))))))))))</f>
        <v/>
      </c>
      <c r="S1474" s="67">
        <f>IF(AND(ISNUMBER(B1474),N(B1474)&gt;0),INT(B1474),0)</f>
        <v>0.0</v>
      </c>
      <c r="T1474" s="67">
        <f>IF(AND(ISNUMBER(J1474),N(J1474)&gt;=0),N(J1474),0)</f>
        <v>0.0</v>
      </c>
      <c r="U1474" s="67">
        <f>IF(AND(ISNUMBER(K1474),N(K1474)&gt;0),N(K1474),0)</f>
        <v>0.0</v>
      </c>
      <c r="V1474" s="67">
        <f>IF(AND(ISNUMBER(L1474),N(L1474)&gt;0),N(L1474),0)</f>
        <v>0.0</v>
      </c>
      <c r="W1474" s="67">
        <f>IF(AND(I1474="Terminée",S1474&gt;0,C1474&lt;&gt;"",ISNUMBER(MATCH(C1474,eq_code,0))),1,0)</f>
        <v>0.0</v>
      </c>
      <c r="X1474" s="67">
        <f>IF(AND(W1474=1,E1474="Préventif"),1,0)</f>
        <v>0.0</v>
      </c>
      <c r="Y1474" s="67">
        <f>IF(AND(ISNUMBER(N1474),N(N1474)&gt;0),N(N1474),0)</f>
        <v>0.0</v>
      </c>
      <c r="Z1474" s="67">
        <f>IF(AND(ISNUMBER(P1474),N(P1474)&gt;0),N(P1474),0)</f>
        <v>0.0</v>
      </c>
    </row>
    <row r="1475">
      <c r="A1475" s="79" t="str">
        <f>IF(COUNTA(B1475:C1475,E1475:G1475,I1475)=0,"","BI-"&amp;RIGHT("0000"&amp;(ROW()-5),4))</f>
        <v/>
      </c>
      <c r="B1475" s="72" t="n"/>
      <c r="C1475" s="66" t="n"/>
      <c r="D1475" s="67" t="str">
        <f>IF(C1475="","",IFERROR(INDEX(eq_des,MATCH(C1475,eq_code,0))&amp;"","Équipement inconnu"))</f>
        <v/>
      </c>
      <c r="E1475" s="68" t="n"/>
      <c r="F1475" s="68" t="n"/>
      <c r="G1475" s="66" t="n"/>
      <c r="H1475" s="66" t="n"/>
      <c r="I1475" s="68" t="n"/>
      <c r="J1475" s="73" t="n"/>
      <c r="K1475" s="71" t="n"/>
      <c r="L1475" s="71" t="n"/>
      <c r="M1475" s="66" t="n"/>
      <c r="N1475" s="80" t="n"/>
      <c r="O1475" s="81" t="str">
        <f>IF(A1475="","",ROUND(V1475*IFERROR(N(INDEX(tech_rate,MATCH(M1475,tech_name,0))),0),2))</f>
        <v/>
      </c>
      <c r="P1475" s="80" t="n"/>
      <c r="Q1475" s="81" t="str">
        <f>IF(A1475="","",ROUND(Y1475+O1475+Z1475,2))</f>
        <v/>
      </c>
      <c r="R1475" s="79" t="str">
        <f>IF(A1475="","",IF(S1475=0,"Date manquante ou invalide",IF(C1475="","Équipement manquant",IF(ISNA(MATCH(C1475,eq_code,0)),"Équipement inconnu",IF(E1475="","Type manquant",IF(AND(E1475&lt;&gt;"Préventif",E1475&lt;&gt;"Correctif",E1475&lt;&gt;"Amélioratif"),"Type inconnu",IF(I1475="","Statut manquant",IF(AND(I1475&lt;&gt;"Terminée",I1475&lt;&gt;"En cours",I1475&lt;&gt;"À faire",I1475&lt;&gt;"Annulée"),"Statut inconnu",IF(AND(E1475="Préventif",F1475=""),"Plan manquant (préventif)",IF(AND(F1475&lt;&gt;"",ISNA(MATCH(F1475,pl_num,0))),"Plan inconnu",IF(AND(F1475&lt;&gt;"",IFERROR(INDEX(pl_eq,MATCH(F1475,pl_num,0))&amp;"",C1475)&lt;&gt;C1475),"Plan d'un autre équipement",IF(AND(J1475&lt;&gt;"",OR(NOT(ISNUMBER(J1475)),N(J1475)&lt;0)),"Compteur invalide",IF(OR(AND(K1475&lt;&gt;"",OR(NOT(ISNUMBER(K1475)),N(K1475)&lt;0)),AND(L1475&lt;&gt;"",OR(NOT(ISNUMBER(L1475)),N(L1475)&lt;0))),"Durée invalide",IF(OR(AND(N1475&lt;&gt;"",OR(NOT(ISNUMBER(N1475)),N(N1475)&lt;0)),AND(P1475&lt;&gt;"",OR(NOT(ISNUMBER(P1475)),N(P1475)&lt;0))),"Coût invalide",IF(AND(M1475&lt;&gt;"",ISNA(MATCH(M1475,tech_name,0))),"Technicien inconnu",IF(AND(I1475="Terminée",S1475&gt;p_today),"Terminée à une date future",IF(AND(I1475="Terminée",V1475=0),"Durée d'intervention manquante",IF(AND(I1475="Terminée",E1475="Préventif",T1475=0,OR(IFERROR(INDEX(pl_trig,MATCH(F1475,pl_num,0))&amp;"","")="Compteur",IFERROR(INDEX(pl_trig,MATCH(F1475,pl_num,0))&amp;"","")="Au premier des deux")),"Compteur manquant (plan au compteur)","OK"))))))))))))))))))</f>
        <v/>
      </c>
      <c r="S1475" s="67">
        <f>IF(AND(ISNUMBER(B1475),N(B1475)&gt;0),INT(B1475),0)</f>
        <v>0.0</v>
      </c>
      <c r="T1475" s="67">
        <f>IF(AND(ISNUMBER(J1475),N(J1475)&gt;=0),N(J1475),0)</f>
        <v>0.0</v>
      </c>
      <c r="U1475" s="67">
        <f>IF(AND(ISNUMBER(K1475),N(K1475)&gt;0),N(K1475),0)</f>
        <v>0.0</v>
      </c>
      <c r="V1475" s="67">
        <f>IF(AND(ISNUMBER(L1475),N(L1475)&gt;0),N(L1475),0)</f>
        <v>0.0</v>
      </c>
      <c r="W1475" s="67">
        <f>IF(AND(I1475="Terminée",S1475&gt;0,C1475&lt;&gt;"",ISNUMBER(MATCH(C1475,eq_code,0))),1,0)</f>
        <v>0.0</v>
      </c>
      <c r="X1475" s="67">
        <f>IF(AND(W1475=1,E1475="Préventif"),1,0)</f>
        <v>0.0</v>
      </c>
      <c r="Y1475" s="67">
        <f>IF(AND(ISNUMBER(N1475),N(N1475)&gt;0),N(N1475),0)</f>
        <v>0.0</v>
      </c>
      <c r="Z1475" s="67">
        <f>IF(AND(ISNUMBER(P1475),N(P1475)&gt;0),N(P1475),0)</f>
        <v>0.0</v>
      </c>
    </row>
    <row r="1476">
      <c r="A1476" s="79" t="str">
        <f>IF(COUNTA(B1476:C1476,E1476:G1476,I1476)=0,"","BI-"&amp;RIGHT("0000"&amp;(ROW()-5),4))</f>
        <v/>
      </c>
      <c r="B1476" s="72" t="n"/>
      <c r="C1476" s="66" t="n"/>
      <c r="D1476" s="67" t="str">
        <f>IF(C1476="","",IFERROR(INDEX(eq_des,MATCH(C1476,eq_code,0))&amp;"","Équipement inconnu"))</f>
        <v/>
      </c>
      <c r="E1476" s="68" t="n"/>
      <c r="F1476" s="68" t="n"/>
      <c r="G1476" s="66" t="n"/>
      <c r="H1476" s="66" t="n"/>
      <c r="I1476" s="68" t="n"/>
      <c r="J1476" s="73" t="n"/>
      <c r="K1476" s="71" t="n"/>
      <c r="L1476" s="71" t="n"/>
      <c r="M1476" s="66" t="n"/>
      <c r="N1476" s="80" t="n"/>
      <c r="O1476" s="81" t="str">
        <f>IF(A1476="","",ROUND(V1476*IFERROR(N(INDEX(tech_rate,MATCH(M1476,tech_name,0))),0),2))</f>
        <v/>
      </c>
      <c r="P1476" s="80" t="n"/>
      <c r="Q1476" s="81" t="str">
        <f>IF(A1476="","",ROUND(Y1476+O1476+Z1476,2))</f>
        <v/>
      </c>
      <c r="R1476" s="79" t="str">
        <f>IF(A1476="","",IF(S1476=0,"Date manquante ou invalide",IF(C1476="","Équipement manquant",IF(ISNA(MATCH(C1476,eq_code,0)),"Équipement inconnu",IF(E1476="","Type manquant",IF(AND(E1476&lt;&gt;"Préventif",E1476&lt;&gt;"Correctif",E1476&lt;&gt;"Amélioratif"),"Type inconnu",IF(I1476="","Statut manquant",IF(AND(I1476&lt;&gt;"Terminée",I1476&lt;&gt;"En cours",I1476&lt;&gt;"À faire",I1476&lt;&gt;"Annulée"),"Statut inconnu",IF(AND(E1476="Préventif",F1476=""),"Plan manquant (préventif)",IF(AND(F1476&lt;&gt;"",ISNA(MATCH(F1476,pl_num,0))),"Plan inconnu",IF(AND(F1476&lt;&gt;"",IFERROR(INDEX(pl_eq,MATCH(F1476,pl_num,0))&amp;"",C1476)&lt;&gt;C1476),"Plan d'un autre équipement",IF(AND(J1476&lt;&gt;"",OR(NOT(ISNUMBER(J1476)),N(J1476)&lt;0)),"Compteur invalide",IF(OR(AND(K1476&lt;&gt;"",OR(NOT(ISNUMBER(K1476)),N(K1476)&lt;0)),AND(L1476&lt;&gt;"",OR(NOT(ISNUMBER(L1476)),N(L1476)&lt;0))),"Durée invalide",IF(OR(AND(N1476&lt;&gt;"",OR(NOT(ISNUMBER(N1476)),N(N1476)&lt;0)),AND(P1476&lt;&gt;"",OR(NOT(ISNUMBER(P1476)),N(P1476)&lt;0))),"Coût invalide",IF(AND(M1476&lt;&gt;"",ISNA(MATCH(M1476,tech_name,0))),"Technicien inconnu",IF(AND(I1476="Terminée",S1476&gt;p_today),"Terminée à une date future",IF(AND(I1476="Terminée",V1476=0),"Durée d'intervention manquante",IF(AND(I1476="Terminée",E1476="Préventif",T1476=0,OR(IFERROR(INDEX(pl_trig,MATCH(F1476,pl_num,0))&amp;"","")="Compteur",IFERROR(INDEX(pl_trig,MATCH(F1476,pl_num,0))&amp;"","")="Au premier des deux")),"Compteur manquant (plan au compteur)","OK"))))))))))))))))))</f>
        <v/>
      </c>
      <c r="S1476" s="67">
        <f>IF(AND(ISNUMBER(B1476),N(B1476)&gt;0),INT(B1476),0)</f>
        <v>0.0</v>
      </c>
      <c r="T1476" s="67">
        <f>IF(AND(ISNUMBER(J1476),N(J1476)&gt;=0),N(J1476),0)</f>
        <v>0.0</v>
      </c>
      <c r="U1476" s="67">
        <f>IF(AND(ISNUMBER(K1476),N(K1476)&gt;0),N(K1476),0)</f>
        <v>0.0</v>
      </c>
      <c r="V1476" s="67">
        <f>IF(AND(ISNUMBER(L1476),N(L1476)&gt;0),N(L1476),0)</f>
        <v>0.0</v>
      </c>
      <c r="W1476" s="67">
        <f>IF(AND(I1476="Terminée",S1476&gt;0,C1476&lt;&gt;"",ISNUMBER(MATCH(C1476,eq_code,0))),1,0)</f>
        <v>0.0</v>
      </c>
      <c r="X1476" s="67">
        <f>IF(AND(W1476=1,E1476="Préventif"),1,0)</f>
        <v>0.0</v>
      </c>
      <c r="Y1476" s="67">
        <f>IF(AND(ISNUMBER(N1476),N(N1476)&gt;0),N(N1476),0)</f>
        <v>0.0</v>
      </c>
      <c r="Z1476" s="67">
        <f>IF(AND(ISNUMBER(P1476),N(P1476)&gt;0),N(P1476),0)</f>
        <v>0.0</v>
      </c>
    </row>
    <row r="1477">
      <c r="A1477" s="79" t="str">
        <f>IF(COUNTA(B1477:C1477,E1477:G1477,I1477)=0,"","BI-"&amp;RIGHT("0000"&amp;(ROW()-5),4))</f>
        <v/>
      </c>
      <c r="B1477" s="72" t="n"/>
      <c r="C1477" s="66" t="n"/>
      <c r="D1477" s="67" t="str">
        <f>IF(C1477="","",IFERROR(INDEX(eq_des,MATCH(C1477,eq_code,0))&amp;"","Équipement inconnu"))</f>
        <v/>
      </c>
      <c r="E1477" s="68" t="n"/>
      <c r="F1477" s="68" t="n"/>
      <c r="G1477" s="66" t="n"/>
      <c r="H1477" s="66" t="n"/>
      <c r="I1477" s="68" t="n"/>
      <c r="J1477" s="73" t="n"/>
      <c r="K1477" s="71" t="n"/>
      <c r="L1477" s="71" t="n"/>
      <c r="M1477" s="66" t="n"/>
      <c r="N1477" s="80" t="n"/>
      <c r="O1477" s="81" t="str">
        <f>IF(A1477="","",ROUND(V1477*IFERROR(N(INDEX(tech_rate,MATCH(M1477,tech_name,0))),0),2))</f>
        <v/>
      </c>
      <c r="P1477" s="80" t="n"/>
      <c r="Q1477" s="81" t="str">
        <f>IF(A1477="","",ROUND(Y1477+O1477+Z1477,2))</f>
        <v/>
      </c>
      <c r="R1477" s="79" t="str">
        <f>IF(A1477="","",IF(S1477=0,"Date manquante ou invalide",IF(C1477="","Équipement manquant",IF(ISNA(MATCH(C1477,eq_code,0)),"Équipement inconnu",IF(E1477="","Type manquant",IF(AND(E1477&lt;&gt;"Préventif",E1477&lt;&gt;"Correctif",E1477&lt;&gt;"Amélioratif"),"Type inconnu",IF(I1477="","Statut manquant",IF(AND(I1477&lt;&gt;"Terminée",I1477&lt;&gt;"En cours",I1477&lt;&gt;"À faire",I1477&lt;&gt;"Annulée"),"Statut inconnu",IF(AND(E1477="Préventif",F1477=""),"Plan manquant (préventif)",IF(AND(F1477&lt;&gt;"",ISNA(MATCH(F1477,pl_num,0))),"Plan inconnu",IF(AND(F1477&lt;&gt;"",IFERROR(INDEX(pl_eq,MATCH(F1477,pl_num,0))&amp;"",C1477)&lt;&gt;C1477),"Plan d'un autre équipement",IF(AND(J1477&lt;&gt;"",OR(NOT(ISNUMBER(J1477)),N(J1477)&lt;0)),"Compteur invalide",IF(OR(AND(K1477&lt;&gt;"",OR(NOT(ISNUMBER(K1477)),N(K1477)&lt;0)),AND(L1477&lt;&gt;"",OR(NOT(ISNUMBER(L1477)),N(L1477)&lt;0))),"Durée invalide",IF(OR(AND(N1477&lt;&gt;"",OR(NOT(ISNUMBER(N1477)),N(N1477)&lt;0)),AND(P1477&lt;&gt;"",OR(NOT(ISNUMBER(P1477)),N(P1477)&lt;0))),"Coût invalide",IF(AND(M1477&lt;&gt;"",ISNA(MATCH(M1477,tech_name,0))),"Technicien inconnu",IF(AND(I1477="Terminée",S1477&gt;p_today),"Terminée à une date future",IF(AND(I1477="Terminée",V1477=0),"Durée d'intervention manquante",IF(AND(I1477="Terminée",E1477="Préventif",T1477=0,OR(IFERROR(INDEX(pl_trig,MATCH(F1477,pl_num,0))&amp;"","")="Compteur",IFERROR(INDEX(pl_trig,MATCH(F1477,pl_num,0))&amp;"","")="Au premier des deux")),"Compteur manquant (plan au compteur)","OK"))))))))))))))))))</f>
        <v/>
      </c>
      <c r="S1477" s="67">
        <f>IF(AND(ISNUMBER(B1477),N(B1477)&gt;0),INT(B1477),0)</f>
        <v>0.0</v>
      </c>
      <c r="T1477" s="67">
        <f>IF(AND(ISNUMBER(J1477),N(J1477)&gt;=0),N(J1477),0)</f>
        <v>0.0</v>
      </c>
      <c r="U1477" s="67">
        <f>IF(AND(ISNUMBER(K1477),N(K1477)&gt;0),N(K1477),0)</f>
        <v>0.0</v>
      </c>
      <c r="V1477" s="67">
        <f>IF(AND(ISNUMBER(L1477),N(L1477)&gt;0),N(L1477),0)</f>
        <v>0.0</v>
      </c>
      <c r="W1477" s="67">
        <f>IF(AND(I1477="Terminée",S1477&gt;0,C1477&lt;&gt;"",ISNUMBER(MATCH(C1477,eq_code,0))),1,0)</f>
        <v>0.0</v>
      </c>
      <c r="X1477" s="67">
        <f>IF(AND(W1477=1,E1477="Préventif"),1,0)</f>
        <v>0.0</v>
      </c>
      <c r="Y1477" s="67">
        <f>IF(AND(ISNUMBER(N1477),N(N1477)&gt;0),N(N1477),0)</f>
        <v>0.0</v>
      </c>
      <c r="Z1477" s="67">
        <f>IF(AND(ISNUMBER(P1477),N(P1477)&gt;0),N(P1477),0)</f>
        <v>0.0</v>
      </c>
    </row>
    <row r="1478">
      <c r="A1478" s="79" t="str">
        <f>IF(COUNTA(B1478:C1478,E1478:G1478,I1478)=0,"","BI-"&amp;RIGHT("0000"&amp;(ROW()-5),4))</f>
        <v/>
      </c>
      <c r="B1478" s="72" t="n"/>
      <c r="C1478" s="66" t="n"/>
      <c r="D1478" s="67" t="str">
        <f>IF(C1478="","",IFERROR(INDEX(eq_des,MATCH(C1478,eq_code,0))&amp;"","Équipement inconnu"))</f>
        <v/>
      </c>
      <c r="E1478" s="68" t="n"/>
      <c r="F1478" s="68" t="n"/>
      <c r="G1478" s="66" t="n"/>
      <c r="H1478" s="66" t="n"/>
      <c r="I1478" s="68" t="n"/>
      <c r="J1478" s="73" t="n"/>
      <c r="K1478" s="71" t="n"/>
      <c r="L1478" s="71" t="n"/>
      <c r="M1478" s="66" t="n"/>
      <c r="N1478" s="80" t="n"/>
      <c r="O1478" s="81" t="str">
        <f>IF(A1478="","",ROUND(V1478*IFERROR(N(INDEX(tech_rate,MATCH(M1478,tech_name,0))),0),2))</f>
        <v/>
      </c>
      <c r="P1478" s="80" t="n"/>
      <c r="Q1478" s="81" t="str">
        <f>IF(A1478="","",ROUND(Y1478+O1478+Z1478,2))</f>
        <v/>
      </c>
      <c r="R1478" s="79" t="str">
        <f>IF(A1478="","",IF(S1478=0,"Date manquante ou invalide",IF(C1478="","Équipement manquant",IF(ISNA(MATCH(C1478,eq_code,0)),"Équipement inconnu",IF(E1478="","Type manquant",IF(AND(E1478&lt;&gt;"Préventif",E1478&lt;&gt;"Correctif",E1478&lt;&gt;"Amélioratif"),"Type inconnu",IF(I1478="","Statut manquant",IF(AND(I1478&lt;&gt;"Terminée",I1478&lt;&gt;"En cours",I1478&lt;&gt;"À faire",I1478&lt;&gt;"Annulée"),"Statut inconnu",IF(AND(E1478="Préventif",F1478=""),"Plan manquant (préventif)",IF(AND(F1478&lt;&gt;"",ISNA(MATCH(F1478,pl_num,0))),"Plan inconnu",IF(AND(F1478&lt;&gt;"",IFERROR(INDEX(pl_eq,MATCH(F1478,pl_num,0))&amp;"",C1478)&lt;&gt;C1478),"Plan d'un autre équipement",IF(AND(J1478&lt;&gt;"",OR(NOT(ISNUMBER(J1478)),N(J1478)&lt;0)),"Compteur invalide",IF(OR(AND(K1478&lt;&gt;"",OR(NOT(ISNUMBER(K1478)),N(K1478)&lt;0)),AND(L1478&lt;&gt;"",OR(NOT(ISNUMBER(L1478)),N(L1478)&lt;0))),"Durée invalide",IF(OR(AND(N1478&lt;&gt;"",OR(NOT(ISNUMBER(N1478)),N(N1478)&lt;0)),AND(P1478&lt;&gt;"",OR(NOT(ISNUMBER(P1478)),N(P1478)&lt;0))),"Coût invalide",IF(AND(M1478&lt;&gt;"",ISNA(MATCH(M1478,tech_name,0))),"Technicien inconnu",IF(AND(I1478="Terminée",S1478&gt;p_today),"Terminée à une date future",IF(AND(I1478="Terminée",V1478=0),"Durée d'intervention manquante",IF(AND(I1478="Terminée",E1478="Préventif",T1478=0,OR(IFERROR(INDEX(pl_trig,MATCH(F1478,pl_num,0))&amp;"","")="Compteur",IFERROR(INDEX(pl_trig,MATCH(F1478,pl_num,0))&amp;"","")="Au premier des deux")),"Compteur manquant (plan au compteur)","OK"))))))))))))))))))</f>
        <v/>
      </c>
      <c r="S1478" s="67">
        <f>IF(AND(ISNUMBER(B1478),N(B1478)&gt;0),INT(B1478),0)</f>
        <v>0.0</v>
      </c>
      <c r="T1478" s="67">
        <f>IF(AND(ISNUMBER(J1478),N(J1478)&gt;=0),N(J1478),0)</f>
        <v>0.0</v>
      </c>
      <c r="U1478" s="67">
        <f>IF(AND(ISNUMBER(K1478),N(K1478)&gt;0),N(K1478),0)</f>
        <v>0.0</v>
      </c>
      <c r="V1478" s="67">
        <f>IF(AND(ISNUMBER(L1478),N(L1478)&gt;0),N(L1478),0)</f>
        <v>0.0</v>
      </c>
      <c r="W1478" s="67">
        <f>IF(AND(I1478="Terminée",S1478&gt;0,C1478&lt;&gt;"",ISNUMBER(MATCH(C1478,eq_code,0))),1,0)</f>
        <v>0.0</v>
      </c>
      <c r="X1478" s="67">
        <f>IF(AND(W1478=1,E1478="Préventif"),1,0)</f>
        <v>0.0</v>
      </c>
      <c r="Y1478" s="67">
        <f>IF(AND(ISNUMBER(N1478),N(N1478)&gt;0),N(N1478),0)</f>
        <v>0.0</v>
      </c>
      <c r="Z1478" s="67">
        <f>IF(AND(ISNUMBER(P1478),N(P1478)&gt;0),N(P1478),0)</f>
        <v>0.0</v>
      </c>
    </row>
    <row r="1479">
      <c r="A1479" s="79" t="str">
        <f>IF(COUNTA(B1479:C1479,E1479:G1479,I1479)=0,"","BI-"&amp;RIGHT("0000"&amp;(ROW()-5),4))</f>
        <v/>
      </c>
      <c r="B1479" s="72" t="n"/>
      <c r="C1479" s="66" t="n"/>
      <c r="D1479" s="67" t="str">
        <f>IF(C1479="","",IFERROR(INDEX(eq_des,MATCH(C1479,eq_code,0))&amp;"","Équipement inconnu"))</f>
        <v/>
      </c>
      <c r="E1479" s="68" t="n"/>
      <c r="F1479" s="68" t="n"/>
      <c r="G1479" s="66" t="n"/>
      <c r="H1479" s="66" t="n"/>
      <c r="I1479" s="68" t="n"/>
      <c r="J1479" s="73" t="n"/>
      <c r="K1479" s="71" t="n"/>
      <c r="L1479" s="71" t="n"/>
      <c r="M1479" s="66" t="n"/>
      <c r="N1479" s="80" t="n"/>
      <c r="O1479" s="81" t="str">
        <f>IF(A1479="","",ROUND(V1479*IFERROR(N(INDEX(tech_rate,MATCH(M1479,tech_name,0))),0),2))</f>
        <v/>
      </c>
      <c r="P1479" s="80" t="n"/>
      <c r="Q1479" s="81" t="str">
        <f>IF(A1479="","",ROUND(Y1479+O1479+Z1479,2))</f>
        <v/>
      </c>
      <c r="R1479" s="79" t="str">
        <f>IF(A1479="","",IF(S1479=0,"Date manquante ou invalide",IF(C1479="","Équipement manquant",IF(ISNA(MATCH(C1479,eq_code,0)),"Équipement inconnu",IF(E1479="","Type manquant",IF(AND(E1479&lt;&gt;"Préventif",E1479&lt;&gt;"Correctif",E1479&lt;&gt;"Amélioratif"),"Type inconnu",IF(I1479="","Statut manquant",IF(AND(I1479&lt;&gt;"Terminée",I1479&lt;&gt;"En cours",I1479&lt;&gt;"À faire",I1479&lt;&gt;"Annulée"),"Statut inconnu",IF(AND(E1479="Préventif",F1479=""),"Plan manquant (préventif)",IF(AND(F1479&lt;&gt;"",ISNA(MATCH(F1479,pl_num,0))),"Plan inconnu",IF(AND(F1479&lt;&gt;"",IFERROR(INDEX(pl_eq,MATCH(F1479,pl_num,0))&amp;"",C1479)&lt;&gt;C1479),"Plan d'un autre équipement",IF(AND(J1479&lt;&gt;"",OR(NOT(ISNUMBER(J1479)),N(J1479)&lt;0)),"Compteur invalide",IF(OR(AND(K1479&lt;&gt;"",OR(NOT(ISNUMBER(K1479)),N(K1479)&lt;0)),AND(L1479&lt;&gt;"",OR(NOT(ISNUMBER(L1479)),N(L1479)&lt;0))),"Durée invalide",IF(OR(AND(N1479&lt;&gt;"",OR(NOT(ISNUMBER(N1479)),N(N1479)&lt;0)),AND(P1479&lt;&gt;"",OR(NOT(ISNUMBER(P1479)),N(P1479)&lt;0))),"Coût invalide",IF(AND(M1479&lt;&gt;"",ISNA(MATCH(M1479,tech_name,0))),"Technicien inconnu",IF(AND(I1479="Terminée",S1479&gt;p_today),"Terminée à une date future",IF(AND(I1479="Terminée",V1479=0),"Durée d'intervention manquante",IF(AND(I1479="Terminée",E1479="Préventif",T1479=0,OR(IFERROR(INDEX(pl_trig,MATCH(F1479,pl_num,0))&amp;"","")="Compteur",IFERROR(INDEX(pl_trig,MATCH(F1479,pl_num,0))&amp;"","")="Au premier des deux")),"Compteur manquant (plan au compteur)","OK"))))))))))))))))))</f>
        <v/>
      </c>
      <c r="S1479" s="67">
        <f>IF(AND(ISNUMBER(B1479),N(B1479)&gt;0),INT(B1479),0)</f>
        <v>0.0</v>
      </c>
      <c r="T1479" s="67">
        <f>IF(AND(ISNUMBER(J1479),N(J1479)&gt;=0),N(J1479),0)</f>
        <v>0.0</v>
      </c>
      <c r="U1479" s="67">
        <f>IF(AND(ISNUMBER(K1479),N(K1479)&gt;0),N(K1479),0)</f>
        <v>0.0</v>
      </c>
      <c r="V1479" s="67">
        <f>IF(AND(ISNUMBER(L1479),N(L1479)&gt;0),N(L1479),0)</f>
        <v>0.0</v>
      </c>
      <c r="W1479" s="67">
        <f>IF(AND(I1479="Terminée",S1479&gt;0,C1479&lt;&gt;"",ISNUMBER(MATCH(C1479,eq_code,0))),1,0)</f>
        <v>0.0</v>
      </c>
      <c r="X1479" s="67">
        <f>IF(AND(W1479=1,E1479="Préventif"),1,0)</f>
        <v>0.0</v>
      </c>
      <c r="Y1479" s="67">
        <f>IF(AND(ISNUMBER(N1479),N(N1479)&gt;0),N(N1479),0)</f>
        <v>0.0</v>
      </c>
      <c r="Z1479" s="67">
        <f>IF(AND(ISNUMBER(P1479),N(P1479)&gt;0),N(P1479),0)</f>
        <v>0.0</v>
      </c>
    </row>
    <row r="1480">
      <c r="A1480" s="79" t="str">
        <f>IF(COUNTA(B1480:C1480,E1480:G1480,I1480)=0,"","BI-"&amp;RIGHT("0000"&amp;(ROW()-5),4))</f>
        <v/>
      </c>
      <c r="B1480" s="72" t="n"/>
      <c r="C1480" s="66" t="n"/>
      <c r="D1480" s="67" t="str">
        <f>IF(C1480="","",IFERROR(INDEX(eq_des,MATCH(C1480,eq_code,0))&amp;"","Équipement inconnu"))</f>
        <v/>
      </c>
      <c r="E1480" s="68" t="n"/>
      <c r="F1480" s="68" t="n"/>
      <c r="G1480" s="66" t="n"/>
      <c r="H1480" s="66" t="n"/>
      <c r="I1480" s="68" t="n"/>
      <c r="J1480" s="73" t="n"/>
      <c r="K1480" s="71" t="n"/>
      <c r="L1480" s="71" t="n"/>
      <c r="M1480" s="66" t="n"/>
      <c r="N1480" s="80" t="n"/>
      <c r="O1480" s="81" t="str">
        <f>IF(A1480="","",ROUND(V1480*IFERROR(N(INDEX(tech_rate,MATCH(M1480,tech_name,0))),0),2))</f>
        <v/>
      </c>
      <c r="P1480" s="80" t="n"/>
      <c r="Q1480" s="81" t="str">
        <f>IF(A1480="","",ROUND(Y1480+O1480+Z1480,2))</f>
        <v/>
      </c>
      <c r="R1480" s="79" t="str">
        <f>IF(A1480="","",IF(S1480=0,"Date manquante ou invalide",IF(C1480="","Équipement manquant",IF(ISNA(MATCH(C1480,eq_code,0)),"Équipement inconnu",IF(E1480="","Type manquant",IF(AND(E1480&lt;&gt;"Préventif",E1480&lt;&gt;"Correctif",E1480&lt;&gt;"Amélioratif"),"Type inconnu",IF(I1480="","Statut manquant",IF(AND(I1480&lt;&gt;"Terminée",I1480&lt;&gt;"En cours",I1480&lt;&gt;"À faire",I1480&lt;&gt;"Annulée"),"Statut inconnu",IF(AND(E1480="Préventif",F1480=""),"Plan manquant (préventif)",IF(AND(F1480&lt;&gt;"",ISNA(MATCH(F1480,pl_num,0))),"Plan inconnu",IF(AND(F1480&lt;&gt;"",IFERROR(INDEX(pl_eq,MATCH(F1480,pl_num,0))&amp;"",C1480)&lt;&gt;C1480),"Plan d'un autre équipement",IF(AND(J1480&lt;&gt;"",OR(NOT(ISNUMBER(J1480)),N(J1480)&lt;0)),"Compteur invalide",IF(OR(AND(K1480&lt;&gt;"",OR(NOT(ISNUMBER(K1480)),N(K1480)&lt;0)),AND(L1480&lt;&gt;"",OR(NOT(ISNUMBER(L1480)),N(L1480)&lt;0))),"Durée invalide",IF(OR(AND(N1480&lt;&gt;"",OR(NOT(ISNUMBER(N1480)),N(N1480)&lt;0)),AND(P1480&lt;&gt;"",OR(NOT(ISNUMBER(P1480)),N(P1480)&lt;0))),"Coût invalide",IF(AND(M1480&lt;&gt;"",ISNA(MATCH(M1480,tech_name,0))),"Technicien inconnu",IF(AND(I1480="Terminée",S1480&gt;p_today),"Terminée à une date future",IF(AND(I1480="Terminée",V1480=0),"Durée d'intervention manquante",IF(AND(I1480="Terminée",E1480="Préventif",T1480=0,OR(IFERROR(INDEX(pl_trig,MATCH(F1480,pl_num,0))&amp;"","")="Compteur",IFERROR(INDEX(pl_trig,MATCH(F1480,pl_num,0))&amp;"","")="Au premier des deux")),"Compteur manquant (plan au compteur)","OK"))))))))))))))))))</f>
        <v/>
      </c>
      <c r="S1480" s="67">
        <f>IF(AND(ISNUMBER(B1480),N(B1480)&gt;0),INT(B1480),0)</f>
        <v>0.0</v>
      </c>
      <c r="T1480" s="67">
        <f>IF(AND(ISNUMBER(J1480),N(J1480)&gt;=0),N(J1480),0)</f>
        <v>0.0</v>
      </c>
      <c r="U1480" s="67">
        <f>IF(AND(ISNUMBER(K1480),N(K1480)&gt;0),N(K1480),0)</f>
        <v>0.0</v>
      </c>
      <c r="V1480" s="67">
        <f>IF(AND(ISNUMBER(L1480),N(L1480)&gt;0),N(L1480),0)</f>
        <v>0.0</v>
      </c>
      <c r="W1480" s="67">
        <f>IF(AND(I1480="Terminée",S1480&gt;0,C1480&lt;&gt;"",ISNUMBER(MATCH(C1480,eq_code,0))),1,0)</f>
        <v>0.0</v>
      </c>
      <c r="X1480" s="67">
        <f>IF(AND(W1480=1,E1480="Préventif"),1,0)</f>
        <v>0.0</v>
      </c>
      <c r="Y1480" s="67">
        <f>IF(AND(ISNUMBER(N1480),N(N1480)&gt;0),N(N1480),0)</f>
        <v>0.0</v>
      </c>
      <c r="Z1480" s="67">
        <f>IF(AND(ISNUMBER(P1480),N(P1480)&gt;0),N(P1480),0)</f>
        <v>0.0</v>
      </c>
    </row>
    <row r="1481">
      <c r="A1481" s="79" t="str">
        <f>IF(COUNTA(B1481:C1481,E1481:G1481,I1481)=0,"","BI-"&amp;RIGHT("0000"&amp;(ROW()-5),4))</f>
        <v/>
      </c>
      <c r="B1481" s="72" t="n"/>
      <c r="C1481" s="66" t="n"/>
      <c r="D1481" s="67" t="str">
        <f>IF(C1481="","",IFERROR(INDEX(eq_des,MATCH(C1481,eq_code,0))&amp;"","Équipement inconnu"))</f>
        <v/>
      </c>
      <c r="E1481" s="68" t="n"/>
      <c r="F1481" s="68" t="n"/>
      <c r="G1481" s="66" t="n"/>
      <c r="H1481" s="66" t="n"/>
      <c r="I1481" s="68" t="n"/>
      <c r="J1481" s="73" t="n"/>
      <c r="K1481" s="71" t="n"/>
      <c r="L1481" s="71" t="n"/>
      <c r="M1481" s="66" t="n"/>
      <c r="N1481" s="80" t="n"/>
      <c r="O1481" s="81" t="str">
        <f>IF(A1481="","",ROUND(V1481*IFERROR(N(INDEX(tech_rate,MATCH(M1481,tech_name,0))),0),2))</f>
        <v/>
      </c>
      <c r="P1481" s="80" t="n"/>
      <c r="Q1481" s="81" t="str">
        <f>IF(A1481="","",ROUND(Y1481+O1481+Z1481,2))</f>
        <v/>
      </c>
      <c r="R1481" s="79" t="str">
        <f>IF(A1481="","",IF(S1481=0,"Date manquante ou invalide",IF(C1481="","Équipement manquant",IF(ISNA(MATCH(C1481,eq_code,0)),"Équipement inconnu",IF(E1481="","Type manquant",IF(AND(E1481&lt;&gt;"Préventif",E1481&lt;&gt;"Correctif",E1481&lt;&gt;"Amélioratif"),"Type inconnu",IF(I1481="","Statut manquant",IF(AND(I1481&lt;&gt;"Terminée",I1481&lt;&gt;"En cours",I1481&lt;&gt;"À faire",I1481&lt;&gt;"Annulée"),"Statut inconnu",IF(AND(E1481="Préventif",F1481=""),"Plan manquant (préventif)",IF(AND(F1481&lt;&gt;"",ISNA(MATCH(F1481,pl_num,0))),"Plan inconnu",IF(AND(F1481&lt;&gt;"",IFERROR(INDEX(pl_eq,MATCH(F1481,pl_num,0))&amp;"",C1481)&lt;&gt;C1481),"Plan d'un autre équipement",IF(AND(J1481&lt;&gt;"",OR(NOT(ISNUMBER(J1481)),N(J1481)&lt;0)),"Compteur invalide",IF(OR(AND(K1481&lt;&gt;"",OR(NOT(ISNUMBER(K1481)),N(K1481)&lt;0)),AND(L1481&lt;&gt;"",OR(NOT(ISNUMBER(L1481)),N(L1481)&lt;0))),"Durée invalide",IF(OR(AND(N1481&lt;&gt;"",OR(NOT(ISNUMBER(N1481)),N(N1481)&lt;0)),AND(P1481&lt;&gt;"",OR(NOT(ISNUMBER(P1481)),N(P1481)&lt;0))),"Coût invalide",IF(AND(M1481&lt;&gt;"",ISNA(MATCH(M1481,tech_name,0))),"Technicien inconnu",IF(AND(I1481="Terminée",S1481&gt;p_today),"Terminée à une date future",IF(AND(I1481="Terminée",V1481=0),"Durée d'intervention manquante",IF(AND(I1481="Terminée",E1481="Préventif",T1481=0,OR(IFERROR(INDEX(pl_trig,MATCH(F1481,pl_num,0))&amp;"","")="Compteur",IFERROR(INDEX(pl_trig,MATCH(F1481,pl_num,0))&amp;"","")="Au premier des deux")),"Compteur manquant (plan au compteur)","OK"))))))))))))))))))</f>
        <v/>
      </c>
      <c r="S1481" s="67">
        <f>IF(AND(ISNUMBER(B1481),N(B1481)&gt;0),INT(B1481),0)</f>
        <v>0.0</v>
      </c>
      <c r="T1481" s="67">
        <f>IF(AND(ISNUMBER(J1481),N(J1481)&gt;=0),N(J1481),0)</f>
        <v>0.0</v>
      </c>
      <c r="U1481" s="67">
        <f>IF(AND(ISNUMBER(K1481),N(K1481)&gt;0),N(K1481),0)</f>
        <v>0.0</v>
      </c>
      <c r="V1481" s="67">
        <f>IF(AND(ISNUMBER(L1481),N(L1481)&gt;0),N(L1481),0)</f>
        <v>0.0</v>
      </c>
      <c r="W1481" s="67">
        <f>IF(AND(I1481="Terminée",S1481&gt;0,C1481&lt;&gt;"",ISNUMBER(MATCH(C1481,eq_code,0))),1,0)</f>
        <v>0.0</v>
      </c>
      <c r="X1481" s="67">
        <f>IF(AND(W1481=1,E1481="Préventif"),1,0)</f>
        <v>0.0</v>
      </c>
      <c r="Y1481" s="67">
        <f>IF(AND(ISNUMBER(N1481),N(N1481)&gt;0),N(N1481),0)</f>
        <v>0.0</v>
      </c>
      <c r="Z1481" s="67">
        <f>IF(AND(ISNUMBER(P1481),N(P1481)&gt;0),N(P1481),0)</f>
        <v>0.0</v>
      </c>
    </row>
    <row r="1482">
      <c r="A1482" s="79" t="str">
        <f>IF(COUNTA(B1482:C1482,E1482:G1482,I1482)=0,"","BI-"&amp;RIGHT("0000"&amp;(ROW()-5),4))</f>
        <v/>
      </c>
      <c r="B1482" s="72" t="n"/>
      <c r="C1482" s="66" t="n"/>
      <c r="D1482" s="67" t="str">
        <f>IF(C1482="","",IFERROR(INDEX(eq_des,MATCH(C1482,eq_code,0))&amp;"","Équipement inconnu"))</f>
        <v/>
      </c>
      <c r="E1482" s="68" t="n"/>
      <c r="F1482" s="68" t="n"/>
      <c r="G1482" s="66" t="n"/>
      <c r="H1482" s="66" t="n"/>
      <c r="I1482" s="68" t="n"/>
      <c r="J1482" s="73" t="n"/>
      <c r="K1482" s="71" t="n"/>
      <c r="L1482" s="71" t="n"/>
      <c r="M1482" s="66" t="n"/>
      <c r="N1482" s="80" t="n"/>
      <c r="O1482" s="81" t="str">
        <f>IF(A1482="","",ROUND(V1482*IFERROR(N(INDEX(tech_rate,MATCH(M1482,tech_name,0))),0),2))</f>
        <v/>
      </c>
      <c r="P1482" s="80" t="n"/>
      <c r="Q1482" s="81" t="str">
        <f>IF(A1482="","",ROUND(Y1482+O1482+Z1482,2))</f>
        <v/>
      </c>
      <c r="R1482" s="79" t="str">
        <f>IF(A1482="","",IF(S1482=0,"Date manquante ou invalide",IF(C1482="","Équipement manquant",IF(ISNA(MATCH(C1482,eq_code,0)),"Équipement inconnu",IF(E1482="","Type manquant",IF(AND(E1482&lt;&gt;"Préventif",E1482&lt;&gt;"Correctif",E1482&lt;&gt;"Amélioratif"),"Type inconnu",IF(I1482="","Statut manquant",IF(AND(I1482&lt;&gt;"Terminée",I1482&lt;&gt;"En cours",I1482&lt;&gt;"À faire",I1482&lt;&gt;"Annulée"),"Statut inconnu",IF(AND(E1482="Préventif",F1482=""),"Plan manquant (préventif)",IF(AND(F1482&lt;&gt;"",ISNA(MATCH(F1482,pl_num,0))),"Plan inconnu",IF(AND(F1482&lt;&gt;"",IFERROR(INDEX(pl_eq,MATCH(F1482,pl_num,0))&amp;"",C1482)&lt;&gt;C1482),"Plan d'un autre équipement",IF(AND(J1482&lt;&gt;"",OR(NOT(ISNUMBER(J1482)),N(J1482)&lt;0)),"Compteur invalide",IF(OR(AND(K1482&lt;&gt;"",OR(NOT(ISNUMBER(K1482)),N(K1482)&lt;0)),AND(L1482&lt;&gt;"",OR(NOT(ISNUMBER(L1482)),N(L1482)&lt;0))),"Durée invalide",IF(OR(AND(N1482&lt;&gt;"",OR(NOT(ISNUMBER(N1482)),N(N1482)&lt;0)),AND(P1482&lt;&gt;"",OR(NOT(ISNUMBER(P1482)),N(P1482)&lt;0))),"Coût invalide",IF(AND(M1482&lt;&gt;"",ISNA(MATCH(M1482,tech_name,0))),"Technicien inconnu",IF(AND(I1482="Terminée",S1482&gt;p_today),"Terminée à une date future",IF(AND(I1482="Terminée",V1482=0),"Durée d'intervention manquante",IF(AND(I1482="Terminée",E1482="Préventif",T1482=0,OR(IFERROR(INDEX(pl_trig,MATCH(F1482,pl_num,0))&amp;"","")="Compteur",IFERROR(INDEX(pl_trig,MATCH(F1482,pl_num,0))&amp;"","")="Au premier des deux")),"Compteur manquant (plan au compteur)","OK"))))))))))))))))))</f>
        <v/>
      </c>
      <c r="S1482" s="67">
        <f>IF(AND(ISNUMBER(B1482),N(B1482)&gt;0),INT(B1482),0)</f>
        <v>0.0</v>
      </c>
      <c r="T1482" s="67">
        <f>IF(AND(ISNUMBER(J1482),N(J1482)&gt;=0),N(J1482),0)</f>
        <v>0.0</v>
      </c>
      <c r="U1482" s="67">
        <f>IF(AND(ISNUMBER(K1482),N(K1482)&gt;0),N(K1482),0)</f>
        <v>0.0</v>
      </c>
      <c r="V1482" s="67">
        <f>IF(AND(ISNUMBER(L1482),N(L1482)&gt;0),N(L1482),0)</f>
        <v>0.0</v>
      </c>
      <c r="W1482" s="67">
        <f>IF(AND(I1482="Terminée",S1482&gt;0,C1482&lt;&gt;"",ISNUMBER(MATCH(C1482,eq_code,0))),1,0)</f>
        <v>0.0</v>
      </c>
      <c r="X1482" s="67">
        <f>IF(AND(W1482=1,E1482="Préventif"),1,0)</f>
        <v>0.0</v>
      </c>
      <c r="Y1482" s="67">
        <f>IF(AND(ISNUMBER(N1482),N(N1482)&gt;0),N(N1482),0)</f>
        <v>0.0</v>
      </c>
      <c r="Z1482" s="67">
        <f>IF(AND(ISNUMBER(P1482),N(P1482)&gt;0),N(P1482),0)</f>
        <v>0.0</v>
      </c>
    </row>
    <row r="1483">
      <c r="A1483" s="79" t="str">
        <f>IF(COUNTA(B1483:C1483,E1483:G1483,I1483)=0,"","BI-"&amp;RIGHT("0000"&amp;(ROW()-5),4))</f>
        <v/>
      </c>
      <c r="B1483" s="72" t="n"/>
      <c r="C1483" s="66" t="n"/>
      <c r="D1483" s="67" t="str">
        <f>IF(C1483="","",IFERROR(INDEX(eq_des,MATCH(C1483,eq_code,0))&amp;"","Équipement inconnu"))</f>
        <v/>
      </c>
      <c r="E1483" s="68" t="n"/>
      <c r="F1483" s="68" t="n"/>
      <c r="G1483" s="66" t="n"/>
      <c r="H1483" s="66" t="n"/>
      <c r="I1483" s="68" t="n"/>
      <c r="J1483" s="73" t="n"/>
      <c r="K1483" s="71" t="n"/>
      <c r="L1483" s="71" t="n"/>
      <c r="M1483" s="66" t="n"/>
      <c r="N1483" s="80" t="n"/>
      <c r="O1483" s="81" t="str">
        <f>IF(A1483="","",ROUND(V1483*IFERROR(N(INDEX(tech_rate,MATCH(M1483,tech_name,0))),0),2))</f>
        <v/>
      </c>
      <c r="P1483" s="80" t="n"/>
      <c r="Q1483" s="81" t="str">
        <f>IF(A1483="","",ROUND(Y1483+O1483+Z1483,2))</f>
        <v/>
      </c>
      <c r="R1483" s="79" t="str">
        <f>IF(A1483="","",IF(S1483=0,"Date manquante ou invalide",IF(C1483="","Équipement manquant",IF(ISNA(MATCH(C1483,eq_code,0)),"Équipement inconnu",IF(E1483="","Type manquant",IF(AND(E1483&lt;&gt;"Préventif",E1483&lt;&gt;"Correctif",E1483&lt;&gt;"Amélioratif"),"Type inconnu",IF(I1483="","Statut manquant",IF(AND(I1483&lt;&gt;"Terminée",I1483&lt;&gt;"En cours",I1483&lt;&gt;"À faire",I1483&lt;&gt;"Annulée"),"Statut inconnu",IF(AND(E1483="Préventif",F1483=""),"Plan manquant (préventif)",IF(AND(F1483&lt;&gt;"",ISNA(MATCH(F1483,pl_num,0))),"Plan inconnu",IF(AND(F1483&lt;&gt;"",IFERROR(INDEX(pl_eq,MATCH(F1483,pl_num,0))&amp;"",C1483)&lt;&gt;C1483),"Plan d'un autre équipement",IF(AND(J1483&lt;&gt;"",OR(NOT(ISNUMBER(J1483)),N(J1483)&lt;0)),"Compteur invalide",IF(OR(AND(K1483&lt;&gt;"",OR(NOT(ISNUMBER(K1483)),N(K1483)&lt;0)),AND(L1483&lt;&gt;"",OR(NOT(ISNUMBER(L1483)),N(L1483)&lt;0))),"Durée invalide",IF(OR(AND(N1483&lt;&gt;"",OR(NOT(ISNUMBER(N1483)),N(N1483)&lt;0)),AND(P1483&lt;&gt;"",OR(NOT(ISNUMBER(P1483)),N(P1483)&lt;0))),"Coût invalide",IF(AND(M1483&lt;&gt;"",ISNA(MATCH(M1483,tech_name,0))),"Technicien inconnu",IF(AND(I1483="Terminée",S1483&gt;p_today),"Terminée à une date future",IF(AND(I1483="Terminée",V1483=0),"Durée d'intervention manquante",IF(AND(I1483="Terminée",E1483="Préventif",T1483=0,OR(IFERROR(INDEX(pl_trig,MATCH(F1483,pl_num,0))&amp;"","")="Compteur",IFERROR(INDEX(pl_trig,MATCH(F1483,pl_num,0))&amp;"","")="Au premier des deux")),"Compteur manquant (plan au compteur)","OK"))))))))))))))))))</f>
        <v/>
      </c>
      <c r="S1483" s="67">
        <f>IF(AND(ISNUMBER(B1483),N(B1483)&gt;0),INT(B1483),0)</f>
        <v>0.0</v>
      </c>
      <c r="T1483" s="67">
        <f>IF(AND(ISNUMBER(J1483),N(J1483)&gt;=0),N(J1483),0)</f>
        <v>0.0</v>
      </c>
      <c r="U1483" s="67">
        <f>IF(AND(ISNUMBER(K1483),N(K1483)&gt;0),N(K1483),0)</f>
        <v>0.0</v>
      </c>
      <c r="V1483" s="67">
        <f>IF(AND(ISNUMBER(L1483),N(L1483)&gt;0),N(L1483),0)</f>
        <v>0.0</v>
      </c>
      <c r="W1483" s="67">
        <f>IF(AND(I1483="Terminée",S1483&gt;0,C1483&lt;&gt;"",ISNUMBER(MATCH(C1483,eq_code,0))),1,0)</f>
        <v>0.0</v>
      </c>
      <c r="X1483" s="67">
        <f>IF(AND(W1483=1,E1483="Préventif"),1,0)</f>
        <v>0.0</v>
      </c>
      <c r="Y1483" s="67">
        <f>IF(AND(ISNUMBER(N1483),N(N1483)&gt;0),N(N1483),0)</f>
        <v>0.0</v>
      </c>
      <c r="Z1483" s="67">
        <f>IF(AND(ISNUMBER(P1483),N(P1483)&gt;0),N(P1483),0)</f>
        <v>0.0</v>
      </c>
    </row>
    <row r="1484">
      <c r="A1484" s="79" t="str">
        <f>IF(COUNTA(B1484:C1484,E1484:G1484,I1484)=0,"","BI-"&amp;RIGHT("0000"&amp;(ROW()-5),4))</f>
        <v/>
      </c>
      <c r="B1484" s="72" t="n"/>
      <c r="C1484" s="66" t="n"/>
      <c r="D1484" s="67" t="str">
        <f>IF(C1484="","",IFERROR(INDEX(eq_des,MATCH(C1484,eq_code,0))&amp;"","Équipement inconnu"))</f>
        <v/>
      </c>
      <c r="E1484" s="68" t="n"/>
      <c r="F1484" s="68" t="n"/>
      <c r="G1484" s="66" t="n"/>
      <c r="H1484" s="66" t="n"/>
      <c r="I1484" s="68" t="n"/>
      <c r="J1484" s="73" t="n"/>
      <c r="K1484" s="71" t="n"/>
      <c r="L1484" s="71" t="n"/>
      <c r="M1484" s="66" t="n"/>
      <c r="N1484" s="80" t="n"/>
      <c r="O1484" s="81" t="str">
        <f>IF(A1484="","",ROUND(V1484*IFERROR(N(INDEX(tech_rate,MATCH(M1484,tech_name,0))),0),2))</f>
        <v/>
      </c>
      <c r="P1484" s="80" t="n"/>
      <c r="Q1484" s="81" t="str">
        <f>IF(A1484="","",ROUND(Y1484+O1484+Z1484,2))</f>
        <v/>
      </c>
      <c r="R1484" s="79" t="str">
        <f>IF(A1484="","",IF(S1484=0,"Date manquante ou invalide",IF(C1484="","Équipement manquant",IF(ISNA(MATCH(C1484,eq_code,0)),"Équipement inconnu",IF(E1484="","Type manquant",IF(AND(E1484&lt;&gt;"Préventif",E1484&lt;&gt;"Correctif",E1484&lt;&gt;"Amélioratif"),"Type inconnu",IF(I1484="","Statut manquant",IF(AND(I1484&lt;&gt;"Terminée",I1484&lt;&gt;"En cours",I1484&lt;&gt;"À faire",I1484&lt;&gt;"Annulée"),"Statut inconnu",IF(AND(E1484="Préventif",F1484=""),"Plan manquant (préventif)",IF(AND(F1484&lt;&gt;"",ISNA(MATCH(F1484,pl_num,0))),"Plan inconnu",IF(AND(F1484&lt;&gt;"",IFERROR(INDEX(pl_eq,MATCH(F1484,pl_num,0))&amp;"",C1484)&lt;&gt;C1484),"Plan d'un autre équipement",IF(AND(J1484&lt;&gt;"",OR(NOT(ISNUMBER(J1484)),N(J1484)&lt;0)),"Compteur invalide",IF(OR(AND(K1484&lt;&gt;"",OR(NOT(ISNUMBER(K1484)),N(K1484)&lt;0)),AND(L1484&lt;&gt;"",OR(NOT(ISNUMBER(L1484)),N(L1484)&lt;0))),"Durée invalide",IF(OR(AND(N1484&lt;&gt;"",OR(NOT(ISNUMBER(N1484)),N(N1484)&lt;0)),AND(P1484&lt;&gt;"",OR(NOT(ISNUMBER(P1484)),N(P1484)&lt;0))),"Coût invalide",IF(AND(M1484&lt;&gt;"",ISNA(MATCH(M1484,tech_name,0))),"Technicien inconnu",IF(AND(I1484="Terminée",S1484&gt;p_today),"Terminée à une date future",IF(AND(I1484="Terminée",V1484=0),"Durée d'intervention manquante",IF(AND(I1484="Terminée",E1484="Préventif",T1484=0,OR(IFERROR(INDEX(pl_trig,MATCH(F1484,pl_num,0))&amp;"","")="Compteur",IFERROR(INDEX(pl_trig,MATCH(F1484,pl_num,0))&amp;"","")="Au premier des deux")),"Compteur manquant (plan au compteur)","OK"))))))))))))))))))</f>
        <v/>
      </c>
      <c r="S1484" s="67">
        <f>IF(AND(ISNUMBER(B1484),N(B1484)&gt;0),INT(B1484),0)</f>
        <v>0.0</v>
      </c>
      <c r="T1484" s="67">
        <f>IF(AND(ISNUMBER(J1484),N(J1484)&gt;=0),N(J1484),0)</f>
        <v>0.0</v>
      </c>
      <c r="U1484" s="67">
        <f>IF(AND(ISNUMBER(K1484),N(K1484)&gt;0),N(K1484),0)</f>
        <v>0.0</v>
      </c>
      <c r="V1484" s="67">
        <f>IF(AND(ISNUMBER(L1484),N(L1484)&gt;0),N(L1484),0)</f>
        <v>0.0</v>
      </c>
      <c r="W1484" s="67">
        <f>IF(AND(I1484="Terminée",S1484&gt;0,C1484&lt;&gt;"",ISNUMBER(MATCH(C1484,eq_code,0))),1,0)</f>
        <v>0.0</v>
      </c>
      <c r="X1484" s="67">
        <f>IF(AND(W1484=1,E1484="Préventif"),1,0)</f>
        <v>0.0</v>
      </c>
      <c r="Y1484" s="67">
        <f>IF(AND(ISNUMBER(N1484),N(N1484)&gt;0),N(N1484),0)</f>
        <v>0.0</v>
      </c>
      <c r="Z1484" s="67">
        <f>IF(AND(ISNUMBER(P1484),N(P1484)&gt;0),N(P1484),0)</f>
        <v>0.0</v>
      </c>
    </row>
    <row r="1485">
      <c r="A1485" s="79" t="str">
        <f>IF(COUNTA(B1485:C1485,E1485:G1485,I1485)=0,"","BI-"&amp;RIGHT("0000"&amp;(ROW()-5),4))</f>
        <v/>
      </c>
      <c r="B1485" s="72" t="n"/>
      <c r="C1485" s="66" t="n"/>
      <c r="D1485" s="67" t="str">
        <f>IF(C1485="","",IFERROR(INDEX(eq_des,MATCH(C1485,eq_code,0))&amp;"","Équipement inconnu"))</f>
        <v/>
      </c>
      <c r="E1485" s="68" t="n"/>
      <c r="F1485" s="68" t="n"/>
      <c r="G1485" s="66" t="n"/>
      <c r="H1485" s="66" t="n"/>
      <c r="I1485" s="68" t="n"/>
      <c r="J1485" s="73" t="n"/>
      <c r="K1485" s="71" t="n"/>
      <c r="L1485" s="71" t="n"/>
      <c r="M1485" s="66" t="n"/>
      <c r="N1485" s="80" t="n"/>
      <c r="O1485" s="81" t="str">
        <f>IF(A1485="","",ROUND(V1485*IFERROR(N(INDEX(tech_rate,MATCH(M1485,tech_name,0))),0),2))</f>
        <v/>
      </c>
      <c r="P1485" s="80" t="n"/>
      <c r="Q1485" s="81" t="str">
        <f>IF(A1485="","",ROUND(Y1485+O1485+Z1485,2))</f>
        <v/>
      </c>
      <c r="R1485" s="79" t="str">
        <f>IF(A1485="","",IF(S1485=0,"Date manquante ou invalide",IF(C1485="","Équipement manquant",IF(ISNA(MATCH(C1485,eq_code,0)),"Équipement inconnu",IF(E1485="","Type manquant",IF(AND(E1485&lt;&gt;"Préventif",E1485&lt;&gt;"Correctif",E1485&lt;&gt;"Amélioratif"),"Type inconnu",IF(I1485="","Statut manquant",IF(AND(I1485&lt;&gt;"Terminée",I1485&lt;&gt;"En cours",I1485&lt;&gt;"À faire",I1485&lt;&gt;"Annulée"),"Statut inconnu",IF(AND(E1485="Préventif",F1485=""),"Plan manquant (préventif)",IF(AND(F1485&lt;&gt;"",ISNA(MATCH(F1485,pl_num,0))),"Plan inconnu",IF(AND(F1485&lt;&gt;"",IFERROR(INDEX(pl_eq,MATCH(F1485,pl_num,0))&amp;"",C1485)&lt;&gt;C1485),"Plan d'un autre équipement",IF(AND(J1485&lt;&gt;"",OR(NOT(ISNUMBER(J1485)),N(J1485)&lt;0)),"Compteur invalide",IF(OR(AND(K1485&lt;&gt;"",OR(NOT(ISNUMBER(K1485)),N(K1485)&lt;0)),AND(L1485&lt;&gt;"",OR(NOT(ISNUMBER(L1485)),N(L1485)&lt;0))),"Durée invalide",IF(OR(AND(N1485&lt;&gt;"",OR(NOT(ISNUMBER(N1485)),N(N1485)&lt;0)),AND(P1485&lt;&gt;"",OR(NOT(ISNUMBER(P1485)),N(P1485)&lt;0))),"Coût invalide",IF(AND(M1485&lt;&gt;"",ISNA(MATCH(M1485,tech_name,0))),"Technicien inconnu",IF(AND(I1485="Terminée",S1485&gt;p_today),"Terminée à une date future",IF(AND(I1485="Terminée",V1485=0),"Durée d'intervention manquante",IF(AND(I1485="Terminée",E1485="Préventif",T1485=0,OR(IFERROR(INDEX(pl_trig,MATCH(F1485,pl_num,0))&amp;"","")="Compteur",IFERROR(INDEX(pl_trig,MATCH(F1485,pl_num,0))&amp;"","")="Au premier des deux")),"Compteur manquant (plan au compteur)","OK"))))))))))))))))))</f>
        <v/>
      </c>
      <c r="S1485" s="67">
        <f>IF(AND(ISNUMBER(B1485),N(B1485)&gt;0),INT(B1485),0)</f>
        <v>0.0</v>
      </c>
      <c r="T1485" s="67">
        <f>IF(AND(ISNUMBER(J1485),N(J1485)&gt;=0),N(J1485),0)</f>
        <v>0.0</v>
      </c>
      <c r="U1485" s="67">
        <f>IF(AND(ISNUMBER(K1485),N(K1485)&gt;0),N(K1485),0)</f>
        <v>0.0</v>
      </c>
      <c r="V1485" s="67">
        <f>IF(AND(ISNUMBER(L1485),N(L1485)&gt;0),N(L1485),0)</f>
        <v>0.0</v>
      </c>
      <c r="W1485" s="67">
        <f>IF(AND(I1485="Terminée",S1485&gt;0,C1485&lt;&gt;"",ISNUMBER(MATCH(C1485,eq_code,0))),1,0)</f>
        <v>0.0</v>
      </c>
      <c r="X1485" s="67">
        <f>IF(AND(W1485=1,E1485="Préventif"),1,0)</f>
        <v>0.0</v>
      </c>
      <c r="Y1485" s="67">
        <f>IF(AND(ISNUMBER(N1485),N(N1485)&gt;0),N(N1485),0)</f>
        <v>0.0</v>
      </c>
      <c r="Z1485" s="67">
        <f>IF(AND(ISNUMBER(P1485),N(P1485)&gt;0),N(P1485),0)</f>
        <v>0.0</v>
      </c>
    </row>
    <row r="1486">
      <c r="A1486" s="79" t="str">
        <f>IF(COUNTA(B1486:C1486,E1486:G1486,I1486)=0,"","BI-"&amp;RIGHT("0000"&amp;(ROW()-5),4))</f>
        <v/>
      </c>
      <c r="B1486" s="72" t="n"/>
      <c r="C1486" s="66" t="n"/>
      <c r="D1486" s="67" t="str">
        <f>IF(C1486="","",IFERROR(INDEX(eq_des,MATCH(C1486,eq_code,0))&amp;"","Équipement inconnu"))</f>
        <v/>
      </c>
      <c r="E1486" s="68" t="n"/>
      <c r="F1486" s="68" t="n"/>
      <c r="G1486" s="66" t="n"/>
      <c r="H1486" s="66" t="n"/>
      <c r="I1486" s="68" t="n"/>
      <c r="J1486" s="73" t="n"/>
      <c r="K1486" s="71" t="n"/>
      <c r="L1486" s="71" t="n"/>
      <c r="M1486" s="66" t="n"/>
      <c r="N1486" s="80" t="n"/>
      <c r="O1486" s="81" t="str">
        <f>IF(A1486="","",ROUND(V1486*IFERROR(N(INDEX(tech_rate,MATCH(M1486,tech_name,0))),0),2))</f>
        <v/>
      </c>
      <c r="P1486" s="80" t="n"/>
      <c r="Q1486" s="81" t="str">
        <f>IF(A1486="","",ROUND(Y1486+O1486+Z1486,2))</f>
        <v/>
      </c>
      <c r="R1486" s="79" t="str">
        <f>IF(A1486="","",IF(S1486=0,"Date manquante ou invalide",IF(C1486="","Équipement manquant",IF(ISNA(MATCH(C1486,eq_code,0)),"Équipement inconnu",IF(E1486="","Type manquant",IF(AND(E1486&lt;&gt;"Préventif",E1486&lt;&gt;"Correctif",E1486&lt;&gt;"Amélioratif"),"Type inconnu",IF(I1486="","Statut manquant",IF(AND(I1486&lt;&gt;"Terminée",I1486&lt;&gt;"En cours",I1486&lt;&gt;"À faire",I1486&lt;&gt;"Annulée"),"Statut inconnu",IF(AND(E1486="Préventif",F1486=""),"Plan manquant (préventif)",IF(AND(F1486&lt;&gt;"",ISNA(MATCH(F1486,pl_num,0))),"Plan inconnu",IF(AND(F1486&lt;&gt;"",IFERROR(INDEX(pl_eq,MATCH(F1486,pl_num,0))&amp;"",C1486)&lt;&gt;C1486),"Plan d'un autre équipement",IF(AND(J1486&lt;&gt;"",OR(NOT(ISNUMBER(J1486)),N(J1486)&lt;0)),"Compteur invalide",IF(OR(AND(K1486&lt;&gt;"",OR(NOT(ISNUMBER(K1486)),N(K1486)&lt;0)),AND(L1486&lt;&gt;"",OR(NOT(ISNUMBER(L1486)),N(L1486)&lt;0))),"Durée invalide",IF(OR(AND(N1486&lt;&gt;"",OR(NOT(ISNUMBER(N1486)),N(N1486)&lt;0)),AND(P1486&lt;&gt;"",OR(NOT(ISNUMBER(P1486)),N(P1486)&lt;0))),"Coût invalide",IF(AND(M1486&lt;&gt;"",ISNA(MATCH(M1486,tech_name,0))),"Technicien inconnu",IF(AND(I1486="Terminée",S1486&gt;p_today),"Terminée à une date future",IF(AND(I1486="Terminée",V1486=0),"Durée d'intervention manquante",IF(AND(I1486="Terminée",E1486="Préventif",T1486=0,OR(IFERROR(INDEX(pl_trig,MATCH(F1486,pl_num,0))&amp;"","")="Compteur",IFERROR(INDEX(pl_trig,MATCH(F1486,pl_num,0))&amp;"","")="Au premier des deux")),"Compteur manquant (plan au compteur)","OK"))))))))))))))))))</f>
        <v/>
      </c>
      <c r="S1486" s="67">
        <f>IF(AND(ISNUMBER(B1486),N(B1486)&gt;0),INT(B1486),0)</f>
        <v>0.0</v>
      </c>
      <c r="T1486" s="67">
        <f>IF(AND(ISNUMBER(J1486),N(J1486)&gt;=0),N(J1486),0)</f>
        <v>0.0</v>
      </c>
      <c r="U1486" s="67">
        <f>IF(AND(ISNUMBER(K1486),N(K1486)&gt;0),N(K1486),0)</f>
        <v>0.0</v>
      </c>
      <c r="V1486" s="67">
        <f>IF(AND(ISNUMBER(L1486),N(L1486)&gt;0),N(L1486),0)</f>
        <v>0.0</v>
      </c>
      <c r="W1486" s="67">
        <f>IF(AND(I1486="Terminée",S1486&gt;0,C1486&lt;&gt;"",ISNUMBER(MATCH(C1486,eq_code,0))),1,0)</f>
        <v>0.0</v>
      </c>
      <c r="X1486" s="67">
        <f>IF(AND(W1486=1,E1486="Préventif"),1,0)</f>
        <v>0.0</v>
      </c>
      <c r="Y1486" s="67">
        <f>IF(AND(ISNUMBER(N1486),N(N1486)&gt;0),N(N1486),0)</f>
        <v>0.0</v>
      </c>
      <c r="Z1486" s="67">
        <f>IF(AND(ISNUMBER(P1486),N(P1486)&gt;0),N(P1486),0)</f>
        <v>0.0</v>
      </c>
    </row>
    <row r="1487">
      <c r="A1487" s="79" t="str">
        <f>IF(COUNTA(B1487:C1487,E1487:G1487,I1487)=0,"","BI-"&amp;RIGHT("0000"&amp;(ROW()-5),4))</f>
        <v/>
      </c>
      <c r="B1487" s="72" t="n"/>
      <c r="C1487" s="66" t="n"/>
      <c r="D1487" s="67" t="str">
        <f>IF(C1487="","",IFERROR(INDEX(eq_des,MATCH(C1487,eq_code,0))&amp;"","Équipement inconnu"))</f>
        <v/>
      </c>
      <c r="E1487" s="68" t="n"/>
      <c r="F1487" s="68" t="n"/>
      <c r="G1487" s="66" t="n"/>
      <c r="H1487" s="66" t="n"/>
      <c r="I1487" s="68" t="n"/>
      <c r="J1487" s="73" t="n"/>
      <c r="K1487" s="71" t="n"/>
      <c r="L1487" s="71" t="n"/>
      <c r="M1487" s="66" t="n"/>
      <c r="N1487" s="80" t="n"/>
      <c r="O1487" s="81" t="str">
        <f>IF(A1487="","",ROUND(V1487*IFERROR(N(INDEX(tech_rate,MATCH(M1487,tech_name,0))),0),2))</f>
        <v/>
      </c>
      <c r="P1487" s="80" t="n"/>
      <c r="Q1487" s="81" t="str">
        <f>IF(A1487="","",ROUND(Y1487+O1487+Z1487,2))</f>
        <v/>
      </c>
      <c r="R1487" s="79" t="str">
        <f>IF(A1487="","",IF(S1487=0,"Date manquante ou invalide",IF(C1487="","Équipement manquant",IF(ISNA(MATCH(C1487,eq_code,0)),"Équipement inconnu",IF(E1487="","Type manquant",IF(AND(E1487&lt;&gt;"Préventif",E1487&lt;&gt;"Correctif",E1487&lt;&gt;"Amélioratif"),"Type inconnu",IF(I1487="","Statut manquant",IF(AND(I1487&lt;&gt;"Terminée",I1487&lt;&gt;"En cours",I1487&lt;&gt;"À faire",I1487&lt;&gt;"Annulée"),"Statut inconnu",IF(AND(E1487="Préventif",F1487=""),"Plan manquant (préventif)",IF(AND(F1487&lt;&gt;"",ISNA(MATCH(F1487,pl_num,0))),"Plan inconnu",IF(AND(F1487&lt;&gt;"",IFERROR(INDEX(pl_eq,MATCH(F1487,pl_num,0))&amp;"",C1487)&lt;&gt;C1487),"Plan d'un autre équipement",IF(AND(J1487&lt;&gt;"",OR(NOT(ISNUMBER(J1487)),N(J1487)&lt;0)),"Compteur invalide",IF(OR(AND(K1487&lt;&gt;"",OR(NOT(ISNUMBER(K1487)),N(K1487)&lt;0)),AND(L1487&lt;&gt;"",OR(NOT(ISNUMBER(L1487)),N(L1487)&lt;0))),"Durée invalide",IF(OR(AND(N1487&lt;&gt;"",OR(NOT(ISNUMBER(N1487)),N(N1487)&lt;0)),AND(P1487&lt;&gt;"",OR(NOT(ISNUMBER(P1487)),N(P1487)&lt;0))),"Coût invalide",IF(AND(M1487&lt;&gt;"",ISNA(MATCH(M1487,tech_name,0))),"Technicien inconnu",IF(AND(I1487="Terminée",S1487&gt;p_today),"Terminée à une date future",IF(AND(I1487="Terminée",V1487=0),"Durée d'intervention manquante",IF(AND(I1487="Terminée",E1487="Préventif",T1487=0,OR(IFERROR(INDEX(pl_trig,MATCH(F1487,pl_num,0))&amp;"","")="Compteur",IFERROR(INDEX(pl_trig,MATCH(F1487,pl_num,0))&amp;"","")="Au premier des deux")),"Compteur manquant (plan au compteur)","OK"))))))))))))))))))</f>
        <v/>
      </c>
      <c r="S1487" s="67">
        <f>IF(AND(ISNUMBER(B1487),N(B1487)&gt;0),INT(B1487),0)</f>
        <v>0.0</v>
      </c>
      <c r="T1487" s="67">
        <f>IF(AND(ISNUMBER(J1487),N(J1487)&gt;=0),N(J1487),0)</f>
        <v>0.0</v>
      </c>
      <c r="U1487" s="67">
        <f>IF(AND(ISNUMBER(K1487),N(K1487)&gt;0),N(K1487),0)</f>
        <v>0.0</v>
      </c>
      <c r="V1487" s="67">
        <f>IF(AND(ISNUMBER(L1487),N(L1487)&gt;0),N(L1487),0)</f>
        <v>0.0</v>
      </c>
      <c r="W1487" s="67">
        <f>IF(AND(I1487="Terminée",S1487&gt;0,C1487&lt;&gt;"",ISNUMBER(MATCH(C1487,eq_code,0))),1,0)</f>
        <v>0.0</v>
      </c>
      <c r="X1487" s="67">
        <f>IF(AND(W1487=1,E1487="Préventif"),1,0)</f>
        <v>0.0</v>
      </c>
      <c r="Y1487" s="67">
        <f>IF(AND(ISNUMBER(N1487),N(N1487)&gt;0),N(N1487),0)</f>
        <v>0.0</v>
      </c>
      <c r="Z1487" s="67">
        <f>IF(AND(ISNUMBER(P1487),N(P1487)&gt;0),N(P1487),0)</f>
        <v>0.0</v>
      </c>
    </row>
    <row r="1488">
      <c r="A1488" s="79" t="str">
        <f>IF(COUNTA(B1488:C1488,E1488:G1488,I1488)=0,"","BI-"&amp;RIGHT("0000"&amp;(ROW()-5),4))</f>
        <v/>
      </c>
      <c r="B1488" s="72" t="n"/>
      <c r="C1488" s="66" t="n"/>
      <c r="D1488" s="67" t="str">
        <f>IF(C1488="","",IFERROR(INDEX(eq_des,MATCH(C1488,eq_code,0))&amp;"","Équipement inconnu"))</f>
        <v/>
      </c>
      <c r="E1488" s="68" t="n"/>
      <c r="F1488" s="68" t="n"/>
      <c r="G1488" s="66" t="n"/>
      <c r="H1488" s="66" t="n"/>
      <c r="I1488" s="68" t="n"/>
      <c r="J1488" s="73" t="n"/>
      <c r="K1488" s="71" t="n"/>
      <c r="L1488" s="71" t="n"/>
      <c r="M1488" s="66" t="n"/>
      <c r="N1488" s="80" t="n"/>
      <c r="O1488" s="81" t="str">
        <f>IF(A1488="","",ROUND(V1488*IFERROR(N(INDEX(tech_rate,MATCH(M1488,tech_name,0))),0),2))</f>
        <v/>
      </c>
      <c r="P1488" s="80" t="n"/>
      <c r="Q1488" s="81" t="str">
        <f>IF(A1488="","",ROUND(Y1488+O1488+Z1488,2))</f>
        <v/>
      </c>
      <c r="R1488" s="79" t="str">
        <f>IF(A1488="","",IF(S1488=0,"Date manquante ou invalide",IF(C1488="","Équipement manquant",IF(ISNA(MATCH(C1488,eq_code,0)),"Équipement inconnu",IF(E1488="","Type manquant",IF(AND(E1488&lt;&gt;"Préventif",E1488&lt;&gt;"Correctif",E1488&lt;&gt;"Amélioratif"),"Type inconnu",IF(I1488="","Statut manquant",IF(AND(I1488&lt;&gt;"Terminée",I1488&lt;&gt;"En cours",I1488&lt;&gt;"À faire",I1488&lt;&gt;"Annulée"),"Statut inconnu",IF(AND(E1488="Préventif",F1488=""),"Plan manquant (préventif)",IF(AND(F1488&lt;&gt;"",ISNA(MATCH(F1488,pl_num,0))),"Plan inconnu",IF(AND(F1488&lt;&gt;"",IFERROR(INDEX(pl_eq,MATCH(F1488,pl_num,0))&amp;"",C1488)&lt;&gt;C1488),"Plan d'un autre équipement",IF(AND(J1488&lt;&gt;"",OR(NOT(ISNUMBER(J1488)),N(J1488)&lt;0)),"Compteur invalide",IF(OR(AND(K1488&lt;&gt;"",OR(NOT(ISNUMBER(K1488)),N(K1488)&lt;0)),AND(L1488&lt;&gt;"",OR(NOT(ISNUMBER(L1488)),N(L1488)&lt;0))),"Durée invalide",IF(OR(AND(N1488&lt;&gt;"",OR(NOT(ISNUMBER(N1488)),N(N1488)&lt;0)),AND(P1488&lt;&gt;"",OR(NOT(ISNUMBER(P1488)),N(P1488)&lt;0))),"Coût invalide",IF(AND(M1488&lt;&gt;"",ISNA(MATCH(M1488,tech_name,0))),"Technicien inconnu",IF(AND(I1488="Terminée",S1488&gt;p_today),"Terminée à une date future",IF(AND(I1488="Terminée",V1488=0),"Durée d'intervention manquante",IF(AND(I1488="Terminée",E1488="Préventif",T1488=0,OR(IFERROR(INDEX(pl_trig,MATCH(F1488,pl_num,0))&amp;"","")="Compteur",IFERROR(INDEX(pl_trig,MATCH(F1488,pl_num,0))&amp;"","")="Au premier des deux")),"Compteur manquant (plan au compteur)","OK"))))))))))))))))))</f>
        <v/>
      </c>
      <c r="S1488" s="67">
        <f>IF(AND(ISNUMBER(B1488),N(B1488)&gt;0),INT(B1488),0)</f>
        <v>0.0</v>
      </c>
      <c r="T1488" s="67">
        <f>IF(AND(ISNUMBER(J1488),N(J1488)&gt;=0),N(J1488),0)</f>
        <v>0.0</v>
      </c>
      <c r="U1488" s="67">
        <f>IF(AND(ISNUMBER(K1488),N(K1488)&gt;0),N(K1488),0)</f>
        <v>0.0</v>
      </c>
      <c r="V1488" s="67">
        <f>IF(AND(ISNUMBER(L1488),N(L1488)&gt;0),N(L1488),0)</f>
        <v>0.0</v>
      </c>
      <c r="W1488" s="67">
        <f>IF(AND(I1488="Terminée",S1488&gt;0,C1488&lt;&gt;"",ISNUMBER(MATCH(C1488,eq_code,0))),1,0)</f>
        <v>0.0</v>
      </c>
      <c r="X1488" s="67">
        <f>IF(AND(W1488=1,E1488="Préventif"),1,0)</f>
        <v>0.0</v>
      </c>
      <c r="Y1488" s="67">
        <f>IF(AND(ISNUMBER(N1488),N(N1488)&gt;0),N(N1488),0)</f>
        <v>0.0</v>
      </c>
      <c r="Z1488" s="67">
        <f>IF(AND(ISNUMBER(P1488),N(P1488)&gt;0),N(P1488),0)</f>
        <v>0.0</v>
      </c>
    </row>
    <row r="1489">
      <c r="A1489" s="79" t="str">
        <f>IF(COUNTA(B1489:C1489,E1489:G1489,I1489)=0,"","BI-"&amp;RIGHT("0000"&amp;(ROW()-5),4))</f>
        <v/>
      </c>
      <c r="B1489" s="72" t="n"/>
      <c r="C1489" s="66" t="n"/>
      <c r="D1489" s="67" t="str">
        <f>IF(C1489="","",IFERROR(INDEX(eq_des,MATCH(C1489,eq_code,0))&amp;"","Équipement inconnu"))</f>
        <v/>
      </c>
      <c r="E1489" s="68" t="n"/>
      <c r="F1489" s="68" t="n"/>
      <c r="G1489" s="66" t="n"/>
      <c r="H1489" s="66" t="n"/>
      <c r="I1489" s="68" t="n"/>
      <c r="J1489" s="73" t="n"/>
      <c r="K1489" s="71" t="n"/>
      <c r="L1489" s="71" t="n"/>
      <c r="M1489" s="66" t="n"/>
      <c r="N1489" s="80" t="n"/>
      <c r="O1489" s="81" t="str">
        <f>IF(A1489="","",ROUND(V1489*IFERROR(N(INDEX(tech_rate,MATCH(M1489,tech_name,0))),0),2))</f>
        <v/>
      </c>
      <c r="P1489" s="80" t="n"/>
      <c r="Q1489" s="81" t="str">
        <f>IF(A1489="","",ROUND(Y1489+O1489+Z1489,2))</f>
        <v/>
      </c>
      <c r="R1489" s="79" t="str">
        <f>IF(A1489="","",IF(S1489=0,"Date manquante ou invalide",IF(C1489="","Équipement manquant",IF(ISNA(MATCH(C1489,eq_code,0)),"Équipement inconnu",IF(E1489="","Type manquant",IF(AND(E1489&lt;&gt;"Préventif",E1489&lt;&gt;"Correctif",E1489&lt;&gt;"Amélioratif"),"Type inconnu",IF(I1489="","Statut manquant",IF(AND(I1489&lt;&gt;"Terminée",I1489&lt;&gt;"En cours",I1489&lt;&gt;"À faire",I1489&lt;&gt;"Annulée"),"Statut inconnu",IF(AND(E1489="Préventif",F1489=""),"Plan manquant (préventif)",IF(AND(F1489&lt;&gt;"",ISNA(MATCH(F1489,pl_num,0))),"Plan inconnu",IF(AND(F1489&lt;&gt;"",IFERROR(INDEX(pl_eq,MATCH(F1489,pl_num,0))&amp;"",C1489)&lt;&gt;C1489),"Plan d'un autre équipement",IF(AND(J1489&lt;&gt;"",OR(NOT(ISNUMBER(J1489)),N(J1489)&lt;0)),"Compteur invalide",IF(OR(AND(K1489&lt;&gt;"",OR(NOT(ISNUMBER(K1489)),N(K1489)&lt;0)),AND(L1489&lt;&gt;"",OR(NOT(ISNUMBER(L1489)),N(L1489)&lt;0))),"Durée invalide",IF(OR(AND(N1489&lt;&gt;"",OR(NOT(ISNUMBER(N1489)),N(N1489)&lt;0)),AND(P1489&lt;&gt;"",OR(NOT(ISNUMBER(P1489)),N(P1489)&lt;0))),"Coût invalide",IF(AND(M1489&lt;&gt;"",ISNA(MATCH(M1489,tech_name,0))),"Technicien inconnu",IF(AND(I1489="Terminée",S1489&gt;p_today),"Terminée à une date future",IF(AND(I1489="Terminée",V1489=0),"Durée d'intervention manquante",IF(AND(I1489="Terminée",E1489="Préventif",T1489=0,OR(IFERROR(INDEX(pl_trig,MATCH(F1489,pl_num,0))&amp;"","")="Compteur",IFERROR(INDEX(pl_trig,MATCH(F1489,pl_num,0))&amp;"","")="Au premier des deux")),"Compteur manquant (plan au compteur)","OK"))))))))))))))))))</f>
        <v/>
      </c>
      <c r="S1489" s="67">
        <f>IF(AND(ISNUMBER(B1489),N(B1489)&gt;0),INT(B1489),0)</f>
        <v>0.0</v>
      </c>
      <c r="T1489" s="67">
        <f>IF(AND(ISNUMBER(J1489),N(J1489)&gt;=0),N(J1489),0)</f>
        <v>0.0</v>
      </c>
      <c r="U1489" s="67">
        <f>IF(AND(ISNUMBER(K1489),N(K1489)&gt;0),N(K1489),0)</f>
        <v>0.0</v>
      </c>
      <c r="V1489" s="67">
        <f>IF(AND(ISNUMBER(L1489),N(L1489)&gt;0),N(L1489),0)</f>
        <v>0.0</v>
      </c>
      <c r="W1489" s="67">
        <f>IF(AND(I1489="Terminée",S1489&gt;0,C1489&lt;&gt;"",ISNUMBER(MATCH(C1489,eq_code,0))),1,0)</f>
        <v>0.0</v>
      </c>
      <c r="X1489" s="67">
        <f>IF(AND(W1489=1,E1489="Préventif"),1,0)</f>
        <v>0.0</v>
      </c>
      <c r="Y1489" s="67">
        <f>IF(AND(ISNUMBER(N1489),N(N1489)&gt;0),N(N1489),0)</f>
        <v>0.0</v>
      </c>
      <c r="Z1489" s="67">
        <f>IF(AND(ISNUMBER(P1489),N(P1489)&gt;0),N(P1489),0)</f>
        <v>0.0</v>
      </c>
    </row>
    <row r="1490">
      <c r="A1490" s="79" t="str">
        <f>IF(COUNTA(B1490:C1490,E1490:G1490,I1490)=0,"","BI-"&amp;RIGHT("0000"&amp;(ROW()-5),4))</f>
        <v/>
      </c>
      <c r="B1490" s="72" t="n"/>
      <c r="C1490" s="66" t="n"/>
      <c r="D1490" s="67" t="str">
        <f>IF(C1490="","",IFERROR(INDEX(eq_des,MATCH(C1490,eq_code,0))&amp;"","Équipement inconnu"))</f>
        <v/>
      </c>
      <c r="E1490" s="68" t="n"/>
      <c r="F1490" s="68" t="n"/>
      <c r="G1490" s="66" t="n"/>
      <c r="H1490" s="66" t="n"/>
      <c r="I1490" s="68" t="n"/>
      <c r="J1490" s="73" t="n"/>
      <c r="K1490" s="71" t="n"/>
      <c r="L1490" s="71" t="n"/>
      <c r="M1490" s="66" t="n"/>
      <c r="N1490" s="80" t="n"/>
      <c r="O1490" s="81" t="str">
        <f>IF(A1490="","",ROUND(V1490*IFERROR(N(INDEX(tech_rate,MATCH(M1490,tech_name,0))),0),2))</f>
        <v/>
      </c>
      <c r="P1490" s="80" t="n"/>
      <c r="Q1490" s="81" t="str">
        <f>IF(A1490="","",ROUND(Y1490+O1490+Z1490,2))</f>
        <v/>
      </c>
      <c r="R1490" s="79" t="str">
        <f>IF(A1490="","",IF(S1490=0,"Date manquante ou invalide",IF(C1490="","Équipement manquant",IF(ISNA(MATCH(C1490,eq_code,0)),"Équipement inconnu",IF(E1490="","Type manquant",IF(AND(E1490&lt;&gt;"Préventif",E1490&lt;&gt;"Correctif",E1490&lt;&gt;"Amélioratif"),"Type inconnu",IF(I1490="","Statut manquant",IF(AND(I1490&lt;&gt;"Terminée",I1490&lt;&gt;"En cours",I1490&lt;&gt;"À faire",I1490&lt;&gt;"Annulée"),"Statut inconnu",IF(AND(E1490="Préventif",F1490=""),"Plan manquant (préventif)",IF(AND(F1490&lt;&gt;"",ISNA(MATCH(F1490,pl_num,0))),"Plan inconnu",IF(AND(F1490&lt;&gt;"",IFERROR(INDEX(pl_eq,MATCH(F1490,pl_num,0))&amp;"",C1490)&lt;&gt;C1490),"Plan d'un autre équipement",IF(AND(J1490&lt;&gt;"",OR(NOT(ISNUMBER(J1490)),N(J1490)&lt;0)),"Compteur invalide",IF(OR(AND(K1490&lt;&gt;"",OR(NOT(ISNUMBER(K1490)),N(K1490)&lt;0)),AND(L1490&lt;&gt;"",OR(NOT(ISNUMBER(L1490)),N(L1490)&lt;0))),"Durée invalide",IF(OR(AND(N1490&lt;&gt;"",OR(NOT(ISNUMBER(N1490)),N(N1490)&lt;0)),AND(P1490&lt;&gt;"",OR(NOT(ISNUMBER(P1490)),N(P1490)&lt;0))),"Coût invalide",IF(AND(M1490&lt;&gt;"",ISNA(MATCH(M1490,tech_name,0))),"Technicien inconnu",IF(AND(I1490="Terminée",S1490&gt;p_today),"Terminée à une date future",IF(AND(I1490="Terminée",V1490=0),"Durée d'intervention manquante",IF(AND(I1490="Terminée",E1490="Préventif",T1490=0,OR(IFERROR(INDEX(pl_trig,MATCH(F1490,pl_num,0))&amp;"","")="Compteur",IFERROR(INDEX(pl_trig,MATCH(F1490,pl_num,0))&amp;"","")="Au premier des deux")),"Compteur manquant (plan au compteur)","OK"))))))))))))))))))</f>
        <v/>
      </c>
      <c r="S1490" s="67">
        <f>IF(AND(ISNUMBER(B1490),N(B1490)&gt;0),INT(B1490),0)</f>
        <v>0.0</v>
      </c>
      <c r="T1490" s="67">
        <f>IF(AND(ISNUMBER(J1490),N(J1490)&gt;=0),N(J1490),0)</f>
        <v>0.0</v>
      </c>
      <c r="U1490" s="67">
        <f>IF(AND(ISNUMBER(K1490),N(K1490)&gt;0),N(K1490),0)</f>
        <v>0.0</v>
      </c>
      <c r="V1490" s="67">
        <f>IF(AND(ISNUMBER(L1490),N(L1490)&gt;0),N(L1490),0)</f>
        <v>0.0</v>
      </c>
      <c r="W1490" s="67">
        <f>IF(AND(I1490="Terminée",S1490&gt;0,C1490&lt;&gt;"",ISNUMBER(MATCH(C1490,eq_code,0))),1,0)</f>
        <v>0.0</v>
      </c>
      <c r="X1490" s="67">
        <f>IF(AND(W1490=1,E1490="Préventif"),1,0)</f>
        <v>0.0</v>
      </c>
      <c r="Y1490" s="67">
        <f>IF(AND(ISNUMBER(N1490),N(N1490)&gt;0),N(N1490),0)</f>
        <v>0.0</v>
      </c>
      <c r="Z1490" s="67">
        <f>IF(AND(ISNUMBER(P1490),N(P1490)&gt;0),N(P1490),0)</f>
        <v>0.0</v>
      </c>
    </row>
    <row r="1491">
      <c r="A1491" s="79" t="str">
        <f>IF(COUNTA(B1491:C1491,E1491:G1491,I1491)=0,"","BI-"&amp;RIGHT("0000"&amp;(ROW()-5),4))</f>
        <v/>
      </c>
      <c r="B1491" s="72" t="n"/>
      <c r="C1491" s="66" t="n"/>
      <c r="D1491" s="67" t="str">
        <f>IF(C1491="","",IFERROR(INDEX(eq_des,MATCH(C1491,eq_code,0))&amp;"","Équipement inconnu"))</f>
        <v/>
      </c>
      <c r="E1491" s="68" t="n"/>
      <c r="F1491" s="68" t="n"/>
      <c r="G1491" s="66" t="n"/>
      <c r="H1491" s="66" t="n"/>
      <c r="I1491" s="68" t="n"/>
      <c r="J1491" s="73" t="n"/>
      <c r="K1491" s="71" t="n"/>
      <c r="L1491" s="71" t="n"/>
      <c r="M1491" s="66" t="n"/>
      <c r="N1491" s="80" t="n"/>
      <c r="O1491" s="81" t="str">
        <f>IF(A1491="","",ROUND(V1491*IFERROR(N(INDEX(tech_rate,MATCH(M1491,tech_name,0))),0),2))</f>
        <v/>
      </c>
      <c r="P1491" s="80" t="n"/>
      <c r="Q1491" s="81" t="str">
        <f>IF(A1491="","",ROUND(Y1491+O1491+Z1491,2))</f>
        <v/>
      </c>
      <c r="R1491" s="79" t="str">
        <f>IF(A1491="","",IF(S1491=0,"Date manquante ou invalide",IF(C1491="","Équipement manquant",IF(ISNA(MATCH(C1491,eq_code,0)),"Équipement inconnu",IF(E1491="","Type manquant",IF(AND(E1491&lt;&gt;"Préventif",E1491&lt;&gt;"Correctif",E1491&lt;&gt;"Amélioratif"),"Type inconnu",IF(I1491="","Statut manquant",IF(AND(I1491&lt;&gt;"Terminée",I1491&lt;&gt;"En cours",I1491&lt;&gt;"À faire",I1491&lt;&gt;"Annulée"),"Statut inconnu",IF(AND(E1491="Préventif",F1491=""),"Plan manquant (préventif)",IF(AND(F1491&lt;&gt;"",ISNA(MATCH(F1491,pl_num,0))),"Plan inconnu",IF(AND(F1491&lt;&gt;"",IFERROR(INDEX(pl_eq,MATCH(F1491,pl_num,0))&amp;"",C1491)&lt;&gt;C1491),"Plan d'un autre équipement",IF(AND(J1491&lt;&gt;"",OR(NOT(ISNUMBER(J1491)),N(J1491)&lt;0)),"Compteur invalide",IF(OR(AND(K1491&lt;&gt;"",OR(NOT(ISNUMBER(K1491)),N(K1491)&lt;0)),AND(L1491&lt;&gt;"",OR(NOT(ISNUMBER(L1491)),N(L1491)&lt;0))),"Durée invalide",IF(OR(AND(N1491&lt;&gt;"",OR(NOT(ISNUMBER(N1491)),N(N1491)&lt;0)),AND(P1491&lt;&gt;"",OR(NOT(ISNUMBER(P1491)),N(P1491)&lt;0))),"Coût invalide",IF(AND(M1491&lt;&gt;"",ISNA(MATCH(M1491,tech_name,0))),"Technicien inconnu",IF(AND(I1491="Terminée",S1491&gt;p_today),"Terminée à une date future",IF(AND(I1491="Terminée",V1491=0),"Durée d'intervention manquante",IF(AND(I1491="Terminée",E1491="Préventif",T1491=0,OR(IFERROR(INDEX(pl_trig,MATCH(F1491,pl_num,0))&amp;"","")="Compteur",IFERROR(INDEX(pl_trig,MATCH(F1491,pl_num,0))&amp;"","")="Au premier des deux")),"Compteur manquant (plan au compteur)","OK"))))))))))))))))))</f>
        <v/>
      </c>
      <c r="S1491" s="67">
        <f>IF(AND(ISNUMBER(B1491),N(B1491)&gt;0),INT(B1491),0)</f>
        <v>0.0</v>
      </c>
      <c r="T1491" s="67">
        <f>IF(AND(ISNUMBER(J1491),N(J1491)&gt;=0),N(J1491),0)</f>
        <v>0.0</v>
      </c>
      <c r="U1491" s="67">
        <f>IF(AND(ISNUMBER(K1491),N(K1491)&gt;0),N(K1491),0)</f>
        <v>0.0</v>
      </c>
      <c r="V1491" s="67">
        <f>IF(AND(ISNUMBER(L1491),N(L1491)&gt;0),N(L1491),0)</f>
        <v>0.0</v>
      </c>
      <c r="W1491" s="67">
        <f>IF(AND(I1491="Terminée",S1491&gt;0,C1491&lt;&gt;"",ISNUMBER(MATCH(C1491,eq_code,0))),1,0)</f>
        <v>0.0</v>
      </c>
      <c r="X1491" s="67">
        <f>IF(AND(W1491=1,E1491="Préventif"),1,0)</f>
        <v>0.0</v>
      </c>
      <c r="Y1491" s="67">
        <f>IF(AND(ISNUMBER(N1491),N(N1491)&gt;0),N(N1491),0)</f>
        <v>0.0</v>
      </c>
      <c r="Z1491" s="67">
        <f>IF(AND(ISNUMBER(P1491),N(P1491)&gt;0),N(P1491),0)</f>
        <v>0.0</v>
      </c>
    </row>
    <row r="1492">
      <c r="A1492" s="79" t="str">
        <f>IF(COUNTA(B1492:C1492,E1492:G1492,I1492)=0,"","BI-"&amp;RIGHT("0000"&amp;(ROW()-5),4))</f>
        <v/>
      </c>
      <c r="B1492" s="72" t="n"/>
      <c r="C1492" s="66" t="n"/>
      <c r="D1492" s="67" t="str">
        <f>IF(C1492="","",IFERROR(INDEX(eq_des,MATCH(C1492,eq_code,0))&amp;"","Équipement inconnu"))</f>
        <v/>
      </c>
      <c r="E1492" s="68" t="n"/>
      <c r="F1492" s="68" t="n"/>
      <c r="G1492" s="66" t="n"/>
      <c r="H1492" s="66" t="n"/>
      <c r="I1492" s="68" t="n"/>
      <c r="J1492" s="73" t="n"/>
      <c r="K1492" s="71" t="n"/>
      <c r="L1492" s="71" t="n"/>
      <c r="M1492" s="66" t="n"/>
      <c r="N1492" s="80" t="n"/>
      <c r="O1492" s="81" t="str">
        <f>IF(A1492="","",ROUND(V1492*IFERROR(N(INDEX(tech_rate,MATCH(M1492,tech_name,0))),0),2))</f>
        <v/>
      </c>
      <c r="P1492" s="80" t="n"/>
      <c r="Q1492" s="81" t="str">
        <f>IF(A1492="","",ROUND(Y1492+O1492+Z1492,2))</f>
        <v/>
      </c>
      <c r="R1492" s="79" t="str">
        <f>IF(A1492="","",IF(S1492=0,"Date manquante ou invalide",IF(C1492="","Équipement manquant",IF(ISNA(MATCH(C1492,eq_code,0)),"Équipement inconnu",IF(E1492="","Type manquant",IF(AND(E1492&lt;&gt;"Préventif",E1492&lt;&gt;"Correctif",E1492&lt;&gt;"Amélioratif"),"Type inconnu",IF(I1492="","Statut manquant",IF(AND(I1492&lt;&gt;"Terminée",I1492&lt;&gt;"En cours",I1492&lt;&gt;"À faire",I1492&lt;&gt;"Annulée"),"Statut inconnu",IF(AND(E1492="Préventif",F1492=""),"Plan manquant (préventif)",IF(AND(F1492&lt;&gt;"",ISNA(MATCH(F1492,pl_num,0))),"Plan inconnu",IF(AND(F1492&lt;&gt;"",IFERROR(INDEX(pl_eq,MATCH(F1492,pl_num,0))&amp;"",C1492)&lt;&gt;C1492),"Plan d'un autre équipement",IF(AND(J1492&lt;&gt;"",OR(NOT(ISNUMBER(J1492)),N(J1492)&lt;0)),"Compteur invalide",IF(OR(AND(K1492&lt;&gt;"",OR(NOT(ISNUMBER(K1492)),N(K1492)&lt;0)),AND(L1492&lt;&gt;"",OR(NOT(ISNUMBER(L1492)),N(L1492)&lt;0))),"Durée invalide",IF(OR(AND(N1492&lt;&gt;"",OR(NOT(ISNUMBER(N1492)),N(N1492)&lt;0)),AND(P1492&lt;&gt;"",OR(NOT(ISNUMBER(P1492)),N(P1492)&lt;0))),"Coût invalide",IF(AND(M1492&lt;&gt;"",ISNA(MATCH(M1492,tech_name,0))),"Technicien inconnu",IF(AND(I1492="Terminée",S1492&gt;p_today),"Terminée à une date future",IF(AND(I1492="Terminée",V1492=0),"Durée d'intervention manquante",IF(AND(I1492="Terminée",E1492="Préventif",T1492=0,OR(IFERROR(INDEX(pl_trig,MATCH(F1492,pl_num,0))&amp;"","")="Compteur",IFERROR(INDEX(pl_trig,MATCH(F1492,pl_num,0))&amp;"","")="Au premier des deux")),"Compteur manquant (plan au compteur)","OK"))))))))))))))))))</f>
        <v/>
      </c>
      <c r="S1492" s="67">
        <f>IF(AND(ISNUMBER(B1492),N(B1492)&gt;0),INT(B1492),0)</f>
        <v>0.0</v>
      </c>
      <c r="T1492" s="67">
        <f>IF(AND(ISNUMBER(J1492),N(J1492)&gt;=0),N(J1492),0)</f>
        <v>0.0</v>
      </c>
      <c r="U1492" s="67">
        <f>IF(AND(ISNUMBER(K1492),N(K1492)&gt;0),N(K1492),0)</f>
        <v>0.0</v>
      </c>
      <c r="V1492" s="67">
        <f>IF(AND(ISNUMBER(L1492),N(L1492)&gt;0),N(L1492),0)</f>
        <v>0.0</v>
      </c>
      <c r="W1492" s="67">
        <f>IF(AND(I1492="Terminée",S1492&gt;0,C1492&lt;&gt;"",ISNUMBER(MATCH(C1492,eq_code,0))),1,0)</f>
        <v>0.0</v>
      </c>
      <c r="X1492" s="67">
        <f>IF(AND(W1492=1,E1492="Préventif"),1,0)</f>
        <v>0.0</v>
      </c>
      <c r="Y1492" s="67">
        <f>IF(AND(ISNUMBER(N1492),N(N1492)&gt;0),N(N1492),0)</f>
        <v>0.0</v>
      </c>
      <c r="Z1492" s="67">
        <f>IF(AND(ISNUMBER(P1492),N(P1492)&gt;0),N(P1492),0)</f>
        <v>0.0</v>
      </c>
    </row>
    <row r="1493">
      <c r="A1493" s="79" t="str">
        <f>IF(COUNTA(B1493:C1493,E1493:G1493,I1493)=0,"","BI-"&amp;RIGHT("0000"&amp;(ROW()-5),4))</f>
        <v/>
      </c>
      <c r="B1493" s="72" t="n"/>
      <c r="C1493" s="66" t="n"/>
      <c r="D1493" s="67" t="str">
        <f>IF(C1493="","",IFERROR(INDEX(eq_des,MATCH(C1493,eq_code,0))&amp;"","Équipement inconnu"))</f>
        <v/>
      </c>
      <c r="E1493" s="68" t="n"/>
      <c r="F1493" s="68" t="n"/>
      <c r="G1493" s="66" t="n"/>
      <c r="H1493" s="66" t="n"/>
      <c r="I1493" s="68" t="n"/>
      <c r="J1493" s="73" t="n"/>
      <c r="K1493" s="71" t="n"/>
      <c r="L1493" s="71" t="n"/>
      <c r="M1493" s="66" t="n"/>
      <c r="N1493" s="80" t="n"/>
      <c r="O1493" s="81" t="str">
        <f>IF(A1493="","",ROUND(V1493*IFERROR(N(INDEX(tech_rate,MATCH(M1493,tech_name,0))),0),2))</f>
        <v/>
      </c>
      <c r="P1493" s="80" t="n"/>
      <c r="Q1493" s="81" t="str">
        <f>IF(A1493="","",ROUND(Y1493+O1493+Z1493,2))</f>
        <v/>
      </c>
      <c r="R1493" s="79" t="str">
        <f>IF(A1493="","",IF(S1493=0,"Date manquante ou invalide",IF(C1493="","Équipement manquant",IF(ISNA(MATCH(C1493,eq_code,0)),"Équipement inconnu",IF(E1493="","Type manquant",IF(AND(E1493&lt;&gt;"Préventif",E1493&lt;&gt;"Correctif",E1493&lt;&gt;"Amélioratif"),"Type inconnu",IF(I1493="","Statut manquant",IF(AND(I1493&lt;&gt;"Terminée",I1493&lt;&gt;"En cours",I1493&lt;&gt;"À faire",I1493&lt;&gt;"Annulée"),"Statut inconnu",IF(AND(E1493="Préventif",F1493=""),"Plan manquant (préventif)",IF(AND(F1493&lt;&gt;"",ISNA(MATCH(F1493,pl_num,0))),"Plan inconnu",IF(AND(F1493&lt;&gt;"",IFERROR(INDEX(pl_eq,MATCH(F1493,pl_num,0))&amp;"",C1493)&lt;&gt;C1493),"Plan d'un autre équipement",IF(AND(J1493&lt;&gt;"",OR(NOT(ISNUMBER(J1493)),N(J1493)&lt;0)),"Compteur invalide",IF(OR(AND(K1493&lt;&gt;"",OR(NOT(ISNUMBER(K1493)),N(K1493)&lt;0)),AND(L1493&lt;&gt;"",OR(NOT(ISNUMBER(L1493)),N(L1493)&lt;0))),"Durée invalide",IF(OR(AND(N1493&lt;&gt;"",OR(NOT(ISNUMBER(N1493)),N(N1493)&lt;0)),AND(P1493&lt;&gt;"",OR(NOT(ISNUMBER(P1493)),N(P1493)&lt;0))),"Coût invalide",IF(AND(M1493&lt;&gt;"",ISNA(MATCH(M1493,tech_name,0))),"Technicien inconnu",IF(AND(I1493="Terminée",S1493&gt;p_today),"Terminée à une date future",IF(AND(I1493="Terminée",V1493=0),"Durée d'intervention manquante",IF(AND(I1493="Terminée",E1493="Préventif",T1493=0,OR(IFERROR(INDEX(pl_trig,MATCH(F1493,pl_num,0))&amp;"","")="Compteur",IFERROR(INDEX(pl_trig,MATCH(F1493,pl_num,0))&amp;"","")="Au premier des deux")),"Compteur manquant (plan au compteur)","OK"))))))))))))))))))</f>
        <v/>
      </c>
      <c r="S1493" s="67">
        <f>IF(AND(ISNUMBER(B1493),N(B1493)&gt;0),INT(B1493),0)</f>
        <v>0.0</v>
      </c>
      <c r="T1493" s="67">
        <f>IF(AND(ISNUMBER(J1493),N(J1493)&gt;=0),N(J1493),0)</f>
        <v>0.0</v>
      </c>
      <c r="U1493" s="67">
        <f>IF(AND(ISNUMBER(K1493),N(K1493)&gt;0),N(K1493),0)</f>
        <v>0.0</v>
      </c>
      <c r="V1493" s="67">
        <f>IF(AND(ISNUMBER(L1493),N(L1493)&gt;0),N(L1493),0)</f>
        <v>0.0</v>
      </c>
      <c r="W1493" s="67">
        <f>IF(AND(I1493="Terminée",S1493&gt;0,C1493&lt;&gt;"",ISNUMBER(MATCH(C1493,eq_code,0))),1,0)</f>
        <v>0.0</v>
      </c>
      <c r="X1493" s="67">
        <f>IF(AND(W1493=1,E1493="Préventif"),1,0)</f>
        <v>0.0</v>
      </c>
      <c r="Y1493" s="67">
        <f>IF(AND(ISNUMBER(N1493),N(N1493)&gt;0),N(N1493),0)</f>
        <v>0.0</v>
      </c>
      <c r="Z1493" s="67">
        <f>IF(AND(ISNUMBER(P1493),N(P1493)&gt;0),N(P1493),0)</f>
        <v>0.0</v>
      </c>
    </row>
    <row r="1494">
      <c r="A1494" s="79" t="str">
        <f>IF(COUNTA(B1494:C1494,E1494:G1494,I1494)=0,"","BI-"&amp;RIGHT("0000"&amp;(ROW()-5),4))</f>
        <v/>
      </c>
      <c r="B1494" s="72" t="n"/>
      <c r="C1494" s="66" t="n"/>
      <c r="D1494" s="67" t="str">
        <f>IF(C1494="","",IFERROR(INDEX(eq_des,MATCH(C1494,eq_code,0))&amp;"","Équipement inconnu"))</f>
        <v/>
      </c>
      <c r="E1494" s="68" t="n"/>
      <c r="F1494" s="68" t="n"/>
      <c r="G1494" s="66" t="n"/>
      <c r="H1494" s="66" t="n"/>
      <c r="I1494" s="68" t="n"/>
      <c r="J1494" s="73" t="n"/>
      <c r="K1494" s="71" t="n"/>
      <c r="L1494" s="71" t="n"/>
      <c r="M1494" s="66" t="n"/>
      <c r="N1494" s="80" t="n"/>
      <c r="O1494" s="81" t="str">
        <f>IF(A1494="","",ROUND(V1494*IFERROR(N(INDEX(tech_rate,MATCH(M1494,tech_name,0))),0),2))</f>
        <v/>
      </c>
      <c r="P1494" s="80" t="n"/>
      <c r="Q1494" s="81" t="str">
        <f>IF(A1494="","",ROUND(Y1494+O1494+Z1494,2))</f>
        <v/>
      </c>
      <c r="R1494" s="79" t="str">
        <f>IF(A1494="","",IF(S1494=0,"Date manquante ou invalide",IF(C1494="","Équipement manquant",IF(ISNA(MATCH(C1494,eq_code,0)),"Équipement inconnu",IF(E1494="","Type manquant",IF(AND(E1494&lt;&gt;"Préventif",E1494&lt;&gt;"Correctif",E1494&lt;&gt;"Amélioratif"),"Type inconnu",IF(I1494="","Statut manquant",IF(AND(I1494&lt;&gt;"Terminée",I1494&lt;&gt;"En cours",I1494&lt;&gt;"À faire",I1494&lt;&gt;"Annulée"),"Statut inconnu",IF(AND(E1494="Préventif",F1494=""),"Plan manquant (préventif)",IF(AND(F1494&lt;&gt;"",ISNA(MATCH(F1494,pl_num,0))),"Plan inconnu",IF(AND(F1494&lt;&gt;"",IFERROR(INDEX(pl_eq,MATCH(F1494,pl_num,0))&amp;"",C1494)&lt;&gt;C1494),"Plan d'un autre équipement",IF(AND(J1494&lt;&gt;"",OR(NOT(ISNUMBER(J1494)),N(J1494)&lt;0)),"Compteur invalide",IF(OR(AND(K1494&lt;&gt;"",OR(NOT(ISNUMBER(K1494)),N(K1494)&lt;0)),AND(L1494&lt;&gt;"",OR(NOT(ISNUMBER(L1494)),N(L1494)&lt;0))),"Durée invalide",IF(OR(AND(N1494&lt;&gt;"",OR(NOT(ISNUMBER(N1494)),N(N1494)&lt;0)),AND(P1494&lt;&gt;"",OR(NOT(ISNUMBER(P1494)),N(P1494)&lt;0))),"Coût invalide",IF(AND(M1494&lt;&gt;"",ISNA(MATCH(M1494,tech_name,0))),"Technicien inconnu",IF(AND(I1494="Terminée",S1494&gt;p_today),"Terminée à une date future",IF(AND(I1494="Terminée",V1494=0),"Durée d'intervention manquante",IF(AND(I1494="Terminée",E1494="Préventif",T1494=0,OR(IFERROR(INDEX(pl_trig,MATCH(F1494,pl_num,0))&amp;"","")="Compteur",IFERROR(INDEX(pl_trig,MATCH(F1494,pl_num,0))&amp;"","")="Au premier des deux")),"Compteur manquant (plan au compteur)","OK"))))))))))))))))))</f>
        <v/>
      </c>
      <c r="S1494" s="67">
        <f>IF(AND(ISNUMBER(B1494),N(B1494)&gt;0),INT(B1494),0)</f>
        <v>0.0</v>
      </c>
      <c r="T1494" s="67">
        <f>IF(AND(ISNUMBER(J1494),N(J1494)&gt;=0),N(J1494),0)</f>
        <v>0.0</v>
      </c>
      <c r="U1494" s="67">
        <f>IF(AND(ISNUMBER(K1494),N(K1494)&gt;0),N(K1494),0)</f>
        <v>0.0</v>
      </c>
      <c r="V1494" s="67">
        <f>IF(AND(ISNUMBER(L1494),N(L1494)&gt;0),N(L1494),0)</f>
        <v>0.0</v>
      </c>
      <c r="W1494" s="67">
        <f>IF(AND(I1494="Terminée",S1494&gt;0,C1494&lt;&gt;"",ISNUMBER(MATCH(C1494,eq_code,0))),1,0)</f>
        <v>0.0</v>
      </c>
      <c r="X1494" s="67">
        <f>IF(AND(W1494=1,E1494="Préventif"),1,0)</f>
        <v>0.0</v>
      </c>
      <c r="Y1494" s="67">
        <f>IF(AND(ISNUMBER(N1494),N(N1494)&gt;0),N(N1494),0)</f>
        <v>0.0</v>
      </c>
      <c r="Z1494" s="67">
        <f>IF(AND(ISNUMBER(P1494),N(P1494)&gt;0),N(P1494),0)</f>
        <v>0.0</v>
      </c>
    </row>
    <row r="1495">
      <c r="A1495" s="79" t="str">
        <f>IF(COUNTA(B1495:C1495,E1495:G1495,I1495)=0,"","BI-"&amp;RIGHT("0000"&amp;(ROW()-5),4))</f>
        <v/>
      </c>
      <c r="B1495" s="72" t="n"/>
      <c r="C1495" s="66" t="n"/>
      <c r="D1495" s="67" t="str">
        <f>IF(C1495="","",IFERROR(INDEX(eq_des,MATCH(C1495,eq_code,0))&amp;"","Équipement inconnu"))</f>
        <v/>
      </c>
      <c r="E1495" s="68" t="n"/>
      <c r="F1495" s="68" t="n"/>
      <c r="G1495" s="66" t="n"/>
      <c r="H1495" s="66" t="n"/>
      <c r="I1495" s="68" t="n"/>
      <c r="J1495" s="73" t="n"/>
      <c r="K1495" s="71" t="n"/>
      <c r="L1495" s="71" t="n"/>
      <c r="M1495" s="66" t="n"/>
      <c r="N1495" s="80" t="n"/>
      <c r="O1495" s="81" t="str">
        <f>IF(A1495="","",ROUND(V1495*IFERROR(N(INDEX(tech_rate,MATCH(M1495,tech_name,0))),0),2))</f>
        <v/>
      </c>
      <c r="P1495" s="80" t="n"/>
      <c r="Q1495" s="81" t="str">
        <f>IF(A1495="","",ROUND(Y1495+O1495+Z1495,2))</f>
        <v/>
      </c>
      <c r="R1495" s="79" t="str">
        <f>IF(A1495="","",IF(S1495=0,"Date manquante ou invalide",IF(C1495="","Équipement manquant",IF(ISNA(MATCH(C1495,eq_code,0)),"Équipement inconnu",IF(E1495="","Type manquant",IF(AND(E1495&lt;&gt;"Préventif",E1495&lt;&gt;"Correctif",E1495&lt;&gt;"Amélioratif"),"Type inconnu",IF(I1495="","Statut manquant",IF(AND(I1495&lt;&gt;"Terminée",I1495&lt;&gt;"En cours",I1495&lt;&gt;"À faire",I1495&lt;&gt;"Annulée"),"Statut inconnu",IF(AND(E1495="Préventif",F1495=""),"Plan manquant (préventif)",IF(AND(F1495&lt;&gt;"",ISNA(MATCH(F1495,pl_num,0))),"Plan inconnu",IF(AND(F1495&lt;&gt;"",IFERROR(INDEX(pl_eq,MATCH(F1495,pl_num,0))&amp;"",C1495)&lt;&gt;C1495),"Plan d'un autre équipement",IF(AND(J1495&lt;&gt;"",OR(NOT(ISNUMBER(J1495)),N(J1495)&lt;0)),"Compteur invalide",IF(OR(AND(K1495&lt;&gt;"",OR(NOT(ISNUMBER(K1495)),N(K1495)&lt;0)),AND(L1495&lt;&gt;"",OR(NOT(ISNUMBER(L1495)),N(L1495)&lt;0))),"Durée invalide",IF(OR(AND(N1495&lt;&gt;"",OR(NOT(ISNUMBER(N1495)),N(N1495)&lt;0)),AND(P1495&lt;&gt;"",OR(NOT(ISNUMBER(P1495)),N(P1495)&lt;0))),"Coût invalide",IF(AND(M1495&lt;&gt;"",ISNA(MATCH(M1495,tech_name,0))),"Technicien inconnu",IF(AND(I1495="Terminée",S1495&gt;p_today),"Terminée à une date future",IF(AND(I1495="Terminée",V1495=0),"Durée d'intervention manquante",IF(AND(I1495="Terminée",E1495="Préventif",T1495=0,OR(IFERROR(INDEX(pl_trig,MATCH(F1495,pl_num,0))&amp;"","")="Compteur",IFERROR(INDEX(pl_trig,MATCH(F1495,pl_num,0))&amp;"","")="Au premier des deux")),"Compteur manquant (plan au compteur)","OK"))))))))))))))))))</f>
        <v/>
      </c>
      <c r="S1495" s="67">
        <f>IF(AND(ISNUMBER(B1495),N(B1495)&gt;0),INT(B1495),0)</f>
        <v>0.0</v>
      </c>
      <c r="T1495" s="67">
        <f>IF(AND(ISNUMBER(J1495),N(J1495)&gt;=0),N(J1495),0)</f>
        <v>0.0</v>
      </c>
      <c r="U1495" s="67">
        <f>IF(AND(ISNUMBER(K1495),N(K1495)&gt;0),N(K1495),0)</f>
        <v>0.0</v>
      </c>
      <c r="V1495" s="67">
        <f>IF(AND(ISNUMBER(L1495),N(L1495)&gt;0),N(L1495),0)</f>
        <v>0.0</v>
      </c>
      <c r="W1495" s="67">
        <f>IF(AND(I1495="Terminée",S1495&gt;0,C1495&lt;&gt;"",ISNUMBER(MATCH(C1495,eq_code,0))),1,0)</f>
        <v>0.0</v>
      </c>
      <c r="X1495" s="67">
        <f>IF(AND(W1495=1,E1495="Préventif"),1,0)</f>
        <v>0.0</v>
      </c>
      <c r="Y1495" s="67">
        <f>IF(AND(ISNUMBER(N1495),N(N1495)&gt;0),N(N1495),0)</f>
        <v>0.0</v>
      </c>
      <c r="Z1495" s="67">
        <f>IF(AND(ISNUMBER(P1495),N(P1495)&gt;0),N(P1495),0)</f>
        <v>0.0</v>
      </c>
    </row>
    <row r="1496">
      <c r="A1496" s="79" t="str">
        <f>IF(COUNTA(B1496:C1496,E1496:G1496,I1496)=0,"","BI-"&amp;RIGHT("0000"&amp;(ROW()-5),4))</f>
        <v/>
      </c>
      <c r="B1496" s="72" t="n"/>
      <c r="C1496" s="66" t="n"/>
      <c r="D1496" s="67" t="str">
        <f>IF(C1496="","",IFERROR(INDEX(eq_des,MATCH(C1496,eq_code,0))&amp;"","Équipement inconnu"))</f>
        <v/>
      </c>
      <c r="E1496" s="68" t="n"/>
      <c r="F1496" s="68" t="n"/>
      <c r="G1496" s="66" t="n"/>
      <c r="H1496" s="66" t="n"/>
      <c r="I1496" s="68" t="n"/>
      <c r="J1496" s="73" t="n"/>
      <c r="K1496" s="71" t="n"/>
      <c r="L1496" s="71" t="n"/>
      <c r="M1496" s="66" t="n"/>
      <c r="N1496" s="80" t="n"/>
      <c r="O1496" s="81" t="str">
        <f>IF(A1496="","",ROUND(V1496*IFERROR(N(INDEX(tech_rate,MATCH(M1496,tech_name,0))),0),2))</f>
        <v/>
      </c>
      <c r="P1496" s="80" t="n"/>
      <c r="Q1496" s="81" t="str">
        <f>IF(A1496="","",ROUND(Y1496+O1496+Z1496,2))</f>
        <v/>
      </c>
      <c r="R1496" s="79" t="str">
        <f>IF(A1496="","",IF(S1496=0,"Date manquante ou invalide",IF(C1496="","Équipement manquant",IF(ISNA(MATCH(C1496,eq_code,0)),"Équipement inconnu",IF(E1496="","Type manquant",IF(AND(E1496&lt;&gt;"Préventif",E1496&lt;&gt;"Correctif",E1496&lt;&gt;"Amélioratif"),"Type inconnu",IF(I1496="","Statut manquant",IF(AND(I1496&lt;&gt;"Terminée",I1496&lt;&gt;"En cours",I1496&lt;&gt;"À faire",I1496&lt;&gt;"Annulée"),"Statut inconnu",IF(AND(E1496="Préventif",F1496=""),"Plan manquant (préventif)",IF(AND(F1496&lt;&gt;"",ISNA(MATCH(F1496,pl_num,0))),"Plan inconnu",IF(AND(F1496&lt;&gt;"",IFERROR(INDEX(pl_eq,MATCH(F1496,pl_num,0))&amp;"",C1496)&lt;&gt;C1496),"Plan d'un autre équipement",IF(AND(J1496&lt;&gt;"",OR(NOT(ISNUMBER(J1496)),N(J1496)&lt;0)),"Compteur invalide",IF(OR(AND(K1496&lt;&gt;"",OR(NOT(ISNUMBER(K1496)),N(K1496)&lt;0)),AND(L1496&lt;&gt;"",OR(NOT(ISNUMBER(L1496)),N(L1496)&lt;0))),"Durée invalide",IF(OR(AND(N1496&lt;&gt;"",OR(NOT(ISNUMBER(N1496)),N(N1496)&lt;0)),AND(P1496&lt;&gt;"",OR(NOT(ISNUMBER(P1496)),N(P1496)&lt;0))),"Coût invalide",IF(AND(M1496&lt;&gt;"",ISNA(MATCH(M1496,tech_name,0))),"Technicien inconnu",IF(AND(I1496="Terminée",S1496&gt;p_today),"Terminée à une date future",IF(AND(I1496="Terminée",V1496=0),"Durée d'intervention manquante",IF(AND(I1496="Terminée",E1496="Préventif",T1496=0,OR(IFERROR(INDEX(pl_trig,MATCH(F1496,pl_num,0))&amp;"","")="Compteur",IFERROR(INDEX(pl_trig,MATCH(F1496,pl_num,0))&amp;"","")="Au premier des deux")),"Compteur manquant (plan au compteur)","OK"))))))))))))))))))</f>
        <v/>
      </c>
      <c r="S1496" s="67">
        <f>IF(AND(ISNUMBER(B1496),N(B1496)&gt;0),INT(B1496),0)</f>
        <v>0.0</v>
      </c>
      <c r="T1496" s="67">
        <f>IF(AND(ISNUMBER(J1496),N(J1496)&gt;=0),N(J1496),0)</f>
        <v>0.0</v>
      </c>
      <c r="U1496" s="67">
        <f>IF(AND(ISNUMBER(K1496),N(K1496)&gt;0),N(K1496),0)</f>
        <v>0.0</v>
      </c>
      <c r="V1496" s="67">
        <f>IF(AND(ISNUMBER(L1496),N(L1496)&gt;0),N(L1496),0)</f>
        <v>0.0</v>
      </c>
      <c r="W1496" s="67">
        <f>IF(AND(I1496="Terminée",S1496&gt;0,C1496&lt;&gt;"",ISNUMBER(MATCH(C1496,eq_code,0))),1,0)</f>
        <v>0.0</v>
      </c>
      <c r="X1496" s="67">
        <f>IF(AND(W1496=1,E1496="Préventif"),1,0)</f>
        <v>0.0</v>
      </c>
      <c r="Y1496" s="67">
        <f>IF(AND(ISNUMBER(N1496),N(N1496)&gt;0),N(N1496),0)</f>
        <v>0.0</v>
      </c>
      <c r="Z1496" s="67">
        <f>IF(AND(ISNUMBER(P1496),N(P1496)&gt;0),N(P1496),0)</f>
        <v>0.0</v>
      </c>
    </row>
    <row r="1497">
      <c r="A1497" s="79" t="str">
        <f>IF(COUNTA(B1497:C1497,E1497:G1497,I1497)=0,"","BI-"&amp;RIGHT("0000"&amp;(ROW()-5),4))</f>
        <v/>
      </c>
      <c r="B1497" s="72" t="n"/>
      <c r="C1497" s="66" t="n"/>
      <c r="D1497" s="67" t="str">
        <f>IF(C1497="","",IFERROR(INDEX(eq_des,MATCH(C1497,eq_code,0))&amp;"","Équipement inconnu"))</f>
        <v/>
      </c>
      <c r="E1497" s="68" t="n"/>
      <c r="F1497" s="68" t="n"/>
      <c r="G1497" s="66" t="n"/>
      <c r="H1497" s="66" t="n"/>
      <c r="I1497" s="68" t="n"/>
      <c r="J1497" s="73" t="n"/>
      <c r="K1497" s="71" t="n"/>
      <c r="L1497" s="71" t="n"/>
      <c r="M1497" s="66" t="n"/>
      <c r="N1497" s="80" t="n"/>
      <c r="O1497" s="81" t="str">
        <f>IF(A1497="","",ROUND(V1497*IFERROR(N(INDEX(tech_rate,MATCH(M1497,tech_name,0))),0),2))</f>
        <v/>
      </c>
      <c r="P1497" s="80" t="n"/>
      <c r="Q1497" s="81" t="str">
        <f>IF(A1497="","",ROUND(Y1497+O1497+Z1497,2))</f>
        <v/>
      </c>
      <c r="R1497" s="79" t="str">
        <f>IF(A1497="","",IF(S1497=0,"Date manquante ou invalide",IF(C1497="","Équipement manquant",IF(ISNA(MATCH(C1497,eq_code,0)),"Équipement inconnu",IF(E1497="","Type manquant",IF(AND(E1497&lt;&gt;"Préventif",E1497&lt;&gt;"Correctif",E1497&lt;&gt;"Amélioratif"),"Type inconnu",IF(I1497="","Statut manquant",IF(AND(I1497&lt;&gt;"Terminée",I1497&lt;&gt;"En cours",I1497&lt;&gt;"À faire",I1497&lt;&gt;"Annulée"),"Statut inconnu",IF(AND(E1497="Préventif",F1497=""),"Plan manquant (préventif)",IF(AND(F1497&lt;&gt;"",ISNA(MATCH(F1497,pl_num,0))),"Plan inconnu",IF(AND(F1497&lt;&gt;"",IFERROR(INDEX(pl_eq,MATCH(F1497,pl_num,0))&amp;"",C1497)&lt;&gt;C1497),"Plan d'un autre équipement",IF(AND(J1497&lt;&gt;"",OR(NOT(ISNUMBER(J1497)),N(J1497)&lt;0)),"Compteur invalide",IF(OR(AND(K1497&lt;&gt;"",OR(NOT(ISNUMBER(K1497)),N(K1497)&lt;0)),AND(L1497&lt;&gt;"",OR(NOT(ISNUMBER(L1497)),N(L1497)&lt;0))),"Durée invalide",IF(OR(AND(N1497&lt;&gt;"",OR(NOT(ISNUMBER(N1497)),N(N1497)&lt;0)),AND(P1497&lt;&gt;"",OR(NOT(ISNUMBER(P1497)),N(P1497)&lt;0))),"Coût invalide",IF(AND(M1497&lt;&gt;"",ISNA(MATCH(M1497,tech_name,0))),"Technicien inconnu",IF(AND(I1497="Terminée",S1497&gt;p_today),"Terminée à une date future",IF(AND(I1497="Terminée",V1497=0),"Durée d'intervention manquante",IF(AND(I1497="Terminée",E1497="Préventif",T1497=0,OR(IFERROR(INDEX(pl_trig,MATCH(F1497,pl_num,0))&amp;"","")="Compteur",IFERROR(INDEX(pl_trig,MATCH(F1497,pl_num,0))&amp;"","")="Au premier des deux")),"Compteur manquant (plan au compteur)","OK"))))))))))))))))))</f>
        <v/>
      </c>
      <c r="S1497" s="67">
        <f>IF(AND(ISNUMBER(B1497),N(B1497)&gt;0),INT(B1497),0)</f>
        <v>0.0</v>
      </c>
      <c r="T1497" s="67">
        <f>IF(AND(ISNUMBER(J1497),N(J1497)&gt;=0),N(J1497),0)</f>
        <v>0.0</v>
      </c>
      <c r="U1497" s="67">
        <f>IF(AND(ISNUMBER(K1497),N(K1497)&gt;0),N(K1497),0)</f>
        <v>0.0</v>
      </c>
      <c r="V1497" s="67">
        <f>IF(AND(ISNUMBER(L1497),N(L1497)&gt;0),N(L1497),0)</f>
        <v>0.0</v>
      </c>
      <c r="W1497" s="67">
        <f>IF(AND(I1497="Terminée",S1497&gt;0,C1497&lt;&gt;"",ISNUMBER(MATCH(C1497,eq_code,0))),1,0)</f>
        <v>0.0</v>
      </c>
      <c r="X1497" s="67">
        <f>IF(AND(W1497=1,E1497="Préventif"),1,0)</f>
        <v>0.0</v>
      </c>
      <c r="Y1497" s="67">
        <f>IF(AND(ISNUMBER(N1497),N(N1497)&gt;0),N(N1497),0)</f>
        <v>0.0</v>
      </c>
      <c r="Z1497" s="67">
        <f>IF(AND(ISNUMBER(P1497),N(P1497)&gt;0),N(P1497),0)</f>
        <v>0.0</v>
      </c>
    </row>
    <row r="1498">
      <c r="A1498" s="79" t="str">
        <f>IF(COUNTA(B1498:C1498,E1498:G1498,I1498)=0,"","BI-"&amp;RIGHT("0000"&amp;(ROW()-5),4))</f>
        <v/>
      </c>
      <c r="B1498" s="72" t="n"/>
      <c r="C1498" s="66" t="n"/>
      <c r="D1498" s="67" t="str">
        <f>IF(C1498="","",IFERROR(INDEX(eq_des,MATCH(C1498,eq_code,0))&amp;"","Équipement inconnu"))</f>
        <v/>
      </c>
      <c r="E1498" s="68" t="n"/>
      <c r="F1498" s="68" t="n"/>
      <c r="G1498" s="66" t="n"/>
      <c r="H1498" s="66" t="n"/>
      <c r="I1498" s="68" t="n"/>
      <c r="J1498" s="73" t="n"/>
      <c r="K1498" s="71" t="n"/>
      <c r="L1498" s="71" t="n"/>
      <c r="M1498" s="66" t="n"/>
      <c r="N1498" s="80" t="n"/>
      <c r="O1498" s="81" t="str">
        <f>IF(A1498="","",ROUND(V1498*IFERROR(N(INDEX(tech_rate,MATCH(M1498,tech_name,0))),0),2))</f>
        <v/>
      </c>
      <c r="P1498" s="80" t="n"/>
      <c r="Q1498" s="81" t="str">
        <f>IF(A1498="","",ROUND(Y1498+O1498+Z1498,2))</f>
        <v/>
      </c>
      <c r="R1498" s="79" t="str">
        <f>IF(A1498="","",IF(S1498=0,"Date manquante ou invalide",IF(C1498="","Équipement manquant",IF(ISNA(MATCH(C1498,eq_code,0)),"Équipement inconnu",IF(E1498="","Type manquant",IF(AND(E1498&lt;&gt;"Préventif",E1498&lt;&gt;"Correctif",E1498&lt;&gt;"Amélioratif"),"Type inconnu",IF(I1498="","Statut manquant",IF(AND(I1498&lt;&gt;"Terminée",I1498&lt;&gt;"En cours",I1498&lt;&gt;"À faire",I1498&lt;&gt;"Annulée"),"Statut inconnu",IF(AND(E1498="Préventif",F1498=""),"Plan manquant (préventif)",IF(AND(F1498&lt;&gt;"",ISNA(MATCH(F1498,pl_num,0))),"Plan inconnu",IF(AND(F1498&lt;&gt;"",IFERROR(INDEX(pl_eq,MATCH(F1498,pl_num,0))&amp;"",C1498)&lt;&gt;C1498),"Plan d'un autre équipement",IF(AND(J1498&lt;&gt;"",OR(NOT(ISNUMBER(J1498)),N(J1498)&lt;0)),"Compteur invalide",IF(OR(AND(K1498&lt;&gt;"",OR(NOT(ISNUMBER(K1498)),N(K1498)&lt;0)),AND(L1498&lt;&gt;"",OR(NOT(ISNUMBER(L1498)),N(L1498)&lt;0))),"Durée invalide",IF(OR(AND(N1498&lt;&gt;"",OR(NOT(ISNUMBER(N1498)),N(N1498)&lt;0)),AND(P1498&lt;&gt;"",OR(NOT(ISNUMBER(P1498)),N(P1498)&lt;0))),"Coût invalide",IF(AND(M1498&lt;&gt;"",ISNA(MATCH(M1498,tech_name,0))),"Technicien inconnu",IF(AND(I1498="Terminée",S1498&gt;p_today),"Terminée à une date future",IF(AND(I1498="Terminée",V1498=0),"Durée d'intervention manquante",IF(AND(I1498="Terminée",E1498="Préventif",T1498=0,OR(IFERROR(INDEX(pl_trig,MATCH(F1498,pl_num,0))&amp;"","")="Compteur",IFERROR(INDEX(pl_trig,MATCH(F1498,pl_num,0))&amp;"","")="Au premier des deux")),"Compteur manquant (plan au compteur)","OK"))))))))))))))))))</f>
        <v/>
      </c>
      <c r="S1498" s="67">
        <f>IF(AND(ISNUMBER(B1498),N(B1498)&gt;0),INT(B1498),0)</f>
        <v>0.0</v>
      </c>
      <c r="T1498" s="67">
        <f>IF(AND(ISNUMBER(J1498),N(J1498)&gt;=0),N(J1498),0)</f>
        <v>0.0</v>
      </c>
      <c r="U1498" s="67">
        <f>IF(AND(ISNUMBER(K1498),N(K1498)&gt;0),N(K1498),0)</f>
        <v>0.0</v>
      </c>
      <c r="V1498" s="67">
        <f>IF(AND(ISNUMBER(L1498),N(L1498)&gt;0),N(L1498),0)</f>
        <v>0.0</v>
      </c>
      <c r="W1498" s="67">
        <f>IF(AND(I1498="Terminée",S1498&gt;0,C1498&lt;&gt;"",ISNUMBER(MATCH(C1498,eq_code,0))),1,0)</f>
        <v>0.0</v>
      </c>
      <c r="X1498" s="67">
        <f>IF(AND(W1498=1,E1498="Préventif"),1,0)</f>
        <v>0.0</v>
      </c>
      <c r="Y1498" s="67">
        <f>IF(AND(ISNUMBER(N1498),N(N1498)&gt;0),N(N1498),0)</f>
        <v>0.0</v>
      </c>
      <c r="Z1498" s="67">
        <f>IF(AND(ISNUMBER(P1498),N(P1498)&gt;0),N(P1498),0)</f>
        <v>0.0</v>
      </c>
    </row>
    <row r="1499">
      <c r="A1499" s="79" t="str">
        <f>IF(COUNTA(B1499:C1499,E1499:G1499,I1499)=0,"","BI-"&amp;RIGHT("0000"&amp;(ROW()-5),4))</f>
        <v/>
      </c>
      <c r="B1499" s="72" t="n"/>
      <c r="C1499" s="66" t="n"/>
      <c r="D1499" s="67" t="str">
        <f>IF(C1499="","",IFERROR(INDEX(eq_des,MATCH(C1499,eq_code,0))&amp;"","Équipement inconnu"))</f>
        <v/>
      </c>
      <c r="E1499" s="68" t="n"/>
      <c r="F1499" s="68" t="n"/>
      <c r="G1499" s="66" t="n"/>
      <c r="H1499" s="66" t="n"/>
      <c r="I1499" s="68" t="n"/>
      <c r="J1499" s="73" t="n"/>
      <c r="K1499" s="71" t="n"/>
      <c r="L1499" s="71" t="n"/>
      <c r="M1499" s="66" t="n"/>
      <c r="N1499" s="80" t="n"/>
      <c r="O1499" s="81" t="str">
        <f>IF(A1499="","",ROUND(V1499*IFERROR(N(INDEX(tech_rate,MATCH(M1499,tech_name,0))),0),2))</f>
        <v/>
      </c>
      <c r="P1499" s="80" t="n"/>
      <c r="Q1499" s="81" t="str">
        <f>IF(A1499="","",ROUND(Y1499+O1499+Z1499,2))</f>
        <v/>
      </c>
      <c r="R1499" s="79" t="str">
        <f>IF(A1499="","",IF(S1499=0,"Date manquante ou invalide",IF(C1499="","Équipement manquant",IF(ISNA(MATCH(C1499,eq_code,0)),"Équipement inconnu",IF(E1499="","Type manquant",IF(AND(E1499&lt;&gt;"Préventif",E1499&lt;&gt;"Correctif",E1499&lt;&gt;"Amélioratif"),"Type inconnu",IF(I1499="","Statut manquant",IF(AND(I1499&lt;&gt;"Terminée",I1499&lt;&gt;"En cours",I1499&lt;&gt;"À faire",I1499&lt;&gt;"Annulée"),"Statut inconnu",IF(AND(E1499="Préventif",F1499=""),"Plan manquant (préventif)",IF(AND(F1499&lt;&gt;"",ISNA(MATCH(F1499,pl_num,0))),"Plan inconnu",IF(AND(F1499&lt;&gt;"",IFERROR(INDEX(pl_eq,MATCH(F1499,pl_num,0))&amp;"",C1499)&lt;&gt;C1499),"Plan d'un autre équipement",IF(AND(J1499&lt;&gt;"",OR(NOT(ISNUMBER(J1499)),N(J1499)&lt;0)),"Compteur invalide",IF(OR(AND(K1499&lt;&gt;"",OR(NOT(ISNUMBER(K1499)),N(K1499)&lt;0)),AND(L1499&lt;&gt;"",OR(NOT(ISNUMBER(L1499)),N(L1499)&lt;0))),"Durée invalide",IF(OR(AND(N1499&lt;&gt;"",OR(NOT(ISNUMBER(N1499)),N(N1499)&lt;0)),AND(P1499&lt;&gt;"",OR(NOT(ISNUMBER(P1499)),N(P1499)&lt;0))),"Coût invalide",IF(AND(M1499&lt;&gt;"",ISNA(MATCH(M1499,tech_name,0))),"Technicien inconnu",IF(AND(I1499="Terminée",S1499&gt;p_today),"Terminée à une date future",IF(AND(I1499="Terminée",V1499=0),"Durée d'intervention manquante",IF(AND(I1499="Terminée",E1499="Préventif",T1499=0,OR(IFERROR(INDEX(pl_trig,MATCH(F1499,pl_num,0))&amp;"","")="Compteur",IFERROR(INDEX(pl_trig,MATCH(F1499,pl_num,0))&amp;"","")="Au premier des deux")),"Compteur manquant (plan au compteur)","OK"))))))))))))))))))</f>
        <v/>
      </c>
      <c r="S1499" s="67">
        <f>IF(AND(ISNUMBER(B1499),N(B1499)&gt;0),INT(B1499),0)</f>
        <v>0.0</v>
      </c>
      <c r="T1499" s="67">
        <f>IF(AND(ISNUMBER(J1499),N(J1499)&gt;=0),N(J1499),0)</f>
        <v>0.0</v>
      </c>
      <c r="U1499" s="67">
        <f>IF(AND(ISNUMBER(K1499),N(K1499)&gt;0),N(K1499),0)</f>
        <v>0.0</v>
      </c>
      <c r="V1499" s="67">
        <f>IF(AND(ISNUMBER(L1499),N(L1499)&gt;0),N(L1499),0)</f>
        <v>0.0</v>
      </c>
      <c r="W1499" s="67">
        <f>IF(AND(I1499="Terminée",S1499&gt;0,C1499&lt;&gt;"",ISNUMBER(MATCH(C1499,eq_code,0))),1,0)</f>
        <v>0.0</v>
      </c>
      <c r="X1499" s="67">
        <f>IF(AND(W1499=1,E1499="Préventif"),1,0)</f>
        <v>0.0</v>
      </c>
      <c r="Y1499" s="67">
        <f>IF(AND(ISNUMBER(N1499),N(N1499)&gt;0),N(N1499),0)</f>
        <v>0.0</v>
      </c>
      <c r="Z1499" s="67">
        <f>IF(AND(ISNUMBER(P1499),N(P1499)&gt;0),N(P1499),0)</f>
        <v>0.0</v>
      </c>
    </row>
    <row r="1500">
      <c r="A1500" s="79" t="str">
        <f>IF(COUNTA(B1500:C1500,E1500:G1500,I1500)=0,"","BI-"&amp;RIGHT("0000"&amp;(ROW()-5),4))</f>
        <v/>
      </c>
      <c r="B1500" s="72" t="n"/>
      <c r="C1500" s="66" t="n"/>
      <c r="D1500" s="67" t="str">
        <f>IF(C1500="","",IFERROR(INDEX(eq_des,MATCH(C1500,eq_code,0))&amp;"","Équipement inconnu"))</f>
        <v/>
      </c>
      <c r="E1500" s="68" t="n"/>
      <c r="F1500" s="68" t="n"/>
      <c r="G1500" s="66" t="n"/>
      <c r="H1500" s="66" t="n"/>
      <c r="I1500" s="68" t="n"/>
      <c r="J1500" s="73" t="n"/>
      <c r="K1500" s="71" t="n"/>
      <c r="L1500" s="71" t="n"/>
      <c r="M1500" s="66" t="n"/>
      <c r="N1500" s="80" t="n"/>
      <c r="O1500" s="81" t="str">
        <f>IF(A1500="","",ROUND(V1500*IFERROR(N(INDEX(tech_rate,MATCH(M1500,tech_name,0))),0),2))</f>
        <v/>
      </c>
      <c r="P1500" s="80" t="n"/>
      <c r="Q1500" s="81" t="str">
        <f>IF(A1500="","",ROUND(Y1500+O1500+Z1500,2))</f>
        <v/>
      </c>
      <c r="R1500" s="79" t="str">
        <f>IF(A1500="","",IF(S1500=0,"Date manquante ou invalide",IF(C1500="","Équipement manquant",IF(ISNA(MATCH(C1500,eq_code,0)),"Équipement inconnu",IF(E1500="","Type manquant",IF(AND(E1500&lt;&gt;"Préventif",E1500&lt;&gt;"Correctif",E1500&lt;&gt;"Amélioratif"),"Type inconnu",IF(I1500="","Statut manquant",IF(AND(I1500&lt;&gt;"Terminée",I1500&lt;&gt;"En cours",I1500&lt;&gt;"À faire",I1500&lt;&gt;"Annulée"),"Statut inconnu",IF(AND(E1500="Préventif",F1500=""),"Plan manquant (préventif)",IF(AND(F1500&lt;&gt;"",ISNA(MATCH(F1500,pl_num,0))),"Plan inconnu",IF(AND(F1500&lt;&gt;"",IFERROR(INDEX(pl_eq,MATCH(F1500,pl_num,0))&amp;"",C1500)&lt;&gt;C1500),"Plan d'un autre équipement",IF(AND(J1500&lt;&gt;"",OR(NOT(ISNUMBER(J1500)),N(J1500)&lt;0)),"Compteur invalide",IF(OR(AND(K1500&lt;&gt;"",OR(NOT(ISNUMBER(K1500)),N(K1500)&lt;0)),AND(L1500&lt;&gt;"",OR(NOT(ISNUMBER(L1500)),N(L1500)&lt;0))),"Durée invalide",IF(OR(AND(N1500&lt;&gt;"",OR(NOT(ISNUMBER(N1500)),N(N1500)&lt;0)),AND(P1500&lt;&gt;"",OR(NOT(ISNUMBER(P1500)),N(P1500)&lt;0))),"Coût invalide",IF(AND(M1500&lt;&gt;"",ISNA(MATCH(M1500,tech_name,0))),"Technicien inconnu",IF(AND(I1500="Terminée",S1500&gt;p_today),"Terminée à une date future",IF(AND(I1500="Terminée",V1500=0),"Durée d'intervention manquante",IF(AND(I1500="Terminée",E1500="Préventif",T1500=0,OR(IFERROR(INDEX(pl_trig,MATCH(F1500,pl_num,0))&amp;"","")="Compteur",IFERROR(INDEX(pl_trig,MATCH(F1500,pl_num,0))&amp;"","")="Au premier des deux")),"Compteur manquant (plan au compteur)","OK"))))))))))))))))))</f>
        <v/>
      </c>
      <c r="S1500" s="67">
        <f>IF(AND(ISNUMBER(B1500),N(B1500)&gt;0),INT(B1500),0)</f>
        <v>0.0</v>
      </c>
      <c r="T1500" s="67">
        <f>IF(AND(ISNUMBER(J1500),N(J1500)&gt;=0),N(J1500),0)</f>
        <v>0.0</v>
      </c>
      <c r="U1500" s="67">
        <f>IF(AND(ISNUMBER(K1500),N(K1500)&gt;0),N(K1500),0)</f>
        <v>0.0</v>
      </c>
      <c r="V1500" s="67">
        <f>IF(AND(ISNUMBER(L1500),N(L1500)&gt;0),N(L1500),0)</f>
        <v>0.0</v>
      </c>
      <c r="W1500" s="67">
        <f>IF(AND(I1500="Terminée",S1500&gt;0,C1500&lt;&gt;"",ISNUMBER(MATCH(C1500,eq_code,0))),1,0)</f>
        <v>0.0</v>
      </c>
      <c r="X1500" s="67">
        <f>IF(AND(W1500=1,E1500="Préventif"),1,0)</f>
        <v>0.0</v>
      </c>
      <c r="Y1500" s="67">
        <f>IF(AND(ISNUMBER(N1500),N(N1500)&gt;0),N(N1500),0)</f>
        <v>0.0</v>
      </c>
      <c r="Z1500" s="67">
        <f>IF(AND(ISNUMBER(P1500),N(P1500)&gt;0),N(P1500),0)</f>
        <v>0.0</v>
      </c>
    </row>
    <row r="1501">
      <c r="A1501" s="79" t="str">
        <f>IF(COUNTA(B1501:C1501,E1501:G1501,I1501)=0,"","BI-"&amp;RIGHT("0000"&amp;(ROW()-5),4))</f>
        <v/>
      </c>
      <c r="B1501" s="72" t="n"/>
      <c r="C1501" s="66" t="n"/>
      <c r="D1501" s="67" t="str">
        <f>IF(C1501="","",IFERROR(INDEX(eq_des,MATCH(C1501,eq_code,0))&amp;"","Équipement inconnu"))</f>
        <v/>
      </c>
      <c r="E1501" s="68" t="n"/>
      <c r="F1501" s="68" t="n"/>
      <c r="G1501" s="66" t="n"/>
      <c r="H1501" s="66" t="n"/>
      <c r="I1501" s="68" t="n"/>
      <c r="J1501" s="73" t="n"/>
      <c r="K1501" s="71" t="n"/>
      <c r="L1501" s="71" t="n"/>
      <c r="M1501" s="66" t="n"/>
      <c r="N1501" s="80" t="n"/>
      <c r="O1501" s="81" t="str">
        <f>IF(A1501="","",ROUND(V1501*IFERROR(N(INDEX(tech_rate,MATCH(M1501,tech_name,0))),0),2))</f>
        <v/>
      </c>
      <c r="P1501" s="80" t="n"/>
      <c r="Q1501" s="81" t="str">
        <f>IF(A1501="","",ROUND(Y1501+O1501+Z1501,2))</f>
        <v/>
      </c>
      <c r="R1501" s="79" t="str">
        <f>IF(A1501="","",IF(S1501=0,"Date manquante ou invalide",IF(C1501="","Équipement manquant",IF(ISNA(MATCH(C1501,eq_code,0)),"Équipement inconnu",IF(E1501="","Type manquant",IF(AND(E1501&lt;&gt;"Préventif",E1501&lt;&gt;"Correctif",E1501&lt;&gt;"Amélioratif"),"Type inconnu",IF(I1501="","Statut manquant",IF(AND(I1501&lt;&gt;"Terminée",I1501&lt;&gt;"En cours",I1501&lt;&gt;"À faire",I1501&lt;&gt;"Annulée"),"Statut inconnu",IF(AND(E1501="Préventif",F1501=""),"Plan manquant (préventif)",IF(AND(F1501&lt;&gt;"",ISNA(MATCH(F1501,pl_num,0))),"Plan inconnu",IF(AND(F1501&lt;&gt;"",IFERROR(INDEX(pl_eq,MATCH(F1501,pl_num,0))&amp;"",C1501)&lt;&gt;C1501),"Plan d'un autre équipement",IF(AND(J1501&lt;&gt;"",OR(NOT(ISNUMBER(J1501)),N(J1501)&lt;0)),"Compteur invalide",IF(OR(AND(K1501&lt;&gt;"",OR(NOT(ISNUMBER(K1501)),N(K1501)&lt;0)),AND(L1501&lt;&gt;"",OR(NOT(ISNUMBER(L1501)),N(L1501)&lt;0))),"Durée invalide",IF(OR(AND(N1501&lt;&gt;"",OR(NOT(ISNUMBER(N1501)),N(N1501)&lt;0)),AND(P1501&lt;&gt;"",OR(NOT(ISNUMBER(P1501)),N(P1501)&lt;0))),"Coût invalide",IF(AND(M1501&lt;&gt;"",ISNA(MATCH(M1501,tech_name,0))),"Technicien inconnu",IF(AND(I1501="Terminée",S1501&gt;p_today),"Terminée à une date future",IF(AND(I1501="Terminée",V1501=0),"Durée d'intervention manquante",IF(AND(I1501="Terminée",E1501="Préventif",T1501=0,OR(IFERROR(INDEX(pl_trig,MATCH(F1501,pl_num,0))&amp;"","")="Compteur",IFERROR(INDEX(pl_trig,MATCH(F1501,pl_num,0))&amp;"","")="Au premier des deux")),"Compteur manquant (plan au compteur)","OK"))))))))))))))))))</f>
        <v/>
      </c>
      <c r="S1501" s="67">
        <f>IF(AND(ISNUMBER(B1501),N(B1501)&gt;0),INT(B1501),0)</f>
        <v>0.0</v>
      </c>
      <c r="T1501" s="67">
        <f>IF(AND(ISNUMBER(J1501),N(J1501)&gt;=0),N(J1501),0)</f>
        <v>0.0</v>
      </c>
      <c r="U1501" s="67">
        <f>IF(AND(ISNUMBER(K1501),N(K1501)&gt;0),N(K1501),0)</f>
        <v>0.0</v>
      </c>
      <c r="V1501" s="67">
        <f>IF(AND(ISNUMBER(L1501),N(L1501)&gt;0),N(L1501),0)</f>
        <v>0.0</v>
      </c>
      <c r="W1501" s="67">
        <f>IF(AND(I1501="Terminée",S1501&gt;0,C1501&lt;&gt;"",ISNUMBER(MATCH(C1501,eq_code,0))),1,0)</f>
        <v>0.0</v>
      </c>
      <c r="X1501" s="67">
        <f>IF(AND(W1501=1,E1501="Préventif"),1,0)</f>
        <v>0.0</v>
      </c>
      <c r="Y1501" s="67">
        <f>IF(AND(ISNUMBER(N1501),N(N1501)&gt;0),N(N1501),0)</f>
        <v>0.0</v>
      </c>
      <c r="Z1501" s="67">
        <f>IF(AND(ISNUMBER(P1501),N(P1501)&gt;0),N(P1501),0)</f>
        <v>0.0</v>
      </c>
    </row>
    <row r="1502">
      <c r="A1502" s="79" t="str">
        <f>IF(COUNTA(B1502:C1502,E1502:G1502,I1502)=0,"","BI-"&amp;RIGHT("0000"&amp;(ROW()-5),4))</f>
        <v/>
      </c>
      <c r="B1502" s="72" t="n"/>
      <c r="C1502" s="66" t="n"/>
      <c r="D1502" s="67" t="str">
        <f>IF(C1502="","",IFERROR(INDEX(eq_des,MATCH(C1502,eq_code,0))&amp;"","Équipement inconnu"))</f>
        <v/>
      </c>
      <c r="E1502" s="68" t="n"/>
      <c r="F1502" s="68" t="n"/>
      <c r="G1502" s="66" t="n"/>
      <c r="H1502" s="66" t="n"/>
      <c r="I1502" s="68" t="n"/>
      <c r="J1502" s="73" t="n"/>
      <c r="K1502" s="71" t="n"/>
      <c r="L1502" s="71" t="n"/>
      <c r="M1502" s="66" t="n"/>
      <c r="N1502" s="80" t="n"/>
      <c r="O1502" s="81" t="str">
        <f>IF(A1502="","",ROUND(V1502*IFERROR(N(INDEX(tech_rate,MATCH(M1502,tech_name,0))),0),2))</f>
        <v/>
      </c>
      <c r="P1502" s="80" t="n"/>
      <c r="Q1502" s="81" t="str">
        <f>IF(A1502="","",ROUND(Y1502+O1502+Z1502,2))</f>
        <v/>
      </c>
      <c r="R1502" s="79" t="str">
        <f>IF(A1502="","",IF(S1502=0,"Date manquante ou invalide",IF(C1502="","Équipement manquant",IF(ISNA(MATCH(C1502,eq_code,0)),"Équipement inconnu",IF(E1502="","Type manquant",IF(AND(E1502&lt;&gt;"Préventif",E1502&lt;&gt;"Correctif",E1502&lt;&gt;"Amélioratif"),"Type inconnu",IF(I1502="","Statut manquant",IF(AND(I1502&lt;&gt;"Terminée",I1502&lt;&gt;"En cours",I1502&lt;&gt;"À faire",I1502&lt;&gt;"Annulée"),"Statut inconnu",IF(AND(E1502="Préventif",F1502=""),"Plan manquant (préventif)",IF(AND(F1502&lt;&gt;"",ISNA(MATCH(F1502,pl_num,0))),"Plan inconnu",IF(AND(F1502&lt;&gt;"",IFERROR(INDEX(pl_eq,MATCH(F1502,pl_num,0))&amp;"",C1502)&lt;&gt;C1502),"Plan d'un autre équipement",IF(AND(J1502&lt;&gt;"",OR(NOT(ISNUMBER(J1502)),N(J1502)&lt;0)),"Compteur invalide",IF(OR(AND(K1502&lt;&gt;"",OR(NOT(ISNUMBER(K1502)),N(K1502)&lt;0)),AND(L1502&lt;&gt;"",OR(NOT(ISNUMBER(L1502)),N(L1502)&lt;0))),"Durée invalide",IF(OR(AND(N1502&lt;&gt;"",OR(NOT(ISNUMBER(N1502)),N(N1502)&lt;0)),AND(P1502&lt;&gt;"",OR(NOT(ISNUMBER(P1502)),N(P1502)&lt;0))),"Coût invalide",IF(AND(M1502&lt;&gt;"",ISNA(MATCH(M1502,tech_name,0))),"Technicien inconnu",IF(AND(I1502="Terminée",S1502&gt;p_today),"Terminée à une date future",IF(AND(I1502="Terminée",V1502=0),"Durée d'intervention manquante",IF(AND(I1502="Terminée",E1502="Préventif",T1502=0,OR(IFERROR(INDEX(pl_trig,MATCH(F1502,pl_num,0))&amp;"","")="Compteur",IFERROR(INDEX(pl_trig,MATCH(F1502,pl_num,0))&amp;"","")="Au premier des deux")),"Compteur manquant (plan au compteur)","OK"))))))))))))))))))</f>
        <v/>
      </c>
      <c r="S1502" s="67">
        <f>IF(AND(ISNUMBER(B1502),N(B1502)&gt;0),INT(B1502),0)</f>
        <v>0.0</v>
      </c>
      <c r="T1502" s="67">
        <f>IF(AND(ISNUMBER(J1502),N(J1502)&gt;=0),N(J1502),0)</f>
        <v>0.0</v>
      </c>
      <c r="U1502" s="67">
        <f>IF(AND(ISNUMBER(K1502),N(K1502)&gt;0),N(K1502),0)</f>
        <v>0.0</v>
      </c>
      <c r="V1502" s="67">
        <f>IF(AND(ISNUMBER(L1502),N(L1502)&gt;0),N(L1502),0)</f>
        <v>0.0</v>
      </c>
      <c r="W1502" s="67">
        <f>IF(AND(I1502="Terminée",S1502&gt;0,C1502&lt;&gt;"",ISNUMBER(MATCH(C1502,eq_code,0))),1,0)</f>
        <v>0.0</v>
      </c>
      <c r="X1502" s="67">
        <f>IF(AND(W1502=1,E1502="Préventif"),1,0)</f>
        <v>0.0</v>
      </c>
      <c r="Y1502" s="67">
        <f>IF(AND(ISNUMBER(N1502),N(N1502)&gt;0),N(N1502),0)</f>
        <v>0.0</v>
      </c>
      <c r="Z1502" s="67">
        <f>IF(AND(ISNUMBER(P1502),N(P1502)&gt;0),N(P1502),0)</f>
        <v>0.0</v>
      </c>
    </row>
    <row r="1503">
      <c r="A1503" s="79" t="str">
        <f>IF(COUNTA(B1503:C1503,E1503:G1503,I1503)=0,"","BI-"&amp;RIGHT("0000"&amp;(ROW()-5),4))</f>
        <v/>
      </c>
      <c r="B1503" s="72" t="n"/>
      <c r="C1503" s="66" t="n"/>
      <c r="D1503" s="67" t="str">
        <f>IF(C1503="","",IFERROR(INDEX(eq_des,MATCH(C1503,eq_code,0))&amp;"","Équipement inconnu"))</f>
        <v/>
      </c>
      <c r="E1503" s="68" t="n"/>
      <c r="F1503" s="68" t="n"/>
      <c r="G1503" s="66" t="n"/>
      <c r="H1503" s="66" t="n"/>
      <c r="I1503" s="68" t="n"/>
      <c r="J1503" s="73" t="n"/>
      <c r="K1503" s="71" t="n"/>
      <c r="L1503" s="71" t="n"/>
      <c r="M1503" s="66" t="n"/>
      <c r="N1503" s="80" t="n"/>
      <c r="O1503" s="81" t="str">
        <f>IF(A1503="","",ROUND(V1503*IFERROR(N(INDEX(tech_rate,MATCH(M1503,tech_name,0))),0),2))</f>
        <v/>
      </c>
      <c r="P1503" s="80" t="n"/>
      <c r="Q1503" s="81" t="str">
        <f>IF(A1503="","",ROUND(Y1503+O1503+Z1503,2))</f>
        <v/>
      </c>
      <c r="R1503" s="79" t="str">
        <f>IF(A1503="","",IF(S1503=0,"Date manquante ou invalide",IF(C1503="","Équipement manquant",IF(ISNA(MATCH(C1503,eq_code,0)),"Équipement inconnu",IF(E1503="","Type manquant",IF(AND(E1503&lt;&gt;"Préventif",E1503&lt;&gt;"Correctif",E1503&lt;&gt;"Amélioratif"),"Type inconnu",IF(I1503="","Statut manquant",IF(AND(I1503&lt;&gt;"Terminée",I1503&lt;&gt;"En cours",I1503&lt;&gt;"À faire",I1503&lt;&gt;"Annulée"),"Statut inconnu",IF(AND(E1503="Préventif",F1503=""),"Plan manquant (préventif)",IF(AND(F1503&lt;&gt;"",ISNA(MATCH(F1503,pl_num,0))),"Plan inconnu",IF(AND(F1503&lt;&gt;"",IFERROR(INDEX(pl_eq,MATCH(F1503,pl_num,0))&amp;"",C1503)&lt;&gt;C1503),"Plan d'un autre équipement",IF(AND(J1503&lt;&gt;"",OR(NOT(ISNUMBER(J1503)),N(J1503)&lt;0)),"Compteur invalide",IF(OR(AND(K1503&lt;&gt;"",OR(NOT(ISNUMBER(K1503)),N(K1503)&lt;0)),AND(L1503&lt;&gt;"",OR(NOT(ISNUMBER(L1503)),N(L1503)&lt;0))),"Durée invalide",IF(OR(AND(N1503&lt;&gt;"",OR(NOT(ISNUMBER(N1503)),N(N1503)&lt;0)),AND(P1503&lt;&gt;"",OR(NOT(ISNUMBER(P1503)),N(P1503)&lt;0))),"Coût invalide",IF(AND(M1503&lt;&gt;"",ISNA(MATCH(M1503,tech_name,0))),"Technicien inconnu",IF(AND(I1503="Terminée",S1503&gt;p_today),"Terminée à une date future",IF(AND(I1503="Terminée",V1503=0),"Durée d'intervention manquante",IF(AND(I1503="Terminée",E1503="Préventif",T1503=0,OR(IFERROR(INDEX(pl_trig,MATCH(F1503,pl_num,0))&amp;"","")="Compteur",IFERROR(INDEX(pl_trig,MATCH(F1503,pl_num,0))&amp;"","")="Au premier des deux")),"Compteur manquant (plan au compteur)","OK"))))))))))))))))))</f>
        <v/>
      </c>
      <c r="S1503" s="67">
        <f>IF(AND(ISNUMBER(B1503),N(B1503)&gt;0),INT(B1503),0)</f>
        <v>0.0</v>
      </c>
      <c r="T1503" s="67">
        <f>IF(AND(ISNUMBER(J1503),N(J1503)&gt;=0),N(J1503),0)</f>
        <v>0.0</v>
      </c>
      <c r="U1503" s="67">
        <f>IF(AND(ISNUMBER(K1503),N(K1503)&gt;0),N(K1503),0)</f>
        <v>0.0</v>
      </c>
      <c r="V1503" s="67">
        <f>IF(AND(ISNUMBER(L1503),N(L1503)&gt;0),N(L1503),0)</f>
        <v>0.0</v>
      </c>
      <c r="W1503" s="67">
        <f>IF(AND(I1503="Terminée",S1503&gt;0,C1503&lt;&gt;"",ISNUMBER(MATCH(C1503,eq_code,0))),1,0)</f>
        <v>0.0</v>
      </c>
      <c r="X1503" s="67">
        <f>IF(AND(W1503=1,E1503="Préventif"),1,0)</f>
        <v>0.0</v>
      </c>
      <c r="Y1503" s="67">
        <f>IF(AND(ISNUMBER(N1503),N(N1503)&gt;0),N(N1503),0)</f>
        <v>0.0</v>
      </c>
      <c r="Z1503" s="67">
        <f>IF(AND(ISNUMBER(P1503),N(P1503)&gt;0),N(P1503),0)</f>
        <v>0.0</v>
      </c>
    </row>
    <row r="1504">
      <c r="A1504" s="79" t="str">
        <f>IF(COUNTA(B1504:C1504,E1504:G1504,I1504)=0,"","BI-"&amp;RIGHT("0000"&amp;(ROW()-5),4))</f>
        <v/>
      </c>
      <c r="B1504" s="72" t="n"/>
      <c r="C1504" s="66" t="n"/>
      <c r="D1504" s="67" t="str">
        <f>IF(C1504="","",IFERROR(INDEX(eq_des,MATCH(C1504,eq_code,0))&amp;"","Équipement inconnu"))</f>
        <v/>
      </c>
      <c r="E1504" s="68" t="n"/>
      <c r="F1504" s="68" t="n"/>
      <c r="G1504" s="66" t="n"/>
      <c r="H1504" s="66" t="n"/>
      <c r="I1504" s="68" t="n"/>
      <c r="J1504" s="73" t="n"/>
      <c r="K1504" s="71" t="n"/>
      <c r="L1504" s="71" t="n"/>
      <c r="M1504" s="66" t="n"/>
      <c r="N1504" s="80" t="n"/>
      <c r="O1504" s="81" t="str">
        <f>IF(A1504="","",ROUND(V1504*IFERROR(N(INDEX(tech_rate,MATCH(M1504,tech_name,0))),0),2))</f>
        <v/>
      </c>
      <c r="P1504" s="80" t="n"/>
      <c r="Q1504" s="81" t="str">
        <f>IF(A1504="","",ROUND(Y1504+O1504+Z1504,2))</f>
        <v/>
      </c>
      <c r="R1504" s="79" t="str">
        <f>IF(A1504="","",IF(S1504=0,"Date manquante ou invalide",IF(C1504="","Équipement manquant",IF(ISNA(MATCH(C1504,eq_code,0)),"Équipement inconnu",IF(E1504="","Type manquant",IF(AND(E1504&lt;&gt;"Préventif",E1504&lt;&gt;"Correctif",E1504&lt;&gt;"Amélioratif"),"Type inconnu",IF(I1504="","Statut manquant",IF(AND(I1504&lt;&gt;"Terminée",I1504&lt;&gt;"En cours",I1504&lt;&gt;"À faire",I1504&lt;&gt;"Annulée"),"Statut inconnu",IF(AND(E1504="Préventif",F1504=""),"Plan manquant (préventif)",IF(AND(F1504&lt;&gt;"",ISNA(MATCH(F1504,pl_num,0))),"Plan inconnu",IF(AND(F1504&lt;&gt;"",IFERROR(INDEX(pl_eq,MATCH(F1504,pl_num,0))&amp;"",C1504)&lt;&gt;C1504),"Plan d'un autre équipement",IF(AND(J1504&lt;&gt;"",OR(NOT(ISNUMBER(J1504)),N(J1504)&lt;0)),"Compteur invalide",IF(OR(AND(K1504&lt;&gt;"",OR(NOT(ISNUMBER(K1504)),N(K1504)&lt;0)),AND(L1504&lt;&gt;"",OR(NOT(ISNUMBER(L1504)),N(L1504)&lt;0))),"Durée invalide",IF(OR(AND(N1504&lt;&gt;"",OR(NOT(ISNUMBER(N1504)),N(N1504)&lt;0)),AND(P1504&lt;&gt;"",OR(NOT(ISNUMBER(P1504)),N(P1504)&lt;0))),"Coût invalide",IF(AND(M1504&lt;&gt;"",ISNA(MATCH(M1504,tech_name,0))),"Technicien inconnu",IF(AND(I1504="Terminée",S1504&gt;p_today),"Terminée à une date future",IF(AND(I1504="Terminée",V1504=0),"Durée d'intervention manquante",IF(AND(I1504="Terminée",E1504="Préventif",T1504=0,OR(IFERROR(INDEX(pl_trig,MATCH(F1504,pl_num,0))&amp;"","")="Compteur",IFERROR(INDEX(pl_trig,MATCH(F1504,pl_num,0))&amp;"","")="Au premier des deux")),"Compteur manquant (plan au compteur)","OK"))))))))))))))))))</f>
        <v/>
      </c>
      <c r="S1504" s="67">
        <f>IF(AND(ISNUMBER(B1504),N(B1504)&gt;0),INT(B1504),0)</f>
        <v>0.0</v>
      </c>
      <c r="T1504" s="67">
        <f>IF(AND(ISNUMBER(J1504),N(J1504)&gt;=0),N(J1504),0)</f>
        <v>0.0</v>
      </c>
      <c r="U1504" s="67">
        <f>IF(AND(ISNUMBER(K1504),N(K1504)&gt;0),N(K1504),0)</f>
        <v>0.0</v>
      </c>
      <c r="V1504" s="67">
        <f>IF(AND(ISNUMBER(L1504),N(L1504)&gt;0),N(L1504),0)</f>
        <v>0.0</v>
      </c>
      <c r="W1504" s="67">
        <f>IF(AND(I1504="Terminée",S1504&gt;0,C1504&lt;&gt;"",ISNUMBER(MATCH(C1504,eq_code,0))),1,0)</f>
        <v>0.0</v>
      </c>
      <c r="X1504" s="67">
        <f>IF(AND(W1504=1,E1504="Préventif"),1,0)</f>
        <v>0.0</v>
      </c>
      <c r="Y1504" s="67">
        <f>IF(AND(ISNUMBER(N1504),N(N1504)&gt;0),N(N1504),0)</f>
        <v>0.0</v>
      </c>
      <c r="Z1504" s="67">
        <f>IF(AND(ISNUMBER(P1504),N(P1504)&gt;0),N(P1504),0)</f>
        <v>0.0</v>
      </c>
    </row>
    <row r="1505">
      <c r="A1505" s="79" t="str">
        <f>IF(COUNTA(B1505:C1505,E1505:G1505,I1505)=0,"","BI-"&amp;RIGHT("0000"&amp;(ROW()-5),4))</f>
        <v/>
      </c>
      <c r="B1505" s="72" t="n"/>
      <c r="C1505" s="66" t="n"/>
      <c r="D1505" s="67" t="str">
        <f>IF(C1505="","",IFERROR(INDEX(eq_des,MATCH(C1505,eq_code,0))&amp;"","Équipement inconnu"))</f>
        <v/>
      </c>
      <c r="E1505" s="68" t="n"/>
      <c r="F1505" s="68" t="n"/>
      <c r="G1505" s="66" t="n"/>
      <c r="H1505" s="66" t="n"/>
      <c r="I1505" s="68" t="n"/>
      <c r="J1505" s="73" t="n"/>
      <c r="K1505" s="71" t="n"/>
      <c r="L1505" s="71" t="n"/>
      <c r="M1505" s="66" t="n"/>
      <c r="N1505" s="80" t="n"/>
      <c r="O1505" s="81" t="str">
        <f>IF(A1505="","",ROUND(V1505*IFERROR(N(INDEX(tech_rate,MATCH(M1505,tech_name,0))),0),2))</f>
        <v/>
      </c>
      <c r="P1505" s="80" t="n"/>
      <c r="Q1505" s="81" t="str">
        <f>IF(A1505="","",ROUND(Y1505+O1505+Z1505,2))</f>
        <v/>
      </c>
      <c r="R1505" s="79" t="str">
        <f>IF(A1505="","",IF(S1505=0,"Date manquante ou invalide",IF(C1505="","Équipement manquant",IF(ISNA(MATCH(C1505,eq_code,0)),"Équipement inconnu",IF(E1505="","Type manquant",IF(AND(E1505&lt;&gt;"Préventif",E1505&lt;&gt;"Correctif",E1505&lt;&gt;"Amélioratif"),"Type inconnu",IF(I1505="","Statut manquant",IF(AND(I1505&lt;&gt;"Terminée",I1505&lt;&gt;"En cours",I1505&lt;&gt;"À faire",I1505&lt;&gt;"Annulée"),"Statut inconnu",IF(AND(E1505="Préventif",F1505=""),"Plan manquant (préventif)",IF(AND(F1505&lt;&gt;"",ISNA(MATCH(F1505,pl_num,0))),"Plan inconnu",IF(AND(F1505&lt;&gt;"",IFERROR(INDEX(pl_eq,MATCH(F1505,pl_num,0))&amp;"",C1505)&lt;&gt;C1505),"Plan d'un autre équipement",IF(AND(J1505&lt;&gt;"",OR(NOT(ISNUMBER(J1505)),N(J1505)&lt;0)),"Compteur invalide",IF(OR(AND(K1505&lt;&gt;"",OR(NOT(ISNUMBER(K1505)),N(K1505)&lt;0)),AND(L1505&lt;&gt;"",OR(NOT(ISNUMBER(L1505)),N(L1505)&lt;0))),"Durée invalide",IF(OR(AND(N1505&lt;&gt;"",OR(NOT(ISNUMBER(N1505)),N(N1505)&lt;0)),AND(P1505&lt;&gt;"",OR(NOT(ISNUMBER(P1505)),N(P1505)&lt;0))),"Coût invalide",IF(AND(M1505&lt;&gt;"",ISNA(MATCH(M1505,tech_name,0))),"Technicien inconnu",IF(AND(I1505="Terminée",S1505&gt;p_today),"Terminée à une date future",IF(AND(I1505="Terminée",V1505=0),"Durée d'intervention manquante",IF(AND(I1505="Terminée",E1505="Préventif",T1505=0,OR(IFERROR(INDEX(pl_trig,MATCH(F1505,pl_num,0))&amp;"","")="Compteur",IFERROR(INDEX(pl_trig,MATCH(F1505,pl_num,0))&amp;"","")="Au premier des deux")),"Compteur manquant (plan au compteur)","OK"))))))))))))))))))</f>
        <v/>
      </c>
      <c r="S1505" s="67">
        <f>IF(AND(ISNUMBER(B1505),N(B1505)&gt;0),INT(B1505),0)</f>
        <v>0.0</v>
      </c>
      <c r="T1505" s="67">
        <f>IF(AND(ISNUMBER(J1505),N(J1505)&gt;=0),N(J1505),0)</f>
        <v>0.0</v>
      </c>
      <c r="U1505" s="67">
        <f>IF(AND(ISNUMBER(K1505),N(K1505)&gt;0),N(K1505),0)</f>
        <v>0.0</v>
      </c>
      <c r="V1505" s="67">
        <f>IF(AND(ISNUMBER(L1505),N(L1505)&gt;0),N(L1505),0)</f>
        <v>0.0</v>
      </c>
      <c r="W1505" s="67">
        <f>IF(AND(I1505="Terminée",S1505&gt;0,C1505&lt;&gt;"",ISNUMBER(MATCH(C1505,eq_code,0))),1,0)</f>
        <v>0.0</v>
      </c>
      <c r="X1505" s="67">
        <f>IF(AND(W1505=1,E1505="Préventif"),1,0)</f>
        <v>0.0</v>
      </c>
      <c r="Y1505" s="67">
        <f>IF(AND(ISNUMBER(N1505),N(N1505)&gt;0),N(N1505),0)</f>
        <v>0.0</v>
      </c>
      <c r="Z1505" s="67">
        <f>IF(AND(ISNUMBER(P1505),N(P1505)&gt;0),N(P1505),0)</f>
        <v>0.0</v>
      </c>
    </row>
    <row r="1506">
      <c r="A1506" s="79" t="str">
        <f>IF(COUNTA(B1506:C1506,E1506:G1506,I1506)=0,"","BI-"&amp;RIGHT("0000"&amp;(ROW()-5),4))</f>
        <v/>
      </c>
      <c r="B1506" s="72" t="n"/>
      <c r="C1506" s="66" t="n"/>
      <c r="D1506" s="67" t="str">
        <f>IF(C1506="","",IFERROR(INDEX(eq_des,MATCH(C1506,eq_code,0))&amp;"","Équipement inconnu"))</f>
        <v/>
      </c>
      <c r="E1506" s="68" t="n"/>
      <c r="F1506" s="68" t="n"/>
      <c r="G1506" s="66" t="n"/>
      <c r="H1506" s="66" t="n"/>
      <c r="I1506" s="68" t="n"/>
      <c r="J1506" s="73" t="n"/>
      <c r="K1506" s="71" t="n"/>
      <c r="L1506" s="71" t="n"/>
      <c r="M1506" s="66" t="n"/>
      <c r="N1506" s="80" t="n"/>
      <c r="O1506" s="81" t="str">
        <f>IF(A1506="","",ROUND(V1506*IFERROR(N(INDEX(tech_rate,MATCH(M1506,tech_name,0))),0),2))</f>
        <v/>
      </c>
      <c r="P1506" s="80" t="n"/>
      <c r="Q1506" s="81" t="str">
        <f>IF(A1506="","",ROUND(Y1506+O1506+Z1506,2))</f>
        <v/>
      </c>
      <c r="R1506" s="79" t="str">
        <f>IF(A1506="","",IF(S1506=0,"Date manquante ou invalide",IF(C1506="","Équipement manquant",IF(ISNA(MATCH(C1506,eq_code,0)),"Équipement inconnu",IF(E1506="","Type manquant",IF(AND(E1506&lt;&gt;"Préventif",E1506&lt;&gt;"Correctif",E1506&lt;&gt;"Amélioratif"),"Type inconnu",IF(I1506="","Statut manquant",IF(AND(I1506&lt;&gt;"Terminée",I1506&lt;&gt;"En cours",I1506&lt;&gt;"À faire",I1506&lt;&gt;"Annulée"),"Statut inconnu",IF(AND(E1506="Préventif",F1506=""),"Plan manquant (préventif)",IF(AND(F1506&lt;&gt;"",ISNA(MATCH(F1506,pl_num,0))),"Plan inconnu",IF(AND(F1506&lt;&gt;"",IFERROR(INDEX(pl_eq,MATCH(F1506,pl_num,0))&amp;"",C1506)&lt;&gt;C1506),"Plan d'un autre équipement",IF(AND(J1506&lt;&gt;"",OR(NOT(ISNUMBER(J1506)),N(J1506)&lt;0)),"Compteur invalide",IF(OR(AND(K1506&lt;&gt;"",OR(NOT(ISNUMBER(K1506)),N(K1506)&lt;0)),AND(L1506&lt;&gt;"",OR(NOT(ISNUMBER(L1506)),N(L1506)&lt;0))),"Durée invalide",IF(OR(AND(N1506&lt;&gt;"",OR(NOT(ISNUMBER(N1506)),N(N1506)&lt;0)),AND(P1506&lt;&gt;"",OR(NOT(ISNUMBER(P1506)),N(P1506)&lt;0))),"Coût invalide",IF(AND(M1506&lt;&gt;"",ISNA(MATCH(M1506,tech_name,0))),"Technicien inconnu",IF(AND(I1506="Terminée",S1506&gt;p_today),"Terminée à une date future",IF(AND(I1506="Terminée",V1506=0),"Durée d'intervention manquante",IF(AND(I1506="Terminée",E1506="Préventif",T1506=0,OR(IFERROR(INDEX(pl_trig,MATCH(F1506,pl_num,0))&amp;"","")="Compteur",IFERROR(INDEX(pl_trig,MATCH(F1506,pl_num,0))&amp;"","")="Au premier des deux")),"Compteur manquant (plan au compteur)","OK"))))))))))))))))))</f>
        <v/>
      </c>
      <c r="S1506" s="67">
        <f>IF(AND(ISNUMBER(B1506),N(B1506)&gt;0),INT(B1506),0)</f>
        <v>0.0</v>
      </c>
      <c r="T1506" s="67">
        <f>IF(AND(ISNUMBER(J1506),N(J1506)&gt;=0),N(J1506),0)</f>
        <v>0.0</v>
      </c>
      <c r="U1506" s="67">
        <f>IF(AND(ISNUMBER(K1506),N(K1506)&gt;0),N(K1506),0)</f>
        <v>0.0</v>
      </c>
      <c r="V1506" s="67">
        <f>IF(AND(ISNUMBER(L1506),N(L1506)&gt;0),N(L1506),0)</f>
        <v>0.0</v>
      </c>
      <c r="W1506" s="67">
        <f>IF(AND(I1506="Terminée",S1506&gt;0,C1506&lt;&gt;"",ISNUMBER(MATCH(C1506,eq_code,0))),1,0)</f>
        <v>0.0</v>
      </c>
      <c r="X1506" s="67">
        <f>IF(AND(W1506=1,E1506="Préventif"),1,0)</f>
        <v>0.0</v>
      </c>
      <c r="Y1506" s="67">
        <f>IF(AND(ISNUMBER(N1506),N(N1506)&gt;0),N(N1506),0)</f>
        <v>0.0</v>
      </c>
      <c r="Z1506" s="67">
        <f>IF(AND(ISNUMBER(P1506),N(P1506)&gt;0),N(P1506),0)</f>
        <v>0.0</v>
      </c>
    </row>
    <row r="1507">
      <c r="A1507" s="79" t="str">
        <f>IF(COUNTA(B1507:C1507,E1507:G1507,I1507)=0,"","BI-"&amp;RIGHT("0000"&amp;(ROW()-5),4))</f>
        <v/>
      </c>
      <c r="B1507" s="72" t="n"/>
      <c r="C1507" s="66" t="n"/>
      <c r="D1507" s="67" t="str">
        <f>IF(C1507="","",IFERROR(INDEX(eq_des,MATCH(C1507,eq_code,0))&amp;"","Équipement inconnu"))</f>
        <v/>
      </c>
      <c r="E1507" s="68" t="n"/>
      <c r="F1507" s="68" t="n"/>
      <c r="G1507" s="66" t="n"/>
      <c r="H1507" s="66" t="n"/>
      <c r="I1507" s="68" t="n"/>
      <c r="J1507" s="73" t="n"/>
      <c r="K1507" s="71" t="n"/>
      <c r="L1507" s="71" t="n"/>
      <c r="M1507" s="66" t="n"/>
      <c r="N1507" s="80" t="n"/>
      <c r="O1507" s="81" t="str">
        <f>IF(A1507="","",ROUND(V1507*IFERROR(N(INDEX(tech_rate,MATCH(M1507,tech_name,0))),0),2))</f>
        <v/>
      </c>
      <c r="P1507" s="80" t="n"/>
      <c r="Q1507" s="81" t="str">
        <f>IF(A1507="","",ROUND(Y1507+O1507+Z1507,2))</f>
        <v/>
      </c>
      <c r="R1507" s="79" t="str">
        <f>IF(A1507="","",IF(S1507=0,"Date manquante ou invalide",IF(C1507="","Équipement manquant",IF(ISNA(MATCH(C1507,eq_code,0)),"Équipement inconnu",IF(E1507="","Type manquant",IF(AND(E1507&lt;&gt;"Préventif",E1507&lt;&gt;"Correctif",E1507&lt;&gt;"Amélioratif"),"Type inconnu",IF(I1507="","Statut manquant",IF(AND(I1507&lt;&gt;"Terminée",I1507&lt;&gt;"En cours",I1507&lt;&gt;"À faire",I1507&lt;&gt;"Annulée"),"Statut inconnu",IF(AND(E1507="Préventif",F1507=""),"Plan manquant (préventif)",IF(AND(F1507&lt;&gt;"",ISNA(MATCH(F1507,pl_num,0))),"Plan inconnu",IF(AND(F1507&lt;&gt;"",IFERROR(INDEX(pl_eq,MATCH(F1507,pl_num,0))&amp;"",C1507)&lt;&gt;C1507),"Plan d'un autre équipement",IF(AND(J1507&lt;&gt;"",OR(NOT(ISNUMBER(J1507)),N(J1507)&lt;0)),"Compteur invalide",IF(OR(AND(K1507&lt;&gt;"",OR(NOT(ISNUMBER(K1507)),N(K1507)&lt;0)),AND(L1507&lt;&gt;"",OR(NOT(ISNUMBER(L1507)),N(L1507)&lt;0))),"Durée invalide",IF(OR(AND(N1507&lt;&gt;"",OR(NOT(ISNUMBER(N1507)),N(N1507)&lt;0)),AND(P1507&lt;&gt;"",OR(NOT(ISNUMBER(P1507)),N(P1507)&lt;0))),"Coût invalide",IF(AND(M1507&lt;&gt;"",ISNA(MATCH(M1507,tech_name,0))),"Technicien inconnu",IF(AND(I1507="Terminée",S1507&gt;p_today),"Terminée à une date future",IF(AND(I1507="Terminée",V1507=0),"Durée d'intervention manquante",IF(AND(I1507="Terminée",E1507="Préventif",T1507=0,OR(IFERROR(INDEX(pl_trig,MATCH(F1507,pl_num,0))&amp;"","")="Compteur",IFERROR(INDEX(pl_trig,MATCH(F1507,pl_num,0))&amp;"","")="Au premier des deux")),"Compteur manquant (plan au compteur)","OK"))))))))))))))))))</f>
        <v/>
      </c>
      <c r="S1507" s="67">
        <f>IF(AND(ISNUMBER(B1507),N(B1507)&gt;0),INT(B1507),0)</f>
        <v>0.0</v>
      </c>
      <c r="T1507" s="67">
        <f>IF(AND(ISNUMBER(J1507),N(J1507)&gt;=0),N(J1507),0)</f>
        <v>0.0</v>
      </c>
      <c r="U1507" s="67">
        <f>IF(AND(ISNUMBER(K1507),N(K1507)&gt;0),N(K1507),0)</f>
        <v>0.0</v>
      </c>
      <c r="V1507" s="67">
        <f>IF(AND(ISNUMBER(L1507),N(L1507)&gt;0),N(L1507),0)</f>
        <v>0.0</v>
      </c>
      <c r="W1507" s="67">
        <f>IF(AND(I1507="Terminée",S1507&gt;0,C1507&lt;&gt;"",ISNUMBER(MATCH(C1507,eq_code,0))),1,0)</f>
        <v>0.0</v>
      </c>
      <c r="X1507" s="67">
        <f>IF(AND(W1507=1,E1507="Préventif"),1,0)</f>
        <v>0.0</v>
      </c>
      <c r="Y1507" s="67">
        <f>IF(AND(ISNUMBER(N1507),N(N1507)&gt;0),N(N1507),0)</f>
        <v>0.0</v>
      </c>
      <c r="Z1507" s="67">
        <f>IF(AND(ISNUMBER(P1507),N(P1507)&gt;0),N(P1507),0)</f>
        <v>0.0</v>
      </c>
    </row>
    <row r="1508">
      <c r="A1508" s="79" t="str">
        <f>IF(COUNTA(B1508:C1508,E1508:G1508,I1508)=0,"","BI-"&amp;RIGHT("0000"&amp;(ROW()-5),4))</f>
        <v/>
      </c>
      <c r="B1508" s="72" t="n"/>
      <c r="C1508" s="66" t="n"/>
      <c r="D1508" s="67" t="str">
        <f>IF(C1508="","",IFERROR(INDEX(eq_des,MATCH(C1508,eq_code,0))&amp;"","Équipement inconnu"))</f>
        <v/>
      </c>
      <c r="E1508" s="68" t="n"/>
      <c r="F1508" s="68" t="n"/>
      <c r="G1508" s="66" t="n"/>
      <c r="H1508" s="66" t="n"/>
      <c r="I1508" s="68" t="n"/>
      <c r="J1508" s="73" t="n"/>
      <c r="K1508" s="71" t="n"/>
      <c r="L1508" s="71" t="n"/>
      <c r="M1508" s="66" t="n"/>
      <c r="N1508" s="80" t="n"/>
      <c r="O1508" s="81" t="str">
        <f>IF(A1508="","",ROUND(V1508*IFERROR(N(INDEX(tech_rate,MATCH(M1508,tech_name,0))),0),2))</f>
        <v/>
      </c>
      <c r="P1508" s="80" t="n"/>
      <c r="Q1508" s="81" t="str">
        <f>IF(A1508="","",ROUND(Y1508+O1508+Z1508,2))</f>
        <v/>
      </c>
      <c r="R1508" s="79" t="str">
        <f>IF(A1508="","",IF(S1508=0,"Date manquante ou invalide",IF(C1508="","Équipement manquant",IF(ISNA(MATCH(C1508,eq_code,0)),"Équipement inconnu",IF(E1508="","Type manquant",IF(AND(E1508&lt;&gt;"Préventif",E1508&lt;&gt;"Correctif",E1508&lt;&gt;"Amélioratif"),"Type inconnu",IF(I1508="","Statut manquant",IF(AND(I1508&lt;&gt;"Terminée",I1508&lt;&gt;"En cours",I1508&lt;&gt;"À faire",I1508&lt;&gt;"Annulée"),"Statut inconnu",IF(AND(E1508="Préventif",F1508=""),"Plan manquant (préventif)",IF(AND(F1508&lt;&gt;"",ISNA(MATCH(F1508,pl_num,0))),"Plan inconnu",IF(AND(F1508&lt;&gt;"",IFERROR(INDEX(pl_eq,MATCH(F1508,pl_num,0))&amp;"",C1508)&lt;&gt;C1508),"Plan d'un autre équipement",IF(AND(J1508&lt;&gt;"",OR(NOT(ISNUMBER(J1508)),N(J1508)&lt;0)),"Compteur invalide",IF(OR(AND(K1508&lt;&gt;"",OR(NOT(ISNUMBER(K1508)),N(K1508)&lt;0)),AND(L1508&lt;&gt;"",OR(NOT(ISNUMBER(L1508)),N(L1508)&lt;0))),"Durée invalide",IF(OR(AND(N1508&lt;&gt;"",OR(NOT(ISNUMBER(N1508)),N(N1508)&lt;0)),AND(P1508&lt;&gt;"",OR(NOT(ISNUMBER(P1508)),N(P1508)&lt;0))),"Coût invalide",IF(AND(M1508&lt;&gt;"",ISNA(MATCH(M1508,tech_name,0))),"Technicien inconnu",IF(AND(I1508="Terminée",S1508&gt;p_today),"Terminée à une date future",IF(AND(I1508="Terminée",V1508=0),"Durée d'intervention manquante",IF(AND(I1508="Terminée",E1508="Préventif",T1508=0,OR(IFERROR(INDEX(pl_trig,MATCH(F1508,pl_num,0))&amp;"","")="Compteur",IFERROR(INDEX(pl_trig,MATCH(F1508,pl_num,0))&amp;"","")="Au premier des deux")),"Compteur manquant (plan au compteur)","OK"))))))))))))))))))</f>
        <v/>
      </c>
      <c r="S1508" s="67">
        <f>IF(AND(ISNUMBER(B1508),N(B1508)&gt;0),INT(B1508),0)</f>
        <v>0.0</v>
      </c>
      <c r="T1508" s="67">
        <f>IF(AND(ISNUMBER(J1508),N(J1508)&gt;=0),N(J1508),0)</f>
        <v>0.0</v>
      </c>
      <c r="U1508" s="67">
        <f>IF(AND(ISNUMBER(K1508),N(K1508)&gt;0),N(K1508),0)</f>
        <v>0.0</v>
      </c>
      <c r="V1508" s="67">
        <f>IF(AND(ISNUMBER(L1508),N(L1508)&gt;0),N(L1508),0)</f>
        <v>0.0</v>
      </c>
      <c r="W1508" s="67">
        <f>IF(AND(I1508="Terminée",S1508&gt;0,C1508&lt;&gt;"",ISNUMBER(MATCH(C1508,eq_code,0))),1,0)</f>
        <v>0.0</v>
      </c>
      <c r="X1508" s="67">
        <f>IF(AND(W1508=1,E1508="Préventif"),1,0)</f>
        <v>0.0</v>
      </c>
      <c r="Y1508" s="67">
        <f>IF(AND(ISNUMBER(N1508),N(N1508)&gt;0),N(N1508),0)</f>
        <v>0.0</v>
      </c>
      <c r="Z1508" s="67">
        <f>IF(AND(ISNUMBER(P1508),N(P1508)&gt;0),N(P1508),0)</f>
        <v>0.0</v>
      </c>
    </row>
    <row r="1509">
      <c r="A1509" s="79" t="str">
        <f>IF(COUNTA(B1509:C1509,E1509:G1509,I1509)=0,"","BI-"&amp;RIGHT("0000"&amp;(ROW()-5),4))</f>
        <v/>
      </c>
      <c r="B1509" s="72" t="n"/>
      <c r="C1509" s="66" t="n"/>
      <c r="D1509" s="67" t="str">
        <f>IF(C1509="","",IFERROR(INDEX(eq_des,MATCH(C1509,eq_code,0))&amp;"","Équipement inconnu"))</f>
        <v/>
      </c>
      <c r="E1509" s="68" t="n"/>
      <c r="F1509" s="68" t="n"/>
      <c r="G1509" s="66" t="n"/>
      <c r="H1509" s="66" t="n"/>
      <c r="I1509" s="68" t="n"/>
      <c r="J1509" s="73" t="n"/>
      <c r="K1509" s="71" t="n"/>
      <c r="L1509" s="71" t="n"/>
      <c r="M1509" s="66" t="n"/>
      <c r="N1509" s="80" t="n"/>
      <c r="O1509" s="81" t="str">
        <f>IF(A1509="","",ROUND(V1509*IFERROR(N(INDEX(tech_rate,MATCH(M1509,tech_name,0))),0),2))</f>
        <v/>
      </c>
      <c r="P1509" s="80" t="n"/>
      <c r="Q1509" s="81" t="str">
        <f>IF(A1509="","",ROUND(Y1509+O1509+Z1509,2))</f>
        <v/>
      </c>
      <c r="R1509" s="79" t="str">
        <f>IF(A1509="","",IF(S1509=0,"Date manquante ou invalide",IF(C1509="","Équipement manquant",IF(ISNA(MATCH(C1509,eq_code,0)),"Équipement inconnu",IF(E1509="","Type manquant",IF(AND(E1509&lt;&gt;"Préventif",E1509&lt;&gt;"Correctif",E1509&lt;&gt;"Amélioratif"),"Type inconnu",IF(I1509="","Statut manquant",IF(AND(I1509&lt;&gt;"Terminée",I1509&lt;&gt;"En cours",I1509&lt;&gt;"À faire",I1509&lt;&gt;"Annulée"),"Statut inconnu",IF(AND(E1509="Préventif",F1509=""),"Plan manquant (préventif)",IF(AND(F1509&lt;&gt;"",ISNA(MATCH(F1509,pl_num,0))),"Plan inconnu",IF(AND(F1509&lt;&gt;"",IFERROR(INDEX(pl_eq,MATCH(F1509,pl_num,0))&amp;"",C1509)&lt;&gt;C1509),"Plan d'un autre équipement",IF(AND(J1509&lt;&gt;"",OR(NOT(ISNUMBER(J1509)),N(J1509)&lt;0)),"Compteur invalide",IF(OR(AND(K1509&lt;&gt;"",OR(NOT(ISNUMBER(K1509)),N(K1509)&lt;0)),AND(L1509&lt;&gt;"",OR(NOT(ISNUMBER(L1509)),N(L1509)&lt;0))),"Durée invalide",IF(OR(AND(N1509&lt;&gt;"",OR(NOT(ISNUMBER(N1509)),N(N1509)&lt;0)),AND(P1509&lt;&gt;"",OR(NOT(ISNUMBER(P1509)),N(P1509)&lt;0))),"Coût invalide",IF(AND(M1509&lt;&gt;"",ISNA(MATCH(M1509,tech_name,0))),"Technicien inconnu",IF(AND(I1509="Terminée",S1509&gt;p_today),"Terminée à une date future",IF(AND(I1509="Terminée",V1509=0),"Durée d'intervention manquante",IF(AND(I1509="Terminée",E1509="Préventif",T1509=0,OR(IFERROR(INDEX(pl_trig,MATCH(F1509,pl_num,0))&amp;"","")="Compteur",IFERROR(INDEX(pl_trig,MATCH(F1509,pl_num,0))&amp;"","")="Au premier des deux")),"Compteur manquant (plan au compteur)","OK"))))))))))))))))))</f>
        <v/>
      </c>
      <c r="S1509" s="67">
        <f>IF(AND(ISNUMBER(B1509),N(B1509)&gt;0),INT(B1509),0)</f>
        <v>0.0</v>
      </c>
      <c r="T1509" s="67">
        <f>IF(AND(ISNUMBER(J1509),N(J1509)&gt;=0),N(J1509),0)</f>
        <v>0.0</v>
      </c>
      <c r="U1509" s="67">
        <f>IF(AND(ISNUMBER(K1509),N(K1509)&gt;0),N(K1509),0)</f>
        <v>0.0</v>
      </c>
      <c r="V1509" s="67">
        <f>IF(AND(ISNUMBER(L1509),N(L1509)&gt;0),N(L1509),0)</f>
        <v>0.0</v>
      </c>
      <c r="W1509" s="67">
        <f>IF(AND(I1509="Terminée",S1509&gt;0,C1509&lt;&gt;"",ISNUMBER(MATCH(C1509,eq_code,0))),1,0)</f>
        <v>0.0</v>
      </c>
      <c r="X1509" s="67">
        <f>IF(AND(W1509=1,E1509="Préventif"),1,0)</f>
        <v>0.0</v>
      </c>
      <c r="Y1509" s="67">
        <f>IF(AND(ISNUMBER(N1509),N(N1509)&gt;0),N(N1509),0)</f>
        <v>0.0</v>
      </c>
      <c r="Z1509" s="67">
        <f>IF(AND(ISNUMBER(P1509),N(P1509)&gt;0),N(P1509),0)</f>
        <v>0.0</v>
      </c>
    </row>
    <row r="1510">
      <c r="A1510" s="79" t="str">
        <f>IF(COUNTA(B1510:C1510,E1510:G1510,I1510)=0,"","BI-"&amp;RIGHT("0000"&amp;(ROW()-5),4))</f>
        <v/>
      </c>
      <c r="B1510" s="72" t="n"/>
      <c r="C1510" s="66" t="n"/>
      <c r="D1510" s="67" t="str">
        <f>IF(C1510="","",IFERROR(INDEX(eq_des,MATCH(C1510,eq_code,0))&amp;"","Équipement inconnu"))</f>
        <v/>
      </c>
      <c r="E1510" s="68" t="n"/>
      <c r="F1510" s="68" t="n"/>
      <c r="G1510" s="66" t="n"/>
      <c r="H1510" s="66" t="n"/>
      <c r="I1510" s="68" t="n"/>
      <c r="J1510" s="73" t="n"/>
      <c r="K1510" s="71" t="n"/>
      <c r="L1510" s="71" t="n"/>
      <c r="M1510" s="66" t="n"/>
      <c r="N1510" s="80" t="n"/>
      <c r="O1510" s="81" t="str">
        <f>IF(A1510="","",ROUND(V1510*IFERROR(N(INDEX(tech_rate,MATCH(M1510,tech_name,0))),0),2))</f>
        <v/>
      </c>
      <c r="P1510" s="80" t="n"/>
      <c r="Q1510" s="81" t="str">
        <f>IF(A1510="","",ROUND(Y1510+O1510+Z1510,2))</f>
        <v/>
      </c>
      <c r="R1510" s="79" t="str">
        <f>IF(A1510="","",IF(S1510=0,"Date manquante ou invalide",IF(C1510="","Équipement manquant",IF(ISNA(MATCH(C1510,eq_code,0)),"Équipement inconnu",IF(E1510="","Type manquant",IF(AND(E1510&lt;&gt;"Préventif",E1510&lt;&gt;"Correctif",E1510&lt;&gt;"Amélioratif"),"Type inconnu",IF(I1510="","Statut manquant",IF(AND(I1510&lt;&gt;"Terminée",I1510&lt;&gt;"En cours",I1510&lt;&gt;"À faire",I1510&lt;&gt;"Annulée"),"Statut inconnu",IF(AND(E1510="Préventif",F1510=""),"Plan manquant (préventif)",IF(AND(F1510&lt;&gt;"",ISNA(MATCH(F1510,pl_num,0))),"Plan inconnu",IF(AND(F1510&lt;&gt;"",IFERROR(INDEX(pl_eq,MATCH(F1510,pl_num,0))&amp;"",C1510)&lt;&gt;C1510),"Plan d'un autre équipement",IF(AND(J1510&lt;&gt;"",OR(NOT(ISNUMBER(J1510)),N(J1510)&lt;0)),"Compteur invalide",IF(OR(AND(K1510&lt;&gt;"",OR(NOT(ISNUMBER(K1510)),N(K1510)&lt;0)),AND(L1510&lt;&gt;"",OR(NOT(ISNUMBER(L1510)),N(L1510)&lt;0))),"Durée invalide",IF(OR(AND(N1510&lt;&gt;"",OR(NOT(ISNUMBER(N1510)),N(N1510)&lt;0)),AND(P1510&lt;&gt;"",OR(NOT(ISNUMBER(P1510)),N(P1510)&lt;0))),"Coût invalide",IF(AND(M1510&lt;&gt;"",ISNA(MATCH(M1510,tech_name,0))),"Technicien inconnu",IF(AND(I1510="Terminée",S1510&gt;p_today),"Terminée à une date future",IF(AND(I1510="Terminée",V1510=0),"Durée d'intervention manquante",IF(AND(I1510="Terminée",E1510="Préventif",T1510=0,OR(IFERROR(INDEX(pl_trig,MATCH(F1510,pl_num,0))&amp;"","")="Compteur",IFERROR(INDEX(pl_trig,MATCH(F1510,pl_num,0))&amp;"","")="Au premier des deux")),"Compteur manquant (plan au compteur)","OK"))))))))))))))))))</f>
        <v/>
      </c>
      <c r="S1510" s="67">
        <f>IF(AND(ISNUMBER(B1510),N(B1510)&gt;0),INT(B1510),0)</f>
        <v>0.0</v>
      </c>
      <c r="T1510" s="67">
        <f>IF(AND(ISNUMBER(J1510),N(J1510)&gt;=0),N(J1510),0)</f>
        <v>0.0</v>
      </c>
      <c r="U1510" s="67">
        <f>IF(AND(ISNUMBER(K1510),N(K1510)&gt;0),N(K1510),0)</f>
        <v>0.0</v>
      </c>
      <c r="V1510" s="67">
        <f>IF(AND(ISNUMBER(L1510),N(L1510)&gt;0),N(L1510),0)</f>
        <v>0.0</v>
      </c>
      <c r="W1510" s="67">
        <f>IF(AND(I1510="Terminée",S1510&gt;0,C1510&lt;&gt;"",ISNUMBER(MATCH(C1510,eq_code,0))),1,0)</f>
        <v>0.0</v>
      </c>
      <c r="X1510" s="67">
        <f>IF(AND(W1510=1,E1510="Préventif"),1,0)</f>
        <v>0.0</v>
      </c>
      <c r="Y1510" s="67">
        <f>IF(AND(ISNUMBER(N1510),N(N1510)&gt;0),N(N1510),0)</f>
        <v>0.0</v>
      </c>
      <c r="Z1510" s="67">
        <f>IF(AND(ISNUMBER(P1510),N(P1510)&gt;0),N(P1510),0)</f>
        <v>0.0</v>
      </c>
    </row>
    <row r="1511">
      <c r="A1511" s="79" t="str">
        <f>IF(COUNTA(B1511:C1511,E1511:G1511,I1511)=0,"","BI-"&amp;RIGHT("0000"&amp;(ROW()-5),4))</f>
        <v/>
      </c>
      <c r="B1511" s="72" t="n"/>
      <c r="C1511" s="66" t="n"/>
      <c r="D1511" s="67" t="str">
        <f>IF(C1511="","",IFERROR(INDEX(eq_des,MATCH(C1511,eq_code,0))&amp;"","Équipement inconnu"))</f>
        <v/>
      </c>
      <c r="E1511" s="68" t="n"/>
      <c r="F1511" s="68" t="n"/>
      <c r="G1511" s="66" t="n"/>
      <c r="H1511" s="66" t="n"/>
      <c r="I1511" s="68" t="n"/>
      <c r="J1511" s="73" t="n"/>
      <c r="K1511" s="71" t="n"/>
      <c r="L1511" s="71" t="n"/>
      <c r="M1511" s="66" t="n"/>
      <c r="N1511" s="80" t="n"/>
      <c r="O1511" s="81" t="str">
        <f>IF(A1511="","",ROUND(V1511*IFERROR(N(INDEX(tech_rate,MATCH(M1511,tech_name,0))),0),2))</f>
        <v/>
      </c>
      <c r="P1511" s="80" t="n"/>
      <c r="Q1511" s="81" t="str">
        <f>IF(A1511="","",ROUND(Y1511+O1511+Z1511,2))</f>
        <v/>
      </c>
      <c r="R1511" s="79" t="str">
        <f>IF(A1511="","",IF(S1511=0,"Date manquante ou invalide",IF(C1511="","Équipement manquant",IF(ISNA(MATCH(C1511,eq_code,0)),"Équipement inconnu",IF(E1511="","Type manquant",IF(AND(E1511&lt;&gt;"Préventif",E1511&lt;&gt;"Correctif",E1511&lt;&gt;"Amélioratif"),"Type inconnu",IF(I1511="","Statut manquant",IF(AND(I1511&lt;&gt;"Terminée",I1511&lt;&gt;"En cours",I1511&lt;&gt;"À faire",I1511&lt;&gt;"Annulée"),"Statut inconnu",IF(AND(E1511="Préventif",F1511=""),"Plan manquant (préventif)",IF(AND(F1511&lt;&gt;"",ISNA(MATCH(F1511,pl_num,0))),"Plan inconnu",IF(AND(F1511&lt;&gt;"",IFERROR(INDEX(pl_eq,MATCH(F1511,pl_num,0))&amp;"",C1511)&lt;&gt;C1511),"Plan d'un autre équipement",IF(AND(J1511&lt;&gt;"",OR(NOT(ISNUMBER(J1511)),N(J1511)&lt;0)),"Compteur invalide",IF(OR(AND(K1511&lt;&gt;"",OR(NOT(ISNUMBER(K1511)),N(K1511)&lt;0)),AND(L1511&lt;&gt;"",OR(NOT(ISNUMBER(L1511)),N(L1511)&lt;0))),"Durée invalide",IF(OR(AND(N1511&lt;&gt;"",OR(NOT(ISNUMBER(N1511)),N(N1511)&lt;0)),AND(P1511&lt;&gt;"",OR(NOT(ISNUMBER(P1511)),N(P1511)&lt;0))),"Coût invalide",IF(AND(M1511&lt;&gt;"",ISNA(MATCH(M1511,tech_name,0))),"Technicien inconnu",IF(AND(I1511="Terminée",S1511&gt;p_today),"Terminée à une date future",IF(AND(I1511="Terminée",V1511=0),"Durée d'intervention manquante",IF(AND(I1511="Terminée",E1511="Préventif",T1511=0,OR(IFERROR(INDEX(pl_trig,MATCH(F1511,pl_num,0))&amp;"","")="Compteur",IFERROR(INDEX(pl_trig,MATCH(F1511,pl_num,0))&amp;"","")="Au premier des deux")),"Compteur manquant (plan au compteur)","OK"))))))))))))))))))</f>
        <v/>
      </c>
      <c r="S1511" s="67">
        <f>IF(AND(ISNUMBER(B1511),N(B1511)&gt;0),INT(B1511),0)</f>
        <v>0.0</v>
      </c>
      <c r="T1511" s="67">
        <f>IF(AND(ISNUMBER(J1511),N(J1511)&gt;=0),N(J1511),0)</f>
        <v>0.0</v>
      </c>
      <c r="U1511" s="67">
        <f>IF(AND(ISNUMBER(K1511),N(K1511)&gt;0),N(K1511),0)</f>
        <v>0.0</v>
      </c>
      <c r="V1511" s="67">
        <f>IF(AND(ISNUMBER(L1511),N(L1511)&gt;0),N(L1511),0)</f>
        <v>0.0</v>
      </c>
      <c r="W1511" s="67">
        <f>IF(AND(I1511="Terminée",S1511&gt;0,C1511&lt;&gt;"",ISNUMBER(MATCH(C1511,eq_code,0))),1,0)</f>
        <v>0.0</v>
      </c>
      <c r="X1511" s="67">
        <f>IF(AND(W1511=1,E1511="Préventif"),1,0)</f>
        <v>0.0</v>
      </c>
      <c r="Y1511" s="67">
        <f>IF(AND(ISNUMBER(N1511),N(N1511)&gt;0),N(N1511),0)</f>
        <v>0.0</v>
      </c>
      <c r="Z1511" s="67">
        <f>IF(AND(ISNUMBER(P1511),N(P1511)&gt;0),N(P1511),0)</f>
        <v>0.0</v>
      </c>
    </row>
    <row r="1512">
      <c r="A1512" s="79" t="str">
        <f>IF(COUNTA(B1512:C1512,E1512:G1512,I1512)=0,"","BI-"&amp;RIGHT("0000"&amp;(ROW()-5),4))</f>
        <v/>
      </c>
      <c r="B1512" s="72" t="n"/>
      <c r="C1512" s="66" t="n"/>
      <c r="D1512" s="67" t="str">
        <f>IF(C1512="","",IFERROR(INDEX(eq_des,MATCH(C1512,eq_code,0))&amp;"","Équipement inconnu"))</f>
        <v/>
      </c>
      <c r="E1512" s="68" t="n"/>
      <c r="F1512" s="68" t="n"/>
      <c r="G1512" s="66" t="n"/>
      <c r="H1512" s="66" t="n"/>
      <c r="I1512" s="68" t="n"/>
      <c r="J1512" s="73" t="n"/>
      <c r="K1512" s="71" t="n"/>
      <c r="L1512" s="71" t="n"/>
      <c r="M1512" s="66" t="n"/>
      <c r="N1512" s="80" t="n"/>
      <c r="O1512" s="81" t="str">
        <f>IF(A1512="","",ROUND(V1512*IFERROR(N(INDEX(tech_rate,MATCH(M1512,tech_name,0))),0),2))</f>
        <v/>
      </c>
      <c r="P1512" s="80" t="n"/>
      <c r="Q1512" s="81" t="str">
        <f>IF(A1512="","",ROUND(Y1512+O1512+Z1512,2))</f>
        <v/>
      </c>
      <c r="R1512" s="79" t="str">
        <f>IF(A1512="","",IF(S1512=0,"Date manquante ou invalide",IF(C1512="","Équipement manquant",IF(ISNA(MATCH(C1512,eq_code,0)),"Équipement inconnu",IF(E1512="","Type manquant",IF(AND(E1512&lt;&gt;"Préventif",E1512&lt;&gt;"Correctif",E1512&lt;&gt;"Amélioratif"),"Type inconnu",IF(I1512="","Statut manquant",IF(AND(I1512&lt;&gt;"Terminée",I1512&lt;&gt;"En cours",I1512&lt;&gt;"À faire",I1512&lt;&gt;"Annulée"),"Statut inconnu",IF(AND(E1512="Préventif",F1512=""),"Plan manquant (préventif)",IF(AND(F1512&lt;&gt;"",ISNA(MATCH(F1512,pl_num,0))),"Plan inconnu",IF(AND(F1512&lt;&gt;"",IFERROR(INDEX(pl_eq,MATCH(F1512,pl_num,0))&amp;"",C1512)&lt;&gt;C1512),"Plan d'un autre équipement",IF(AND(J1512&lt;&gt;"",OR(NOT(ISNUMBER(J1512)),N(J1512)&lt;0)),"Compteur invalide",IF(OR(AND(K1512&lt;&gt;"",OR(NOT(ISNUMBER(K1512)),N(K1512)&lt;0)),AND(L1512&lt;&gt;"",OR(NOT(ISNUMBER(L1512)),N(L1512)&lt;0))),"Durée invalide",IF(OR(AND(N1512&lt;&gt;"",OR(NOT(ISNUMBER(N1512)),N(N1512)&lt;0)),AND(P1512&lt;&gt;"",OR(NOT(ISNUMBER(P1512)),N(P1512)&lt;0))),"Coût invalide",IF(AND(M1512&lt;&gt;"",ISNA(MATCH(M1512,tech_name,0))),"Technicien inconnu",IF(AND(I1512="Terminée",S1512&gt;p_today),"Terminée à une date future",IF(AND(I1512="Terminée",V1512=0),"Durée d'intervention manquante",IF(AND(I1512="Terminée",E1512="Préventif",T1512=0,OR(IFERROR(INDEX(pl_trig,MATCH(F1512,pl_num,0))&amp;"","")="Compteur",IFERROR(INDEX(pl_trig,MATCH(F1512,pl_num,0))&amp;"","")="Au premier des deux")),"Compteur manquant (plan au compteur)","OK"))))))))))))))))))</f>
        <v/>
      </c>
      <c r="S1512" s="67">
        <f>IF(AND(ISNUMBER(B1512),N(B1512)&gt;0),INT(B1512),0)</f>
        <v>0.0</v>
      </c>
      <c r="T1512" s="67">
        <f>IF(AND(ISNUMBER(J1512),N(J1512)&gt;=0),N(J1512),0)</f>
        <v>0.0</v>
      </c>
      <c r="U1512" s="67">
        <f>IF(AND(ISNUMBER(K1512),N(K1512)&gt;0),N(K1512),0)</f>
        <v>0.0</v>
      </c>
      <c r="V1512" s="67">
        <f>IF(AND(ISNUMBER(L1512),N(L1512)&gt;0),N(L1512),0)</f>
        <v>0.0</v>
      </c>
      <c r="W1512" s="67">
        <f>IF(AND(I1512="Terminée",S1512&gt;0,C1512&lt;&gt;"",ISNUMBER(MATCH(C1512,eq_code,0))),1,0)</f>
        <v>0.0</v>
      </c>
      <c r="X1512" s="67">
        <f>IF(AND(W1512=1,E1512="Préventif"),1,0)</f>
        <v>0.0</v>
      </c>
      <c r="Y1512" s="67">
        <f>IF(AND(ISNUMBER(N1512),N(N1512)&gt;0),N(N1512),0)</f>
        <v>0.0</v>
      </c>
      <c r="Z1512" s="67">
        <f>IF(AND(ISNUMBER(P1512),N(P1512)&gt;0),N(P1512),0)</f>
        <v>0.0</v>
      </c>
    </row>
    <row r="1513">
      <c r="A1513" s="79" t="str">
        <f>IF(COUNTA(B1513:C1513,E1513:G1513,I1513)=0,"","BI-"&amp;RIGHT("0000"&amp;(ROW()-5),4))</f>
        <v/>
      </c>
      <c r="B1513" s="72" t="n"/>
      <c r="C1513" s="66" t="n"/>
      <c r="D1513" s="67" t="str">
        <f>IF(C1513="","",IFERROR(INDEX(eq_des,MATCH(C1513,eq_code,0))&amp;"","Équipement inconnu"))</f>
        <v/>
      </c>
      <c r="E1513" s="68" t="n"/>
      <c r="F1513" s="68" t="n"/>
      <c r="G1513" s="66" t="n"/>
      <c r="H1513" s="66" t="n"/>
      <c r="I1513" s="68" t="n"/>
      <c r="J1513" s="73" t="n"/>
      <c r="K1513" s="71" t="n"/>
      <c r="L1513" s="71" t="n"/>
      <c r="M1513" s="66" t="n"/>
      <c r="N1513" s="80" t="n"/>
      <c r="O1513" s="81" t="str">
        <f>IF(A1513="","",ROUND(V1513*IFERROR(N(INDEX(tech_rate,MATCH(M1513,tech_name,0))),0),2))</f>
        <v/>
      </c>
      <c r="P1513" s="80" t="n"/>
      <c r="Q1513" s="81" t="str">
        <f>IF(A1513="","",ROUND(Y1513+O1513+Z1513,2))</f>
        <v/>
      </c>
      <c r="R1513" s="79" t="str">
        <f>IF(A1513="","",IF(S1513=0,"Date manquante ou invalide",IF(C1513="","Équipement manquant",IF(ISNA(MATCH(C1513,eq_code,0)),"Équipement inconnu",IF(E1513="","Type manquant",IF(AND(E1513&lt;&gt;"Préventif",E1513&lt;&gt;"Correctif",E1513&lt;&gt;"Amélioratif"),"Type inconnu",IF(I1513="","Statut manquant",IF(AND(I1513&lt;&gt;"Terminée",I1513&lt;&gt;"En cours",I1513&lt;&gt;"À faire",I1513&lt;&gt;"Annulée"),"Statut inconnu",IF(AND(E1513="Préventif",F1513=""),"Plan manquant (préventif)",IF(AND(F1513&lt;&gt;"",ISNA(MATCH(F1513,pl_num,0))),"Plan inconnu",IF(AND(F1513&lt;&gt;"",IFERROR(INDEX(pl_eq,MATCH(F1513,pl_num,0))&amp;"",C1513)&lt;&gt;C1513),"Plan d'un autre équipement",IF(AND(J1513&lt;&gt;"",OR(NOT(ISNUMBER(J1513)),N(J1513)&lt;0)),"Compteur invalide",IF(OR(AND(K1513&lt;&gt;"",OR(NOT(ISNUMBER(K1513)),N(K1513)&lt;0)),AND(L1513&lt;&gt;"",OR(NOT(ISNUMBER(L1513)),N(L1513)&lt;0))),"Durée invalide",IF(OR(AND(N1513&lt;&gt;"",OR(NOT(ISNUMBER(N1513)),N(N1513)&lt;0)),AND(P1513&lt;&gt;"",OR(NOT(ISNUMBER(P1513)),N(P1513)&lt;0))),"Coût invalide",IF(AND(M1513&lt;&gt;"",ISNA(MATCH(M1513,tech_name,0))),"Technicien inconnu",IF(AND(I1513="Terminée",S1513&gt;p_today),"Terminée à une date future",IF(AND(I1513="Terminée",V1513=0),"Durée d'intervention manquante",IF(AND(I1513="Terminée",E1513="Préventif",T1513=0,OR(IFERROR(INDEX(pl_trig,MATCH(F1513,pl_num,0))&amp;"","")="Compteur",IFERROR(INDEX(pl_trig,MATCH(F1513,pl_num,0))&amp;"","")="Au premier des deux")),"Compteur manquant (plan au compteur)","OK"))))))))))))))))))</f>
        <v/>
      </c>
      <c r="S1513" s="67">
        <f>IF(AND(ISNUMBER(B1513),N(B1513)&gt;0),INT(B1513),0)</f>
        <v>0.0</v>
      </c>
      <c r="T1513" s="67">
        <f>IF(AND(ISNUMBER(J1513),N(J1513)&gt;=0),N(J1513),0)</f>
        <v>0.0</v>
      </c>
      <c r="U1513" s="67">
        <f>IF(AND(ISNUMBER(K1513),N(K1513)&gt;0),N(K1513),0)</f>
        <v>0.0</v>
      </c>
      <c r="V1513" s="67">
        <f>IF(AND(ISNUMBER(L1513),N(L1513)&gt;0),N(L1513),0)</f>
        <v>0.0</v>
      </c>
      <c r="W1513" s="67">
        <f>IF(AND(I1513="Terminée",S1513&gt;0,C1513&lt;&gt;"",ISNUMBER(MATCH(C1513,eq_code,0))),1,0)</f>
        <v>0.0</v>
      </c>
      <c r="X1513" s="67">
        <f>IF(AND(W1513=1,E1513="Préventif"),1,0)</f>
        <v>0.0</v>
      </c>
      <c r="Y1513" s="67">
        <f>IF(AND(ISNUMBER(N1513),N(N1513)&gt;0),N(N1513),0)</f>
        <v>0.0</v>
      </c>
      <c r="Z1513" s="67">
        <f>IF(AND(ISNUMBER(P1513),N(P1513)&gt;0),N(P1513),0)</f>
        <v>0.0</v>
      </c>
    </row>
    <row r="1514">
      <c r="A1514" s="79" t="str">
        <f>IF(COUNTA(B1514:C1514,E1514:G1514,I1514)=0,"","BI-"&amp;RIGHT("0000"&amp;(ROW()-5),4))</f>
        <v/>
      </c>
      <c r="B1514" s="72" t="n"/>
      <c r="C1514" s="66" t="n"/>
      <c r="D1514" s="67" t="str">
        <f>IF(C1514="","",IFERROR(INDEX(eq_des,MATCH(C1514,eq_code,0))&amp;"","Équipement inconnu"))</f>
        <v/>
      </c>
      <c r="E1514" s="68" t="n"/>
      <c r="F1514" s="68" t="n"/>
      <c r="G1514" s="66" t="n"/>
      <c r="H1514" s="66" t="n"/>
      <c r="I1514" s="68" t="n"/>
      <c r="J1514" s="73" t="n"/>
      <c r="K1514" s="71" t="n"/>
      <c r="L1514" s="71" t="n"/>
      <c r="M1514" s="66" t="n"/>
      <c r="N1514" s="80" t="n"/>
      <c r="O1514" s="81" t="str">
        <f>IF(A1514="","",ROUND(V1514*IFERROR(N(INDEX(tech_rate,MATCH(M1514,tech_name,0))),0),2))</f>
        <v/>
      </c>
      <c r="P1514" s="80" t="n"/>
      <c r="Q1514" s="81" t="str">
        <f>IF(A1514="","",ROUND(Y1514+O1514+Z1514,2))</f>
        <v/>
      </c>
      <c r="R1514" s="79" t="str">
        <f>IF(A1514="","",IF(S1514=0,"Date manquante ou invalide",IF(C1514="","Équipement manquant",IF(ISNA(MATCH(C1514,eq_code,0)),"Équipement inconnu",IF(E1514="","Type manquant",IF(AND(E1514&lt;&gt;"Préventif",E1514&lt;&gt;"Correctif",E1514&lt;&gt;"Amélioratif"),"Type inconnu",IF(I1514="","Statut manquant",IF(AND(I1514&lt;&gt;"Terminée",I1514&lt;&gt;"En cours",I1514&lt;&gt;"À faire",I1514&lt;&gt;"Annulée"),"Statut inconnu",IF(AND(E1514="Préventif",F1514=""),"Plan manquant (préventif)",IF(AND(F1514&lt;&gt;"",ISNA(MATCH(F1514,pl_num,0))),"Plan inconnu",IF(AND(F1514&lt;&gt;"",IFERROR(INDEX(pl_eq,MATCH(F1514,pl_num,0))&amp;"",C1514)&lt;&gt;C1514),"Plan d'un autre équipement",IF(AND(J1514&lt;&gt;"",OR(NOT(ISNUMBER(J1514)),N(J1514)&lt;0)),"Compteur invalide",IF(OR(AND(K1514&lt;&gt;"",OR(NOT(ISNUMBER(K1514)),N(K1514)&lt;0)),AND(L1514&lt;&gt;"",OR(NOT(ISNUMBER(L1514)),N(L1514)&lt;0))),"Durée invalide",IF(OR(AND(N1514&lt;&gt;"",OR(NOT(ISNUMBER(N1514)),N(N1514)&lt;0)),AND(P1514&lt;&gt;"",OR(NOT(ISNUMBER(P1514)),N(P1514)&lt;0))),"Coût invalide",IF(AND(M1514&lt;&gt;"",ISNA(MATCH(M1514,tech_name,0))),"Technicien inconnu",IF(AND(I1514="Terminée",S1514&gt;p_today),"Terminée à une date future",IF(AND(I1514="Terminée",V1514=0),"Durée d'intervention manquante",IF(AND(I1514="Terminée",E1514="Préventif",T1514=0,OR(IFERROR(INDEX(pl_trig,MATCH(F1514,pl_num,0))&amp;"","")="Compteur",IFERROR(INDEX(pl_trig,MATCH(F1514,pl_num,0))&amp;"","")="Au premier des deux")),"Compteur manquant (plan au compteur)","OK"))))))))))))))))))</f>
        <v/>
      </c>
      <c r="S1514" s="67">
        <f>IF(AND(ISNUMBER(B1514),N(B1514)&gt;0),INT(B1514),0)</f>
        <v>0.0</v>
      </c>
      <c r="T1514" s="67">
        <f>IF(AND(ISNUMBER(J1514),N(J1514)&gt;=0),N(J1514),0)</f>
        <v>0.0</v>
      </c>
      <c r="U1514" s="67">
        <f>IF(AND(ISNUMBER(K1514),N(K1514)&gt;0),N(K1514),0)</f>
        <v>0.0</v>
      </c>
      <c r="V1514" s="67">
        <f>IF(AND(ISNUMBER(L1514),N(L1514)&gt;0),N(L1514),0)</f>
        <v>0.0</v>
      </c>
      <c r="W1514" s="67">
        <f>IF(AND(I1514="Terminée",S1514&gt;0,C1514&lt;&gt;"",ISNUMBER(MATCH(C1514,eq_code,0))),1,0)</f>
        <v>0.0</v>
      </c>
      <c r="X1514" s="67">
        <f>IF(AND(W1514=1,E1514="Préventif"),1,0)</f>
        <v>0.0</v>
      </c>
      <c r="Y1514" s="67">
        <f>IF(AND(ISNUMBER(N1514),N(N1514)&gt;0),N(N1514),0)</f>
        <v>0.0</v>
      </c>
      <c r="Z1514" s="67">
        <f>IF(AND(ISNUMBER(P1514),N(P1514)&gt;0),N(P1514),0)</f>
        <v>0.0</v>
      </c>
    </row>
    <row r="1515">
      <c r="A1515" s="79" t="str">
        <f>IF(COUNTA(B1515:C1515,E1515:G1515,I1515)=0,"","BI-"&amp;RIGHT("0000"&amp;(ROW()-5),4))</f>
        <v/>
      </c>
      <c r="B1515" s="72" t="n"/>
      <c r="C1515" s="66" t="n"/>
      <c r="D1515" s="67" t="str">
        <f>IF(C1515="","",IFERROR(INDEX(eq_des,MATCH(C1515,eq_code,0))&amp;"","Équipement inconnu"))</f>
        <v/>
      </c>
      <c r="E1515" s="68" t="n"/>
      <c r="F1515" s="68" t="n"/>
      <c r="G1515" s="66" t="n"/>
      <c r="H1515" s="66" t="n"/>
      <c r="I1515" s="68" t="n"/>
      <c r="J1515" s="73" t="n"/>
      <c r="K1515" s="71" t="n"/>
      <c r="L1515" s="71" t="n"/>
      <c r="M1515" s="66" t="n"/>
      <c r="N1515" s="80" t="n"/>
      <c r="O1515" s="81" t="str">
        <f>IF(A1515="","",ROUND(V1515*IFERROR(N(INDEX(tech_rate,MATCH(M1515,tech_name,0))),0),2))</f>
        <v/>
      </c>
      <c r="P1515" s="80" t="n"/>
      <c r="Q1515" s="81" t="str">
        <f>IF(A1515="","",ROUND(Y1515+O1515+Z1515,2))</f>
        <v/>
      </c>
      <c r="R1515" s="79" t="str">
        <f>IF(A1515="","",IF(S1515=0,"Date manquante ou invalide",IF(C1515="","Équipement manquant",IF(ISNA(MATCH(C1515,eq_code,0)),"Équipement inconnu",IF(E1515="","Type manquant",IF(AND(E1515&lt;&gt;"Préventif",E1515&lt;&gt;"Correctif",E1515&lt;&gt;"Amélioratif"),"Type inconnu",IF(I1515="","Statut manquant",IF(AND(I1515&lt;&gt;"Terminée",I1515&lt;&gt;"En cours",I1515&lt;&gt;"À faire",I1515&lt;&gt;"Annulée"),"Statut inconnu",IF(AND(E1515="Préventif",F1515=""),"Plan manquant (préventif)",IF(AND(F1515&lt;&gt;"",ISNA(MATCH(F1515,pl_num,0))),"Plan inconnu",IF(AND(F1515&lt;&gt;"",IFERROR(INDEX(pl_eq,MATCH(F1515,pl_num,0))&amp;"",C1515)&lt;&gt;C1515),"Plan d'un autre équipement",IF(AND(J1515&lt;&gt;"",OR(NOT(ISNUMBER(J1515)),N(J1515)&lt;0)),"Compteur invalide",IF(OR(AND(K1515&lt;&gt;"",OR(NOT(ISNUMBER(K1515)),N(K1515)&lt;0)),AND(L1515&lt;&gt;"",OR(NOT(ISNUMBER(L1515)),N(L1515)&lt;0))),"Durée invalide",IF(OR(AND(N1515&lt;&gt;"",OR(NOT(ISNUMBER(N1515)),N(N1515)&lt;0)),AND(P1515&lt;&gt;"",OR(NOT(ISNUMBER(P1515)),N(P1515)&lt;0))),"Coût invalide",IF(AND(M1515&lt;&gt;"",ISNA(MATCH(M1515,tech_name,0))),"Technicien inconnu",IF(AND(I1515="Terminée",S1515&gt;p_today),"Terminée à une date future",IF(AND(I1515="Terminée",V1515=0),"Durée d'intervention manquante",IF(AND(I1515="Terminée",E1515="Préventif",T1515=0,OR(IFERROR(INDEX(pl_trig,MATCH(F1515,pl_num,0))&amp;"","")="Compteur",IFERROR(INDEX(pl_trig,MATCH(F1515,pl_num,0))&amp;"","")="Au premier des deux")),"Compteur manquant (plan au compteur)","OK"))))))))))))))))))</f>
        <v/>
      </c>
      <c r="S1515" s="67">
        <f>IF(AND(ISNUMBER(B1515),N(B1515)&gt;0),INT(B1515),0)</f>
        <v>0.0</v>
      </c>
      <c r="T1515" s="67">
        <f>IF(AND(ISNUMBER(J1515),N(J1515)&gt;=0),N(J1515),0)</f>
        <v>0.0</v>
      </c>
      <c r="U1515" s="67">
        <f>IF(AND(ISNUMBER(K1515),N(K1515)&gt;0),N(K1515),0)</f>
        <v>0.0</v>
      </c>
      <c r="V1515" s="67">
        <f>IF(AND(ISNUMBER(L1515),N(L1515)&gt;0),N(L1515),0)</f>
        <v>0.0</v>
      </c>
      <c r="W1515" s="67">
        <f>IF(AND(I1515="Terminée",S1515&gt;0,C1515&lt;&gt;"",ISNUMBER(MATCH(C1515,eq_code,0))),1,0)</f>
        <v>0.0</v>
      </c>
      <c r="X1515" s="67">
        <f>IF(AND(W1515=1,E1515="Préventif"),1,0)</f>
        <v>0.0</v>
      </c>
      <c r="Y1515" s="67">
        <f>IF(AND(ISNUMBER(N1515),N(N1515)&gt;0),N(N1515),0)</f>
        <v>0.0</v>
      </c>
      <c r="Z1515" s="67">
        <f>IF(AND(ISNUMBER(P1515),N(P1515)&gt;0),N(P1515),0)</f>
        <v>0.0</v>
      </c>
    </row>
    <row r="1516">
      <c r="A1516" s="79" t="str">
        <f>IF(COUNTA(B1516:C1516,E1516:G1516,I1516)=0,"","BI-"&amp;RIGHT("0000"&amp;(ROW()-5),4))</f>
        <v/>
      </c>
      <c r="B1516" s="72" t="n"/>
      <c r="C1516" s="66" t="n"/>
      <c r="D1516" s="67" t="str">
        <f>IF(C1516="","",IFERROR(INDEX(eq_des,MATCH(C1516,eq_code,0))&amp;"","Équipement inconnu"))</f>
        <v/>
      </c>
      <c r="E1516" s="68" t="n"/>
      <c r="F1516" s="68" t="n"/>
      <c r="G1516" s="66" t="n"/>
      <c r="H1516" s="66" t="n"/>
      <c r="I1516" s="68" t="n"/>
      <c r="J1516" s="73" t="n"/>
      <c r="K1516" s="71" t="n"/>
      <c r="L1516" s="71" t="n"/>
      <c r="M1516" s="66" t="n"/>
      <c r="N1516" s="80" t="n"/>
      <c r="O1516" s="81" t="str">
        <f>IF(A1516="","",ROUND(V1516*IFERROR(N(INDEX(tech_rate,MATCH(M1516,tech_name,0))),0),2))</f>
        <v/>
      </c>
      <c r="P1516" s="80" t="n"/>
      <c r="Q1516" s="81" t="str">
        <f>IF(A1516="","",ROUND(Y1516+O1516+Z1516,2))</f>
        <v/>
      </c>
      <c r="R1516" s="79" t="str">
        <f>IF(A1516="","",IF(S1516=0,"Date manquante ou invalide",IF(C1516="","Équipement manquant",IF(ISNA(MATCH(C1516,eq_code,0)),"Équipement inconnu",IF(E1516="","Type manquant",IF(AND(E1516&lt;&gt;"Préventif",E1516&lt;&gt;"Correctif",E1516&lt;&gt;"Amélioratif"),"Type inconnu",IF(I1516="","Statut manquant",IF(AND(I1516&lt;&gt;"Terminée",I1516&lt;&gt;"En cours",I1516&lt;&gt;"À faire",I1516&lt;&gt;"Annulée"),"Statut inconnu",IF(AND(E1516="Préventif",F1516=""),"Plan manquant (préventif)",IF(AND(F1516&lt;&gt;"",ISNA(MATCH(F1516,pl_num,0))),"Plan inconnu",IF(AND(F1516&lt;&gt;"",IFERROR(INDEX(pl_eq,MATCH(F1516,pl_num,0))&amp;"",C1516)&lt;&gt;C1516),"Plan d'un autre équipement",IF(AND(J1516&lt;&gt;"",OR(NOT(ISNUMBER(J1516)),N(J1516)&lt;0)),"Compteur invalide",IF(OR(AND(K1516&lt;&gt;"",OR(NOT(ISNUMBER(K1516)),N(K1516)&lt;0)),AND(L1516&lt;&gt;"",OR(NOT(ISNUMBER(L1516)),N(L1516)&lt;0))),"Durée invalide",IF(OR(AND(N1516&lt;&gt;"",OR(NOT(ISNUMBER(N1516)),N(N1516)&lt;0)),AND(P1516&lt;&gt;"",OR(NOT(ISNUMBER(P1516)),N(P1516)&lt;0))),"Coût invalide",IF(AND(M1516&lt;&gt;"",ISNA(MATCH(M1516,tech_name,0))),"Technicien inconnu",IF(AND(I1516="Terminée",S1516&gt;p_today),"Terminée à une date future",IF(AND(I1516="Terminée",V1516=0),"Durée d'intervention manquante",IF(AND(I1516="Terminée",E1516="Préventif",T1516=0,OR(IFERROR(INDEX(pl_trig,MATCH(F1516,pl_num,0))&amp;"","")="Compteur",IFERROR(INDEX(pl_trig,MATCH(F1516,pl_num,0))&amp;"","")="Au premier des deux")),"Compteur manquant (plan au compteur)","OK"))))))))))))))))))</f>
        <v/>
      </c>
      <c r="S1516" s="67">
        <f>IF(AND(ISNUMBER(B1516),N(B1516)&gt;0),INT(B1516),0)</f>
        <v>0.0</v>
      </c>
      <c r="T1516" s="67">
        <f>IF(AND(ISNUMBER(J1516),N(J1516)&gt;=0),N(J1516),0)</f>
        <v>0.0</v>
      </c>
      <c r="U1516" s="67">
        <f>IF(AND(ISNUMBER(K1516),N(K1516)&gt;0),N(K1516),0)</f>
        <v>0.0</v>
      </c>
      <c r="V1516" s="67">
        <f>IF(AND(ISNUMBER(L1516),N(L1516)&gt;0),N(L1516),0)</f>
        <v>0.0</v>
      </c>
      <c r="W1516" s="67">
        <f>IF(AND(I1516="Terminée",S1516&gt;0,C1516&lt;&gt;"",ISNUMBER(MATCH(C1516,eq_code,0))),1,0)</f>
        <v>0.0</v>
      </c>
      <c r="X1516" s="67">
        <f>IF(AND(W1516=1,E1516="Préventif"),1,0)</f>
        <v>0.0</v>
      </c>
      <c r="Y1516" s="67">
        <f>IF(AND(ISNUMBER(N1516),N(N1516)&gt;0),N(N1516),0)</f>
        <v>0.0</v>
      </c>
      <c r="Z1516" s="67">
        <f>IF(AND(ISNUMBER(P1516),N(P1516)&gt;0),N(P1516),0)</f>
        <v>0.0</v>
      </c>
    </row>
    <row r="1517">
      <c r="A1517" s="79" t="str">
        <f>IF(COUNTA(B1517:C1517,E1517:G1517,I1517)=0,"","BI-"&amp;RIGHT("0000"&amp;(ROW()-5),4))</f>
        <v/>
      </c>
      <c r="B1517" s="72" t="n"/>
      <c r="C1517" s="66" t="n"/>
      <c r="D1517" s="67" t="str">
        <f>IF(C1517="","",IFERROR(INDEX(eq_des,MATCH(C1517,eq_code,0))&amp;"","Équipement inconnu"))</f>
        <v/>
      </c>
      <c r="E1517" s="68" t="n"/>
      <c r="F1517" s="68" t="n"/>
      <c r="G1517" s="66" t="n"/>
      <c r="H1517" s="66" t="n"/>
      <c r="I1517" s="68" t="n"/>
      <c r="J1517" s="73" t="n"/>
      <c r="K1517" s="71" t="n"/>
      <c r="L1517" s="71" t="n"/>
      <c r="M1517" s="66" t="n"/>
      <c r="N1517" s="80" t="n"/>
      <c r="O1517" s="81" t="str">
        <f>IF(A1517="","",ROUND(V1517*IFERROR(N(INDEX(tech_rate,MATCH(M1517,tech_name,0))),0),2))</f>
        <v/>
      </c>
      <c r="P1517" s="80" t="n"/>
      <c r="Q1517" s="81" t="str">
        <f>IF(A1517="","",ROUND(Y1517+O1517+Z1517,2))</f>
        <v/>
      </c>
      <c r="R1517" s="79" t="str">
        <f>IF(A1517="","",IF(S1517=0,"Date manquante ou invalide",IF(C1517="","Équipement manquant",IF(ISNA(MATCH(C1517,eq_code,0)),"Équipement inconnu",IF(E1517="","Type manquant",IF(AND(E1517&lt;&gt;"Préventif",E1517&lt;&gt;"Correctif",E1517&lt;&gt;"Amélioratif"),"Type inconnu",IF(I1517="","Statut manquant",IF(AND(I1517&lt;&gt;"Terminée",I1517&lt;&gt;"En cours",I1517&lt;&gt;"À faire",I1517&lt;&gt;"Annulée"),"Statut inconnu",IF(AND(E1517="Préventif",F1517=""),"Plan manquant (préventif)",IF(AND(F1517&lt;&gt;"",ISNA(MATCH(F1517,pl_num,0))),"Plan inconnu",IF(AND(F1517&lt;&gt;"",IFERROR(INDEX(pl_eq,MATCH(F1517,pl_num,0))&amp;"",C1517)&lt;&gt;C1517),"Plan d'un autre équipement",IF(AND(J1517&lt;&gt;"",OR(NOT(ISNUMBER(J1517)),N(J1517)&lt;0)),"Compteur invalide",IF(OR(AND(K1517&lt;&gt;"",OR(NOT(ISNUMBER(K1517)),N(K1517)&lt;0)),AND(L1517&lt;&gt;"",OR(NOT(ISNUMBER(L1517)),N(L1517)&lt;0))),"Durée invalide",IF(OR(AND(N1517&lt;&gt;"",OR(NOT(ISNUMBER(N1517)),N(N1517)&lt;0)),AND(P1517&lt;&gt;"",OR(NOT(ISNUMBER(P1517)),N(P1517)&lt;0))),"Coût invalide",IF(AND(M1517&lt;&gt;"",ISNA(MATCH(M1517,tech_name,0))),"Technicien inconnu",IF(AND(I1517="Terminée",S1517&gt;p_today),"Terminée à une date future",IF(AND(I1517="Terminée",V1517=0),"Durée d'intervention manquante",IF(AND(I1517="Terminée",E1517="Préventif",T1517=0,OR(IFERROR(INDEX(pl_trig,MATCH(F1517,pl_num,0))&amp;"","")="Compteur",IFERROR(INDEX(pl_trig,MATCH(F1517,pl_num,0))&amp;"","")="Au premier des deux")),"Compteur manquant (plan au compteur)","OK"))))))))))))))))))</f>
        <v/>
      </c>
      <c r="S1517" s="67">
        <f>IF(AND(ISNUMBER(B1517),N(B1517)&gt;0),INT(B1517),0)</f>
        <v>0.0</v>
      </c>
      <c r="T1517" s="67">
        <f>IF(AND(ISNUMBER(J1517),N(J1517)&gt;=0),N(J1517),0)</f>
        <v>0.0</v>
      </c>
      <c r="U1517" s="67">
        <f>IF(AND(ISNUMBER(K1517),N(K1517)&gt;0),N(K1517),0)</f>
        <v>0.0</v>
      </c>
      <c r="V1517" s="67">
        <f>IF(AND(ISNUMBER(L1517),N(L1517)&gt;0),N(L1517),0)</f>
        <v>0.0</v>
      </c>
      <c r="W1517" s="67">
        <f>IF(AND(I1517="Terminée",S1517&gt;0,C1517&lt;&gt;"",ISNUMBER(MATCH(C1517,eq_code,0))),1,0)</f>
        <v>0.0</v>
      </c>
      <c r="X1517" s="67">
        <f>IF(AND(W1517=1,E1517="Préventif"),1,0)</f>
        <v>0.0</v>
      </c>
      <c r="Y1517" s="67">
        <f>IF(AND(ISNUMBER(N1517),N(N1517)&gt;0),N(N1517),0)</f>
        <v>0.0</v>
      </c>
      <c r="Z1517" s="67">
        <f>IF(AND(ISNUMBER(P1517),N(P1517)&gt;0),N(P1517),0)</f>
        <v>0.0</v>
      </c>
    </row>
    <row r="1518">
      <c r="A1518" s="79" t="str">
        <f>IF(COUNTA(B1518:C1518,E1518:G1518,I1518)=0,"","BI-"&amp;RIGHT("0000"&amp;(ROW()-5),4))</f>
        <v/>
      </c>
      <c r="B1518" s="72" t="n"/>
      <c r="C1518" s="66" t="n"/>
      <c r="D1518" s="67" t="str">
        <f>IF(C1518="","",IFERROR(INDEX(eq_des,MATCH(C1518,eq_code,0))&amp;"","Équipement inconnu"))</f>
        <v/>
      </c>
      <c r="E1518" s="68" t="n"/>
      <c r="F1518" s="68" t="n"/>
      <c r="G1518" s="66" t="n"/>
      <c r="H1518" s="66" t="n"/>
      <c r="I1518" s="68" t="n"/>
      <c r="J1518" s="73" t="n"/>
      <c r="K1518" s="71" t="n"/>
      <c r="L1518" s="71" t="n"/>
      <c r="M1518" s="66" t="n"/>
      <c r="N1518" s="80" t="n"/>
      <c r="O1518" s="81" t="str">
        <f>IF(A1518="","",ROUND(V1518*IFERROR(N(INDEX(tech_rate,MATCH(M1518,tech_name,0))),0),2))</f>
        <v/>
      </c>
      <c r="P1518" s="80" t="n"/>
      <c r="Q1518" s="81" t="str">
        <f>IF(A1518="","",ROUND(Y1518+O1518+Z1518,2))</f>
        <v/>
      </c>
      <c r="R1518" s="79" t="str">
        <f>IF(A1518="","",IF(S1518=0,"Date manquante ou invalide",IF(C1518="","Équipement manquant",IF(ISNA(MATCH(C1518,eq_code,0)),"Équipement inconnu",IF(E1518="","Type manquant",IF(AND(E1518&lt;&gt;"Préventif",E1518&lt;&gt;"Correctif",E1518&lt;&gt;"Amélioratif"),"Type inconnu",IF(I1518="","Statut manquant",IF(AND(I1518&lt;&gt;"Terminée",I1518&lt;&gt;"En cours",I1518&lt;&gt;"À faire",I1518&lt;&gt;"Annulée"),"Statut inconnu",IF(AND(E1518="Préventif",F1518=""),"Plan manquant (préventif)",IF(AND(F1518&lt;&gt;"",ISNA(MATCH(F1518,pl_num,0))),"Plan inconnu",IF(AND(F1518&lt;&gt;"",IFERROR(INDEX(pl_eq,MATCH(F1518,pl_num,0))&amp;"",C1518)&lt;&gt;C1518),"Plan d'un autre équipement",IF(AND(J1518&lt;&gt;"",OR(NOT(ISNUMBER(J1518)),N(J1518)&lt;0)),"Compteur invalide",IF(OR(AND(K1518&lt;&gt;"",OR(NOT(ISNUMBER(K1518)),N(K1518)&lt;0)),AND(L1518&lt;&gt;"",OR(NOT(ISNUMBER(L1518)),N(L1518)&lt;0))),"Durée invalide",IF(OR(AND(N1518&lt;&gt;"",OR(NOT(ISNUMBER(N1518)),N(N1518)&lt;0)),AND(P1518&lt;&gt;"",OR(NOT(ISNUMBER(P1518)),N(P1518)&lt;0))),"Coût invalide",IF(AND(M1518&lt;&gt;"",ISNA(MATCH(M1518,tech_name,0))),"Technicien inconnu",IF(AND(I1518="Terminée",S1518&gt;p_today),"Terminée à une date future",IF(AND(I1518="Terminée",V1518=0),"Durée d'intervention manquante",IF(AND(I1518="Terminée",E1518="Préventif",T1518=0,OR(IFERROR(INDEX(pl_trig,MATCH(F1518,pl_num,0))&amp;"","")="Compteur",IFERROR(INDEX(pl_trig,MATCH(F1518,pl_num,0))&amp;"","")="Au premier des deux")),"Compteur manquant (plan au compteur)","OK"))))))))))))))))))</f>
        <v/>
      </c>
      <c r="S1518" s="67">
        <f>IF(AND(ISNUMBER(B1518),N(B1518)&gt;0),INT(B1518),0)</f>
        <v>0.0</v>
      </c>
      <c r="T1518" s="67">
        <f>IF(AND(ISNUMBER(J1518),N(J1518)&gt;=0),N(J1518),0)</f>
        <v>0.0</v>
      </c>
      <c r="U1518" s="67">
        <f>IF(AND(ISNUMBER(K1518),N(K1518)&gt;0),N(K1518),0)</f>
        <v>0.0</v>
      </c>
      <c r="V1518" s="67">
        <f>IF(AND(ISNUMBER(L1518),N(L1518)&gt;0),N(L1518),0)</f>
        <v>0.0</v>
      </c>
      <c r="W1518" s="67">
        <f>IF(AND(I1518="Terminée",S1518&gt;0,C1518&lt;&gt;"",ISNUMBER(MATCH(C1518,eq_code,0))),1,0)</f>
        <v>0.0</v>
      </c>
      <c r="X1518" s="67">
        <f>IF(AND(W1518=1,E1518="Préventif"),1,0)</f>
        <v>0.0</v>
      </c>
      <c r="Y1518" s="67">
        <f>IF(AND(ISNUMBER(N1518),N(N1518)&gt;0),N(N1518),0)</f>
        <v>0.0</v>
      </c>
      <c r="Z1518" s="67">
        <f>IF(AND(ISNUMBER(P1518),N(P1518)&gt;0),N(P1518),0)</f>
        <v>0.0</v>
      </c>
    </row>
    <row r="1519">
      <c r="A1519" s="79" t="str">
        <f>IF(COUNTA(B1519:C1519,E1519:G1519,I1519)=0,"","BI-"&amp;RIGHT("0000"&amp;(ROW()-5),4))</f>
        <v/>
      </c>
      <c r="B1519" s="72" t="n"/>
      <c r="C1519" s="66" t="n"/>
      <c r="D1519" s="67" t="str">
        <f>IF(C1519="","",IFERROR(INDEX(eq_des,MATCH(C1519,eq_code,0))&amp;"","Équipement inconnu"))</f>
        <v/>
      </c>
      <c r="E1519" s="68" t="n"/>
      <c r="F1519" s="68" t="n"/>
      <c r="G1519" s="66" t="n"/>
      <c r="H1519" s="66" t="n"/>
      <c r="I1519" s="68" t="n"/>
      <c r="J1519" s="73" t="n"/>
      <c r="K1519" s="71" t="n"/>
      <c r="L1519" s="71" t="n"/>
      <c r="M1519" s="66" t="n"/>
      <c r="N1519" s="80" t="n"/>
      <c r="O1519" s="81" t="str">
        <f>IF(A1519="","",ROUND(V1519*IFERROR(N(INDEX(tech_rate,MATCH(M1519,tech_name,0))),0),2))</f>
        <v/>
      </c>
      <c r="P1519" s="80" t="n"/>
      <c r="Q1519" s="81" t="str">
        <f>IF(A1519="","",ROUND(Y1519+O1519+Z1519,2))</f>
        <v/>
      </c>
      <c r="R1519" s="79" t="str">
        <f>IF(A1519="","",IF(S1519=0,"Date manquante ou invalide",IF(C1519="","Équipement manquant",IF(ISNA(MATCH(C1519,eq_code,0)),"Équipement inconnu",IF(E1519="","Type manquant",IF(AND(E1519&lt;&gt;"Préventif",E1519&lt;&gt;"Correctif",E1519&lt;&gt;"Amélioratif"),"Type inconnu",IF(I1519="","Statut manquant",IF(AND(I1519&lt;&gt;"Terminée",I1519&lt;&gt;"En cours",I1519&lt;&gt;"À faire",I1519&lt;&gt;"Annulée"),"Statut inconnu",IF(AND(E1519="Préventif",F1519=""),"Plan manquant (préventif)",IF(AND(F1519&lt;&gt;"",ISNA(MATCH(F1519,pl_num,0))),"Plan inconnu",IF(AND(F1519&lt;&gt;"",IFERROR(INDEX(pl_eq,MATCH(F1519,pl_num,0))&amp;"",C1519)&lt;&gt;C1519),"Plan d'un autre équipement",IF(AND(J1519&lt;&gt;"",OR(NOT(ISNUMBER(J1519)),N(J1519)&lt;0)),"Compteur invalide",IF(OR(AND(K1519&lt;&gt;"",OR(NOT(ISNUMBER(K1519)),N(K1519)&lt;0)),AND(L1519&lt;&gt;"",OR(NOT(ISNUMBER(L1519)),N(L1519)&lt;0))),"Durée invalide",IF(OR(AND(N1519&lt;&gt;"",OR(NOT(ISNUMBER(N1519)),N(N1519)&lt;0)),AND(P1519&lt;&gt;"",OR(NOT(ISNUMBER(P1519)),N(P1519)&lt;0))),"Coût invalide",IF(AND(M1519&lt;&gt;"",ISNA(MATCH(M1519,tech_name,0))),"Technicien inconnu",IF(AND(I1519="Terminée",S1519&gt;p_today),"Terminée à une date future",IF(AND(I1519="Terminée",V1519=0),"Durée d'intervention manquante",IF(AND(I1519="Terminée",E1519="Préventif",T1519=0,OR(IFERROR(INDEX(pl_trig,MATCH(F1519,pl_num,0))&amp;"","")="Compteur",IFERROR(INDEX(pl_trig,MATCH(F1519,pl_num,0))&amp;"","")="Au premier des deux")),"Compteur manquant (plan au compteur)","OK"))))))))))))))))))</f>
        <v/>
      </c>
      <c r="S1519" s="67">
        <f>IF(AND(ISNUMBER(B1519),N(B1519)&gt;0),INT(B1519),0)</f>
        <v>0.0</v>
      </c>
      <c r="T1519" s="67">
        <f>IF(AND(ISNUMBER(J1519),N(J1519)&gt;=0),N(J1519),0)</f>
        <v>0.0</v>
      </c>
      <c r="U1519" s="67">
        <f>IF(AND(ISNUMBER(K1519),N(K1519)&gt;0),N(K1519),0)</f>
        <v>0.0</v>
      </c>
      <c r="V1519" s="67">
        <f>IF(AND(ISNUMBER(L1519),N(L1519)&gt;0),N(L1519),0)</f>
        <v>0.0</v>
      </c>
      <c r="W1519" s="67">
        <f>IF(AND(I1519="Terminée",S1519&gt;0,C1519&lt;&gt;"",ISNUMBER(MATCH(C1519,eq_code,0))),1,0)</f>
        <v>0.0</v>
      </c>
      <c r="X1519" s="67">
        <f>IF(AND(W1519=1,E1519="Préventif"),1,0)</f>
        <v>0.0</v>
      </c>
      <c r="Y1519" s="67">
        <f>IF(AND(ISNUMBER(N1519),N(N1519)&gt;0),N(N1519),0)</f>
        <v>0.0</v>
      </c>
      <c r="Z1519" s="67">
        <f>IF(AND(ISNUMBER(P1519),N(P1519)&gt;0),N(P1519),0)</f>
        <v>0.0</v>
      </c>
    </row>
    <row r="1520">
      <c r="A1520" s="79" t="str">
        <f>IF(COUNTA(B1520:C1520,E1520:G1520,I1520)=0,"","BI-"&amp;RIGHT("0000"&amp;(ROW()-5),4))</f>
        <v/>
      </c>
      <c r="B1520" s="72" t="n"/>
      <c r="C1520" s="66" t="n"/>
      <c r="D1520" s="67" t="str">
        <f>IF(C1520="","",IFERROR(INDEX(eq_des,MATCH(C1520,eq_code,0))&amp;"","Équipement inconnu"))</f>
        <v/>
      </c>
      <c r="E1520" s="68" t="n"/>
      <c r="F1520" s="68" t="n"/>
      <c r="G1520" s="66" t="n"/>
      <c r="H1520" s="66" t="n"/>
      <c r="I1520" s="68" t="n"/>
      <c r="J1520" s="73" t="n"/>
      <c r="K1520" s="71" t="n"/>
      <c r="L1520" s="71" t="n"/>
      <c r="M1520" s="66" t="n"/>
      <c r="N1520" s="80" t="n"/>
      <c r="O1520" s="81" t="str">
        <f>IF(A1520="","",ROUND(V1520*IFERROR(N(INDEX(tech_rate,MATCH(M1520,tech_name,0))),0),2))</f>
        <v/>
      </c>
      <c r="P1520" s="80" t="n"/>
      <c r="Q1520" s="81" t="str">
        <f>IF(A1520="","",ROUND(Y1520+O1520+Z1520,2))</f>
        <v/>
      </c>
      <c r="R1520" s="79" t="str">
        <f>IF(A1520="","",IF(S1520=0,"Date manquante ou invalide",IF(C1520="","Équipement manquant",IF(ISNA(MATCH(C1520,eq_code,0)),"Équipement inconnu",IF(E1520="","Type manquant",IF(AND(E1520&lt;&gt;"Préventif",E1520&lt;&gt;"Correctif",E1520&lt;&gt;"Amélioratif"),"Type inconnu",IF(I1520="","Statut manquant",IF(AND(I1520&lt;&gt;"Terminée",I1520&lt;&gt;"En cours",I1520&lt;&gt;"À faire",I1520&lt;&gt;"Annulée"),"Statut inconnu",IF(AND(E1520="Préventif",F1520=""),"Plan manquant (préventif)",IF(AND(F1520&lt;&gt;"",ISNA(MATCH(F1520,pl_num,0))),"Plan inconnu",IF(AND(F1520&lt;&gt;"",IFERROR(INDEX(pl_eq,MATCH(F1520,pl_num,0))&amp;"",C1520)&lt;&gt;C1520),"Plan d'un autre équipement",IF(AND(J1520&lt;&gt;"",OR(NOT(ISNUMBER(J1520)),N(J1520)&lt;0)),"Compteur invalide",IF(OR(AND(K1520&lt;&gt;"",OR(NOT(ISNUMBER(K1520)),N(K1520)&lt;0)),AND(L1520&lt;&gt;"",OR(NOT(ISNUMBER(L1520)),N(L1520)&lt;0))),"Durée invalide",IF(OR(AND(N1520&lt;&gt;"",OR(NOT(ISNUMBER(N1520)),N(N1520)&lt;0)),AND(P1520&lt;&gt;"",OR(NOT(ISNUMBER(P1520)),N(P1520)&lt;0))),"Coût invalide",IF(AND(M1520&lt;&gt;"",ISNA(MATCH(M1520,tech_name,0))),"Technicien inconnu",IF(AND(I1520="Terminée",S1520&gt;p_today),"Terminée à une date future",IF(AND(I1520="Terminée",V1520=0),"Durée d'intervention manquante",IF(AND(I1520="Terminée",E1520="Préventif",T1520=0,OR(IFERROR(INDEX(pl_trig,MATCH(F1520,pl_num,0))&amp;"","")="Compteur",IFERROR(INDEX(pl_trig,MATCH(F1520,pl_num,0))&amp;"","")="Au premier des deux")),"Compteur manquant (plan au compteur)","OK"))))))))))))))))))</f>
        <v/>
      </c>
      <c r="S1520" s="67">
        <f>IF(AND(ISNUMBER(B1520),N(B1520)&gt;0),INT(B1520),0)</f>
        <v>0.0</v>
      </c>
      <c r="T1520" s="67">
        <f>IF(AND(ISNUMBER(J1520),N(J1520)&gt;=0),N(J1520),0)</f>
        <v>0.0</v>
      </c>
      <c r="U1520" s="67">
        <f>IF(AND(ISNUMBER(K1520),N(K1520)&gt;0),N(K1520),0)</f>
        <v>0.0</v>
      </c>
      <c r="V1520" s="67">
        <f>IF(AND(ISNUMBER(L1520),N(L1520)&gt;0),N(L1520),0)</f>
        <v>0.0</v>
      </c>
      <c r="W1520" s="67">
        <f>IF(AND(I1520="Terminée",S1520&gt;0,C1520&lt;&gt;"",ISNUMBER(MATCH(C1520,eq_code,0))),1,0)</f>
        <v>0.0</v>
      </c>
      <c r="X1520" s="67">
        <f>IF(AND(W1520=1,E1520="Préventif"),1,0)</f>
        <v>0.0</v>
      </c>
      <c r="Y1520" s="67">
        <f>IF(AND(ISNUMBER(N1520),N(N1520)&gt;0),N(N1520),0)</f>
        <v>0.0</v>
      </c>
      <c r="Z1520" s="67">
        <f>IF(AND(ISNUMBER(P1520),N(P1520)&gt;0),N(P1520),0)</f>
        <v>0.0</v>
      </c>
    </row>
    <row r="1521">
      <c r="A1521" s="79" t="str">
        <f>IF(COUNTA(B1521:C1521,E1521:G1521,I1521)=0,"","BI-"&amp;RIGHT("0000"&amp;(ROW()-5),4))</f>
        <v/>
      </c>
      <c r="B1521" s="72" t="n"/>
      <c r="C1521" s="66" t="n"/>
      <c r="D1521" s="67" t="str">
        <f>IF(C1521="","",IFERROR(INDEX(eq_des,MATCH(C1521,eq_code,0))&amp;"","Équipement inconnu"))</f>
        <v/>
      </c>
      <c r="E1521" s="68" t="n"/>
      <c r="F1521" s="68" t="n"/>
      <c r="G1521" s="66" t="n"/>
      <c r="H1521" s="66" t="n"/>
      <c r="I1521" s="68" t="n"/>
      <c r="J1521" s="73" t="n"/>
      <c r="K1521" s="71" t="n"/>
      <c r="L1521" s="71" t="n"/>
      <c r="M1521" s="66" t="n"/>
      <c r="N1521" s="80" t="n"/>
      <c r="O1521" s="81" t="str">
        <f>IF(A1521="","",ROUND(V1521*IFERROR(N(INDEX(tech_rate,MATCH(M1521,tech_name,0))),0),2))</f>
        <v/>
      </c>
      <c r="P1521" s="80" t="n"/>
      <c r="Q1521" s="81" t="str">
        <f>IF(A1521="","",ROUND(Y1521+O1521+Z1521,2))</f>
        <v/>
      </c>
      <c r="R1521" s="79" t="str">
        <f>IF(A1521="","",IF(S1521=0,"Date manquante ou invalide",IF(C1521="","Équipement manquant",IF(ISNA(MATCH(C1521,eq_code,0)),"Équipement inconnu",IF(E1521="","Type manquant",IF(AND(E1521&lt;&gt;"Préventif",E1521&lt;&gt;"Correctif",E1521&lt;&gt;"Amélioratif"),"Type inconnu",IF(I1521="","Statut manquant",IF(AND(I1521&lt;&gt;"Terminée",I1521&lt;&gt;"En cours",I1521&lt;&gt;"À faire",I1521&lt;&gt;"Annulée"),"Statut inconnu",IF(AND(E1521="Préventif",F1521=""),"Plan manquant (préventif)",IF(AND(F1521&lt;&gt;"",ISNA(MATCH(F1521,pl_num,0))),"Plan inconnu",IF(AND(F1521&lt;&gt;"",IFERROR(INDEX(pl_eq,MATCH(F1521,pl_num,0))&amp;"",C1521)&lt;&gt;C1521),"Plan d'un autre équipement",IF(AND(J1521&lt;&gt;"",OR(NOT(ISNUMBER(J1521)),N(J1521)&lt;0)),"Compteur invalide",IF(OR(AND(K1521&lt;&gt;"",OR(NOT(ISNUMBER(K1521)),N(K1521)&lt;0)),AND(L1521&lt;&gt;"",OR(NOT(ISNUMBER(L1521)),N(L1521)&lt;0))),"Durée invalide",IF(OR(AND(N1521&lt;&gt;"",OR(NOT(ISNUMBER(N1521)),N(N1521)&lt;0)),AND(P1521&lt;&gt;"",OR(NOT(ISNUMBER(P1521)),N(P1521)&lt;0))),"Coût invalide",IF(AND(M1521&lt;&gt;"",ISNA(MATCH(M1521,tech_name,0))),"Technicien inconnu",IF(AND(I1521="Terminée",S1521&gt;p_today),"Terminée à une date future",IF(AND(I1521="Terminée",V1521=0),"Durée d'intervention manquante",IF(AND(I1521="Terminée",E1521="Préventif",T1521=0,OR(IFERROR(INDEX(pl_trig,MATCH(F1521,pl_num,0))&amp;"","")="Compteur",IFERROR(INDEX(pl_trig,MATCH(F1521,pl_num,0))&amp;"","")="Au premier des deux")),"Compteur manquant (plan au compteur)","OK"))))))))))))))))))</f>
        <v/>
      </c>
      <c r="S1521" s="67">
        <f>IF(AND(ISNUMBER(B1521),N(B1521)&gt;0),INT(B1521),0)</f>
        <v>0.0</v>
      </c>
      <c r="T1521" s="67">
        <f>IF(AND(ISNUMBER(J1521),N(J1521)&gt;=0),N(J1521),0)</f>
        <v>0.0</v>
      </c>
      <c r="U1521" s="67">
        <f>IF(AND(ISNUMBER(K1521),N(K1521)&gt;0),N(K1521),0)</f>
        <v>0.0</v>
      </c>
      <c r="V1521" s="67">
        <f>IF(AND(ISNUMBER(L1521),N(L1521)&gt;0),N(L1521),0)</f>
        <v>0.0</v>
      </c>
      <c r="W1521" s="67">
        <f>IF(AND(I1521="Terminée",S1521&gt;0,C1521&lt;&gt;"",ISNUMBER(MATCH(C1521,eq_code,0))),1,0)</f>
        <v>0.0</v>
      </c>
      <c r="X1521" s="67">
        <f>IF(AND(W1521=1,E1521="Préventif"),1,0)</f>
        <v>0.0</v>
      </c>
      <c r="Y1521" s="67">
        <f>IF(AND(ISNUMBER(N1521),N(N1521)&gt;0),N(N1521),0)</f>
        <v>0.0</v>
      </c>
      <c r="Z1521" s="67">
        <f>IF(AND(ISNUMBER(P1521),N(P1521)&gt;0),N(P1521),0)</f>
        <v>0.0</v>
      </c>
    </row>
    <row r="1522">
      <c r="A1522" s="79" t="str">
        <f>IF(COUNTA(B1522:C1522,E1522:G1522,I1522)=0,"","BI-"&amp;RIGHT("0000"&amp;(ROW()-5),4))</f>
        <v/>
      </c>
      <c r="B1522" s="72" t="n"/>
      <c r="C1522" s="66" t="n"/>
      <c r="D1522" s="67" t="str">
        <f>IF(C1522="","",IFERROR(INDEX(eq_des,MATCH(C1522,eq_code,0))&amp;"","Équipement inconnu"))</f>
        <v/>
      </c>
      <c r="E1522" s="68" t="n"/>
      <c r="F1522" s="68" t="n"/>
      <c r="G1522" s="66" t="n"/>
      <c r="H1522" s="66" t="n"/>
      <c r="I1522" s="68" t="n"/>
      <c r="J1522" s="73" t="n"/>
      <c r="K1522" s="71" t="n"/>
      <c r="L1522" s="71" t="n"/>
      <c r="M1522" s="66" t="n"/>
      <c r="N1522" s="80" t="n"/>
      <c r="O1522" s="81" t="str">
        <f>IF(A1522="","",ROUND(V1522*IFERROR(N(INDEX(tech_rate,MATCH(M1522,tech_name,0))),0),2))</f>
        <v/>
      </c>
      <c r="P1522" s="80" t="n"/>
      <c r="Q1522" s="81" t="str">
        <f>IF(A1522="","",ROUND(Y1522+O1522+Z1522,2))</f>
        <v/>
      </c>
      <c r="R1522" s="79" t="str">
        <f>IF(A1522="","",IF(S1522=0,"Date manquante ou invalide",IF(C1522="","Équipement manquant",IF(ISNA(MATCH(C1522,eq_code,0)),"Équipement inconnu",IF(E1522="","Type manquant",IF(AND(E1522&lt;&gt;"Préventif",E1522&lt;&gt;"Correctif",E1522&lt;&gt;"Amélioratif"),"Type inconnu",IF(I1522="","Statut manquant",IF(AND(I1522&lt;&gt;"Terminée",I1522&lt;&gt;"En cours",I1522&lt;&gt;"À faire",I1522&lt;&gt;"Annulée"),"Statut inconnu",IF(AND(E1522="Préventif",F1522=""),"Plan manquant (préventif)",IF(AND(F1522&lt;&gt;"",ISNA(MATCH(F1522,pl_num,0))),"Plan inconnu",IF(AND(F1522&lt;&gt;"",IFERROR(INDEX(pl_eq,MATCH(F1522,pl_num,0))&amp;"",C1522)&lt;&gt;C1522),"Plan d'un autre équipement",IF(AND(J1522&lt;&gt;"",OR(NOT(ISNUMBER(J1522)),N(J1522)&lt;0)),"Compteur invalide",IF(OR(AND(K1522&lt;&gt;"",OR(NOT(ISNUMBER(K1522)),N(K1522)&lt;0)),AND(L1522&lt;&gt;"",OR(NOT(ISNUMBER(L1522)),N(L1522)&lt;0))),"Durée invalide",IF(OR(AND(N1522&lt;&gt;"",OR(NOT(ISNUMBER(N1522)),N(N1522)&lt;0)),AND(P1522&lt;&gt;"",OR(NOT(ISNUMBER(P1522)),N(P1522)&lt;0))),"Coût invalide",IF(AND(M1522&lt;&gt;"",ISNA(MATCH(M1522,tech_name,0))),"Technicien inconnu",IF(AND(I1522="Terminée",S1522&gt;p_today),"Terminée à une date future",IF(AND(I1522="Terminée",V1522=0),"Durée d'intervention manquante",IF(AND(I1522="Terminée",E1522="Préventif",T1522=0,OR(IFERROR(INDEX(pl_trig,MATCH(F1522,pl_num,0))&amp;"","")="Compteur",IFERROR(INDEX(pl_trig,MATCH(F1522,pl_num,0))&amp;"","")="Au premier des deux")),"Compteur manquant (plan au compteur)","OK"))))))))))))))))))</f>
        <v/>
      </c>
      <c r="S1522" s="67">
        <f>IF(AND(ISNUMBER(B1522),N(B1522)&gt;0),INT(B1522),0)</f>
        <v>0.0</v>
      </c>
      <c r="T1522" s="67">
        <f>IF(AND(ISNUMBER(J1522),N(J1522)&gt;=0),N(J1522),0)</f>
        <v>0.0</v>
      </c>
      <c r="U1522" s="67">
        <f>IF(AND(ISNUMBER(K1522),N(K1522)&gt;0),N(K1522),0)</f>
        <v>0.0</v>
      </c>
      <c r="V1522" s="67">
        <f>IF(AND(ISNUMBER(L1522),N(L1522)&gt;0),N(L1522),0)</f>
        <v>0.0</v>
      </c>
      <c r="W1522" s="67">
        <f>IF(AND(I1522="Terminée",S1522&gt;0,C1522&lt;&gt;"",ISNUMBER(MATCH(C1522,eq_code,0))),1,0)</f>
        <v>0.0</v>
      </c>
      <c r="X1522" s="67">
        <f>IF(AND(W1522=1,E1522="Préventif"),1,0)</f>
        <v>0.0</v>
      </c>
      <c r="Y1522" s="67">
        <f>IF(AND(ISNUMBER(N1522),N(N1522)&gt;0),N(N1522),0)</f>
        <v>0.0</v>
      </c>
      <c r="Z1522" s="67">
        <f>IF(AND(ISNUMBER(P1522),N(P1522)&gt;0),N(P1522),0)</f>
        <v>0.0</v>
      </c>
    </row>
    <row r="1523">
      <c r="A1523" s="79" t="str">
        <f>IF(COUNTA(B1523:C1523,E1523:G1523,I1523)=0,"","BI-"&amp;RIGHT("0000"&amp;(ROW()-5),4))</f>
        <v/>
      </c>
      <c r="B1523" s="72" t="n"/>
      <c r="C1523" s="66" t="n"/>
      <c r="D1523" s="67" t="str">
        <f>IF(C1523="","",IFERROR(INDEX(eq_des,MATCH(C1523,eq_code,0))&amp;"","Équipement inconnu"))</f>
        <v/>
      </c>
      <c r="E1523" s="68" t="n"/>
      <c r="F1523" s="68" t="n"/>
      <c r="G1523" s="66" t="n"/>
      <c r="H1523" s="66" t="n"/>
      <c r="I1523" s="68" t="n"/>
      <c r="J1523" s="73" t="n"/>
      <c r="K1523" s="71" t="n"/>
      <c r="L1523" s="71" t="n"/>
      <c r="M1523" s="66" t="n"/>
      <c r="N1523" s="80" t="n"/>
      <c r="O1523" s="81" t="str">
        <f>IF(A1523="","",ROUND(V1523*IFERROR(N(INDEX(tech_rate,MATCH(M1523,tech_name,0))),0),2))</f>
        <v/>
      </c>
      <c r="P1523" s="80" t="n"/>
      <c r="Q1523" s="81" t="str">
        <f>IF(A1523="","",ROUND(Y1523+O1523+Z1523,2))</f>
        <v/>
      </c>
      <c r="R1523" s="79" t="str">
        <f>IF(A1523="","",IF(S1523=0,"Date manquante ou invalide",IF(C1523="","Équipement manquant",IF(ISNA(MATCH(C1523,eq_code,0)),"Équipement inconnu",IF(E1523="","Type manquant",IF(AND(E1523&lt;&gt;"Préventif",E1523&lt;&gt;"Correctif",E1523&lt;&gt;"Amélioratif"),"Type inconnu",IF(I1523="","Statut manquant",IF(AND(I1523&lt;&gt;"Terminée",I1523&lt;&gt;"En cours",I1523&lt;&gt;"À faire",I1523&lt;&gt;"Annulée"),"Statut inconnu",IF(AND(E1523="Préventif",F1523=""),"Plan manquant (préventif)",IF(AND(F1523&lt;&gt;"",ISNA(MATCH(F1523,pl_num,0))),"Plan inconnu",IF(AND(F1523&lt;&gt;"",IFERROR(INDEX(pl_eq,MATCH(F1523,pl_num,0))&amp;"",C1523)&lt;&gt;C1523),"Plan d'un autre équipement",IF(AND(J1523&lt;&gt;"",OR(NOT(ISNUMBER(J1523)),N(J1523)&lt;0)),"Compteur invalide",IF(OR(AND(K1523&lt;&gt;"",OR(NOT(ISNUMBER(K1523)),N(K1523)&lt;0)),AND(L1523&lt;&gt;"",OR(NOT(ISNUMBER(L1523)),N(L1523)&lt;0))),"Durée invalide",IF(OR(AND(N1523&lt;&gt;"",OR(NOT(ISNUMBER(N1523)),N(N1523)&lt;0)),AND(P1523&lt;&gt;"",OR(NOT(ISNUMBER(P1523)),N(P1523)&lt;0))),"Coût invalide",IF(AND(M1523&lt;&gt;"",ISNA(MATCH(M1523,tech_name,0))),"Technicien inconnu",IF(AND(I1523="Terminée",S1523&gt;p_today),"Terminée à une date future",IF(AND(I1523="Terminée",V1523=0),"Durée d'intervention manquante",IF(AND(I1523="Terminée",E1523="Préventif",T1523=0,OR(IFERROR(INDEX(pl_trig,MATCH(F1523,pl_num,0))&amp;"","")="Compteur",IFERROR(INDEX(pl_trig,MATCH(F1523,pl_num,0))&amp;"","")="Au premier des deux")),"Compteur manquant (plan au compteur)","OK"))))))))))))))))))</f>
        <v/>
      </c>
      <c r="S1523" s="67">
        <f>IF(AND(ISNUMBER(B1523),N(B1523)&gt;0),INT(B1523),0)</f>
        <v>0.0</v>
      </c>
      <c r="T1523" s="67">
        <f>IF(AND(ISNUMBER(J1523),N(J1523)&gt;=0),N(J1523),0)</f>
        <v>0.0</v>
      </c>
      <c r="U1523" s="67">
        <f>IF(AND(ISNUMBER(K1523),N(K1523)&gt;0),N(K1523),0)</f>
        <v>0.0</v>
      </c>
      <c r="V1523" s="67">
        <f>IF(AND(ISNUMBER(L1523),N(L1523)&gt;0),N(L1523),0)</f>
        <v>0.0</v>
      </c>
      <c r="W1523" s="67">
        <f>IF(AND(I1523="Terminée",S1523&gt;0,C1523&lt;&gt;"",ISNUMBER(MATCH(C1523,eq_code,0))),1,0)</f>
        <v>0.0</v>
      </c>
      <c r="X1523" s="67">
        <f>IF(AND(W1523=1,E1523="Préventif"),1,0)</f>
        <v>0.0</v>
      </c>
      <c r="Y1523" s="67">
        <f>IF(AND(ISNUMBER(N1523),N(N1523)&gt;0),N(N1523),0)</f>
        <v>0.0</v>
      </c>
      <c r="Z1523" s="67">
        <f>IF(AND(ISNUMBER(P1523),N(P1523)&gt;0),N(P1523),0)</f>
        <v>0.0</v>
      </c>
    </row>
    <row r="1524">
      <c r="A1524" s="79" t="str">
        <f>IF(COUNTA(B1524:C1524,E1524:G1524,I1524)=0,"","BI-"&amp;RIGHT("0000"&amp;(ROW()-5),4))</f>
        <v/>
      </c>
      <c r="B1524" s="72" t="n"/>
      <c r="C1524" s="66" t="n"/>
      <c r="D1524" s="67" t="str">
        <f>IF(C1524="","",IFERROR(INDEX(eq_des,MATCH(C1524,eq_code,0))&amp;"","Équipement inconnu"))</f>
        <v/>
      </c>
      <c r="E1524" s="68" t="n"/>
      <c r="F1524" s="68" t="n"/>
      <c r="G1524" s="66" t="n"/>
      <c r="H1524" s="66" t="n"/>
      <c r="I1524" s="68" t="n"/>
      <c r="J1524" s="73" t="n"/>
      <c r="K1524" s="71" t="n"/>
      <c r="L1524" s="71" t="n"/>
      <c r="M1524" s="66" t="n"/>
      <c r="N1524" s="80" t="n"/>
      <c r="O1524" s="81" t="str">
        <f>IF(A1524="","",ROUND(V1524*IFERROR(N(INDEX(tech_rate,MATCH(M1524,tech_name,0))),0),2))</f>
        <v/>
      </c>
      <c r="P1524" s="80" t="n"/>
      <c r="Q1524" s="81" t="str">
        <f>IF(A1524="","",ROUND(Y1524+O1524+Z1524,2))</f>
        <v/>
      </c>
      <c r="R1524" s="79" t="str">
        <f>IF(A1524="","",IF(S1524=0,"Date manquante ou invalide",IF(C1524="","Équipement manquant",IF(ISNA(MATCH(C1524,eq_code,0)),"Équipement inconnu",IF(E1524="","Type manquant",IF(AND(E1524&lt;&gt;"Préventif",E1524&lt;&gt;"Correctif",E1524&lt;&gt;"Amélioratif"),"Type inconnu",IF(I1524="","Statut manquant",IF(AND(I1524&lt;&gt;"Terminée",I1524&lt;&gt;"En cours",I1524&lt;&gt;"À faire",I1524&lt;&gt;"Annulée"),"Statut inconnu",IF(AND(E1524="Préventif",F1524=""),"Plan manquant (préventif)",IF(AND(F1524&lt;&gt;"",ISNA(MATCH(F1524,pl_num,0))),"Plan inconnu",IF(AND(F1524&lt;&gt;"",IFERROR(INDEX(pl_eq,MATCH(F1524,pl_num,0))&amp;"",C1524)&lt;&gt;C1524),"Plan d'un autre équipement",IF(AND(J1524&lt;&gt;"",OR(NOT(ISNUMBER(J1524)),N(J1524)&lt;0)),"Compteur invalide",IF(OR(AND(K1524&lt;&gt;"",OR(NOT(ISNUMBER(K1524)),N(K1524)&lt;0)),AND(L1524&lt;&gt;"",OR(NOT(ISNUMBER(L1524)),N(L1524)&lt;0))),"Durée invalide",IF(OR(AND(N1524&lt;&gt;"",OR(NOT(ISNUMBER(N1524)),N(N1524)&lt;0)),AND(P1524&lt;&gt;"",OR(NOT(ISNUMBER(P1524)),N(P1524)&lt;0))),"Coût invalide",IF(AND(M1524&lt;&gt;"",ISNA(MATCH(M1524,tech_name,0))),"Technicien inconnu",IF(AND(I1524="Terminée",S1524&gt;p_today),"Terminée à une date future",IF(AND(I1524="Terminée",V1524=0),"Durée d'intervention manquante",IF(AND(I1524="Terminée",E1524="Préventif",T1524=0,OR(IFERROR(INDEX(pl_trig,MATCH(F1524,pl_num,0))&amp;"","")="Compteur",IFERROR(INDEX(pl_trig,MATCH(F1524,pl_num,0))&amp;"","")="Au premier des deux")),"Compteur manquant (plan au compteur)","OK"))))))))))))))))))</f>
        <v/>
      </c>
      <c r="S1524" s="67">
        <f>IF(AND(ISNUMBER(B1524),N(B1524)&gt;0),INT(B1524),0)</f>
        <v>0.0</v>
      </c>
      <c r="T1524" s="67">
        <f>IF(AND(ISNUMBER(J1524),N(J1524)&gt;=0),N(J1524),0)</f>
        <v>0.0</v>
      </c>
      <c r="U1524" s="67">
        <f>IF(AND(ISNUMBER(K1524),N(K1524)&gt;0),N(K1524),0)</f>
        <v>0.0</v>
      </c>
      <c r="V1524" s="67">
        <f>IF(AND(ISNUMBER(L1524),N(L1524)&gt;0),N(L1524),0)</f>
        <v>0.0</v>
      </c>
      <c r="W1524" s="67">
        <f>IF(AND(I1524="Terminée",S1524&gt;0,C1524&lt;&gt;"",ISNUMBER(MATCH(C1524,eq_code,0))),1,0)</f>
        <v>0.0</v>
      </c>
      <c r="X1524" s="67">
        <f>IF(AND(W1524=1,E1524="Préventif"),1,0)</f>
        <v>0.0</v>
      </c>
      <c r="Y1524" s="67">
        <f>IF(AND(ISNUMBER(N1524),N(N1524)&gt;0),N(N1524),0)</f>
        <v>0.0</v>
      </c>
      <c r="Z1524" s="67">
        <f>IF(AND(ISNUMBER(P1524),N(P1524)&gt;0),N(P1524),0)</f>
        <v>0.0</v>
      </c>
    </row>
    <row r="1525">
      <c r="A1525" s="79" t="str">
        <f>IF(COUNTA(B1525:C1525,E1525:G1525,I1525)=0,"","BI-"&amp;RIGHT("0000"&amp;(ROW()-5),4))</f>
        <v/>
      </c>
      <c r="B1525" s="72" t="n"/>
      <c r="C1525" s="66" t="n"/>
      <c r="D1525" s="67" t="str">
        <f>IF(C1525="","",IFERROR(INDEX(eq_des,MATCH(C1525,eq_code,0))&amp;"","Équipement inconnu"))</f>
        <v/>
      </c>
      <c r="E1525" s="68" t="n"/>
      <c r="F1525" s="68" t="n"/>
      <c r="G1525" s="66" t="n"/>
      <c r="H1525" s="66" t="n"/>
      <c r="I1525" s="68" t="n"/>
      <c r="J1525" s="73" t="n"/>
      <c r="K1525" s="71" t="n"/>
      <c r="L1525" s="71" t="n"/>
      <c r="M1525" s="66" t="n"/>
      <c r="N1525" s="80" t="n"/>
      <c r="O1525" s="81" t="str">
        <f>IF(A1525="","",ROUND(V1525*IFERROR(N(INDEX(tech_rate,MATCH(M1525,tech_name,0))),0),2))</f>
        <v/>
      </c>
      <c r="P1525" s="80" t="n"/>
      <c r="Q1525" s="81" t="str">
        <f>IF(A1525="","",ROUND(Y1525+O1525+Z1525,2))</f>
        <v/>
      </c>
      <c r="R1525" s="79" t="str">
        <f>IF(A1525="","",IF(S1525=0,"Date manquante ou invalide",IF(C1525="","Équipement manquant",IF(ISNA(MATCH(C1525,eq_code,0)),"Équipement inconnu",IF(E1525="","Type manquant",IF(AND(E1525&lt;&gt;"Préventif",E1525&lt;&gt;"Correctif",E1525&lt;&gt;"Amélioratif"),"Type inconnu",IF(I1525="","Statut manquant",IF(AND(I1525&lt;&gt;"Terminée",I1525&lt;&gt;"En cours",I1525&lt;&gt;"À faire",I1525&lt;&gt;"Annulée"),"Statut inconnu",IF(AND(E1525="Préventif",F1525=""),"Plan manquant (préventif)",IF(AND(F1525&lt;&gt;"",ISNA(MATCH(F1525,pl_num,0))),"Plan inconnu",IF(AND(F1525&lt;&gt;"",IFERROR(INDEX(pl_eq,MATCH(F1525,pl_num,0))&amp;"",C1525)&lt;&gt;C1525),"Plan d'un autre équipement",IF(AND(J1525&lt;&gt;"",OR(NOT(ISNUMBER(J1525)),N(J1525)&lt;0)),"Compteur invalide",IF(OR(AND(K1525&lt;&gt;"",OR(NOT(ISNUMBER(K1525)),N(K1525)&lt;0)),AND(L1525&lt;&gt;"",OR(NOT(ISNUMBER(L1525)),N(L1525)&lt;0))),"Durée invalide",IF(OR(AND(N1525&lt;&gt;"",OR(NOT(ISNUMBER(N1525)),N(N1525)&lt;0)),AND(P1525&lt;&gt;"",OR(NOT(ISNUMBER(P1525)),N(P1525)&lt;0))),"Coût invalide",IF(AND(M1525&lt;&gt;"",ISNA(MATCH(M1525,tech_name,0))),"Technicien inconnu",IF(AND(I1525="Terminée",S1525&gt;p_today),"Terminée à une date future",IF(AND(I1525="Terminée",V1525=0),"Durée d'intervention manquante",IF(AND(I1525="Terminée",E1525="Préventif",T1525=0,OR(IFERROR(INDEX(pl_trig,MATCH(F1525,pl_num,0))&amp;"","")="Compteur",IFERROR(INDEX(pl_trig,MATCH(F1525,pl_num,0))&amp;"","")="Au premier des deux")),"Compteur manquant (plan au compteur)","OK"))))))))))))))))))</f>
        <v/>
      </c>
      <c r="S1525" s="67">
        <f>IF(AND(ISNUMBER(B1525),N(B1525)&gt;0),INT(B1525),0)</f>
        <v>0.0</v>
      </c>
      <c r="T1525" s="67">
        <f>IF(AND(ISNUMBER(J1525),N(J1525)&gt;=0),N(J1525),0)</f>
        <v>0.0</v>
      </c>
      <c r="U1525" s="67">
        <f>IF(AND(ISNUMBER(K1525),N(K1525)&gt;0),N(K1525),0)</f>
        <v>0.0</v>
      </c>
      <c r="V1525" s="67">
        <f>IF(AND(ISNUMBER(L1525),N(L1525)&gt;0),N(L1525),0)</f>
        <v>0.0</v>
      </c>
      <c r="W1525" s="67">
        <f>IF(AND(I1525="Terminée",S1525&gt;0,C1525&lt;&gt;"",ISNUMBER(MATCH(C1525,eq_code,0))),1,0)</f>
        <v>0.0</v>
      </c>
      <c r="X1525" s="67">
        <f>IF(AND(W1525=1,E1525="Préventif"),1,0)</f>
        <v>0.0</v>
      </c>
      <c r="Y1525" s="67">
        <f>IF(AND(ISNUMBER(N1525),N(N1525)&gt;0),N(N1525),0)</f>
        <v>0.0</v>
      </c>
      <c r="Z1525" s="67">
        <f>IF(AND(ISNUMBER(P1525),N(P1525)&gt;0),N(P1525),0)</f>
        <v>0.0</v>
      </c>
    </row>
    <row r="1526">
      <c r="A1526" s="79" t="str">
        <f>IF(COUNTA(B1526:C1526,E1526:G1526,I1526)=0,"","BI-"&amp;RIGHT("0000"&amp;(ROW()-5),4))</f>
        <v/>
      </c>
      <c r="B1526" s="72" t="n"/>
      <c r="C1526" s="66" t="n"/>
      <c r="D1526" s="67" t="str">
        <f>IF(C1526="","",IFERROR(INDEX(eq_des,MATCH(C1526,eq_code,0))&amp;"","Équipement inconnu"))</f>
        <v/>
      </c>
      <c r="E1526" s="68" t="n"/>
      <c r="F1526" s="68" t="n"/>
      <c r="G1526" s="66" t="n"/>
      <c r="H1526" s="66" t="n"/>
      <c r="I1526" s="68" t="n"/>
      <c r="J1526" s="73" t="n"/>
      <c r="K1526" s="71" t="n"/>
      <c r="L1526" s="71" t="n"/>
      <c r="M1526" s="66" t="n"/>
      <c r="N1526" s="80" t="n"/>
      <c r="O1526" s="81" t="str">
        <f>IF(A1526="","",ROUND(V1526*IFERROR(N(INDEX(tech_rate,MATCH(M1526,tech_name,0))),0),2))</f>
        <v/>
      </c>
      <c r="P1526" s="80" t="n"/>
      <c r="Q1526" s="81" t="str">
        <f>IF(A1526="","",ROUND(Y1526+O1526+Z1526,2))</f>
        <v/>
      </c>
      <c r="R1526" s="79" t="str">
        <f>IF(A1526="","",IF(S1526=0,"Date manquante ou invalide",IF(C1526="","Équipement manquant",IF(ISNA(MATCH(C1526,eq_code,0)),"Équipement inconnu",IF(E1526="","Type manquant",IF(AND(E1526&lt;&gt;"Préventif",E1526&lt;&gt;"Correctif",E1526&lt;&gt;"Amélioratif"),"Type inconnu",IF(I1526="","Statut manquant",IF(AND(I1526&lt;&gt;"Terminée",I1526&lt;&gt;"En cours",I1526&lt;&gt;"À faire",I1526&lt;&gt;"Annulée"),"Statut inconnu",IF(AND(E1526="Préventif",F1526=""),"Plan manquant (préventif)",IF(AND(F1526&lt;&gt;"",ISNA(MATCH(F1526,pl_num,0))),"Plan inconnu",IF(AND(F1526&lt;&gt;"",IFERROR(INDEX(pl_eq,MATCH(F1526,pl_num,0))&amp;"",C1526)&lt;&gt;C1526),"Plan d'un autre équipement",IF(AND(J1526&lt;&gt;"",OR(NOT(ISNUMBER(J1526)),N(J1526)&lt;0)),"Compteur invalide",IF(OR(AND(K1526&lt;&gt;"",OR(NOT(ISNUMBER(K1526)),N(K1526)&lt;0)),AND(L1526&lt;&gt;"",OR(NOT(ISNUMBER(L1526)),N(L1526)&lt;0))),"Durée invalide",IF(OR(AND(N1526&lt;&gt;"",OR(NOT(ISNUMBER(N1526)),N(N1526)&lt;0)),AND(P1526&lt;&gt;"",OR(NOT(ISNUMBER(P1526)),N(P1526)&lt;0))),"Coût invalide",IF(AND(M1526&lt;&gt;"",ISNA(MATCH(M1526,tech_name,0))),"Technicien inconnu",IF(AND(I1526="Terminée",S1526&gt;p_today),"Terminée à une date future",IF(AND(I1526="Terminée",V1526=0),"Durée d'intervention manquante",IF(AND(I1526="Terminée",E1526="Préventif",T1526=0,OR(IFERROR(INDEX(pl_trig,MATCH(F1526,pl_num,0))&amp;"","")="Compteur",IFERROR(INDEX(pl_trig,MATCH(F1526,pl_num,0))&amp;"","")="Au premier des deux")),"Compteur manquant (plan au compteur)","OK"))))))))))))))))))</f>
        <v/>
      </c>
      <c r="S1526" s="67">
        <f>IF(AND(ISNUMBER(B1526),N(B1526)&gt;0),INT(B1526),0)</f>
        <v>0.0</v>
      </c>
      <c r="T1526" s="67">
        <f>IF(AND(ISNUMBER(J1526),N(J1526)&gt;=0),N(J1526),0)</f>
        <v>0.0</v>
      </c>
      <c r="U1526" s="67">
        <f>IF(AND(ISNUMBER(K1526),N(K1526)&gt;0),N(K1526),0)</f>
        <v>0.0</v>
      </c>
      <c r="V1526" s="67">
        <f>IF(AND(ISNUMBER(L1526),N(L1526)&gt;0),N(L1526),0)</f>
        <v>0.0</v>
      </c>
      <c r="W1526" s="67">
        <f>IF(AND(I1526="Terminée",S1526&gt;0,C1526&lt;&gt;"",ISNUMBER(MATCH(C1526,eq_code,0))),1,0)</f>
        <v>0.0</v>
      </c>
      <c r="X1526" s="67">
        <f>IF(AND(W1526=1,E1526="Préventif"),1,0)</f>
        <v>0.0</v>
      </c>
      <c r="Y1526" s="67">
        <f>IF(AND(ISNUMBER(N1526),N(N1526)&gt;0),N(N1526),0)</f>
        <v>0.0</v>
      </c>
      <c r="Z1526" s="67">
        <f>IF(AND(ISNUMBER(P1526),N(P1526)&gt;0),N(P1526),0)</f>
        <v>0.0</v>
      </c>
    </row>
    <row r="1527">
      <c r="A1527" s="79" t="str">
        <f>IF(COUNTA(B1527:C1527,E1527:G1527,I1527)=0,"","BI-"&amp;RIGHT("0000"&amp;(ROW()-5),4))</f>
        <v/>
      </c>
      <c r="B1527" s="72" t="n"/>
      <c r="C1527" s="66" t="n"/>
      <c r="D1527" s="67" t="str">
        <f>IF(C1527="","",IFERROR(INDEX(eq_des,MATCH(C1527,eq_code,0))&amp;"","Équipement inconnu"))</f>
        <v/>
      </c>
      <c r="E1527" s="68" t="n"/>
      <c r="F1527" s="68" t="n"/>
      <c r="G1527" s="66" t="n"/>
      <c r="H1527" s="66" t="n"/>
      <c r="I1527" s="68" t="n"/>
      <c r="J1527" s="73" t="n"/>
      <c r="K1527" s="71" t="n"/>
      <c r="L1527" s="71" t="n"/>
      <c r="M1527" s="66" t="n"/>
      <c r="N1527" s="80" t="n"/>
      <c r="O1527" s="81" t="str">
        <f>IF(A1527="","",ROUND(V1527*IFERROR(N(INDEX(tech_rate,MATCH(M1527,tech_name,0))),0),2))</f>
        <v/>
      </c>
      <c r="P1527" s="80" t="n"/>
      <c r="Q1527" s="81" t="str">
        <f>IF(A1527="","",ROUND(Y1527+O1527+Z1527,2))</f>
        <v/>
      </c>
      <c r="R1527" s="79" t="str">
        <f>IF(A1527="","",IF(S1527=0,"Date manquante ou invalide",IF(C1527="","Équipement manquant",IF(ISNA(MATCH(C1527,eq_code,0)),"Équipement inconnu",IF(E1527="","Type manquant",IF(AND(E1527&lt;&gt;"Préventif",E1527&lt;&gt;"Correctif",E1527&lt;&gt;"Amélioratif"),"Type inconnu",IF(I1527="","Statut manquant",IF(AND(I1527&lt;&gt;"Terminée",I1527&lt;&gt;"En cours",I1527&lt;&gt;"À faire",I1527&lt;&gt;"Annulée"),"Statut inconnu",IF(AND(E1527="Préventif",F1527=""),"Plan manquant (préventif)",IF(AND(F1527&lt;&gt;"",ISNA(MATCH(F1527,pl_num,0))),"Plan inconnu",IF(AND(F1527&lt;&gt;"",IFERROR(INDEX(pl_eq,MATCH(F1527,pl_num,0))&amp;"",C1527)&lt;&gt;C1527),"Plan d'un autre équipement",IF(AND(J1527&lt;&gt;"",OR(NOT(ISNUMBER(J1527)),N(J1527)&lt;0)),"Compteur invalide",IF(OR(AND(K1527&lt;&gt;"",OR(NOT(ISNUMBER(K1527)),N(K1527)&lt;0)),AND(L1527&lt;&gt;"",OR(NOT(ISNUMBER(L1527)),N(L1527)&lt;0))),"Durée invalide",IF(OR(AND(N1527&lt;&gt;"",OR(NOT(ISNUMBER(N1527)),N(N1527)&lt;0)),AND(P1527&lt;&gt;"",OR(NOT(ISNUMBER(P1527)),N(P1527)&lt;0))),"Coût invalide",IF(AND(M1527&lt;&gt;"",ISNA(MATCH(M1527,tech_name,0))),"Technicien inconnu",IF(AND(I1527="Terminée",S1527&gt;p_today),"Terminée à une date future",IF(AND(I1527="Terminée",V1527=0),"Durée d'intervention manquante",IF(AND(I1527="Terminée",E1527="Préventif",T1527=0,OR(IFERROR(INDEX(pl_trig,MATCH(F1527,pl_num,0))&amp;"","")="Compteur",IFERROR(INDEX(pl_trig,MATCH(F1527,pl_num,0))&amp;"","")="Au premier des deux")),"Compteur manquant (plan au compteur)","OK"))))))))))))))))))</f>
        <v/>
      </c>
      <c r="S1527" s="67">
        <f>IF(AND(ISNUMBER(B1527),N(B1527)&gt;0),INT(B1527),0)</f>
        <v>0.0</v>
      </c>
      <c r="T1527" s="67">
        <f>IF(AND(ISNUMBER(J1527),N(J1527)&gt;=0),N(J1527),0)</f>
        <v>0.0</v>
      </c>
      <c r="U1527" s="67">
        <f>IF(AND(ISNUMBER(K1527),N(K1527)&gt;0),N(K1527),0)</f>
        <v>0.0</v>
      </c>
      <c r="V1527" s="67">
        <f>IF(AND(ISNUMBER(L1527),N(L1527)&gt;0),N(L1527),0)</f>
        <v>0.0</v>
      </c>
      <c r="W1527" s="67">
        <f>IF(AND(I1527="Terminée",S1527&gt;0,C1527&lt;&gt;"",ISNUMBER(MATCH(C1527,eq_code,0))),1,0)</f>
        <v>0.0</v>
      </c>
      <c r="X1527" s="67">
        <f>IF(AND(W1527=1,E1527="Préventif"),1,0)</f>
        <v>0.0</v>
      </c>
      <c r="Y1527" s="67">
        <f>IF(AND(ISNUMBER(N1527),N(N1527)&gt;0),N(N1527),0)</f>
        <v>0.0</v>
      </c>
      <c r="Z1527" s="67">
        <f>IF(AND(ISNUMBER(P1527),N(P1527)&gt;0),N(P1527),0)</f>
        <v>0.0</v>
      </c>
    </row>
    <row r="1528">
      <c r="A1528" s="79" t="str">
        <f>IF(COUNTA(B1528:C1528,E1528:G1528,I1528)=0,"","BI-"&amp;RIGHT("0000"&amp;(ROW()-5),4))</f>
        <v/>
      </c>
      <c r="B1528" s="72" t="n"/>
      <c r="C1528" s="66" t="n"/>
      <c r="D1528" s="67" t="str">
        <f>IF(C1528="","",IFERROR(INDEX(eq_des,MATCH(C1528,eq_code,0))&amp;"","Équipement inconnu"))</f>
        <v/>
      </c>
      <c r="E1528" s="68" t="n"/>
      <c r="F1528" s="68" t="n"/>
      <c r="G1528" s="66" t="n"/>
      <c r="H1528" s="66" t="n"/>
      <c r="I1528" s="68" t="n"/>
      <c r="J1528" s="73" t="n"/>
      <c r="K1528" s="71" t="n"/>
      <c r="L1528" s="71" t="n"/>
      <c r="M1528" s="66" t="n"/>
      <c r="N1528" s="80" t="n"/>
      <c r="O1528" s="81" t="str">
        <f>IF(A1528="","",ROUND(V1528*IFERROR(N(INDEX(tech_rate,MATCH(M1528,tech_name,0))),0),2))</f>
        <v/>
      </c>
      <c r="P1528" s="80" t="n"/>
      <c r="Q1528" s="81" t="str">
        <f>IF(A1528="","",ROUND(Y1528+O1528+Z1528,2))</f>
        <v/>
      </c>
      <c r="R1528" s="79" t="str">
        <f>IF(A1528="","",IF(S1528=0,"Date manquante ou invalide",IF(C1528="","Équipement manquant",IF(ISNA(MATCH(C1528,eq_code,0)),"Équipement inconnu",IF(E1528="","Type manquant",IF(AND(E1528&lt;&gt;"Préventif",E1528&lt;&gt;"Correctif",E1528&lt;&gt;"Amélioratif"),"Type inconnu",IF(I1528="","Statut manquant",IF(AND(I1528&lt;&gt;"Terminée",I1528&lt;&gt;"En cours",I1528&lt;&gt;"À faire",I1528&lt;&gt;"Annulée"),"Statut inconnu",IF(AND(E1528="Préventif",F1528=""),"Plan manquant (préventif)",IF(AND(F1528&lt;&gt;"",ISNA(MATCH(F1528,pl_num,0))),"Plan inconnu",IF(AND(F1528&lt;&gt;"",IFERROR(INDEX(pl_eq,MATCH(F1528,pl_num,0))&amp;"",C1528)&lt;&gt;C1528),"Plan d'un autre équipement",IF(AND(J1528&lt;&gt;"",OR(NOT(ISNUMBER(J1528)),N(J1528)&lt;0)),"Compteur invalide",IF(OR(AND(K1528&lt;&gt;"",OR(NOT(ISNUMBER(K1528)),N(K1528)&lt;0)),AND(L1528&lt;&gt;"",OR(NOT(ISNUMBER(L1528)),N(L1528)&lt;0))),"Durée invalide",IF(OR(AND(N1528&lt;&gt;"",OR(NOT(ISNUMBER(N1528)),N(N1528)&lt;0)),AND(P1528&lt;&gt;"",OR(NOT(ISNUMBER(P1528)),N(P1528)&lt;0))),"Coût invalide",IF(AND(M1528&lt;&gt;"",ISNA(MATCH(M1528,tech_name,0))),"Technicien inconnu",IF(AND(I1528="Terminée",S1528&gt;p_today),"Terminée à une date future",IF(AND(I1528="Terminée",V1528=0),"Durée d'intervention manquante",IF(AND(I1528="Terminée",E1528="Préventif",T1528=0,OR(IFERROR(INDEX(pl_trig,MATCH(F1528,pl_num,0))&amp;"","")="Compteur",IFERROR(INDEX(pl_trig,MATCH(F1528,pl_num,0))&amp;"","")="Au premier des deux")),"Compteur manquant (plan au compteur)","OK"))))))))))))))))))</f>
        <v/>
      </c>
      <c r="S1528" s="67">
        <f>IF(AND(ISNUMBER(B1528),N(B1528)&gt;0),INT(B1528),0)</f>
        <v>0.0</v>
      </c>
      <c r="T1528" s="67">
        <f>IF(AND(ISNUMBER(J1528),N(J1528)&gt;=0),N(J1528),0)</f>
        <v>0.0</v>
      </c>
      <c r="U1528" s="67">
        <f>IF(AND(ISNUMBER(K1528),N(K1528)&gt;0),N(K1528),0)</f>
        <v>0.0</v>
      </c>
      <c r="V1528" s="67">
        <f>IF(AND(ISNUMBER(L1528),N(L1528)&gt;0),N(L1528),0)</f>
        <v>0.0</v>
      </c>
      <c r="W1528" s="67">
        <f>IF(AND(I1528="Terminée",S1528&gt;0,C1528&lt;&gt;"",ISNUMBER(MATCH(C1528,eq_code,0))),1,0)</f>
        <v>0.0</v>
      </c>
      <c r="X1528" s="67">
        <f>IF(AND(W1528=1,E1528="Préventif"),1,0)</f>
        <v>0.0</v>
      </c>
      <c r="Y1528" s="67">
        <f>IF(AND(ISNUMBER(N1528),N(N1528)&gt;0),N(N1528),0)</f>
        <v>0.0</v>
      </c>
      <c r="Z1528" s="67">
        <f>IF(AND(ISNUMBER(P1528),N(P1528)&gt;0),N(P1528),0)</f>
        <v>0.0</v>
      </c>
    </row>
    <row r="1529">
      <c r="A1529" s="79" t="str">
        <f>IF(COUNTA(B1529:C1529,E1529:G1529,I1529)=0,"","BI-"&amp;RIGHT("0000"&amp;(ROW()-5),4))</f>
        <v/>
      </c>
      <c r="B1529" s="72" t="n"/>
      <c r="C1529" s="66" t="n"/>
      <c r="D1529" s="67" t="str">
        <f>IF(C1529="","",IFERROR(INDEX(eq_des,MATCH(C1529,eq_code,0))&amp;"","Équipement inconnu"))</f>
        <v/>
      </c>
      <c r="E1529" s="68" t="n"/>
      <c r="F1529" s="68" t="n"/>
      <c r="G1529" s="66" t="n"/>
      <c r="H1529" s="66" t="n"/>
      <c r="I1529" s="68" t="n"/>
      <c r="J1529" s="73" t="n"/>
      <c r="K1529" s="71" t="n"/>
      <c r="L1529" s="71" t="n"/>
      <c r="M1529" s="66" t="n"/>
      <c r="N1529" s="80" t="n"/>
      <c r="O1529" s="81" t="str">
        <f>IF(A1529="","",ROUND(V1529*IFERROR(N(INDEX(tech_rate,MATCH(M1529,tech_name,0))),0),2))</f>
        <v/>
      </c>
      <c r="P1529" s="80" t="n"/>
      <c r="Q1529" s="81" t="str">
        <f>IF(A1529="","",ROUND(Y1529+O1529+Z1529,2))</f>
        <v/>
      </c>
      <c r="R1529" s="79" t="str">
        <f>IF(A1529="","",IF(S1529=0,"Date manquante ou invalide",IF(C1529="","Équipement manquant",IF(ISNA(MATCH(C1529,eq_code,0)),"Équipement inconnu",IF(E1529="","Type manquant",IF(AND(E1529&lt;&gt;"Préventif",E1529&lt;&gt;"Correctif",E1529&lt;&gt;"Amélioratif"),"Type inconnu",IF(I1529="","Statut manquant",IF(AND(I1529&lt;&gt;"Terminée",I1529&lt;&gt;"En cours",I1529&lt;&gt;"À faire",I1529&lt;&gt;"Annulée"),"Statut inconnu",IF(AND(E1529="Préventif",F1529=""),"Plan manquant (préventif)",IF(AND(F1529&lt;&gt;"",ISNA(MATCH(F1529,pl_num,0))),"Plan inconnu",IF(AND(F1529&lt;&gt;"",IFERROR(INDEX(pl_eq,MATCH(F1529,pl_num,0))&amp;"",C1529)&lt;&gt;C1529),"Plan d'un autre équipement",IF(AND(J1529&lt;&gt;"",OR(NOT(ISNUMBER(J1529)),N(J1529)&lt;0)),"Compteur invalide",IF(OR(AND(K1529&lt;&gt;"",OR(NOT(ISNUMBER(K1529)),N(K1529)&lt;0)),AND(L1529&lt;&gt;"",OR(NOT(ISNUMBER(L1529)),N(L1529)&lt;0))),"Durée invalide",IF(OR(AND(N1529&lt;&gt;"",OR(NOT(ISNUMBER(N1529)),N(N1529)&lt;0)),AND(P1529&lt;&gt;"",OR(NOT(ISNUMBER(P1529)),N(P1529)&lt;0))),"Coût invalide",IF(AND(M1529&lt;&gt;"",ISNA(MATCH(M1529,tech_name,0))),"Technicien inconnu",IF(AND(I1529="Terminée",S1529&gt;p_today),"Terminée à une date future",IF(AND(I1529="Terminée",V1529=0),"Durée d'intervention manquante",IF(AND(I1529="Terminée",E1529="Préventif",T1529=0,OR(IFERROR(INDEX(pl_trig,MATCH(F1529,pl_num,0))&amp;"","")="Compteur",IFERROR(INDEX(pl_trig,MATCH(F1529,pl_num,0))&amp;"","")="Au premier des deux")),"Compteur manquant (plan au compteur)","OK"))))))))))))))))))</f>
        <v/>
      </c>
      <c r="S1529" s="67">
        <f>IF(AND(ISNUMBER(B1529),N(B1529)&gt;0),INT(B1529),0)</f>
        <v>0.0</v>
      </c>
      <c r="T1529" s="67">
        <f>IF(AND(ISNUMBER(J1529),N(J1529)&gt;=0),N(J1529),0)</f>
        <v>0.0</v>
      </c>
      <c r="U1529" s="67">
        <f>IF(AND(ISNUMBER(K1529),N(K1529)&gt;0),N(K1529),0)</f>
        <v>0.0</v>
      </c>
      <c r="V1529" s="67">
        <f>IF(AND(ISNUMBER(L1529),N(L1529)&gt;0),N(L1529),0)</f>
        <v>0.0</v>
      </c>
      <c r="W1529" s="67">
        <f>IF(AND(I1529="Terminée",S1529&gt;0,C1529&lt;&gt;"",ISNUMBER(MATCH(C1529,eq_code,0))),1,0)</f>
        <v>0.0</v>
      </c>
      <c r="X1529" s="67">
        <f>IF(AND(W1529=1,E1529="Préventif"),1,0)</f>
        <v>0.0</v>
      </c>
      <c r="Y1529" s="67">
        <f>IF(AND(ISNUMBER(N1529),N(N1529)&gt;0),N(N1529),0)</f>
        <v>0.0</v>
      </c>
      <c r="Z1529" s="67">
        <f>IF(AND(ISNUMBER(P1529),N(P1529)&gt;0),N(P1529),0)</f>
        <v>0.0</v>
      </c>
    </row>
    <row r="1530">
      <c r="A1530" s="79" t="str">
        <f>IF(COUNTA(B1530:C1530,E1530:G1530,I1530)=0,"","BI-"&amp;RIGHT("0000"&amp;(ROW()-5),4))</f>
        <v/>
      </c>
      <c r="B1530" s="72" t="n"/>
      <c r="C1530" s="66" t="n"/>
      <c r="D1530" s="67" t="str">
        <f>IF(C1530="","",IFERROR(INDEX(eq_des,MATCH(C1530,eq_code,0))&amp;"","Équipement inconnu"))</f>
        <v/>
      </c>
      <c r="E1530" s="68" t="n"/>
      <c r="F1530" s="68" t="n"/>
      <c r="G1530" s="66" t="n"/>
      <c r="H1530" s="66" t="n"/>
      <c r="I1530" s="68" t="n"/>
      <c r="J1530" s="73" t="n"/>
      <c r="K1530" s="71" t="n"/>
      <c r="L1530" s="71" t="n"/>
      <c r="M1530" s="66" t="n"/>
      <c r="N1530" s="80" t="n"/>
      <c r="O1530" s="81" t="str">
        <f>IF(A1530="","",ROUND(V1530*IFERROR(N(INDEX(tech_rate,MATCH(M1530,tech_name,0))),0),2))</f>
        <v/>
      </c>
      <c r="P1530" s="80" t="n"/>
      <c r="Q1530" s="81" t="str">
        <f>IF(A1530="","",ROUND(Y1530+O1530+Z1530,2))</f>
        <v/>
      </c>
      <c r="R1530" s="79" t="str">
        <f>IF(A1530="","",IF(S1530=0,"Date manquante ou invalide",IF(C1530="","Équipement manquant",IF(ISNA(MATCH(C1530,eq_code,0)),"Équipement inconnu",IF(E1530="","Type manquant",IF(AND(E1530&lt;&gt;"Préventif",E1530&lt;&gt;"Correctif",E1530&lt;&gt;"Amélioratif"),"Type inconnu",IF(I1530="","Statut manquant",IF(AND(I1530&lt;&gt;"Terminée",I1530&lt;&gt;"En cours",I1530&lt;&gt;"À faire",I1530&lt;&gt;"Annulée"),"Statut inconnu",IF(AND(E1530="Préventif",F1530=""),"Plan manquant (préventif)",IF(AND(F1530&lt;&gt;"",ISNA(MATCH(F1530,pl_num,0))),"Plan inconnu",IF(AND(F1530&lt;&gt;"",IFERROR(INDEX(pl_eq,MATCH(F1530,pl_num,0))&amp;"",C1530)&lt;&gt;C1530),"Plan d'un autre équipement",IF(AND(J1530&lt;&gt;"",OR(NOT(ISNUMBER(J1530)),N(J1530)&lt;0)),"Compteur invalide",IF(OR(AND(K1530&lt;&gt;"",OR(NOT(ISNUMBER(K1530)),N(K1530)&lt;0)),AND(L1530&lt;&gt;"",OR(NOT(ISNUMBER(L1530)),N(L1530)&lt;0))),"Durée invalide",IF(OR(AND(N1530&lt;&gt;"",OR(NOT(ISNUMBER(N1530)),N(N1530)&lt;0)),AND(P1530&lt;&gt;"",OR(NOT(ISNUMBER(P1530)),N(P1530)&lt;0))),"Coût invalide",IF(AND(M1530&lt;&gt;"",ISNA(MATCH(M1530,tech_name,0))),"Technicien inconnu",IF(AND(I1530="Terminée",S1530&gt;p_today),"Terminée à une date future",IF(AND(I1530="Terminée",V1530=0),"Durée d'intervention manquante",IF(AND(I1530="Terminée",E1530="Préventif",T1530=0,OR(IFERROR(INDEX(pl_trig,MATCH(F1530,pl_num,0))&amp;"","")="Compteur",IFERROR(INDEX(pl_trig,MATCH(F1530,pl_num,0))&amp;"","")="Au premier des deux")),"Compteur manquant (plan au compteur)","OK"))))))))))))))))))</f>
        <v/>
      </c>
      <c r="S1530" s="67">
        <f>IF(AND(ISNUMBER(B1530),N(B1530)&gt;0),INT(B1530),0)</f>
        <v>0.0</v>
      </c>
      <c r="T1530" s="67">
        <f>IF(AND(ISNUMBER(J1530),N(J1530)&gt;=0),N(J1530),0)</f>
        <v>0.0</v>
      </c>
      <c r="U1530" s="67">
        <f>IF(AND(ISNUMBER(K1530),N(K1530)&gt;0),N(K1530),0)</f>
        <v>0.0</v>
      </c>
      <c r="V1530" s="67">
        <f>IF(AND(ISNUMBER(L1530),N(L1530)&gt;0),N(L1530),0)</f>
        <v>0.0</v>
      </c>
      <c r="W1530" s="67">
        <f>IF(AND(I1530="Terminée",S1530&gt;0,C1530&lt;&gt;"",ISNUMBER(MATCH(C1530,eq_code,0))),1,0)</f>
        <v>0.0</v>
      </c>
      <c r="X1530" s="67">
        <f>IF(AND(W1530=1,E1530="Préventif"),1,0)</f>
        <v>0.0</v>
      </c>
      <c r="Y1530" s="67">
        <f>IF(AND(ISNUMBER(N1530),N(N1530)&gt;0),N(N1530),0)</f>
        <v>0.0</v>
      </c>
      <c r="Z1530" s="67">
        <f>IF(AND(ISNUMBER(P1530),N(P1530)&gt;0),N(P1530),0)</f>
        <v>0.0</v>
      </c>
    </row>
    <row r="1531">
      <c r="A1531" s="79" t="str">
        <f>IF(COUNTA(B1531:C1531,E1531:G1531,I1531)=0,"","BI-"&amp;RIGHT("0000"&amp;(ROW()-5),4))</f>
        <v/>
      </c>
      <c r="B1531" s="72" t="n"/>
      <c r="C1531" s="66" t="n"/>
      <c r="D1531" s="67" t="str">
        <f>IF(C1531="","",IFERROR(INDEX(eq_des,MATCH(C1531,eq_code,0))&amp;"","Équipement inconnu"))</f>
        <v/>
      </c>
      <c r="E1531" s="68" t="n"/>
      <c r="F1531" s="68" t="n"/>
      <c r="G1531" s="66" t="n"/>
      <c r="H1531" s="66" t="n"/>
      <c r="I1531" s="68" t="n"/>
      <c r="J1531" s="73" t="n"/>
      <c r="K1531" s="71" t="n"/>
      <c r="L1531" s="71" t="n"/>
      <c r="M1531" s="66" t="n"/>
      <c r="N1531" s="80" t="n"/>
      <c r="O1531" s="81" t="str">
        <f>IF(A1531="","",ROUND(V1531*IFERROR(N(INDEX(tech_rate,MATCH(M1531,tech_name,0))),0),2))</f>
        <v/>
      </c>
      <c r="P1531" s="80" t="n"/>
      <c r="Q1531" s="81" t="str">
        <f>IF(A1531="","",ROUND(Y1531+O1531+Z1531,2))</f>
        <v/>
      </c>
      <c r="R1531" s="79" t="str">
        <f>IF(A1531="","",IF(S1531=0,"Date manquante ou invalide",IF(C1531="","Équipement manquant",IF(ISNA(MATCH(C1531,eq_code,0)),"Équipement inconnu",IF(E1531="","Type manquant",IF(AND(E1531&lt;&gt;"Préventif",E1531&lt;&gt;"Correctif",E1531&lt;&gt;"Amélioratif"),"Type inconnu",IF(I1531="","Statut manquant",IF(AND(I1531&lt;&gt;"Terminée",I1531&lt;&gt;"En cours",I1531&lt;&gt;"À faire",I1531&lt;&gt;"Annulée"),"Statut inconnu",IF(AND(E1531="Préventif",F1531=""),"Plan manquant (préventif)",IF(AND(F1531&lt;&gt;"",ISNA(MATCH(F1531,pl_num,0))),"Plan inconnu",IF(AND(F1531&lt;&gt;"",IFERROR(INDEX(pl_eq,MATCH(F1531,pl_num,0))&amp;"",C1531)&lt;&gt;C1531),"Plan d'un autre équipement",IF(AND(J1531&lt;&gt;"",OR(NOT(ISNUMBER(J1531)),N(J1531)&lt;0)),"Compteur invalide",IF(OR(AND(K1531&lt;&gt;"",OR(NOT(ISNUMBER(K1531)),N(K1531)&lt;0)),AND(L1531&lt;&gt;"",OR(NOT(ISNUMBER(L1531)),N(L1531)&lt;0))),"Durée invalide",IF(OR(AND(N1531&lt;&gt;"",OR(NOT(ISNUMBER(N1531)),N(N1531)&lt;0)),AND(P1531&lt;&gt;"",OR(NOT(ISNUMBER(P1531)),N(P1531)&lt;0))),"Coût invalide",IF(AND(M1531&lt;&gt;"",ISNA(MATCH(M1531,tech_name,0))),"Technicien inconnu",IF(AND(I1531="Terminée",S1531&gt;p_today),"Terminée à une date future",IF(AND(I1531="Terminée",V1531=0),"Durée d'intervention manquante",IF(AND(I1531="Terminée",E1531="Préventif",T1531=0,OR(IFERROR(INDEX(pl_trig,MATCH(F1531,pl_num,0))&amp;"","")="Compteur",IFERROR(INDEX(pl_trig,MATCH(F1531,pl_num,0))&amp;"","")="Au premier des deux")),"Compteur manquant (plan au compteur)","OK"))))))))))))))))))</f>
        <v/>
      </c>
      <c r="S1531" s="67">
        <f>IF(AND(ISNUMBER(B1531),N(B1531)&gt;0),INT(B1531),0)</f>
        <v>0.0</v>
      </c>
      <c r="T1531" s="67">
        <f>IF(AND(ISNUMBER(J1531),N(J1531)&gt;=0),N(J1531),0)</f>
        <v>0.0</v>
      </c>
      <c r="U1531" s="67">
        <f>IF(AND(ISNUMBER(K1531),N(K1531)&gt;0),N(K1531),0)</f>
        <v>0.0</v>
      </c>
      <c r="V1531" s="67">
        <f>IF(AND(ISNUMBER(L1531),N(L1531)&gt;0),N(L1531),0)</f>
        <v>0.0</v>
      </c>
      <c r="W1531" s="67">
        <f>IF(AND(I1531="Terminée",S1531&gt;0,C1531&lt;&gt;"",ISNUMBER(MATCH(C1531,eq_code,0))),1,0)</f>
        <v>0.0</v>
      </c>
      <c r="X1531" s="67">
        <f>IF(AND(W1531=1,E1531="Préventif"),1,0)</f>
        <v>0.0</v>
      </c>
      <c r="Y1531" s="67">
        <f>IF(AND(ISNUMBER(N1531),N(N1531)&gt;0),N(N1531),0)</f>
        <v>0.0</v>
      </c>
      <c r="Z1531" s="67">
        <f>IF(AND(ISNUMBER(P1531),N(P1531)&gt;0),N(P1531),0)</f>
        <v>0.0</v>
      </c>
    </row>
    <row r="1532">
      <c r="A1532" s="79" t="str">
        <f>IF(COUNTA(B1532:C1532,E1532:G1532,I1532)=0,"","BI-"&amp;RIGHT("0000"&amp;(ROW()-5),4))</f>
        <v/>
      </c>
      <c r="B1532" s="72" t="n"/>
      <c r="C1532" s="66" t="n"/>
      <c r="D1532" s="67" t="str">
        <f>IF(C1532="","",IFERROR(INDEX(eq_des,MATCH(C1532,eq_code,0))&amp;"","Équipement inconnu"))</f>
        <v/>
      </c>
      <c r="E1532" s="68" t="n"/>
      <c r="F1532" s="68" t="n"/>
      <c r="G1532" s="66" t="n"/>
      <c r="H1532" s="66" t="n"/>
      <c r="I1532" s="68" t="n"/>
      <c r="J1532" s="73" t="n"/>
      <c r="K1532" s="71" t="n"/>
      <c r="L1532" s="71" t="n"/>
      <c r="M1532" s="66" t="n"/>
      <c r="N1532" s="80" t="n"/>
      <c r="O1532" s="81" t="str">
        <f>IF(A1532="","",ROUND(V1532*IFERROR(N(INDEX(tech_rate,MATCH(M1532,tech_name,0))),0),2))</f>
        <v/>
      </c>
      <c r="P1532" s="80" t="n"/>
      <c r="Q1532" s="81" t="str">
        <f>IF(A1532="","",ROUND(Y1532+O1532+Z1532,2))</f>
        <v/>
      </c>
      <c r="R1532" s="79" t="str">
        <f>IF(A1532="","",IF(S1532=0,"Date manquante ou invalide",IF(C1532="","Équipement manquant",IF(ISNA(MATCH(C1532,eq_code,0)),"Équipement inconnu",IF(E1532="","Type manquant",IF(AND(E1532&lt;&gt;"Préventif",E1532&lt;&gt;"Correctif",E1532&lt;&gt;"Amélioratif"),"Type inconnu",IF(I1532="","Statut manquant",IF(AND(I1532&lt;&gt;"Terminée",I1532&lt;&gt;"En cours",I1532&lt;&gt;"À faire",I1532&lt;&gt;"Annulée"),"Statut inconnu",IF(AND(E1532="Préventif",F1532=""),"Plan manquant (préventif)",IF(AND(F1532&lt;&gt;"",ISNA(MATCH(F1532,pl_num,0))),"Plan inconnu",IF(AND(F1532&lt;&gt;"",IFERROR(INDEX(pl_eq,MATCH(F1532,pl_num,0))&amp;"",C1532)&lt;&gt;C1532),"Plan d'un autre équipement",IF(AND(J1532&lt;&gt;"",OR(NOT(ISNUMBER(J1532)),N(J1532)&lt;0)),"Compteur invalide",IF(OR(AND(K1532&lt;&gt;"",OR(NOT(ISNUMBER(K1532)),N(K1532)&lt;0)),AND(L1532&lt;&gt;"",OR(NOT(ISNUMBER(L1532)),N(L1532)&lt;0))),"Durée invalide",IF(OR(AND(N1532&lt;&gt;"",OR(NOT(ISNUMBER(N1532)),N(N1532)&lt;0)),AND(P1532&lt;&gt;"",OR(NOT(ISNUMBER(P1532)),N(P1532)&lt;0))),"Coût invalide",IF(AND(M1532&lt;&gt;"",ISNA(MATCH(M1532,tech_name,0))),"Technicien inconnu",IF(AND(I1532="Terminée",S1532&gt;p_today),"Terminée à une date future",IF(AND(I1532="Terminée",V1532=0),"Durée d'intervention manquante",IF(AND(I1532="Terminée",E1532="Préventif",T1532=0,OR(IFERROR(INDEX(pl_trig,MATCH(F1532,pl_num,0))&amp;"","")="Compteur",IFERROR(INDEX(pl_trig,MATCH(F1532,pl_num,0))&amp;"","")="Au premier des deux")),"Compteur manquant (plan au compteur)","OK"))))))))))))))))))</f>
        <v/>
      </c>
      <c r="S1532" s="67">
        <f>IF(AND(ISNUMBER(B1532),N(B1532)&gt;0),INT(B1532),0)</f>
        <v>0.0</v>
      </c>
      <c r="T1532" s="67">
        <f>IF(AND(ISNUMBER(J1532),N(J1532)&gt;=0),N(J1532),0)</f>
        <v>0.0</v>
      </c>
      <c r="U1532" s="67">
        <f>IF(AND(ISNUMBER(K1532),N(K1532)&gt;0),N(K1532),0)</f>
        <v>0.0</v>
      </c>
      <c r="V1532" s="67">
        <f>IF(AND(ISNUMBER(L1532),N(L1532)&gt;0),N(L1532),0)</f>
        <v>0.0</v>
      </c>
      <c r="W1532" s="67">
        <f>IF(AND(I1532="Terminée",S1532&gt;0,C1532&lt;&gt;"",ISNUMBER(MATCH(C1532,eq_code,0))),1,0)</f>
        <v>0.0</v>
      </c>
      <c r="X1532" s="67">
        <f>IF(AND(W1532=1,E1532="Préventif"),1,0)</f>
        <v>0.0</v>
      </c>
      <c r="Y1532" s="67">
        <f>IF(AND(ISNUMBER(N1532),N(N1532)&gt;0),N(N1532),0)</f>
        <v>0.0</v>
      </c>
      <c r="Z1532" s="67">
        <f>IF(AND(ISNUMBER(P1532),N(P1532)&gt;0),N(P1532),0)</f>
        <v>0.0</v>
      </c>
    </row>
    <row r="1533">
      <c r="A1533" s="79" t="str">
        <f>IF(COUNTA(B1533:C1533,E1533:G1533,I1533)=0,"","BI-"&amp;RIGHT("0000"&amp;(ROW()-5),4))</f>
        <v/>
      </c>
      <c r="B1533" s="72" t="n"/>
      <c r="C1533" s="66" t="n"/>
      <c r="D1533" s="67" t="str">
        <f>IF(C1533="","",IFERROR(INDEX(eq_des,MATCH(C1533,eq_code,0))&amp;"","Équipement inconnu"))</f>
        <v/>
      </c>
      <c r="E1533" s="68" t="n"/>
      <c r="F1533" s="68" t="n"/>
      <c r="G1533" s="66" t="n"/>
      <c r="H1533" s="66" t="n"/>
      <c r="I1533" s="68" t="n"/>
      <c r="J1533" s="73" t="n"/>
      <c r="K1533" s="71" t="n"/>
      <c r="L1533" s="71" t="n"/>
      <c r="M1533" s="66" t="n"/>
      <c r="N1533" s="80" t="n"/>
      <c r="O1533" s="81" t="str">
        <f>IF(A1533="","",ROUND(V1533*IFERROR(N(INDEX(tech_rate,MATCH(M1533,tech_name,0))),0),2))</f>
        <v/>
      </c>
      <c r="P1533" s="80" t="n"/>
      <c r="Q1533" s="81" t="str">
        <f>IF(A1533="","",ROUND(Y1533+O1533+Z1533,2))</f>
        <v/>
      </c>
      <c r="R1533" s="79" t="str">
        <f>IF(A1533="","",IF(S1533=0,"Date manquante ou invalide",IF(C1533="","Équipement manquant",IF(ISNA(MATCH(C1533,eq_code,0)),"Équipement inconnu",IF(E1533="","Type manquant",IF(AND(E1533&lt;&gt;"Préventif",E1533&lt;&gt;"Correctif",E1533&lt;&gt;"Amélioratif"),"Type inconnu",IF(I1533="","Statut manquant",IF(AND(I1533&lt;&gt;"Terminée",I1533&lt;&gt;"En cours",I1533&lt;&gt;"À faire",I1533&lt;&gt;"Annulée"),"Statut inconnu",IF(AND(E1533="Préventif",F1533=""),"Plan manquant (préventif)",IF(AND(F1533&lt;&gt;"",ISNA(MATCH(F1533,pl_num,0))),"Plan inconnu",IF(AND(F1533&lt;&gt;"",IFERROR(INDEX(pl_eq,MATCH(F1533,pl_num,0))&amp;"",C1533)&lt;&gt;C1533),"Plan d'un autre équipement",IF(AND(J1533&lt;&gt;"",OR(NOT(ISNUMBER(J1533)),N(J1533)&lt;0)),"Compteur invalide",IF(OR(AND(K1533&lt;&gt;"",OR(NOT(ISNUMBER(K1533)),N(K1533)&lt;0)),AND(L1533&lt;&gt;"",OR(NOT(ISNUMBER(L1533)),N(L1533)&lt;0))),"Durée invalide",IF(OR(AND(N1533&lt;&gt;"",OR(NOT(ISNUMBER(N1533)),N(N1533)&lt;0)),AND(P1533&lt;&gt;"",OR(NOT(ISNUMBER(P1533)),N(P1533)&lt;0))),"Coût invalide",IF(AND(M1533&lt;&gt;"",ISNA(MATCH(M1533,tech_name,0))),"Technicien inconnu",IF(AND(I1533="Terminée",S1533&gt;p_today),"Terminée à une date future",IF(AND(I1533="Terminée",V1533=0),"Durée d'intervention manquante",IF(AND(I1533="Terminée",E1533="Préventif",T1533=0,OR(IFERROR(INDEX(pl_trig,MATCH(F1533,pl_num,0))&amp;"","")="Compteur",IFERROR(INDEX(pl_trig,MATCH(F1533,pl_num,0))&amp;"","")="Au premier des deux")),"Compteur manquant (plan au compteur)","OK"))))))))))))))))))</f>
        <v/>
      </c>
      <c r="S1533" s="67">
        <f>IF(AND(ISNUMBER(B1533),N(B1533)&gt;0),INT(B1533),0)</f>
        <v>0.0</v>
      </c>
      <c r="T1533" s="67">
        <f>IF(AND(ISNUMBER(J1533),N(J1533)&gt;=0),N(J1533),0)</f>
        <v>0.0</v>
      </c>
      <c r="U1533" s="67">
        <f>IF(AND(ISNUMBER(K1533),N(K1533)&gt;0),N(K1533),0)</f>
        <v>0.0</v>
      </c>
      <c r="V1533" s="67">
        <f>IF(AND(ISNUMBER(L1533),N(L1533)&gt;0),N(L1533),0)</f>
        <v>0.0</v>
      </c>
      <c r="W1533" s="67">
        <f>IF(AND(I1533="Terminée",S1533&gt;0,C1533&lt;&gt;"",ISNUMBER(MATCH(C1533,eq_code,0))),1,0)</f>
        <v>0.0</v>
      </c>
      <c r="X1533" s="67">
        <f>IF(AND(W1533=1,E1533="Préventif"),1,0)</f>
        <v>0.0</v>
      </c>
      <c r="Y1533" s="67">
        <f>IF(AND(ISNUMBER(N1533),N(N1533)&gt;0),N(N1533),0)</f>
        <v>0.0</v>
      </c>
      <c r="Z1533" s="67">
        <f>IF(AND(ISNUMBER(P1533),N(P1533)&gt;0),N(P1533),0)</f>
        <v>0.0</v>
      </c>
    </row>
    <row r="1534">
      <c r="A1534" s="79" t="str">
        <f>IF(COUNTA(B1534:C1534,E1534:G1534,I1534)=0,"","BI-"&amp;RIGHT("0000"&amp;(ROW()-5),4))</f>
        <v/>
      </c>
      <c r="B1534" s="72" t="n"/>
      <c r="C1534" s="66" t="n"/>
      <c r="D1534" s="67" t="str">
        <f>IF(C1534="","",IFERROR(INDEX(eq_des,MATCH(C1534,eq_code,0))&amp;"","Équipement inconnu"))</f>
        <v/>
      </c>
      <c r="E1534" s="68" t="n"/>
      <c r="F1534" s="68" t="n"/>
      <c r="G1534" s="66" t="n"/>
      <c r="H1534" s="66" t="n"/>
      <c r="I1534" s="68" t="n"/>
      <c r="J1534" s="73" t="n"/>
      <c r="K1534" s="71" t="n"/>
      <c r="L1534" s="71" t="n"/>
      <c r="M1534" s="66" t="n"/>
      <c r="N1534" s="80" t="n"/>
      <c r="O1534" s="81" t="str">
        <f>IF(A1534="","",ROUND(V1534*IFERROR(N(INDEX(tech_rate,MATCH(M1534,tech_name,0))),0),2))</f>
        <v/>
      </c>
      <c r="P1534" s="80" t="n"/>
      <c r="Q1534" s="81" t="str">
        <f>IF(A1534="","",ROUND(Y1534+O1534+Z1534,2))</f>
        <v/>
      </c>
      <c r="R1534" s="79" t="str">
        <f>IF(A1534="","",IF(S1534=0,"Date manquante ou invalide",IF(C1534="","Équipement manquant",IF(ISNA(MATCH(C1534,eq_code,0)),"Équipement inconnu",IF(E1534="","Type manquant",IF(AND(E1534&lt;&gt;"Préventif",E1534&lt;&gt;"Correctif",E1534&lt;&gt;"Amélioratif"),"Type inconnu",IF(I1534="","Statut manquant",IF(AND(I1534&lt;&gt;"Terminée",I1534&lt;&gt;"En cours",I1534&lt;&gt;"À faire",I1534&lt;&gt;"Annulée"),"Statut inconnu",IF(AND(E1534="Préventif",F1534=""),"Plan manquant (préventif)",IF(AND(F1534&lt;&gt;"",ISNA(MATCH(F1534,pl_num,0))),"Plan inconnu",IF(AND(F1534&lt;&gt;"",IFERROR(INDEX(pl_eq,MATCH(F1534,pl_num,0))&amp;"",C1534)&lt;&gt;C1534),"Plan d'un autre équipement",IF(AND(J1534&lt;&gt;"",OR(NOT(ISNUMBER(J1534)),N(J1534)&lt;0)),"Compteur invalide",IF(OR(AND(K1534&lt;&gt;"",OR(NOT(ISNUMBER(K1534)),N(K1534)&lt;0)),AND(L1534&lt;&gt;"",OR(NOT(ISNUMBER(L1534)),N(L1534)&lt;0))),"Durée invalide",IF(OR(AND(N1534&lt;&gt;"",OR(NOT(ISNUMBER(N1534)),N(N1534)&lt;0)),AND(P1534&lt;&gt;"",OR(NOT(ISNUMBER(P1534)),N(P1534)&lt;0))),"Coût invalide",IF(AND(M1534&lt;&gt;"",ISNA(MATCH(M1534,tech_name,0))),"Technicien inconnu",IF(AND(I1534="Terminée",S1534&gt;p_today),"Terminée à une date future",IF(AND(I1534="Terminée",V1534=0),"Durée d'intervention manquante",IF(AND(I1534="Terminée",E1534="Préventif",T1534=0,OR(IFERROR(INDEX(pl_trig,MATCH(F1534,pl_num,0))&amp;"","")="Compteur",IFERROR(INDEX(pl_trig,MATCH(F1534,pl_num,0))&amp;"","")="Au premier des deux")),"Compteur manquant (plan au compteur)","OK"))))))))))))))))))</f>
        <v/>
      </c>
      <c r="S1534" s="67">
        <f>IF(AND(ISNUMBER(B1534),N(B1534)&gt;0),INT(B1534),0)</f>
        <v>0.0</v>
      </c>
      <c r="T1534" s="67">
        <f>IF(AND(ISNUMBER(J1534),N(J1534)&gt;=0),N(J1534),0)</f>
        <v>0.0</v>
      </c>
      <c r="U1534" s="67">
        <f>IF(AND(ISNUMBER(K1534),N(K1534)&gt;0),N(K1534),0)</f>
        <v>0.0</v>
      </c>
      <c r="V1534" s="67">
        <f>IF(AND(ISNUMBER(L1534),N(L1534)&gt;0),N(L1534),0)</f>
        <v>0.0</v>
      </c>
      <c r="W1534" s="67">
        <f>IF(AND(I1534="Terminée",S1534&gt;0,C1534&lt;&gt;"",ISNUMBER(MATCH(C1534,eq_code,0))),1,0)</f>
        <v>0.0</v>
      </c>
      <c r="X1534" s="67">
        <f>IF(AND(W1534=1,E1534="Préventif"),1,0)</f>
        <v>0.0</v>
      </c>
      <c r="Y1534" s="67">
        <f>IF(AND(ISNUMBER(N1534),N(N1534)&gt;0),N(N1534),0)</f>
        <v>0.0</v>
      </c>
      <c r="Z1534" s="67">
        <f>IF(AND(ISNUMBER(P1534),N(P1534)&gt;0),N(P1534),0)</f>
        <v>0.0</v>
      </c>
    </row>
    <row r="1535">
      <c r="A1535" s="79" t="str">
        <f>IF(COUNTA(B1535:C1535,E1535:G1535,I1535)=0,"","BI-"&amp;RIGHT("0000"&amp;(ROW()-5),4))</f>
        <v/>
      </c>
      <c r="B1535" s="72" t="n"/>
      <c r="C1535" s="66" t="n"/>
      <c r="D1535" s="67" t="str">
        <f>IF(C1535="","",IFERROR(INDEX(eq_des,MATCH(C1535,eq_code,0))&amp;"","Équipement inconnu"))</f>
        <v/>
      </c>
      <c r="E1535" s="68" t="n"/>
      <c r="F1535" s="68" t="n"/>
      <c r="G1535" s="66" t="n"/>
      <c r="H1535" s="66" t="n"/>
      <c r="I1535" s="68" t="n"/>
      <c r="J1535" s="73" t="n"/>
      <c r="K1535" s="71" t="n"/>
      <c r="L1535" s="71" t="n"/>
      <c r="M1535" s="66" t="n"/>
      <c r="N1535" s="80" t="n"/>
      <c r="O1535" s="81" t="str">
        <f>IF(A1535="","",ROUND(V1535*IFERROR(N(INDEX(tech_rate,MATCH(M1535,tech_name,0))),0),2))</f>
        <v/>
      </c>
      <c r="P1535" s="80" t="n"/>
      <c r="Q1535" s="81" t="str">
        <f>IF(A1535="","",ROUND(Y1535+O1535+Z1535,2))</f>
        <v/>
      </c>
      <c r="R1535" s="79" t="str">
        <f>IF(A1535="","",IF(S1535=0,"Date manquante ou invalide",IF(C1535="","Équipement manquant",IF(ISNA(MATCH(C1535,eq_code,0)),"Équipement inconnu",IF(E1535="","Type manquant",IF(AND(E1535&lt;&gt;"Préventif",E1535&lt;&gt;"Correctif",E1535&lt;&gt;"Amélioratif"),"Type inconnu",IF(I1535="","Statut manquant",IF(AND(I1535&lt;&gt;"Terminée",I1535&lt;&gt;"En cours",I1535&lt;&gt;"À faire",I1535&lt;&gt;"Annulée"),"Statut inconnu",IF(AND(E1535="Préventif",F1535=""),"Plan manquant (préventif)",IF(AND(F1535&lt;&gt;"",ISNA(MATCH(F1535,pl_num,0))),"Plan inconnu",IF(AND(F1535&lt;&gt;"",IFERROR(INDEX(pl_eq,MATCH(F1535,pl_num,0))&amp;"",C1535)&lt;&gt;C1535),"Plan d'un autre équipement",IF(AND(J1535&lt;&gt;"",OR(NOT(ISNUMBER(J1535)),N(J1535)&lt;0)),"Compteur invalide",IF(OR(AND(K1535&lt;&gt;"",OR(NOT(ISNUMBER(K1535)),N(K1535)&lt;0)),AND(L1535&lt;&gt;"",OR(NOT(ISNUMBER(L1535)),N(L1535)&lt;0))),"Durée invalide",IF(OR(AND(N1535&lt;&gt;"",OR(NOT(ISNUMBER(N1535)),N(N1535)&lt;0)),AND(P1535&lt;&gt;"",OR(NOT(ISNUMBER(P1535)),N(P1535)&lt;0))),"Coût invalide",IF(AND(M1535&lt;&gt;"",ISNA(MATCH(M1535,tech_name,0))),"Technicien inconnu",IF(AND(I1535="Terminée",S1535&gt;p_today),"Terminée à une date future",IF(AND(I1535="Terminée",V1535=0),"Durée d'intervention manquante",IF(AND(I1535="Terminée",E1535="Préventif",T1535=0,OR(IFERROR(INDEX(pl_trig,MATCH(F1535,pl_num,0))&amp;"","")="Compteur",IFERROR(INDEX(pl_trig,MATCH(F1535,pl_num,0))&amp;"","")="Au premier des deux")),"Compteur manquant (plan au compteur)","OK"))))))))))))))))))</f>
        <v/>
      </c>
      <c r="S1535" s="67">
        <f>IF(AND(ISNUMBER(B1535),N(B1535)&gt;0),INT(B1535),0)</f>
        <v>0.0</v>
      </c>
      <c r="T1535" s="67">
        <f>IF(AND(ISNUMBER(J1535),N(J1535)&gt;=0),N(J1535),0)</f>
        <v>0.0</v>
      </c>
      <c r="U1535" s="67">
        <f>IF(AND(ISNUMBER(K1535),N(K1535)&gt;0),N(K1535),0)</f>
        <v>0.0</v>
      </c>
      <c r="V1535" s="67">
        <f>IF(AND(ISNUMBER(L1535),N(L1535)&gt;0),N(L1535),0)</f>
        <v>0.0</v>
      </c>
      <c r="W1535" s="67">
        <f>IF(AND(I1535="Terminée",S1535&gt;0,C1535&lt;&gt;"",ISNUMBER(MATCH(C1535,eq_code,0))),1,0)</f>
        <v>0.0</v>
      </c>
      <c r="X1535" s="67">
        <f>IF(AND(W1535=1,E1535="Préventif"),1,0)</f>
        <v>0.0</v>
      </c>
      <c r="Y1535" s="67">
        <f>IF(AND(ISNUMBER(N1535),N(N1535)&gt;0),N(N1535),0)</f>
        <v>0.0</v>
      </c>
      <c r="Z1535" s="67">
        <f>IF(AND(ISNUMBER(P1535),N(P1535)&gt;0),N(P1535),0)</f>
        <v>0.0</v>
      </c>
    </row>
    <row r="1536">
      <c r="A1536" s="79" t="str">
        <f>IF(COUNTA(B1536:C1536,E1536:G1536,I1536)=0,"","BI-"&amp;RIGHT("0000"&amp;(ROW()-5),4))</f>
        <v/>
      </c>
      <c r="B1536" s="72" t="n"/>
      <c r="C1536" s="66" t="n"/>
      <c r="D1536" s="67" t="str">
        <f>IF(C1536="","",IFERROR(INDEX(eq_des,MATCH(C1536,eq_code,0))&amp;"","Équipement inconnu"))</f>
        <v/>
      </c>
      <c r="E1536" s="68" t="n"/>
      <c r="F1536" s="68" t="n"/>
      <c r="G1536" s="66" t="n"/>
      <c r="H1536" s="66" t="n"/>
      <c r="I1536" s="68" t="n"/>
      <c r="J1536" s="73" t="n"/>
      <c r="K1536" s="71" t="n"/>
      <c r="L1536" s="71" t="n"/>
      <c r="M1536" s="66" t="n"/>
      <c r="N1536" s="80" t="n"/>
      <c r="O1536" s="81" t="str">
        <f>IF(A1536="","",ROUND(V1536*IFERROR(N(INDEX(tech_rate,MATCH(M1536,tech_name,0))),0),2))</f>
        <v/>
      </c>
      <c r="P1536" s="80" t="n"/>
      <c r="Q1536" s="81" t="str">
        <f>IF(A1536="","",ROUND(Y1536+O1536+Z1536,2))</f>
        <v/>
      </c>
      <c r="R1536" s="79" t="str">
        <f>IF(A1536="","",IF(S1536=0,"Date manquante ou invalide",IF(C1536="","Équipement manquant",IF(ISNA(MATCH(C1536,eq_code,0)),"Équipement inconnu",IF(E1536="","Type manquant",IF(AND(E1536&lt;&gt;"Préventif",E1536&lt;&gt;"Correctif",E1536&lt;&gt;"Amélioratif"),"Type inconnu",IF(I1536="","Statut manquant",IF(AND(I1536&lt;&gt;"Terminée",I1536&lt;&gt;"En cours",I1536&lt;&gt;"À faire",I1536&lt;&gt;"Annulée"),"Statut inconnu",IF(AND(E1536="Préventif",F1536=""),"Plan manquant (préventif)",IF(AND(F1536&lt;&gt;"",ISNA(MATCH(F1536,pl_num,0))),"Plan inconnu",IF(AND(F1536&lt;&gt;"",IFERROR(INDEX(pl_eq,MATCH(F1536,pl_num,0))&amp;"",C1536)&lt;&gt;C1536),"Plan d'un autre équipement",IF(AND(J1536&lt;&gt;"",OR(NOT(ISNUMBER(J1536)),N(J1536)&lt;0)),"Compteur invalide",IF(OR(AND(K1536&lt;&gt;"",OR(NOT(ISNUMBER(K1536)),N(K1536)&lt;0)),AND(L1536&lt;&gt;"",OR(NOT(ISNUMBER(L1536)),N(L1536)&lt;0))),"Durée invalide",IF(OR(AND(N1536&lt;&gt;"",OR(NOT(ISNUMBER(N1536)),N(N1536)&lt;0)),AND(P1536&lt;&gt;"",OR(NOT(ISNUMBER(P1536)),N(P1536)&lt;0))),"Coût invalide",IF(AND(M1536&lt;&gt;"",ISNA(MATCH(M1536,tech_name,0))),"Technicien inconnu",IF(AND(I1536="Terminée",S1536&gt;p_today),"Terminée à une date future",IF(AND(I1536="Terminée",V1536=0),"Durée d'intervention manquante",IF(AND(I1536="Terminée",E1536="Préventif",T1536=0,OR(IFERROR(INDEX(pl_trig,MATCH(F1536,pl_num,0))&amp;"","")="Compteur",IFERROR(INDEX(pl_trig,MATCH(F1536,pl_num,0))&amp;"","")="Au premier des deux")),"Compteur manquant (plan au compteur)","OK"))))))))))))))))))</f>
        <v/>
      </c>
      <c r="S1536" s="67">
        <f>IF(AND(ISNUMBER(B1536),N(B1536)&gt;0),INT(B1536),0)</f>
        <v>0.0</v>
      </c>
      <c r="T1536" s="67">
        <f>IF(AND(ISNUMBER(J1536),N(J1536)&gt;=0),N(J1536),0)</f>
        <v>0.0</v>
      </c>
      <c r="U1536" s="67">
        <f>IF(AND(ISNUMBER(K1536),N(K1536)&gt;0),N(K1536),0)</f>
        <v>0.0</v>
      </c>
      <c r="V1536" s="67">
        <f>IF(AND(ISNUMBER(L1536),N(L1536)&gt;0),N(L1536),0)</f>
        <v>0.0</v>
      </c>
      <c r="W1536" s="67">
        <f>IF(AND(I1536="Terminée",S1536&gt;0,C1536&lt;&gt;"",ISNUMBER(MATCH(C1536,eq_code,0))),1,0)</f>
        <v>0.0</v>
      </c>
      <c r="X1536" s="67">
        <f>IF(AND(W1536=1,E1536="Préventif"),1,0)</f>
        <v>0.0</v>
      </c>
      <c r="Y1536" s="67">
        <f>IF(AND(ISNUMBER(N1536),N(N1536)&gt;0),N(N1536),0)</f>
        <v>0.0</v>
      </c>
      <c r="Z1536" s="67">
        <f>IF(AND(ISNUMBER(P1536),N(P1536)&gt;0),N(P1536),0)</f>
        <v>0.0</v>
      </c>
    </row>
    <row r="1537">
      <c r="A1537" s="79" t="str">
        <f>IF(COUNTA(B1537:C1537,E1537:G1537,I1537)=0,"","BI-"&amp;RIGHT("0000"&amp;(ROW()-5),4))</f>
        <v/>
      </c>
      <c r="B1537" s="72" t="n"/>
      <c r="C1537" s="66" t="n"/>
      <c r="D1537" s="67" t="str">
        <f>IF(C1537="","",IFERROR(INDEX(eq_des,MATCH(C1537,eq_code,0))&amp;"","Équipement inconnu"))</f>
        <v/>
      </c>
      <c r="E1537" s="68" t="n"/>
      <c r="F1537" s="68" t="n"/>
      <c r="G1537" s="66" t="n"/>
      <c r="H1537" s="66" t="n"/>
      <c r="I1537" s="68" t="n"/>
      <c r="J1537" s="73" t="n"/>
      <c r="K1537" s="71" t="n"/>
      <c r="L1537" s="71" t="n"/>
      <c r="M1537" s="66" t="n"/>
      <c r="N1537" s="80" t="n"/>
      <c r="O1537" s="81" t="str">
        <f>IF(A1537="","",ROUND(V1537*IFERROR(N(INDEX(tech_rate,MATCH(M1537,tech_name,0))),0),2))</f>
        <v/>
      </c>
      <c r="P1537" s="80" t="n"/>
      <c r="Q1537" s="81" t="str">
        <f>IF(A1537="","",ROUND(Y1537+O1537+Z1537,2))</f>
        <v/>
      </c>
      <c r="R1537" s="79" t="str">
        <f>IF(A1537="","",IF(S1537=0,"Date manquante ou invalide",IF(C1537="","Équipement manquant",IF(ISNA(MATCH(C1537,eq_code,0)),"Équipement inconnu",IF(E1537="","Type manquant",IF(AND(E1537&lt;&gt;"Préventif",E1537&lt;&gt;"Correctif",E1537&lt;&gt;"Amélioratif"),"Type inconnu",IF(I1537="","Statut manquant",IF(AND(I1537&lt;&gt;"Terminée",I1537&lt;&gt;"En cours",I1537&lt;&gt;"À faire",I1537&lt;&gt;"Annulée"),"Statut inconnu",IF(AND(E1537="Préventif",F1537=""),"Plan manquant (préventif)",IF(AND(F1537&lt;&gt;"",ISNA(MATCH(F1537,pl_num,0))),"Plan inconnu",IF(AND(F1537&lt;&gt;"",IFERROR(INDEX(pl_eq,MATCH(F1537,pl_num,0))&amp;"",C1537)&lt;&gt;C1537),"Plan d'un autre équipement",IF(AND(J1537&lt;&gt;"",OR(NOT(ISNUMBER(J1537)),N(J1537)&lt;0)),"Compteur invalide",IF(OR(AND(K1537&lt;&gt;"",OR(NOT(ISNUMBER(K1537)),N(K1537)&lt;0)),AND(L1537&lt;&gt;"",OR(NOT(ISNUMBER(L1537)),N(L1537)&lt;0))),"Durée invalide",IF(OR(AND(N1537&lt;&gt;"",OR(NOT(ISNUMBER(N1537)),N(N1537)&lt;0)),AND(P1537&lt;&gt;"",OR(NOT(ISNUMBER(P1537)),N(P1537)&lt;0))),"Coût invalide",IF(AND(M1537&lt;&gt;"",ISNA(MATCH(M1537,tech_name,0))),"Technicien inconnu",IF(AND(I1537="Terminée",S1537&gt;p_today),"Terminée à une date future",IF(AND(I1537="Terminée",V1537=0),"Durée d'intervention manquante",IF(AND(I1537="Terminée",E1537="Préventif",T1537=0,OR(IFERROR(INDEX(pl_trig,MATCH(F1537,pl_num,0))&amp;"","")="Compteur",IFERROR(INDEX(pl_trig,MATCH(F1537,pl_num,0))&amp;"","")="Au premier des deux")),"Compteur manquant (plan au compteur)","OK"))))))))))))))))))</f>
        <v/>
      </c>
      <c r="S1537" s="67">
        <f>IF(AND(ISNUMBER(B1537),N(B1537)&gt;0),INT(B1537),0)</f>
        <v>0.0</v>
      </c>
      <c r="T1537" s="67">
        <f>IF(AND(ISNUMBER(J1537),N(J1537)&gt;=0),N(J1537),0)</f>
        <v>0.0</v>
      </c>
      <c r="U1537" s="67">
        <f>IF(AND(ISNUMBER(K1537),N(K1537)&gt;0),N(K1537),0)</f>
        <v>0.0</v>
      </c>
      <c r="V1537" s="67">
        <f>IF(AND(ISNUMBER(L1537),N(L1537)&gt;0),N(L1537),0)</f>
        <v>0.0</v>
      </c>
      <c r="W1537" s="67">
        <f>IF(AND(I1537="Terminée",S1537&gt;0,C1537&lt;&gt;"",ISNUMBER(MATCH(C1537,eq_code,0))),1,0)</f>
        <v>0.0</v>
      </c>
      <c r="X1537" s="67">
        <f>IF(AND(W1537=1,E1537="Préventif"),1,0)</f>
        <v>0.0</v>
      </c>
      <c r="Y1537" s="67">
        <f>IF(AND(ISNUMBER(N1537),N(N1537)&gt;0),N(N1537),0)</f>
        <v>0.0</v>
      </c>
      <c r="Z1537" s="67">
        <f>IF(AND(ISNUMBER(P1537),N(P1537)&gt;0),N(P1537),0)</f>
        <v>0.0</v>
      </c>
    </row>
    <row r="1538">
      <c r="A1538" s="79" t="str">
        <f>IF(COUNTA(B1538:C1538,E1538:G1538,I1538)=0,"","BI-"&amp;RIGHT("0000"&amp;(ROW()-5),4))</f>
        <v/>
      </c>
      <c r="B1538" s="72" t="n"/>
      <c r="C1538" s="66" t="n"/>
      <c r="D1538" s="67" t="str">
        <f>IF(C1538="","",IFERROR(INDEX(eq_des,MATCH(C1538,eq_code,0))&amp;"","Équipement inconnu"))</f>
        <v/>
      </c>
      <c r="E1538" s="68" t="n"/>
      <c r="F1538" s="68" t="n"/>
      <c r="G1538" s="66" t="n"/>
      <c r="H1538" s="66" t="n"/>
      <c r="I1538" s="68" t="n"/>
      <c r="J1538" s="73" t="n"/>
      <c r="K1538" s="71" t="n"/>
      <c r="L1538" s="71" t="n"/>
      <c r="M1538" s="66" t="n"/>
      <c r="N1538" s="80" t="n"/>
      <c r="O1538" s="81" t="str">
        <f>IF(A1538="","",ROUND(V1538*IFERROR(N(INDEX(tech_rate,MATCH(M1538,tech_name,0))),0),2))</f>
        <v/>
      </c>
      <c r="P1538" s="80" t="n"/>
      <c r="Q1538" s="81" t="str">
        <f>IF(A1538="","",ROUND(Y1538+O1538+Z1538,2))</f>
        <v/>
      </c>
      <c r="R1538" s="79" t="str">
        <f>IF(A1538="","",IF(S1538=0,"Date manquante ou invalide",IF(C1538="","Équipement manquant",IF(ISNA(MATCH(C1538,eq_code,0)),"Équipement inconnu",IF(E1538="","Type manquant",IF(AND(E1538&lt;&gt;"Préventif",E1538&lt;&gt;"Correctif",E1538&lt;&gt;"Amélioratif"),"Type inconnu",IF(I1538="","Statut manquant",IF(AND(I1538&lt;&gt;"Terminée",I1538&lt;&gt;"En cours",I1538&lt;&gt;"À faire",I1538&lt;&gt;"Annulée"),"Statut inconnu",IF(AND(E1538="Préventif",F1538=""),"Plan manquant (préventif)",IF(AND(F1538&lt;&gt;"",ISNA(MATCH(F1538,pl_num,0))),"Plan inconnu",IF(AND(F1538&lt;&gt;"",IFERROR(INDEX(pl_eq,MATCH(F1538,pl_num,0))&amp;"",C1538)&lt;&gt;C1538),"Plan d'un autre équipement",IF(AND(J1538&lt;&gt;"",OR(NOT(ISNUMBER(J1538)),N(J1538)&lt;0)),"Compteur invalide",IF(OR(AND(K1538&lt;&gt;"",OR(NOT(ISNUMBER(K1538)),N(K1538)&lt;0)),AND(L1538&lt;&gt;"",OR(NOT(ISNUMBER(L1538)),N(L1538)&lt;0))),"Durée invalide",IF(OR(AND(N1538&lt;&gt;"",OR(NOT(ISNUMBER(N1538)),N(N1538)&lt;0)),AND(P1538&lt;&gt;"",OR(NOT(ISNUMBER(P1538)),N(P1538)&lt;0))),"Coût invalide",IF(AND(M1538&lt;&gt;"",ISNA(MATCH(M1538,tech_name,0))),"Technicien inconnu",IF(AND(I1538="Terminée",S1538&gt;p_today),"Terminée à une date future",IF(AND(I1538="Terminée",V1538=0),"Durée d'intervention manquante",IF(AND(I1538="Terminée",E1538="Préventif",T1538=0,OR(IFERROR(INDEX(pl_trig,MATCH(F1538,pl_num,0))&amp;"","")="Compteur",IFERROR(INDEX(pl_trig,MATCH(F1538,pl_num,0))&amp;"","")="Au premier des deux")),"Compteur manquant (plan au compteur)","OK"))))))))))))))))))</f>
        <v/>
      </c>
      <c r="S1538" s="67">
        <f>IF(AND(ISNUMBER(B1538),N(B1538)&gt;0),INT(B1538),0)</f>
        <v>0.0</v>
      </c>
      <c r="T1538" s="67">
        <f>IF(AND(ISNUMBER(J1538),N(J1538)&gt;=0),N(J1538),0)</f>
        <v>0.0</v>
      </c>
      <c r="U1538" s="67">
        <f>IF(AND(ISNUMBER(K1538),N(K1538)&gt;0),N(K1538),0)</f>
        <v>0.0</v>
      </c>
      <c r="V1538" s="67">
        <f>IF(AND(ISNUMBER(L1538),N(L1538)&gt;0),N(L1538),0)</f>
        <v>0.0</v>
      </c>
      <c r="W1538" s="67">
        <f>IF(AND(I1538="Terminée",S1538&gt;0,C1538&lt;&gt;"",ISNUMBER(MATCH(C1538,eq_code,0))),1,0)</f>
        <v>0.0</v>
      </c>
      <c r="X1538" s="67">
        <f>IF(AND(W1538=1,E1538="Préventif"),1,0)</f>
        <v>0.0</v>
      </c>
      <c r="Y1538" s="67">
        <f>IF(AND(ISNUMBER(N1538),N(N1538)&gt;0),N(N1538),0)</f>
        <v>0.0</v>
      </c>
      <c r="Z1538" s="67">
        <f>IF(AND(ISNUMBER(P1538),N(P1538)&gt;0),N(P1538),0)</f>
        <v>0.0</v>
      </c>
    </row>
    <row r="1539">
      <c r="A1539" s="79" t="str">
        <f>IF(COUNTA(B1539:C1539,E1539:G1539,I1539)=0,"","BI-"&amp;RIGHT("0000"&amp;(ROW()-5),4))</f>
        <v/>
      </c>
      <c r="B1539" s="72" t="n"/>
      <c r="C1539" s="66" t="n"/>
      <c r="D1539" s="67" t="str">
        <f>IF(C1539="","",IFERROR(INDEX(eq_des,MATCH(C1539,eq_code,0))&amp;"","Équipement inconnu"))</f>
        <v/>
      </c>
      <c r="E1539" s="68" t="n"/>
      <c r="F1539" s="68" t="n"/>
      <c r="G1539" s="66" t="n"/>
      <c r="H1539" s="66" t="n"/>
      <c r="I1539" s="68" t="n"/>
      <c r="J1539" s="73" t="n"/>
      <c r="K1539" s="71" t="n"/>
      <c r="L1539" s="71" t="n"/>
      <c r="M1539" s="66" t="n"/>
      <c r="N1539" s="80" t="n"/>
      <c r="O1539" s="81" t="str">
        <f>IF(A1539="","",ROUND(V1539*IFERROR(N(INDEX(tech_rate,MATCH(M1539,tech_name,0))),0),2))</f>
        <v/>
      </c>
      <c r="P1539" s="80" t="n"/>
      <c r="Q1539" s="81" t="str">
        <f>IF(A1539="","",ROUND(Y1539+O1539+Z1539,2))</f>
        <v/>
      </c>
      <c r="R1539" s="79" t="str">
        <f>IF(A1539="","",IF(S1539=0,"Date manquante ou invalide",IF(C1539="","Équipement manquant",IF(ISNA(MATCH(C1539,eq_code,0)),"Équipement inconnu",IF(E1539="","Type manquant",IF(AND(E1539&lt;&gt;"Préventif",E1539&lt;&gt;"Correctif",E1539&lt;&gt;"Amélioratif"),"Type inconnu",IF(I1539="","Statut manquant",IF(AND(I1539&lt;&gt;"Terminée",I1539&lt;&gt;"En cours",I1539&lt;&gt;"À faire",I1539&lt;&gt;"Annulée"),"Statut inconnu",IF(AND(E1539="Préventif",F1539=""),"Plan manquant (préventif)",IF(AND(F1539&lt;&gt;"",ISNA(MATCH(F1539,pl_num,0))),"Plan inconnu",IF(AND(F1539&lt;&gt;"",IFERROR(INDEX(pl_eq,MATCH(F1539,pl_num,0))&amp;"",C1539)&lt;&gt;C1539),"Plan d'un autre équipement",IF(AND(J1539&lt;&gt;"",OR(NOT(ISNUMBER(J1539)),N(J1539)&lt;0)),"Compteur invalide",IF(OR(AND(K1539&lt;&gt;"",OR(NOT(ISNUMBER(K1539)),N(K1539)&lt;0)),AND(L1539&lt;&gt;"",OR(NOT(ISNUMBER(L1539)),N(L1539)&lt;0))),"Durée invalide",IF(OR(AND(N1539&lt;&gt;"",OR(NOT(ISNUMBER(N1539)),N(N1539)&lt;0)),AND(P1539&lt;&gt;"",OR(NOT(ISNUMBER(P1539)),N(P1539)&lt;0))),"Coût invalide",IF(AND(M1539&lt;&gt;"",ISNA(MATCH(M1539,tech_name,0))),"Technicien inconnu",IF(AND(I1539="Terminée",S1539&gt;p_today),"Terminée à une date future",IF(AND(I1539="Terminée",V1539=0),"Durée d'intervention manquante",IF(AND(I1539="Terminée",E1539="Préventif",T1539=0,OR(IFERROR(INDEX(pl_trig,MATCH(F1539,pl_num,0))&amp;"","")="Compteur",IFERROR(INDEX(pl_trig,MATCH(F1539,pl_num,0))&amp;"","")="Au premier des deux")),"Compteur manquant (plan au compteur)","OK"))))))))))))))))))</f>
        <v/>
      </c>
      <c r="S1539" s="67">
        <f>IF(AND(ISNUMBER(B1539),N(B1539)&gt;0),INT(B1539),0)</f>
        <v>0.0</v>
      </c>
      <c r="T1539" s="67">
        <f>IF(AND(ISNUMBER(J1539),N(J1539)&gt;=0),N(J1539),0)</f>
        <v>0.0</v>
      </c>
      <c r="U1539" s="67">
        <f>IF(AND(ISNUMBER(K1539),N(K1539)&gt;0),N(K1539),0)</f>
        <v>0.0</v>
      </c>
      <c r="V1539" s="67">
        <f>IF(AND(ISNUMBER(L1539),N(L1539)&gt;0),N(L1539),0)</f>
        <v>0.0</v>
      </c>
      <c r="W1539" s="67">
        <f>IF(AND(I1539="Terminée",S1539&gt;0,C1539&lt;&gt;"",ISNUMBER(MATCH(C1539,eq_code,0))),1,0)</f>
        <v>0.0</v>
      </c>
      <c r="X1539" s="67">
        <f>IF(AND(W1539=1,E1539="Préventif"),1,0)</f>
        <v>0.0</v>
      </c>
      <c r="Y1539" s="67">
        <f>IF(AND(ISNUMBER(N1539),N(N1539)&gt;0),N(N1539),0)</f>
        <v>0.0</v>
      </c>
      <c r="Z1539" s="67">
        <f>IF(AND(ISNUMBER(P1539),N(P1539)&gt;0),N(P1539),0)</f>
        <v>0.0</v>
      </c>
    </row>
    <row r="1540">
      <c r="A1540" s="79" t="str">
        <f>IF(COUNTA(B1540:C1540,E1540:G1540,I1540)=0,"","BI-"&amp;RIGHT("0000"&amp;(ROW()-5),4))</f>
        <v/>
      </c>
      <c r="B1540" s="72" t="n"/>
      <c r="C1540" s="66" t="n"/>
      <c r="D1540" s="67" t="str">
        <f>IF(C1540="","",IFERROR(INDEX(eq_des,MATCH(C1540,eq_code,0))&amp;"","Équipement inconnu"))</f>
        <v/>
      </c>
      <c r="E1540" s="68" t="n"/>
      <c r="F1540" s="68" t="n"/>
      <c r="G1540" s="66" t="n"/>
      <c r="H1540" s="66" t="n"/>
      <c r="I1540" s="68" t="n"/>
      <c r="J1540" s="73" t="n"/>
      <c r="K1540" s="71" t="n"/>
      <c r="L1540" s="71" t="n"/>
      <c r="M1540" s="66" t="n"/>
      <c r="N1540" s="80" t="n"/>
      <c r="O1540" s="81" t="str">
        <f>IF(A1540="","",ROUND(V1540*IFERROR(N(INDEX(tech_rate,MATCH(M1540,tech_name,0))),0),2))</f>
        <v/>
      </c>
      <c r="P1540" s="80" t="n"/>
      <c r="Q1540" s="81" t="str">
        <f>IF(A1540="","",ROUND(Y1540+O1540+Z1540,2))</f>
        <v/>
      </c>
      <c r="R1540" s="79" t="str">
        <f>IF(A1540="","",IF(S1540=0,"Date manquante ou invalide",IF(C1540="","Équipement manquant",IF(ISNA(MATCH(C1540,eq_code,0)),"Équipement inconnu",IF(E1540="","Type manquant",IF(AND(E1540&lt;&gt;"Préventif",E1540&lt;&gt;"Correctif",E1540&lt;&gt;"Amélioratif"),"Type inconnu",IF(I1540="","Statut manquant",IF(AND(I1540&lt;&gt;"Terminée",I1540&lt;&gt;"En cours",I1540&lt;&gt;"À faire",I1540&lt;&gt;"Annulée"),"Statut inconnu",IF(AND(E1540="Préventif",F1540=""),"Plan manquant (préventif)",IF(AND(F1540&lt;&gt;"",ISNA(MATCH(F1540,pl_num,0))),"Plan inconnu",IF(AND(F1540&lt;&gt;"",IFERROR(INDEX(pl_eq,MATCH(F1540,pl_num,0))&amp;"",C1540)&lt;&gt;C1540),"Plan d'un autre équipement",IF(AND(J1540&lt;&gt;"",OR(NOT(ISNUMBER(J1540)),N(J1540)&lt;0)),"Compteur invalide",IF(OR(AND(K1540&lt;&gt;"",OR(NOT(ISNUMBER(K1540)),N(K1540)&lt;0)),AND(L1540&lt;&gt;"",OR(NOT(ISNUMBER(L1540)),N(L1540)&lt;0))),"Durée invalide",IF(OR(AND(N1540&lt;&gt;"",OR(NOT(ISNUMBER(N1540)),N(N1540)&lt;0)),AND(P1540&lt;&gt;"",OR(NOT(ISNUMBER(P1540)),N(P1540)&lt;0))),"Coût invalide",IF(AND(M1540&lt;&gt;"",ISNA(MATCH(M1540,tech_name,0))),"Technicien inconnu",IF(AND(I1540="Terminée",S1540&gt;p_today),"Terminée à une date future",IF(AND(I1540="Terminée",V1540=0),"Durée d'intervention manquante",IF(AND(I1540="Terminée",E1540="Préventif",T1540=0,OR(IFERROR(INDEX(pl_trig,MATCH(F1540,pl_num,0))&amp;"","")="Compteur",IFERROR(INDEX(pl_trig,MATCH(F1540,pl_num,0))&amp;"","")="Au premier des deux")),"Compteur manquant (plan au compteur)","OK"))))))))))))))))))</f>
        <v/>
      </c>
      <c r="S1540" s="67">
        <f>IF(AND(ISNUMBER(B1540),N(B1540)&gt;0),INT(B1540),0)</f>
        <v>0.0</v>
      </c>
      <c r="T1540" s="67">
        <f>IF(AND(ISNUMBER(J1540),N(J1540)&gt;=0),N(J1540),0)</f>
        <v>0.0</v>
      </c>
      <c r="U1540" s="67">
        <f>IF(AND(ISNUMBER(K1540),N(K1540)&gt;0),N(K1540),0)</f>
        <v>0.0</v>
      </c>
      <c r="V1540" s="67">
        <f>IF(AND(ISNUMBER(L1540),N(L1540)&gt;0),N(L1540),0)</f>
        <v>0.0</v>
      </c>
      <c r="W1540" s="67">
        <f>IF(AND(I1540="Terminée",S1540&gt;0,C1540&lt;&gt;"",ISNUMBER(MATCH(C1540,eq_code,0))),1,0)</f>
        <v>0.0</v>
      </c>
      <c r="X1540" s="67">
        <f>IF(AND(W1540=1,E1540="Préventif"),1,0)</f>
        <v>0.0</v>
      </c>
      <c r="Y1540" s="67">
        <f>IF(AND(ISNUMBER(N1540),N(N1540)&gt;0),N(N1540),0)</f>
        <v>0.0</v>
      </c>
      <c r="Z1540" s="67">
        <f>IF(AND(ISNUMBER(P1540),N(P1540)&gt;0),N(P1540),0)</f>
        <v>0.0</v>
      </c>
    </row>
    <row r="1541">
      <c r="A1541" s="79" t="str">
        <f>IF(COUNTA(B1541:C1541,E1541:G1541,I1541)=0,"","BI-"&amp;RIGHT("0000"&amp;(ROW()-5),4))</f>
        <v/>
      </c>
      <c r="B1541" s="72" t="n"/>
      <c r="C1541" s="66" t="n"/>
      <c r="D1541" s="67" t="str">
        <f>IF(C1541="","",IFERROR(INDEX(eq_des,MATCH(C1541,eq_code,0))&amp;"","Équipement inconnu"))</f>
        <v/>
      </c>
      <c r="E1541" s="68" t="n"/>
      <c r="F1541" s="68" t="n"/>
      <c r="G1541" s="66" t="n"/>
      <c r="H1541" s="66" t="n"/>
      <c r="I1541" s="68" t="n"/>
      <c r="J1541" s="73" t="n"/>
      <c r="K1541" s="71" t="n"/>
      <c r="L1541" s="71" t="n"/>
      <c r="M1541" s="66" t="n"/>
      <c r="N1541" s="80" t="n"/>
      <c r="O1541" s="81" t="str">
        <f>IF(A1541="","",ROUND(V1541*IFERROR(N(INDEX(tech_rate,MATCH(M1541,tech_name,0))),0),2))</f>
        <v/>
      </c>
      <c r="P1541" s="80" t="n"/>
      <c r="Q1541" s="81" t="str">
        <f>IF(A1541="","",ROUND(Y1541+O1541+Z1541,2))</f>
        <v/>
      </c>
      <c r="R1541" s="79" t="str">
        <f>IF(A1541="","",IF(S1541=0,"Date manquante ou invalide",IF(C1541="","Équipement manquant",IF(ISNA(MATCH(C1541,eq_code,0)),"Équipement inconnu",IF(E1541="","Type manquant",IF(AND(E1541&lt;&gt;"Préventif",E1541&lt;&gt;"Correctif",E1541&lt;&gt;"Amélioratif"),"Type inconnu",IF(I1541="","Statut manquant",IF(AND(I1541&lt;&gt;"Terminée",I1541&lt;&gt;"En cours",I1541&lt;&gt;"À faire",I1541&lt;&gt;"Annulée"),"Statut inconnu",IF(AND(E1541="Préventif",F1541=""),"Plan manquant (préventif)",IF(AND(F1541&lt;&gt;"",ISNA(MATCH(F1541,pl_num,0))),"Plan inconnu",IF(AND(F1541&lt;&gt;"",IFERROR(INDEX(pl_eq,MATCH(F1541,pl_num,0))&amp;"",C1541)&lt;&gt;C1541),"Plan d'un autre équipement",IF(AND(J1541&lt;&gt;"",OR(NOT(ISNUMBER(J1541)),N(J1541)&lt;0)),"Compteur invalide",IF(OR(AND(K1541&lt;&gt;"",OR(NOT(ISNUMBER(K1541)),N(K1541)&lt;0)),AND(L1541&lt;&gt;"",OR(NOT(ISNUMBER(L1541)),N(L1541)&lt;0))),"Durée invalide",IF(OR(AND(N1541&lt;&gt;"",OR(NOT(ISNUMBER(N1541)),N(N1541)&lt;0)),AND(P1541&lt;&gt;"",OR(NOT(ISNUMBER(P1541)),N(P1541)&lt;0))),"Coût invalide",IF(AND(M1541&lt;&gt;"",ISNA(MATCH(M1541,tech_name,0))),"Technicien inconnu",IF(AND(I1541="Terminée",S1541&gt;p_today),"Terminée à une date future",IF(AND(I1541="Terminée",V1541=0),"Durée d'intervention manquante",IF(AND(I1541="Terminée",E1541="Préventif",T1541=0,OR(IFERROR(INDEX(pl_trig,MATCH(F1541,pl_num,0))&amp;"","")="Compteur",IFERROR(INDEX(pl_trig,MATCH(F1541,pl_num,0))&amp;"","")="Au premier des deux")),"Compteur manquant (plan au compteur)","OK"))))))))))))))))))</f>
        <v/>
      </c>
      <c r="S1541" s="67">
        <f>IF(AND(ISNUMBER(B1541),N(B1541)&gt;0),INT(B1541),0)</f>
        <v>0.0</v>
      </c>
      <c r="T1541" s="67">
        <f>IF(AND(ISNUMBER(J1541),N(J1541)&gt;=0),N(J1541),0)</f>
        <v>0.0</v>
      </c>
      <c r="U1541" s="67">
        <f>IF(AND(ISNUMBER(K1541),N(K1541)&gt;0),N(K1541),0)</f>
        <v>0.0</v>
      </c>
      <c r="V1541" s="67">
        <f>IF(AND(ISNUMBER(L1541),N(L1541)&gt;0),N(L1541),0)</f>
        <v>0.0</v>
      </c>
      <c r="W1541" s="67">
        <f>IF(AND(I1541="Terminée",S1541&gt;0,C1541&lt;&gt;"",ISNUMBER(MATCH(C1541,eq_code,0))),1,0)</f>
        <v>0.0</v>
      </c>
      <c r="X1541" s="67">
        <f>IF(AND(W1541=1,E1541="Préventif"),1,0)</f>
        <v>0.0</v>
      </c>
      <c r="Y1541" s="67">
        <f>IF(AND(ISNUMBER(N1541),N(N1541)&gt;0),N(N1541),0)</f>
        <v>0.0</v>
      </c>
      <c r="Z1541" s="67">
        <f>IF(AND(ISNUMBER(P1541),N(P1541)&gt;0),N(P1541),0)</f>
        <v>0.0</v>
      </c>
    </row>
    <row r="1542">
      <c r="A1542" s="79" t="str">
        <f>IF(COUNTA(B1542:C1542,E1542:G1542,I1542)=0,"","BI-"&amp;RIGHT("0000"&amp;(ROW()-5),4))</f>
        <v/>
      </c>
      <c r="B1542" s="72" t="n"/>
      <c r="C1542" s="66" t="n"/>
      <c r="D1542" s="67" t="str">
        <f>IF(C1542="","",IFERROR(INDEX(eq_des,MATCH(C1542,eq_code,0))&amp;"","Équipement inconnu"))</f>
        <v/>
      </c>
      <c r="E1542" s="68" t="n"/>
      <c r="F1542" s="68" t="n"/>
      <c r="G1542" s="66" t="n"/>
      <c r="H1542" s="66" t="n"/>
      <c r="I1542" s="68" t="n"/>
      <c r="J1542" s="73" t="n"/>
      <c r="K1542" s="71" t="n"/>
      <c r="L1542" s="71" t="n"/>
      <c r="M1542" s="66" t="n"/>
      <c r="N1542" s="80" t="n"/>
      <c r="O1542" s="81" t="str">
        <f>IF(A1542="","",ROUND(V1542*IFERROR(N(INDEX(tech_rate,MATCH(M1542,tech_name,0))),0),2))</f>
        <v/>
      </c>
      <c r="P1542" s="80" t="n"/>
      <c r="Q1542" s="81" t="str">
        <f>IF(A1542="","",ROUND(Y1542+O1542+Z1542,2))</f>
        <v/>
      </c>
      <c r="R1542" s="79" t="str">
        <f>IF(A1542="","",IF(S1542=0,"Date manquante ou invalide",IF(C1542="","Équipement manquant",IF(ISNA(MATCH(C1542,eq_code,0)),"Équipement inconnu",IF(E1542="","Type manquant",IF(AND(E1542&lt;&gt;"Préventif",E1542&lt;&gt;"Correctif",E1542&lt;&gt;"Amélioratif"),"Type inconnu",IF(I1542="","Statut manquant",IF(AND(I1542&lt;&gt;"Terminée",I1542&lt;&gt;"En cours",I1542&lt;&gt;"À faire",I1542&lt;&gt;"Annulée"),"Statut inconnu",IF(AND(E1542="Préventif",F1542=""),"Plan manquant (préventif)",IF(AND(F1542&lt;&gt;"",ISNA(MATCH(F1542,pl_num,0))),"Plan inconnu",IF(AND(F1542&lt;&gt;"",IFERROR(INDEX(pl_eq,MATCH(F1542,pl_num,0))&amp;"",C1542)&lt;&gt;C1542),"Plan d'un autre équipement",IF(AND(J1542&lt;&gt;"",OR(NOT(ISNUMBER(J1542)),N(J1542)&lt;0)),"Compteur invalide",IF(OR(AND(K1542&lt;&gt;"",OR(NOT(ISNUMBER(K1542)),N(K1542)&lt;0)),AND(L1542&lt;&gt;"",OR(NOT(ISNUMBER(L1542)),N(L1542)&lt;0))),"Durée invalide",IF(OR(AND(N1542&lt;&gt;"",OR(NOT(ISNUMBER(N1542)),N(N1542)&lt;0)),AND(P1542&lt;&gt;"",OR(NOT(ISNUMBER(P1542)),N(P1542)&lt;0))),"Coût invalide",IF(AND(M1542&lt;&gt;"",ISNA(MATCH(M1542,tech_name,0))),"Technicien inconnu",IF(AND(I1542="Terminée",S1542&gt;p_today),"Terminée à une date future",IF(AND(I1542="Terminée",V1542=0),"Durée d'intervention manquante",IF(AND(I1542="Terminée",E1542="Préventif",T1542=0,OR(IFERROR(INDEX(pl_trig,MATCH(F1542,pl_num,0))&amp;"","")="Compteur",IFERROR(INDEX(pl_trig,MATCH(F1542,pl_num,0))&amp;"","")="Au premier des deux")),"Compteur manquant (plan au compteur)","OK"))))))))))))))))))</f>
        <v/>
      </c>
      <c r="S1542" s="67">
        <f>IF(AND(ISNUMBER(B1542),N(B1542)&gt;0),INT(B1542),0)</f>
        <v>0.0</v>
      </c>
      <c r="T1542" s="67">
        <f>IF(AND(ISNUMBER(J1542),N(J1542)&gt;=0),N(J1542),0)</f>
        <v>0.0</v>
      </c>
      <c r="U1542" s="67">
        <f>IF(AND(ISNUMBER(K1542),N(K1542)&gt;0),N(K1542),0)</f>
        <v>0.0</v>
      </c>
      <c r="V1542" s="67">
        <f>IF(AND(ISNUMBER(L1542),N(L1542)&gt;0),N(L1542),0)</f>
        <v>0.0</v>
      </c>
      <c r="W1542" s="67">
        <f>IF(AND(I1542="Terminée",S1542&gt;0,C1542&lt;&gt;"",ISNUMBER(MATCH(C1542,eq_code,0))),1,0)</f>
        <v>0.0</v>
      </c>
      <c r="X1542" s="67">
        <f>IF(AND(W1542=1,E1542="Préventif"),1,0)</f>
        <v>0.0</v>
      </c>
      <c r="Y1542" s="67">
        <f>IF(AND(ISNUMBER(N1542),N(N1542)&gt;0),N(N1542),0)</f>
        <v>0.0</v>
      </c>
      <c r="Z1542" s="67">
        <f>IF(AND(ISNUMBER(P1542),N(P1542)&gt;0),N(P1542),0)</f>
        <v>0.0</v>
      </c>
    </row>
    <row r="1543">
      <c r="A1543" s="79" t="str">
        <f>IF(COUNTA(B1543:C1543,E1543:G1543,I1543)=0,"","BI-"&amp;RIGHT("0000"&amp;(ROW()-5),4))</f>
        <v/>
      </c>
      <c r="B1543" s="72" t="n"/>
      <c r="C1543" s="66" t="n"/>
      <c r="D1543" s="67" t="str">
        <f>IF(C1543="","",IFERROR(INDEX(eq_des,MATCH(C1543,eq_code,0))&amp;"","Équipement inconnu"))</f>
        <v/>
      </c>
      <c r="E1543" s="68" t="n"/>
      <c r="F1543" s="68" t="n"/>
      <c r="G1543" s="66" t="n"/>
      <c r="H1543" s="66" t="n"/>
      <c r="I1543" s="68" t="n"/>
      <c r="J1543" s="73" t="n"/>
      <c r="K1543" s="71" t="n"/>
      <c r="L1543" s="71" t="n"/>
      <c r="M1543" s="66" t="n"/>
      <c r="N1543" s="80" t="n"/>
      <c r="O1543" s="81" t="str">
        <f>IF(A1543="","",ROUND(V1543*IFERROR(N(INDEX(tech_rate,MATCH(M1543,tech_name,0))),0),2))</f>
        <v/>
      </c>
      <c r="P1543" s="80" t="n"/>
      <c r="Q1543" s="81" t="str">
        <f>IF(A1543="","",ROUND(Y1543+O1543+Z1543,2))</f>
        <v/>
      </c>
      <c r="R1543" s="79" t="str">
        <f>IF(A1543="","",IF(S1543=0,"Date manquante ou invalide",IF(C1543="","Équipement manquant",IF(ISNA(MATCH(C1543,eq_code,0)),"Équipement inconnu",IF(E1543="","Type manquant",IF(AND(E1543&lt;&gt;"Préventif",E1543&lt;&gt;"Correctif",E1543&lt;&gt;"Amélioratif"),"Type inconnu",IF(I1543="","Statut manquant",IF(AND(I1543&lt;&gt;"Terminée",I1543&lt;&gt;"En cours",I1543&lt;&gt;"À faire",I1543&lt;&gt;"Annulée"),"Statut inconnu",IF(AND(E1543="Préventif",F1543=""),"Plan manquant (préventif)",IF(AND(F1543&lt;&gt;"",ISNA(MATCH(F1543,pl_num,0))),"Plan inconnu",IF(AND(F1543&lt;&gt;"",IFERROR(INDEX(pl_eq,MATCH(F1543,pl_num,0))&amp;"",C1543)&lt;&gt;C1543),"Plan d'un autre équipement",IF(AND(J1543&lt;&gt;"",OR(NOT(ISNUMBER(J1543)),N(J1543)&lt;0)),"Compteur invalide",IF(OR(AND(K1543&lt;&gt;"",OR(NOT(ISNUMBER(K1543)),N(K1543)&lt;0)),AND(L1543&lt;&gt;"",OR(NOT(ISNUMBER(L1543)),N(L1543)&lt;0))),"Durée invalide",IF(OR(AND(N1543&lt;&gt;"",OR(NOT(ISNUMBER(N1543)),N(N1543)&lt;0)),AND(P1543&lt;&gt;"",OR(NOT(ISNUMBER(P1543)),N(P1543)&lt;0))),"Coût invalide",IF(AND(M1543&lt;&gt;"",ISNA(MATCH(M1543,tech_name,0))),"Technicien inconnu",IF(AND(I1543="Terminée",S1543&gt;p_today),"Terminée à une date future",IF(AND(I1543="Terminée",V1543=0),"Durée d'intervention manquante",IF(AND(I1543="Terminée",E1543="Préventif",T1543=0,OR(IFERROR(INDEX(pl_trig,MATCH(F1543,pl_num,0))&amp;"","")="Compteur",IFERROR(INDEX(pl_trig,MATCH(F1543,pl_num,0))&amp;"","")="Au premier des deux")),"Compteur manquant (plan au compteur)","OK"))))))))))))))))))</f>
        <v/>
      </c>
      <c r="S1543" s="67">
        <f>IF(AND(ISNUMBER(B1543),N(B1543)&gt;0),INT(B1543),0)</f>
        <v>0.0</v>
      </c>
      <c r="T1543" s="67">
        <f>IF(AND(ISNUMBER(J1543),N(J1543)&gt;=0),N(J1543),0)</f>
        <v>0.0</v>
      </c>
      <c r="U1543" s="67">
        <f>IF(AND(ISNUMBER(K1543),N(K1543)&gt;0),N(K1543),0)</f>
        <v>0.0</v>
      </c>
      <c r="V1543" s="67">
        <f>IF(AND(ISNUMBER(L1543),N(L1543)&gt;0),N(L1543),0)</f>
        <v>0.0</v>
      </c>
      <c r="W1543" s="67">
        <f>IF(AND(I1543="Terminée",S1543&gt;0,C1543&lt;&gt;"",ISNUMBER(MATCH(C1543,eq_code,0))),1,0)</f>
        <v>0.0</v>
      </c>
      <c r="X1543" s="67">
        <f>IF(AND(W1543=1,E1543="Préventif"),1,0)</f>
        <v>0.0</v>
      </c>
      <c r="Y1543" s="67">
        <f>IF(AND(ISNUMBER(N1543),N(N1543)&gt;0),N(N1543),0)</f>
        <v>0.0</v>
      </c>
      <c r="Z1543" s="67">
        <f>IF(AND(ISNUMBER(P1543),N(P1543)&gt;0),N(P1543),0)</f>
        <v>0.0</v>
      </c>
    </row>
    <row r="1544">
      <c r="A1544" s="79" t="str">
        <f>IF(COUNTA(B1544:C1544,E1544:G1544,I1544)=0,"","BI-"&amp;RIGHT("0000"&amp;(ROW()-5),4))</f>
        <v/>
      </c>
      <c r="B1544" s="72" t="n"/>
      <c r="C1544" s="66" t="n"/>
      <c r="D1544" s="67" t="str">
        <f>IF(C1544="","",IFERROR(INDEX(eq_des,MATCH(C1544,eq_code,0))&amp;"","Équipement inconnu"))</f>
        <v/>
      </c>
      <c r="E1544" s="68" t="n"/>
      <c r="F1544" s="68" t="n"/>
      <c r="G1544" s="66" t="n"/>
      <c r="H1544" s="66" t="n"/>
      <c r="I1544" s="68" t="n"/>
      <c r="J1544" s="73" t="n"/>
      <c r="K1544" s="71" t="n"/>
      <c r="L1544" s="71" t="n"/>
      <c r="M1544" s="66" t="n"/>
      <c r="N1544" s="80" t="n"/>
      <c r="O1544" s="81" t="str">
        <f>IF(A1544="","",ROUND(V1544*IFERROR(N(INDEX(tech_rate,MATCH(M1544,tech_name,0))),0),2))</f>
        <v/>
      </c>
      <c r="P1544" s="80" t="n"/>
      <c r="Q1544" s="81" t="str">
        <f>IF(A1544="","",ROUND(Y1544+O1544+Z1544,2))</f>
        <v/>
      </c>
      <c r="R1544" s="79" t="str">
        <f>IF(A1544="","",IF(S1544=0,"Date manquante ou invalide",IF(C1544="","Équipement manquant",IF(ISNA(MATCH(C1544,eq_code,0)),"Équipement inconnu",IF(E1544="","Type manquant",IF(AND(E1544&lt;&gt;"Préventif",E1544&lt;&gt;"Correctif",E1544&lt;&gt;"Amélioratif"),"Type inconnu",IF(I1544="","Statut manquant",IF(AND(I1544&lt;&gt;"Terminée",I1544&lt;&gt;"En cours",I1544&lt;&gt;"À faire",I1544&lt;&gt;"Annulée"),"Statut inconnu",IF(AND(E1544="Préventif",F1544=""),"Plan manquant (préventif)",IF(AND(F1544&lt;&gt;"",ISNA(MATCH(F1544,pl_num,0))),"Plan inconnu",IF(AND(F1544&lt;&gt;"",IFERROR(INDEX(pl_eq,MATCH(F1544,pl_num,0))&amp;"",C1544)&lt;&gt;C1544),"Plan d'un autre équipement",IF(AND(J1544&lt;&gt;"",OR(NOT(ISNUMBER(J1544)),N(J1544)&lt;0)),"Compteur invalide",IF(OR(AND(K1544&lt;&gt;"",OR(NOT(ISNUMBER(K1544)),N(K1544)&lt;0)),AND(L1544&lt;&gt;"",OR(NOT(ISNUMBER(L1544)),N(L1544)&lt;0))),"Durée invalide",IF(OR(AND(N1544&lt;&gt;"",OR(NOT(ISNUMBER(N1544)),N(N1544)&lt;0)),AND(P1544&lt;&gt;"",OR(NOT(ISNUMBER(P1544)),N(P1544)&lt;0))),"Coût invalide",IF(AND(M1544&lt;&gt;"",ISNA(MATCH(M1544,tech_name,0))),"Technicien inconnu",IF(AND(I1544="Terminée",S1544&gt;p_today),"Terminée à une date future",IF(AND(I1544="Terminée",V1544=0),"Durée d'intervention manquante",IF(AND(I1544="Terminée",E1544="Préventif",T1544=0,OR(IFERROR(INDEX(pl_trig,MATCH(F1544,pl_num,0))&amp;"","")="Compteur",IFERROR(INDEX(pl_trig,MATCH(F1544,pl_num,0))&amp;"","")="Au premier des deux")),"Compteur manquant (plan au compteur)","OK"))))))))))))))))))</f>
        <v/>
      </c>
      <c r="S1544" s="67">
        <f>IF(AND(ISNUMBER(B1544),N(B1544)&gt;0),INT(B1544),0)</f>
        <v>0.0</v>
      </c>
      <c r="T1544" s="67">
        <f>IF(AND(ISNUMBER(J1544),N(J1544)&gt;=0),N(J1544),0)</f>
        <v>0.0</v>
      </c>
      <c r="U1544" s="67">
        <f>IF(AND(ISNUMBER(K1544),N(K1544)&gt;0),N(K1544),0)</f>
        <v>0.0</v>
      </c>
      <c r="V1544" s="67">
        <f>IF(AND(ISNUMBER(L1544),N(L1544)&gt;0),N(L1544),0)</f>
        <v>0.0</v>
      </c>
      <c r="W1544" s="67">
        <f>IF(AND(I1544="Terminée",S1544&gt;0,C1544&lt;&gt;"",ISNUMBER(MATCH(C1544,eq_code,0))),1,0)</f>
        <v>0.0</v>
      </c>
      <c r="X1544" s="67">
        <f>IF(AND(W1544=1,E1544="Préventif"),1,0)</f>
        <v>0.0</v>
      </c>
      <c r="Y1544" s="67">
        <f>IF(AND(ISNUMBER(N1544),N(N1544)&gt;0),N(N1544),0)</f>
        <v>0.0</v>
      </c>
      <c r="Z1544" s="67">
        <f>IF(AND(ISNUMBER(P1544),N(P1544)&gt;0),N(P1544),0)</f>
        <v>0.0</v>
      </c>
    </row>
    <row r="1545">
      <c r="A1545" s="79" t="str">
        <f>IF(COUNTA(B1545:C1545,E1545:G1545,I1545)=0,"","BI-"&amp;RIGHT("0000"&amp;(ROW()-5),4))</f>
        <v/>
      </c>
      <c r="B1545" s="72" t="n"/>
      <c r="C1545" s="66" t="n"/>
      <c r="D1545" s="67" t="str">
        <f>IF(C1545="","",IFERROR(INDEX(eq_des,MATCH(C1545,eq_code,0))&amp;"","Équipement inconnu"))</f>
        <v/>
      </c>
      <c r="E1545" s="68" t="n"/>
      <c r="F1545" s="68" t="n"/>
      <c r="G1545" s="66" t="n"/>
      <c r="H1545" s="66" t="n"/>
      <c r="I1545" s="68" t="n"/>
      <c r="J1545" s="73" t="n"/>
      <c r="K1545" s="71" t="n"/>
      <c r="L1545" s="71" t="n"/>
      <c r="M1545" s="66" t="n"/>
      <c r="N1545" s="80" t="n"/>
      <c r="O1545" s="81" t="str">
        <f>IF(A1545="","",ROUND(V1545*IFERROR(N(INDEX(tech_rate,MATCH(M1545,tech_name,0))),0),2))</f>
        <v/>
      </c>
      <c r="P1545" s="80" t="n"/>
      <c r="Q1545" s="81" t="str">
        <f>IF(A1545="","",ROUND(Y1545+O1545+Z1545,2))</f>
        <v/>
      </c>
      <c r="R1545" s="79" t="str">
        <f>IF(A1545="","",IF(S1545=0,"Date manquante ou invalide",IF(C1545="","Équipement manquant",IF(ISNA(MATCH(C1545,eq_code,0)),"Équipement inconnu",IF(E1545="","Type manquant",IF(AND(E1545&lt;&gt;"Préventif",E1545&lt;&gt;"Correctif",E1545&lt;&gt;"Amélioratif"),"Type inconnu",IF(I1545="","Statut manquant",IF(AND(I1545&lt;&gt;"Terminée",I1545&lt;&gt;"En cours",I1545&lt;&gt;"À faire",I1545&lt;&gt;"Annulée"),"Statut inconnu",IF(AND(E1545="Préventif",F1545=""),"Plan manquant (préventif)",IF(AND(F1545&lt;&gt;"",ISNA(MATCH(F1545,pl_num,0))),"Plan inconnu",IF(AND(F1545&lt;&gt;"",IFERROR(INDEX(pl_eq,MATCH(F1545,pl_num,0))&amp;"",C1545)&lt;&gt;C1545),"Plan d'un autre équipement",IF(AND(J1545&lt;&gt;"",OR(NOT(ISNUMBER(J1545)),N(J1545)&lt;0)),"Compteur invalide",IF(OR(AND(K1545&lt;&gt;"",OR(NOT(ISNUMBER(K1545)),N(K1545)&lt;0)),AND(L1545&lt;&gt;"",OR(NOT(ISNUMBER(L1545)),N(L1545)&lt;0))),"Durée invalide",IF(OR(AND(N1545&lt;&gt;"",OR(NOT(ISNUMBER(N1545)),N(N1545)&lt;0)),AND(P1545&lt;&gt;"",OR(NOT(ISNUMBER(P1545)),N(P1545)&lt;0))),"Coût invalide",IF(AND(M1545&lt;&gt;"",ISNA(MATCH(M1545,tech_name,0))),"Technicien inconnu",IF(AND(I1545="Terminée",S1545&gt;p_today),"Terminée à une date future",IF(AND(I1545="Terminée",V1545=0),"Durée d'intervention manquante",IF(AND(I1545="Terminée",E1545="Préventif",T1545=0,OR(IFERROR(INDEX(pl_trig,MATCH(F1545,pl_num,0))&amp;"","")="Compteur",IFERROR(INDEX(pl_trig,MATCH(F1545,pl_num,0))&amp;"","")="Au premier des deux")),"Compteur manquant (plan au compteur)","OK"))))))))))))))))))</f>
        <v/>
      </c>
      <c r="S1545" s="67">
        <f>IF(AND(ISNUMBER(B1545),N(B1545)&gt;0),INT(B1545),0)</f>
        <v>0.0</v>
      </c>
      <c r="T1545" s="67">
        <f>IF(AND(ISNUMBER(J1545),N(J1545)&gt;=0),N(J1545),0)</f>
        <v>0.0</v>
      </c>
      <c r="U1545" s="67">
        <f>IF(AND(ISNUMBER(K1545),N(K1545)&gt;0),N(K1545),0)</f>
        <v>0.0</v>
      </c>
      <c r="V1545" s="67">
        <f>IF(AND(ISNUMBER(L1545),N(L1545)&gt;0),N(L1545),0)</f>
        <v>0.0</v>
      </c>
      <c r="W1545" s="67">
        <f>IF(AND(I1545="Terminée",S1545&gt;0,C1545&lt;&gt;"",ISNUMBER(MATCH(C1545,eq_code,0))),1,0)</f>
        <v>0.0</v>
      </c>
      <c r="X1545" s="67">
        <f>IF(AND(W1545=1,E1545="Préventif"),1,0)</f>
        <v>0.0</v>
      </c>
      <c r="Y1545" s="67">
        <f>IF(AND(ISNUMBER(N1545),N(N1545)&gt;0),N(N1545),0)</f>
        <v>0.0</v>
      </c>
      <c r="Z1545" s="67">
        <f>IF(AND(ISNUMBER(P1545),N(P1545)&gt;0),N(P1545),0)</f>
        <v>0.0</v>
      </c>
    </row>
    <row r="1546">
      <c r="A1546" s="79" t="str">
        <f>IF(COUNTA(B1546:C1546,E1546:G1546,I1546)=0,"","BI-"&amp;RIGHT("0000"&amp;(ROW()-5),4))</f>
        <v/>
      </c>
      <c r="B1546" s="72" t="n"/>
      <c r="C1546" s="66" t="n"/>
      <c r="D1546" s="67" t="str">
        <f>IF(C1546="","",IFERROR(INDEX(eq_des,MATCH(C1546,eq_code,0))&amp;"","Équipement inconnu"))</f>
        <v/>
      </c>
      <c r="E1546" s="68" t="n"/>
      <c r="F1546" s="68" t="n"/>
      <c r="G1546" s="66" t="n"/>
      <c r="H1546" s="66" t="n"/>
      <c r="I1546" s="68" t="n"/>
      <c r="J1546" s="73" t="n"/>
      <c r="K1546" s="71" t="n"/>
      <c r="L1546" s="71" t="n"/>
      <c r="M1546" s="66" t="n"/>
      <c r="N1546" s="80" t="n"/>
      <c r="O1546" s="81" t="str">
        <f>IF(A1546="","",ROUND(V1546*IFERROR(N(INDEX(tech_rate,MATCH(M1546,tech_name,0))),0),2))</f>
        <v/>
      </c>
      <c r="P1546" s="80" t="n"/>
      <c r="Q1546" s="81" t="str">
        <f>IF(A1546="","",ROUND(Y1546+O1546+Z1546,2))</f>
        <v/>
      </c>
      <c r="R1546" s="79" t="str">
        <f>IF(A1546="","",IF(S1546=0,"Date manquante ou invalide",IF(C1546="","Équipement manquant",IF(ISNA(MATCH(C1546,eq_code,0)),"Équipement inconnu",IF(E1546="","Type manquant",IF(AND(E1546&lt;&gt;"Préventif",E1546&lt;&gt;"Correctif",E1546&lt;&gt;"Amélioratif"),"Type inconnu",IF(I1546="","Statut manquant",IF(AND(I1546&lt;&gt;"Terminée",I1546&lt;&gt;"En cours",I1546&lt;&gt;"À faire",I1546&lt;&gt;"Annulée"),"Statut inconnu",IF(AND(E1546="Préventif",F1546=""),"Plan manquant (préventif)",IF(AND(F1546&lt;&gt;"",ISNA(MATCH(F1546,pl_num,0))),"Plan inconnu",IF(AND(F1546&lt;&gt;"",IFERROR(INDEX(pl_eq,MATCH(F1546,pl_num,0))&amp;"",C1546)&lt;&gt;C1546),"Plan d'un autre équipement",IF(AND(J1546&lt;&gt;"",OR(NOT(ISNUMBER(J1546)),N(J1546)&lt;0)),"Compteur invalide",IF(OR(AND(K1546&lt;&gt;"",OR(NOT(ISNUMBER(K1546)),N(K1546)&lt;0)),AND(L1546&lt;&gt;"",OR(NOT(ISNUMBER(L1546)),N(L1546)&lt;0))),"Durée invalide",IF(OR(AND(N1546&lt;&gt;"",OR(NOT(ISNUMBER(N1546)),N(N1546)&lt;0)),AND(P1546&lt;&gt;"",OR(NOT(ISNUMBER(P1546)),N(P1546)&lt;0))),"Coût invalide",IF(AND(M1546&lt;&gt;"",ISNA(MATCH(M1546,tech_name,0))),"Technicien inconnu",IF(AND(I1546="Terminée",S1546&gt;p_today),"Terminée à une date future",IF(AND(I1546="Terminée",V1546=0),"Durée d'intervention manquante",IF(AND(I1546="Terminée",E1546="Préventif",T1546=0,OR(IFERROR(INDEX(pl_trig,MATCH(F1546,pl_num,0))&amp;"","")="Compteur",IFERROR(INDEX(pl_trig,MATCH(F1546,pl_num,0))&amp;"","")="Au premier des deux")),"Compteur manquant (plan au compteur)","OK"))))))))))))))))))</f>
        <v/>
      </c>
      <c r="S1546" s="67">
        <f>IF(AND(ISNUMBER(B1546),N(B1546)&gt;0),INT(B1546),0)</f>
        <v>0.0</v>
      </c>
      <c r="T1546" s="67">
        <f>IF(AND(ISNUMBER(J1546),N(J1546)&gt;=0),N(J1546),0)</f>
        <v>0.0</v>
      </c>
      <c r="U1546" s="67">
        <f>IF(AND(ISNUMBER(K1546),N(K1546)&gt;0),N(K1546),0)</f>
        <v>0.0</v>
      </c>
      <c r="V1546" s="67">
        <f>IF(AND(ISNUMBER(L1546),N(L1546)&gt;0),N(L1546),0)</f>
        <v>0.0</v>
      </c>
      <c r="W1546" s="67">
        <f>IF(AND(I1546="Terminée",S1546&gt;0,C1546&lt;&gt;"",ISNUMBER(MATCH(C1546,eq_code,0))),1,0)</f>
        <v>0.0</v>
      </c>
      <c r="X1546" s="67">
        <f>IF(AND(W1546=1,E1546="Préventif"),1,0)</f>
        <v>0.0</v>
      </c>
      <c r="Y1546" s="67">
        <f>IF(AND(ISNUMBER(N1546),N(N1546)&gt;0),N(N1546),0)</f>
        <v>0.0</v>
      </c>
      <c r="Z1546" s="67">
        <f>IF(AND(ISNUMBER(P1546),N(P1546)&gt;0),N(P1546),0)</f>
        <v>0.0</v>
      </c>
    </row>
    <row r="1547">
      <c r="A1547" s="79" t="str">
        <f>IF(COUNTA(B1547:C1547,E1547:G1547,I1547)=0,"","BI-"&amp;RIGHT("0000"&amp;(ROW()-5),4))</f>
        <v/>
      </c>
      <c r="B1547" s="72" t="n"/>
      <c r="C1547" s="66" t="n"/>
      <c r="D1547" s="67" t="str">
        <f>IF(C1547="","",IFERROR(INDEX(eq_des,MATCH(C1547,eq_code,0))&amp;"","Équipement inconnu"))</f>
        <v/>
      </c>
      <c r="E1547" s="68" t="n"/>
      <c r="F1547" s="68" t="n"/>
      <c r="G1547" s="66" t="n"/>
      <c r="H1547" s="66" t="n"/>
      <c r="I1547" s="68" t="n"/>
      <c r="J1547" s="73" t="n"/>
      <c r="K1547" s="71" t="n"/>
      <c r="L1547" s="71" t="n"/>
      <c r="M1547" s="66" t="n"/>
      <c r="N1547" s="80" t="n"/>
      <c r="O1547" s="81" t="str">
        <f>IF(A1547="","",ROUND(V1547*IFERROR(N(INDEX(tech_rate,MATCH(M1547,tech_name,0))),0),2))</f>
        <v/>
      </c>
      <c r="P1547" s="80" t="n"/>
      <c r="Q1547" s="81" t="str">
        <f>IF(A1547="","",ROUND(Y1547+O1547+Z1547,2))</f>
        <v/>
      </c>
      <c r="R1547" s="79" t="str">
        <f>IF(A1547="","",IF(S1547=0,"Date manquante ou invalide",IF(C1547="","Équipement manquant",IF(ISNA(MATCH(C1547,eq_code,0)),"Équipement inconnu",IF(E1547="","Type manquant",IF(AND(E1547&lt;&gt;"Préventif",E1547&lt;&gt;"Correctif",E1547&lt;&gt;"Amélioratif"),"Type inconnu",IF(I1547="","Statut manquant",IF(AND(I1547&lt;&gt;"Terminée",I1547&lt;&gt;"En cours",I1547&lt;&gt;"À faire",I1547&lt;&gt;"Annulée"),"Statut inconnu",IF(AND(E1547="Préventif",F1547=""),"Plan manquant (préventif)",IF(AND(F1547&lt;&gt;"",ISNA(MATCH(F1547,pl_num,0))),"Plan inconnu",IF(AND(F1547&lt;&gt;"",IFERROR(INDEX(pl_eq,MATCH(F1547,pl_num,0))&amp;"",C1547)&lt;&gt;C1547),"Plan d'un autre équipement",IF(AND(J1547&lt;&gt;"",OR(NOT(ISNUMBER(J1547)),N(J1547)&lt;0)),"Compteur invalide",IF(OR(AND(K1547&lt;&gt;"",OR(NOT(ISNUMBER(K1547)),N(K1547)&lt;0)),AND(L1547&lt;&gt;"",OR(NOT(ISNUMBER(L1547)),N(L1547)&lt;0))),"Durée invalide",IF(OR(AND(N1547&lt;&gt;"",OR(NOT(ISNUMBER(N1547)),N(N1547)&lt;0)),AND(P1547&lt;&gt;"",OR(NOT(ISNUMBER(P1547)),N(P1547)&lt;0))),"Coût invalide",IF(AND(M1547&lt;&gt;"",ISNA(MATCH(M1547,tech_name,0))),"Technicien inconnu",IF(AND(I1547="Terminée",S1547&gt;p_today),"Terminée à une date future",IF(AND(I1547="Terminée",V1547=0),"Durée d'intervention manquante",IF(AND(I1547="Terminée",E1547="Préventif",T1547=0,OR(IFERROR(INDEX(pl_trig,MATCH(F1547,pl_num,0))&amp;"","")="Compteur",IFERROR(INDEX(pl_trig,MATCH(F1547,pl_num,0))&amp;"","")="Au premier des deux")),"Compteur manquant (plan au compteur)","OK"))))))))))))))))))</f>
        <v/>
      </c>
      <c r="S1547" s="67">
        <f>IF(AND(ISNUMBER(B1547),N(B1547)&gt;0),INT(B1547),0)</f>
        <v>0.0</v>
      </c>
      <c r="T1547" s="67">
        <f>IF(AND(ISNUMBER(J1547),N(J1547)&gt;=0),N(J1547),0)</f>
        <v>0.0</v>
      </c>
      <c r="U1547" s="67">
        <f>IF(AND(ISNUMBER(K1547),N(K1547)&gt;0),N(K1547),0)</f>
        <v>0.0</v>
      </c>
      <c r="V1547" s="67">
        <f>IF(AND(ISNUMBER(L1547),N(L1547)&gt;0),N(L1547),0)</f>
        <v>0.0</v>
      </c>
      <c r="W1547" s="67">
        <f>IF(AND(I1547="Terminée",S1547&gt;0,C1547&lt;&gt;"",ISNUMBER(MATCH(C1547,eq_code,0))),1,0)</f>
        <v>0.0</v>
      </c>
      <c r="X1547" s="67">
        <f>IF(AND(W1547=1,E1547="Préventif"),1,0)</f>
        <v>0.0</v>
      </c>
      <c r="Y1547" s="67">
        <f>IF(AND(ISNUMBER(N1547),N(N1547)&gt;0),N(N1547),0)</f>
        <v>0.0</v>
      </c>
      <c r="Z1547" s="67">
        <f>IF(AND(ISNUMBER(P1547),N(P1547)&gt;0),N(P1547),0)</f>
        <v>0.0</v>
      </c>
    </row>
    <row r="1548">
      <c r="A1548" s="79" t="str">
        <f>IF(COUNTA(B1548:C1548,E1548:G1548,I1548)=0,"","BI-"&amp;RIGHT("0000"&amp;(ROW()-5),4))</f>
        <v/>
      </c>
      <c r="B1548" s="72" t="n"/>
      <c r="C1548" s="66" t="n"/>
      <c r="D1548" s="67" t="str">
        <f>IF(C1548="","",IFERROR(INDEX(eq_des,MATCH(C1548,eq_code,0))&amp;"","Équipement inconnu"))</f>
        <v/>
      </c>
      <c r="E1548" s="68" t="n"/>
      <c r="F1548" s="68" t="n"/>
      <c r="G1548" s="66" t="n"/>
      <c r="H1548" s="66" t="n"/>
      <c r="I1548" s="68" t="n"/>
      <c r="J1548" s="73" t="n"/>
      <c r="K1548" s="71" t="n"/>
      <c r="L1548" s="71" t="n"/>
      <c r="M1548" s="66" t="n"/>
      <c r="N1548" s="80" t="n"/>
      <c r="O1548" s="81" t="str">
        <f>IF(A1548="","",ROUND(V1548*IFERROR(N(INDEX(tech_rate,MATCH(M1548,tech_name,0))),0),2))</f>
        <v/>
      </c>
      <c r="P1548" s="80" t="n"/>
      <c r="Q1548" s="81" t="str">
        <f>IF(A1548="","",ROUND(Y1548+O1548+Z1548,2))</f>
        <v/>
      </c>
      <c r="R1548" s="79" t="str">
        <f>IF(A1548="","",IF(S1548=0,"Date manquante ou invalide",IF(C1548="","Équipement manquant",IF(ISNA(MATCH(C1548,eq_code,0)),"Équipement inconnu",IF(E1548="","Type manquant",IF(AND(E1548&lt;&gt;"Préventif",E1548&lt;&gt;"Correctif",E1548&lt;&gt;"Amélioratif"),"Type inconnu",IF(I1548="","Statut manquant",IF(AND(I1548&lt;&gt;"Terminée",I1548&lt;&gt;"En cours",I1548&lt;&gt;"À faire",I1548&lt;&gt;"Annulée"),"Statut inconnu",IF(AND(E1548="Préventif",F1548=""),"Plan manquant (préventif)",IF(AND(F1548&lt;&gt;"",ISNA(MATCH(F1548,pl_num,0))),"Plan inconnu",IF(AND(F1548&lt;&gt;"",IFERROR(INDEX(pl_eq,MATCH(F1548,pl_num,0))&amp;"",C1548)&lt;&gt;C1548),"Plan d'un autre équipement",IF(AND(J1548&lt;&gt;"",OR(NOT(ISNUMBER(J1548)),N(J1548)&lt;0)),"Compteur invalide",IF(OR(AND(K1548&lt;&gt;"",OR(NOT(ISNUMBER(K1548)),N(K1548)&lt;0)),AND(L1548&lt;&gt;"",OR(NOT(ISNUMBER(L1548)),N(L1548)&lt;0))),"Durée invalide",IF(OR(AND(N1548&lt;&gt;"",OR(NOT(ISNUMBER(N1548)),N(N1548)&lt;0)),AND(P1548&lt;&gt;"",OR(NOT(ISNUMBER(P1548)),N(P1548)&lt;0))),"Coût invalide",IF(AND(M1548&lt;&gt;"",ISNA(MATCH(M1548,tech_name,0))),"Technicien inconnu",IF(AND(I1548="Terminée",S1548&gt;p_today),"Terminée à une date future",IF(AND(I1548="Terminée",V1548=0),"Durée d'intervention manquante",IF(AND(I1548="Terminée",E1548="Préventif",T1548=0,OR(IFERROR(INDEX(pl_trig,MATCH(F1548,pl_num,0))&amp;"","")="Compteur",IFERROR(INDEX(pl_trig,MATCH(F1548,pl_num,0))&amp;"","")="Au premier des deux")),"Compteur manquant (plan au compteur)","OK"))))))))))))))))))</f>
        <v/>
      </c>
      <c r="S1548" s="67">
        <f>IF(AND(ISNUMBER(B1548),N(B1548)&gt;0),INT(B1548),0)</f>
        <v>0.0</v>
      </c>
      <c r="T1548" s="67">
        <f>IF(AND(ISNUMBER(J1548),N(J1548)&gt;=0),N(J1548),0)</f>
        <v>0.0</v>
      </c>
      <c r="U1548" s="67">
        <f>IF(AND(ISNUMBER(K1548),N(K1548)&gt;0),N(K1548),0)</f>
        <v>0.0</v>
      </c>
      <c r="V1548" s="67">
        <f>IF(AND(ISNUMBER(L1548),N(L1548)&gt;0),N(L1548),0)</f>
        <v>0.0</v>
      </c>
      <c r="W1548" s="67">
        <f>IF(AND(I1548="Terminée",S1548&gt;0,C1548&lt;&gt;"",ISNUMBER(MATCH(C1548,eq_code,0))),1,0)</f>
        <v>0.0</v>
      </c>
      <c r="X1548" s="67">
        <f>IF(AND(W1548=1,E1548="Préventif"),1,0)</f>
        <v>0.0</v>
      </c>
      <c r="Y1548" s="67">
        <f>IF(AND(ISNUMBER(N1548),N(N1548)&gt;0),N(N1548),0)</f>
        <v>0.0</v>
      </c>
      <c r="Z1548" s="67">
        <f>IF(AND(ISNUMBER(P1548),N(P1548)&gt;0),N(P1548),0)</f>
        <v>0.0</v>
      </c>
    </row>
    <row r="1549">
      <c r="A1549" s="79" t="str">
        <f>IF(COUNTA(B1549:C1549,E1549:G1549,I1549)=0,"","BI-"&amp;RIGHT("0000"&amp;(ROW()-5),4))</f>
        <v/>
      </c>
      <c r="B1549" s="72" t="n"/>
      <c r="C1549" s="66" t="n"/>
      <c r="D1549" s="67" t="str">
        <f>IF(C1549="","",IFERROR(INDEX(eq_des,MATCH(C1549,eq_code,0))&amp;"","Équipement inconnu"))</f>
        <v/>
      </c>
      <c r="E1549" s="68" t="n"/>
      <c r="F1549" s="68" t="n"/>
      <c r="G1549" s="66" t="n"/>
      <c r="H1549" s="66" t="n"/>
      <c r="I1549" s="68" t="n"/>
      <c r="J1549" s="73" t="n"/>
      <c r="K1549" s="71" t="n"/>
      <c r="L1549" s="71" t="n"/>
      <c r="M1549" s="66" t="n"/>
      <c r="N1549" s="80" t="n"/>
      <c r="O1549" s="81" t="str">
        <f>IF(A1549="","",ROUND(V1549*IFERROR(N(INDEX(tech_rate,MATCH(M1549,tech_name,0))),0),2))</f>
        <v/>
      </c>
      <c r="P1549" s="80" t="n"/>
      <c r="Q1549" s="81" t="str">
        <f>IF(A1549="","",ROUND(Y1549+O1549+Z1549,2))</f>
        <v/>
      </c>
      <c r="R1549" s="79" t="str">
        <f>IF(A1549="","",IF(S1549=0,"Date manquante ou invalide",IF(C1549="","Équipement manquant",IF(ISNA(MATCH(C1549,eq_code,0)),"Équipement inconnu",IF(E1549="","Type manquant",IF(AND(E1549&lt;&gt;"Préventif",E1549&lt;&gt;"Correctif",E1549&lt;&gt;"Amélioratif"),"Type inconnu",IF(I1549="","Statut manquant",IF(AND(I1549&lt;&gt;"Terminée",I1549&lt;&gt;"En cours",I1549&lt;&gt;"À faire",I1549&lt;&gt;"Annulée"),"Statut inconnu",IF(AND(E1549="Préventif",F1549=""),"Plan manquant (préventif)",IF(AND(F1549&lt;&gt;"",ISNA(MATCH(F1549,pl_num,0))),"Plan inconnu",IF(AND(F1549&lt;&gt;"",IFERROR(INDEX(pl_eq,MATCH(F1549,pl_num,0))&amp;"",C1549)&lt;&gt;C1549),"Plan d'un autre équipement",IF(AND(J1549&lt;&gt;"",OR(NOT(ISNUMBER(J1549)),N(J1549)&lt;0)),"Compteur invalide",IF(OR(AND(K1549&lt;&gt;"",OR(NOT(ISNUMBER(K1549)),N(K1549)&lt;0)),AND(L1549&lt;&gt;"",OR(NOT(ISNUMBER(L1549)),N(L1549)&lt;0))),"Durée invalide",IF(OR(AND(N1549&lt;&gt;"",OR(NOT(ISNUMBER(N1549)),N(N1549)&lt;0)),AND(P1549&lt;&gt;"",OR(NOT(ISNUMBER(P1549)),N(P1549)&lt;0))),"Coût invalide",IF(AND(M1549&lt;&gt;"",ISNA(MATCH(M1549,tech_name,0))),"Technicien inconnu",IF(AND(I1549="Terminée",S1549&gt;p_today),"Terminée à une date future",IF(AND(I1549="Terminée",V1549=0),"Durée d'intervention manquante",IF(AND(I1549="Terminée",E1549="Préventif",T1549=0,OR(IFERROR(INDEX(pl_trig,MATCH(F1549,pl_num,0))&amp;"","")="Compteur",IFERROR(INDEX(pl_trig,MATCH(F1549,pl_num,0))&amp;"","")="Au premier des deux")),"Compteur manquant (plan au compteur)","OK"))))))))))))))))))</f>
        <v/>
      </c>
      <c r="S1549" s="67">
        <f>IF(AND(ISNUMBER(B1549),N(B1549)&gt;0),INT(B1549),0)</f>
        <v>0.0</v>
      </c>
      <c r="T1549" s="67">
        <f>IF(AND(ISNUMBER(J1549),N(J1549)&gt;=0),N(J1549),0)</f>
        <v>0.0</v>
      </c>
      <c r="U1549" s="67">
        <f>IF(AND(ISNUMBER(K1549),N(K1549)&gt;0),N(K1549),0)</f>
        <v>0.0</v>
      </c>
      <c r="V1549" s="67">
        <f>IF(AND(ISNUMBER(L1549),N(L1549)&gt;0),N(L1549),0)</f>
        <v>0.0</v>
      </c>
      <c r="W1549" s="67">
        <f>IF(AND(I1549="Terminée",S1549&gt;0,C1549&lt;&gt;"",ISNUMBER(MATCH(C1549,eq_code,0))),1,0)</f>
        <v>0.0</v>
      </c>
      <c r="X1549" s="67">
        <f>IF(AND(W1549=1,E1549="Préventif"),1,0)</f>
        <v>0.0</v>
      </c>
      <c r="Y1549" s="67">
        <f>IF(AND(ISNUMBER(N1549),N(N1549)&gt;0),N(N1549),0)</f>
        <v>0.0</v>
      </c>
      <c r="Z1549" s="67">
        <f>IF(AND(ISNUMBER(P1549),N(P1549)&gt;0),N(P1549),0)</f>
        <v>0.0</v>
      </c>
    </row>
    <row r="1550">
      <c r="A1550" s="79" t="str">
        <f>IF(COUNTA(B1550:C1550,E1550:G1550,I1550)=0,"","BI-"&amp;RIGHT("0000"&amp;(ROW()-5),4))</f>
        <v/>
      </c>
      <c r="B1550" s="72" t="n"/>
      <c r="C1550" s="66" t="n"/>
      <c r="D1550" s="67" t="str">
        <f>IF(C1550="","",IFERROR(INDEX(eq_des,MATCH(C1550,eq_code,0))&amp;"","Équipement inconnu"))</f>
        <v/>
      </c>
      <c r="E1550" s="68" t="n"/>
      <c r="F1550" s="68" t="n"/>
      <c r="G1550" s="66" t="n"/>
      <c r="H1550" s="66" t="n"/>
      <c r="I1550" s="68" t="n"/>
      <c r="J1550" s="73" t="n"/>
      <c r="K1550" s="71" t="n"/>
      <c r="L1550" s="71" t="n"/>
      <c r="M1550" s="66" t="n"/>
      <c r="N1550" s="80" t="n"/>
      <c r="O1550" s="81" t="str">
        <f>IF(A1550="","",ROUND(V1550*IFERROR(N(INDEX(tech_rate,MATCH(M1550,tech_name,0))),0),2))</f>
        <v/>
      </c>
      <c r="P1550" s="80" t="n"/>
      <c r="Q1550" s="81" t="str">
        <f>IF(A1550="","",ROUND(Y1550+O1550+Z1550,2))</f>
        <v/>
      </c>
      <c r="R1550" s="79" t="str">
        <f>IF(A1550="","",IF(S1550=0,"Date manquante ou invalide",IF(C1550="","Équipement manquant",IF(ISNA(MATCH(C1550,eq_code,0)),"Équipement inconnu",IF(E1550="","Type manquant",IF(AND(E1550&lt;&gt;"Préventif",E1550&lt;&gt;"Correctif",E1550&lt;&gt;"Amélioratif"),"Type inconnu",IF(I1550="","Statut manquant",IF(AND(I1550&lt;&gt;"Terminée",I1550&lt;&gt;"En cours",I1550&lt;&gt;"À faire",I1550&lt;&gt;"Annulée"),"Statut inconnu",IF(AND(E1550="Préventif",F1550=""),"Plan manquant (préventif)",IF(AND(F1550&lt;&gt;"",ISNA(MATCH(F1550,pl_num,0))),"Plan inconnu",IF(AND(F1550&lt;&gt;"",IFERROR(INDEX(pl_eq,MATCH(F1550,pl_num,0))&amp;"",C1550)&lt;&gt;C1550),"Plan d'un autre équipement",IF(AND(J1550&lt;&gt;"",OR(NOT(ISNUMBER(J1550)),N(J1550)&lt;0)),"Compteur invalide",IF(OR(AND(K1550&lt;&gt;"",OR(NOT(ISNUMBER(K1550)),N(K1550)&lt;0)),AND(L1550&lt;&gt;"",OR(NOT(ISNUMBER(L1550)),N(L1550)&lt;0))),"Durée invalide",IF(OR(AND(N1550&lt;&gt;"",OR(NOT(ISNUMBER(N1550)),N(N1550)&lt;0)),AND(P1550&lt;&gt;"",OR(NOT(ISNUMBER(P1550)),N(P1550)&lt;0))),"Coût invalide",IF(AND(M1550&lt;&gt;"",ISNA(MATCH(M1550,tech_name,0))),"Technicien inconnu",IF(AND(I1550="Terminée",S1550&gt;p_today),"Terminée à une date future",IF(AND(I1550="Terminée",V1550=0),"Durée d'intervention manquante",IF(AND(I1550="Terminée",E1550="Préventif",T1550=0,OR(IFERROR(INDEX(pl_trig,MATCH(F1550,pl_num,0))&amp;"","")="Compteur",IFERROR(INDEX(pl_trig,MATCH(F1550,pl_num,0))&amp;"","")="Au premier des deux")),"Compteur manquant (plan au compteur)","OK"))))))))))))))))))</f>
        <v/>
      </c>
      <c r="S1550" s="67">
        <f>IF(AND(ISNUMBER(B1550),N(B1550)&gt;0),INT(B1550),0)</f>
        <v>0.0</v>
      </c>
      <c r="T1550" s="67">
        <f>IF(AND(ISNUMBER(J1550),N(J1550)&gt;=0),N(J1550),0)</f>
        <v>0.0</v>
      </c>
      <c r="U1550" s="67">
        <f>IF(AND(ISNUMBER(K1550),N(K1550)&gt;0),N(K1550),0)</f>
        <v>0.0</v>
      </c>
      <c r="V1550" s="67">
        <f>IF(AND(ISNUMBER(L1550),N(L1550)&gt;0),N(L1550),0)</f>
        <v>0.0</v>
      </c>
      <c r="W1550" s="67">
        <f>IF(AND(I1550="Terminée",S1550&gt;0,C1550&lt;&gt;"",ISNUMBER(MATCH(C1550,eq_code,0))),1,0)</f>
        <v>0.0</v>
      </c>
      <c r="X1550" s="67">
        <f>IF(AND(W1550=1,E1550="Préventif"),1,0)</f>
        <v>0.0</v>
      </c>
      <c r="Y1550" s="67">
        <f>IF(AND(ISNUMBER(N1550),N(N1550)&gt;0),N(N1550),0)</f>
        <v>0.0</v>
      </c>
      <c r="Z1550" s="67">
        <f>IF(AND(ISNUMBER(P1550),N(P1550)&gt;0),N(P1550),0)</f>
        <v>0.0</v>
      </c>
    </row>
    <row r="1551">
      <c r="A1551" s="79" t="str">
        <f>IF(COUNTA(B1551:C1551,E1551:G1551,I1551)=0,"","BI-"&amp;RIGHT("0000"&amp;(ROW()-5),4))</f>
        <v/>
      </c>
      <c r="B1551" s="72" t="n"/>
      <c r="C1551" s="66" t="n"/>
      <c r="D1551" s="67" t="str">
        <f>IF(C1551="","",IFERROR(INDEX(eq_des,MATCH(C1551,eq_code,0))&amp;"","Équipement inconnu"))</f>
        <v/>
      </c>
      <c r="E1551" s="68" t="n"/>
      <c r="F1551" s="68" t="n"/>
      <c r="G1551" s="66" t="n"/>
      <c r="H1551" s="66" t="n"/>
      <c r="I1551" s="68" t="n"/>
      <c r="J1551" s="73" t="n"/>
      <c r="K1551" s="71" t="n"/>
      <c r="L1551" s="71" t="n"/>
      <c r="M1551" s="66" t="n"/>
      <c r="N1551" s="80" t="n"/>
      <c r="O1551" s="81" t="str">
        <f>IF(A1551="","",ROUND(V1551*IFERROR(N(INDEX(tech_rate,MATCH(M1551,tech_name,0))),0),2))</f>
        <v/>
      </c>
      <c r="P1551" s="80" t="n"/>
      <c r="Q1551" s="81" t="str">
        <f>IF(A1551="","",ROUND(Y1551+O1551+Z1551,2))</f>
        <v/>
      </c>
      <c r="R1551" s="79" t="str">
        <f>IF(A1551="","",IF(S1551=0,"Date manquante ou invalide",IF(C1551="","Équipement manquant",IF(ISNA(MATCH(C1551,eq_code,0)),"Équipement inconnu",IF(E1551="","Type manquant",IF(AND(E1551&lt;&gt;"Préventif",E1551&lt;&gt;"Correctif",E1551&lt;&gt;"Amélioratif"),"Type inconnu",IF(I1551="","Statut manquant",IF(AND(I1551&lt;&gt;"Terminée",I1551&lt;&gt;"En cours",I1551&lt;&gt;"À faire",I1551&lt;&gt;"Annulée"),"Statut inconnu",IF(AND(E1551="Préventif",F1551=""),"Plan manquant (préventif)",IF(AND(F1551&lt;&gt;"",ISNA(MATCH(F1551,pl_num,0))),"Plan inconnu",IF(AND(F1551&lt;&gt;"",IFERROR(INDEX(pl_eq,MATCH(F1551,pl_num,0))&amp;"",C1551)&lt;&gt;C1551),"Plan d'un autre équipement",IF(AND(J1551&lt;&gt;"",OR(NOT(ISNUMBER(J1551)),N(J1551)&lt;0)),"Compteur invalide",IF(OR(AND(K1551&lt;&gt;"",OR(NOT(ISNUMBER(K1551)),N(K1551)&lt;0)),AND(L1551&lt;&gt;"",OR(NOT(ISNUMBER(L1551)),N(L1551)&lt;0))),"Durée invalide",IF(OR(AND(N1551&lt;&gt;"",OR(NOT(ISNUMBER(N1551)),N(N1551)&lt;0)),AND(P1551&lt;&gt;"",OR(NOT(ISNUMBER(P1551)),N(P1551)&lt;0))),"Coût invalide",IF(AND(M1551&lt;&gt;"",ISNA(MATCH(M1551,tech_name,0))),"Technicien inconnu",IF(AND(I1551="Terminée",S1551&gt;p_today),"Terminée à une date future",IF(AND(I1551="Terminée",V1551=0),"Durée d'intervention manquante",IF(AND(I1551="Terminée",E1551="Préventif",T1551=0,OR(IFERROR(INDEX(pl_trig,MATCH(F1551,pl_num,0))&amp;"","")="Compteur",IFERROR(INDEX(pl_trig,MATCH(F1551,pl_num,0))&amp;"","")="Au premier des deux")),"Compteur manquant (plan au compteur)","OK"))))))))))))))))))</f>
        <v/>
      </c>
      <c r="S1551" s="67">
        <f>IF(AND(ISNUMBER(B1551),N(B1551)&gt;0),INT(B1551),0)</f>
        <v>0.0</v>
      </c>
      <c r="T1551" s="67">
        <f>IF(AND(ISNUMBER(J1551),N(J1551)&gt;=0),N(J1551),0)</f>
        <v>0.0</v>
      </c>
      <c r="U1551" s="67">
        <f>IF(AND(ISNUMBER(K1551),N(K1551)&gt;0),N(K1551),0)</f>
        <v>0.0</v>
      </c>
      <c r="V1551" s="67">
        <f>IF(AND(ISNUMBER(L1551),N(L1551)&gt;0),N(L1551),0)</f>
        <v>0.0</v>
      </c>
      <c r="W1551" s="67">
        <f>IF(AND(I1551="Terminée",S1551&gt;0,C1551&lt;&gt;"",ISNUMBER(MATCH(C1551,eq_code,0))),1,0)</f>
        <v>0.0</v>
      </c>
      <c r="X1551" s="67">
        <f>IF(AND(W1551=1,E1551="Préventif"),1,0)</f>
        <v>0.0</v>
      </c>
      <c r="Y1551" s="67">
        <f>IF(AND(ISNUMBER(N1551),N(N1551)&gt;0),N(N1551),0)</f>
        <v>0.0</v>
      </c>
      <c r="Z1551" s="67">
        <f>IF(AND(ISNUMBER(P1551),N(P1551)&gt;0),N(P1551),0)</f>
        <v>0.0</v>
      </c>
    </row>
    <row r="1552">
      <c r="A1552" s="79" t="str">
        <f>IF(COUNTA(B1552:C1552,E1552:G1552,I1552)=0,"","BI-"&amp;RIGHT("0000"&amp;(ROW()-5),4))</f>
        <v/>
      </c>
      <c r="B1552" s="72" t="n"/>
      <c r="C1552" s="66" t="n"/>
      <c r="D1552" s="67" t="str">
        <f>IF(C1552="","",IFERROR(INDEX(eq_des,MATCH(C1552,eq_code,0))&amp;"","Équipement inconnu"))</f>
        <v/>
      </c>
      <c r="E1552" s="68" t="n"/>
      <c r="F1552" s="68" t="n"/>
      <c r="G1552" s="66" t="n"/>
      <c r="H1552" s="66" t="n"/>
      <c r="I1552" s="68" t="n"/>
      <c r="J1552" s="73" t="n"/>
      <c r="K1552" s="71" t="n"/>
      <c r="L1552" s="71" t="n"/>
      <c r="M1552" s="66" t="n"/>
      <c r="N1552" s="80" t="n"/>
      <c r="O1552" s="81" t="str">
        <f>IF(A1552="","",ROUND(V1552*IFERROR(N(INDEX(tech_rate,MATCH(M1552,tech_name,0))),0),2))</f>
        <v/>
      </c>
      <c r="P1552" s="80" t="n"/>
      <c r="Q1552" s="81" t="str">
        <f>IF(A1552="","",ROUND(Y1552+O1552+Z1552,2))</f>
        <v/>
      </c>
      <c r="R1552" s="79" t="str">
        <f>IF(A1552="","",IF(S1552=0,"Date manquante ou invalide",IF(C1552="","Équipement manquant",IF(ISNA(MATCH(C1552,eq_code,0)),"Équipement inconnu",IF(E1552="","Type manquant",IF(AND(E1552&lt;&gt;"Préventif",E1552&lt;&gt;"Correctif",E1552&lt;&gt;"Amélioratif"),"Type inconnu",IF(I1552="","Statut manquant",IF(AND(I1552&lt;&gt;"Terminée",I1552&lt;&gt;"En cours",I1552&lt;&gt;"À faire",I1552&lt;&gt;"Annulée"),"Statut inconnu",IF(AND(E1552="Préventif",F1552=""),"Plan manquant (préventif)",IF(AND(F1552&lt;&gt;"",ISNA(MATCH(F1552,pl_num,0))),"Plan inconnu",IF(AND(F1552&lt;&gt;"",IFERROR(INDEX(pl_eq,MATCH(F1552,pl_num,0))&amp;"",C1552)&lt;&gt;C1552),"Plan d'un autre équipement",IF(AND(J1552&lt;&gt;"",OR(NOT(ISNUMBER(J1552)),N(J1552)&lt;0)),"Compteur invalide",IF(OR(AND(K1552&lt;&gt;"",OR(NOT(ISNUMBER(K1552)),N(K1552)&lt;0)),AND(L1552&lt;&gt;"",OR(NOT(ISNUMBER(L1552)),N(L1552)&lt;0))),"Durée invalide",IF(OR(AND(N1552&lt;&gt;"",OR(NOT(ISNUMBER(N1552)),N(N1552)&lt;0)),AND(P1552&lt;&gt;"",OR(NOT(ISNUMBER(P1552)),N(P1552)&lt;0))),"Coût invalide",IF(AND(M1552&lt;&gt;"",ISNA(MATCH(M1552,tech_name,0))),"Technicien inconnu",IF(AND(I1552="Terminée",S1552&gt;p_today),"Terminée à une date future",IF(AND(I1552="Terminée",V1552=0),"Durée d'intervention manquante",IF(AND(I1552="Terminée",E1552="Préventif",T1552=0,OR(IFERROR(INDEX(pl_trig,MATCH(F1552,pl_num,0))&amp;"","")="Compteur",IFERROR(INDEX(pl_trig,MATCH(F1552,pl_num,0))&amp;"","")="Au premier des deux")),"Compteur manquant (plan au compteur)","OK"))))))))))))))))))</f>
        <v/>
      </c>
      <c r="S1552" s="67">
        <f>IF(AND(ISNUMBER(B1552),N(B1552)&gt;0),INT(B1552),0)</f>
        <v>0.0</v>
      </c>
      <c r="T1552" s="67">
        <f>IF(AND(ISNUMBER(J1552),N(J1552)&gt;=0),N(J1552),0)</f>
        <v>0.0</v>
      </c>
      <c r="U1552" s="67">
        <f>IF(AND(ISNUMBER(K1552),N(K1552)&gt;0),N(K1552),0)</f>
        <v>0.0</v>
      </c>
      <c r="V1552" s="67">
        <f>IF(AND(ISNUMBER(L1552),N(L1552)&gt;0),N(L1552),0)</f>
        <v>0.0</v>
      </c>
      <c r="W1552" s="67">
        <f>IF(AND(I1552="Terminée",S1552&gt;0,C1552&lt;&gt;"",ISNUMBER(MATCH(C1552,eq_code,0))),1,0)</f>
        <v>0.0</v>
      </c>
      <c r="X1552" s="67">
        <f>IF(AND(W1552=1,E1552="Préventif"),1,0)</f>
        <v>0.0</v>
      </c>
      <c r="Y1552" s="67">
        <f>IF(AND(ISNUMBER(N1552),N(N1552)&gt;0),N(N1552),0)</f>
        <v>0.0</v>
      </c>
      <c r="Z1552" s="67">
        <f>IF(AND(ISNUMBER(P1552),N(P1552)&gt;0),N(P1552),0)</f>
        <v>0.0</v>
      </c>
    </row>
    <row r="1553">
      <c r="A1553" s="79" t="str">
        <f>IF(COUNTA(B1553:C1553,E1553:G1553,I1553)=0,"","BI-"&amp;RIGHT("0000"&amp;(ROW()-5),4))</f>
        <v/>
      </c>
      <c r="B1553" s="72" t="n"/>
      <c r="C1553" s="66" t="n"/>
      <c r="D1553" s="67" t="str">
        <f>IF(C1553="","",IFERROR(INDEX(eq_des,MATCH(C1553,eq_code,0))&amp;"","Équipement inconnu"))</f>
        <v/>
      </c>
      <c r="E1553" s="68" t="n"/>
      <c r="F1553" s="68" t="n"/>
      <c r="G1553" s="66" t="n"/>
      <c r="H1553" s="66" t="n"/>
      <c r="I1553" s="68" t="n"/>
      <c r="J1553" s="73" t="n"/>
      <c r="K1553" s="71" t="n"/>
      <c r="L1553" s="71" t="n"/>
      <c r="M1553" s="66" t="n"/>
      <c r="N1553" s="80" t="n"/>
      <c r="O1553" s="81" t="str">
        <f>IF(A1553="","",ROUND(V1553*IFERROR(N(INDEX(tech_rate,MATCH(M1553,tech_name,0))),0),2))</f>
        <v/>
      </c>
      <c r="P1553" s="80" t="n"/>
      <c r="Q1553" s="81" t="str">
        <f>IF(A1553="","",ROUND(Y1553+O1553+Z1553,2))</f>
        <v/>
      </c>
      <c r="R1553" s="79" t="str">
        <f>IF(A1553="","",IF(S1553=0,"Date manquante ou invalide",IF(C1553="","Équipement manquant",IF(ISNA(MATCH(C1553,eq_code,0)),"Équipement inconnu",IF(E1553="","Type manquant",IF(AND(E1553&lt;&gt;"Préventif",E1553&lt;&gt;"Correctif",E1553&lt;&gt;"Amélioratif"),"Type inconnu",IF(I1553="","Statut manquant",IF(AND(I1553&lt;&gt;"Terminée",I1553&lt;&gt;"En cours",I1553&lt;&gt;"À faire",I1553&lt;&gt;"Annulée"),"Statut inconnu",IF(AND(E1553="Préventif",F1553=""),"Plan manquant (préventif)",IF(AND(F1553&lt;&gt;"",ISNA(MATCH(F1553,pl_num,0))),"Plan inconnu",IF(AND(F1553&lt;&gt;"",IFERROR(INDEX(pl_eq,MATCH(F1553,pl_num,0))&amp;"",C1553)&lt;&gt;C1553),"Plan d'un autre équipement",IF(AND(J1553&lt;&gt;"",OR(NOT(ISNUMBER(J1553)),N(J1553)&lt;0)),"Compteur invalide",IF(OR(AND(K1553&lt;&gt;"",OR(NOT(ISNUMBER(K1553)),N(K1553)&lt;0)),AND(L1553&lt;&gt;"",OR(NOT(ISNUMBER(L1553)),N(L1553)&lt;0))),"Durée invalide",IF(OR(AND(N1553&lt;&gt;"",OR(NOT(ISNUMBER(N1553)),N(N1553)&lt;0)),AND(P1553&lt;&gt;"",OR(NOT(ISNUMBER(P1553)),N(P1553)&lt;0))),"Coût invalide",IF(AND(M1553&lt;&gt;"",ISNA(MATCH(M1553,tech_name,0))),"Technicien inconnu",IF(AND(I1553="Terminée",S1553&gt;p_today),"Terminée à une date future",IF(AND(I1553="Terminée",V1553=0),"Durée d'intervention manquante",IF(AND(I1553="Terminée",E1553="Préventif",T1553=0,OR(IFERROR(INDEX(pl_trig,MATCH(F1553,pl_num,0))&amp;"","")="Compteur",IFERROR(INDEX(pl_trig,MATCH(F1553,pl_num,0))&amp;"","")="Au premier des deux")),"Compteur manquant (plan au compteur)","OK"))))))))))))))))))</f>
        <v/>
      </c>
      <c r="S1553" s="67">
        <f>IF(AND(ISNUMBER(B1553),N(B1553)&gt;0),INT(B1553),0)</f>
        <v>0.0</v>
      </c>
      <c r="T1553" s="67">
        <f>IF(AND(ISNUMBER(J1553),N(J1553)&gt;=0),N(J1553),0)</f>
        <v>0.0</v>
      </c>
      <c r="U1553" s="67">
        <f>IF(AND(ISNUMBER(K1553),N(K1553)&gt;0),N(K1553),0)</f>
        <v>0.0</v>
      </c>
      <c r="V1553" s="67">
        <f>IF(AND(ISNUMBER(L1553),N(L1553)&gt;0),N(L1553),0)</f>
        <v>0.0</v>
      </c>
      <c r="W1553" s="67">
        <f>IF(AND(I1553="Terminée",S1553&gt;0,C1553&lt;&gt;"",ISNUMBER(MATCH(C1553,eq_code,0))),1,0)</f>
        <v>0.0</v>
      </c>
      <c r="X1553" s="67">
        <f>IF(AND(W1553=1,E1553="Préventif"),1,0)</f>
        <v>0.0</v>
      </c>
      <c r="Y1553" s="67">
        <f>IF(AND(ISNUMBER(N1553),N(N1553)&gt;0),N(N1553),0)</f>
        <v>0.0</v>
      </c>
      <c r="Z1553" s="67">
        <f>IF(AND(ISNUMBER(P1553),N(P1553)&gt;0),N(P1553),0)</f>
        <v>0.0</v>
      </c>
    </row>
    <row r="1554">
      <c r="A1554" s="79" t="str">
        <f>IF(COUNTA(B1554:C1554,E1554:G1554,I1554)=0,"","BI-"&amp;RIGHT("0000"&amp;(ROW()-5),4))</f>
        <v/>
      </c>
      <c r="B1554" s="72" t="n"/>
      <c r="C1554" s="66" t="n"/>
      <c r="D1554" s="67" t="str">
        <f>IF(C1554="","",IFERROR(INDEX(eq_des,MATCH(C1554,eq_code,0))&amp;"","Équipement inconnu"))</f>
        <v/>
      </c>
      <c r="E1554" s="68" t="n"/>
      <c r="F1554" s="68" t="n"/>
      <c r="G1554" s="66" t="n"/>
      <c r="H1554" s="66" t="n"/>
      <c r="I1554" s="68" t="n"/>
      <c r="J1554" s="73" t="n"/>
      <c r="K1554" s="71" t="n"/>
      <c r="L1554" s="71" t="n"/>
      <c r="M1554" s="66" t="n"/>
      <c r="N1554" s="80" t="n"/>
      <c r="O1554" s="81" t="str">
        <f>IF(A1554="","",ROUND(V1554*IFERROR(N(INDEX(tech_rate,MATCH(M1554,tech_name,0))),0),2))</f>
        <v/>
      </c>
      <c r="P1554" s="80" t="n"/>
      <c r="Q1554" s="81" t="str">
        <f>IF(A1554="","",ROUND(Y1554+O1554+Z1554,2))</f>
        <v/>
      </c>
      <c r="R1554" s="79" t="str">
        <f>IF(A1554="","",IF(S1554=0,"Date manquante ou invalide",IF(C1554="","Équipement manquant",IF(ISNA(MATCH(C1554,eq_code,0)),"Équipement inconnu",IF(E1554="","Type manquant",IF(AND(E1554&lt;&gt;"Préventif",E1554&lt;&gt;"Correctif",E1554&lt;&gt;"Amélioratif"),"Type inconnu",IF(I1554="","Statut manquant",IF(AND(I1554&lt;&gt;"Terminée",I1554&lt;&gt;"En cours",I1554&lt;&gt;"À faire",I1554&lt;&gt;"Annulée"),"Statut inconnu",IF(AND(E1554="Préventif",F1554=""),"Plan manquant (préventif)",IF(AND(F1554&lt;&gt;"",ISNA(MATCH(F1554,pl_num,0))),"Plan inconnu",IF(AND(F1554&lt;&gt;"",IFERROR(INDEX(pl_eq,MATCH(F1554,pl_num,0))&amp;"",C1554)&lt;&gt;C1554),"Plan d'un autre équipement",IF(AND(J1554&lt;&gt;"",OR(NOT(ISNUMBER(J1554)),N(J1554)&lt;0)),"Compteur invalide",IF(OR(AND(K1554&lt;&gt;"",OR(NOT(ISNUMBER(K1554)),N(K1554)&lt;0)),AND(L1554&lt;&gt;"",OR(NOT(ISNUMBER(L1554)),N(L1554)&lt;0))),"Durée invalide",IF(OR(AND(N1554&lt;&gt;"",OR(NOT(ISNUMBER(N1554)),N(N1554)&lt;0)),AND(P1554&lt;&gt;"",OR(NOT(ISNUMBER(P1554)),N(P1554)&lt;0))),"Coût invalide",IF(AND(M1554&lt;&gt;"",ISNA(MATCH(M1554,tech_name,0))),"Technicien inconnu",IF(AND(I1554="Terminée",S1554&gt;p_today),"Terminée à une date future",IF(AND(I1554="Terminée",V1554=0),"Durée d'intervention manquante",IF(AND(I1554="Terminée",E1554="Préventif",T1554=0,OR(IFERROR(INDEX(pl_trig,MATCH(F1554,pl_num,0))&amp;"","")="Compteur",IFERROR(INDEX(pl_trig,MATCH(F1554,pl_num,0))&amp;"","")="Au premier des deux")),"Compteur manquant (plan au compteur)","OK"))))))))))))))))))</f>
        <v/>
      </c>
      <c r="S1554" s="67">
        <f>IF(AND(ISNUMBER(B1554),N(B1554)&gt;0),INT(B1554),0)</f>
        <v>0.0</v>
      </c>
      <c r="T1554" s="67">
        <f>IF(AND(ISNUMBER(J1554),N(J1554)&gt;=0),N(J1554),0)</f>
        <v>0.0</v>
      </c>
      <c r="U1554" s="67">
        <f>IF(AND(ISNUMBER(K1554),N(K1554)&gt;0),N(K1554),0)</f>
        <v>0.0</v>
      </c>
      <c r="V1554" s="67">
        <f>IF(AND(ISNUMBER(L1554),N(L1554)&gt;0),N(L1554),0)</f>
        <v>0.0</v>
      </c>
      <c r="W1554" s="67">
        <f>IF(AND(I1554="Terminée",S1554&gt;0,C1554&lt;&gt;"",ISNUMBER(MATCH(C1554,eq_code,0))),1,0)</f>
        <v>0.0</v>
      </c>
      <c r="X1554" s="67">
        <f>IF(AND(W1554=1,E1554="Préventif"),1,0)</f>
        <v>0.0</v>
      </c>
      <c r="Y1554" s="67">
        <f>IF(AND(ISNUMBER(N1554),N(N1554)&gt;0),N(N1554),0)</f>
        <v>0.0</v>
      </c>
      <c r="Z1554" s="67">
        <f>IF(AND(ISNUMBER(P1554),N(P1554)&gt;0),N(P1554),0)</f>
        <v>0.0</v>
      </c>
    </row>
    <row r="1555">
      <c r="A1555" s="79" t="str">
        <f>IF(COUNTA(B1555:C1555,E1555:G1555,I1555)=0,"","BI-"&amp;RIGHT("0000"&amp;(ROW()-5),4))</f>
        <v/>
      </c>
      <c r="B1555" s="72" t="n"/>
      <c r="C1555" s="66" t="n"/>
      <c r="D1555" s="67" t="str">
        <f>IF(C1555="","",IFERROR(INDEX(eq_des,MATCH(C1555,eq_code,0))&amp;"","Équipement inconnu"))</f>
        <v/>
      </c>
      <c r="E1555" s="68" t="n"/>
      <c r="F1555" s="68" t="n"/>
      <c r="G1555" s="66" t="n"/>
      <c r="H1555" s="66" t="n"/>
      <c r="I1555" s="68" t="n"/>
      <c r="J1555" s="73" t="n"/>
      <c r="K1555" s="71" t="n"/>
      <c r="L1555" s="71" t="n"/>
      <c r="M1555" s="66" t="n"/>
      <c r="N1555" s="80" t="n"/>
      <c r="O1555" s="81" t="str">
        <f>IF(A1555="","",ROUND(V1555*IFERROR(N(INDEX(tech_rate,MATCH(M1555,tech_name,0))),0),2))</f>
        <v/>
      </c>
      <c r="P1555" s="80" t="n"/>
      <c r="Q1555" s="81" t="str">
        <f>IF(A1555="","",ROUND(Y1555+O1555+Z1555,2))</f>
        <v/>
      </c>
      <c r="R1555" s="79" t="str">
        <f>IF(A1555="","",IF(S1555=0,"Date manquante ou invalide",IF(C1555="","Équipement manquant",IF(ISNA(MATCH(C1555,eq_code,0)),"Équipement inconnu",IF(E1555="","Type manquant",IF(AND(E1555&lt;&gt;"Préventif",E1555&lt;&gt;"Correctif",E1555&lt;&gt;"Amélioratif"),"Type inconnu",IF(I1555="","Statut manquant",IF(AND(I1555&lt;&gt;"Terminée",I1555&lt;&gt;"En cours",I1555&lt;&gt;"À faire",I1555&lt;&gt;"Annulée"),"Statut inconnu",IF(AND(E1555="Préventif",F1555=""),"Plan manquant (préventif)",IF(AND(F1555&lt;&gt;"",ISNA(MATCH(F1555,pl_num,0))),"Plan inconnu",IF(AND(F1555&lt;&gt;"",IFERROR(INDEX(pl_eq,MATCH(F1555,pl_num,0))&amp;"",C1555)&lt;&gt;C1555),"Plan d'un autre équipement",IF(AND(J1555&lt;&gt;"",OR(NOT(ISNUMBER(J1555)),N(J1555)&lt;0)),"Compteur invalide",IF(OR(AND(K1555&lt;&gt;"",OR(NOT(ISNUMBER(K1555)),N(K1555)&lt;0)),AND(L1555&lt;&gt;"",OR(NOT(ISNUMBER(L1555)),N(L1555)&lt;0))),"Durée invalide",IF(OR(AND(N1555&lt;&gt;"",OR(NOT(ISNUMBER(N1555)),N(N1555)&lt;0)),AND(P1555&lt;&gt;"",OR(NOT(ISNUMBER(P1555)),N(P1555)&lt;0))),"Coût invalide",IF(AND(M1555&lt;&gt;"",ISNA(MATCH(M1555,tech_name,0))),"Technicien inconnu",IF(AND(I1555="Terminée",S1555&gt;p_today),"Terminée à une date future",IF(AND(I1555="Terminée",V1555=0),"Durée d'intervention manquante",IF(AND(I1555="Terminée",E1555="Préventif",T1555=0,OR(IFERROR(INDEX(pl_trig,MATCH(F1555,pl_num,0))&amp;"","")="Compteur",IFERROR(INDEX(pl_trig,MATCH(F1555,pl_num,0))&amp;"","")="Au premier des deux")),"Compteur manquant (plan au compteur)","OK"))))))))))))))))))</f>
        <v/>
      </c>
      <c r="S1555" s="67">
        <f>IF(AND(ISNUMBER(B1555),N(B1555)&gt;0),INT(B1555),0)</f>
        <v>0.0</v>
      </c>
      <c r="T1555" s="67">
        <f>IF(AND(ISNUMBER(J1555),N(J1555)&gt;=0),N(J1555),0)</f>
        <v>0.0</v>
      </c>
      <c r="U1555" s="67">
        <f>IF(AND(ISNUMBER(K1555),N(K1555)&gt;0),N(K1555),0)</f>
        <v>0.0</v>
      </c>
      <c r="V1555" s="67">
        <f>IF(AND(ISNUMBER(L1555),N(L1555)&gt;0),N(L1555),0)</f>
        <v>0.0</v>
      </c>
      <c r="W1555" s="67">
        <f>IF(AND(I1555="Terminée",S1555&gt;0,C1555&lt;&gt;"",ISNUMBER(MATCH(C1555,eq_code,0))),1,0)</f>
        <v>0.0</v>
      </c>
      <c r="X1555" s="67">
        <f>IF(AND(W1555=1,E1555="Préventif"),1,0)</f>
        <v>0.0</v>
      </c>
      <c r="Y1555" s="67">
        <f>IF(AND(ISNUMBER(N1555),N(N1555)&gt;0),N(N1555),0)</f>
        <v>0.0</v>
      </c>
      <c r="Z1555" s="67">
        <f>IF(AND(ISNUMBER(P1555),N(P1555)&gt;0),N(P1555),0)</f>
        <v>0.0</v>
      </c>
    </row>
    <row r="1556">
      <c r="A1556" s="79" t="str">
        <f>IF(COUNTA(B1556:C1556,E1556:G1556,I1556)=0,"","BI-"&amp;RIGHT("0000"&amp;(ROW()-5),4))</f>
        <v/>
      </c>
      <c r="B1556" s="72" t="n"/>
      <c r="C1556" s="66" t="n"/>
      <c r="D1556" s="67" t="str">
        <f>IF(C1556="","",IFERROR(INDEX(eq_des,MATCH(C1556,eq_code,0))&amp;"","Équipement inconnu"))</f>
        <v/>
      </c>
      <c r="E1556" s="68" t="n"/>
      <c r="F1556" s="68" t="n"/>
      <c r="G1556" s="66" t="n"/>
      <c r="H1556" s="66" t="n"/>
      <c r="I1556" s="68" t="n"/>
      <c r="J1556" s="73" t="n"/>
      <c r="K1556" s="71" t="n"/>
      <c r="L1556" s="71" t="n"/>
      <c r="M1556" s="66" t="n"/>
      <c r="N1556" s="80" t="n"/>
      <c r="O1556" s="81" t="str">
        <f>IF(A1556="","",ROUND(V1556*IFERROR(N(INDEX(tech_rate,MATCH(M1556,tech_name,0))),0),2))</f>
        <v/>
      </c>
      <c r="P1556" s="80" t="n"/>
      <c r="Q1556" s="81" t="str">
        <f>IF(A1556="","",ROUND(Y1556+O1556+Z1556,2))</f>
        <v/>
      </c>
      <c r="R1556" s="79" t="str">
        <f>IF(A1556="","",IF(S1556=0,"Date manquante ou invalide",IF(C1556="","Équipement manquant",IF(ISNA(MATCH(C1556,eq_code,0)),"Équipement inconnu",IF(E1556="","Type manquant",IF(AND(E1556&lt;&gt;"Préventif",E1556&lt;&gt;"Correctif",E1556&lt;&gt;"Amélioratif"),"Type inconnu",IF(I1556="","Statut manquant",IF(AND(I1556&lt;&gt;"Terminée",I1556&lt;&gt;"En cours",I1556&lt;&gt;"À faire",I1556&lt;&gt;"Annulée"),"Statut inconnu",IF(AND(E1556="Préventif",F1556=""),"Plan manquant (préventif)",IF(AND(F1556&lt;&gt;"",ISNA(MATCH(F1556,pl_num,0))),"Plan inconnu",IF(AND(F1556&lt;&gt;"",IFERROR(INDEX(pl_eq,MATCH(F1556,pl_num,0))&amp;"",C1556)&lt;&gt;C1556),"Plan d'un autre équipement",IF(AND(J1556&lt;&gt;"",OR(NOT(ISNUMBER(J1556)),N(J1556)&lt;0)),"Compteur invalide",IF(OR(AND(K1556&lt;&gt;"",OR(NOT(ISNUMBER(K1556)),N(K1556)&lt;0)),AND(L1556&lt;&gt;"",OR(NOT(ISNUMBER(L1556)),N(L1556)&lt;0))),"Durée invalide",IF(OR(AND(N1556&lt;&gt;"",OR(NOT(ISNUMBER(N1556)),N(N1556)&lt;0)),AND(P1556&lt;&gt;"",OR(NOT(ISNUMBER(P1556)),N(P1556)&lt;0))),"Coût invalide",IF(AND(M1556&lt;&gt;"",ISNA(MATCH(M1556,tech_name,0))),"Technicien inconnu",IF(AND(I1556="Terminée",S1556&gt;p_today),"Terminée à une date future",IF(AND(I1556="Terminée",V1556=0),"Durée d'intervention manquante",IF(AND(I1556="Terminée",E1556="Préventif",T1556=0,OR(IFERROR(INDEX(pl_trig,MATCH(F1556,pl_num,0))&amp;"","")="Compteur",IFERROR(INDEX(pl_trig,MATCH(F1556,pl_num,0))&amp;"","")="Au premier des deux")),"Compteur manquant (plan au compteur)","OK"))))))))))))))))))</f>
        <v/>
      </c>
      <c r="S1556" s="67">
        <f>IF(AND(ISNUMBER(B1556),N(B1556)&gt;0),INT(B1556),0)</f>
        <v>0.0</v>
      </c>
      <c r="T1556" s="67">
        <f>IF(AND(ISNUMBER(J1556),N(J1556)&gt;=0),N(J1556),0)</f>
        <v>0.0</v>
      </c>
      <c r="U1556" s="67">
        <f>IF(AND(ISNUMBER(K1556),N(K1556)&gt;0),N(K1556),0)</f>
        <v>0.0</v>
      </c>
      <c r="V1556" s="67">
        <f>IF(AND(ISNUMBER(L1556),N(L1556)&gt;0),N(L1556),0)</f>
        <v>0.0</v>
      </c>
      <c r="W1556" s="67">
        <f>IF(AND(I1556="Terminée",S1556&gt;0,C1556&lt;&gt;"",ISNUMBER(MATCH(C1556,eq_code,0))),1,0)</f>
        <v>0.0</v>
      </c>
      <c r="X1556" s="67">
        <f>IF(AND(W1556=1,E1556="Préventif"),1,0)</f>
        <v>0.0</v>
      </c>
      <c r="Y1556" s="67">
        <f>IF(AND(ISNUMBER(N1556),N(N1556)&gt;0),N(N1556),0)</f>
        <v>0.0</v>
      </c>
      <c r="Z1556" s="67">
        <f>IF(AND(ISNUMBER(P1556),N(P1556)&gt;0),N(P1556),0)</f>
        <v>0.0</v>
      </c>
    </row>
    <row r="1557">
      <c r="A1557" s="79" t="str">
        <f>IF(COUNTA(B1557:C1557,E1557:G1557,I1557)=0,"","BI-"&amp;RIGHT("0000"&amp;(ROW()-5),4))</f>
        <v/>
      </c>
      <c r="B1557" s="72" t="n"/>
      <c r="C1557" s="66" t="n"/>
      <c r="D1557" s="67" t="str">
        <f>IF(C1557="","",IFERROR(INDEX(eq_des,MATCH(C1557,eq_code,0))&amp;"","Équipement inconnu"))</f>
        <v/>
      </c>
      <c r="E1557" s="68" t="n"/>
      <c r="F1557" s="68" t="n"/>
      <c r="G1557" s="66" t="n"/>
      <c r="H1557" s="66" t="n"/>
      <c r="I1557" s="68" t="n"/>
      <c r="J1557" s="73" t="n"/>
      <c r="K1557" s="71" t="n"/>
      <c r="L1557" s="71" t="n"/>
      <c r="M1557" s="66" t="n"/>
      <c r="N1557" s="80" t="n"/>
      <c r="O1557" s="81" t="str">
        <f>IF(A1557="","",ROUND(V1557*IFERROR(N(INDEX(tech_rate,MATCH(M1557,tech_name,0))),0),2))</f>
        <v/>
      </c>
      <c r="P1557" s="80" t="n"/>
      <c r="Q1557" s="81" t="str">
        <f>IF(A1557="","",ROUND(Y1557+O1557+Z1557,2))</f>
        <v/>
      </c>
      <c r="R1557" s="79" t="str">
        <f>IF(A1557="","",IF(S1557=0,"Date manquante ou invalide",IF(C1557="","Équipement manquant",IF(ISNA(MATCH(C1557,eq_code,0)),"Équipement inconnu",IF(E1557="","Type manquant",IF(AND(E1557&lt;&gt;"Préventif",E1557&lt;&gt;"Correctif",E1557&lt;&gt;"Amélioratif"),"Type inconnu",IF(I1557="","Statut manquant",IF(AND(I1557&lt;&gt;"Terminée",I1557&lt;&gt;"En cours",I1557&lt;&gt;"À faire",I1557&lt;&gt;"Annulée"),"Statut inconnu",IF(AND(E1557="Préventif",F1557=""),"Plan manquant (préventif)",IF(AND(F1557&lt;&gt;"",ISNA(MATCH(F1557,pl_num,0))),"Plan inconnu",IF(AND(F1557&lt;&gt;"",IFERROR(INDEX(pl_eq,MATCH(F1557,pl_num,0))&amp;"",C1557)&lt;&gt;C1557),"Plan d'un autre équipement",IF(AND(J1557&lt;&gt;"",OR(NOT(ISNUMBER(J1557)),N(J1557)&lt;0)),"Compteur invalide",IF(OR(AND(K1557&lt;&gt;"",OR(NOT(ISNUMBER(K1557)),N(K1557)&lt;0)),AND(L1557&lt;&gt;"",OR(NOT(ISNUMBER(L1557)),N(L1557)&lt;0))),"Durée invalide",IF(OR(AND(N1557&lt;&gt;"",OR(NOT(ISNUMBER(N1557)),N(N1557)&lt;0)),AND(P1557&lt;&gt;"",OR(NOT(ISNUMBER(P1557)),N(P1557)&lt;0))),"Coût invalide",IF(AND(M1557&lt;&gt;"",ISNA(MATCH(M1557,tech_name,0))),"Technicien inconnu",IF(AND(I1557="Terminée",S1557&gt;p_today),"Terminée à une date future",IF(AND(I1557="Terminée",V1557=0),"Durée d'intervention manquante",IF(AND(I1557="Terminée",E1557="Préventif",T1557=0,OR(IFERROR(INDEX(pl_trig,MATCH(F1557,pl_num,0))&amp;"","")="Compteur",IFERROR(INDEX(pl_trig,MATCH(F1557,pl_num,0))&amp;"","")="Au premier des deux")),"Compteur manquant (plan au compteur)","OK"))))))))))))))))))</f>
        <v/>
      </c>
      <c r="S1557" s="67">
        <f>IF(AND(ISNUMBER(B1557),N(B1557)&gt;0),INT(B1557),0)</f>
        <v>0.0</v>
      </c>
      <c r="T1557" s="67">
        <f>IF(AND(ISNUMBER(J1557),N(J1557)&gt;=0),N(J1557),0)</f>
        <v>0.0</v>
      </c>
      <c r="U1557" s="67">
        <f>IF(AND(ISNUMBER(K1557),N(K1557)&gt;0),N(K1557),0)</f>
        <v>0.0</v>
      </c>
      <c r="V1557" s="67">
        <f>IF(AND(ISNUMBER(L1557),N(L1557)&gt;0),N(L1557),0)</f>
        <v>0.0</v>
      </c>
      <c r="W1557" s="67">
        <f>IF(AND(I1557="Terminée",S1557&gt;0,C1557&lt;&gt;"",ISNUMBER(MATCH(C1557,eq_code,0))),1,0)</f>
        <v>0.0</v>
      </c>
      <c r="X1557" s="67">
        <f>IF(AND(W1557=1,E1557="Préventif"),1,0)</f>
        <v>0.0</v>
      </c>
      <c r="Y1557" s="67">
        <f>IF(AND(ISNUMBER(N1557),N(N1557)&gt;0),N(N1557),0)</f>
        <v>0.0</v>
      </c>
      <c r="Z1557" s="67">
        <f>IF(AND(ISNUMBER(P1557),N(P1557)&gt;0),N(P1557),0)</f>
        <v>0.0</v>
      </c>
    </row>
    <row r="1558">
      <c r="A1558" s="79" t="str">
        <f>IF(COUNTA(B1558:C1558,E1558:G1558,I1558)=0,"","BI-"&amp;RIGHT("0000"&amp;(ROW()-5),4))</f>
        <v/>
      </c>
      <c r="B1558" s="72" t="n"/>
      <c r="C1558" s="66" t="n"/>
      <c r="D1558" s="67" t="str">
        <f>IF(C1558="","",IFERROR(INDEX(eq_des,MATCH(C1558,eq_code,0))&amp;"","Équipement inconnu"))</f>
        <v/>
      </c>
      <c r="E1558" s="68" t="n"/>
      <c r="F1558" s="68" t="n"/>
      <c r="G1558" s="66" t="n"/>
      <c r="H1558" s="66" t="n"/>
      <c r="I1558" s="68" t="n"/>
      <c r="J1558" s="73" t="n"/>
      <c r="K1558" s="71" t="n"/>
      <c r="L1558" s="71" t="n"/>
      <c r="M1558" s="66" t="n"/>
      <c r="N1558" s="80" t="n"/>
      <c r="O1558" s="81" t="str">
        <f>IF(A1558="","",ROUND(V1558*IFERROR(N(INDEX(tech_rate,MATCH(M1558,tech_name,0))),0),2))</f>
        <v/>
      </c>
      <c r="P1558" s="80" t="n"/>
      <c r="Q1558" s="81" t="str">
        <f>IF(A1558="","",ROUND(Y1558+O1558+Z1558,2))</f>
        <v/>
      </c>
      <c r="R1558" s="79" t="str">
        <f>IF(A1558="","",IF(S1558=0,"Date manquante ou invalide",IF(C1558="","Équipement manquant",IF(ISNA(MATCH(C1558,eq_code,0)),"Équipement inconnu",IF(E1558="","Type manquant",IF(AND(E1558&lt;&gt;"Préventif",E1558&lt;&gt;"Correctif",E1558&lt;&gt;"Amélioratif"),"Type inconnu",IF(I1558="","Statut manquant",IF(AND(I1558&lt;&gt;"Terminée",I1558&lt;&gt;"En cours",I1558&lt;&gt;"À faire",I1558&lt;&gt;"Annulée"),"Statut inconnu",IF(AND(E1558="Préventif",F1558=""),"Plan manquant (préventif)",IF(AND(F1558&lt;&gt;"",ISNA(MATCH(F1558,pl_num,0))),"Plan inconnu",IF(AND(F1558&lt;&gt;"",IFERROR(INDEX(pl_eq,MATCH(F1558,pl_num,0))&amp;"",C1558)&lt;&gt;C1558),"Plan d'un autre équipement",IF(AND(J1558&lt;&gt;"",OR(NOT(ISNUMBER(J1558)),N(J1558)&lt;0)),"Compteur invalide",IF(OR(AND(K1558&lt;&gt;"",OR(NOT(ISNUMBER(K1558)),N(K1558)&lt;0)),AND(L1558&lt;&gt;"",OR(NOT(ISNUMBER(L1558)),N(L1558)&lt;0))),"Durée invalide",IF(OR(AND(N1558&lt;&gt;"",OR(NOT(ISNUMBER(N1558)),N(N1558)&lt;0)),AND(P1558&lt;&gt;"",OR(NOT(ISNUMBER(P1558)),N(P1558)&lt;0))),"Coût invalide",IF(AND(M1558&lt;&gt;"",ISNA(MATCH(M1558,tech_name,0))),"Technicien inconnu",IF(AND(I1558="Terminée",S1558&gt;p_today),"Terminée à une date future",IF(AND(I1558="Terminée",V1558=0),"Durée d'intervention manquante",IF(AND(I1558="Terminée",E1558="Préventif",T1558=0,OR(IFERROR(INDEX(pl_trig,MATCH(F1558,pl_num,0))&amp;"","")="Compteur",IFERROR(INDEX(pl_trig,MATCH(F1558,pl_num,0))&amp;"","")="Au premier des deux")),"Compteur manquant (plan au compteur)","OK"))))))))))))))))))</f>
        <v/>
      </c>
      <c r="S1558" s="67">
        <f>IF(AND(ISNUMBER(B1558),N(B1558)&gt;0),INT(B1558),0)</f>
        <v>0.0</v>
      </c>
      <c r="T1558" s="67">
        <f>IF(AND(ISNUMBER(J1558),N(J1558)&gt;=0),N(J1558),0)</f>
        <v>0.0</v>
      </c>
      <c r="U1558" s="67">
        <f>IF(AND(ISNUMBER(K1558),N(K1558)&gt;0),N(K1558),0)</f>
        <v>0.0</v>
      </c>
      <c r="V1558" s="67">
        <f>IF(AND(ISNUMBER(L1558),N(L1558)&gt;0),N(L1558),0)</f>
        <v>0.0</v>
      </c>
      <c r="W1558" s="67">
        <f>IF(AND(I1558="Terminée",S1558&gt;0,C1558&lt;&gt;"",ISNUMBER(MATCH(C1558,eq_code,0))),1,0)</f>
        <v>0.0</v>
      </c>
      <c r="X1558" s="67">
        <f>IF(AND(W1558=1,E1558="Préventif"),1,0)</f>
        <v>0.0</v>
      </c>
      <c r="Y1558" s="67">
        <f>IF(AND(ISNUMBER(N1558),N(N1558)&gt;0),N(N1558),0)</f>
        <v>0.0</v>
      </c>
      <c r="Z1558" s="67">
        <f>IF(AND(ISNUMBER(P1558),N(P1558)&gt;0),N(P1558),0)</f>
        <v>0.0</v>
      </c>
    </row>
    <row r="1559">
      <c r="A1559" s="79" t="str">
        <f>IF(COUNTA(B1559:C1559,E1559:G1559,I1559)=0,"","BI-"&amp;RIGHT("0000"&amp;(ROW()-5),4))</f>
        <v/>
      </c>
      <c r="B1559" s="72" t="n"/>
      <c r="C1559" s="66" t="n"/>
      <c r="D1559" s="67" t="str">
        <f>IF(C1559="","",IFERROR(INDEX(eq_des,MATCH(C1559,eq_code,0))&amp;"","Équipement inconnu"))</f>
        <v/>
      </c>
      <c r="E1559" s="68" t="n"/>
      <c r="F1559" s="68" t="n"/>
      <c r="G1559" s="66" t="n"/>
      <c r="H1559" s="66" t="n"/>
      <c r="I1559" s="68" t="n"/>
      <c r="J1559" s="73" t="n"/>
      <c r="K1559" s="71" t="n"/>
      <c r="L1559" s="71" t="n"/>
      <c r="M1559" s="66" t="n"/>
      <c r="N1559" s="80" t="n"/>
      <c r="O1559" s="81" t="str">
        <f>IF(A1559="","",ROUND(V1559*IFERROR(N(INDEX(tech_rate,MATCH(M1559,tech_name,0))),0),2))</f>
        <v/>
      </c>
      <c r="P1559" s="80" t="n"/>
      <c r="Q1559" s="81" t="str">
        <f>IF(A1559="","",ROUND(Y1559+O1559+Z1559,2))</f>
        <v/>
      </c>
      <c r="R1559" s="79" t="str">
        <f>IF(A1559="","",IF(S1559=0,"Date manquante ou invalide",IF(C1559="","Équipement manquant",IF(ISNA(MATCH(C1559,eq_code,0)),"Équipement inconnu",IF(E1559="","Type manquant",IF(AND(E1559&lt;&gt;"Préventif",E1559&lt;&gt;"Correctif",E1559&lt;&gt;"Amélioratif"),"Type inconnu",IF(I1559="","Statut manquant",IF(AND(I1559&lt;&gt;"Terminée",I1559&lt;&gt;"En cours",I1559&lt;&gt;"À faire",I1559&lt;&gt;"Annulée"),"Statut inconnu",IF(AND(E1559="Préventif",F1559=""),"Plan manquant (préventif)",IF(AND(F1559&lt;&gt;"",ISNA(MATCH(F1559,pl_num,0))),"Plan inconnu",IF(AND(F1559&lt;&gt;"",IFERROR(INDEX(pl_eq,MATCH(F1559,pl_num,0))&amp;"",C1559)&lt;&gt;C1559),"Plan d'un autre équipement",IF(AND(J1559&lt;&gt;"",OR(NOT(ISNUMBER(J1559)),N(J1559)&lt;0)),"Compteur invalide",IF(OR(AND(K1559&lt;&gt;"",OR(NOT(ISNUMBER(K1559)),N(K1559)&lt;0)),AND(L1559&lt;&gt;"",OR(NOT(ISNUMBER(L1559)),N(L1559)&lt;0))),"Durée invalide",IF(OR(AND(N1559&lt;&gt;"",OR(NOT(ISNUMBER(N1559)),N(N1559)&lt;0)),AND(P1559&lt;&gt;"",OR(NOT(ISNUMBER(P1559)),N(P1559)&lt;0))),"Coût invalide",IF(AND(M1559&lt;&gt;"",ISNA(MATCH(M1559,tech_name,0))),"Technicien inconnu",IF(AND(I1559="Terminée",S1559&gt;p_today),"Terminée à une date future",IF(AND(I1559="Terminée",V1559=0),"Durée d'intervention manquante",IF(AND(I1559="Terminée",E1559="Préventif",T1559=0,OR(IFERROR(INDEX(pl_trig,MATCH(F1559,pl_num,0))&amp;"","")="Compteur",IFERROR(INDEX(pl_trig,MATCH(F1559,pl_num,0))&amp;"","")="Au premier des deux")),"Compteur manquant (plan au compteur)","OK"))))))))))))))))))</f>
        <v/>
      </c>
      <c r="S1559" s="67">
        <f>IF(AND(ISNUMBER(B1559),N(B1559)&gt;0),INT(B1559),0)</f>
        <v>0.0</v>
      </c>
      <c r="T1559" s="67">
        <f>IF(AND(ISNUMBER(J1559),N(J1559)&gt;=0),N(J1559),0)</f>
        <v>0.0</v>
      </c>
      <c r="U1559" s="67">
        <f>IF(AND(ISNUMBER(K1559),N(K1559)&gt;0),N(K1559),0)</f>
        <v>0.0</v>
      </c>
      <c r="V1559" s="67">
        <f>IF(AND(ISNUMBER(L1559),N(L1559)&gt;0),N(L1559),0)</f>
        <v>0.0</v>
      </c>
      <c r="W1559" s="67">
        <f>IF(AND(I1559="Terminée",S1559&gt;0,C1559&lt;&gt;"",ISNUMBER(MATCH(C1559,eq_code,0))),1,0)</f>
        <v>0.0</v>
      </c>
      <c r="X1559" s="67">
        <f>IF(AND(W1559=1,E1559="Préventif"),1,0)</f>
        <v>0.0</v>
      </c>
      <c r="Y1559" s="67">
        <f>IF(AND(ISNUMBER(N1559),N(N1559)&gt;0),N(N1559),0)</f>
        <v>0.0</v>
      </c>
      <c r="Z1559" s="67">
        <f>IF(AND(ISNUMBER(P1559),N(P1559)&gt;0),N(P1559),0)</f>
        <v>0.0</v>
      </c>
    </row>
    <row r="1560">
      <c r="A1560" s="79" t="str">
        <f>IF(COUNTA(B1560:C1560,E1560:G1560,I1560)=0,"","BI-"&amp;RIGHT("0000"&amp;(ROW()-5),4))</f>
        <v/>
      </c>
      <c r="B1560" s="72" t="n"/>
      <c r="C1560" s="66" t="n"/>
      <c r="D1560" s="67" t="str">
        <f>IF(C1560="","",IFERROR(INDEX(eq_des,MATCH(C1560,eq_code,0))&amp;"","Équipement inconnu"))</f>
        <v/>
      </c>
      <c r="E1560" s="68" t="n"/>
      <c r="F1560" s="68" t="n"/>
      <c r="G1560" s="66" t="n"/>
      <c r="H1560" s="66" t="n"/>
      <c r="I1560" s="68" t="n"/>
      <c r="J1560" s="73" t="n"/>
      <c r="K1560" s="71" t="n"/>
      <c r="L1560" s="71" t="n"/>
      <c r="M1560" s="66" t="n"/>
      <c r="N1560" s="80" t="n"/>
      <c r="O1560" s="81" t="str">
        <f>IF(A1560="","",ROUND(V1560*IFERROR(N(INDEX(tech_rate,MATCH(M1560,tech_name,0))),0),2))</f>
        <v/>
      </c>
      <c r="P1560" s="80" t="n"/>
      <c r="Q1560" s="81" t="str">
        <f>IF(A1560="","",ROUND(Y1560+O1560+Z1560,2))</f>
        <v/>
      </c>
      <c r="R1560" s="79" t="str">
        <f>IF(A1560="","",IF(S1560=0,"Date manquante ou invalide",IF(C1560="","Équipement manquant",IF(ISNA(MATCH(C1560,eq_code,0)),"Équipement inconnu",IF(E1560="","Type manquant",IF(AND(E1560&lt;&gt;"Préventif",E1560&lt;&gt;"Correctif",E1560&lt;&gt;"Amélioratif"),"Type inconnu",IF(I1560="","Statut manquant",IF(AND(I1560&lt;&gt;"Terminée",I1560&lt;&gt;"En cours",I1560&lt;&gt;"À faire",I1560&lt;&gt;"Annulée"),"Statut inconnu",IF(AND(E1560="Préventif",F1560=""),"Plan manquant (préventif)",IF(AND(F1560&lt;&gt;"",ISNA(MATCH(F1560,pl_num,0))),"Plan inconnu",IF(AND(F1560&lt;&gt;"",IFERROR(INDEX(pl_eq,MATCH(F1560,pl_num,0))&amp;"",C1560)&lt;&gt;C1560),"Plan d'un autre équipement",IF(AND(J1560&lt;&gt;"",OR(NOT(ISNUMBER(J1560)),N(J1560)&lt;0)),"Compteur invalide",IF(OR(AND(K1560&lt;&gt;"",OR(NOT(ISNUMBER(K1560)),N(K1560)&lt;0)),AND(L1560&lt;&gt;"",OR(NOT(ISNUMBER(L1560)),N(L1560)&lt;0))),"Durée invalide",IF(OR(AND(N1560&lt;&gt;"",OR(NOT(ISNUMBER(N1560)),N(N1560)&lt;0)),AND(P1560&lt;&gt;"",OR(NOT(ISNUMBER(P1560)),N(P1560)&lt;0))),"Coût invalide",IF(AND(M1560&lt;&gt;"",ISNA(MATCH(M1560,tech_name,0))),"Technicien inconnu",IF(AND(I1560="Terminée",S1560&gt;p_today),"Terminée à une date future",IF(AND(I1560="Terminée",V1560=0),"Durée d'intervention manquante",IF(AND(I1560="Terminée",E1560="Préventif",T1560=0,OR(IFERROR(INDEX(pl_trig,MATCH(F1560,pl_num,0))&amp;"","")="Compteur",IFERROR(INDEX(pl_trig,MATCH(F1560,pl_num,0))&amp;"","")="Au premier des deux")),"Compteur manquant (plan au compteur)","OK"))))))))))))))))))</f>
        <v/>
      </c>
      <c r="S1560" s="67">
        <f>IF(AND(ISNUMBER(B1560),N(B1560)&gt;0),INT(B1560),0)</f>
        <v>0.0</v>
      </c>
      <c r="T1560" s="67">
        <f>IF(AND(ISNUMBER(J1560),N(J1560)&gt;=0),N(J1560),0)</f>
        <v>0.0</v>
      </c>
      <c r="U1560" s="67">
        <f>IF(AND(ISNUMBER(K1560),N(K1560)&gt;0),N(K1560),0)</f>
        <v>0.0</v>
      </c>
      <c r="V1560" s="67">
        <f>IF(AND(ISNUMBER(L1560),N(L1560)&gt;0),N(L1560),0)</f>
        <v>0.0</v>
      </c>
      <c r="W1560" s="67">
        <f>IF(AND(I1560="Terminée",S1560&gt;0,C1560&lt;&gt;"",ISNUMBER(MATCH(C1560,eq_code,0))),1,0)</f>
        <v>0.0</v>
      </c>
      <c r="X1560" s="67">
        <f>IF(AND(W1560=1,E1560="Préventif"),1,0)</f>
        <v>0.0</v>
      </c>
      <c r="Y1560" s="67">
        <f>IF(AND(ISNUMBER(N1560),N(N1560)&gt;0),N(N1560),0)</f>
        <v>0.0</v>
      </c>
      <c r="Z1560" s="67">
        <f>IF(AND(ISNUMBER(P1560),N(P1560)&gt;0),N(P1560),0)</f>
        <v>0.0</v>
      </c>
    </row>
    <row r="1561">
      <c r="A1561" s="79" t="str">
        <f>IF(COUNTA(B1561:C1561,E1561:G1561,I1561)=0,"","BI-"&amp;RIGHT("0000"&amp;(ROW()-5),4))</f>
        <v/>
      </c>
      <c r="B1561" s="72" t="n"/>
      <c r="C1561" s="66" t="n"/>
      <c r="D1561" s="67" t="str">
        <f>IF(C1561="","",IFERROR(INDEX(eq_des,MATCH(C1561,eq_code,0))&amp;"","Équipement inconnu"))</f>
        <v/>
      </c>
      <c r="E1561" s="68" t="n"/>
      <c r="F1561" s="68" t="n"/>
      <c r="G1561" s="66" t="n"/>
      <c r="H1561" s="66" t="n"/>
      <c r="I1561" s="68" t="n"/>
      <c r="J1561" s="73" t="n"/>
      <c r="K1561" s="71" t="n"/>
      <c r="L1561" s="71" t="n"/>
      <c r="M1561" s="66" t="n"/>
      <c r="N1561" s="80" t="n"/>
      <c r="O1561" s="81" t="str">
        <f>IF(A1561="","",ROUND(V1561*IFERROR(N(INDEX(tech_rate,MATCH(M1561,tech_name,0))),0),2))</f>
        <v/>
      </c>
      <c r="P1561" s="80" t="n"/>
      <c r="Q1561" s="81" t="str">
        <f>IF(A1561="","",ROUND(Y1561+O1561+Z1561,2))</f>
        <v/>
      </c>
      <c r="R1561" s="79" t="str">
        <f>IF(A1561="","",IF(S1561=0,"Date manquante ou invalide",IF(C1561="","Équipement manquant",IF(ISNA(MATCH(C1561,eq_code,0)),"Équipement inconnu",IF(E1561="","Type manquant",IF(AND(E1561&lt;&gt;"Préventif",E1561&lt;&gt;"Correctif",E1561&lt;&gt;"Amélioratif"),"Type inconnu",IF(I1561="","Statut manquant",IF(AND(I1561&lt;&gt;"Terminée",I1561&lt;&gt;"En cours",I1561&lt;&gt;"À faire",I1561&lt;&gt;"Annulée"),"Statut inconnu",IF(AND(E1561="Préventif",F1561=""),"Plan manquant (préventif)",IF(AND(F1561&lt;&gt;"",ISNA(MATCH(F1561,pl_num,0))),"Plan inconnu",IF(AND(F1561&lt;&gt;"",IFERROR(INDEX(pl_eq,MATCH(F1561,pl_num,0))&amp;"",C1561)&lt;&gt;C1561),"Plan d'un autre équipement",IF(AND(J1561&lt;&gt;"",OR(NOT(ISNUMBER(J1561)),N(J1561)&lt;0)),"Compteur invalide",IF(OR(AND(K1561&lt;&gt;"",OR(NOT(ISNUMBER(K1561)),N(K1561)&lt;0)),AND(L1561&lt;&gt;"",OR(NOT(ISNUMBER(L1561)),N(L1561)&lt;0))),"Durée invalide",IF(OR(AND(N1561&lt;&gt;"",OR(NOT(ISNUMBER(N1561)),N(N1561)&lt;0)),AND(P1561&lt;&gt;"",OR(NOT(ISNUMBER(P1561)),N(P1561)&lt;0))),"Coût invalide",IF(AND(M1561&lt;&gt;"",ISNA(MATCH(M1561,tech_name,0))),"Technicien inconnu",IF(AND(I1561="Terminée",S1561&gt;p_today),"Terminée à une date future",IF(AND(I1561="Terminée",V1561=0),"Durée d'intervention manquante",IF(AND(I1561="Terminée",E1561="Préventif",T1561=0,OR(IFERROR(INDEX(pl_trig,MATCH(F1561,pl_num,0))&amp;"","")="Compteur",IFERROR(INDEX(pl_trig,MATCH(F1561,pl_num,0))&amp;"","")="Au premier des deux")),"Compteur manquant (plan au compteur)","OK"))))))))))))))))))</f>
        <v/>
      </c>
      <c r="S1561" s="67">
        <f>IF(AND(ISNUMBER(B1561),N(B1561)&gt;0),INT(B1561),0)</f>
        <v>0.0</v>
      </c>
      <c r="T1561" s="67">
        <f>IF(AND(ISNUMBER(J1561),N(J1561)&gt;=0),N(J1561),0)</f>
        <v>0.0</v>
      </c>
      <c r="U1561" s="67">
        <f>IF(AND(ISNUMBER(K1561),N(K1561)&gt;0),N(K1561),0)</f>
        <v>0.0</v>
      </c>
      <c r="V1561" s="67">
        <f>IF(AND(ISNUMBER(L1561),N(L1561)&gt;0),N(L1561),0)</f>
        <v>0.0</v>
      </c>
      <c r="W1561" s="67">
        <f>IF(AND(I1561="Terminée",S1561&gt;0,C1561&lt;&gt;"",ISNUMBER(MATCH(C1561,eq_code,0))),1,0)</f>
        <v>0.0</v>
      </c>
      <c r="X1561" s="67">
        <f>IF(AND(W1561=1,E1561="Préventif"),1,0)</f>
        <v>0.0</v>
      </c>
      <c r="Y1561" s="67">
        <f>IF(AND(ISNUMBER(N1561),N(N1561)&gt;0),N(N1561),0)</f>
        <v>0.0</v>
      </c>
      <c r="Z1561" s="67">
        <f>IF(AND(ISNUMBER(P1561),N(P1561)&gt;0),N(P1561),0)</f>
        <v>0.0</v>
      </c>
    </row>
    <row r="1562">
      <c r="A1562" s="79" t="str">
        <f>IF(COUNTA(B1562:C1562,E1562:G1562,I1562)=0,"","BI-"&amp;RIGHT("0000"&amp;(ROW()-5),4))</f>
        <v/>
      </c>
      <c r="B1562" s="72" t="n"/>
      <c r="C1562" s="66" t="n"/>
      <c r="D1562" s="67" t="str">
        <f>IF(C1562="","",IFERROR(INDEX(eq_des,MATCH(C1562,eq_code,0))&amp;"","Équipement inconnu"))</f>
        <v/>
      </c>
      <c r="E1562" s="68" t="n"/>
      <c r="F1562" s="68" t="n"/>
      <c r="G1562" s="66" t="n"/>
      <c r="H1562" s="66" t="n"/>
      <c r="I1562" s="68" t="n"/>
      <c r="J1562" s="73" t="n"/>
      <c r="K1562" s="71" t="n"/>
      <c r="L1562" s="71" t="n"/>
      <c r="M1562" s="66" t="n"/>
      <c r="N1562" s="80" t="n"/>
      <c r="O1562" s="81" t="str">
        <f>IF(A1562="","",ROUND(V1562*IFERROR(N(INDEX(tech_rate,MATCH(M1562,tech_name,0))),0),2))</f>
        <v/>
      </c>
      <c r="P1562" s="80" t="n"/>
      <c r="Q1562" s="81" t="str">
        <f>IF(A1562="","",ROUND(Y1562+O1562+Z1562,2))</f>
        <v/>
      </c>
      <c r="R1562" s="79" t="str">
        <f>IF(A1562="","",IF(S1562=0,"Date manquante ou invalide",IF(C1562="","Équipement manquant",IF(ISNA(MATCH(C1562,eq_code,0)),"Équipement inconnu",IF(E1562="","Type manquant",IF(AND(E1562&lt;&gt;"Préventif",E1562&lt;&gt;"Correctif",E1562&lt;&gt;"Amélioratif"),"Type inconnu",IF(I1562="","Statut manquant",IF(AND(I1562&lt;&gt;"Terminée",I1562&lt;&gt;"En cours",I1562&lt;&gt;"À faire",I1562&lt;&gt;"Annulée"),"Statut inconnu",IF(AND(E1562="Préventif",F1562=""),"Plan manquant (préventif)",IF(AND(F1562&lt;&gt;"",ISNA(MATCH(F1562,pl_num,0))),"Plan inconnu",IF(AND(F1562&lt;&gt;"",IFERROR(INDEX(pl_eq,MATCH(F1562,pl_num,0))&amp;"",C1562)&lt;&gt;C1562),"Plan d'un autre équipement",IF(AND(J1562&lt;&gt;"",OR(NOT(ISNUMBER(J1562)),N(J1562)&lt;0)),"Compteur invalide",IF(OR(AND(K1562&lt;&gt;"",OR(NOT(ISNUMBER(K1562)),N(K1562)&lt;0)),AND(L1562&lt;&gt;"",OR(NOT(ISNUMBER(L1562)),N(L1562)&lt;0))),"Durée invalide",IF(OR(AND(N1562&lt;&gt;"",OR(NOT(ISNUMBER(N1562)),N(N1562)&lt;0)),AND(P1562&lt;&gt;"",OR(NOT(ISNUMBER(P1562)),N(P1562)&lt;0))),"Coût invalide",IF(AND(M1562&lt;&gt;"",ISNA(MATCH(M1562,tech_name,0))),"Technicien inconnu",IF(AND(I1562="Terminée",S1562&gt;p_today),"Terminée à une date future",IF(AND(I1562="Terminée",V1562=0),"Durée d'intervention manquante",IF(AND(I1562="Terminée",E1562="Préventif",T1562=0,OR(IFERROR(INDEX(pl_trig,MATCH(F1562,pl_num,0))&amp;"","")="Compteur",IFERROR(INDEX(pl_trig,MATCH(F1562,pl_num,0))&amp;"","")="Au premier des deux")),"Compteur manquant (plan au compteur)","OK"))))))))))))))))))</f>
        <v/>
      </c>
      <c r="S1562" s="67">
        <f>IF(AND(ISNUMBER(B1562),N(B1562)&gt;0),INT(B1562),0)</f>
        <v>0.0</v>
      </c>
      <c r="T1562" s="67">
        <f>IF(AND(ISNUMBER(J1562),N(J1562)&gt;=0),N(J1562),0)</f>
        <v>0.0</v>
      </c>
      <c r="U1562" s="67">
        <f>IF(AND(ISNUMBER(K1562),N(K1562)&gt;0),N(K1562),0)</f>
        <v>0.0</v>
      </c>
      <c r="V1562" s="67">
        <f>IF(AND(ISNUMBER(L1562),N(L1562)&gt;0),N(L1562),0)</f>
        <v>0.0</v>
      </c>
      <c r="W1562" s="67">
        <f>IF(AND(I1562="Terminée",S1562&gt;0,C1562&lt;&gt;"",ISNUMBER(MATCH(C1562,eq_code,0))),1,0)</f>
        <v>0.0</v>
      </c>
      <c r="X1562" s="67">
        <f>IF(AND(W1562=1,E1562="Préventif"),1,0)</f>
        <v>0.0</v>
      </c>
      <c r="Y1562" s="67">
        <f>IF(AND(ISNUMBER(N1562),N(N1562)&gt;0),N(N1562),0)</f>
        <v>0.0</v>
      </c>
      <c r="Z1562" s="67">
        <f>IF(AND(ISNUMBER(P1562),N(P1562)&gt;0),N(P1562),0)</f>
        <v>0.0</v>
      </c>
    </row>
    <row r="1563">
      <c r="A1563" s="79" t="str">
        <f>IF(COUNTA(B1563:C1563,E1563:G1563,I1563)=0,"","BI-"&amp;RIGHT("0000"&amp;(ROW()-5),4))</f>
        <v/>
      </c>
      <c r="B1563" s="72" t="n"/>
      <c r="C1563" s="66" t="n"/>
      <c r="D1563" s="67" t="str">
        <f>IF(C1563="","",IFERROR(INDEX(eq_des,MATCH(C1563,eq_code,0))&amp;"","Équipement inconnu"))</f>
        <v/>
      </c>
      <c r="E1563" s="68" t="n"/>
      <c r="F1563" s="68" t="n"/>
      <c r="G1563" s="66" t="n"/>
      <c r="H1563" s="66" t="n"/>
      <c r="I1563" s="68" t="n"/>
      <c r="J1563" s="73" t="n"/>
      <c r="K1563" s="71" t="n"/>
      <c r="L1563" s="71" t="n"/>
      <c r="M1563" s="66" t="n"/>
      <c r="N1563" s="80" t="n"/>
      <c r="O1563" s="81" t="str">
        <f>IF(A1563="","",ROUND(V1563*IFERROR(N(INDEX(tech_rate,MATCH(M1563,tech_name,0))),0),2))</f>
        <v/>
      </c>
      <c r="P1563" s="80" t="n"/>
      <c r="Q1563" s="81" t="str">
        <f>IF(A1563="","",ROUND(Y1563+O1563+Z1563,2))</f>
        <v/>
      </c>
      <c r="R1563" s="79" t="str">
        <f>IF(A1563="","",IF(S1563=0,"Date manquante ou invalide",IF(C1563="","Équipement manquant",IF(ISNA(MATCH(C1563,eq_code,0)),"Équipement inconnu",IF(E1563="","Type manquant",IF(AND(E1563&lt;&gt;"Préventif",E1563&lt;&gt;"Correctif",E1563&lt;&gt;"Amélioratif"),"Type inconnu",IF(I1563="","Statut manquant",IF(AND(I1563&lt;&gt;"Terminée",I1563&lt;&gt;"En cours",I1563&lt;&gt;"À faire",I1563&lt;&gt;"Annulée"),"Statut inconnu",IF(AND(E1563="Préventif",F1563=""),"Plan manquant (préventif)",IF(AND(F1563&lt;&gt;"",ISNA(MATCH(F1563,pl_num,0))),"Plan inconnu",IF(AND(F1563&lt;&gt;"",IFERROR(INDEX(pl_eq,MATCH(F1563,pl_num,0))&amp;"",C1563)&lt;&gt;C1563),"Plan d'un autre équipement",IF(AND(J1563&lt;&gt;"",OR(NOT(ISNUMBER(J1563)),N(J1563)&lt;0)),"Compteur invalide",IF(OR(AND(K1563&lt;&gt;"",OR(NOT(ISNUMBER(K1563)),N(K1563)&lt;0)),AND(L1563&lt;&gt;"",OR(NOT(ISNUMBER(L1563)),N(L1563)&lt;0))),"Durée invalide",IF(OR(AND(N1563&lt;&gt;"",OR(NOT(ISNUMBER(N1563)),N(N1563)&lt;0)),AND(P1563&lt;&gt;"",OR(NOT(ISNUMBER(P1563)),N(P1563)&lt;0))),"Coût invalide",IF(AND(M1563&lt;&gt;"",ISNA(MATCH(M1563,tech_name,0))),"Technicien inconnu",IF(AND(I1563="Terminée",S1563&gt;p_today),"Terminée à une date future",IF(AND(I1563="Terminée",V1563=0),"Durée d'intervention manquante",IF(AND(I1563="Terminée",E1563="Préventif",T1563=0,OR(IFERROR(INDEX(pl_trig,MATCH(F1563,pl_num,0))&amp;"","")="Compteur",IFERROR(INDEX(pl_trig,MATCH(F1563,pl_num,0))&amp;"","")="Au premier des deux")),"Compteur manquant (plan au compteur)","OK"))))))))))))))))))</f>
        <v/>
      </c>
      <c r="S1563" s="67">
        <f>IF(AND(ISNUMBER(B1563),N(B1563)&gt;0),INT(B1563),0)</f>
        <v>0.0</v>
      </c>
      <c r="T1563" s="67">
        <f>IF(AND(ISNUMBER(J1563),N(J1563)&gt;=0),N(J1563),0)</f>
        <v>0.0</v>
      </c>
      <c r="U1563" s="67">
        <f>IF(AND(ISNUMBER(K1563),N(K1563)&gt;0),N(K1563),0)</f>
        <v>0.0</v>
      </c>
      <c r="V1563" s="67">
        <f>IF(AND(ISNUMBER(L1563),N(L1563)&gt;0),N(L1563),0)</f>
        <v>0.0</v>
      </c>
      <c r="W1563" s="67">
        <f>IF(AND(I1563="Terminée",S1563&gt;0,C1563&lt;&gt;"",ISNUMBER(MATCH(C1563,eq_code,0))),1,0)</f>
        <v>0.0</v>
      </c>
      <c r="X1563" s="67">
        <f>IF(AND(W1563=1,E1563="Préventif"),1,0)</f>
        <v>0.0</v>
      </c>
      <c r="Y1563" s="67">
        <f>IF(AND(ISNUMBER(N1563),N(N1563)&gt;0),N(N1563),0)</f>
        <v>0.0</v>
      </c>
      <c r="Z1563" s="67">
        <f>IF(AND(ISNUMBER(P1563),N(P1563)&gt;0),N(P1563),0)</f>
        <v>0.0</v>
      </c>
    </row>
    <row r="1564">
      <c r="A1564" s="79" t="str">
        <f>IF(COUNTA(B1564:C1564,E1564:G1564,I1564)=0,"","BI-"&amp;RIGHT("0000"&amp;(ROW()-5),4))</f>
        <v/>
      </c>
      <c r="B1564" s="72" t="n"/>
      <c r="C1564" s="66" t="n"/>
      <c r="D1564" s="67" t="str">
        <f>IF(C1564="","",IFERROR(INDEX(eq_des,MATCH(C1564,eq_code,0))&amp;"","Équipement inconnu"))</f>
        <v/>
      </c>
      <c r="E1564" s="68" t="n"/>
      <c r="F1564" s="68" t="n"/>
      <c r="G1564" s="66" t="n"/>
      <c r="H1564" s="66" t="n"/>
      <c r="I1564" s="68" t="n"/>
      <c r="J1564" s="73" t="n"/>
      <c r="K1564" s="71" t="n"/>
      <c r="L1564" s="71" t="n"/>
      <c r="M1564" s="66" t="n"/>
      <c r="N1564" s="80" t="n"/>
      <c r="O1564" s="81" t="str">
        <f>IF(A1564="","",ROUND(V1564*IFERROR(N(INDEX(tech_rate,MATCH(M1564,tech_name,0))),0),2))</f>
        <v/>
      </c>
      <c r="P1564" s="80" t="n"/>
      <c r="Q1564" s="81" t="str">
        <f>IF(A1564="","",ROUND(Y1564+O1564+Z1564,2))</f>
        <v/>
      </c>
      <c r="R1564" s="79" t="str">
        <f>IF(A1564="","",IF(S1564=0,"Date manquante ou invalide",IF(C1564="","Équipement manquant",IF(ISNA(MATCH(C1564,eq_code,0)),"Équipement inconnu",IF(E1564="","Type manquant",IF(AND(E1564&lt;&gt;"Préventif",E1564&lt;&gt;"Correctif",E1564&lt;&gt;"Amélioratif"),"Type inconnu",IF(I1564="","Statut manquant",IF(AND(I1564&lt;&gt;"Terminée",I1564&lt;&gt;"En cours",I1564&lt;&gt;"À faire",I1564&lt;&gt;"Annulée"),"Statut inconnu",IF(AND(E1564="Préventif",F1564=""),"Plan manquant (préventif)",IF(AND(F1564&lt;&gt;"",ISNA(MATCH(F1564,pl_num,0))),"Plan inconnu",IF(AND(F1564&lt;&gt;"",IFERROR(INDEX(pl_eq,MATCH(F1564,pl_num,0))&amp;"",C1564)&lt;&gt;C1564),"Plan d'un autre équipement",IF(AND(J1564&lt;&gt;"",OR(NOT(ISNUMBER(J1564)),N(J1564)&lt;0)),"Compteur invalide",IF(OR(AND(K1564&lt;&gt;"",OR(NOT(ISNUMBER(K1564)),N(K1564)&lt;0)),AND(L1564&lt;&gt;"",OR(NOT(ISNUMBER(L1564)),N(L1564)&lt;0))),"Durée invalide",IF(OR(AND(N1564&lt;&gt;"",OR(NOT(ISNUMBER(N1564)),N(N1564)&lt;0)),AND(P1564&lt;&gt;"",OR(NOT(ISNUMBER(P1564)),N(P1564)&lt;0))),"Coût invalide",IF(AND(M1564&lt;&gt;"",ISNA(MATCH(M1564,tech_name,0))),"Technicien inconnu",IF(AND(I1564="Terminée",S1564&gt;p_today),"Terminée à une date future",IF(AND(I1564="Terminée",V1564=0),"Durée d'intervention manquante",IF(AND(I1564="Terminée",E1564="Préventif",T1564=0,OR(IFERROR(INDEX(pl_trig,MATCH(F1564,pl_num,0))&amp;"","")="Compteur",IFERROR(INDEX(pl_trig,MATCH(F1564,pl_num,0))&amp;"","")="Au premier des deux")),"Compteur manquant (plan au compteur)","OK"))))))))))))))))))</f>
        <v/>
      </c>
      <c r="S1564" s="67">
        <f>IF(AND(ISNUMBER(B1564),N(B1564)&gt;0),INT(B1564),0)</f>
        <v>0.0</v>
      </c>
      <c r="T1564" s="67">
        <f>IF(AND(ISNUMBER(J1564),N(J1564)&gt;=0),N(J1564),0)</f>
        <v>0.0</v>
      </c>
      <c r="U1564" s="67">
        <f>IF(AND(ISNUMBER(K1564),N(K1564)&gt;0),N(K1564),0)</f>
        <v>0.0</v>
      </c>
      <c r="V1564" s="67">
        <f>IF(AND(ISNUMBER(L1564),N(L1564)&gt;0),N(L1564),0)</f>
        <v>0.0</v>
      </c>
      <c r="W1564" s="67">
        <f>IF(AND(I1564="Terminée",S1564&gt;0,C1564&lt;&gt;"",ISNUMBER(MATCH(C1564,eq_code,0))),1,0)</f>
        <v>0.0</v>
      </c>
      <c r="X1564" s="67">
        <f>IF(AND(W1564=1,E1564="Préventif"),1,0)</f>
        <v>0.0</v>
      </c>
      <c r="Y1564" s="67">
        <f>IF(AND(ISNUMBER(N1564),N(N1564)&gt;0),N(N1564),0)</f>
        <v>0.0</v>
      </c>
      <c r="Z1564" s="67">
        <f>IF(AND(ISNUMBER(P1564),N(P1564)&gt;0),N(P1564),0)</f>
        <v>0.0</v>
      </c>
    </row>
    <row r="1565">
      <c r="A1565" s="79" t="str">
        <f>IF(COUNTA(B1565:C1565,E1565:G1565,I1565)=0,"","BI-"&amp;RIGHT("0000"&amp;(ROW()-5),4))</f>
        <v/>
      </c>
      <c r="B1565" s="72" t="n"/>
      <c r="C1565" s="66" t="n"/>
      <c r="D1565" s="67" t="str">
        <f>IF(C1565="","",IFERROR(INDEX(eq_des,MATCH(C1565,eq_code,0))&amp;"","Équipement inconnu"))</f>
        <v/>
      </c>
      <c r="E1565" s="68" t="n"/>
      <c r="F1565" s="68" t="n"/>
      <c r="G1565" s="66" t="n"/>
      <c r="H1565" s="66" t="n"/>
      <c r="I1565" s="68" t="n"/>
      <c r="J1565" s="73" t="n"/>
      <c r="K1565" s="71" t="n"/>
      <c r="L1565" s="71" t="n"/>
      <c r="M1565" s="66" t="n"/>
      <c r="N1565" s="80" t="n"/>
      <c r="O1565" s="81" t="str">
        <f>IF(A1565="","",ROUND(V1565*IFERROR(N(INDEX(tech_rate,MATCH(M1565,tech_name,0))),0),2))</f>
        <v/>
      </c>
      <c r="P1565" s="80" t="n"/>
      <c r="Q1565" s="81" t="str">
        <f>IF(A1565="","",ROUND(Y1565+O1565+Z1565,2))</f>
        <v/>
      </c>
      <c r="R1565" s="79" t="str">
        <f>IF(A1565="","",IF(S1565=0,"Date manquante ou invalide",IF(C1565="","Équipement manquant",IF(ISNA(MATCH(C1565,eq_code,0)),"Équipement inconnu",IF(E1565="","Type manquant",IF(AND(E1565&lt;&gt;"Préventif",E1565&lt;&gt;"Correctif",E1565&lt;&gt;"Amélioratif"),"Type inconnu",IF(I1565="","Statut manquant",IF(AND(I1565&lt;&gt;"Terminée",I1565&lt;&gt;"En cours",I1565&lt;&gt;"À faire",I1565&lt;&gt;"Annulée"),"Statut inconnu",IF(AND(E1565="Préventif",F1565=""),"Plan manquant (préventif)",IF(AND(F1565&lt;&gt;"",ISNA(MATCH(F1565,pl_num,0))),"Plan inconnu",IF(AND(F1565&lt;&gt;"",IFERROR(INDEX(pl_eq,MATCH(F1565,pl_num,0))&amp;"",C1565)&lt;&gt;C1565),"Plan d'un autre équipement",IF(AND(J1565&lt;&gt;"",OR(NOT(ISNUMBER(J1565)),N(J1565)&lt;0)),"Compteur invalide",IF(OR(AND(K1565&lt;&gt;"",OR(NOT(ISNUMBER(K1565)),N(K1565)&lt;0)),AND(L1565&lt;&gt;"",OR(NOT(ISNUMBER(L1565)),N(L1565)&lt;0))),"Durée invalide",IF(OR(AND(N1565&lt;&gt;"",OR(NOT(ISNUMBER(N1565)),N(N1565)&lt;0)),AND(P1565&lt;&gt;"",OR(NOT(ISNUMBER(P1565)),N(P1565)&lt;0))),"Coût invalide",IF(AND(M1565&lt;&gt;"",ISNA(MATCH(M1565,tech_name,0))),"Technicien inconnu",IF(AND(I1565="Terminée",S1565&gt;p_today),"Terminée à une date future",IF(AND(I1565="Terminée",V1565=0),"Durée d'intervention manquante",IF(AND(I1565="Terminée",E1565="Préventif",T1565=0,OR(IFERROR(INDEX(pl_trig,MATCH(F1565,pl_num,0))&amp;"","")="Compteur",IFERROR(INDEX(pl_trig,MATCH(F1565,pl_num,0))&amp;"","")="Au premier des deux")),"Compteur manquant (plan au compteur)","OK"))))))))))))))))))</f>
        <v/>
      </c>
      <c r="S1565" s="67">
        <f>IF(AND(ISNUMBER(B1565),N(B1565)&gt;0),INT(B1565),0)</f>
        <v>0.0</v>
      </c>
      <c r="T1565" s="67">
        <f>IF(AND(ISNUMBER(J1565),N(J1565)&gt;=0),N(J1565),0)</f>
        <v>0.0</v>
      </c>
      <c r="U1565" s="67">
        <f>IF(AND(ISNUMBER(K1565),N(K1565)&gt;0),N(K1565),0)</f>
        <v>0.0</v>
      </c>
      <c r="V1565" s="67">
        <f>IF(AND(ISNUMBER(L1565),N(L1565)&gt;0),N(L1565),0)</f>
        <v>0.0</v>
      </c>
      <c r="W1565" s="67">
        <f>IF(AND(I1565="Terminée",S1565&gt;0,C1565&lt;&gt;"",ISNUMBER(MATCH(C1565,eq_code,0))),1,0)</f>
        <v>0.0</v>
      </c>
      <c r="X1565" s="67">
        <f>IF(AND(W1565=1,E1565="Préventif"),1,0)</f>
        <v>0.0</v>
      </c>
      <c r="Y1565" s="67">
        <f>IF(AND(ISNUMBER(N1565),N(N1565)&gt;0),N(N1565),0)</f>
        <v>0.0</v>
      </c>
      <c r="Z1565" s="67">
        <f>IF(AND(ISNUMBER(P1565),N(P1565)&gt;0),N(P1565),0)</f>
        <v>0.0</v>
      </c>
    </row>
    <row r="1566">
      <c r="A1566" s="79" t="str">
        <f>IF(COUNTA(B1566:C1566,E1566:G1566,I1566)=0,"","BI-"&amp;RIGHT("0000"&amp;(ROW()-5),4))</f>
        <v/>
      </c>
      <c r="B1566" s="72" t="n"/>
      <c r="C1566" s="66" t="n"/>
      <c r="D1566" s="67" t="str">
        <f>IF(C1566="","",IFERROR(INDEX(eq_des,MATCH(C1566,eq_code,0))&amp;"","Équipement inconnu"))</f>
        <v/>
      </c>
      <c r="E1566" s="68" t="n"/>
      <c r="F1566" s="68" t="n"/>
      <c r="G1566" s="66" t="n"/>
      <c r="H1566" s="66" t="n"/>
      <c r="I1566" s="68" t="n"/>
      <c r="J1566" s="73" t="n"/>
      <c r="K1566" s="71" t="n"/>
      <c r="L1566" s="71" t="n"/>
      <c r="M1566" s="66" t="n"/>
      <c r="N1566" s="80" t="n"/>
      <c r="O1566" s="81" t="str">
        <f>IF(A1566="","",ROUND(V1566*IFERROR(N(INDEX(tech_rate,MATCH(M1566,tech_name,0))),0),2))</f>
        <v/>
      </c>
      <c r="P1566" s="80" t="n"/>
      <c r="Q1566" s="81" t="str">
        <f>IF(A1566="","",ROUND(Y1566+O1566+Z1566,2))</f>
        <v/>
      </c>
      <c r="R1566" s="79" t="str">
        <f>IF(A1566="","",IF(S1566=0,"Date manquante ou invalide",IF(C1566="","Équipement manquant",IF(ISNA(MATCH(C1566,eq_code,0)),"Équipement inconnu",IF(E1566="","Type manquant",IF(AND(E1566&lt;&gt;"Préventif",E1566&lt;&gt;"Correctif",E1566&lt;&gt;"Amélioratif"),"Type inconnu",IF(I1566="","Statut manquant",IF(AND(I1566&lt;&gt;"Terminée",I1566&lt;&gt;"En cours",I1566&lt;&gt;"À faire",I1566&lt;&gt;"Annulée"),"Statut inconnu",IF(AND(E1566="Préventif",F1566=""),"Plan manquant (préventif)",IF(AND(F1566&lt;&gt;"",ISNA(MATCH(F1566,pl_num,0))),"Plan inconnu",IF(AND(F1566&lt;&gt;"",IFERROR(INDEX(pl_eq,MATCH(F1566,pl_num,0))&amp;"",C1566)&lt;&gt;C1566),"Plan d'un autre équipement",IF(AND(J1566&lt;&gt;"",OR(NOT(ISNUMBER(J1566)),N(J1566)&lt;0)),"Compteur invalide",IF(OR(AND(K1566&lt;&gt;"",OR(NOT(ISNUMBER(K1566)),N(K1566)&lt;0)),AND(L1566&lt;&gt;"",OR(NOT(ISNUMBER(L1566)),N(L1566)&lt;0))),"Durée invalide",IF(OR(AND(N1566&lt;&gt;"",OR(NOT(ISNUMBER(N1566)),N(N1566)&lt;0)),AND(P1566&lt;&gt;"",OR(NOT(ISNUMBER(P1566)),N(P1566)&lt;0))),"Coût invalide",IF(AND(M1566&lt;&gt;"",ISNA(MATCH(M1566,tech_name,0))),"Technicien inconnu",IF(AND(I1566="Terminée",S1566&gt;p_today),"Terminée à une date future",IF(AND(I1566="Terminée",V1566=0),"Durée d'intervention manquante",IF(AND(I1566="Terminée",E1566="Préventif",T1566=0,OR(IFERROR(INDEX(pl_trig,MATCH(F1566,pl_num,0))&amp;"","")="Compteur",IFERROR(INDEX(pl_trig,MATCH(F1566,pl_num,0))&amp;"","")="Au premier des deux")),"Compteur manquant (plan au compteur)","OK"))))))))))))))))))</f>
        <v/>
      </c>
      <c r="S1566" s="67">
        <f>IF(AND(ISNUMBER(B1566),N(B1566)&gt;0),INT(B1566),0)</f>
        <v>0.0</v>
      </c>
      <c r="T1566" s="67">
        <f>IF(AND(ISNUMBER(J1566),N(J1566)&gt;=0),N(J1566),0)</f>
        <v>0.0</v>
      </c>
      <c r="U1566" s="67">
        <f>IF(AND(ISNUMBER(K1566),N(K1566)&gt;0),N(K1566),0)</f>
        <v>0.0</v>
      </c>
      <c r="V1566" s="67">
        <f>IF(AND(ISNUMBER(L1566),N(L1566)&gt;0),N(L1566),0)</f>
        <v>0.0</v>
      </c>
      <c r="W1566" s="67">
        <f>IF(AND(I1566="Terminée",S1566&gt;0,C1566&lt;&gt;"",ISNUMBER(MATCH(C1566,eq_code,0))),1,0)</f>
        <v>0.0</v>
      </c>
      <c r="X1566" s="67">
        <f>IF(AND(W1566=1,E1566="Préventif"),1,0)</f>
        <v>0.0</v>
      </c>
      <c r="Y1566" s="67">
        <f>IF(AND(ISNUMBER(N1566),N(N1566)&gt;0),N(N1566),0)</f>
        <v>0.0</v>
      </c>
      <c r="Z1566" s="67">
        <f>IF(AND(ISNUMBER(P1566),N(P1566)&gt;0),N(P1566),0)</f>
        <v>0.0</v>
      </c>
    </row>
    <row r="1567">
      <c r="A1567" s="79" t="str">
        <f>IF(COUNTA(B1567:C1567,E1567:G1567,I1567)=0,"","BI-"&amp;RIGHT("0000"&amp;(ROW()-5),4))</f>
        <v/>
      </c>
      <c r="B1567" s="72" t="n"/>
      <c r="C1567" s="66" t="n"/>
      <c r="D1567" s="67" t="str">
        <f>IF(C1567="","",IFERROR(INDEX(eq_des,MATCH(C1567,eq_code,0))&amp;"","Équipement inconnu"))</f>
        <v/>
      </c>
      <c r="E1567" s="68" t="n"/>
      <c r="F1567" s="68" t="n"/>
      <c r="G1567" s="66" t="n"/>
      <c r="H1567" s="66" t="n"/>
      <c r="I1567" s="68" t="n"/>
      <c r="J1567" s="73" t="n"/>
      <c r="K1567" s="71" t="n"/>
      <c r="L1567" s="71" t="n"/>
      <c r="M1567" s="66" t="n"/>
      <c r="N1567" s="80" t="n"/>
      <c r="O1567" s="81" t="str">
        <f>IF(A1567="","",ROUND(V1567*IFERROR(N(INDEX(tech_rate,MATCH(M1567,tech_name,0))),0),2))</f>
        <v/>
      </c>
      <c r="P1567" s="80" t="n"/>
      <c r="Q1567" s="81" t="str">
        <f>IF(A1567="","",ROUND(Y1567+O1567+Z1567,2))</f>
        <v/>
      </c>
      <c r="R1567" s="79" t="str">
        <f>IF(A1567="","",IF(S1567=0,"Date manquante ou invalide",IF(C1567="","Équipement manquant",IF(ISNA(MATCH(C1567,eq_code,0)),"Équipement inconnu",IF(E1567="","Type manquant",IF(AND(E1567&lt;&gt;"Préventif",E1567&lt;&gt;"Correctif",E1567&lt;&gt;"Amélioratif"),"Type inconnu",IF(I1567="","Statut manquant",IF(AND(I1567&lt;&gt;"Terminée",I1567&lt;&gt;"En cours",I1567&lt;&gt;"À faire",I1567&lt;&gt;"Annulée"),"Statut inconnu",IF(AND(E1567="Préventif",F1567=""),"Plan manquant (préventif)",IF(AND(F1567&lt;&gt;"",ISNA(MATCH(F1567,pl_num,0))),"Plan inconnu",IF(AND(F1567&lt;&gt;"",IFERROR(INDEX(pl_eq,MATCH(F1567,pl_num,0))&amp;"",C1567)&lt;&gt;C1567),"Plan d'un autre équipement",IF(AND(J1567&lt;&gt;"",OR(NOT(ISNUMBER(J1567)),N(J1567)&lt;0)),"Compteur invalide",IF(OR(AND(K1567&lt;&gt;"",OR(NOT(ISNUMBER(K1567)),N(K1567)&lt;0)),AND(L1567&lt;&gt;"",OR(NOT(ISNUMBER(L1567)),N(L1567)&lt;0))),"Durée invalide",IF(OR(AND(N1567&lt;&gt;"",OR(NOT(ISNUMBER(N1567)),N(N1567)&lt;0)),AND(P1567&lt;&gt;"",OR(NOT(ISNUMBER(P1567)),N(P1567)&lt;0))),"Coût invalide",IF(AND(M1567&lt;&gt;"",ISNA(MATCH(M1567,tech_name,0))),"Technicien inconnu",IF(AND(I1567="Terminée",S1567&gt;p_today),"Terminée à une date future",IF(AND(I1567="Terminée",V1567=0),"Durée d'intervention manquante",IF(AND(I1567="Terminée",E1567="Préventif",T1567=0,OR(IFERROR(INDEX(pl_trig,MATCH(F1567,pl_num,0))&amp;"","")="Compteur",IFERROR(INDEX(pl_trig,MATCH(F1567,pl_num,0))&amp;"","")="Au premier des deux")),"Compteur manquant (plan au compteur)","OK"))))))))))))))))))</f>
        <v/>
      </c>
      <c r="S1567" s="67">
        <f>IF(AND(ISNUMBER(B1567),N(B1567)&gt;0),INT(B1567),0)</f>
        <v>0.0</v>
      </c>
      <c r="T1567" s="67">
        <f>IF(AND(ISNUMBER(J1567),N(J1567)&gt;=0),N(J1567),0)</f>
        <v>0.0</v>
      </c>
      <c r="U1567" s="67">
        <f>IF(AND(ISNUMBER(K1567),N(K1567)&gt;0),N(K1567),0)</f>
        <v>0.0</v>
      </c>
      <c r="V1567" s="67">
        <f>IF(AND(ISNUMBER(L1567),N(L1567)&gt;0),N(L1567),0)</f>
        <v>0.0</v>
      </c>
      <c r="W1567" s="67">
        <f>IF(AND(I1567="Terminée",S1567&gt;0,C1567&lt;&gt;"",ISNUMBER(MATCH(C1567,eq_code,0))),1,0)</f>
        <v>0.0</v>
      </c>
      <c r="X1567" s="67">
        <f>IF(AND(W1567=1,E1567="Préventif"),1,0)</f>
        <v>0.0</v>
      </c>
      <c r="Y1567" s="67">
        <f>IF(AND(ISNUMBER(N1567),N(N1567)&gt;0),N(N1567),0)</f>
        <v>0.0</v>
      </c>
      <c r="Z1567" s="67">
        <f>IF(AND(ISNUMBER(P1567),N(P1567)&gt;0),N(P1567),0)</f>
        <v>0.0</v>
      </c>
    </row>
    <row r="1568">
      <c r="A1568" s="79" t="str">
        <f>IF(COUNTA(B1568:C1568,E1568:G1568,I1568)=0,"","BI-"&amp;RIGHT("0000"&amp;(ROW()-5),4))</f>
        <v/>
      </c>
      <c r="B1568" s="72" t="n"/>
      <c r="C1568" s="66" t="n"/>
      <c r="D1568" s="67" t="str">
        <f>IF(C1568="","",IFERROR(INDEX(eq_des,MATCH(C1568,eq_code,0))&amp;"","Équipement inconnu"))</f>
        <v/>
      </c>
      <c r="E1568" s="68" t="n"/>
      <c r="F1568" s="68" t="n"/>
      <c r="G1568" s="66" t="n"/>
      <c r="H1568" s="66" t="n"/>
      <c r="I1568" s="68" t="n"/>
      <c r="J1568" s="73" t="n"/>
      <c r="K1568" s="71" t="n"/>
      <c r="L1568" s="71" t="n"/>
      <c r="M1568" s="66" t="n"/>
      <c r="N1568" s="80" t="n"/>
      <c r="O1568" s="81" t="str">
        <f>IF(A1568="","",ROUND(V1568*IFERROR(N(INDEX(tech_rate,MATCH(M1568,tech_name,0))),0),2))</f>
        <v/>
      </c>
      <c r="P1568" s="80" t="n"/>
      <c r="Q1568" s="81" t="str">
        <f>IF(A1568="","",ROUND(Y1568+O1568+Z1568,2))</f>
        <v/>
      </c>
      <c r="R1568" s="79" t="str">
        <f>IF(A1568="","",IF(S1568=0,"Date manquante ou invalide",IF(C1568="","Équipement manquant",IF(ISNA(MATCH(C1568,eq_code,0)),"Équipement inconnu",IF(E1568="","Type manquant",IF(AND(E1568&lt;&gt;"Préventif",E1568&lt;&gt;"Correctif",E1568&lt;&gt;"Amélioratif"),"Type inconnu",IF(I1568="","Statut manquant",IF(AND(I1568&lt;&gt;"Terminée",I1568&lt;&gt;"En cours",I1568&lt;&gt;"À faire",I1568&lt;&gt;"Annulée"),"Statut inconnu",IF(AND(E1568="Préventif",F1568=""),"Plan manquant (préventif)",IF(AND(F1568&lt;&gt;"",ISNA(MATCH(F1568,pl_num,0))),"Plan inconnu",IF(AND(F1568&lt;&gt;"",IFERROR(INDEX(pl_eq,MATCH(F1568,pl_num,0))&amp;"",C1568)&lt;&gt;C1568),"Plan d'un autre équipement",IF(AND(J1568&lt;&gt;"",OR(NOT(ISNUMBER(J1568)),N(J1568)&lt;0)),"Compteur invalide",IF(OR(AND(K1568&lt;&gt;"",OR(NOT(ISNUMBER(K1568)),N(K1568)&lt;0)),AND(L1568&lt;&gt;"",OR(NOT(ISNUMBER(L1568)),N(L1568)&lt;0))),"Durée invalide",IF(OR(AND(N1568&lt;&gt;"",OR(NOT(ISNUMBER(N1568)),N(N1568)&lt;0)),AND(P1568&lt;&gt;"",OR(NOT(ISNUMBER(P1568)),N(P1568)&lt;0))),"Coût invalide",IF(AND(M1568&lt;&gt;"",ISNA(MATCH(M1568,tech_name,0))),"Technicien inconnu",IF(AND(I1568="Terminée",S1568&gt;p_today),"Terminée à une date future",IF(AND(I1568="Terminée",V1568=0),"Durée d'intervention manquante",IF(AND(I1568="Terminée",E1568="Préventif",T1568=0,OR(IFERROR(INDEX(pl_trig,MATCH(F1568,pl_num,0))&amp;"","")="Compteur",IFERROR(INDEX(pl_trig,MATCH(F1568,pl_num,0))&amp;"","")="Au premier des deux")),"Compteur manquant (plan au compteur)","OK"))))))))))))))))))</f>
        <v/>
      </c>
      <c r="S1568" s="67">
        <f>IF(AND(ISNUMBER(B1568),N(B1568)&gt;0),INT(B1568),0)</f>
        <v>0.0</v>
      </c>
      <c r="T1568" s="67">
        <f>IF(AND(ISNUMBER(J1568),N(J1568)&gt;=0),N(J1568),0)</f>
        <v>0.0</v>
      </c>
      <c r="U1568" s="67">
        <f>IF(AND(ISNUMBER(K1568),N(K1568)&gt;0),N(K1568),0)</f>
        <v>0.0</v>
      </c>
      <c r="V1568" s="67">
        <f>IF(AND(ISNUMBER(L1568),N(L1568)&gt;0),N(L1568),0)</f>
        <v>0.0</v>
      </c>
      <c r="W1568" s="67">
        <f>IF(AND(I1568="Terminée",S1568&gt;0,C1568&lt;&gt;"",ISNUMBER(MATCH(C1568,eq_code,0))),1,0)</f>
        <v>0.0</v>
      </c>
      <c r="X1568" s="67">
        <f>IF(AND(W1568=1,E1568="Préventif"),1,0)</f>
        <v>0.0</v>
      </c>
      <c r="Y1568" s="67">
        <f>IF(AND(ISNUMBER(N1568),N(N1568)&gt;0),N(N1568),0)</f>
        <v>0.0</v>
      </c>
      <c r="Z1568" s="67">
        <f>IF(AND(ISNUMBER(P1568),N(P1568)&gt;0),N(P1568),0)</f>
        <v>0.0</v>
      </c>
    </row>
    <row r="1569">
      <c r="A1569" s="79" t="str">
        <f>IF(COUNTA(B1569:C1569,E1569:G1569,I1569)=0,"","BI-"&amp;RIGHT("0000"&amp;(ROW()-5),4))</f>
        <v/>
      </c>
      <c r="B1569" s="72" t="n"/>
      <c r="C1569" s="66" t="n"/>
      <c r="D1569" s="67" t="str">
        <f>IF(C1569="","",IFERROR(INDEX(eq_des,MATCH(C1569,eq_code,0))&amp;"","Équipement inconnu"))</f>
        <v/>
      </c>
      <c r="E1569" s="68" t="n"/>
      <c r="F1569" s="68" t="n"/>
      <c r="G1569" s="66" t="n"/>
      <c r="H1569" s="66" t="n"/>
      <c r="I1569" s="68" t="n"/>
      <c r="J1569" s="73" t="n"/>
      <c r="K1569" s="71" t="n"/>
      <c r="L1569" s="71" t="n"/>
      <c r="M1569" s="66" t="n"/>
      <c r="N1569" s="80" t="n"/>
      <c r="O1569" s="81" t="str">
        <f>IF(A1569="","",ROUND(V1569*IFERROR(N(INDEX(tech_rate,MATCH(M1569,tech_name,0))),0),2))</f>
        <v/>
      </c>
      <c r="P1569" s="80" t="n"/>
      <c r="Q1569" s="81" t="str">
        <f>IF(A1569="","",ROUND(Y1569+O1569+Z1569,2))</f>
        <v/>
      </c>
      <c r="R1569" s="79" t="str">
        <f>IF(A1569="","",IF(S1569=0,"Date manquante ou invalide",IF(C1569="","Équipement manquant",IF(ISNA(MATCH(C1569,eq_code,0)),"Équipement inconnu",IF(E1569="","Type manquant",IF(AND(E1569&lt;&gt;"Préventif",E1569&lt;&gt;"Correctif",E1569&lt;&gt;"Amélioratif"),"Type inconnu",IF(I1569="","Statut manquant",IF(AND(I1569&lt;&gt;"Terminée",I1569&lt;&gt;"En cours",I1569&lt;&gt;"À faire",I1569&lt;&gt;"Annulée"),"Statut inconnu",IF(AND(E1569="Préventif",F1569=""),"Plan manquant (préventif)",IF(AND(F1569&lt;&gt;"",ISNA(MATCH(F1569,pl_num,0))),"Plan inconnu",IF(AND(F1569&lt;&gt;"",IFERROR(INDEX(pl_eq,MATCH(F1569,pl_num,0))&amp;"",C1569)&lt;&gt;C1569),"Plan d'un autre équipement",IF(AND(J1569&lt;&gt;"",OR(NOT(ISNUMBER(J1569)),N(J1569)&lt;0)),"Compteur invalide",IF(OR(AND(K1569&lt;&gt;"",OR(NOT(ISNUMBER(K1569)),N(K1569)&lt;0)),AND(L1569&lt;&gt;"",OR(NOT(ISNUMBER(L1569)),N(L1569)&lt;0))),"Durée invalide",IF(OR(AND(N1569&lt;&gt;"",OR(NOT(ISNUMBER(N1569)),N(N1569)&lt;0)),AND(P1569&lt;&gt;"",OR(NOT(ISNUMBER(P1569)),N(P1569)&lt;0))),"Coût invalide",IF(AND(M1569&lt;&gt;"",ISNA(MATCH(M1569,tech_name,0))),"Technicien inconnu",IF(AND(I1569="Terminée",S1569&gt;p_today),"Terminée à une date future",IF(AND(I1569="Terminée",V1569=0),"Durée d'intervention manquante",IF(AND(I1569="Terminée",E1569="Préventif",T1569=0,OR(IFERROR(INDEX(pl_trig,MATCH(F1569,pl_num,0))&amp;"","")="Compteur",IFERROR(INDEX(pl_trig,MATCH(F1569,pl_num,0))&amp;"","")="Au premier des deux")),"Compteur manquant (plan au compteur)","OK"))))))))))))))))))</f>
        <v/>
      </c>
      <c r="S1569" s="67">
        <f>IF(AND(ISNUMBER(B1569),N(B1569)&gt;0),INT(B1569),0)</f>
        <v>0.0</v>
      </c>
      <c r="T1569" s="67">
        <f>IF(AND(ISNUMBER(J1569),N(J1569)&gt;=0),N(J1569),0)</f>
        <v>0.0</v>
      </c>
      <c r="U1569" s="67">
        <f>IF(AND(ISNUMBER(K1569),N(K1569)&gt;0),N(K1569),0)</f>
        <v>0.0</v>
      </c>
      <c r="V1569" s="67">
        <f>IF(AND(ISNUMBER(L1569),N(L1569)&gt;0),N(L1569),0)</f>
        <v>0.0</v>
      </c>
      <c r="W1569" s="67">
        <f>IF(AND(I1569="Terminée",S1569&gt;0,C1569&lt;&gt;"",ISNUMBER(MATCH(C1569,eq_code,0))),1,0)</f>
        <v>0.0</v>
      </c>
      <c r="X1569" s="67">
        <f>IF(AND(W1569=1,E1569="Préventif"),1,0)</f>
        <v>0.0</v>
      </c>
      <c r="Y1569" s="67">
        <f>IF(AND(ISNUMBER(N1569),N(N1569)&gt;0),N(N1569),0)</f>
        <v>0.0</v>
      </c>
      <c r="Z1569" s="67">
        <f>IF(AND(ISNUMBER(P1569),N(P1569)&gt;0),N(P1569),0)</f>
        <v>0.0</v>
      </c>
    </row>
    <row r="1570">
      <c r="A1570" s="79" t="str">
        <f>IF(COUNTA(B1570:C1570,E1570:G1570,I1570)=0,"","BI-"&amp;RIGHT("0000"&amp;(ROW()-5),4))</f>
        <v/>
      </c>
      <c r="B1570" s="72" t="n"/>
      <c r="C1570" s="66" t="n"/>
      <c r="D1570" s="67" t="str">
        <f>IF(C1570="","",IFERROR(INDEX(eq_des,MATCH(C1570,eq_code,0))&amp;"","Équipement inconnu"))</f>
        <v/>
      </c>
      <c r="E1570" s="68" t="n"/>
      <c r="F1570" s="68" t="n"/>
      <c r="G1570" s="66" t="n"/>
      <c r="H1570" s="66" t="n"/>
      <c r="I1570" s="68" t="n"/>
      <c r="J1570" s="73" t="n"/>
      <c r="K1570" s="71" t="n"/>
      <c r="L1570" s="71" t="n"/>
      <c r="M1570" s="66" t="n"/>
      <c r="N1570" s="80" t="n"/>
      <c r="O1570" s="81" t="str">
        <f>IF(A1570="","",ROUND(V1570*IFERROR(N(INDEX(tech_rate,MATCH(M1570,tech_name,0))),0),2))</f>
        <v/>
      </c>
      <c r="P1570" s="80" t="n"/>
      <c r="Q1570" s="81" t="str">
        <f>IF(A1570="","",ROUND(Y1570+O1570+Z1570,2))</f>
        <v/>
      </c>
      <c r="R1570" s="79" t="str">
        <f>IF(A1570="","",IF(S1570=0,"Date manquante ou invalide",IF(C1570="","Équipement manquant",IF(ISNA(MATCH(C1570,eq_code,0)),"Équipement inconnu",IF(E1570="","Type manquant",IF(AND(E1570&lt;&gt;"Préventif",E1570&lt;&gt;"Correctif",E1570&lt;&gt;"Amélioratif"),"Type inconnu",IF(I1570="","Statut manquant",IF(AND(I1570&lt;&gt;"Terminée",I1570&lt;&gt;"En cours",I1570&lt;&gt;"À faire",I1570&lt;&gt;"Annulée"),"Statut inconnu",IF(AND(E1570="Préventif",F1570=""),"Plan manquant (préventif)",IF(AND(F1570&lt;&gt;"",ISNA(MATCH(F1570,pl_num,0))),"Plan inconnu",IF(AND(F1570&lt;&gt;"",IFERROR(INDEX(pl_eq,MATCH(F1570,pl_num,0))&amp;"",C1570)&lt;&gt;C1570),"Plan d'un autre équipement",IF(AND(J1570&lt;&gt;"",OR(NOT(ISNUMBER(J1570)),N(J1570)&lt;0)),"Compteur invalide",IF(OR(AND(K1570&lt;&gt;"",OR(NOT(ISNUMBER(K1570)),N(K1570)&lt;0)),AND(L1570&lt;&gt;"",OR(NOT(ISNUMBER(L1570)),N(L1570)&lt;0))),"Durée invalide",IF(OR(AND(N1570&lt;&gt;"",OR(NOT(ISNUMBER(N1570)),N(N1570)&lt;0)),AND(P1570&lt;&gt;"",OR(NOT(ISNUMBER(P1570)),N(P1570)&lt;0))),"Coût invalide",IF(AND(M1570&lt;&gt;"",ISNA(MATCH(M1570,tech_name,0))),"Technicien inconnu",IF(AND(I1570="Terminée",S1570&gt;p_today),"Terminée à une date future",IF(AND(I1570="Terminée",V1570=0),"Durée d'intervention manquante",IF(AND(I1570="Terminée",E1570="Préventif",T1570=0,OR(IFERROR(INDEX(pl_trig,MATCH(F1570,pl_num,0))&amp;"","")="Compteur",IFERROR(INDEX(pl_trig,MATCH(F1570,pl_num,0))&amp;"","")="Au premier des deux")),"Compteur manquant (plan au compteur)","OK"))))))))))))))))))</f>
        <v/>
      </c>
      <c r="S1570" s="67">
        <f>IF(AND(ISNUMBER(B1570),N(B1570)&gt;0),INT(B1570),0)</f>
        <v>0.0</v>
      </c>
      <c r="T1570" s="67">
        <f>IF(AND(ISNUMBER(J1570),N(J1570)&gt;=0),N(J1570),0)</f>
        <v>0.0</v>
      </c>
      <c r="U1570" s="67">
        <f>IF(AND(ISNUMBER(K1570),N(K1570)&gt;0),N(K1570),0)</f>
        <v>0.0</v>
      </c>
      <c r="V1570" s="67">
        <f>IF(AND(ISNUMBER(L1570),N(L1570)&gt;0),N(L1570),0)</f>
        <v>0.0</v>
      </c>
      <c r="W1570" s="67">
        <f>IF(AND(I1570="Terminée",S1570&gt;0,C1570&lt;&gt;"",ISNUMBER(MATCH(C1570,eq_code,0))),1,0)</f>
        <v>0.0</v>
      </c>
      <c r="X1570" s="67">
        <f>IF(AND(W1570=1,E1570="Préventif"),1,0)</f>
        <v>0.0</v>
      </c>
      <c r="Y1570" s="67">
        <f>IF(AND(ISNUMBER(N1570),N(N1570)&gt;0),N(N1570),0)</f>
        <v>0.0</v>
      </c>
      <c r="Z1570" s="67">
        <f>IF(AND(ISNUMBER(P1570),N(P1570)&gt;0),N(P1570),0)</f>
        <v>0.0</v>
      </c>
    </row>
    <row r="1571">
      <c r="A1571" s="79" t="str">
        <f>IF(COUNTA(B1571:C1571,E1571:G1571,I1571)=0,"","BI-"&amp;RIGHT("0000"&amp;(ROW()-5),4))</f>
        <v/>
      </c>
      <c r="B1571" s="72" t="n"/>
      <c r="C1571" s="66" t="n"/>
      <c r="D1571" s="67" t="str">
        <f>IF(C1571="","",IFERROR(INDEX(eq_des,MATCH(C1571,eq_code,0))&amp;"","Équipement inconnu"))</f>
        <v/>
      </c>
      <c r="E1571" s="68" t="n"/>
      <c r="F1571" s="68" t="n"/>
      <c r="G1571" s="66" t="n"/>
      <c r="H1571" s="66" t="n"/>
      <c r="I1571" s="68" t="n"/>
      <c r="J1571" s="73" t="n"/>
      <c r="K1571" s="71" t="n"/>
      <c r="L1571" s="71" t="n"/>
      <c r="M1571" s="66" t="n"/>
      <c r="N1571" s="80" t="n"/>
      <c r="O1571" s="81" t="str">
        <f>IF(A1571="","",ROUND(V1571*IFERROR(N(INDEX(tech_rate,MATCH(M1571,tech_name,0))),0),2))</f>
        <v/>
      </c>
      <c r="P1571" s="80" t="n"/>
      <c r="Q1571" s="81" t="str">
        <f>IF(A1571="","",ROUND(Y1571+O1571+Z1571,2))</f>
        <v/>
      </c>
      <c r="R1571" s="79" t="str">
        <f>IF(A1571="","",IF(S1571=0,"Date manquante ou invalide",IF(C1571="","Équipement manquant",IF(ISNA(MATCH(C1571,eq_code,0)),"Équipement inconnu",IF(E1571="","Type manquant",IF(AND(E1571&lt;&gt;"Préventif",E1571&lt;&gt;"Correctif",E1571&lt;&gt;"Amélioratif"),"Type inconnu",IF(I1571="","Statut manquant",IF(AND(I1571&lt;&gt;"Terminée",I1571&lt;&gt;"En cours",I1571&lt;&gt;"À faire",I1571&lt;&gt;"Annulée"),"Statut inconnu",IF(AND(E1571="Préventif",F1571=""),"Plan manquant (préventif)",IF(AND(F1571&lt;&gt;"",ISNA(MATCH(F1571,pl_num,0))),"Plan inconnu",IF(AND(F1571&lt;&gt;"",IFERROR(INDEX(pl_eq,MATCH(F1571,pl_num,0))&amp;"",C1571)&lt;&gt;C1571),"Plan d'un autre équipement",IF(AND(J1571&lt;&gt;"",OR(NOT(ISNUMBER(J1571)),N(J1571)&lt;0)),"Compteur invalide",IF(OR(AND(K1571&lt;&gt;"",OR(NOT(ISNUMBER(K1571)),N(K1571)&lt;0)),AND(L1571&lt;&gt;"",OR(NOT(ISNUMBER(L1571)),N(L1571)&lt;0))),"Durée invalide",IF(OR(AND(N1571&lt;&gt;"",OR(NOT(ISNUMBER(N1571)),N(N1571)&lt;0)),AND(P1571&lt;&gt;"",OR(NOT(ISNUMBER(P1571)),N(P1571)&lt;0))),"Coût invalide",IF(AND(M1571&lt;&gt;"",ISNA(MATCH(M1571,tech_name,0))),"Technicien inconnu",IF(AND(I1571="Terminée",S1571&gt;p_today),"Terminée à une date future",IF(AND(I1571="Terminée",V1571=0),"Durée d'intervention manquante",IF(AND(I1571="Terminée",E1571="Préventif",T1571=0,OR(IFERROR(INDEX(pl_trig,MATCH(F1571,pl_num,0))&amp;"","")="Compteur",IFERROR(INDEX(pl_trig,MATCH(F1571,pl_num,0))&amp;"","")="Au premier des deux")),"Compteur manquant (plan au compteur)","OK"))))))))))))))))))</f>
        <v/>
      </c>
      <c r="S1571" s="67">
        <f>IF(AND(ISNUMBER(B1571),N(B1571)&gt;0),INT(B1571),0)</f>
        <v>0.0</v>
      </c>
      <c r="T1571" s="67">
        <f>IF(AND(ISNUMBER(J1571),N(J1571)&gt;=0),N(J1571),0)</f>
        <v>0.0</v>
      </c>
      <c r="U1571" s="67">
        <f>IF(AND(ISNUMBER(K1571),N(K1571)&gt;0),N(K1571),0)</f>
        <v>0.0</v>
      </c>
      <c r="V1571" s="67">
        <f>IF(AND(ISNUMBER(L1571),N(L1571)&gt;0),N(L1571),0)</f>
        <v>0.0</v>
      </c>
      <c r="W1571" s="67">
        <f>IF(AND(I1571="Terminée",S1571&gt;0,C1571&lt;&gt;"",ISNUMBER(MATCH(C1571,eq_code,0))),1,0)</f>
        <v>0.0</v>
      </c>
      <c r="X1571" s="67">
        <f>IF(AND(W1571=1,E1571="Préventif"),1,0)</f>
        <v>0.0</v>
      </c>
      <c r="Y1571" s="67">
        <f>IF(AND(ISNUMBER(N1571),N(N1571)&gt;0),N(N1571),0)</f>
        <v>0.0</v>
      </c>
      <c r="Z1571" s="67">
        <f>IF(AND(ISNUMBER(P1571),N(P1571)&gt;0),N(P1571),0)</f>
        <v>0.0</v>
      </c>
    </row>
    <row r="1572">
      <c r="A1572" s="79" t="str">
        <f>IF(COUNTA(B1572:C1572,E1572:G1572,I1572)=0,"","BI-"&amp;RIGHT("0000"&amp;(ROW()-5),4))</f>
        <v/>
      </c>
      <c r="B1572" s="72" t="n"/>
      <c r="C1572" s="66" t="n"/>
      <c r="D1572" s="67" t="str">
        <f>IF(C1572="","",IFERROR(INDEX(eq_des,MATCH(C1572,eq_code,0))&amp;"","Équipement inconnu"))</f>
        <v/>
      </c>
      <c r="E1572" s="68" t="n"/>
      <c r="F1572" s="68" t="n"/>
      <c r="G1572" s="66" t="n"/>
      <c r="H1572" s="66" t="n"/>
      <c r="I1572" s="68" t="n"/>
      <c r="J1572" s="73" t="n"/>
      <c r="K1572" s="71" t="n"/>
      <c r="L1572" s="71" t="n"/>
      <c r="M1572" s="66" t="n"/>
      <c r="N1572" s="80" t="n"/>
      <c r="O1572" s="81" t="str">
        <f>IF(A1572="","",ROUND(V1572*IFERROR(N(INDEX(tech_rate,MATCH(M1572,tech_name,0))),0),2))</f>
        <v/>
      </c>
      <c r="P1572" s="80" t="n"/>
      <c r="Q1572" s="81" t="str">
        <f>IF(A1572="","",ROUND(Y1572+O1572+Z1572,2))</f>
        <v/>
      </c>
      <c r="R1572" s="79" t="str">
        <f>IF(A1572="","",IF(S1572=0,"Date manquante ou invalide",IF(C1572="","Équipement manquant",IF(ISNA(MATCH(C1572,eq_code,0)),"Équipement inconnu",IF(E1572="","Type manquant",IF(AND(E1572&lt;&gt;"Préventif",E1572&lt;&gt;"Correctif",E1572&lt;&gt;"Amélioratif"),"Type inconnu",IF(I1572="","Statut manquant",IF(AND(I1572&lt;&gt;"Terminée",I1572&lt;&gt;"En cours",I1572&lt;&gt;"À faire",I1572&lt;&gt;"Annulée"),"Statut inconnu",IF(AND(E1572="Préventif",F1572=""),"Plan manquant (préventif)",IF(AND(F1572&lt;&gt;"",ISNA(MATCH(F1572,pl_num,0))),"Plan inconnu",IF(AND(F1572&lt;&gt;"",IFERROR(INDEX(pl_eq,MATCH(F1572,pl_num,0))&amp;"",C1572)&lt;&gt;C1572),"Plan d'un autre équipement",IF(AND(J1572&lt;&gt;"",OR(NOT(ISNUMBER(J1572)),N(J1572)&lt;0)),"Compteur invalide",IF(OR(AND(K1572&lt;&gt;"",OR(NOT(ISNUMBER(K1572)),N(K1572)&lt;0)),AND(L1572&lt;&gt;"",OR(NOT(ISNUMBER(L1572)),N(L1572)&lt;0))),"Durée invalide",IF(OR(AND(N1572&lt;&gt;"",OR(NOT(ISNUMBER(N1572)),N(N1572)&lt;0)),AND(P1572&lt;&gt;"",OR(NOT(ISNUMBER(P1572)),N(P1572)&lt;0))),"Coût invalide",IF(AND(M1572&lt;&gt;"",ISNA(MATCH(M1572,tech_name,0))),"Technicien inconnu",IF(AND(I1572="Terminée",S1572&gt;p_today),"Terminée à une date future",IF(AND(I1572="Terminée",V1572=0),"Durée d'intervention manquante",IF(AND(I1572="Terminée",E1572="Préventif",T1572=0,OR(IFERROR(INDEX(pl_trig,MATCH(F1572,pl_num,0))&amp;"","")="Compteur",IFERROR(INDEX(pl_trig,MATCH(F1572,pl_num,0))&amp;"","")="Au premier des deux")),"Compteur manquant (plan au compteur)","OK"))))))))))))))))))</f>
        <v/>
      </c>
      <c r="S1572" s="67">
        <f>IF(AND(ISNUMBER(B1572),N(B1572)&gt;0),INT(B1572),0)</f>
        <v>0.0</v>
      </c>
      <c r="T1572" s="67">
        <f>IF(AND(ISNUMBER(J1572),N(J1572)&gt;=0),N(J1572),0)</f>
        <v>0.0</v>
      </c>
      <c r="U1572" s="67">
        <f>IF(AND(ISNUMBER(K1572),N(K1572)&gt;0),N(K1572),0)</f>
        <v>0.0</v>
      </c>
      <c r="V1572" s="67">
        <f>IF(AND(ISNUMBER(L1572),N(L1572)&gt;0),N(L1572),0)</f>
        <v>0.0</v>
      </c>
      <c r="W1572" s="67">
        <f>IF(AND(I1572="Terminée",S1572&gt;0,C1572&lt;&gt;"",ISNUMBER(MATCH(C1572,eq_code,0))),1,0)</f>
        <v>0.0</v>
      </c>
      <c r="X1572" s="67">
        <f>IF(AND(W1572=1,E1572="Préventif"),1,0)</f>
        <v>0.0</v>
      </c>
      <c r="Y1572" s="67">
        <f>IF(AND(ISNUMBER(N1572),N(N1572)&gt;0),N(N1572),0)</f>
        <v>0.0</v>
      </c>
      <c r="Z1572" s="67">
        <f>IF(AND(ISNUMBER(P1572),N(P1572)&gt;0),N(P1572),0)</f>
        <v>0.0</v>
      </c>
    </row>
    <row r="1573">
      <c r="A1573" s="79" t="str">
        <f>IF(COUNTA(B1573:C1573,E1573:G1573,I1573)=0,"","BI-"&amp;RIGHT("0000"&amp;(ROW()-5),4))</f>
        <v/>
      </c>
      <c r="B1573" s="72" t="n"/>
      <c r="C1573" s="66" t="n"/>
      <c r="D1573" s="67" t="str">
        <f>IF(C1573="","",IFERROR(INDEX(eq_des,MATCH(C1573,eq_code,0))&amp;"","Équipement inconnu"))</f>
        <v/>
      </c>
      <c r="E1573" s="68" t="n"/>
      <c r="F1573" s="68" t="n"/>
      <c r="G1573" s="66" t="n"/>
      <c r="H1573" s="66" t="n"/>
      <c r="I1573" s="68" t="n"/>
      <c r="J1573" s="73" t="n"/>
      <c r="K1573" s="71" t="n"/>
      <c r="L1573" s="71" t="n"/>
      <c r="M1573" s="66" t="n"/>
      <c r="N1573" s="80" t="n"/>
      <c r="O1573" s="81" t="str">
        <f>IF(A1573="","",ROUND(V1573*IFERROR(N(INDEX(tech_rate,MATCH(M1573,tech_name,0))),0),2))</f>
        <v/>
      </c>
      <c r="P1573" s="80" t="n"/>
      <c r="Q1573" s="81" t="str">
        <f>IF(A1573="","",ROUND(Y1573+O1573+Z1573,2))</f>
        <v/>
      </c>
      <c r="R1573" s="79" t="str">
        <f>IF(A1573="","",IF(S1573=0,"Date manquante ou invalide",IF(C1573="","Équipement manquant",IF(ISNA(MATCH(C1573,eq_code,0)),"Équipement inconnu",IF(E1573="","Type manquant",IF(AND(E1573&lt;&gt;"Préventif",E1573&lt;&gt;"Correctif",E1573&lt;&gt;"Amélioratif"),"Type inconnu",IF(I1573="","Statut manquant",IF(AND(I1573&lt;&gt;"Terminée",I1573&lt;&gt;"En cours",I1573&lt;&gt;"À faire",I1573&lt;&gt;"Annulée"),"Statut inconnu",IF(AND(E1573="Préventif",F1573=""),"Plan manquant (préventif)",IF(AND(F1573&lt;&gt;"",ISNA(MATCH(F1573,pl_num,0))),"Plan inconnu",IF(AND(F1573&lt;&gt;"",IFERROR(INDEX(pl_eq,MATCH(F1573,pl_num,0))&amp;"",C1573)&lt;&gt;C1573),"Plan d'un autre équipement",IF(AND(J1573&lt;&gt;"",OR(NOT(ISNUMBER(J1573)),N(J1573)&lt;0)),"Compteur invalide",IF(OR(AND(K1573&lt;&gt;"",OR(NOT(ISNUMBER(K1573)),N(K1573)&lt;0)),AND(L1573&lt;&gt;"",OR(NOT(ISNUMBER(L1573)),N(L1573)&lt;0))),"Durée invalide",IF(OR(AND(N1573&lt;&gt;"",OR(NOT(ISNUMBER(N1573)),N(N1573)&lt;0)),AND(P1573&lt;&gt;"",OR(NOT(ISNUMBER(P1573)),N(P1573)&lt;0))),"Coût invalide",IF(AND(M1573&lt;&gt;"",ISNA(MATCH(M1573,tech_name,0))),"Technicien inconnu",IF(AND(I1573="Terminée",S1573&gt;p_today),"Terminée à une date future",IF(AND(I1573="Terminée",V1573=0),"Durée d'intervention manquante",IF(AND(I1573="Terminée",E1573="Préventif",T1573=0,OR(IFERROR(INDEX(pl_trig,MATCH(F1573,pl_num,0))&amp;"","")="Compteur",IFERROR(INDEX(pl_trig,MATCH(F1573,pl_num,0))&amp;"","")="Au premier des deux")),"Compteur manquant (plan au compteur)","OK"))))))))))))))))))</f>
        <v/>
      </c>
      <c r="S1573" s="67">
        <f>IF(AND(ISNUMBER(B1573),N(B1573)&gt;0),INT(B1573),0)</f>
        <v>0.0</v>
      </c>
      <c r="T1573" s="67">
        <f>IF(AND(ISNUMBER(J1573),N(J1573)&gt;=0),N(J1573),0)</f>
        <v>0.0</v>
      </c>
      <c r="U1573" s="67">
        <f>IF(AND(ISNUMBER(K1573),N(K1573)&gt;0),N(K1573),0)</f>
        <v>0.0</v>
      </c>
      <c r="V1573" s="67">
        <f>IF(AND(ISNUMBER(L1573),N(L1573)&gt;0),N(L1573),0)</f>
        <v>0.0</v>
      </c>
      <c r="W1573" s="67">
        <f>IF(AND(I1573="Terminée",S1573&gt;0,C1573&lt;&gt;"",ISNUMBER(MATCH(C1573,eq_code,0))),1,0)</f>
        <v>0.0</v>
      </c>
      <c r="X1573" s="67">
        <f>IF(AND(W1573=1,E1573="Préventif"),1,0)</f>
        <v>0.0</v>
      </c>
      <c r="Y1573" s="67">
        <f>IF(AND(ISNUMBER(N1573),N(N1573)&gt;0),N(N1573),0)</f>
        <v>0.0</v>
      </c>
      <c r="Z1573" s="67">
        <f>IF(AND(ISNUMBER(P1573),N(P1573)&gt;0),N(P1573),0)</f>
        <v>0.0</v>
      </c>
    </row>
    <row r="1574">
      <c r="A1574" s="79" t="str">
        <f>IF(COUNTA(B1574:C1574,E1574:G1574,I1574)=0,"","BI-"&amp;RIGHT("0000"&amp;(ROW()-5),4))</f>
        <v/>
      </c>
      <c r="B1574" s="72" t="n"/>
      <c r="C1574" s="66" t="n"/>
      <c r="D1574" s="67" t="str">
        <f>IF(C1574="","",IFERROR(INDEX(eq_des,MATCH(C1574,eq_code,0))&amp;"","Équipement inconnu"))</f>
        <v/>
      </c>
      <c r="E1574" s="68" t="n"/>
      <c r="F1574" s="68" t="n"/>
      <c r="G1574" s="66" t="n"/>
      <c r="H1574" s="66" t="n"/>
      <c r="I1574" s="68" t="n"/>
      <c r="J1574" s="73" t="n"/>
      <c r="K1574" s="71" t="n"/>
      <c r="L1574" s="71" t="n"/>
      <c r="M1574" s="66" t="n"/>
      <c r="N1574" s="80" t="n"/>
      <c r="O1574" s="81" t="str">
        <f>IF(A1574="","",ROUND(V1574*IFERROR(N(INDEX(tech_rate,MATCH(M1574,tech_name,0))),0),2))</f>
        <v/>
      </c>
      <c r="P1574" s="80" t="n"/>
      <c r="Q1574" s="81" t="str">
        <f>IF(A1574="","",ROUND(Y1574+O1574+Z1574,2))</f>
        <v/>
      </c>
      <c r="R1574" s="79" t="str">
        <f>IF(A1574="","",IF(S1574=0,"Date manquante ou invalide",IF(C1574="","Équipement manquant",IF(ISNA(MATCH(C1574,eq_code,0)),"Équipement inconnu",IF(E1574="","Type manquant",IF(AND(E1574&lt;&gt;"Préventif",E1574&lt;&gt;"Correctif",E1574&lt;&gt;"Amélioratif"),"Type inconnu",IF(I1574="","Statut manquant",IF(AND(I1574&lt;&gt;"Terminée",I1574&lt;&gt;"En cours",I1574&lt;&gt;"À faire",I1574&lt;&gt;"Annulée"),"Statut inconnu",IF(AND(E1574="Préventif",F1574=""),"Plan manquant (préventif)",IF(AND(F1574&lt;&gt;"",ISNA(MATCH(F1574,pl_num,0))),"Plan inconnu",IF(AND(F1574&lt;&gt;"",IFERROR(INDEX(pl_eq,MATCH(F1574,pl_num,0))&amp;"",C1574)&lt;&gt;C1574),"Plan d'un autre équipement",IF(AND(J1574&lt;&gt;"",OR(NOT(ISNUMBER(J1574)),N(J1574)&lt;0)),"Compteur invalide",IF(OR(AND(K1574&lt;&gt;"",OR(NOT(ISNUMBER(K1574)),N(K1574)&lt;0)),AND(L1574&lt;&gt;"",OR(NOT(ISNUMBER(L1574)),N(L1574)&lt;0))),"Durée invalide",IF(OR(AND(N1574&lt;&gt;"",OR(NOT(ISNUMBER(N1574)),N(N1574)&lt;0)),AND(P1574&lt;&gt;"",OR(NOT(ISNUMBER(P1574)),N(P1574)&lt;0))),"Coût invalide",IF(AND(M1574&lt;&gt;"",ISNA(MATCH(M1574,tech_name,0))),"Technicien inconnu",IF(AND(I1574="Terminée",S1574&gt;p_today),"Terminée à une date future",IF(AND(I1574="Terminée",V1574=0),"Durée d'intervention manquante",IF(AND(I1574="Terminée",E1574="Préventif",T1574=0,OR(IFERROR(INDEX(pl_trig,MATCH(F1574,pl_num,0))&amp;"","")="Compteur",IFERROR(INDEX(pl_trig,MATCH(F1574,pl_num,0))&amp;"","")="Au premier des deux")),"Compteur manquant (plan au compteur)","OK"))))))))))))))))))</f>
        <v/>
      </c>
      <c r="S1574" s="67">
        <f>IF(AND(ISNUMBER(B1574),N(B1574)&gt;0),INT(B1574),0)</f>
        <v>0.0</v>
      </c>
      <c r="T1574" s="67">
        <f>IF(AND(ISNUMBER(J1574),N(J1574)&gt;=0),N(J1574),0)</f>
        <v>0.0</v>
      </c>
      <c r="U1574" s="67">
        <f>IF(AND(ISNUMBER(K1574),N(K1574)&gt;0),N(K1574),0)</f>
        <v>0.0</v>
      </c>
      <c r="V1574" s="67">
        <f>IF(AND(ISNUMBER(L1574),N(L1574)&gt;0),N(L1574),0)</f>
        <v>0.0</v>
      </c>
      <c r="W1574" s="67">
        <f>IF(AND(I1574="Terminée",S1574&gt;0,C1574&lt;&gt;"",ISNUMBER(MATCH(C1574,eq_code,0))),1,0)</f>
        <v>0.0</v>
      </c>
      <c r="X1574" s="67">
        <f>IF(AND(W1574=1,E1574="Préventif"),1,0)</f>
        <v>0.0</v>
      </c>
      <c r="Y1574" s="67">
        <f>IF(AND(ISNUMBER(N1574),N(N1574)&gt;0),N(N1574),0)</f>
        <v>0.0</v>
      </c>
      <c r="Z1574" s="67">
        <f>IF(AND(ISNUMBER(P1574),N(P1574)&gt;0),N(P1574),0)</f>
        <v>0.0</v>
      </c>
    </row>
    <row r="1575">
      <c r="A1575" s="79" t="str">
        <f>IF(COUNTA(B1575:C1575,E1575:G1575,I1575)=0,"","BI-"&amp;RIGHT("0000"&amp;(ROW()-5),4))</f>
        <v/>
      </c>
      <c r="B1575" s="72" t="n"/>
      <c r="C1575" s="66" t="n"/>
      <c r="D1575" s="67" t="str">
        <f>IF(C1575="","",IFERROR(INDEX(eq_des,MATCH(C1575,eq_code,0))&amp;"","Équipement inconnu"))</f>
        <v/>
      </c>
      <c r="E1575" s="68" t="n"/>
      <c r="F1575" s="68" t="n"/>
      <c r="G1575" s="66" t="n"/>
      <c r="H1575" s="66" t="n"/>
      <c r="I1575" s="68" t="n"/>
      <c r="J1575" s="73" t="n"/>
      <c r="K1575" s="71" t="n"/>
      <c r="L1575" s="71" t="n"/>
      <c r="M1575" s="66" t="n"/>
      <c r="N1575" s="80" t="n"/>
      <c r="O1575" s="81" t="str">
        <f>IF(A1575="","",ROUND(V1575*IFERROR(N(INDEX(tech_rate,MATCH(M1575,tech_name,0))),0),2))</f>
        <v/>
      </c>
      <c r="P1575" s="80" t="n"/>
      <c r="Q1575" s="81" t="str">
        <f>IF(A1575="","",ROUND(Y1575+O1575+Z1575,2))</f>
        <v/>
      </c>
      <c r="R1575" s="79" t="str">
        <f>IF(A1575="","",IF(S1575=0,"Date manquante ou invalide",IF(C1575="","Équipement manquant",IF(ISNA(MATCH(C1575,eq_code,0)),"Équipement inconnu",IF(E1575="","Type manquant",IF(AND(E1575&lt;&gt;"Préventif",E1575&lt;&gt;"Correctif",E1575&lt;&gt;"Amélioratif"),"Type inconnu",IF(I1575="","Statut manquant",IF(AND(I1575&lt;&gt;"Terminée",I1575&lt;&gt;"En cours",I1575&lt;&gt;"À faire",I1575&lt;&gt;"Annulée"),"Statut inconnu",IF(AND(E1575="Préventif",F1575=""),"Plan manquant (préventif)",IF(AND(F1575&lt;&gt;"",ISNA(MATCH(F1575,pl_num,0))),"Plan inconnu",IF(AND(F1575&lt;&gt;"",IFERROR(INDEX(pl_eq,MATCH(F1575,pl_num,0))&amp;"",C1575)&lt;&gt;C1575),"Plan d'un autre équipement",IF(AND(J1575&lt;&gt;"",OR(NOT(ISNUMBER(J1575)),N(J1575)&lt;0)),"Compteur invalide",IF(OR(AND(K1575&lt;&gt;"",OR(NOT(ISNUMBER(K1575)),N(K1575)&lt;0)),AND(L1575&lt;&gt;"",OR(NOT(ISNUMBER(L1575)),N(L1575)&lt;0))),"Durée invalide",IF(OR(AND(N1575&lt;&gt;"",OR(NOT(ISNUMBER(N1575)),N(N1575)&lt;0)),AND(P1575&lt;&gt;"",OR(NOT(ISNUMBER(P1575)),N(P1575)&lt;0))),"Coût invalide",IF(AND(M1575&lt;&gt;"",ISNA(MATCH(M1575,tech_name,0))),"Technicien inconnu",IF(AND(I1575="Terminée",S1575&gt;p_today),"Terminée à une date future",IF(AND(I1575="Terminée",V1575=0),"Durée d'intervention manquante",IF(AND(I1575="Terminée",E1575="Préventif",T1575=0,OR(IFERROR(INDEX(pl_trig,MATCH(F1575,pl_num,0))&amp;"","")="Compteur",IFERROR(INDEX(pl_trig,MATCH(F1575,pl_num,0))&amp;"","")="Au premier des deux")),"Compteur manquant (plan au compteur)","OK"))))))))))))))))))</f>
        <v/>
      </c>
      <c r="S1575" s="67">
        <f>IF(AND(ISNUMBER(B1575),N(B1575)&gt;0),INT(B1575),0)</f>
        <v>0.0</v>
      </c>
      <c r="T1575" s="67">
        <f>IF(AND(ISNUMBER(J1575),N(J1575)&gt;=0),N(J1575),0)</f>
        <v>0.0</v>
      </c>
      <c r="U1575" s="67">
        <f>IF(AND(ISNUMBER(K1575),N(K1575)&gt;0),N(K1575),0)</f>
        <v>0.0</v>
      </c>
      <c r="V1575" s="67">
        <f>IF(AND(ISNUMBER(L1575),N(L1575)&gt;0),N(L1575),0)</f>
        <v>0.0</v>
      </c>
      <c r="W1575" s="67">
        <f>IF(AND(I1575="Terminée",S1575&gt;0,C1575&lt;&gt;"",ISNUMBER(MATCH(C1575,eq_code,0))),1,0)</f>
        <v>0.0</v>
      </c>
      <c r="X1575" s="67">
        <f>IF(AND(W1575=1,E1575="Préventif"),1,0)</f>
        <v>0.0</v>
      </c>
      <c r="Y1575" s="67">
        <f>IF(AND(ISNUMBER(N1575),N(N1575)&gt;0),N(N1575),0)</f>
        <v>0.0</v>
      </c>
      <c r="Z1575" s="67">
        <f>IF(AND(ISNUMBER(P1575),N(P1575)&gt;0),N(P1575),0)</f>
        <v>0.0</v>
      </c>
    </row>
    <row r="1576">
      <c r="A1576" s="79" t="str">
        <f>IF(COUNTA(B1576:C1576,E1576:G1576,I1576)=0,"","BI-"&amp;RIGHT("0000"&amp;(ROW()-5),4))</f>
        <v/>
      </c>
      <c r="B1576" s="72" t="n"/>
      <c r="C1576" s="66" t="n"/>
      <c r="D1576" s="67" t="str">
        <f>IF(C1576="","",IFERROR(INDEX(eq_des,MATCH(C1576,eq_code,0))&amp;"","Équipement inconnu"))</f>
        <v/>
      </c>
      <c r="E1576" s="68" t="n"/>
      <c r="F1576" s="68" t="n"/>
      <c r="G1576" s="66" t="n"/>
      <c r="H1576" s="66" t="n"/>
      <c r="I1576" s="68" t="n"/>
      <c r="J1576" s="73" t="n"/>
      <c r="K1576" s="71" t="n"/>
      <c r="L1576" s="71" t="n"/>
      <c r="M1576" s="66" t="n"/>
      <c r="N1576" s="80" t="n"/>
      <c r="O1576" s="81" t="str">
        <f>IF(A1576="","",ROUND(V1576*IFERROR(N(INDEX(tech_rate,MATCH(M1576,tech_name,0))),0),2))</f>
        <v/>
      </c>
      <c r="P1576" s="80" t="n"/>
      <c r="Q1576" s="81" t="str">
        <f>IF(A1576="","",ROUND(Y1576+O1576+Z1576,2))</f>
        <v/>
      </c>
      <c r="R1576" s="79" t="str">
        <f>IF(A1576="","",IF(S1576=0,"Date manquante ou invalide",IF(C1576="","Équipement manquant",IF(ISNA(MATCH(C1576,eq_code,0)),"Équipement inconnu",IF(E1576="","Type manquant",IF(AND(E1576&lt;&gt;"Préventif",E1576&lt;&gt;"Correctif",E1576&lt;&gt;"Amélioratif"),"Type inconnu",IF(I1576="","Statut manquant",IF(AND(I1576&lt;&gt;"Terminée",I1576&lt;&gt;"En cours",I1576&lt;&gt;"À faire",I1576&lt;&gt;"Annulée"),"Statut inconnu",IF(AND(E1576="Préventif",F1576=""),"Plan manquant (préventif)",IF(AND(F1576&lt;&gt;"",ISNA(MATCH(F1576,pl_num,0))),"Plan inconnu",IF(AND(F1576&lt;&gt;"",IFERROR(INDEX(pl_eq,MATCH(F1576,pl_num,0))&amp;"",C1576)&lt;&gt;C1576),"Plan d'un autre équipement",IF(AND(J1576&lt;&gt;"",OR(NOT(ISNUMBER(J1576)),N(J1576)&lt;0)),"Compteur invalide",IF(OR(AND(K1576&lt;&gt;"",OR(NOT(ISNUMBER(K1576)),N(K1576)&lt;0)),AND(L1576&lt;&gt;"",OR(NOT(ISNUMBER(L1576)),N(L1576)&lt;0))),"Durée invalide",IF(OR(AND(N1576&lt;&gt;"",OR(NOT(ISNUMBER(N1576)),N(N1576)&lt;0)),AND(P1576&lt;&gt;"",OR(NOT(ISNUMBER(P1576)),N(P1576)&lt;0))),"Coût invalide",IF(AND(M1576&lt;&gt;"",ISNA(MATCH(M1576,tech_name,0))),"Technicien inconnu",IF(AND(I1576="Terminée",S1576&gt;p_today),"Terminée à une date future",IF(AND(I1576="Terminée",V1576=0),"Durée d'intervention manquante",IF(AND(I1576="Terminée",E1576="Préventif",T1576=0,OR(IFERROR(INDEX(pl_trig,MATCH(F1576,pl_num,0))&amp;"","")="Compteur",IFERROR(INDEX(pl_trig,MATCH(F1576,pl_num,0))&amp;"","")="Au premier des deux")),"Compteur manquant (plan au compteur)","OK"))))))))))))))))))</f>
        <v/>
      </c>
      <c r="S1576" s="67">
        <f>IF(AND(ISNUMBER(B1576),N(B1576)&gt;0),INT(B1576),0)</f>
        <v>0.0</v>
      </c>
      <c r="T1576" s="67">
        <f>IF(AND(ISNUMBER(J1576),N(J1576)&gt;=0),N(J1576),0)</f>
        <v>0.0</v>
      </c>
      <c r="U1576" s="67">
        <f>IF(AND(ISNUMBER(K1576),N(K1576)&gt;0),N(K1576),0)</f>
        <v>0.0</v>
      </c>
      <c r="V1576" s="67">
        <f>IF(AND(ISNUMBER(L1576),N(L1576)&gt;0),N(L1576),0)</f>
        <v>0.0</v>
      </c>
      <c r="W1576" s="67">
        <f>IF(AND(I1576="Terminée",S1576&gt;0,C1576&lt;&gt;"",ISNUMBER(MATCH(C1576,eq_code,0))),1,0)</f>
        <v>0.0</v>
      </c>
      <c r="X1576" s="67">
        <f>IF(AND(W1576=1,E1576="Préventif"),1,0)</f>
        <v>0.0</v>
      </c>
      <c r="Y1576" s="67">
        <f>IF(AND(ISNUMBER(N1576),N(N1576)&gt;0),N(N1576),0)</f>
        <v>0.0</v>
      </c>
      <c r="Z1576" s="67">
        <f>IF(AND(ISNUMBER(P1576),N(P1576)&gt;0),N(P1576),0)</f>
        <v>0.0</v>
      </c>
    </row>
    <row r="1577">
      <c r="A1577" s="79" t="str">
        <f>IF(COUNTA(B1577:C1577,E1577:G1577,I1577)=0,"","BI-"&amp;RIGHT("0000"&amp;(ROW()-5),4))</f>
        <v/>
      </c>
      <c r="B1577" s="72" t="n"/>
      <c r="C1577" s="66" t="n"/>
      <c r="D1577" s="67" t="str">
        <f>IF(C1577="","",IFERROR(INDEX(eq_des,MATCH(C1577,eq_code,0))&amp;"","Équipement inconnu"))</f>
        <v/>
      </c>
      <c r="E1577" s="68" t="n"/>
      <c r="F1577" s="68" t="n"/>
      <c r="G1577" s="66" t="n"/>
      <c r="H1577" s="66" t="n"/>
      <c r="I1577" s="68" t="n"/>
      <c r="J1577" s="73" t="n"/>
      <c r="K1577" s="71" t="n"/>
      <c r="L1577" s="71" t="n"/>
      <c r="M1577" s="66" t="n"/>
      <c r="N1577" s="80" t="n"/>
      <c r="O1577" s="81" t="str">
        <f>IF(A1577="","",ROUND(V1577*IFERROR(N(INDEX(tech_rate,MATCH(M1577,tech_name,0))),0),2))</f>
        <v/>
      </c>
      <c r="P1577" s="80" t="n"/>
      <c r="Q1577" s="81" t="str">
        <f>IF(A1577="","",ROUND(Y1577+O1577+Z1577,2))</f>
        <v/>
      </c>
      <c r="R1577" s="79" t="str">
        <f>IF(A1577="","",IF(S1577=0,"Date manquante ou invalide",IF(C1577="","Équipement manquant",IF(ISNA(MATCH(C1577,eq_code,0)),"Équipement inconnu",IF(E1577="","Type manquant",IF(AND(E1577&lt;&gt;"Préventif",E1577&lt;&gt;"Correctif",E1577&lt;&gt;"Amélioratif"),"Type inconnu",IF(I1577="","Statut manquant",IF(AND(I1577&lt;&gt;"Terminée",I1577&lt;&gt;"En cours",I1577&lt;&gt;"À faire",I1577&lt;&gt;"Annulée"),"Statut inconnu",IF(AND(E1577="Préventif",F1577=""),"Plan manquant (préventif)",IF(AND(F1577&lt;&gt;"",ISNA(MATCH(F1577,pl_num,0))),"Plan inconnu",IF(AND(F1577&lt;&gt;"",IFERROR(INDEX(pl_eq,MATCH(F1577,pl_num,0))&amp;"",C1577)&lt;&gt;C1577),"Plan d'un autre équipement",IF(AND(J1577&lt;&gt;"",OR(NOT(ISNUMBER(J1577)),N(J1577)&lt;0)),"Compteur invalide",IF(OR(AND(K1577&lt;&gt;"",OR(NOT(ISNUMBER(K1577)),N(K1577)&lt;0)),AND(L1577&lt;&gt;"",OR(NOT(ISNUMBER(L1577)),N(L1577)&lt;0))),"Durée invalide",IF(OR(AND(N1577&lt;&gt;"",OR(NOT(ISNUMBER(N1577)),N(N1577)&lt;0)),AND(P1577&lt;&gt;"",OR(NOT(ISNUMBER(P1577)),N(P1577)&lt;0))),"Coût invalide",IF(AND(M1577&lt;&gt;"",ISNA(MATCH(M1577,tech_name,0))),"Technicien inconnu",IF(AND(I1577="Terminée",S1577&gt;p_today),"Terminée à une date future",IF(AND(I1577="Terminée",V1577=0),"Durée d'intervention manquante",IF(AND(I1577="Terminée",E1577="Préventif",T1577=0,OR(IFERROR(INDEX(pl_trig,MATCH(F1577,pl_num,0))&amp;"","")="Compteur",IFERROR(INDEX(pl_trig,MATCH(F1577,pl_num,0))&amp;"","")="Au premier des deux")),"Compteur manquant (plan au compteur)","OK"))))))))))))))))))</f>
        <v/>
      </c>
      <c r="S1577" s="67">
        <f>IF(AND(ISNUMBER(B1577),N(B1577)&gt;0),INT(B1577),0)</f>
        <v>0.0</v>
      </c>
      <c r="T1577" s="67">
        <f>IF(AND(ISNUMBER(J1577),N(J1577)&gt;=0),N(J1577),0)</f>
        <v>0.0</v>
      </c>
      <c r="U1577" s="67">
        <f>IF(AND(ISNUMBER(K1577),N(K1577)&gt;0),N(K1577),0)</f>
        <v>0.0</v>
      </c>
      <c r="V1577" s="67">
        <f>IF(AND(ISNUMBER(L1577),N(L1577)&gt;0),N(L1577),0)</f>
        <v>0.0</v>
      </c>
      <c r="W1577" s="67">
        <f>IF(AND(I1577="Terminée",S1577&gt;0,C1577&lt;&gt;"",ISNUMBER(MATCH(C1577,eq_code,0))),1,0)</f>
        <v>0.0</v>
      </c>
      <c r="X1577" s="67">
        <f>IF(AND(W1577=1,E1577="Préventif"),1,0)</f>
        <v>0.0</v>
      </c>
      <c r="Y1577" s="67">
        <f>IF(AND(ISNUMBER(N1577),N(N1577)&gt;0),N(N1577),0)</f>
        <v>0.0</v>
      </c>
      <c r="Z1577" s="67">
        <f>IF(AND(ISNUMBER(P1577),N(P1577)&gt;0),N(P1577),0)</f>
        <v>0.0</v>
      </c>
    </row>
    <row r="1578">
      <c r="A1578" s="79" t="str">
        <f>IF(COUNTA(B1578:C1578,E1578:G1578,I1578)=0,"","BI-"&amp;RIGHT("0000"&amp;(ROW()-5),4))</f>
        <v/>
      </c>
      <c r="B1578" s="72" t="n"/>
      <c r="C1578" s="66" t="n"/>
      <c r="D1578" s="67" t="str">
        <f>IF(C1578="","",IFERROR(INDEX(eq_des,MATCH(C1578,eq_code,0))&amp;"","Équipement inconnu"))</f>
        <v/>
      </c>
      <c r="E1578" s="68" t="n"/>
      <c r="F1578" s="68" t="n"/>
      <c r="G1578" s="66" t="n"/>
      <c r="H1578" s="66" t="n"/>
      <c r="I1578" s="68" t="n"/>
      <c r="J1578" s="73" t="n"/>
      <c r="K1578" s="71" t="n"/>
      <c r="L1578" s="71" t="n"/>
      <c r="M1578" s="66" t="n"/>
      <c r="N1578" s="80" t="n"/>
      <c r="O1578" s="81" t="str">
        <f>IF(A1578="","",ROUND(V1578*IFERROR(N(INDEX(tech_rate,MATCH(M1578,tech_name,0))),0),2))</f>
        <v/>
      </c>
      <c r="P1578" s="80" t="n"/>
      <c r="Q1578" s="81" t="str">
        <f>IF(A1578="","",ROUND(Y1578+O1578+Z1578,2))</f>
        <v/>
      </c>
      <c r="R1578" s="79" t="str">
        <f>IF(A1578="","",IF(S1578=0,"Date manquante ou invalide",IF(C1578="","Équipement manquant",IF(ISNA(MATCH(C1578,eq_code,0)),"Équipement inconnu",IF(E1578="","Type manquant",IF(AND(E1578&lt;&gt;"Préventif",E1578&lt;&gt;"Correctif",E1578&lt;&gt;"Amélioratif"),"Type inconnu",IF(I1578="","Statut manquant",IF(AND(I1578&lt;&gt;"Terminée",I1578&lt;&gt;"En cours",I1578&lt;&gt;"À faire",I1578&lt;&gt;"Annulée"),"Statut inconnu",IF(AND(E1578="Préventif",F1578=""),"Plan manquant (préventif)",IF(AND(F1578&lt;&gt;"",ISNA(MATCH(F1578,pl_num,0))),"Plan inconnu",IF(AND(F1578&lt;&gt;"",IFERROR(INDEX(pl_eq,MATCH(F1578,pl_num,0))&amp;"",C1578)&lt;&gt;C1578),"Plan d'un autre équipement",IF(AND(J1578&lt;&gt;"",OR(NOT(ISNUMBER(J1578)),N(J1578)&lt;0)),"Compteur invalide",IF(OR(AND(K1578&lt;&gt;"",OR(NOT(ISNUMBER(K1578)),N(K1578)&lt;0)),AND(L1578&lt;&gt;"",OR(NOT(ISNUMBER(L1578)),N(L1578)&lt;0))),"Durée invalide",IF(OR(AND(N1578&lt;&gt;"",OR(NOT(ISNUMBER(N1578)),N(N1578)&lt;0)),AND(P1578&lt;&gt;"",OR(NOT(ISNUMBER(P1578)),N(P1578)&lt;0))),"Coût invalide",IF(AND(M1578&lt;&gt;"",ISNA(MATCH(M1578,tech_name,0))),"Technicien inconnu",IF(AND(I1578="Terminée",S1578&gt;p_today),"Terminée à une date future",IF(AND(I1578="Terminée",V1578=0),"Durée d'intervention manquante",IF(AND(I1578="Terminée",E1578="Préventif",T1578=0,OR(IFERROR(INDEX(pl_trig,MATCH(F1578,pl_num,0))&amp;"","")="Compteur",IFERROR(INDEX(pl_trig,MATCH(F1578,pl_num,0))&amp;"","")="Au premier des deux")),"Compteur manquant (plan au compteur)","OK"))))))))))))))))))</f>
        <v/>
      </c>
      <c r="S1578" s="67">
        <f>IF(AND(ISNUMBER(B1578),N(B1578)&gt;0),INT(B1578),0)</f>
        <v>0.0</v>
      </c>
      <c r="T1578" s="67">
        <f>IF(AND(ISNUMBER(J1578),N(J1578)&gt;=0),N(J1578),0)</f>
        <v>0.0</v>
      </c>
      <c r="U1578" s="67">
        <f>IF(AND(ISNUMBER(K1578),N(K1578)&gt;0),N(K1578),0)</f>
        <v>0.0</v>
      </c>
      <c r="V1578" s="67">
        <f>IF(AND(ISNUMBER(L1578),N(L1578)&gt;0),N(L1578),0)</f>
        <v>0.0</v>
      </c>
      <c r="W1578" s="67">
        <f>IF(AND(I1578="Terminée",S1578&gt;0,C1578&lt;&gt;"",ISNUMBER(MATCH(C1578,eq_code,0))),1,0)</f>
        <v>0.0</v>
      </c>
      <c r="X1578" s="67">
        <f>IF(AND(W1578=1,E1578="Préventif"),1,0)</f>
        <v>0.0</v>
      </c>
      <c r="Y1578" s="67">
        <f>IF(AND(ISNUMBER(N1578),N(N1578)&gt;0),N(N1578),0)</f>
        <v>0.0</v>
      </c>
      <c r="Z1578" s="67">
        <f>IF(AND(ISNUMBER(P1578),N(P1578)&gt;0),N(P1578),0)</f>
        <v>0.0</v>
      </c>
    </row>
    <row r="1579">
      <c r="A1579" s="79" t="str">
        <f>IF(COUNTA(B1579:C1579,E1579:G1579,I1579)=0,"","BI-"&amp;RIGHT("0000"&amp;(ROW()-5),4))</f>
        <v/>
      </c>
      <c r="B1579" s="72" t="n"/>
      <c r="C1579" s="66" t="n"/>
      <c r="D1579" s="67" t="str">
        <f>IF(C1579="","",IFERROR(INDEX(eq_des,MATCH(C1579,eq_code,0))&amp;"","Équipement inconnu"))</f>
        <v/>
      </c>
      <c r="E1579" s="68" t="n"/>
      <c r="F1579" s="68" t="n"/>
      <c r="G1579" s="66" t="n"/>
      <c r="H1579" s="66" t="n"/>
      <c r="I1579" s="68" t="n"/>
      <c r="J1579" s="73" t="n"/>
      <c r="K1579" s="71" t="n"/>
      <c r="L1579" s="71" t="n"/>
      <c r="M1579" s="66" t="n"/>
      <c r="N1579" s="80" t="n"/>
      <c r="O1579" s="81" t="str">
        <f>IF(A1579="","",ROUND(V1579*IFERROR(N(INDEX(tech_rate,MATCH(M1579,tech_name,0))),0),2))</f>
        <v/>
      </c>
      <c r="P1579" s="80" t="n"/>
      <c r="Q1579" s="81" t="str">
        <f>IF(A1579="","",ROUND(Y1579+O1579+Z1579,2))</f>
        <v/>
      </c>
      <c r="R1579" s="79" t="str">
        <f>IF(A1579="","",IF(S1579=0,"Date manquante ou invalide",IF(C1579="","Équipement manquant",IF(ISNA(MATCH(C1579,eq_code,0)),"Équipement inconnu",IF(E1579="","Type manquant",IF(AND(E1579&lt;&gt;"Préventif",E1579&lt;&gt;"Correctif",E1579&lt;&gt;"Amélioratif"),"Type inconnu",IF(I1579="","Statut manquant",IF(AND(I1579&lt;&gt;"Terminée",I1579&lt;&gt;"En cours",I1579&lt;&gt;"À faire",I1579&lt;&gt;"Annulée"),"Statut inconnu",IF(AND(E1579="Préventif",F1579=""),"Plan manquant (préventif)",IF(AND(F1579&lt;&gt;"",ISNA(MATCH(F1579,pl_num,0))),"Plan inconnu",IF(AND(F1579&lt;&gt;"",IFERROR(INDEX(pl_eq,MATCH(F1579,pl_num,0))&amp;"",C1579)&lt;&gt;C1579),"Plan d'un autre équipement",IF(AND(J1579&lt;&gt;"",OR(NOT(ISNUMBER(J1579)),N(J1579)&lt;0)),"Compteur invalide",IF(OR(AND(K1579&lt;&gt;"",OR(NOT(ISNUMBER(K1579)),N(K1579)&lt;0)),AND(L1579&lt;&gt;"",OR(NOT(ISNUMBER(L1579)),N(L1579)&lt;0))),"Durée invalide",IF(OR(AND(N1579&lt;&gt;"",OR(NOT(ISNUMBER(N1579)),N(N1579)&lt;0)),AND(P1579&lt;&gt;"",OR(NOT(ISNUMBER(P1579)),N(P1579)&lt;0))),"Coût invalide",IF(AND(M1579&lt;&gt;"",ISNA(MATCH(M1579,tech_name,0))),"Technicien inconnu",IF(AND(I1579="Terminée",S1579&gt;p_today),"Terminée à une date future",IF(AND(I1579="Terminée",V1579=0),"Durée d'intervention manquante",IF(AND(I1579="Terminée",E1579="Préventif",T1579=0,OR(IFERROR(INDEX(pl_trig,MATCH(F1579,pl_num,0))&amp;"","")="Compteur",IFERROR(INDEX(pl_trig,MATCH(F1579,pl_num,0))&amp;"","")="Au premier des deux")),"Compteur manquant (plan au compteur)","OK"))))))))))))))))))</f>
        <v/>
      </c>
      <c r="S1579" s="67">
        <f>IF(AND(ISNUMBER(B1579),N(B1579)&gt;0),INT(B1579),0)</f>
        <v>0.0</v>
      </c>
      <c r="T1579" s="67">
        <f>IF(AND(ISNUMBER(J1579),N(J1579)&gt;=0),N(J1579),0)</f>
        <v>0.0</v>
      </c>
      <c r="U1579" s="67">
        <f>IF(AND(ISNUMBER(K1579),N(K1579)&gt;0),N(K1579),0)</f>
        <v>0.0</v>
      </c>
      <c r="V1579" s="67">
        <f>IF(AND(ISNUMBER(L1579),N(L1579)&gt;0),N(L1579),0)</f>
        <v>0.0</v>
      </c>
      <c r="W1579" s="67">
        <f>IF(AND(I1579="Terminée",S1579&gt;0,C1579&lt;&gt;"",ISNUMBER(MATCH(C1579,eq_code,0))),1,0)</f>
        <v>0.0</v>
      </c>
      <c r="X1579" s="67">
        <f>IF(AND(W1579=1,E1579="Préventif"),1,0)</f>
        <v>0.0</v>
      </c>
      <c r="Y1579" s="67">
        <f>IF(AND(ISNUMBER(N1579),N(N1579)&gt;0),N(N1579),0)</f>
        <v>0.0</v>
      </c>
      <c r="Z1579" s="67">
        <f>IF(AND(ISNUMBER(P1579),N(P1579)&gt;0),N(P1579),0)</f>
        <v>0.0</v>
      </c>
    </row>
    <row r="1580">
      <c r="A1580" s="79" t="str">
        <f>IF(COUNTA(B1580:C1580,E1580:G1580,I1580)=0,"","BI-"&amp;RIGHT("0000"&amp;(ROW()-5),4))</f>
        <v/>
      </c>
      <c r="B1580" s="72" t="n"/>
      <c r="C1580" s="66" t="n"/>
      <c r="D1580" s="67" t="str">
        <f>IF(C1580="","",IFERROR(INDEX(eq_des,MATCH(C1580,eq_code,0))&amp;"","Équipement inconnu"))</f>
        <v/>
      </c>
      <c r="E1580" s="68" t="n"/>
      <c r="F1580" s="68" t="n"/>
      <c r="G1580" s="66" t="n"/>
      <c r="H1580" s="66" t="n"/>
      <c r="I1580" s="68" t="n"/>
      <c r="J1580" s="73" t="n"/>
      <c r="K1580" s="71" t="n"/>
      <c r="L1580" s="71" t="n"/>
      <c r="M1580" s="66" t="n"/>
      <c r="N1580" s="80" t="n"/>
      <c r="O1580" s="81" t="str">
        <f>IF(A1580="","",ROUND(V1580*IFERROR(N(INDEX(tech_rate,MATCH(M1580,tech_name,0))),0),2))</f>
        <v/>
      </c>
      <c r="P1580" s="80" t="n"/>
      <c r="Q1580" s="81" t="str">
        <f>IF(A1580="","",ROUND(Y1580+O1580+Z1580,2))</f>
        <v/>
      </c>
      <c r="R1580" s="79" t="str">
        <f>IF(A1580="","",IF(S1580=0,"Date manquante ou invalide",IF(C1580="","Équipement manquant",IF(ISNA(MATCH(C1580,eq_code,0)),"Équipement inconnu",IF(E1580="","Type manquant",IF(AND(E1580&lt;&gt;"Préventif",E1580&lt;&gt;"Correctif",E1580&lt;&gt;"Amélioratif"),"Type inconnu",IF(I1580="","Statut manquant",IF(AND(I1580&lt;&gt;"Terminée",I1580&lt;&gt;"En cours",I1580&lt;&gt;"À faire",I1580&lt;&gt;"Annulée"),"Statut inconnu",IF(AND(E1580="Préventif",F1580=""),"Plan manquant (préventif)",IF(AND(F1580&lt;&gt;"",ISNA(MATCH(F1580,pl_num,0))),"Plan inconnu",IF(AND(F1580&lt;&gt;"",IFERROR(INDEX(pl_eq,MATCH(F1580,pl_num,0))&amp;"",C1580)&lt;&gt;C1580),"Plan d'un autre équipement",IF(AND(J1580&lt;&gt;"",OR(NOT(ISNUMBER(J1580)),N(J1580)&lt;0)),"Compteur invalide",IF(OR(AND(K1580&lt;&gt;"",OR(NOT(ISNUMBER(K1580)),N(K1580)&lt;0)),AND(L1580&lt;&gt;"",OR(NOT(ISNUMBER(L1580)),N(L1580)&lt;0))),"Durée invalide",IF(OR(AND(N1580&lt;&gt;"",OR(NOT(ISNUMBER(N1580)),N(N1580)&lt;0)),AND(P1580&lt;&gt;"",OR(NOT(ISNUMBER(P1580)),N(P1580)&lt;0))),"Coût invalide",IF(AND(M1580&lt;&gt;"",ISNA(MATCH(M1580,tech_name,0))),"Technicien inconnu",IF(AND(I1580="Terminée",S1580&gt;p_today),"Terminée à une date future",IF(AND(I1580="Terminée",V1580=0),"Durée d'intervention manquante",IF(AND(I1580="Terminée",E1580="Préventif",T1580=0,OR(IFERROR(INDEX(pl_trig,MATCH(F1580,pl_num,0))&amp;"","")="Compteur",IFERROR(INDEX(pl_trig,MATCH(F1580,pl_num,0))&amp;"","")="Au premier des deux")),"Compteur manquant (plan au compteur)","OK"))))))))))))))))))</f>
        <v/>
      </c>
      <c r="S1580" s="67">
        <f>IF(AND(ISNUMBER(B1580),N(B1580)&gt;0),INT(B1580),0)</f>
        <v>0.0</v>
      </c>
      <c r="T1580" s="67">
        <f>IF(AND(ISNUMBER(J1580),N(J1580)&gt;=0),N(J1580),0)</f>
        <v>0.0</v>
      </c>
      <c r="U1580" s="67">
        <f>IF(AND(ISNUMBER(K1580),N(K1580)&gt;0),N(K1580),0)</f>
        <v>0.0</v>
      </c>
      <c r="V1580" s="67">
        <f>IF(AND(ISNUMBER(L1580),N(L1580)&gt;0),N(L1580),0)</f>
        <v>0.0</v>
      </c>
      <c r="W1580" s="67">
        <f>IF(AND(I1580="Terminée",S1580&gt;0,C1580&lt;&gt;"",ISNUMBER(MATCH(C1580,eq_code,0))),1,0)</f>
        <v>0.0</v>
      </c>
      <c r="X1580" s="67">
        <f>IF(AND(W1580=1,E1580="Préventif"),1,0)</f>
        <v>0.0</v>
      </c>
      <c r="Y1580" s="67">
        <f>IF(AND(ISNUMBER(N1580),N(N1580)&gt;0),N(N1580),0)</f>
        <v>0.0</v>
      </c>
      <c r="Z1580" s="67">
        <f>IF(AND(ISNUMBER(P1580),N(P1580)&gt;0),N(P1580),0)</f>
        <v>0.0</v>
      </c>
    </row>
    <row r="1581">
      <c r="A1581" s="79" t="str">
        <f>IF(COUNTA(B1581:C1581,E1581:G1581,I1581)=0,"","BI-"&amp;RIGHT("0000"&amp;(ROW()-5),4))</f>
        <v/>
      </c>
      <c r="B1581" s="72" t="n"/>
      <c r="C1581" s="66" t="n"/>
      <c r="D1581" s="67" t="str">
        <f>IF(C1581="","",IFERROR(INDEX(eq_des,MATCH(C1581,eq_code,0))&amp;"","Équipement inconnu"))</f>
        <v/>
      </c>
      <c r="E1581" s="68" t="n"/>
      <c r="F1581" s="68" t="n"/>
      <c r="G1581" s="66" t="n"/>
      <c r="H1581" s="66" t="n"/>
      <c r="I1581" s="68" t="n"/>
      <c r="J1581" s="73" t="n"/>
      <c r="K1581" s="71" t="n"/>
      <c r="L1581" s="71" t="n"/>
      <c r="M1581" s="66" t="n"/>
      <c r="N1581" s="80" t="n"/>
      <c r="O1581" s="81" t="str">
        <f>IF(A1581="","",ROUND(V1581*IFERROR(N(INDEX(tech_rate,MATCH(M1581,tech_name,0))),0),2))</f>
        <v/>
      </c>
      <c r="P1581" s="80" t="n"/>
      <c r="Q1581" s="81" t="str">
        <f>IF(A1581="","",ROUND(Y1581+O1581+Z1581,2))</f>
        <v/>
      </c>
      <c r="R1581" s="79" t="str">
        <f>IF(A1581="","",IF(S1581=0,"Date manquante ou invalide",IF(C1581="","Équipement manquant",IF(ISNA(MATCH(C1581,eq_code,0)),"Équipement inconnu",IF(E1581="","Type manquant",IF(AND(E1581&lt;&gt;"Préventif",E1581&lt;&gt;"Correctif",E1581&lt;&gt;"Amélioratif"),"Type inconnu",IF(I1581="","Statut manquant",IF(AND(I1581&lt;&gt;"Terminée",I1581&lt;&gt;"En cours",I1581&lt;&gt;"À faire",I1581&lt;&gt;"Annulée"),"Statut inconnu",IF(AND(E1581="Préventif",F1581=""),"Plan manquant (préventif)",IF(AND(F1581&lt;&gt;"",ISNA(MATCH(F1581,pl_num,0))),"Plan inconnu",IF(AND(F1581&lt;&gt;"",IFERROR(INDEX(pl_eq,MATCH(F1581,pl_num,0))&amp;"",C1581)&lt;&gt;C1581),"Plan d'un autre équipement",IF(AND(J1581&lt;&gt;"",OR(NOT(ISNUMBER(J1581)),N(J1581)&lt;0)),"Compteur invalide",IF(OR(AND(K1581&lt;&gt;"",OR(NOT(ISNUMBER(K1581)),N(K1581)&lt;0)),AND(L1581&lt;&gt;"",OR(NOT(ISNUMBER(L1581)),N(L1581)&lt;0))),"Durée invalide",IF(OR(AND(N1581&lt;&gt;"",OR(NOT(ISNUMBER(N1581)),N(N1581)&lt;0)),AND(P1581&lt;&gt;"",OR(NOT(ISNUMBER(P1581)),N(P1581)&lt;0))),"Coût invalide",IF(AND(M1581&lt;&gt;"",ISNA(MATCH(M1581,tech_name,0))),"Technicien inconnu",IF(AND(I1581="Terminée",S1581&gt;p_today),"Terminée à une date future",IF(AND(I1581="Terminée",V1581=0),"Durée d'intervention manquante",IF(AND(I1581="Terminée",E1581="Préventif",T1581=0,OR(IFERROR(INDEX(pl_trig,MATCH(F1581,pl_num,0))&amp;"","")="Compteur",IFERROR(INDEX(pl_trig,MATCH(F1581,pl_num,0))&amp;"","")="Au premier des deux")),"Compteur manquant (plan au compteur)","OK"))))))))))))))))))</f>
        <v/>
      </c>
      <c r="S1581" s="67">
        <f>IF(AND(ISNUMBER(B1581),N(B1581)&gt;0),INT(B1581),0)</f>
        <v>0.0</v>
      </c>
      <c r="T1581" s="67">
        <f>IF(AND(ISNUMBER(J1581),N(J1581)&gt;=0),N(J1581),0)</f>
        <v>0.0</v>
      </c>
      <c r="U1581" s="67">
        <f>IF(AND(ISNUMBER(K1581),N(K1581)&gt;0),N(K1581),0)</f>
        <v>0.0</v>
      </c>
      <c r="V1581" s="67">
        <f>IF(AND(ISNUMBER(L1581),N(L1581)&gt;0),N(L1581),0)</f>
        <v>0.0</v>
      </c>
      <c r="W1581" s="67">
        <f>IF(AND(I1581="Terminée",S1581&gt;0,C1581&lt;&gt;"",ISNUMBER(MATCH(C1581,eq_code,0))),1,0)</f>
        <v>0.0</v>
      </c>
      <c r="X1581" s="67">
        <f>IF(AND(W1581=1,E1581="Préventif"),1,0)</f>
        <v>0.0</v>
      </c>
      <c r="Y1581" s="67">
        <f>IF(AND(ISNUMBER(N1581),N(N1581)&gt;0),N(N1581),0)</f>
        <v>0.0</v>
      </c>
      <c r="Z1581" s="67">
        <f>IF(AND(ISNUMBER(P1581),N(P1581)&gt;0),N(P1581),0)</f>
        <v>0.0</v>
      </c>
    </row>
    <row r="1582">
      <c r="A1582" s="79" t="str">
        <f>IF(COUNTA(B1582:C1582,E1582:G1582,I1582)=0,"","BI-"&amp;RIGHT("0000"&amp;(ROW()-5),4))</f>
        <v/>
      </c>
      <c r="B1582" s="72" t="n"/>
      <c r="C1582" s="66" t="n"/>
      <c r="D1582" s="67" t="str">
        <f>IF(C1582="","",IFERROR(INDEX(eq_des,MATCH(C1582,eq_code,0))&amp;"","Équipement inconnu"))</f>
        <v/>
      </c>
      <c r="E1582" s="68" t="n"/>
      <c r="F1582" s="68" t="n"/>
      <c r="G1582" s="66" t="n"/>
      <c r="H1582" s="66" t="n"/>
      <c r="I1582" s="68" t="n"/>
      <c r="J1582" s="73" t="n"/>
      <c r="K1582" s="71" t="n"/>
      <c r="L1582" s="71" t="n"/>
      <c r="M1582" s="66" t="n"/>
      <c r="N1582" s="80" t="n"/>
      <c r="O1582" s="81" t="str">
        <f>IF(A1582="","",ROUND(V1582*IFERROR(N(INDEX(tech_rate,MATCH(M1582,tech_name,0))),0),2))</f>
        <v/>
      </c>
      <c r="P1582" s="80" t="n"/>
      <c r="Q1582" s="81" t="str">
        <f>IF(A1582="","",ROUND(Y1582+O1582+Z1582,2))</f>
        <v/>
      </c>
      <c r="R1582" s="79" t="str">
        <f>IF(A1582="","",IF(S1582=0,"Date manquante ou invalide",IF(C1582="","Équipement manquant",IF(ISNA(MATCH(C1582,eq_code,0)),"Équipement inconnu",IF(E1582="","Type manquant",IF(AND(E1582&lt;&gt;"Préventif",E1582&lt;&gt;"Correctif",E1582&lt;&gt;"Amélioratif"),"Type inconnu",IF(I1582="","Statut manquant",IF(AND(I1582&lt;&gt;"Terminée",I1582&lt;&gt;"En cours",I1582&lt;&gt;"À faire",I1582&lt;&gt;"Annulée"),"Statut inconnu",IF(AND(E1582="Préventif",F1582=""),"Plan manquant (préventif)",IF(AND(F1582&lt;&gt;"",ISNA(MATCH(F1582,pl_num,0))),"Plan inconnu",IF(AND(F1582&lt;&gt;"",IFERROR(INDEX(pl_eq,MATCH(F1582,pl_num,0))&amp;"",C1582)&lt;&gt;C1582),"Plan d'un autre équipement",IF(AND(J1582&lt;&gt;"",OR(NOT(ISNUMBER(J1582)),N(J1582)&lt;0)),"Compteur invalide",IF(OR(AND(K1582&lt;&gt;"",OR(NOT(ISNUMBER(K1582)),N(K1582)&lt;0)),AND(L1582&lt;&gt;"",OR(NOT(ISNUMBER(L1582)),N(L1582)&lt;0))),"Durée invalide",IF(OR(AND(N1582&lt;&gt;"",OR(NOT(ISNUMBER(N1582)),N(N1582)&lt;0)),AND(P1582&lt;&gt;"",OR(NOT(ISNUMBER(P1582)),N(P1582)&lt;0))),"Coût invalide",IF(AND(M1582&lt;&gt;"",ISNA(MATCH(M1582,tech_name,0))),"Technicien inconnu",IF(AND(I1582="Terminée",S1582&gt;p_today),"Terminée à une date future",IF(AND(I1582="Terminée",V1582=0),"Durée d'intervention manquante",IF(AND(I1582="Terminée",E1582="Préventif",T1582=0,OR(IFERROR(INDEX(pl_trig,MATCH(F1582,pl_num,0))&amp;"","")="Compteur",IFERROR(INDEX(pl_trig,MATCH(F1582,pl_num,0))&amp;"","")="Au premier des deux")),"Compteur manquant (plan au compteur)","OK"))))))))))))))))))</f>
        <v/>
      </c>
      <c r="S1582" s="67">
        <f>IF(AND(ISNUMBER(B1582),N(B1582)&gt;0),INT(B1582),0)</f>
        <v>0.0</v>
      </c>
      <c r="T1582" s="67">
        <f>IF(AND(ISNUMBER(J1582),N(J1582)&gt;=0),N(J1582),0)</f>
        <v>0.0</v>
      </c>
      <c r="U1582" s="67">
        <f>IF(AND(ISNUMBER(K1582),N(K1582)&gt;0),N(K1582),0)</f>
        <v>0.0</v>
      </c>
      <c r="V1582" s="67">
        <f>IF(AND(ISNUMBER(L1582),N(L1582)&gt;0),N(L1582),0)</f>
        <v>0.0</v>
      </c>
      <c r="W1582" s="67">
        <f>IF(AND(I1582="Terminée",S1582&gt;0,C1582&lt;&gt;"",ISNUMBER(MATCH(C1582,eq_code,0))),1,0)</f>
        <v>0.0</v>
      </c>
      <c r="X1582" s="67">
        <f>IF(AND(W1582=1,E1582="Préventif"),1,0)</f>
        <v>0.0</v>
      </c>
      <c r="Y1582" s="67">
        <f>IF(AND(ISNUMBER(N1582),N(N1582)&gt;0),N(N1582),0)</f>
        <v>0.0</v>
      </c>
      <c r="Z1582" s="67">
        <f>IF(AND(ISNUMBER(P1582),N(P1582)&gt;0),N(P1582),0)</f>
        <v>0.0</v>
      </c>
    </row>
    <row r="1583">
      <c r="A1583" s="79" t="str">
        <f>IF(COUNTA(B1583:C1583,E1583:G1583,I1583)=0,"","BI-"&amp;RIGHT("0000"&amp;(ROW()-5),4))</f>
        <v/>
      </c>
      <c r="B1583" s="72" t="n"/>
      <c r="C1583" s="66" t="n"/>
      <c r="D1583" s="67" t="str">
        <f>IF(C1583="","",IFERROR(INDEX(eq_des,MATCH(C1583,eq_code,0))&amp;"","Équipement inconnu"))</f>
        <v/>
      </c>
      <c r="E1583" s="68" t="n"/>
      <c r="F1583" s="68" t="n"/>
      <c r="G1583" s="66" t="n"/>
      <c r="H1583" s="66" t="n"/>
      <c r="I1583" s="68" t="n"/>
      <c r="J1583" s="73" t="n"/>
      <c r="K1583" s="71" t="n"/>
      <c r="L1583" s="71" t="n"/>
      <c r="M1583" s="66" t="n"/>
      <c r="N1583" s="80" t="n"/>
      <c r="O1583" s="81" t="str">
        <f>IF(A1583="","",ROUND(V1583*IFERROR(N(INDEX(tech_rate,MATCH(M1583,tech_name,0))),0),2))</f>
        <v/>
      </c>
      <c r="P1583" s="80" t="n"/>
      <c r="Q1583" s="81" t="str">
        <f>IF(A1583="","",ROUND(Y1583+O1583+Z1583,2))</f>
        <v/>
      </c>
      <c r="R1583" s="79" t="str">
        <f>IF(A1583="","",IF(S1583=0,"Date manquante ou invalide",IF(C1583="","Équipement manquant",IF(ISNA(MATCH(C1583,eq_code,0)),"Équipement inconnu",IF(E1583="","Type manquant",IF(AND(E1583&lt;&gt;"Préventif",E1583&lt;&gt;"Correctif",E1583&lt;&gt;"Amélioratif"),"Type inconnu",IF(I1583="","Statut manquant",IF(AND(I1583&lt;&gt;"Terminée",I1583&lt;&gt;"En cours",I1583&lt;&gt;"À faire",I1583&lt;&gt;"Annulée"),"Statut inconnu",IF(AND(E1583="Préventif",F1583=""),"Plan manquant (préventif)",IF(AND(F1583&lt;&gt;"",ISNA(MATCH(F1583,pl_num,0))),"Plan inconnu",IF(AND(F1583&lt;&gt;"",IFERROR(INDEX(pl_eq,MATCH(F1583,pl_num,0))&amp;"",C1583)&lt;&gt;C1583),"Plan d'un autre équipement",IF(AND(J1583&lt;&gt;"",OR(NOT(ISNUMBER(J1583)),N(J1583)&lt;0)),"Compteur invalide",IF(OR(AND(K1583&lt;&gt;"",OR(NOT(ISNUMBER(K1583)),N(K1583)&lt;0)),AND(L1583&lt;&gt;"",OR(NOT(ISNUMBER(L1583)),N(L1583)&lt;0))),"Durée invalide",IF(OR(AND(N1583&lt;&gt;"",OR(NOT(ISNUMBER(N1583)),N(N1583)&lt;0)),AND(P1583&lt;&gt;"",OR(NOT(ISNUMBER(P1583)),N(P1583)&lt;0))),"Coût invalide",IF(AND(M1583&lt;&gt;"",ISNA(MATCH(M1583,tech_name,0))),"Technicien inconnu",IF(AND(I1583="Terminée",S1583&gt;p_today),"Terminée à une date future",IF(AND(I1583="Terminée",V1583=0),"Durée d'intervention manquante",IF(AND(I1583="Terminée",E1583="Préventif",T1583=0,OR(IFERROR(INDEX(pl_trig,MATCH(F1583,pl_num,0))&amp;"","")="Compteur",IFERROR(INDEX(pl_trig,MATCH(F1583,pl_num,0))&amp;"","")="Au premier des deux")),"Compteur manquant (plan au compteur)","OK"))))))))))))))))))</f>
        <v/>
      </c>
      <c r="S1583" s="67">
        <f>IF(AND(ISNUMBER(B1583),N(B1583)&gt;0),INT(B1583),0)</f>
        <v>0.0</v>
      </c>
      <c r="T1583" s="67">
        <f>IF(AND(ISNUMBER(J1583),N(J1583)&gt;=0),N(J1583),0)</f>
        <v>0.0</v>
      </c>
      <c r="U1583" s="67">
        <f>IF(AND(ISNUMBER(K1583),N(K1583)&gt;0),N(K1583),0)</f>
        <v>0.0</v>
      </c>
      <c r="V1583" s="67">
        <f>IF(AND(ISNUMBER(L1583),N(L1583)&gt;0),N(L1583),0)</f>
        <v>0.0</v>
      </c>
      <c r="W1583" s="67">
        <f>IF(AND(I1583="Terminée",S1583&gt;0,C1583&lt;&gt;"",ISNUMBER(MATCH(C1583,eq_code,0))),1,0)</f>
        <v>0.0</v>
      </c>
      <c r="X1583" s="67">
        <f>IF(AND(W1583=1,E1583="Préventif"),1,0)</f>
        <v>0.0</v>
      </c>
      <c r="Y1583" s="67">
        <f>IF(AND(ISNUMBER(N1583),N(N1583)&gt;0),N(N1583),0)</f>
        <v>0.0</v>
      </c>
      <c r="Z1583" s="67">
        <f>IF(AND(ISNUMBER(P1583),N(P1583)&gt;0),N(P1583),0)</f>
        <v>0.0</v>
      </c>
    </row>
    <row r="1584">
      <c r="A1584" s="79" t="str">
        <f>IF(COUNTA(B1584:C1584,E1584:G1584,I1584)=0,"","BI-"&amp;RIGHT("0000"&amp;(ROW()-5),4))</f>
        <v/>
      </c>
      <c r="B1584" s="72" t="n"/>
      <c r="C1584" s="66" t="n"/>
      <c r="D1584" s="67" t="str">
        <f>IF(C1584="","",IFERROR(INDEX(eq_des,MATCH(C1584,eq_code,0))&amp;"","Équipement inconnu"))</f>
        <v/>
      </c>
      <c r="E1584" s="68" t="n"/>
      <c r="F1584" s="68" t="n"/>
      <c r="G1584" s="66" t="n"/>
      <c r="H1584" s="66" t="n"/>
      <c r="I1584" s="68" t="n"/>
      <c r="J1584" s="73" t="n"/>
      <c r="K1584" s="71" t="n"/>
      <c r="L1584" s="71" t="n"/>
      <c r="M1584" s="66" t="n"/>
      <c r="N1584" s="80" t="n"/>
      <c r="O1584" s="81" t="str">
        <f>IF(A1584="","",ROUND(V1584*IFERROR(N(INDEX(tech_rate,MATCH(M1584,tech_name,0))),0),2))</f>
        <v/>
      </c>
      <c r="P1584" s="80" t="n"/>
      <c r="Q1584" s="81" t="str">
        <f>IF(A1584="","",ROUND(Y1584+O1584+Z1584,2))</f>
        <v/>
      </c>
      <c r="R1584" s="79" t="str">
        <f>IF(A1584="","",IF(S1584=0,"Date manquante ou invalide",IF(C1584="","Équipement manquant",IF(ISNA(MATCH(C1584,eq_code,0)),"Équipement inconnu",IF(E1584="","Type manquant",IF(AND(E1584&lt;&gt;"Préventif",E1584&lt;&gt;"Correctif",E1584&lt;&gt;"Amélioratif"),"Type inconnu",IF(I1584="","Statut manquant",IF(AND(I1584&lt;&gt;"Terminée",I1584&lt;&gt;"En cours",I1584&lt;&gt;"À faire",I1584&lt;&gt;"Annulée"),"Statut inconnu",IF(AND(E1584="Préventif",F1584=""),"Plan manquant (préventif)",IF(AND(F1584&lt;&gt;"",ISNA(MATCH(F1584,pl_num,0))),"Plan inconnu",IF(AND(F1584&lt;&gt;"",IFERROR(INDEX(pl_eq,MATCH(F1584,pl_num,0))&amp;"",C1584)&lt;&gt;C1584),"Plan d'un autre équipement",IF(AND(J1584&lt;&gt;"",OR(NOT(ISNUMBER(J1584)),N(J1584)&lt;0)),"Compteur invalide",IF(OR(AND(K1584&lt;&gt;"",OR(NOT(ISNUMBER(K1584)),N(K1584)&lt;0)),AND(L1584&lt;&gt;"",OR(NOT(ISNUMBER(L1584)),N(L1584)&lt;0))),"Durée invalide",IF(OR(AND(N1584&lt;&gt;"",OR(NOT(ISNUMBER(N1584)),N(N1584)&lt;0)),AND(P1584&lt;&gt;"",OR(NOT(ISNUMBER(P1584)),N(P1584)&lt;0))),"Coût invalide",IF(AND(M1584&lt;&gt;"",ISNA(MATCH(M1584,tech_name,0))),"Technicien inconnu",IF(AND(I1584="Terminée",S1584&gt;p_today),"Terminée à une date future",IF(AND(I1584="Terminée",V1584=0),"Durée d'intervention manquante",IF(AND(I1584="Terminée",E1584="Préventif",T1584=0,OR(IFERROR(INDEX(pl_trig,MATCH(F1584,pl_num,0))&amp;"","")="Compteur",IFERROR(INDEX(pl_trig,MATCH(F1584,pl_num,0))&amp;"","")="Au premier des deux")),"Compteur manquant (plan au compteur)","OK"))))))))))))))))))</f>
        <v/>
      </c>
      <c r="S1584" s="67">
        <f>IF(AND(ISNUMBER(B1584),N(B1584)&gt;0),INT(B1584),0)</f>
        <v>0.0</v>
      </c>
      <c r="T1584" s="67">
        <f>IF(AND(ISNUMBER(J1584),N(J1584)&gt;=0),N(J1584),0)</f>
        <v>0.0</v>
      </c>
      <c r="U1584" s="67">
        <f>IF(AND(ISNUMBER(K1584),N(K1584)&gt;0),N(K1584),0)</f>
        <v>0.0</v>
      </c>
      <c r="V1584" s="67">
        <f>IF(AND(ISNUMBER(L1584),N(L1584)&gt;0),N(L1584),0)</f>
        <v>0.0</v>
      </c>
      <c r="W1584" s="67">
        <f>IF(AND(I1584="Terminée",S1584&gt;0,C1584&lt;&gt;"",ISNUMBER(MATCH(C1584,eq_code,0))),1,0)</f>
        <v>0.0</v>
      </c>
      <c r="X1584" s="67">
        <f>IF(AND(W1584=1,E1584="Préventif"),1,0)</f>
        <v>0.0</v>
      </c>
      <c r="Y1584" s="67">
        <f>IF(AND(ISNUMBER(N1584),N(N1584)&gt;0),N(N1584),0)</f>
        <v>0.0</v>
      </c>
      <c r="Z1584" s="67">
        <f>IF(AND(ISNUMBER(P1584),N(P1584)&gt;0),N(P1584),0)</f>
        <v>0.0</v>
      </c>
    </row>
    <row r="1585">
      <c r="A1585" s="79" t="str">
        <f>IF(COUNTA(B1585:C1585,E1585:G1585,I1585)=0,"","BI-"&amp;RIGHT("0000"&amp;(ROW()-5),4))</f>
        <v/>
      </c>
      <c r="B1585" s="72" t="n"/>
      <c r="C1585" s="66" t="n"/>
      <c r="D1585" s="67" t="str">
        <f>IF(C1585="","",IFERROR(INDEX(eq_des,MATCH(C1585,eq_code,0))&amp;"","Équipement inconnu"))</f>
        <v/>
      </c>
      <c r="E1585" s="68" t="n"/>
      <c r="F1585" s="68" t="n"/>
      <c r="G1585" s="66" t="n"/>
      <c r="H1585" s="66" t="n"/>
      <c r="I1585" s="68" t="n"/>
      <c r="J1585" s="73" t="n"/>
      <c r="K1585" s="71" t="n"/>
      <c r="L1585" s="71" t="n"/>
      <c r="M1585" s="66" t="n"/>
      <c r="N1585" s="80" t="n"/>
      <c r="O1585" s="81" t="str">
        <f>IF(A1585="","",ROUND(V1585*IFERROR(N(INDEX(tech_rate,MATCH(M1585,tech_name,0))),0),2))</f>
        <v/>
      </c>
      <c r="P1585" s="80" t="n"/>
      <c r="Q1585" s="81" t="str">
        <f>IF(A1585="","",ROUND(Y1585+O1585+Z1585,2))</f>
        <v/>
      </c>
      <c r="R1585" s="79" t="str">
        <f>IF(A1585="","",IF(S1585=0,"Date manquante ou invalide",IF(C1585="","Équipement manquant",IF(ISNA(MATCH(C1585,eq_code,0)),"Équipement inconnu",IF(E1585="","Type manquant",IF(AND(E1585&lt;&gt;"Préventif",E1585&lt;&gt;"Correctif",E1585&lt;&gt;"Amélioratif"),"Type inconnu",IF(I1585="","Statut manquant",IF(AND(I1585&lt;&gt;"Terminée",I1585&lt;&gt;"En cours",I1585&lt;&gt;"À faire",I1585&lt;&gt;"Annulée"),"Statut inconnu",IF(AND(E1585="Préventif",F1585=""),"Plan manquant (préventif)",IF(AND(F1585&lt;&gt;"",ISNA(MATCH(F1585,pl_num,0))),"Plan inconnu",IF(AND(F1585&lt;&gt;"",IFERROR(INDEX(pl_eq,MATCH(F1585,pl_num,0))&amp;"",C1585)&lt;&gt;C1585),"Plan d'un autre équipement",IF(AND(J1585&lt;&gt;"",OR(NOT(ISNUMBER(J1585)),N(J1585)&lt;0)),"Compteur invalide",IF(OR(AND(K1585&lt;&gt;"",OR(NOT(ISNUMBER(K1585)),N(K1585)&lt;0)),AND(L1585&lt;&gt;"",OR(NOT(ISNUMBER(L1585)),N(L1585)&lt;0))),"Durée invalide",IF(OR(AND(N1585&lt;&gt;"",OR(NOT(ISNUMBER(N1585)),N(N1585)&lt;0)),AND(P1585&lt;&gt;"",OR(NOT(ISNUMBER(P1585)),N(P1585)&lt;0))),"Coût invalide",IF(AND(M1585&lt;&gt;"",ISNA(MATCH(M1585,tech_name,0))),"Technicien inconnu",IF(AND(I1585="Terminée",S1585&gt;p_today),"Terminée à une date future",IF(AND(I1585="Terminée",V1585=0),"Durée d'intervention manquante",IF(AND(I1585="Terminée",E1585="Préventif",T1585=0,OR(IFERROR(INDEX(pl_trig,MATCH(F1585,pl_num,0))&amp;"","")="Compteur",IFERROR(INDEX(pl_trig,MATCH(F1585,pl_num,0))&amp;"","")="Au premier des deux")),"Compteur manquant (plan au compteur)","OK"))))))))))))))))))</f>
        <v/>
      </c>
      <c r="S1585" s="67">
        <f>IF(AND(ISNUMBER(B1585),N(B1585)&gt;0),INT(B1585),0)</f>
        <v>0.0</v>
      </c>
      <c r="T1585" s="67">
        <f>IF(AND(ISNUMBER(J1585),N(J1585)&gt;=0),N(J1585),0)</f>
        <v>0.0</v>
      </c>
      <c r="U1585" s="67">
        <f>IF(AND(ISNUMBER(K1585),N(K1585)&gt;0),N(K1585),0)</f>
        <v>0.0</v>
      </c>
      <c r="V1585" s="67">
        <f>IF(AND(ISNUMBER(L1585),N(L1585)&gt;0),N(L1585),0)</f>
        <v>0.0</v>
      </c>
      <c r="W1585" s="67">
        <f>IF(AND(I1585="Terminée",S1585&gt;0,C1585&lt;&gt;"",ISNUMBER(MATCH(C1585,eq_code,0))),1,0)</f>
        <v>0.0</v>
      </c>
      <c r="X1585" s="67">
        <f>IF(AND(W1585=1,E1585="Préventif"),1,0)</f>
        <v>0.0</v>
      </c>
      <c r="Y1585" s="67">
        <f>IF(AND(ISNUMBER(N1585),N(N1585)&gt;0),N(N1585),0)</f>
        <v>0.0</v>
      </c>
      <c r="Z1585" s="67">
        <f>IF(AND(ISNUMBER(P1585),N(P1585)&gt;0),N(P1585),0)</f>
        <v>0.0</v>
      </c>
    </row>
    <row r="1586">
      <c r="A1586" s="79" t="str">
        <f>IF(COUNTA(B1586:C1586,E1586:G1586,I1586)=0,"","BI-"&amp;RIGHT("0000"&amp;(ROW()-5),4))</f>
        <v/>
      </c>
      <c r="B1586" s="72" t="n"/>
      <c r="C1586" s="66" t="n"/>
      <c r="D1586" s="67" t="str">
        <f>IF(C1586="","",IFERROR(INDEX(eq_des,MATCH(C1586,eq_code,0))&amp;"","Équipement inconnu"))</f>
        <v/>
      </c>
      <c r="E1586" s="68" t="n"/>
      <c r="F1586" s="68" t="n"/>
      <c r="G1586" s="66" t="n"/>
      <c r="H1586" s="66" t="n"/>
      <c r="I1586" s="68" t="n"/>
      <c r="J1586" s="73" t="n"/>
      <c r="K1586" s="71" t="n"/>
      <c r="L1586" s="71" t="n"/>
      <c r="M1586" s="66" t="n"/>
      <c r="N1586" s="80" t="n"/>
      <c r="O1586" s="81" t="str">
        <f>IF(A1586="","",ROUND(V1586*IFERROR(N(INDEX(tech_rate,MATCH(M1586,tech_name,0))),0),2))</f>
        <v/>
      </c>
      <c r="P1586" s="80" t="n"/>
      <c r="Q1586" s="81" t="str">
        <f>IF(A1586="","",ROUND(Y1586+O1586+Z1586,2))</f>
        <v/>
      </c>
      <c r="R1586" s="79" t="str">
        <f>IF(A1586="","",IF(S1586=0,"Date manquante ou invalide",IF(C1586="","Équipement manquant",IF(ISNA(MATCH(C1586,eq_code,0)),"Équipement inconnu",IF(E1586="","Type manquant",IF(AND(E1586&lt;&gt;"Préventif",E1586&lt;&gt;"Correctif",E1586&lt;&gt;"Amélioratif"),"Type inconnu",IF(I1586="","Statut manquant",IF(AND(I1586&lt;&gt;"Terminée",I1586&lt;&gt;"En cours",I1586&lt;&gt;"À faire",I1586&lt;&gt;"Annulée"),"Statut inconnu",IF(AND(E1586="Préventif",F1586=""),"Plan manquant (préventif)",IF(AND(F1586&lt;&gt;"",ISNA(MATCH(F1586,pl_num,0))),"Plan inconnu",IF(AND(F1586&lt;&gt;"",IFERROR(INDEX(pl_eq,MATCH(F1586,pl_num,0))&amp;"",C1586)&lt;&gt;C1586),"Plan d'un autre équipement",IF(AND(J1586&lt;&gt;"",OR(NOT(ISNUMBER(J1586)),N(J1586)&lt;0)),"Compteur invalide",IF(OR(AND(K1586&lt;&gt;"",OR(NOT(ISNUMBER(K1586)),N(K1586)&lt;0)),AND(L1586&lt;&gt;"",OR(NOT(ISNUMBER(L1586)),N(L1586)&lt;0))),"Durée invalide",IF(OR(AND(N1586&lt;&gt;"",OR(NOT(ISNUMBER(N1586)),N(N1586)&lt;0)),AND(P1586&lt;&gt;"",OR(NOT(ISNUMBER(P1586)),N(P1586)&lt;0))),"Coût invalide",IF(AND(M1586&lt;&gt;"",ISNA(MATCH(M1586,tech_name,0))),"Technicien inconnu",IF(AND(I1586="Terminée",S1586&gt;p_today),"Terminée à une date future",IF(AND(I1586="Terminée",V1586=0),"Durée d'intervention manquante",IF(AND(I1586="Terminée",E1586="Préventif",T1586=0,OR(IFERROR(INDEX(pl_trig,MATCH(F1586,pl_num,0))&amp;"","")="Compteur",IFERROR(INDEX(pl_trig,MATCH(F1586,pl_num,0))&amp;"","")="Au premier des deux")),"Compteur manquant (plan au compteur)","OK"))))))))))))))))))</f>
        <v/>
      </c>
      <c r="S1586" s="67">
        <f>IF(AND(ISNUMBER(B1586),N(B1586)&gt;0),INT(B1586),0)</f>
        <v>0.0</v>
      </c>
      <c r="T1586" s="67">
        <f>IF(AND(ISNUMBER(J1586),N(J1586)&gt;=0),N(J1586),0)</f>
        <v>0.0</v>
      </c>
      <c r="U1586" s="67">
        <f>IF(AND(ISNUMBER(K1586),N(K1586)&gt;0),N(K1586),0)</f>
        <v>0.0</v>
      </c>
      <c r="V1586" s="67">
        <f>IF(AND(ISNUMBER(L1586),N(L1586)&gt;0),N(L1586),0)</f>
        <v>0.0</v>
      </c>
      <c r="W1586" s="67">
        <f>IF(AND(I1586="Terminée",S1586&gt;0,C1586&lt;&gt;"",ISNUMBER(MATCH(C1586,eq_code,0))),1,0)</f>
        <v>0.0</v>
      </c>
      <c r="X1586" s="67">
        <f>IF(AND(W1586=1,E1586="Préventif"),1,0)</f>
        <v>0.0</v>
      </c>
      <c r="Y1586" s="67">
        <f>IF(AND(ISNUMBER(N1586),N(N1586)&gt;0),N(N1586),0)</f>
        <v>0.0</v>
      </c>
      <c r="Z1586" s="67">
        <f>IF(AND(ISNUMBER(P1586),N(P1586)&gt;0),N(P1586),0)</f>
        <v>0.0</v>
      </c>
    </row>
    <row r="1587">
      <c r="A1587" s="79" t="str">
        <f>IF(COUNTA(B1587:C1587,E1587:G1587,I1587)=0,"","BI-"&amp;RIGHT("0000"&amp;(ROW()-5),4))</f>
        <v/>
      </c>
      <c r="B1587" s="72" t="n"/>
      <c r="C1587" s="66" t="n"/>
      <c r="D1587" s="67" t="str">
        <f>IF(C1587="","",IFERROR(INDEX(eq_des,MATCH(C1587,eq_code,0))&amp;"","Équipement inconnu"))</f>
        <v/>
      </c>
      <c r="E1587" s="68" t="n"/>
      <c r="F1587" s="68" t="n"/>
      <c r="G1587" s="66" t="n"/>
      <c r="H1587" s="66" t="n"/>
      <c r="I1587" s="68" t="n"/>
      <c r="J1587" s="73" t="n"/>
      <c r="K1587" s="71" t="n"/>
      <c r="L1587" s="71" t="n"/>
      <c r="M1587" s="66" t="n"/>
      <c r="N1587" s="80" t="n"/>
      <c r="O1587" s="81" t="str">
        <f>IF(A1587="","",ROUND(V1587*IFERROR(N(INDEX(tech_rate,MATCH(M1587,tech_name,0))),0),2))</f>
        <v/>
      </c>
      <c r="P1587" s="80" t="n"/>
      <c r="Q1587" s="81" t="str">
        <f>IF(A1587="","",ROUND(Y1587+O1587+Z1587,2))</f>
        <v/>
      </c>
      <c r="R1587" s="79" t="str">
        <f>IF(A1587="","",IF(S1587=0,"Date manquante ou invalide",IF(C1587="","Équipement manquant",IF(ISNA(MATCH(C1587,eq_code,0)),"Équipement inconnu",IF(E1587="","Type manquant",IF(AND(E1587&lt;&gt;"Préventif",E1587&lt;&gt;"Correctif",E1587&lt;&gt;"Amélioratif"),"Type inconnu",IF(I1587="","Statut manquant",IF(AND(I1587&lt;&gt;"Terminée",I1587&lt;&gt;"En cours",I1587&lt;&gt;"À faire",I1587&lt;&gt;"Annulée"),"Statut inconnu",IF(AND(E1587="Préventif",F1587=""),"Plan manquant (préventif)",IF(AND(F1587&lt;&gt;"",ISNA(MATCH(F1587,pl_num,0))),"Plan inconnu",IF(AND(F1587&lt;&gt;"",IFERROR(INDEX(pl_eq,MATCH(F1587,pl_num,0))&amp;"",C1587)&lt;&gt;C1587),"Plan d'un autre équipement",IF(AND(J1587&lt;&gt;"",OR(NOT(ISNUMBER(J1587)),N(J1587)&lt;0)),"Compteur invalide",IF(OR(AND(K1587&lt;&gt;"",OR(NOT(ISNUMBER(K1587)),N(K1587)&lt;0)),AND(L1587&lt;&gt;"",OR(NOT(ISNUMBER(L1587)),N(L1587)&lt;0))),"Durée invalide",IF(OR(AND(N1587&lt;&gt;"",OR(NOT(ISNUMBER(N1587)),N(N1587)&lt;0)),AND(P1587&lt;&gt;"",OR(NOT(ISNUMBER(P1587)),N(P1587)&lt;0))),"Coût invalide",IF(AND(M1587&lt;&gt;"",ISNA(MATCH(M1587,tech_name,0))),"Technicien inconnu",IF(AND(I1587="Terminée",S1587&gt;p_today),"Terminée à une date future",IF(AND(I1587="Terminée",V1587=0),"Durée d'intervention manquante",IF(AND(I1587="Terminée",E1587="Préventif",T1587=0,OR(IFERROR(INDEX(pl_trig,MATCH(F1587,pl_num,0))&amp;"","")="Compteur",IFERROR(INDEX(pl_trig,MATCH(F1587,pl_num,0))&amp;"","")="Au premier des deux")),"Compteur manquant (plan au compteur)","OK"))))))))))))))))))</f>
        <v/>
      </c>
      <c r="S1587" s="67">
        <f>IF(AND(ISNUMBER(B1587),N(B1587)&gt;0),INT(B1587),0)</f>
        <v>0.0</v>
      </c>
      <c r="T1587" s="67">
        <f>IF(AND(ISNUMBER(J1587),N(J1587)&gt;=0),N(J1587),0)</f>
        <v>0.0</v>
      </c>
      <c r="U1587" s="67">
        <f>IF(AND(ISNUMBER(K1587),N(K1587)&gt;0),N(K1587),0)</f>
        <v>0.0</v>
      </c>
      <c r="V1587" s="67">
        <f>IF(AND(ISNUMBER(L1587),N(L1587)&gt;0),N(L1587),0)</f>
        <v>0.0</v>
      </c>
      <c r="W1587" s="67">
        <f>IF(AND(I1587="Terminée",S1587&gt;0,C1587&lt;&gt;"",ISNUMBER(MATCH(C1587,eq_code,0))),1,0)</f>
        <v>0.0</v>
      </c>
      <c r="X1587" s="67">
        <f>IF(AND(W1587=1,E1587="Préventif"),1,0)</f>
        <v>0.0</v>
      </c>
      <c r="Y1587" s="67">
        <f>IF(AND(ISNUMBER(N1587),N(N1587)&gt;0),N(N1587),0)</f>
        <v>0.0</v>
      </c>
      <c r="Z1587" s="67">
        <f>IF(AND(ISNUMBER(P1587),N(P1587)&gt;0),N(P1587),0)</f>
        <v>0.0</v>
      </c>
    </row>
    <row r="1588">
      <c r="A1588" s="79" t="str">
        <f>IF(COUNTA(B1588:C1588,E1588:G1588,I1588)=0,"","BI-"&amp;RIGHT("0000"&amp;(ROW()-5),4))</f>
        <v/>
      </c>
      <c r="B1588" s="72" t="n"/>
      <c r="C1588" s="66" t="n"/>
      <c r="D1588" s="67" t="str">
        <f>IF(C1588="","",IFERROR(INDEX(eq_des,MATCH(C1588,eq_code,0))&amp;"","Équipement inconnu"))</f>
        <v/>
      </c>
      <c r="E1588" s="68" t="n"/>
      <c r="F1588" s="68" t="n"/>
      <c r="G1588" s="66" t="n"/>
      <c r="H1588" s="66" t="n"/>
      <c r="I1588" s="68" t="n"/>
      <c r="J1588" s="73" t="n"/>
      <c r="K1588" s="71" t="n"/>
      <c r="L1588" s="71" t="n"/>
      <c r="M1588" s="66" t="n"/>
      <c r="N1588" s="80" t="n"/>
      <c r="O1588" s="81" t="str">
        <f>IF(A1588="","",ROUND(V1588*IFERROR(N(INDEX(tech_rate,MATCH(M1588,tech_name,0))),0),2))</f>
        <v/>
      </c>
      <c r="P1588" s="80" t="n"/>
      <c r="Q1588" s="81" t="str">
        <f>IF(A1588="","",ROUND(Y1588+O1588+Z1588,2))</f>
        <v/>
      </c>
      <c r="R1588" s="79" t="str">
        <f>IF(A1588="","",IF(S1588=0,"Date manquante ou invalide",IF(C1588="","Équipement manquant",IF(ISNA(MATCH(C1588,eq_code,0)),"Équipement inconnu",IF(E1588="","Type manquant",IF(AND(E1588&lt;&gt;"Préventif",E1588&lt;&gt;"Correctif",E1588&lt;&gt;"Amélioratif"),"Type inconnu",IF(I1588="","Statut manquant",IF(AND(I1588&lt;&gt;"Terminée",I1588&lt;&gt;"En cours",I1588&lt;&gt;"À faire",I1588&lt;&gt;"Annulée"),"Statut inconnu",IF(AND(E1588="Préventif",F1588=""),"Plan manquant (préventif)",IF(AND(F1588&lt;&gt;"",ISNA(MATCH(F1588,pl_num,0))),"Plan inconnu",IF(AND(F1588&lt;&gt;"",IFERROR(INDEX(pl_eq,MATCH(F1588,pl_num,0))&amp;"",C1588)&lt;&gt;C1588),"Plan d'un autre équipement",IF(AND(J1588&lt;&gt;"",OR(NOT(ISNUMBER(J1588)),N(J1588)&lt;0)),"Compteur invalide",IF(OR(AND(K1588&lt;&gt;"",OR(NOT(ISNUMBER(K1588)),N(K1588)&lt;0)),AND(L1588&lt;&gt;"",OR(NOT(ISNUMBER(L1588)),N(L1588)&lt;0))),"Durée invalide",IF(OR(AND(N1588&lt;&gt;"",OR(NOT(ISNUMBER(N1588)),N(N1588)&lt;0)),AND(P1588&lt;&gt;"",OR(NOT(ISNUMBER(P1588)),N(P1588)&lt;0))),"Coût invalide",IF(AND(M1588&lt;&gt;"",ISNA(MATCH(M1588,tech_name,0))),"Technicien inconnu",IF(AND(I1588="Terminée",S1588&gt;p_today),"Terminée à une date future",IF(AND(I1588="Terminée",V1588=0),"Durée d'intervention manquante",IF(AND(I1588="Terminée",E1588="Préventif",T1588=0,OR(IFERROR(INDEX(pl_trig,MATCH(F1588,pl_num,0))&amp;"","")="Compteur",IFERROR(INDEX(pl_trig,MATCH(F1588,pl_num,0))&amp;"","")="Au premier des deux")),"Compteur manquant (plan au compteur)","OK"))))))))))))))))))</f>
        <v/>
      </c>
      <c r="S1588" s="67">
        <f>IF(AND(ISNUMBER(B1588),N(B1588)&gt;0),INT(B1588),0)</f>
        <v>0.0</v>
      </c>
      <c r="T1588" s="67">
        <f>IF(AND(ISNUMBER(J1588),N(J1588)&gt;=0),N(J1588),0)</f>
        <v>0.0</v>
      </c>
      <c r="U1588" s="67">
        <f>IF(AND(ISNUMBER(K1588),N(K1588)&gt;0),N(K1588),0)</f>
        <v>0.0</v>
      </c>
      <c r="V1588" s="67">
        <f>IF(AND(ISNUMBER(L1588),N(L1588)&gt;0),N(L1588),0)</f>
        <v>0.0</v>
      </c>
      <c r="W1588" s="67">
        <f>IF(AND(I1588="Terminée",S1588&gt;0,C1588&lt;&gt;"",ISNUMBER(MATCH(C1588,eq_code,0))),1,0)</f>
        <v>0.0</v>
      </c>
      <c r="X1588" s="67">
        <f>IF(AND(W1588=1,E1588="Préventif"),1,0)</f>
        <v>0.0</v>
      </c>
      <c r="Y1588" s="67">
        <f>IF(AND(ISNUMBER(N1588),N(N1588)&gt;0),N(N1588),0)</f>
        <v>0.0</v>
      </c>
      <c r="Z1588" s="67">
        <f>IF(AND(ISNUMBER(P1588),N(P1588)&gt;0),N(P1588),0)</f>
        <v>0.0</v>
      </c>
    </row>
    <row r="1589">
      <c r="A1589" s="79" t="str">
        <f>IF(COUNTA(B1589:C1589,E1589:G1589,I1589)=0,"","BI-"&amp;RIGHT("0000"&amp;(ROW()-5),4))</f>
        <v/>
      </c>
      <c r="B1589" s="72" t="n"/>
      <c r="C1589" s="66" t="n"/>
      <c r="D1589" s="67" t="str">
        <f>IF(C1589="","",IFERROR(INDEX(eq_des,MATCH(C1589,eq_code,0))&amp;"","Équipement inconnu"))</f>
        <v/>
      </c>
      <c r="E1589" s="68" t="n"/>
      <c r="F1589" s="68" t="n"/>
      <c r="G1589" s="66" t="n"/>
      <c r="H1589" s="66" t="n"/>
      <c r="I1589" s="68" t="n"/>
      <c r="J1589" s="73" t="n"/>
      <c r="K1589" s="71" t="n"/>
      <c r="L1589" s="71" t="n"/>
      <c r="M1589" s="66" t="n"/>
      <c r="N1589" s="80" t="n"/>
      <c r="O1589" s="81" t="str">
        <f>IF(A1589="","",ROUND(V1589*IFERROR(N(INDEX(tech_rate,MATCH(M1589,tech_name,0))),0),2))</f>
        <v/>
      </c>
      <c r="P1589" s="80" t="n"/>
      <c r="Q1589" s="81" t="str">
        <f>IF(A1589="","",ROUND(Y1589+O1589+Z1589,2))</f>
        <v/>
      </c>
      <c r="R1589" s="79" t="str">
        <f>IF(A1589="","",IF(S1589=0,"Date manquante ou invalide",IF(C1589="","Équipement manquant",IF(ISNA(MATCH(C1589,eq_code,0)),"Équipement inconnu",IF(E1589="","Type manquant",IF(AND(E1589&lt;&gt;"Préventif",E1589&lt;&gt;"Correctif",E1589&lt;&gt;"Amélioratif"),"Type inconnu",IF(I1589="","Statut manquant",IF(AND(I1589&lt;&gt;"Terminée",I1589&lt;&gt;"En cours",I1589&lt;&gt;"À faire",I1589&lt;&gt;"Annulée"),"Statut inconnu",IF(AND(E1589="Préventif",F1589=""),"Plan manquant (préventif)",IF(AND(F1589&lt;&gt;"",ISNA(MATCH(F1589,pl_num,0))),"Plan inconnu",IF(AND(F1589&lt;&gt;"",IFERROR(INDEX(pl_eq,MATCH(F1589,pl_num,0))&amp;"",C1589)&lt;&gt;C1589),"Plan d'un autre équipement",IF(AND(J1589&lt;&gt;"",OR(NOT(ISNUMBER(J1589)),N(J1589)&lt;0)),"Compteur invalide",IF(OR(AND(K1589&lt;&gt;"",OR(NOT(ISNUMBER(K1589)),N(K1589)&lt;0)),AND(L1589&lt;&gt;"",OR(NOT(ISNUMBER(L1589)),N(L1589)&lt;0))),"Durée invalide",IF(OR(AND(N1589&lt;&gt;"",OR(NOT(ISNUMBER(N1589)),N(N1589)&lt;0)),AND(P1589&lt;&gt;"",OR(NOT(ISNUMBER(P1589)),N(P1589)&lt;0))),"Coût invalide",IF(AND(M1589&lt;&gt;"",ISNA(MATCH(M1589,tech_name,0))),"Technicien inconnu",IF(AND(I1589="Terminée",S1589&gt;p_today),"Terminée à une date future",IF(AND(I1589="Terminée",V1589=0),"Durée d'intervention manquante",IF(AND(I1589="Terminée",E1589="Préventif",T1589=0,OR(IFERROR(INDEX(pl_trig,MATCH(F1589,pl_num,0))&amp;"","")="Compteur",IFERROR(INDEX(pl_trig,MATCH(F1589,pl_num,0))&amp;"","")="Au premier des deux")),"Compteur manquant (plan au compteur)","OK"))))))))))))))))))</f>
        <v/>
      </c>
      <c r="S1589" s="67">
        <f>IF(AND(ISNUMBER(B1589),N(B1589)&gt;0),INT(B1589),0)</f>
        <v>0.0</v>
      </c>
      <c r="T1589" s="67">
        <f>IF(AND(ISNUMBER(J1589),N(J1589)&gt;=0),N(J1589),0)</f>
        <v>0.0</v>
      </c>
      <c r="U1589" s="67">
        <f>IF(AND(ISNUMBER(K1589),N(K1589)&gt;0),N(K1589),0)</f>
        <v>0.0</v>
      </c>
      <c r="V1589" s="67">
        <f>IF(AND(ISNUMBER(L1589),N(L1589)&gt;0),N(L1589),0)</f>
        <v>0.0</v>
      </c>
      <c r="W1589" s="67">
        <f>IF(AND(I1589="Terminée",S1589&gt;0,C1589&lt;&gt;"",ISNUMBER(MATCH(C1589,eq_code,0))),1,0)</f>
        <v>0.0</v>
      </c>
      <c r="X1589" s="67">
        <f>IF(AND(W1589=1,E1589="Préventif"),1,0)</f>
        <v>0.0</v>
      </c>
      <c r="Y1589" s="67">
        <f>IF(AND(ISNUMBER(N1589),N(N1589)&gt;0),N(N1589),0)</f>
        <v>0.0</v>
      </c>
      <c r="Z1589" s="67">
        <f>IF(AND(ISNUMBER(P1589),N(P1589)&gt;0),N(P1589),0)</f>
        <v>0.0</v>
      </c>
    </row>
    <row r="1590">
      <c r="A1590" s="79" t="str">
        <f>IF(COUNTA(B1590:C1590,E1590:G1590,I1590)=0,"","BI-"&amp;RIGHT("0000"&amp;(ROW()-5),4))</f>
        <v/>
      </c>
      <c r="B1590" s="72" t="n"/>
      <c r="C1590" s="66" t="n"/>
      <c r="D1590" s="67" t="str">
        <f>IF(C1590="","",IFERROR(INDEX(eq_des,MATCH(C1590,eq_code,0))&amp;"","Équipement inconnu"))</f>
        <v/>
      </c>
      <c r="E1590" s="68" t="n"/>
      <c r="F1590" s="68" t="n"/>
      <c r="G1590" s="66" t="n"/>
      <c r="H1590" s="66" t="n"/>
      <c r="I1590" s="68" t="n"/>
      <c r="J1590" s="73" t="n"/>
      <c r="K1590" s="71" t="n"/>
      <c r="L1590" s="71" t="n"/>
      <c r="M1590" s="66" t="n"/>
      <c r="N1590" s="80" t="n"/>
      <c r="O1590" s="81" t="str">
        <f>IF(A1590="","",ROUND(V1590*IFERROR(N(INDEX(tech_rate,MATCH(M1590,tech_name,0))),0),2))</f>
        <v/>
      </c>
      <c r="P1590" s="80" t="n"/>
      <c r="Q1590" s="81" t="str">
        <f>IF(A1590="","",ROUND(Y1590+O1590+Z1590,2))</f>
        <v/>
      </c>
      <c r="R1590" s="79" t="str">
        <f>IF(A1590="","",IF(S1590=0,"Date manquante ou invalide",IF(C1590="","Équipement manquant",IF(ISNA(MATCH(C1590,eq_code,0)),"Équipement inconnu",IF(E1590="","Type manquant",IF(AND(E1590&lt;&gt;"Préventif",E1590&lt;&gt;"Correctif",E1590&lt;&gt;"Amélioratif"),"Type inconnu",IF(I1590="","Statut manquant",IF(AND(I1590&lt;&gt;"Terminée",I1590&lt;&gt;"En cours",I1590&lt;&gt;"À faire",I1590&lt;&gt;"Annulée"),"Statut inconnu",IF(AND(E1590="Préventif",F1590=""),"Plan manquant (préventif)",IF(AND(F1590&lt;&gt;"",ISNA(MATCH(F1590,pl_num,0))),"Plan inconnu",IF(AND(F1590&lt;&gt;"",IFERROR(INDEX(pl_eq,MATCH(F1590,pl_num,0))&amp;"",C1590)&lt;&gt;C1590),"Plan d'un autre équipement",IF(AND(J1590&lt;&gt;"",OR(NOT(ISNUMBER(J1590)),N(J1590)&lt;0)),"Compteur invalide",IF(OR(AND(K1590&lt;&gt;"",OR(NOT(ISNUMBER(K1590)),N(K1590)&lt;0)),AND(L1590&lt;&gt;"",OR(NOT(ISNUMBER(L1590)),N(L1590)&lt;0))),"Durée invalide",IF(OR(AND(N1590&lt;&gt;"",OR(NOT(ISNUMBER(N1590)),N(N1590)&lt;0)),AND(P1590&lt;&gt;"",OR(NOT(ISNUMBER(P1590)),N(P1590)&lt;0))),"Coût invalide",IF(AND(M1590&lt;&gt;"",ISNA(MATCH(M1590,tech_name,0))),"Technicien inconnu",IF(AND(I1590="Terminée",S1590&gt;p_today),"Terminée à une date future",IF(AND(I1590="Terminée",V1590=0),"Durée d'intervention manquante",IF(AND(I1590="Terminée",E1590="Préventif",T1590=0,OR(IFERROR(INDEX(pl_trig,MATCH(F1590,pl_num,0))&amp;"","")="Compteur",IFERROR(INDEX(pl_trig,MATCH(F1590,pl_num,0))&amp;"","")="Au premier des deux")),"Compteur manquant (plan au compteur)","OK"))))))))))))))))))</f>
        <v/>
      </c>
      <c r="S1590" s="67">
        <f>IF(AND(ISNUMBER(B1590),N(B1590)&gt;0),INT(B1590),0)</f>
        <v>0.0</v>
      </c>
      <c r="T1590" s="67">
        <f>IF(AND(ISNUMBER(J1590),N(J1590)&gt;=0),N(J1590),0)</f>
        <v>0.0</v>
      </c>
      <c r="U1590" s="67">
        <f>IF(AND(ISNUMBER(K1590),N(K1590)&gt;0),N(K1590),0)</f>
        <v>0.0</v>
      </c>
      <c r="V1590" s="67">
        <f>IF(AND(ISNUMBER(L1590),N(L1590)&gt;0),N(L1590),0)</f>
        <v>0.0</v>
      </c>
      <c r="W1590" s="67">
        <f>IF(AND(I1590="Terminée",S1590&gt;0,C1590&lt;&gt;"",ISNUMBER(MATCH(C1590,eq_code,0))),1,0)</f>
        <v>0.0</v>
      </c>
      <c r="X1590" s="67">
        <f>IF(AND(W1590=1,E1590="Préventif"),1,0)</f>
        <v>0.0</v>
      </c>
      <c r="Y1590" s="67">
        <f>IF(AND(ISNUMBER(N1590),N(N1590)&gt;0),N(N1590),0)</f>
        <v>0.0</v>
      </c>
      <c r="Z1590" s="67">
        <f>IF(AND(ISNUMBER(P1590),N(P1590)&gt;0),N(P1590),0)</f>
        <v>0.0</v>
      </c>
    </row>
    <row r="1591">
      <c r="A1591" s="79" t="str">
        <f>IF(COUNTA(B1591:C1591,E1591:G1591,I1591)=0,"","BI-"&amp;RIGHT("0000"&amp;(ROW()-5),4))</f>
        <v/>
      </c>
      <c r="B1591" s="72" t="n"/>
      <c r="C1591" s="66" t="n"/>
      <c r="D1591" s="67" t="str">
        <f>IF(C1591="","",IFERROR(INDEX(eq_des,MATCH(C1591,eq_code,0))&amp;"","Équipement inconnu"))</f>
        <v/>
      </c>
      <c r="E1591" s="68" t="n"/>
      <c r="F1591" s="68" t="n"/>
      <c r="G1591" s="66" t="n"/>
      <c r="H1591" s="66" t="n"/>
      <c r="I1591" s="68" t="n"/>
      <c r="J1591" s="73" t="n"/>
      <c r="K1591" s="71" t="n"/>
      <c r="L1591" s="71" t="n"/>
      <c r="M1591" s="66" t="n"/>
      <c r="N1591" s="80" t="n"/>
      <c r="O1591" s="81" t="str">
        <f>IF(A1591="","",ROUND(V1591*IFERROR(N(INDEX(tech_rate,MATCH(M1591,tech_name,0))),0),2))</f>
        <v/>
      </c>
      <c r="P1591" s="80" t="n"/>
      <c r="Q1591" s="81" t="str">
        <f>IF(A1591="","",ROUND(Y1591+O1591+Z1591,2))</f>
        <v/>
      </c>
      <c r="R1591" s="79" t="str">
        <f>IF(A1591="","",IF(S1591=0,"Date manquante ou invalide",IF(C1591="","Équipement manquant",IF(ISNA(MATCH(C1591,eq_code,0)),"Équipement inconnu",IF(E1591="","Type manquant",IF(AND(E1591&lt;&gt;"Préventif",E1591&lt;&gt;"Correctif",E1591&lt;&gt;"Amélioratif"),"Type inconnu",IF(I1591="","Statut manquant",IF(AND(I1591&lt;&gt;"Terminée",I1591&lt;&gt;"En cours",I1591&lt;&gt;"À faire",I1591&lt;&gt;"Annulée"),"Statut inconnu",IF(AND(E1591="Préventif",F1591=""),"Plan manquant (préventif)",IF(AND(F1591&lt;&gt;"",ISNA(MATCH(F1591,pl_num,0))),"Plan inconnu",IF(AND(F1591&lt;&gt;"",IFERROR(INDEX(pl_eq,MATCH(F1591,pl_num,0))&amp;"",C1591)&lt;&gt;C1591),"Plan d'un autre équipement",IF(AND(J1591&lt;&gt;"",OR(NOT(ISNUMBER(J1591)),N(J1591)&lt;0)),"Compteur invalide",IF(OR(AND(K1591&lt;&gt;"",OR(NOT(ISNUMBER(K1591)),N(K1591)&lt;0)),AND(L1591&lt;&gt;"",OR(NOT(ISNUMBER(L1591)),N(L1591)&lt;0))),"Durée invalide",IF(OR(AND(N1591&lt;&gt;"",OR(NOT(ISNUMBER(N1591)),N(N1591)&lt;0)),AND(P1591&lt;&gt;"",OR(NOT(ISNUMBER(P1591)),N(P1591)&lt;0))),"Coût invalide",IF(AND(M1591&lt;&gt;"",ISNA(MATCH(M1591,tech_name,0))),"Technicien inconnu",IF(AND(I1591="Terminée",S1591&gt;p_today),"Terminée à une date future",IF(AND(I1591="Terminée",V1591=0),"Durée d'intervention manquante",IF(AND(I1591="Terminée",E1591="Préventif",T1591=0,OR(IFERROR(INDEX(pl_trig,MATCH(F1591,pl_num,0))&amp;"","")="Compteur",IFERROR(INDEX(pl_trig,MATCH(F1591,pl_num,0))&amp;"","")="Au premier des deux")),"Compteur manquant (plan au compteur)","OK"))))))))))))))))))</f>
        <v/>
      </c>
      <c r="S1591" s="67">
        <f>IF(AND(ISNUMBER(B1591),N(B1591)&gt;0),INT(B1591),0)</f>
        <v>0.0</v>
      </c>
      <c r="T1591" s="67">
        <f>IF(AND(ISNUMBER(J1591),N(J1591)&gt;=0),N(J1591),0)</f>
        <v>0.0</v>
      </c>
      <c r="U1591" s="67">
        <f>IF(AND(ISNUMBER(K1591),N(K1591)&gt;0),N(K1591),0)</f>
        <v>0.0</v>
      </c>
      <c r="V1591" s="67">
        <f>IF(AND(ISNUMBER(L1591),N(L1591)&gt;0),N(L1591),0)</f>
        <v>0.0</v>
      </c>
      <c r="W1591" s="67">
        <f>IF(AND(I1591="Terminée",S1591&gt;0,C1591&lt;&gt;"",ISNUMBER(MATCH(C1591,eq_code,0))),1,0)</f>
        <v>0.0</v>
      </c>
      <c r="X1591" s="67">
        <f>IF(AND(W1591=1,E1591="Préventif"),1,0)</f>
        <v>0.0</v>
      </c>
      <c r="Y1591" s="67">
        <f>IF(AND(ISNUMBER(N1591),N(N1591)&gt;0),N(N1591),0)</f>
        <v>0.0</v>
      </c>
      <c r="Z1591" s="67">
        <f>IF(AND(ISNUMBER(P1591),N(P1591)&gt;0),N(P1591),0)</f>
        <v>0.0</v>
      </c>
    </row>
    <row r="1592">
      <c r="A1592" s="79" t="str">
        <f>IF(COUNTA(B1592:C1592,E1592:G1592,I1592)=0,"","BI-"&amp;RIGHT("0000"&amp;(ROW()-5),4))</f>
        <v/>
      </c>
      <c r="B1592" s="72" t="n"/>
      <c r="C1592" s="66" t="n"/>
      <c r="D1592" s="67" t="str">
        <f>IF(C1592="","",IFERROR(INDEX(eq_des,MATCH(C1592,eq_code,0))&amp;"","Équipement inconnu"))</f>
        <v/>
      </c>
      <c r="E1592" s="68" t="n"/>
      <c r="F1592" s="68" t="n"/>
      <c r="G1592" s="66" t="n"/>
      <c r="H1592" s="66" t="n"/>
      <c r="I1592" s="68" t="n"/>
      <c r="J1592" s="73" t="n"/>
      <c r="K1592" s="71" t="n"/>
      <c r="L1592" s="71" t="n"/>
      <c r="M1592" s="66" t="n"/>
      <c r="N1592" s="80" t="n"/>
      <c r="O1592" s="81" t="str">
        <f>IF(A1592="","",ROUND(V1592*IFERROR(N(INDEX(tech_rate,MATCH(M1592,tech_name,0))),0),2))</f>
        <v/>
      </c>
      <c r="P1592" s="80" t="n"/>
      <c r="Q1592" s="81" t="str">
        <f>IF(A1592="","",ROUND(Y1592+O1592+Z1592,2))</f>
        <v/>
      </c>
      <c r="R1592" s="79" t="str">
        <f>IF(A1592="","",IF(S1592=0,"Date manquante ou invalide",IF(C1592="","Équipement manquant",IF(ISNA(MATCH(C1592,eq_code,0)),"Équipement inconnu",IF(E1592="","Type manquant",IF(AND(E1592&lt;&gt;"Préventif",E1592&lt;&gt;"Correctif",E1592&lt;&gt;"Amélioratif"),"Type inconnu",IF(I1592="","Statut manquant",IF(AND(I1592&lt;&gt;"Terminée",I1592&lt;&gt;"En cours",I1592&lt;&gt;"À faire",I1592&lt;&gt;"Annulée"),"Statut inconnu",IF(AND(E1592="Préventif",F1592=""),"Plan manquant (préventif)",IF(AND(F1592&lt;&gt;"",ISNA(MATCH(F1592,pl_num,0))),"Plan inconnu",IF(AND(F1592&lt;&gt;"",IFERROR(INDEX(pl_eq,MATCH(F1592,pl_num,0))&amp;"",C1592)&lt;&gt;C1592),"Plan d'un autre équipement",IF(AND(J1592&lt;&gt;"",OR(NOT(ISNUMBER(J1592)),N(J1592)&lt;0)),"Compteur invalide",IF(OR(AND(K1592&lt;&gt;"",OR(NOT(ISNUMBER(K1592)),N(K1592)&lt;0)),AND(L1592&lt;&gt;"",OR(NOT(ISNUMBER(L1592)),N(L1592)&lt;0))),"Durée invalide",IF(OR(AND(N1592&lt;&gt;"",OR(NOT(ISNUMBER(N1592)),N(N1592)&lt;0)),AND(P1592&lt;&gt;"",OR(NOT(ISNUMBER(P1592)),N(P1592)&lt;0))),"Coût invalide",IF(AND(M1592&lt;&gt;"",ISNA(MATCH(M1592,tech_name,0))),"Technicien inconnu",IF(AND(I1592="Terminée",S1592&gt;p_today),"Terminée à une date future",IF(AND(I1592="Terminée",V1592=0),"Durée d'intervention manquante",IF(AND(I1592="Terminée",E1592="Préventif",T1592=0,OR(IFERROR(INDEX(pl_trig,MATCH(F1592,pl_num,0))&amp;"","")="Compteur",IFERROR(INDEX(pl_trig,MATCH(F1592,pl_num,0))&amp;"","")="Au premier des deux")),"Compteur manquant (plan au compteur)","OK"))))))))))))))))))</f>
        <v/>
      </c>
      <c r="S1592" s="67">
        <f>IF(AND(ISNUMBER(B1592),N(B1592)&gt;0),INT(B1592),0)</f>
        <v>0.0</v>
      </c>
      <c r="T1592" s="67">
        <f>IF(AND(ISNUMBER(J1592),N(J1592)&gt;=0),N(J1592),0)</f>
        <v>0.0</v>
      </c>
      <c r="U1592" s="67">
        <f>IF(AND(ISNUMBER(K1592),N(K1592)&gt;0),N(K1592),0)</f>
        <v>0.0</v>
      </c>
      <c r="V1592" s="67">
        <f>IF(AND(ISNUMBER(L1592),N(L1592)&gt;0),N(L1592),0)</f>
        <v>0.0</v>
      </c>
      <c r="W1592" s="67">
        <f>IF(AND(I1592="Terminée",S1592&gt;0,C1592&lt;&gt;"",ISNUMBER(MATCH(C1592,eq_code,0))),1,0)</f>
        <v>0.0</v>
      </c>
      <c r="X1592" s="67">
        <f>IF(AND(W1592=1,E1592="Préventif"),1,0)</f>
        <v>0.0</v>
      </c>
      <c r="Y1592" s="67">
        <f>IF(AND(ISNUMBER(N1592),N(N1592)&gt;0),N(N1592),0)</f>
        <v>0.0</v>
      </c>
      <c r="Z1592" s="67">
        <f>IF(AND(ISNUMBER(P1592),N(P1592)&gt;0),N(P1592),0)</f>
        <v>0.0</v>
      </c>
    </row>
    <row r="1593">
      <c r="A1593" s="79" t="str">
        <f>IF(COUNTA(B1593:C1593,E1593:G1593,I1593)=0,"","BI-"&amp;RIGHT("0000"&amp;(ROW()-5),4))</f>
        <v/>
      </c>
      <c r="B1593" s="72" t="n"/>
      <c r="C1593" s="66" t="n"/>
      <c r="D1593" s="67" t="str">
        <f>IF(C1593="","",IFERROR(INDEX(eq_des,MATCH(C1593,eq_code,0))&amp;"","Équipement inconnu"))</f>
        <v/>
      </c>
      <c r="E1593" s="68" t="n"/>
      <c r="F1593" s="68" t="n"/>
      <c r="G1593" s="66" t="n"/>
      <c r="H1593" s="66" t="n"/>
      <c r="I1593" s="68" t="n"/>
      <c r="J1593" s="73" t="n"/>
      <c r="K1593" s="71" t="n"/>
      <c r="L1593" s="71" t="n"/>
      <c r="M1593" s="66" t="n"/>
      <c r="N1593" s="80" t="n"/>
      <c r="O1593" s="81" t="str">
        <f>IF(A1593="","",ROUND(V1593*IFERROR(N(INDEX(tech_rate,MATCH(M1593,tech_name,0))),0),2))</f>
        <v/>
      </c>
      <c r="P1593" s="80" t="n"/>
      <c r="Q1593" s="81" t="str">
        <f>IF(A1593="","",ROUND(Y1593+O1593+Z1593,2))</f>
        <v/>
      </c>
      <c r="R1593" s="79" t="str">
        <f>IF(A1593="","",IF(S1593=0,"Date manquante ou invalide",IF(C1593="","Équipement manquant",IF(ISNA(MATCH(C1593,eq_code,0)),"Équipement inconnu",IF(E1593="","Type manquant",IF(AND(E1593&lt;&gt;"Préventif",E1593&lt;&gt;"Correctif",E1593&lt;&gt;"Amélioratif"),"Type inconnu",IF(I1593="","Statut manquant",IF(AND(I1593&lt;&gt;"Terminée",I1593&lt;&gt;"En cours",I1593&lt;&gt;"À faire",I1593&lt;&gt;"Annulée"),"Statut inconnu",IF(AND(E1593="Préventif",F1593=""),"Plan manquant (préventif)",IF(AND(F1593&lt;&gt;"",ISNA(MATCH(F1593,pl_num,0))),"Plan inconnu",IF(AND(F1593&lt;&gt;"",IFERROR(INDEX(pl_eq,MATCH(F1593,pl_num,0))&amp;"",C1593)&lt;&gt;C1593),"Plan d'un autre équipement",IF(AND(J1593&lt;&gt;"",OR(NOT(ISNUMBER(J1593)),N(J1593)&lt;0)),"Compteur invalide",IF(OR(AND(K1593&lt;&gt;"",OR(NOT(ISNUMBER(K1593)),N(K1593)&lt;0)),AND(L1593&lt;&gt;"",OR(NOT(ISNUMBER(L1593)),N(L1593)&lt;0))),"Durée invalide",IF(OR(AND(N1593&lt;&gt;"",OR(NOT(ISNUMBER(N1593)),N(N1593)&lt;0)),AND(P1593&lt;&gt;"",OR(NOT(ISNUMBER(P1593)),N(P1593)&lt;0))),"Coût invalide",IF(AND(M1593&lt;&gt;"",ISNA(MATCH(M1593,tech_name,0))),"Technicien inconnu",IF(AND(I1593="Terminée",S1593&gt;p_today),"Terminée à une date future",IF(AND(I1593="Terminée",V1593=0),"Durée d'intervention manquante",IF(AND(I1593="Terminée",E1593="Préventif",T1593=0,OR(IFERROR(INDEX(pl_trig,MATCH(F1593,pl_num,0))&amp;"","")="Compteur",IFERROR(INDEX(pl_trig,MATCH(F1593,pl_num,0))&amp;"","")="Au premier des deux")),"Compteur manquant (plan au compteur)","OK"))))))))))))))))))</f>
        <v/>
      </c>
      <c r="S1593" s="67">
        <f>IF(AND(ISNUMBER(B1593),N(B1593)&gt;0),INT(B1593),0)</f>
        <v>0.0</v>
      </c>
      <c r="T1593" s="67">
        <f>IF(AND(ISNUMBER(J1593),N(J1593)&gt;=0),N(J1593),0)</f>
        <v>0.0</v>
      </c>
      <c r="U1593" s="67">
        <f>IF(AND(ISNUMBER(K1593),N(K1593)&gt;0),N(K1593),0)</f>
        <v>0.0</v>
      </c>
      <c r="V1593" s="67">
        <f>IF(AND(ISNUMBER(L1593),N(L1593)&gt;0),N(L1593),0)</f>
        <v>0.0</v>
      </c>
      <c r="W1593" s="67">
        <f>IF(AND(I1593="Terminée",S1593&gt;0,C1593&lt;&gt;"",ISNUMBER(MATCH(C1593,eq_code,0))),1,0)</f>
        <v>0.0</v>
      </c>
      <c r="X1593" s="67">
        <f>IF(AND(W1593=1,E1593="Préventif"),1,0)</f>
        <v>0.0</v>
      </c>
      <c r="Y1593" s="67">
        <f>IF(AND(ISNUMBER(N1593),N(N1593)&gt;0),N(N1593),0)</f>
        <v>0.0</v>
      </c>
      <c r="Z1593" s="67">
        <f>IF(AND(ISNUMBER(P1593),N(P1593)&gt;0),N(P1593),0)</f>
        <v>0.0</v>
      </c>
    </row>
    <row r="1594">
      <c r="A1594" s="79" t="str">
        <f>IF(COUNTA(B1594:C1594,E1594:G1594,I1594)=0,"","BI-"&amp;RIGHT("0000"&amp;(ROW()-5),4))</f>
        <v/>
      </c>
      <c r="B1594" s="72" t="n"/>
      <c r="C1594" s="66" t="n"/>
      <c r="D1594" s="67" t="str">
        <f>IF(C1594="","",IFERROR(INDEX(eq_des,MATCH(C1594,eq_code,0))&amp;"","Équipement inconnu"))</f>
        <v/>
      </c>
      <c r="E1594" s="68" t="n"/>
      <c r="F1594" s="68" t="n"/>
      <c r="G1594" s="66" t="n"/>
      <c r="H1594" s="66" t="n"/>
      <c r="I1594" s="68" t="n"/>
      <c r="J1594" s="73" t="n"/>
      <c r="K1594" s="71" t="n"/>
      <c r="L1594" s="71" t="n"/>
      <c r="M1594" s="66" t="n"/>
      <c r="N1594" s="80" t="n"/>
      <c r="O1594" s="81" t="str">
        <f>IF(A1594="","",ROUND(V1594*IFERROR(N(INDEX(tech_rate,MATCH(M1594,tech_name,0))),0),2))</f>
        <v/>
      </c>
      <c r="P1594" s="80" t="n"/>
      <c r="Q1594" s="81" t="str">
        <f>IF(A1594="","",ROUND(Y1594+O1594+Z1594,2))</f>
        <v/>
      </c>
      <c r="R1594" s="79" t="str">
        <f>IF(A1594="","",IF(S1594=0,"Date manquante ou invalide",IF(C1594="","Équipement manquant",IF(ISNA(MATCH(C1594,eq_code,0)),"Équipement inconnu",IF(E1594="","Type manquant",IF(AND(E1594&lt;&gt;"Préventif",E1594&lt;&gt;"Correctif",E1594&lt;&gt;"Amélioratif"),"Type inconnu",IF(I1594="","Statut manquant",IF(AND(I1594&lt;&gt;"Terminée",I1594&lt;&gt;"En cours",I1594&lt;&gt;"À faire",I1594&lt;&gt;"Annulée"),"Statut inconnu",IF(AND(E1594="Préventif",F1594=""),"Plan manquant (préventif)",IF(AND(F1594&lt;&gt;"",ISNA(MATCH(F1594,pl_num,0))),"Plan inconnu",IF(AND(F1594&lt;&gt;"",IFERROR(INDEX(pl_eq,MATCH(F1594,pl_num,0))&amp;"",C1594)&lt;&gt;C1594),"Plan d'un autre équipement",IF(AND(J1594&lt;&gt;"",OR(NOT(ISNUMBER(J1594)),N(J1594)&lt;0)),"Compteur invalide",IF(OR(AND(K1594&lt;&gt;"",OR(NOT(ISNUMBER(K1594)),N(K1594)&lt;0)),AND(L1594&lt;&gt;"",OR(NOT(ISNUMBER(L1594)),N(L1594)&lt;0))),"Durée invalide",IF(OR(AND(N1594&lt;&gt;"",OR(NOT(ISNUMBER(N1594)),N(N1594)&lt;0)),AND(P1594&lt;&gt;"",OR(NOT(ISNUMBER(P1594)),N(P1594)&lt;0))),"Coût invalide",IF(AND(M1594&lt;&gt;"",ISNA(MATCH(M1594,tech_name,0))),"Technicien inconnu",IF(AND(I1594="Terminée",S1594&gt;p_today),"Terminée à une date future",IF(AND(I1594="Terminée",V1594=0),"Durée d'intervention manquante",IF(AND(I1594="Terminée",E1594="Préventif",T1594=0,OR(IFERROR(INDEX(pl_trig,MATCH(F1594,pl_num,0))&amp;"","")="Compteur",IFERROR(INDEX(pl_trig,MATCH(F1594,pl_num,0))&amp;"","")="Au premier des deux")),"Compteur manquant (plan au compteur)","OK"))))))))))))))))))</f>
        <v/>
      </c>
      <c r="S1594" s="67">
        <f>IF(AND(ISNUMBER(B1594),N(B1594)&gt;0),INT(B1594),0)</f>
        <v>0.0</v>
      </c>
      <c r="T1594" s="67">
        <f>IF(AND(ISNUMBER(J1594),N(J1594)&gt;=0),N(J1594),0)</f>
        <v>0.0</v>
      </c>
      <c r="U1594" s="67">
        <f>IF(AND(ISNUMBER(K1594),N(K1594)&gt;0),N(K1594),0)</f>
        <v>0.0</v>
      </c>
      <c r="V1594" s="67">
        <f>IF(AND(ISNUMBER(L1594),N(L1594)&gt;0),N(L1594),0)</f>
        <v>0.0</v>
      </c>
      <c r="W1594" s="67">
        <f>IF(AND(I1594="Terminée",S1594&gt;0,C1594&lt;&gt;"",ISNUMBER(MATCH(C1594,eq_code,0))),1,0)</f>
        <v>0.0</v>
      </c>
      <c r="X1594" s="67">
        <f>IF(AND(W1594=1,E1594="Préventif"),1,0)</f>
        <v>0.0</v>
      </c>
      <c r="Y1594" s="67">
        <f>IF(AND(ISNUMBER(N1594),N(N1594)&gt;0),N(N1594),0)</f>
        <v>0.0</v>
      </c>
      <c r="Z1594" s="67">
        <f>IF(AND(ISNUMBER(P1594),N(P1594)&gt;0),N(P1594),0)</f>
        <v>0.0</v>
      </c>
    </row>
    <row r="1595">
      <c r="A1595" s="79" t="str">
        <f>IF(COUNTA(B1595:C1595,E1595:G1595,I1595)=0,"","BI-"&amp;RIGHT("0000"&amp;(ROW()-5),4))</f>
        <v/>
      </c>
      <c r="B1595" s="72" t="n"/>
      <c r="C1595" s="66" t="n"/>
      <c r="D1595" s="67" t="str">
        <f>IF(C1595="","",IFERROR(INDEX(eq_des,MATCH(C1595,eq_code,0))&amp;"","Équipement inconnu"))</f>
        <v/>
      </c>
      <c r="E1595" s="68" t="n"/>
      <c r="F1595" s="68" t="n"/>
      <c r="G1595" s="66" t="n"/>
      <c r="H1595" s="66" t="n"/>
      <c r="I1595" s="68" t="n"/>
      <c r="J1595" s="73" t="n"/>
      <c r="K1595" s="71" t="n"/>
      <c r="L1595" s="71" t="n"/>
      <c r="M1595" s="66" t="n"/>
      <c r="N1595" s="80" t="n"/>
      <c r="O1595" s="81" t="str">
        <f>IF(A1595="","",ROUND(V1595*IFERROR(N(INDEX(tech_rate,MATCH(M1595,tech_name,0))),0),2))</f>
        <v/>
      </c>
      <c r="P1595" s="80" t="n"/>
      <c r="Q1595" s="81" t="str">
        <f>IF(A1595="","",ROUND(Y1595+O1595+Z1595,2))</f>
        <v/>
      </c>
      <c r="R1595" s="79" t="str">
        <f>IF(A1595="","",IF(S1595=0,"Date manquante ou invalide",IF(C1595="","Équipement manquant",IF(ISNA(MATCH(C1595,eq_code,0)),"Équipement inconnu",IF(E1595="","Type manquant",IF(AND(E1595&lt;&gt;"Préventif",E1595&lt;&gt;"Correctif",E1595&lt;&gt;"Amélioratif"),"Type inconnu",IF(I1595="","Statut manquant",IF(AND(I1595&lt;&gt;"Terminée",I1595&lt;&gt;"En cours",I1595&lt;&gt;"À faire",I1595&lt;&gt;"Annulée"),"Statut inconnu",IF(AND(E1595="Préventif",F1595=""),"Plan manquant (préventif)",IF(AND(F1595&lt;&gt;"",ISNA(MATCH(F1595,pl_num,0))),"Plan inconnu",IF(AND(F1595&lt;&gt;"",IFERROR(INDEX(pl_eq,MATCH(F1595,pl_num,0))&amp;"",C1595)&lt;&gt;C1595),"Plan d'un autre équipement",IF(AND(J1595&lt;&gt;"",OR(NOT(ISNUMBER(J1595)),N(J1595)&lt;0)),"Compteur invalide",IF(OR(AND(K1595&lt;&gt;"",OR(NOT(ISNUMBER(K1595)),N(K1595)&lt;0)),AND(L1595&lt;&gt;"",OR(NOT(ISNUMBER(L1595)),N(L1595)&lt;0))),"Durée invalide",IF(OR(AND(N1595&lt;&gt;"",OR(NOT(ISNUMBER(N1595)),N(N1595)&lt;0)),AND(P1595&lt;&gt;"",OR(NOT(ISNUMBER(P1595)),N(P1595)&lt;0))),"Coût invalide",IF(AND(M1595&lt;&gt;"",ISNA(MATCH(M1595,tech_name,0))),"Technicien inconnu",IF(AND(I1595="Terminée",S1595&gt;p_today),"Terminée à une date future",IF(AND(I1595="Terminée",V1595=0),"Durée d'intervention manquante",IF(AND(I1595="Terminée",E1595="Préventif",T1595=0,OR(IFERROR(INDEX(pl_trig,MATCH(F1595,pl_num,0))&amp;"","")="Compteur",IFERROR(INDEX(pl_trig,MATCH(F1595,pl_num,0))&amp;"","")="Au premier des deux")),"Compteur manquant (plan au compteur)","OK"))))))))))))))))))</f>
        <v/>
      </c>
      <c r="S1595" s="67">
        <f>IF(AND(ISNUMBER(B1595),N(B1595)&gt;0),INT(B1595),0)</f>
        <v>0.0</v>
      </c>
      <c r="T1595" s="67">
        <f>IF(AND(ISNUMBER(J1595),N(J1595)&gt;=0),N(J1595),0)</f>
        <v>0.0</v>
      </c>
      <c r="U1595" s="67">
        <f>IF(AND(ISNUMBER(K1595),N(K1595)&gt;0),N(K1595),0)</f>
        <v>0.0</v>
      </c>
      <c r="V1595" s="67">
        <f>IF(AND(ISNUMBER(L1595),N(L1595)&gt;0),N(L1595),0)</f>
        <v>0.0</v>
      </c>
      <c r="W1595" s="67">
        <f>IF(AND(I1595="Terminée",S1595&gt;0,C1595&lt;&gt;"",ISNUMBER(MATCH(C1595,eq_code,0))),1,0)</f>
        <v>0.0</v>
      </c>
      <c r="X1595" s="67">
        <f>IF(AND(W1595=1,E1595="Préventif"),1,0)</f>
        <v>0.0</v>
      </c>
      <c r="Y1595" s="67">
        <f>IF(AND(ISNUMBER(N1595),N(N1595)&gt;0),N(N1595),0)</f>
        <v>0.0</v>
      </c>
      <c r="Z1595" s="67">
        <f>IF(AND(ISNUMBER(P1595),N(P1595)&gt;0),N(P1595),0)</f>
        <v>0.0</v>
      </c>
    </row>
    <row r="1596">
      <c r="A1596" s="79" t="str">
        <f>IF(COUNTA(B1596:C1596,E1596:G1596,I1596)=0,"","BI-"&amp;RIGHT("0000"&amp;(ROW()-5),4))</f>
        <v/>
      </c>
      <c r="B1596" s="72" t="n"/>
      <c r="C1596" s="66" t="n"/>
      <c r="D1596" s="67" t="str">
        <f>IF(C1596="","",IFERROR(INDEX(eq_des,MATCH(C1596,eq_code,0))&amp;"","Équipement inconnu"))</f>
        <v/>
      </c>
      <c r="E1596" s="68" t="n"/>
      <c r="F1596" s="68" t="n"/>
      <c r="G1596" s="66" t="n"/>
      <c r="H1596" s="66" t="n"/>
      <c r="I1596" s="68" t="n"/>
      <c r="J1596" s="73" t="n"/>
      <c r="K1596" s="71" t="n"/>
      <c r="L1596" s="71" t="n"/>
      <c r="M1596" s="66" t="n"/>
      <c r="N1596" s="80" t="n"/>
      <c r="O1596" s="81" t="str">
        <f>IF(A1596="","",ROUND(V1596*IFERROR(N(INDEX(tech_rate,MATCH(M1596,tech_name,0))),0),2))</f>
        <v/>
      </c>
      <c r="P1596" s="80" t="n"/>
      <c r="Q1596" s="81" t="str">
        <f>IF(A1596="","",ROUND(Y1596+O1596+Z1596,2))</f>
        <v/>
      </c>
      <c r="R1596" s="79" t="str">
        <f>IF(A1596="","",IF(S1596=0,"Date manquante ou invalide",IF(C1596="","Équipement manquant",IF(ISNA(MATCH(C1596,eq_code,0)),"Équipement inconnu",IF(E1596="","Type manquant",IF(AND(E1596&lt;&gt;"Préventif",E1596&lt;&gt;"Correctif",E1596&lt;&gt;"Amélioratif"),"Type inconnu",IF(I1596="","Statut manquant",IF(AND(I1596&lt;&gt;"Terminée",I1596&lt;&gt;"En cours",I1596&lt;&gt;"À faire",I1596&lt;&gt;"Annulée"),"Statut inconnu",IF(AND(E1596="Préventif",F1596=""),"Plan manquant (préventif)",IF(AND(F1596&lt;&gt;"",ISNA(MATCH(F1596,pl_num,0))),"Plan inconnu",IF(AND(F1596&lt;&gt;"",IFERROR(INDEX(pl_eq,MATCH(F1596,pl_num,0))&amp;"",C1596)&lt;&gt;C1596),"Plan d'un autre équipement",IF(AND(J1596&lt;&gt;"",OR(NOT(ISNUMBER(J1596)),N(J1596)&lt;0)),"Compteur invalide",IF(OR(AND(K1596&lt;&gt;"",OR(NOT(ISNUMBER(K1596)),N(K1596)&lt;0)),AND(L1596&lt;&gt;"",OR(NOT(ISNUMBER(L1596)),N(L1596)&lt;0))),"Durée invalide",IF(OR(AND(N1596&lt;&gt;"",OR(NOT(ISNUMBER(N1596)),N(N1596)&lt;0)),AND(P1596&lt;&gt;"",OR(NOT(ISNUMBER(P1596)),N(P1596)&lt;0))),"Coût invalide",IF(AND(M1596&lt;&gt;"",ISNA(MATCH(M1596,tech_name,0))),"Technicien inconnu",IF(AND(I1596="Terminée",S1596&gt;p_today),"Terminée à une date future",IF(AND(I1596="Terminée",V1596=0),"Durée d'intervention manquante",IF(AND(I1596="Terminée",E1596="Préventif",T1596=0,OR(IFERROR(INDEX(pl_trig,MATCH(F1596,pl_num,0))&amp;"","")="Compteur",IFERROR(INDEX(pl_trig,MATCH(F1596,pl_num,0))&amp;"","")="Au premier des deux")),"Compteur manquant (plan au compteur)","OK"))))))))))))))))))</f>
        <v/>
      </c>
      <c r="S1596" s="67">
        <f>IF(AND(ISNUMBER(B1596),N(B1596)&gt;0),INT(B1596),0)</f>
        <v>0.0</v>
      </c>
      <c r="T1596" s="67">
        <f>IF(AND(ISNUMBER(J1596),N(J1596)&gt;=0),N(J1596),0)</f>
        <v>0.0</v>
      </c>
      <c r="U1596" s="67">
        <f>IF(AND(ISNUMBER(K1596),N(K1596)&gt;0),N(K1596),0)</f>
        <v>0.0</v>
      </c>
      <c r="V1596" s="67">
        <f>IF(AND(ISNUMBER(L1596),N(L1596)&gt;0),N(L1596),0)</f>
        <v>0.0</v>
      </c>
      <c r="W1596" s="67">
        <f>IF(AND(I1596="Terminée",S1596&gt;0,C1596&lt;&gt;"",ISNUMBER(MATCH(C1596,eq_code,0))),1,0)</f>
        <v>0.0</v>
      </c>
      <c r="X1596" s="67">
        <f>IF(AND(W1596=1,E1596="Préventif"),1,0)</f>
        <v>0.0</v>
      </c>
      <c r="Y1596" s="67">
        <f>IF(AND(ISNUMBER(N1596),N(N1596)&gt;0),N(N1596),0)</f>
        <v>0.0</v>
      </c>
      <c r="Z1596" s="67">
        <f>IF(AND(ISNUMBER(P1596),N(P1596)&gt;0),N(P1596),0)</f>
        <v>0.0</v>
      </c>
    </row>
    <row r="1597">
      <c r="A1597" s="79" t="str">
        <f>IF(COUNTA(B1597:C1597,E1597:G1597,I1597)=0,"","BI-"&amp;RIGHT("0000"&amp;(ROW()-5),4))</f>
        <v/>
      </c>
      <c r="B1597" s="72" t="n"/>
      <c r="C1597" s="66" t="n"/>
      <c r="D1597" s="67" t="str">
        <f>IF(C1597="","",IFERROR(INDEX(eq_des,MATCH(C1597,eq_code,0))&amp;"","Équipement inconnu"))</f>
        <v/>
      </c>
      <c r="E1597" s="68" t="n"/>
      <c r="F1597" s="68" t="n"/>
      <c r="G1597" s="66" t="n"/>
      <c r="H1597" s="66" t="n"/>
      <c r="I1597" s="68" t="n"/>
      <c r="J1597" s="73" t="n"/>
      <c r="K1597" s="71" t="n"/>
      <c r="L1597" s="71" t="n"/>
      <c r="M1597" s="66" t="n"/>
      <c r="N1597" s="80" t="n"/>
      <c r="O1597" s="81" t="str">
        <f>IF(A1597="","",ROUND(V1597*IFERROR(N(INDEX(tech_rate,MATCH(M1597,tech_name,0))),0),2))</f>
        <v/>
      </c>
      <c r="P1597" s="80" t="n"/>
      <c r="Q1597" s="81" t="str">
        <f>IF(A1597="","",ROUND(Y1597+O1597+Z1597,2))</f>
        <v/>
      </c>
      <c r="R1597" s="79" t="str">
        <f>IF(A1597="","",IF(S1597=0,"Date manquante ou invalide",IF(C1597="","Équipement manquant",IF(ISNA(MATCH(C1597,eq_code,0)),"Équipement inconnu",IF(E1597="","Type manquant",IF(AND(E1597&lt;&gt;"Préventif",E1597&lt;&gt;"Correctif",E1597&lt;&gt;"Amélioratif"),"Type inconnu",IF(I1597="","Statut manquant",IF(AND(I1597&lt;&gt;"Terminée",I1597&lt;&gt;"En cours",I1597&lt;&gt;"À faire",I1597&lt;&gt;"Annulée"),"Statut inconnu",IF(AND(E1597="Préventif",F1597=""),"Plan manquant (préventif)",IF(AND(F1597&lt;&gt;"",ISNA(MATCH(F1597,pl_num,0))),"Plan inconnu",IF(AND(F1597&lt;&gt;"",IFERROR(INDEX(pl_eq,MATCH(F1597,pl_num,0))&amp;"",C1597)&lt;&gt;C1597),"Plan d'un autre équipement",IF(AND(J1597&lt;&gt;"",OR(NOT(ISNUMBER(J1597)),N(J1597)&lt;0)),"Compteur invalide",IF(OR(AND(K1597&lt;&gt;"",OR(NOT(ISNUMBER(K1597)),N(K1597)&lt;0)),AND(L1597&lt;&gt;"",OR(NOT(ISNUMBER(L1597)),N(L1597)&lt;0))),"Durée invalide",IF(OR(AND(N1597&lt;&gt;"",OR(NOT(ISNUMBER(N1597)),N(N1597)&lt;0)),AND(P1597&lt;&gt;"",OR(NOT(ISNUMBER(P1597)),N(P1597)&lt;0))),"Coût invalide",IF(AND(M1597&lt;&gt;"",ISNA(MATCH(M1597,tech_name,0))),"Technicien inconnu",IF(AND(I1597="Terminée",S1597&gt;p_today),"Terminée à une date future",IF(AND(I1597="Terminée",V1597=0),"Durée d'intervention manquante",IF(AND(I1597="Terminée",E1597="Préventif",T1597=0,OR(IFERROR(INDEX(pl_trig,MATCH(F1597,pl_num,0))&amp;"","")="Compteur",IFERROR(INDEX(pl_trig,MATCH(F1597,pl_num,0))&amp;"","")="Au premier des deux")),"Compteur manquant (plan au compteur)","OK"))))))))))))))))))</f>
        <v/>
      </c>
      <c r="S1597" s="67">
        <f>IF(AND(ISNUMBER(B1597),N(B1597)&gt;0),INT(B1597),0)</f>
        <v>0.0</v>
      </c>
      <c r="T1597" s="67">
        <f>IF(AND(ISNUMBER(J1597),N(J1597)&gt;=0),N(J1597),0)</f>
        <v>0.0</v>
      </c>
      <c r="U1597" s="67">
        <f>IF(AND(ISNUMBER(K1597),N(K1597)&gt;0),N(K1597),0)</f>
        <v>0.0</v>
      </c>
      <c r="V1597" s="67">
        <f>IF(AND(ISNUMBER(L1597),N(L1597)&gt;0),N(L1597),0)</f>
        <v>0.0</v>
      </c>
      <c r="W1597" s="67">
        <f>IF(AND(I1597="Terminée",S1597&gt;0,C1597&lt;&gt;"",ISNUMBER(MATCH(C1597,eq_code,0))),1,0)</f>
        <v>0.0</v>
      </c>
      <c r="X1597" s="67">
        <f>IF(AND(W1597=1,E1597="Préventif"),1,0)</f>
        <v>0.0</v>
      </c>
      <c r="Y1597" s="67">
        <f>IF(AND(ISNUMBER(N1597),N(N1597)&gt;0),N(N1597),0)</f>
        <v>0.0</v>
      </c>
      <c r="Z1597" s="67">
        <f>IF(AND(ISNUMBER(P1597),N(P1597)&gt;0),N(P1597),0)</f>
        <v>0.0</v>
      </c>
    </row>
    <row r="1598">
      <c r="A1598" s="79" t="str">
        <f>IF(COUNTA(B1598:C1598,E1598:G1598,I1598)=0,"","BI-"&amp;RIGHT("0000"&amp;(ROW()-5),4))</f>
        <v/>
      </c>
      <c r="B1598" s="72" t="n"/>
      <c r="C1598" s="66" t="n"/>
      <c r="D1598" s="67" t="str">
        <f>IF(C1598="","",IFERROR(INDEX(eq_des,MATCH(C1598,eq_code,0))&amp;"","Équipement inconnu"))</f>
        <v/>
      </c>
      <c r="E1598" s="68" t="n"/>
      <c r="F1598" s="68" t="n"/>
      <c r="G1598" s="66" t="n"/>
      <c r="H1598" s="66" t="n"/>
      <c r="I1598" s="68" t="n"/>
      <c r="J1598" s="73" t="n"/>
      <c r="K1598" s="71" t="n"/>
      <c r="L1598" s="71" t="n"/>
      <c r="M1598" s="66" t="n"/>
      <c r="N1598" s="80" t="n"/>
      <c r="O1598" s="81" t="str">
        <f>IF(A1598="","",ROUND(V1598*IFERROR(N(INDEX(tech_rate,MATCH(M1598,tech_name,0))),0),2))</f>
        <v/>
      </c>
      <c r="P1598" s="80" t="n"/>
      <c r="Q1598" s="81" t="str">
        <f>IF(A1598="","",ROUND(Y1598+O1598+Z1598,2))</f>
        <v/>
      </c>
      <c r="R1598" s="79" t="str">
        <f>IF(A1598="","",IF(S1598=0,"Date manquante ou invalide",IF(C1598="","Équipement manquant",IF(ISNA(MATCH(C1598,eq_code,0)),"Équipement inconnu",IF(E1598="","Type manquant",IF(AND(E1598&lt;&gt;"Préventif",E1598&lt;&gt;"Correctif",E1598&lt;&gt;"Amélioratif"),"Type inconnu",IF(I1598="","Statut manquant",IF(AND(I1598&lt;&gt;"Terminée",I1598&lt;&gt;"En cours",I1598&lt;&gt;"À faire",I1598&lt;&gt;"Annulée"),"Statut inconnu",IF(AND(E1598="Préventif",F1598=""),"Plan manquant (préventif)",IF(AND(F1598&lt;&gt;"",ISNA(MATCH(F1598,pl_num,0))),"Plan inconnu",IF(AND(F1598&lt;&gt;"",IFERROR(INDEX(pl_eq,MATCH(F1598,pl_num,0))&amp;"",C1598)&lt;&gt;C1598),"Plan d'un autre équipement",IF(AND(J1598&lt;&gt;"",OR(NOT(ISNUMBER(J1598)),N(J1598)&lt;0)),"Compteur invalide",IF(OR(AND(K1598&lt;&gt;"",OR(NOT(ISNUMBER(K1598)),N(K1598)&lt;0)),AND(L1598&lt;&gt;"",OR(NOT(ISNUMBER(L1598)),N(L1598)&lt;0))),"Durée invalide",IF(OR(AND(N1598&lt;&gt;"",OR(NOT(ISNUMBER(N1598)),N(N1598)&lt;0)),AND(P1598&lt;&gt;"",OR(NOT(ISNUMBER(P1598)),N(P1598)&lt;0))),"Coût invalide",IF(AND(M1598&lt;&gt;"",ISNA(MATCH(M1598,tech_name,0))),"Technicien inconnu",IF(AND(I1598="Terminée",S1598&gt;p_today),"Terminée à une date future",IF(AND(I1598="Terminée",V1598=0),"Durée d'intervention manquante",IF(AND(I1598="Terminée",E1598="Préventif",T1598=0,OR(IFERROR(INDEX(pl_trig,MATCH(F1598,pl_num,0))&amp;"","")="Compteur",IFERROR(INDEX(pl_trig,MATCH(F1598,pl_num,0))&amp;"","")="Au premier des deux")),"Compteur manquant (plan au compteur)","OK"))))))))))))))))))</f>
        <v/>
      </c>
      <c r="S1598" s="67">
        <f>IF(AND(ISNUMBER(B1598),N(B1598)&gt;0),INT(B1598),0)</f>
        <v>0.0</v>
      </c>
      <c r="T1598" s="67">
        <f>IF(AND(ISNUMBER(J1598),N(J1598)&gt;=0),N(J1598),0)</f>
        <v>0.0</v>
      </c>
      <c r="U1598" s="67">
        <f>IF(AND(ISNUMBER(K1598),N(K1598)&gt;0),N(K1598),0)</f>
        <v>0.0</v>
      </c>
      <c r="V1598" s="67">
        <f>IF(AND(ISNUMBER(L1598),N(L1598)&gt;0),N(L1598),0)</f>
        <v>0.0</v>
      </c>
      <c r="W1598" s="67">
        <f>IF(AND(I1598="Terminée",S1598&gt;0,C1598&lt;&gt;"",ISNUMBER(MATCH(C1598,eq_code,0))),1,0)</f>
        <v>0.0</v>
      </c>
      <c r="X1598" s="67">
        <f>IF(AND(W1598=1,E1598="Préventif"),1,0)</f>
        <v>0.0</v>
      </c>
      <c r="Y1598" s="67">
        <f>IF(AND(ISNUMBER(N1598),N(N1598)&gt;0),N(N1598),0)</f>
        <v>0.0</v>
      </c>
      <c r="Z1598" s="67">
        <f>IF(AND(ISNUMBER(P1598),N(P1598)&gt;0),N(P1598),0)</f>
        <v>0.0</v>
      </c>
    </row>
    <row r="1599">
      <c r="A1599" s="79" t="str">
        <f>IF(COUNTA(B1599:C1599,E1599:G1599,I1599)=0,"","BI-"&amp;RIGHT("0000"&amp;(ROW()-5),4))</f>
        <v/>
      </c>
      <c r="B1599" s="72" t="n"/>
      <c r="C1599" s="66" t="n"/>
      <c r="D1599" s="67" t="str">
        <f>IF(C1599="","",IFERROR(INDEX(eq_des,MATCH(C1599,eq_code,0))&amp;"","Équipement inconnu"))</f>
        <v/>
      </c>
      <c r="E1599" s="68" t="n"/>
      <c r="F1599" s="68" t="n"/>
      <c r="G1599" s="66" t="n"/>
      <c r="H1599" s="66" t="n"/>
      <c r="I1599" s="68" t="n"/>
      <c r="J1599" s="73" t="n"/>
      <c r="K1599" s="71" t="n"/>
      <c r="L1599" s="71" t="n"/>
      <c r="M1599" s="66" t="n"/>
      <c r="N1599" s="80" t="n"/>
      <c r="O1599" s="81" t="str">
        <f>IF(A1599="","",ROUND(V1599*IFERROR(N(INDEX(tech_rate,MATCH(M1599,tech_name,0))),0),2))</f>
        <v/>
      </c>
      <c r="P1599" s="80" t="n"/>
      <c r="Q1599" s="81" t="str">
        <f>IF(A1599="","",ROUND(Y1599+O1599+Z1599,2))</f>
        <v/>
      </c>
      <c r="R1599" s="79" t="str">
        <f>IF(A1599="","",IF(S1599=0,"Date manquante ou invalide",IF(C1599="","Équipement manquant",IF(ISNA(MATCH(C1599,eq_code,0)),"Équipement inconnu",IF(E1599="","Type manquant",IF(AND(E1599&lt;&gt;"Préventif",E1599&lt;&gt;"Correctif",E1599&lt;&gt;"Amélioratif"),"Type inconnu",IF(I1599="","Statut manquant",IF(AND(I1599&lt;&gt;"Terminée",I1599&lt;&gt;"En cours",I1599&lt;&gt;"À faire",I1599&lt;&gt;"Annulée"),"Statut inconnu",IF(AND(E1599="Préventif",F1599=""),"Plan manquant (préventif)",IF(AND(F1599&lt;&gt;"",ISNA(MATCH(F1599,pl_num,0))),"Plan inconnu",IF(AND(F1599&lt;&gt;"",IFERROR(INDEX(pl_eq,MATCH(F1599,pl_num,0))&amp;"",C1599)&lt;&gt;C1599),"Plan d'un autre équipement",IF(AND(J1599&lt;&gt;"",OR(NOT(ISNUMBER(J1599)),N(J1599)&lt;0)),"Compteur invalide",IF(OR(AND(K1599&lt;&gt;"",OR(NOT(ISNUMBER(K1599)),N(K1599)&lt;0)),AND(L1599&lt;&gt;"",OR(NOT(ISNUMBER(L1599)),N(L1599)&lt;0))),"Durée invalide",IF(OR(AND(N1599&lt;&gt;"",OR(NOT(ISNUMBER(N1599)),N(N1599)&lt;0)),AND(P1599&lt;&gt;"",OR(NOT(ISNUMBER(P1599)),N(P1599)&lt;0))),"Coût invalide",IF(AND(M1599&lt;&gt;"",ISNA(MATCH(M1599,tech_name,0))),"Technicien inconnu",IF(AND(I1599="Terminée",S1599&gt;p_today),"Terminée à une date future",IF(AND(I1599="Terminée",V1599=0),"Durée d'intervention manquante",IF(AND(I1599="Terminée",E1599="Préventif",T1599=0,OR(IFERROR(INDEX(pl_trig,MATCH(F1599,pl_num,0))&amp;"","")="Compteur",IFERROR(INDEX(pl_trig,MATCH(F1599,pl_num,0))&amp;"","")="Au premier des deux")),"Compteur manquant (plan au compteur)","OK"))))))))))))))))))</f>
        <v/>
      </c>
      <c r="S1599" s="67">
        <f>IF(AND(ISNUMBER(B1599),N(B1599)&gt;0),INT(B1599),0)</f>
        <v>0.0</v>
      </c>
      <c r="T1599" s="67">
        <f>IF(AND(ISNUMBER(J1599),N(J1599)&gt;=0),N(J1599),0)</f>
        <v>0.0</v>
      </c>
      <c r="U1599" s="67">
        <f>IF(AND(ISNUMBER(K1599),N(K1599)&gt;0),N(K1599),0)</f>
        <v>0.0</v>
      </c>
      <c r="V1599" s="67">
        <f>IF(AND(ISNUMBER(L1599),N(L1599)&gt;0),N(L1599),0)</f>
        <v>0.0</v>
      </c>
      <c r="W1599" s="67">
        <f>IF(AND(I1599="Terminée",S1599&gt;0,C1599&lt;&gt;"",ISNUMBER(MATCH(C1599,eq_code,0))),1,0)</f>
        <v>0.0</v>
      </c>
      <c r="X1599" s="67">
        <f>IF(AND(W1599=1,E1599="Préventif"),1,0)</f>
        <v>0.0</v>
      </c>
      <c r="Y1599" s="67">
        <f>IF(AND(ISNUMBER(N1599),N(N1599)&gt;0),N(N1599),0)</f>
        <v>0.0</v>
      </c>
      <c r="Z1599" s="67">
        <f>IF(AND(ISNUMBER(P1599),N(P1599)&gt;0),N(P1599),0)</f>
        <v>0.0</v>
      </c>
    </row>
    <row r="1600">
      <c r="A1600" s="79" t="str">
        <f>IF(COUNTA(B1600:C1600,E1600:G1600,I1600)=0,"","BI-"&amp;RIGHT("0000"&amp;(ROW()-5),4))</f>
        <v/>
      </c>
      <c r="B1600" s="72" t="n"/>
      <c r="C1600" s="66" t="n"/>
      <c r="D1600" s="67" t="str">
        <f>IF(C1600="","",IFERROR(INDEX(eq_des,MATCH(C1600,eq_code,0))&amp;"","Équipement inconnu"))</f>
        <v/>
      </c>
      <c r="E1600" s="68" t="n"/>
      <c r="F1600" s="68" t="n"/>
      <c r="G1600" s="66" t="n"/>
      <c r="H1600" s="66" t="n"/>
      <c r="I1600" s="68" t="n"/>
      <c r="J1600" s="73" t="n"/>
      <c r="K1600" s="71" t="n"/>
      <c r="L1600" s="71" t="n"/>
      <c r="M1600" s="66" t="n"/>
      <c r="N1600" s="80" t="n"/>
      <c r="O1600" s="81" t="str">
        <f>IF(A1600="","",ROUND(V1600*IFERROR(N(INDEX(tech_rate,MATCH(M1600,tech_name,0))),0),2))</f>
        <v/>
      </c>
      <c r="P1600" s="80" t="n"/>
      <c r="Q1600" s="81" t="str">
        <f>IF(A1600="","",ROUND(Y1600+O1600+Z1600,2))</f>
        <v/>
      </c>
      <c r="R1600" s="79" t="str">
        <f>IF(A1600="","",IF(S1600=0,"Date manquante ou invalide",IF(C1600="","Équipement manquant",IF(ISNA(MATCH(C1600,eq_code,0)),"Équipement inconnu",IF(E1600="","Type manquant",IF(AND(E1600&lt;&gt;"Préventif",E1600&lt;&gt;"Correctif",E1600&lt;&gt;"Amélioratif"),"Type inconnu",IF(I1600="","Statut manquant",IF(AND(I1600&lt;&gt;"Terminée",I1600&lt;&gt;"En cours",I1600&lt;&gt;"À faire",I1600&lt;&gt;"Annulée"),"Statut inconnu",IF(AND(E1600="Préventif",F1600=""),"Plan manquant (préventif)",IF(AND(F1600&lt;&gt;"",ISNA(MATCH(F1600,pl_num,0))),"Plan inconnu",IF(AND(F1600&lt;&gt;"",IFERROR(INDEX(pl_eq,MATCH(F1600,pl_num,0))&amp;"",C1600)&lt;&gt;C1600),"Plan d'un autre équipement",IF(AND(J1600&lt;&gt;"",OR(NOT(ISNUMBER(J1600)),N(J1600)&lt;0)),"Compteur invalide",IF(OR(AND(K1600&lt;&gt;"",OR(NOT(ISNUMBER(K1600)),N(K1600)&lt;0)),AND(L1600&lt;&gt;"",OR(NOT(ISNUMBER(L1600)),N(L1600)&lt;0))),"Durée invalide",IF(OR(AND(N1600&lt;&gt;"",OR(NOT(ISNUMBER(N1600)),N(N1600)&lt;0)),AND(P1600&lt;&gt;"",OR(NOT(ISNUMBER(P1600)),N(P1600)&lt;0))),"Coût invalide",IF(AND(M1600&lt;&gt;"",ISNA(MATCH(M1600,tech_name,0))),"Technicien inconnu",IF(AND(I1600="Terminée",S1600&gt;p_today),"Terminée à une date future",IF(AND(I1600="Terminée",V1600=0),"Durée d'intervention manquante",IF(AND(I1600="Terminée",E1600="Préventif",T1600=0,OR(IFERROR(INDEX(pl_trig,MATCH(F1600,pl_num,0))&amp;"","")="Compteur",IFERROR(INDEX(pl_trig,MATCH(F1600,pl_num,0))&amp;"","")="Au premier des deux")),"Compteur manquant (plan au compteur)","OK"))))))))))))))))))</f>
        <v/>
      </c>
      <c r="S1600" s="67">
        <f>IF(AND(ISNUMBER(B1600),N(B1600)&gt;0),INT(B1600),0)</f>
        <v>0.0</v>
      </c>
      <c r="T1600" s="67">
        <f>IF(AND(ISNUMBER(J1600),N(J1600)&gt;=0),N(J1600),0)</f>
        <v>0.0</v>
      </c>
      <c r="U1600" s="67">
        <f>IF(AND(ISNUMBER(K1600),N(K1600)&gt;0),N(K1600),0)</f>
        <v>0.0</v>
      </c>
      <c r="V1600" s="67">
        <f>IF(AND(ISNUMBER(L1600),N(L1600)&gt;0),N(L1600),0)</f>
        <v>0.0</v>
      </c>
      <c r="W1600" s="67">
        <f>IF(AND(I1600="Terminée",S1600&gt;0,C1600&lt;&gt;"",ISNUMBER(MATCH(C1600,eq_code,0))),1,0)</f>
        <v>0.0</v>
      </c>
      <c r="X1600" s="67">
        <f>IF(AND(W1600=1,E1600="Préventif"),1,0)</f>
        <v>0.0</v>
      </c>
      <c r="Y1600" s="67">
        <f>IF(AND(ISNUMBER(N1600),N(N1600)&gt;0),N(N1600),0)</f>
        <v>0.0</v>
      </c>
      <c r="Z1600" s="67">
        <f>IF(AND(ISNUMBER(P1600),N(P1600)&gt;0),N(P1600),0)</f>
        <v>0.0</v>
      </c>
    </row>
    <row r="1601">
      <c r="A1601" s="79" t="str">
        <f>IF(COUNTA(B1601:C1601,E1601:G1601,I1601)=0,"","BI-"&amp;RIGHT("0000"&amp;(ROW()-5),4))</f>
        <v/>
      </c>
      <c r="B1601" s="72" t="n"/>
      <c r="C1601" s="66" t="n"/>
      <c r="D1601" s="67" t="str">
        <f>IF(C1601="","",IFERROR(INDEX(eq_des,MATCH(C1601,eq_code,0))&amp;"","Équipement inconnu"))</f>
        <v/>
      </c>
      <c r="E1601" s="68" t="n"/>
      <c r="F1601" s="68" t="n"/>
      <c r="G1601" s="66" t="n"/>
      <c r="H1601" s="66" t="n"/>
      <c r="I1601" s="68" t="n"/>
      <c r="J1601" s="73" t="n"/>
      <c r="K1601" s="71" t="n"/>
      <c r="L1601" s="71" t="n"/>
      <c r="M1601" s="66" t="n"/>
      <c r="N1601" s="80" t="n"/>
      <c r="O1601" s="81" t="str">
        <f>IF(A1601="","",ROUND(V1601*IFERROR(N(INDEX(tech_rate,MATCH(M1601,tech_name,0))),0),2))</f>
        <v/>
      </c>
      <c r="P1601" s="80" t="n"/>
      <c r="Q1601" s="81" t="str">
        <f>IF(A1601="","",ROUND(Y1601+O1601+Z1601,2))</f>
        <v/>
      </c>
      <c r="R1601" s="79" t="str">
        <f>IF(A1601="","",IF(S1601=0,"Date manquante ou invalide",IF(C1601="","Équipement manquant",IF(ISNA(MATCH(C1601,eq_code,0)),"Équipement inconnu",IF(E1601="","Type manquant",IF(AND(E1601&lt;&gt;"Préventif",E1601&lt;&gt;"Correctif",E1601&lt;&gt;"Amélioratif"),"Type inconnu",IF(I1601="","Statut manquant",IF(AND(I1601&lt;&gt;"Terminée",I1601&lt;&gt;"En cours",I1601&lt;&gt;"À faire",I1601&lt;&gt;"Annulée"),"Statut inconnu",IF(AND(E1601="Préventif",F1601=""),"Plan manquant (préventif)",IF(AND(F1601&lt;&gt;"",ISNA(MATCH(F1601,pl_num,0))),"Plan inconnu",IF(AND(F1601&lt;&gt;"",IFERROR(INDEX(pl_eq,MATCH(F1601,pl_num,0))&amp;"",C1601)&lt;&gt;C1601),"Plan d'un autre équipement",IF(AND(J1601&lt;&gt;"",OR(NOT(ISNUMBER(J1601)),N(J1601)&lt;0)),"Compteur invalide",IF(OR(AND(K1601&lt;&gt;"",OR(NOT(ISNUMBER(K1601)),N(K1601)&lt;0)),AND(L1601&lt;&gt;"",OR(NOT(ISNUMBER(L1601)),N(L1601)&lt;0))),"Durée invalide",IF(OR(AND(N1601&lt;&gt;"",OR(NOT(ISNUMBER(N1601)),N(N1601)&lt;0)),AND(P1601&lt;&gt;"",OR(NOT(ISNUMBER(P1601)),N(P1601)&lt;0))),"Coût invalide",IF(AND(M1601&lt;&gt;"",ISNA(MATCH(M1601,tech_name,0))),"Technicien inconnu",IF(AND(I1601="Terminée",S1601&gt;p_today),"Terminée à une date future",IF(AND(I1601="Terminée",V1601=0),"Durée d'intervention manquante",IF(AND(I1601="Terminée",E1601="Préventif",T1601=0,OR(IFERROR(INDEX(pl_trig,MATCH(F1601,pl_num,0))&amp;"","")="Compteur",IFERROR(INDEX(pl_trig,MATCH(F1601,pl_num,0))&amp;"","")="Au premier des deux")),"Compteur manquant (plan au compteur)","OK"))))))))))))))))))</f>
        <v/>
      </c>
      <c r="S1601" s="67">
        <f>IF(AND(ISNUMBER(B1601),N(B1601)&gt;0),INT(B1601),0)</f>
        <v>0.0</v>
      </c>
      <c r="T1601" s="67">
        <f>IF(AND(ISNUMBER(J1601),N(J1601)&gt;=0),N(J1601),0)</f>
        <v>0.0</v>
      </c>
      <c r="U1601" s="67">
        <f>IF(AND(ISNUMBER(K1601),N(K1601)&gt;0),N(K1601),0)</f>
        <v>0.0</v>
      </c>
      <c r="V1601" s="67">
        <f>IF(AND(ISNUMBER(L1601),N(L1601)&gt;0),N(L1601),0)</f>
        <v>0.0</v>
      </c>
      <c r="W1601" s="67">
        <f>IF(AND(I1601="Terminée",S1601&gt;0,C1601&lt;&gt;"",ISNUMBER(MATCH(C1601,eq_code,0))),1,0)</f>
        <v>0.0</v>
      </c>
      <c r="X1601" s="67">
        <f>IF(AND(W1601=1,E1601="Préventif"),1,0)</f>
        <v>0.0</v>
      </c>
      <c r="Y1601" s="67">
        <f>IF(AND(ISNUMBER(N1601),N(N1601)&gt;0),N(N1601),0)</f>
        <v>0.0</v>
      </c>
      <c r="Z1601" s="67">
        <f>IF(AND(ISNUMBER(P1601),N(P1601)&gt;0),N(P1601),0)</f>
        <v>0.0</v>
      </c>
    </row>
    <row r="1602">
      <c r="A1602" s="79" t="str">
        <f>IF(COUNTA(B1602:C1602,E1602:G1602,I1602)=0,"","BI-"&amp;RIGHT("0000"&amp;(ROW()-5),4))</f>
        <v/>
      </c>
      <c r="B1602" s="72" t="n"/>
      <c r="C1602" s="66" t="n"/>
      <c r="D1602" s="67" t="str">
        <f>IF(C1602="","",IFERROR(INDEX(eq_des,MATCH(C1602,eq_code,0))&amp;"","Équipement inconnu"))</f>
        <v/>
      </c>
      <c r="E1602" s="68" t="n"/>
      <c r="F1602" s="68" t="n"/>
      <c r="G1602" s="66" t="n"/>
      <c r="H1602" s="66" t="n"/>
      <c r="I1602" s="68" t="n"/>
      <c r="J1602" s="73" t="n"/>
      <c r="K1602" s="71" t="n"/>
      <c r="L1602" s="71" t="n"/>
      <c r="M1602" s="66" t="n"/>
      <c r="N1602" s="80" t="n"/>
      <c r="O1602" s="81" t="str">
        <f>IF(A1602="","",ROUND(V1602*IFERROR(N(INDEX(tech_rate,MATCH(M1602,tech_name,0))),0),2))</f>
        <v/>
      </c>
      <c r="P1602" s="80" t="n"/>
      <c r="Q1602" s="81" t="str">
        <f>IF(A1602="","",ROUND(Y1602+O1602+Z1602,2))</f>
        <v/>
      </c>
      <c r="R1602" s="79" t="str">
        <f>IF(A1602="","",IF(S1602=0,"Date manquante ou invalide",IF(C1602="","Équipement manquant",IF(ISNA(MATCH(C1602,eq_code,0)),"Équipement inconnu",IF(E1602="","Type manquant",IF(AND(E1602&lt;&gt;"Préventif",E1602&lt;&gt;"Correctif",E1602&lt;&gt;"Amélioratif"),"Type inconnu",IF(I1602="","Statut manquant",IF(AND(I1602&lt;&gt;"Terminée",I1602&lt;&gt;"En cours",I1602&lt;&gt;"À faire",I1602&lt;&gt;"Annulée"),"Statut inconnu",IF(AND(E1602="Préventif",F1602=""),"Plan manquant (préventif)",IF(AND(F1602&lt;&gt;"",ISNA(MATCH(F1602,pl_num,0))),"Plan inconnu",IF(AND(F1602&lt;&gt;"",IFERROR(INDEX(pl_eq,MATCH(F1602,pl_num,0))&amp;"",C1602)&lt;&gt;C1602),"Plan d'un autre équipement",IF(AND(J1602&lt;&gt;"",OR(NOT(ISNUMBER(J1602)),N(J1602)&lt;0)),"Compteur invalide",IF(OR(AND(K1602&lt;&gt;"",OR(NOT(ISNUMBER(K1602)),N(K1602)&lt;0)),AND(L1602&lt;&gt;"",OR(NOT(ISNUMBER(L1602)),N(L1602)&lt;0))),"Durée invalide",IF(OR(AND(N1602&lt;&gt;"",OR(NOT(ISNUMBER(N1602)),N(N1602)&lt;0)),AND(P1602&lt;&gt;"",OR(NOT(ISNUMBER(P1602)),N(P1602)&lt;0))),"Coût invalide",IF(AND(M1602&lt;&gt;"",ISNA(MATCH(M1602,tech_name,0))),"Technicien inconnu",IF(AND(I1602="Terminée",S1602&gt;p_today),"Terminée à une date future",IF(AND(I1602="Terminée",V1602=0),"Durée d'intervention manquante",IF(AND(I1602="Terminée",E1602="Préventif",T1602=0,OR(IFERROR(INDEX(pl_trig,MATCH(F1602,pl_num,0))&amp;"","")="Compteur",IFERROR(INDEX(pl_trig,MATCH(F1602,pl_num,0))&amp;"","")="Au premier des deux")),"Compteur manquant (plan au compteur)","OK"))))))))))))))))))</f>
        <v/>
      </c>
      <c r="S1602" s="67">
        <f>IF(AND(ISNUMBER(B1602),N(B1602)&gt;0),INT(B1602),0)</f>
        <v>0.0</v>
      </c>
      <c r="T1602" s="67">
        <f>IF(AND(ISNUMBER(J1602),N(J1602)&gt;=0),N(J1602),0)</f>
        <v>0.0</v>
      </c>
      <c r="U1602" s="67">
        <f>IF(AND(ISNUMBER(K1602),N(K1602)&gt;0),N(K1602),0)</f>
        <v>0.0</v>
      </c>
      <c r="V1602" s="67">
        <f>IF(AND(ISNUMBER(L1602),N(L1602)&gt;0),N(L1602),0)</f>
        <v>0.0</v>
      </c>
      <c r="W1602" s="67">
        <f>IF(AND(I1602="Terminée",S1602&gt;0,C1602&lt;&gt;"",ISNUMBER(MATCH(C1602,eq_code,0))),1,0)</f>
        <v>0.0</v>
      </c>
      <c r="X1602" s="67">
        <f>IF(AND(W1602=1,E1602="Préventif"),1,0)</f>
        <v>0.0</v>
      </c>
      <c r="Y1602" s="67">
        <f>IF(AND(ISNUMBER(N1602),N(N1602)&gt;0),N(N1602),0)</f>
        <v>0.0</v>
      </c>
      <c r="Z1602" s="67">
        <f>IF(AND(ISNUMBER(P1602),N(P1602)&gt;0),N(P1602),0)</f>
        <v>0.0</v>
      </c>
    </row>
    <row r="1603">
      <c r="A1603" s="79" t="str">
        <f>IF(COUNTA(B1603:C1603,E1603:G1603,I1603)=0,"","BI-"&amp;RIGHT("0000"&amp;(ROW()-5),4))</f>
        <v/>
      </c>
      <c r="B1603" s="72" t="n"/>
      <c r="C1603" s="66" t="n"/>
      <c r="D1603" s="67" t="str">
        <f>IF(C1603="","",IFERROR(INDEX(eq_des,MATCH(C1603,eq_code,0))&amp;"","Équipement inconnu"))</f>
        <v/>
      </c>
      <c r="E1603" s="68" t="n"/>
      <c r="F1603" s="68" t="n"/>
      <c r="G1603" s="66" t="n"/>
      <c r="H1603" s="66" t="n"/>
      <c r="I1603" s="68" t="n"/>
      <c r="J1603" s="73" t="n"/>
      <c r="K1603" s="71" t="n"/>
      <c r="L1603" s="71" t="n"/>
      <c r="M1603" s="66" t="n"/>
      <c r="N1603" s="80" t="n"/>
      <c r="O1603" s="81" t="str">
        <f>IF(A1603="","",ROUND(V1603*IFERROR(N(INDEX(tech_rate,MATCH(M1603,tech_name,0))),0),2))</f>
        <v/>
      </c>
      <c r="P1603" s="80" t="n"/>
      <c r="Q1603" s="81" t="str">
        <f>IF(A1603="","",ROUND(Y1603+O1603+Z1603,2))</f>
        <v/>
      </c>
      <c r="R1603" s="79" t="str">
        <f>IF(A1603="","",IF(S1603=0,"Date manquante ou invalide",IF(C1603="","Équipement manquant",IF(ISNA(MATCH(C1603,eq_code,0)),"Équipement inconnu",IF(E1603="","Type manquant",IF(AND(E1603&lt;&gt;"Préventif",E1603&lt;&gt;"Correctif",E1603&lt;&gt;"Amélioratif"),"Type inconnu",IF(I1603="","Statut manquant",IF(AND(I1603&lt;&gt;"Terminée",I1603&lt;&gt;"En cours",I1603&lt;&gt;"À faire",I1603&lt;&gt;"Annulée"),"Statut inconnu",IF(AND(E1603="Préventif",F1603=""),"Plan manquant (préventif)",IF(AND(F1603&lt;&gt;"",ISNA(MATCH(F1603,pl_num,0))),"Plan inconnu",IF(AND(F1603&lt;&gt;"",IFERROR(INDEX(pl_eq,MATCH(F1603,pl_num,0))&amp;"",C1603)&lt;&gt;C1603),"Plan d'un autre équipement",IF(AND(J1603&lt;&gt;"",OR(NOT(ISNUMBER(J1603)),N(J1603)&lt;0)),"Compteur invalide",IF(OR(AND(K1603&lt;&gt;"",OR(NOT(ISNUMBER(K1603)),N(K1603)&lt;0)),AND(L1603&lt;&gt;"",OR(NOT(ISNUMBER(L1603)),N(L1603)&lt;0))),"Durée invalide",IF(OR(AND(N1603&lt;&gt;"",OR(NOT(ISNUMBER(N1603)),N(N1603)&lt;0)),AND(P1603&lt;&gt;"",OR(NOT(ISNUMBER(P1603)),N(P1603)&lt;0))),"Coût invalide",IF(AND(M1603&lt;&gt;"",ISNA(MATCH(M1603,tech_name,0))),"Technicien inconnu",IF(AND(I1603="Terminée",S1603&gt;p_today),"Terminée à une date future",IF(AND(I1603="Terminée",V1603=0),"Durée d'intervention manquante",IF(AND(I1603="Terminée",E1603="Préventif",T1603=0,OR(IFERROR(INDEX(pl_trig,MATCH(F1603,pl_num,0))&amp;"","")="Compteur",IFERROR(INDEX(pl_trig,MATCH(F1603,pl_num,0))&amp;"","")="Au premier des deux")),"Compteur manquant (plan au compteur)","OK"))))))))))))))))))</f>
        <v/>
      </c>
      <c r="S1603" s="67">
        <f>IF(AND(ISNUMBER(B1603),N(B1603)&gt;0),INT(B1603),0)</f>
        <v>0.0</v>
      </c>
      <c r="T1603" s="67">
        <f>IF(AND(ISNUMBER(J1603),N(J1603)&gt;=0),N(J1603),0)</f>
        <v>0.0</v>
      </c>
      <c r="U1603" s="67">
        <f>IF(AND(ISNUMBER(K1603),N(K1603)&gt;0),N(K1603),0)</f>
        <v>0.0</v>
      </c>
      <c r="V1603" s="67">
        <f>IF(AND(ISNUMBER(L1603),N(L1603)&gt;0),N(L1603),0)</f>
        <v>0.0</v>
      </c>
      <c r="W1603" s="67">
        <f>IF(AND(I1603="Terminée",S1603&gt;0,C1603&lt;&gt;"",ISNUMBER(MATCH(C1603,eq_code,0))),1,0)</f>
        <v>0.0</v>
      </c>
      <c r="X1603" s="67">
        <f>IF(AND(W1603=1,E1603="Préventif"),1,0)</f>
        <v>0.0</v>
      </c>
      <c r="Y1603" s="67">
        <f>IF(AND(ISNUMBER(N1603),N(N1603)&gt;0),N(N1603),0)</f>
        <v>0.0</v>
      </c>
      <c r="Z1603" s="67">
        <f>IF(AND(ISNUMBER(P1603),N(P1603)&gt;0),N(P1603),0)</f>
        <v>0.0</v>
      </c>
    </row>
    <row r="1604">
      <c r="A1604" s="79" t="str">
        <f>IF(COUNTA(B1604:C1604,E1604:G1604,I1604)=0,"","BI-"&amp;RIGHT("0000"&amp;(ROW()-5),4))</f>
        <v/>
      </c>
      <c r="B1604" s="72" t="n"/>
      <c r="C1604" s="66" t="n"/>
      <c r="D1604" s="67" t="str">
        <f>IF(C1604="","",IFERROR(INDEX(eq_des,MATCH(C1604,eq_code,0))&amp;"","Équipement inconnu"))</f>
        <v/>
      </c>
      <c r="E1604" s="68" t="n"/>
      <c r="F1604" s="68" t="n"/>
      <c r="G1604" s="66" t="n"/>
      <c r="H1604" s="66" t="n"/>
      <c r="I1604" s="68" t="n"/>
      <c r="J1604" s="73" t="n"/>
      <c r="K1604" s="71" t="n"/>
      <c r="L1604" s="71" t="n"/>
      <c r="M1604" s="66" t="n"/>
      <c r="N1604" s="80" t="n"/>
      <c r="O1604" s="81" t="str">
        <f>IF(A1604="","",ROUND(V1604*IFERROR(N(INDEX(tech_rate,MATCH(M1604,tech_name,0))),0),2))</f>
        <v/>
      </c>
      <c r="P1604" s="80" t="n"/>
      <c r="Q1604" s="81" t="str">
        <f>IF(A1604="","",ROUND(Y1604+O1604+Z1604,2))</f>
        <v/>
      </c>
      <c r="R1604" s="79" t="str">
        <f>IF(A1604="","",IF(S1604=0,"Date manquante ou invalide",IF(C1604="","Équipement manquant",IF(ISNA(MATCH(C1604,eq_code,0)),"Équipement inconnu",IF(E1604="","Type manquant",IF(AND(E1604&lt;&gt;"Préventif",E1604&lt;&gt;"Correctif",E1604&lt;&gt;"Amélioratif"),"Type inconnu",IF(I1604="","Statut manquant",IF(AND(I1604&lt;&gt;"Terminée",I1604&lt;&gt;"En cours",I1604&lt;&gt;"À faire",I1604&lt;&gt;"Annulée"),"Statut inconnu",IF(AND(E1604="Préventif",F1604=""),"Plan manquant (préventif)",IF(AND(F1604&lt;&gt;"",ISNA(MATCH(F1604,pl_num,0))),"Plan inconnu",IF(AND(F1604&lt;&gt;"",IFERROR(INDEX(pl_eq,MATCH(F1604,pl_num,0))&amp;"",C1604)&lt;&gt;C1604),"Plan d'un autre équipement",IF(AND(J1604&lt;&gt;"",OR(NOT(ISNUMBER(J1604)),N(J1604)&lt;0)),"Compteur invalide",IF(OR(AND(K1604&lt;&gt;"",OR(NOT(ISNUMBER(K1604)),N(K1604)&lt;0)),AND(L1604&lt;&gt;"",OR(NOT(ISNUMBER(L1604)),N(L1604)&lt;0))),"Durée invalide",IF(OR(AND(N1604&lt;&gt;"",OR(NOT(ISNUMBER(N1604)),N(N1604)&lt;0)),AND(P1604&lt;&gt;"",OR(NOT(ISNUMBER(P1604)),N(P1604)&lt;0))),"Coût invalide",IF(AND(M1604&lt;&gt;"",ISNA(MATCH(M1604,tech_name,0))),"Technicien inconnu",IF(AND(I1604="Terminée",S1604&gt;p_today),"Terminée à une date future",IF(AND(I1604="Terminée",V1604=0),"Durée d'intervention manquante",IF(AND(I1604="Terminée",E1604="Préventif",T1604=0,OR(IFERROR(INDEX(pl_trig,MATCH(F1604,pl_num,0))&amp;"","")="Compteur",IFERROR(INDEX(pl_trig,MATCH(F1604,pl_num,0))&amp;"","")="Au premier des deux")),"Compteur manquant (plan au compteur)","OK"))))))))))))))))))</f>
        <v/>
      </c>
      <c r="S1604" s="67">
        <f>IF(AND(ISNUMBER(B1604),N(B1604)&gt;0),INT(B1604),0)</f>
        <v>0.0</v>
      </c>
      <c r="T1604" s="67">
        <f>IF(AND(ISNUMBER(J1604),N(J1604)&gt;=0),N(J1604),0)</f>
        <v>0.0</v>
      </c>
      <c r="U1604" s="67">
        <f>IF(AND(ISNUMBER(K1604),N(K1604)&gt;0),N(K1604),0)</f>
        <v>0.0</v>
      </c>
      <c r="V1604" s="67">
        <f>IF(AND(ISNUMBER(L1604),N(L1604)&gt;0),N(L1604),0)</f>
        <v>0.0</v>
      </c>
      <c r="W1604" s="67">
        <f>IF(AND(I1604="Terminée",S1604&gt;0,C1604&lt;&gt;"",ISNUMBER(MATCH(C1604,eq_code,0))),1,0)</f>
        <v>0.0</v>
      </c>
      <c r="X1604" s="67">
        <f>IF(AND(W1604=1,E1604="Préventif"),1,0)</f>
        <v>0.0</v>
      </c>
      <c r="Y1604" s="67">
        <f>IF(AND(ISNUMBER(N1604),N(N1604)&gt;0),N(N1604),0)</f>
        <v>0.0</v>
      </c>
      <c r="Z1604" s="67">
        <f>IF(AND(ISNUMBER(P1604),N(P1604)&gt;0),N(P1604),0)</f>
        <v>0.0</v>
      </c>
    </row>
    <row r="1605">
      <c r="A1605" s="79" t="str">
        <f>IF(COUNTA(B1605:C1605,E1605:G1605,I1605)=0,"","BI-"&amp;RIGHT("0000"&amp;(ROW()-5),4))</f>
        <v/>
      </c>
      <c r="B1605" s="72" t="n"/>
      <c r="C1605" s="66" t="n"/>
      <c r="D1605" s="67" t="str">
        <f>IF(C1605="","",IFERROR(INDEX(eq_des,MATCH(C1605,eq_code,0))&amp;"","Équipement inconnu"))</f>
        <v/>
      </c>
      <c r="E1605" s="68" t="n"/>
      <c r="F1605" s="68" t="n"/>
      <c r="G1605" s="66" t="n"/>
      <c r="H1605" s="66" t="n"/>
      <c r="I1605" s="68" t="n"/>
      <c r="J1605" s="73" t="n"/>
      <c r="K1605" s="71" t="n"/>
      <c r="L1605" s="71" t="n"/>
      <c r="M1605" s="66" t="n"/>
      <c r="N1605" s="80" t="n"/>
      <c r="O1605" s="81" t="str">
        <f>IF(A1605="","",ROUND(V1605*IFERROR(N(INDEX(tech_rate,MATCH(M1605,tech_name,0))),0),2))</f>
        <v/>
      </c>
      <c r="P1605" s="80" t="n"/>
      <c r="Q1605" s="81" t="str">
        <f>IF(A1605="","",ROUND(Y1605+O1605+Z1605,2))</f>
        <v/>
      </c>
      <c r="R1605" s="79" t="str">
        <f>IF(A1605="","",IF(S1605=0,"Date manquante ou invalide",IF(C1605="","Équipement manquant",IF(ISNA(MATCH(C1605,eq_code,0)),"Équipement inconnu",IF(E1605="","Type manquant",IF(AND(E1605&lt;&gt;"Préventif",E1605&lt;&gt;"Correctif",E1605&lt;&gt;"Amélioratif"),"Type inconnu",IF(I1605="","Statut manquant",IF(AND(I1605&lt;&gt;"Terminée",I1605&lt;&gt;"En cours",I1605&lt;&gt;"À faire",I1605&lt;&gt;"Annulée"),"Statut inconnu",IF(AND(E1605="Préventif",F1605=""),"Plan manquant (préventif)",IF(AND(F1605&lt;&gt;"",ISNA(MATCH(F1605,pl_num,0))),"Plan inconnu",IF(AND(F1605&lt;&gt;"",IFERROR(INDEX(pl_eq,MATCH(F1605,pl_num,0))&amp;"",C1605)&lt;&gt;C1605),"Plan d'un autre équipement",IF(AND(J1605&lt;&gt;"",OR(NOT(ISNUMBER(J1605)),N(J1605)&lt;0)),"Compteur invalide",IF(OR(AND(K1605&lt;&gt;"",OR(NOT(ISNUMBER(K1605)),N(K1605)&lt;0)),AND(L1605&lt;&gt;"",OR(NOT(ISNUMBER(L1605)),N(L1605)&lt;0))),"Durée invalide",IF(OR(AND(N1605&lt;&gt;"",OR(NOT(ISNUMBER(N1605)),N(N1605)&lt;0)),AND(P1605&lt;&gt;"",OR(NOT(ISNUMBER(P1605)),N(P1605)&lt;0))),"Coût invalide",IF(AND(M1605&lt;&gt;"",ISNA(MATCH(M1605,tech_name,0))),"Technicien inconnu",IF(AND(I1605="Terminée",S1605&gt;p_today),"Terminée à une date future",IF(AND(I1605="Terminée",V1605=0),"Durée d'intervention manquante",IF(AND(I1605="Terminée",E1605="Préventif",T1605=0,OR(IFERROR(INDEX(pl_trig,MATCH(F1605,pl_num,0))&amp;"","")="Compteur",IFERROR(INDEX(pl_trig,MATCH(F1605,pl_num,0))&amp;"","")="Au premier des deux")),"Compteur manquant (plan au compteur)","OK"))))))))))))))))))</f>
        <v/>
      </c>
      <c r="S1605" s="67">
        <f>IF(AND(ISNUMBER(B1605),N(B1605)&gt;0),INT(B1605),0)</f>
        <v>0.0</v>
      </c>
      <c r="T1605" s="67">
        <f>IF(AND(ISNUMBER(J1605),N(J1605)&gt;=0),N(J1605),0)</f>
        <v>0.0</v>
      </c>
      <c r="U1605" s="67">
        <f>IF(AND(ISNUMBER(K1605),N(K1605)&gt;0),N(K1605),0)</f>
        <v>0.0</v>
      </c>
      <c r="V1605" s="67">
        <f>IF(AND(ISNUMBER(L1605),N(L1605)&gt;0),N(L1605),0)</f>
        <v>0.0</v>
      </c>
      <c r="W1605" s="67">
        <f>IF(AND(I1605="Terminée",S1605&gt;0,C1605&lt;&gt;"",ISNUMBER(MATCH(C1605,eq_code,0))),1,0)</f>
        <v>0.0</v>
      </c>
      <c r="X1605" s="67">
        <f>IF(AND(W1605=1,E1605="Préventif"),1,0)</f>
        <v>0.0</v>
      </c>
      <c r="Y1605" s="67">
        <f>IF(AND(ISNUMBER(N1605),N(N1605)&gt;0),N(N1605),0)</f>
        <v>0.0</v>
      </c>
      <c r="Z1605" s="67">
        <f>IF(AND(ISNUMBER(P1605),N(P1605)&gt;0),N(P1605),0)</f>
        <v>0.0</v>
      </c>
    </row>
    <row r="1606">
      <c r="A1606" s="79" t="str">
        <f>IF(COUNTA(B1606:C1606,E1606:G1606,I1606)=0,"","BI-"&amp;RIGHT("0000"&amp;(ROW()-5),4))</f>
        <v/>
      </c>
      <c r="B1606" s="72" t="n"/>
      <c r="C1606" s="66" t="n"/>
      <c r="D1606" s="67" t="str">
        <f>IF(C1606="","",IFERROR(INDEX(eq_des,MATCH(C1606,eq_code,0))&amp;"","Équipement inconnu"))</f>
        <v/>
      </c>
      <c r="E1606" s="68" t="n"/>
      <c r="F1606" s="68" t="n"/>
      <c r="G1606" s="66" t="n"/>
      <c r="H1606" s="66" t="n"/>
      <c r="I1606" s="68" t="n"/>
      <c r="J1606" s="73" t="n"/>
      <c r="K1606" s="71" t="n"/>
      <c r="L1606" s="71" t="n"/>
      <c r="M1606" s="66" t="n"/>
      <c r="N1606" s="80" t="n"/>
      <c r="O1606" s="81" t="str">
        <f>IF(A1606="","",ROUND(V1606*IFERROR(N(INDEX(tech_rate,MATCH(M1606,tech_name,0))),0),2))</f>
        <v/>
      </c>
      <c r="P1606" s="80" t="n"/>
      <c r="Q1606" s="81" t="str">
        <f>IF(A1606="","",ROUND(Y1606+O1606+Z1606,2))</f>
        <v/>
      </c>
      <c r="R1606" s="79" t="str">
        <f>IF(A1606="","",IF(S1606=0,"Date manquante ou invalide",IF(C1606="","Équipement manquant",IF(ISNA(MATCH(C1606,eq_code,0)),"Équipement inconnu",IF(E1606="","Type manquant",IF(AND(E1606&lt;&gt;"Préventif",E1606&lt;&gt;"Correctif",E1606&lt;&gt;"Amélioratif"),"Type inconnu",IF(I1606="","Statut manquant",IF(AND(I1606&lt;&gt;"Terminée",I1606&lt;&gt;"En cours",I1606&lt;&gt;"À faire",I1606&lt;&gt;"Annulée"),"Statut inconnu",IF(AND(E1606="Préventif",F1606=""),"Plan manquant (préventif)",IF(AND(F1606&lt;&gt;"",ISNA(MATCH(F1606,pl_num,0))),"Plan inconnu",IF(AND(F1606&lt;&gt;"",IFERROR(INDEX(pl_eq,MATCH(F1606,pl_num,0))&amp;"",C1606)&lt;&gt;C1606),"Plan d'un autre équipement",IF(AND(J1606&lt;&gt;"",OR(NOT(ISNUMBER(J1606)),N(J1606)&lt;0)),"Compteur invalide",IF(OR(AND(K1606&lt;&gt;"",OR(NOT(ISNUMBER(K1606)),N(K1606)&lt;0)),AND(L1606&lt;&gt;"",OR(NOT(ISNUMBER(L1606)),N(L1606)&lt;0))),"Durée invalide",IF(OR(AND(N1606&lt;&gt;"",OR(NOT(ISNUMBER(N1606)),N(N1606)&lt;0)),AND(P1606&lt;&gt;"",OR(NOT(ISNUMBER(P1606)),N(P1606)&lt;0))),"Coût invalide",IF(AND(M1606&lt;&gt;"",ISNA(MATCH(M1606,tech_name,0))),"Technicien inconnu",IF(AND(I1606="Terminée",S1606&gt;p_today),"Terminée à une date future",IF(AND(I1606="Terminée",V1606=0),"Durée d'intervention manquante",IF(AND(I1606="Terminée",E1606="Préventif",T1606=0,OR(IFERROR(INDEX(pl_trig,MATCH(F1606,pl_num,0))&amp;"","")="Compteur",IFERROR(INDEX(pl_trig,MATCH(F1606,pl_num,0))&amp;"","")="Au premier des deux")),"Compteur manquant (plan au compteur)","OK"))))))))))))))))))</f>
        <v/>
      </c>
      <c r="S1606" s="67">
        <f>IF(AND(ISNUMBER(B1606),N(B1606)&gt;0),INT(B1606),0)</f>
        <v>0.0</v>
      </c>
      <c r="T1606" s="67">
        <f>IF(AND(ISNUMBER(J1606),N(J1606)&gt;=0),N(J1606),0)</f>
        <v>0.0</v>
      </c>
      <c r="U1606" s="67">
        <f>IF(AND(ISNUMBER(K1606),N(K1606)&gt;0),N(K1606),0)</f>
        <v>0.0</v>
      </c>
      <c r="V1606" s="67">
        <f>IF(AND(ISNUMBER(L1606),N(L1606)&gt;0),N(L1606),0)</f>
        <v>0.0</v>
      </c>
      <c r="W1606" s="67">
        <f>IF(AND(I1606="Terminée",S1606&gt;0,C1606&lt;&gt;"",ISNUMBER(MATCH(C1606,eq_code,0))),1,0)</f>
        <v>0.0</v>
      </c>
      <c r="X1606" s="67">
        <f>IF(AND(W1606=1,E1606="Préventif"),1,0)</f>
        <v>0.0</v>
      </c>
      <c r="Y1606" s="67">
        <f>IF(AND(ISNUMBER(N1606),N(N1606)&gt;0),N(N1606),0)</f>
        <v>0.0</v>
      </c>
      <c r="Z1606" s="67">
        <f>IF(AND(ISNUMBER(P1606),N(P1606)&gt;0),N(P1606),0)</f>
        <v>0.0</v>
      </c>
    </row>
    <row r="1607">
      <c r="A1607" s="79" t="str">
        <f>IF(COUNTA(B1607:C1607,E1607:G1607,I1607)=0,"","BI-"&amp;RIGHT("0000"&amp;(ROW()-5),4))</f>
        <v/>
      </c>
      <c r="B1607" s="72" t="n"/>
      <c r="C1607" s="66" t="n"/>
      <c r="D1607" s="67" t="str">
        <f>IF(C1607="","",IFERROR(INDEX(eq_des,MATCH(C1607,eq_code,0))&amp;"","Équipement inconnu"))</f>
        <v/>
      </c>
      <c r="E1607" s="68" t="n"/>
      <c r="F1607" s="68" t="n"/>
      <c r="G1607" s="66" t="n"/>
      <c r="H1607" s="66" t="n"/>
      <c r="I1607" s="68" t="n"/>
      <c r="J1607" s="73" t="n"/>
      <c r="K1607" s="71" t="n"/>
      <c r="L1607" s="71" t="n"/>
      <c r="M1607" s="66" t="n"/>
      <c r="N1607" s="80" t="n"/>
      <c r="O1607" s="81" t="str">
        <f>IF(A1607="","",ROUND(V1607*IFERROR(N(INDEX(tech_rate,MATCH(M1607,tech_name,0))),0),2))</f>
        <v/>
      </c>
      <c r="P1607" s="80" t="n"/>
      <c r="Q1607" s="81" t="str">
        <f>IF(A1607="","",ROUND(Y1607+O1607+Z1607,2))</f>
        <v/>
      </c>
      <c r="R1607" s="79" t="str">
        <f>IF(A1607="","",IF(S1607=0,"Date manquante ou invalide",IF(C1607="","Équipement manquant",IF(ISNA(MATCH(C1607,eq_code,0)),"Équipement inconnu",IF(E1607="","Type manquant",IF(AND(E1607&lt;&gt;"Préventif",E1607&lt;&gt;"Correctif",E1607&lt;&gt;"Amélioratif"),"Type inconnu",IF(I1607="","Statut manquant",IF(AND(I1607&lt;&gt;"Terminée",I1607&lt;&gt;"En cours",I1607&lt;&gt;"À faire",I1607&lt;&gt;"Annulée"),"Statut inconnu",IF(AND(E1607="Préventif",F1607=""),"Plan manquant (préventif)",IF(AND(F1607&lt;&gt;"",ISNA(MATCH(F1607,pl_num,0))),"Plan inconnu",IF(AND(F1607&lt;&gt;"",IFERROR(INDEX(pl_eq,MATCH(F1607,pl_num,0))&amp;"",C1607)&lt;&gt;C1607),"Plan d'un autre équipement",IF(AND(J1607&lt;&gt;"",OR(NOT(ISNUMBER(J1607)),N(J1607)&lt;0)),"Compteur invalide",IF(OR(AND(K1607&lt;&gt;"",OR(NOT(ISNUMBER(K1607)),N(K1607)&lt;0)),AND(L1607&lt;&gt;"",OR(NOT(ISNUMBER(L1607)),N(L1607)&lt;0))),"Durée invalide",IF(OR(AND(N1607&lt;&gt;"",OR(NOT(ISNUMBER(N1607)),N(N1607)&lt;0)),AND(P1607&lt;&gt;"",OR(NOT(ISNUMBER(P1607)),N(P1607)&lt;0))),"Coût invalide",IF(AND(M1607&lt;&gt;"",ISNA(MATCH(M1607,tech_name,0))),"Technicien inconnu",IF(AND(I1607="Terminée",S1607&gt;p_today),"Terminée à une date future",IF(AND(I1607="Terminée",V1607=0),"Durée d'intervention manquante",IF(AND(I1607="Terminée",E1607="Préventif",T1607=0,OR(IFERROR(INDEX(pl_trig,MATCH(F1607,pl_num,0))&amp;"","")="Compteur",IFERROR(INDEX(pl_trig,MATCH(F1607,pl_num,0))&amp;"","")="Au premier des deux")),"Compteur manquant (plan au compteur)","OK"))))))))))))))))))</f>
        <v/>
      </c>
      <c r="S1607" s="67">
        <f>IF(AND(ISNUMBER(B1607),N(B1607)&gt;0),INT(B1607),0)</f>
        <v>0.0</v>
      </c>
      <c r="T1607" s="67">
        <f>IF(AND(ISNUMBER(J1607),N(J1607)&gt;=0),N(J1607),0)</f>
        <v>0.0</v>
      </c>
      <c r="U1607" s="67">
        <f>IF(AND(ISNUMBER(K1607),N(K1607)&gt;0),N(K1607),0)</f>
        <v>0.0</v>
      </c>
      <c r="V1607" s="67">
        <f>IF(AND(ISNUMBER(L1607),N(L1607)&gt;0),N(L1607),0)</f>
        <v>0.0</v>
      </c>
      <c r="W1607" s="67">
        <f>IF(AND(I1607="Terminée",S1607&gt;0,C1607&lt;&gt;"",ISNUMBER(MATCH(C1607,eq_code,0))),1,0)</f>
        <v>0.0</v>
      </c>
      <c r="X1607" s="67">
        <f>IF(AND(W1607=1,E1607="Préventif"),1,0)</f>
        <v>0.0</v>
      </c>
      <c r="Y1607" s="67">
        <f>IF(AND(ISNUMBER(N1607),N(N1607)&gt;0),N(N1607),0)</f>
        <v>0.0</v>
      </c>
      <c r="Z1607" s="67">
        <f>IF(AND(ISNUMBER(P1607),N(P1607)&gt;0),N(P1607),0)</f>
        <v>0.0</v>
      </c>
    </row>
    <row r="1608">
      <c r="A1608" s="79" t="str">
        <f>IF(COUNTA(B1608:C1608,E1608:G1608,I1608)=0,"","BI-"&amp;RIGHT("0000"&amp;(ROW()-5),4))</f>
        <v/>
      </c>
      <c r="B1608" s="72" t="n"/>
      <c r="C1608" s="66" t="n"/>
      <c r="D1608" s="67" t="str">
        <f>IF(C1608="","",IFERROR(INDEX(eq_des,MATCH(C1608,eq_code,0))&amp;"","Équipement inconnu"))</f>
        <v/>
      </c>
      <c r="E1608" s="68" t="n"/>
      <c r="F1608" s="68" t="n"/>
      <c r="G1608" s="66" t="n"/>
      <c r="H1608" s="66" t="n"/>
      <c r="I1608" s="68" t="n"/>
      <c r="J1608" s="73" t="n"/>
      <c r="K1608" s="71" t="n"/>
      <c r="L1608" s="71" t="n"/>
      <c r="M1608" s="66" t="n"/>
      <c r="N1608" s="80" t="n"/>
      <c r="O1608" s="81" t="str">
        <f>IF(A1608="","",ROUND(V1608*IFERROR(N(INDEX(tech_rate,MATCH(M1608,tech_name,0))),0),2))</f>
        <v/>
      </c>
      <c r="P1608" s="80" t="n"/>
      <c r="Q1608" s="81" t="str">
        <f>IF(A1608="","",ROUND(Y1608+O1608+Z1608,2))</f>
        <v/>
      </c>
      <c r="R1608" s="79" t="str">
        <f>IF(A1608="","",IF(S1608=0,"Date manquante ou invalide",IF(C1608="","Équipement manquant",IF(ISNA(MATCH(C1608,eq_code,0)),"Équipement inconnu",IF(E1608="","Type manquant",IF(AND(E1608&lt;&gt;"Préventif",E1608&lt;&gt;"Correctif",E1608&lt;&gt;"Amélioratif"),"Type inconnu",IF(I1608="","Statut manquant",IF(AND(I1608&lt;&gt;"Terminée",I1608&lt;&gt;"En cours",I1608&lt;&gt;"À faire",I1608&lt;&gt;"Annulée"),"Statut inconnu",IF(AND(E1608="Préventif",F1608=""),"Plan manquant (préventif)",IF(AND(F1608&lt;&gt;"",ISNA(MATCH(F1608,pl_num,0))),"Plan inconnu",IF(AND(F1608&lt;&gt;"",IFERROR(INDEX(pl_eq,MATCH(F1608,pl_num,0))&amp;"",C1608)&lt;&gt;C1608),"Plan d'un autre équipement",IF(AND(J1608&lt;&gt;"",OR(NOT(ISNUMBER(J1608)),N(J1608)&lt;0)),"Compteur invalide",IF(OR(AND(K1608&lt;&gt;"",OR(NOT(ISNUMBER(K1608)),N(K1608)&lt;0)),AND(L1608&lt;&gt;"",OR(NOT(ISNUMBER(L1608)),N(L1608)&lt;0))),"Durée invalide",IF(OR(AND(N1608&lt;&gt;"",OR(NOT(ISNUMBER(N1608)),N(N1608)&lt;0)),AND(P1608&lt;&gt;"",OR(NOT(ISNUMBER(P1608)),N(P1608)&lt;0))),"Coût invalide",IF(AND(M1608&lt;&gt;"",ISNA(MATCH(M1608,tech_name,0))),"Technicien inconnu",IF(AND(I1608="Terminée",S1608&gt;p_today),"Terminée à une date future",IF(AND(I1608="Terminée",V1608=0),"Durée d'intervention manquante",IF(AND(I1608="Terminée",E1608="Préventif",T1608=0,OR(IFERROR(INDEX(pl_trig,MATCH(F1608,pl_num,0))&amp;"","")="Compteur",IFERROR(INDEX(pl_trig,MATCH(F1608,pl_num,0))&amp;"","")="Au premier des deux")),"Compteur manquant (plan au compteur)","OK"))))))))))))))))))</f>
        <v/>
      </c>
      <c r="S1608" s="67">
        <f>IF(AND(ISNUMBER(B1608),N(B1608)&gt;0),INT(B1608),0)</f>
        <v>0.0</v>
      </c>
      <c r="T1608" s="67">
        <f>IF(AND(ISNUMBER(J1608),N(J1608)&gt;=0),N(J1608),0)</f>
        <v>0.0</v>
      </c>
      <c r="U1608" s="67">
        <f>IF(AND(ISNUMBER(K1608),N(K1608)&gt;0),N(K1608),0)</f>
        <v>0.0</v>
      </c>
      <c r="V1608" s="67">
        <f>IF(AND(ISNUMBER(L1608),N(L1608)&gt;0),N(L1608),0)</f>
        <v>0.0</v>
      </c>
      <c r="W1608" s="67">
        <f>IF(AND(I1608="Terminée",S1608&gt;0,C1608&lt;&gt;"",ISNUMBER(MATCH(C1608,eq_code,0))),1,0)</f>
        <v>0.0</v>
      </c>
      <c r="X1608" s="67">
        <f>IF(AND(W1608=1,E1608="Préventif"),1,0)</f>
        <v>0.0</v>
      </c>
      <c r="Y1608" s="67">
        <f>IF(AND(ISNUMBER(N1608),N(N1608)&gt;0),N(N1608),0)</f>
        <v>0.0</v>
      </c>
      <c r="Z1608" s="67">
        <f>IF(AND(ISNUMBER(P1608),N(P1608)&gt;0),N(P1608),0)</f>
        <v>0.0</v>
      </c>
    </row>
    <row r="1609">
      <c r="A1609" s="79" t="str">
        <f>IF(COUNTA(B1609:C1609,E1609:G1609,I1609)=0,"","BI-"&amp;RIGHT("0000"&amp;(ROW()-5),4))</f>
        <v/>
      </c>
      <c r="B1609" s="72" t="n"/>
      <c r="C1609" s="66" t="n"/>
      <c r="D1609" s="67" t="str">
        <f>IF(C1609="","",IFERROR(INDEX(eq_des,MATCH(C1609,eq_code,0))&amp;"","Équipement inconnu"))</f>
        <v/>
      </c>
      <c r="E1609" s="68" t="n"/>
      <c r="F1609" s="68" t="n"/>
      <c r="G1609" s="66" t="n"/>
      <c r="H1609" s="66" t="n"/>
      <c r="I1609" s="68" t="n"/>
      <c r="J1609" s="73" t="n"/>
      <c r="K1609" s="71" t="n"/>
      <c r="L1609" s="71" t="n"/>
      <c r="M1609" s="66" t="n"/>
      <c r="N1609" s="80" t="n"/>
      <c r="O1609" s="81" t="str">
        <f>IF(A1609="","",ROUND(V1609*IFERROR(N(INDEX(tech_rate,MATCH(M1609,tech_name,0))),0),2))</f>
        <v/>
      </c>
      <c r="P1609" s="80" t="n"/>
      <c r="Q1609" s="81" t="str">
        <f>IF(A1609="","",ROUND(Y1609+O1609+Z1609,2))</f>
        <v/>
      </c>
      <c r="R1609" s="79" t="str">
        <f>IF(A1609="","",IF(S1609=0,"Date manquante ou invalide",IF(C1609="","Équipement manquant",IF(ISNA(MATCH(C1609,eq_code,0)),"Équipement inconnu",IF(E1609="","Type manquant",IF(AND(E1609&lt;&gt;"Préventif",E1609&lt;&gt;"Correctif",E1609&lt;&gt;"Amélioratif"),"Type inconnu",IF(I1609="","Statut manquant",IF(AND(I1609&lt;&gt;"Terminée",I1609&lt;&gt;"En cours",I1609&lt;&gt;"À faire",I1609&lt;&gt;"Annulée"),"Statut inconnu",IF(AND(E1609="Préventif",F1609=""),"Plan manquant (préventif)",IF(AND(F1609&lt;&gt;"",ISNA(MATCH(F1609,pl_num,0))),"Plan inconnu",IF(AND(F1609&lt;&gt;"",IFERROR(INDEX(pl_eq,MATCH(F1609,pl_num,0))&amp;"",C1609)&lt;&gt;C1609),"Plan d'un autre équipement",IF(AND(J1609&lt;&gt;"",OR(NOT(ISNUMBER(J1609)),N(J1609)&lt;0)),"Compteur invalide",IF(OR(AND(K1609&lt;&gt;"",OR(NOT(ISNUMBER(K1609)),N(K1609)&lt;0)),AND(L1609&lt;&gt;"",OR(NOT(ISNUMBER(L1609)),N(L1609)&lt;0))),"Durée invalide",IF(OR(AND(N1609&lt;&gt;"",OR(NOT(ISNUMBER(N1609)),N(N1609)&lt;0)),AND(P1609&lt;&gt;"",OR(NOT(ISNUMBER(P1609)),N(P1609)&lt;0))),"Coût invalide",IF(AND(M1609&lt;&gt;"",ISNA(MATCH(M1609,tech_name,0))),"Technicien inconnu",IF(AND(I1609="Terminée",S1609&gt;p_today),"Terminée à une date future",IF(AND(I1609="Terminée",V1609=0),"Durée d'intervention manquante",IF(AND(I1609="Terminée",E1609="Préventif",T1609=0,OR(IFERROR(INDEX(pl_trig,MATCH(F1609,pl_num,0))&amp;"","")="Compteur",IFERROR(INDEX(pl_trig,MATCH(F1609,pl_num,0))&amp;"","")="Au premier des deux")),"Compteur manquant (plan au compteur)","OK"))))))))))))))))))</f>
        <v/>
      </c>
      <c r="S1609" s="67">
        <f>IF(AND(ISNUMBER(B1609),N(B1609)&gt;0),INT(B1609),0)</f>
        <v>0.0</v>
      </c>
      <c r="T1609" s="67">
        <f>IF(AND(ISNUMBER(J1609),N(J1609)&gt;=0),N(J1609),0)</f>
        <v>0.0</v>
      </c>
      <c r="U1609" s="67">
        <f>IF(AND(ISNUMBER(K1609),N(K1609)&gt;0),N(K1609),0)</f>
        <v>0.0</v>
      </c>
      <c r="V1609" s="67">
        <f>IF(AND(ISNUMBER(L1609),N(L1609)&gt;0),N(L1609),0)</f>
        <v>0.0</v>
      </c>
      <c r="W1609" s="67">
        <f>IF(AND(I1609="Terminée",S1609&gt;0,C1609&lt;&gt;"",ISNUMBER(MATCH(C1609,eq_code,0))),1,0)</f>
        <v>0.0</v>
      </c>
      <c r="X1609" s="67">
        <f>IF(AND(W1609=1,E1609="Préventif"),1,0)</f>
        <v>0.0</v>
      </c>
      <c r="Y1609" s="67">
        <f>IF(AND(ISNUMBER(N1609),N(N1609)&gt;0),N(N1609),0)</f>
        <v>0.0</v>
      </c>
      <c r="Z1609" s="67">
        <f>IF(AND(ISNUMBER(P1609),N(P1609)&gt;0),N(P1609),0)</f>
        <v>0.0</v>
      </c>
    </row>
    <row r="1610">
      <c r="A1610" s="79" t="str">
        <f>IF(COUNTA(B1610:C1610,E1610:G1610,I1610)=0,"","BI-"&amp;RIGHT("0000"&amp;(ROW()-5),4))</f>
        <v/>
      </c>
      <c r="B1610" s="72" t="n"/>
      <c r="C1610" s="66" t="n"/>
      <c r="D1610" s="67" t="str">
        <f>IF(C1610="","",IFERROR(INDEX(eq_des,MATCH(C1610,eq_code,0))&amp;"","Équipement inconnu"))</f>
        <v/>
      </c>
      <c r="E1610" s="68" t="n"/>
      <c r="F1610" s="68" t="n"/>
      <c r="G1610" s="66" t="n"/>
      <c r="H1610" s="66" t="n"/>
      <c r="I1610" s="68" t="n"/>
      <c r="J1610" s="73" t="n"/>
      <c r="K1610" s="71" t="n"/>
      <c r="L1610" s="71" t="n"/>
      <c r="M1610" s="66" t="n"/>
      <c r="N1610" s="80" t="n"/>
      <c r="O1610" s="81" t="str">
        <f>IF(A1610="","",ROUND(V1610*IFERROR(N(INDEX(tech_rate,MATCH(M1610,tech_name,0))),0),2))</f>
        <v/>
      </c>
      <c r="P1610" s="80" t="n"/>
      <c r="Q1610" s="81" t="str">
        <f>IF(A1610="","",ROUND(Y1610+O1610+Z1610,2))</f>
        <v/>
      </c>
      <c r="R1610" s="79" t="str">
        <f>IF(A1610="","",IF(S1610=0,"Date manquante ou invalide",IF(C1610="","Équipement manquant",IF(ISNA(MATCH(C1610,eq_code,0)),"Équipement inconnu",IF(E1610="","Type manquant",IF(AND(E1610&lt;&gt;"Préventif",E1610&lt;&gt;"Correctif",E1610&lt;&gt;"Amélioratif"),"Type inconnu",IF(I1610="","Statut manquant",IF(AND(I1610&lt;&gt;"Terminée",I1610&lt;&gt;"En cours",I1610&lt;&gt;"À faire",I1610&lt;&gt;"Annulée"),"Statut inconnu",IF(AND(E1610="Préventif",F1610=""),"Plan manquant (préventif)",IF(AND(F1610&lt;&gt;"",ISNA(MATCH(F1610,pl_num,0))),"Plan inconnu",IF(AND(F1610&lt;&gt;"",IFERROR(INDEX(pl_eq,MATCH(F1610,pl_num,0))&amp;"",C1610)&lt;&gt;C1610),"Plan d'un autre équipement",IF(AND(J1610&lt;&gt;"",OR(NOT(ISNUMBER(J1610)),N(J1610)&lt;0)),"Compteur invalide",IF(OR(AND(K1610&lt;&gt;"",OR(NOT(ISNUMBER(K1610)),N(K1610)&lt;0)),AND(L1610&lt;&gt;"",OR(NOT(ISNUMBER(L1610)),N(L1610)&lt;0))),"Durée invalide",IF(OR(AND(N1610&lt;&gt;"",OR(NOT(ISNUMBER(N1610)),N(N1610)&lt;0)),AND(P1610&lt;&gt;"",OR(NOT(ISNUMBER(P1610)),N(P1610)&lt;0))),"Coût invalide",IF(AND(M1610&lt;&gt;"",ISNA(MATCH(M1610,tech_name,0))),"Technicien inconnu",IF(AND(I1610="Terminée",S1610&gt;p_today),"Terminée à une date future",IF(AND(I1610="Terminée",V1610=0),"Durée d'intervention manquante",IF(AND(I1610="Terminée",E1610="Préventif",T1610=0,OR(IFERROR(INDEX(pl_trig,MATCH(F1610,pl_num,0))&amp;"","")="Compteur",IFERROR(INDEX(pl_trig,MATCH(F1610,pl_num,0))&amp;"","")="Au premier des deux")),"Compteur manquant (plan au compteur)","OK"))))))))))))))))))</f>
        <v/>
      </c>
      <c r="S1610" s="67">
        <f>IF(AND(ISNUMBER(B1610),N(B1610)&gt;0),INT(B1610),0)</f>
        <v>0.0</v>
      </c>
      <c r="T1610" s="67">
        <f>IF(AND(ISNUMBER(J1610),N(J1610)&gt;=0),N(J1610),0)</f>
        <v>0.0</v>
      </c>
      <c r="U1610" s="67">
        <f>IF(AND(ISNUMBER(K1610),N(K1610)&gt;0),N(K1610),0)</f>
        <v>0.0</v>
      </c>
      <c r="V1610" s="67">
        <f>IF(AND(ISNUMBER(L1610),N(L1610)&gt;0),N(L1610),0)</f>
        <v>0.0</v>
      </c>
      <c r="W1610" s="67">
        <f>IF(AND(I1610="Terminée",S1610&gt;0,C1610&lt;&gt;"",ISNUMBER(MATCH(C1610,eq_code,0))),1,0)</f>
        <v>0.0</v>
      </c>
      <c r="X1610" s="67">
        <f>IF(AND(W1610=1,E1610="Préventif"),1,0)</f>
        <v>0.0</v>
      </c>
      <c r="Y1610" s="67">
        <f>IF(AND(ISNUMBER(N1610),N(N1610)&gt;0),N(N1610),0)</f>
        <v>0.0</v>
      </c>
      <c r="Z1610" s="67">
        <f>IF(AND(ISNUMBER(P1610),N(P1610)&gt;0),N(P1610),0)</f>
        <v>0.0</v>
      </c>
    </row>
    <row r="1611">
      <c r="A1611" s="79" t="str">
        <f>IF(COUNTA(B1611:C1611,E1611:G1611,I1611)=0,"","BI-"&amp;RIGHT("0000"&amp;(ROW()-5),4))</f>
        <v/>
      </c>
      <c r="B1611" s="72" t="n"/>
      <c r="C1611" s="66" t="n"/>
      <c r="D1611" s="67" t="str">
        <f>IF(C1611="","",IFERROR(INDEX(eq_des,MATCH(C1611,eq_code,0))&amp;"","Équipement inconnu"))</f>
        <v/>
      </c>
      <c r="E1611" s="68" t="n"/>
      <c r="F1611" s="68" t="n"/>
      <c r="G1611" s="66" t="n"/>
      <c r="H1611" s="66" t="n"/>
      <c r="I1611" s="68" t="n"/>
      <c r="J1611" s="73" t="n"/>
      <c r="K1611" s="71" t="n"/>
      <c r="L1611" s="71" t="n"/>
      <c r="M1611" s="66" t="n"/>
      <c r="N1611" s="80" t="n"/>
      <c r="O1611" s="81" t="str">
        <f>IF(A1611="","",ROUND(V1611*IFERROR(N(INDEX(tech_rate,MATCH(M1611,tech_name,0))),0),2))</f>
        <v/>
      </c>
      <c r="P1611" s="80" t="n"/>
      <c r="Q1611" s="81" t="str">
        <f>IF(A1611="","",ROUND(Y1611+O1611+Z1611,2))</f>
        <v/>
      </c>
      <c r="R1611" s="79" t="str">
        <f>IF(A1611="","",IF(S1611=0,"Date manquante ou invalide",IF(C1611="","Équipement manquant",IF(ISNA(MATCH(C1611,eq_code,0)),"Équipement inconnu",IF(E1611="","Type manquant",IF(AND(E1611&lt;&gt;"Préventif",E1611&lt;&gt;"Correctif",E1611&lt;&gt;"Amélioratif"),"Type inconnu",IF(I1611="","Statut manquant",IF(AND(I1611&lt;&gt;"Terminée",I1611&lt;&gt;"En cours",I1611&lt;&gt;"À faire",I1611&lt;&gt;"Annulée"),"Statut inconnu",IF(AND(E1611="Préventif",F1611=""),"Plan manquant (préventif)",IF(AND(F1611&lt;&gt;"",ISNA(MATCH(F1611,pl_num,0))),"Plan inconnu",IF(AND(F1611&lt;&gt;"",IFERROR(INDEX(pl_eq,MATCH(F1611,pl_num,0))&amp;"",C1611)&lt;&gt;C1611),"Plan d'un autre équipement",IF(AND(J1611&lt;&gt;"",OR(NOT(ISNUMBER(J1611)),N(J1611)&lt;0)),"Compteur invalide",IF(OR(AND(K1611&lt;&gt;"",OR(NOT(ISNUMBER(K1611)),N(K1611)&lt;0)),AND(L1611&lt;&gt;"",OR(NOT(ISNUMBER(L1611)),N(L1611)&lt;0))),"Durée invalide",IF(OR(AND(N1611&lt;&gt;"",OR(NOT(ISNUMBER(N1611)),N(N1611)&lt;0)),AND(P1611&lt;&gt;"",OR(NOT(ISNUMBER(P1611)),N(P1611)&lt;0))),"Coût invalide",IF(AND(M1611&lt;&gt;"",ISNA(MATCH(M1611,tech_name,0))),"Technicien inconnu",IF(AND(I1611="Terminée",S1611&gt;p_today),"Terminée à une date future",IF(AND(I1611="Terminée",V1611=0),"Durée d'intervention manquante",IF(AND(I1611="Terminée",E1611="Préventif",T1611=0,OR(IFERROR(INDEX(pl_trig,MATCH(F1611,pl_num,0))&amp;"","")="Compteur",IFERROR(INDEX(pl_trig,MATCH(F1611,pl_num,0))&amp;"","")="Au premier des deux")),"Compteur manquant (plan au compteur)","OK"))))))))))))))))))</f>
        <v/>
      </c>
      <c r="S1611" s="67">
        <f>IF(AND(ISNUMBER(B1611),N(B1611)&gt;0),INT(B1611),0)</f>
        <v>0.0</v>
      </c>
      <c r="T1611" s="67">
        <f>IF(AND(ISNUMBER(J1611),N(J1611)&gt;=0),N(J1611),0)</f>
        <v>0.0</v>
      </c>
      <c r="U1611" s="67">
        <f>IF(AND(ISNUMBER(K1611),N(K1611)&gt;0),N(K1611),0)</f>
        <v>0.0</v>
      </c>
      <c r="V1611" s="67">
        <f>IF(AND(ISNUMBER(L1611),N(L1611)&gt;0),N(L1611),0)</f>
        <v>0.0</v>
      </c>
      <c r="W1611" s="67">
        <f>IF(AND(I1611="Terminée",S1611&gt;0,C1611&lt;&gt;"",ISNUMBER(MATCH(C1611,eq_code,0))),1,0)</f>
        <v>0.0</v>
      </c>
      <c r="X1611" s="67">
        <f>IF(AND(W1611=1,E1611="Préventif"),1,0)</f>
        <v>0.0</v>
      </c>
      <c r="Y1611" s="67">
        <f>IF(AND(ISNUMBER(N1611),N(N1611)&gt;0),N(N1611),0)</f>
        <v>0.0</v>
      </c>
      <c r="Z1611" s="67">
        <f>IF(AND(ISNUMBER(P1611),N(P1611)&gt;0),N(P1611),0)</f>
        <v>0.0</v>
      </c>
    </row>
    <row r="1612">
      <c r="A1612" s="79" t="str">
        <f>IF(COUNTA(B1612:C1612,E1612:G1612,I1612)=0,"","BI-"&amp;RIGHT("0000"&amp;(ROW()-5),4))</f>
        <v/>
      </c>
      <c r="B1612" s="72" t="n"/>
      <c r="C1612" s="66" t="n"/>
      <c r="D1612" s="67" t="str">
        <f>IF(C1612="","",IFERROR(INDEX(eq_des,MATCH(C1612,eq_code,0))&amp;"","Équipement inconnu"))</f>
        <v/>
      </c>
      <c r="E1612" s="68" t="n"/>
      <c r="F1612" s="68" t="n"/>
      <c r="G1612" s="66" t="n"/>
      <c r="H1612" s="66" t="n"/>
      <c r="I1612" s="68" t="n"/>
      <c r="J1612" s="73" t="n"/>
      <c r="K1612" s="71" t="n"/>
      <c r="L1612" s="71" t="n"/>
      <c r="M1612" s="66" t="n"/>
      <c r="N1612" s="80" t="n"/>
      <c r="O1612" s="81" t="str">
        <f>IF(A1612="","",ROUND(V1612*IFERROR(N(INDEX(tech_rate,MATCH(M1612,tech_name,0))),0),2))</f>
        <v/>
      </c>
      <c r="P1612" s="80" t="n"/>
      <c r="Q1612" s="81" t="str">
        <f>IF(A1612="","",ROUND(Y1612+O1612+Z1612,2))</f>
        <v/>
      </c>
      <c r="R1612" s="79" t="str">
        <f>IF(A1612="","",IF(S1612=0,"Date manquante ou invalide",IF(C1612="","Équipement manquant",IF(ISNA(MATCH(C1612,eq_code,0)),"Équipement inconnu",IF(E1612="","Type manquant",IF(AND(E1612&lt;&gt;"Préventif",E1612&lt;&gt;"Correctif",E1612&lt;&gt;"Amélioratif"),"Type inconnu",IF(I1612="","Statut manquant",IF(AND(I1612&lt;&gt;"Terminée",I1612&lt;&gt;"En cours",I1612&lt;&gt;"À faire",I1612&lt;&gt;"Annulée"),"Statut inconnu",IF(AND(E1612="Préventif",F1612=""),"Plan manquant (préventif)",IF(AND(F1612&lt;&gt;"",ISNA(MATCH(F1612,pl_num,0))),"Plan inconnu",IF(AND(F1612&lt;&gt;"",IFERROR(INDEX(pl_eq,MATCH(F1612,pl_num,0))&amp;"",C1612)&lt;&gt;C1612),"Plan d'un autre équipement",IF(AND(J1612&lt;&gt;"",OR(NOT(ISNUMBER(J1612)),N(J1612)&lt;0)),"Compteur invalide",IF(OR(AND(K1612&lt;&gt;"",OR(NOT(ISNUMBER(K1612)),N(K1612)&lt;0)),AND(L1612&lt;&gt;"",OR(NOT(ISNUMBER(L1612)),N(L1612)&lt;0))),"Durée invalide",IF(OR(AND(N1612&lt;&gt;"",OR(NOT(ISNUMBER(N1612)),N(N1612)&lt;0)),AND(P1612&lt;&gt;"",OR(NOT(ISNUMBER(P1612)),N(P1612)&lt;0))),"Coût invalide",IF(AND(M1612&lt;&gt;"",ISNA(MATCH(M1612,tech_name,0))),"Technicien inconnu",IF(AND(I1612="Terminée",S1612&gt;p_today),"Terminée à une date future",IF(AND(I1612="Terminée",V1612=0),"Durée d'intervention manquante",IF(AND(I1612="Terminée",E1612="Préventif",T1612=0,OR(IFERROR(INDEX(pl_trig,MATCH(F1612,pl_num,0))&amp;"","")="Compteur",IFERROR(INDEX(pl_trig,MATCH(F1612,pl_num,0))&amp;"","")="Au premier des deux")),"Compteur manquant (plan au compteur)","OK"))))))))))))))))))</f>
        <v/>
      </c>
      <c r="S1612" s="67">
        <f>IF(AND(ISNUMBER(B1612),N(B1612)&gt;0),INT(B1612),0)</f>
        <v>0.0</v>
      </c>
      <c r="T1612" s="67">
        <f>IF(AND(ISNUMBER(J1612),N(J1612)&gt;=0),N(J1612),0)</f>
        <v>0.0</v>
      </c>
      <c r="U1612" s="67">
        <f>IF(AND(ISNUMBER(K1612),N(K1612)&gt;0),N(K1612),0)</f>
        <v>0.0</v>
      </c>
      <c r="V1612" s="67">
        <f>IF(AND(ISNUMBER(L1612),N(L1612)&gt;0),N(L1612),0)</f>
        <v>0.0</v>
      </c>
      <c r="W1612" s="67">
        <f>IF(AND(I1612="Terminée",S1612&gt;0,C1612&lt;&gt;"",ISNUMBER(MATCH(C1612,eq_code,0))),1,0)</f>
        <v>0.0</v>
      </c>
      <c r="X1612" s="67">
        <f>IF(AND(W1612=1,E1612="Préventif"),1,0)</f>
        <v>0.0</v>
      </c>
      <c r="Y1612" s="67">
        <f>IF(AND(ISNUMBER(N1612),N(N1612)&gt;0),N(N1612),0)</f>
        <v>0.0</v>
      </c>
      <c r="Z1612" s="67">
        <f>IF(AND(ISNUMBER(P1612),N(P1612)&gt;0),N(P1612),0)</f>
        <v>0.0</v>
      </c>
    </row>
    <row r="1613">
      <c r="A1613" s="79" t="str">
        <f>IF(COUNTA(B1613:C1613,E1613:G1613,I1613)=0,"","BI-"&amp;RIGHT("0000"&amp;(ROW()-5),4))</f>
        <v/>
      </c>
      <c r="B1613" s="72" t="n"/>
      <c r="C1613" s="66" t="n"/>
      <c r="D1613" s="67" t="str">
        <f>IF(C1613="","",IFERROR(INDEX(eq_des,MATCH(C1613,eq_code,0))&amp;"","Équipement inconnu"))</f>
        <v/>
      </c>
      <c r="E1613" s="68" t="n"/>
      <c r="F1613" s="68" t="n"/>
      <c r="G1613" s="66" t="n"/>
      <c r="H1613" s="66" t="n"/>
      <c r="I1613" s="68" t="n"/>
      <c r="J1613" s="73" t="n"/>
      <c r="K1613" s="71" t="n"/>
      <c r="L1613" s="71" t="n"/>
      <c r="M1613" s="66" t="n"/>
      <c r="N1613" s="80" t="n"/>
      <c r="O1613" s="81" t="str">
        <f>IF(A1613="","",ROUND(V1613*IFERROR(N(INDEX(tech_rate,MATCH(M1613,tech_name,0))),0),2))</f>
        <v/>
      </c>
      <c r="P1613" s="80" t="n"/>
      <c r="Q1613" s="81" t="str">
        <f>IF(A1613="","",ROUND(Y1613+O1613+Z1613,2))</f>
        <v/>
      </c>
      <c r="R1613" s="79" t="str">
        <f>IF(A1613="","",IF(S1613=0,"Date manquante ou invalide",IF(C1613="","Équipement manquant",IF(ISNA(MATCH(C1613,eq_code,0)),"Équipement inconnu",IF(E1613="","Type manquant",IF(AND(E1613&lt;&gt;"Préventif",E1613&lt;&gt;"Correctif",E1613&lt;&gt;"Amélioratif"),"Type inconnu",IF(I1613="","Statut manquant",IF(AND(I1613&lt;&gt;"Terminée",I1613&lt;&gt;"En cours",I1613&lt;&gt;"À faire",I1613&lt;&gt;"Annulée"),"Statut inconnu",IF(AND(E1613="Préventif",F1613=""),"Plan manquant (préventif)",IF(AND(F1613&lt;&gt;"",ISNA(MATCH(F1613,pl_num,0))),"Plan inconnu",IF(AND(F1613&lt;&gt;"",IFERROR(INDEX(pl_eq,MATCH(F1613,pl_num,0))&amp;"",C1613)&lt;&gt;C1613),"Plan d'un autre équipement",IF(AND(J1613&lt;&gt;"",OR(NOT(ISNUMBER(J1613)),N(J1613)&lt;0)),"Compteur invalide",IF(OR(AND(K1613&lt;&gt;"",OR(NOT(ISNUMBER(K1613)),N(K1613)&lt;0)),AND(L1613&lt;&gt;"",OR(NOT(ISNUMBER(L1613)),N(L1613)&lt;0))),"Durée invalide",IF(OR(AND(N1613&lt;&gt;"",OR(NOT(ISNUMBER(N1613)),N(N1613)&lt;0)),AND(P1613&lt;&gt;"",OR(NOT(ISNUMBER(P1613)),N(P1613)&lt;0))),"Coût invalide",IF(AND(M1613&lt;&gt;"",ISNA(MATCH(M1613,tech_name,0))),"Technicien inconnu",IF(AND(I1613="Terminée",S1613&gt;p_today),"Terminée à une date future",IF(AND(I1613="Terminée",V1613=0),"Durée d'intervention manquante",IF(AND(I1613="Terminée",E1613="Préventif",T1613=0,OR(IFERROR(INDEX(pl_trig,MATCH(F1613,pl_num,0))&amp;"","")="Compteur",IFERROR(INDEX(pl_trig,MATCH(F1613,pl_num,0))&amp;"","")="Au premier des deux")),"Compteur manquant (plan au compteur)","OK"))))))))))))))))))</f>
        <v/>
      </c>
      <c r="S1613" s="67">
        <f>IF(AND(ISNUMBER(B1613),N(B1613)&gt;0),INT(B1613),0)</f>
        <v>0.0</v>
      </c>
      <c r="T1613" s="67">
        <f>IF(AND(ISNUMBER(J1613),N(J1613)&gt;=0),N(J1613),0)</f>
        <v>0.0</v>
      </c>
      <c r="U1613" s="67">
        <f>IF(AND(ISNUMBER(K1613),N(K1613)&gt;0),N(K1613),0)</f>
        <v>0.0</v>
      </c>
      <c r="V1613" s="67">
        <f>IF(AND(ISNUMBER(L1613),N(L1613)&gt;0),N(L1613),0)</f>
        <v>0.0</v>
      </c>
      <c r="W1613" s="67">
        <f>IF(AND(I1613="Terminée",S1613&gt;0,C1613&lt;&gt;"",ISNUMBER(MATCH(C1613,eq_code,0))),1,0)</f>
        <v>0.0</v>
      </c>
      <c r="X1613" s="67">
        <f>IF(AND(W1613=1,E1613="Préventif"),1,0)</f>
        <v>0.0</v>
      </c>
      <c r="Y1613" s="67">
        <f>IF(AND(ISNUMBER(N1613),N(N1613)&gt;0),N(N1613),0)</f>
        <v>0.0</v>
      </c>
      <c r="Z1613" s="67">
        <f>IF(AND(ISNUMBER(P1613),N(P1613)&gt;0),N(P1613),0)</f>
        <v>0.0</v>
      </c>
    </row>
    <row r="1614">
      <c r="A1614" s="79" t="str">
        <f>IF(COUNTA(B1614:C1614,E1614:G1614,I1614)=0,"","BI-"&amp;RIGHT("0000"&amp;(ROW()-5),4))</f>
        <v/>
      </c>
      <c r="B1614" s="72" t="n"/>
      <c r="C1614" s="66" t="n"/>
      <c r="D1614" s="67" t="str">
        <f>IF(C1614="","",IFERROR(INDEX(eq_des,MATCH(C1614,eq_code,0))&amp;"","Équipement inconnu"))</f>
        <v/>
      </c>
      <c r="E1614" s="68" t="n"/>
      <c r="F1614" s="68" t="n"/>
      <c r="G1614" s="66" t="n"/>
      <c r="H1614" s="66" t="n"/>
      <c r="I1614" s="68" t="n"/>
      <c r="J1614" s="73" t="n"/>
      <c r="K1614" s="71" t="n"/>
      <c r="L1614" s="71" t="n"/>
      <c r="M1614" s="66" t="n"/>
      <c r="N1614" s="80" t="n"/>
      <c r="O1614" s="81" t="str">
        <f>IF(A1614="","",ROUND(V1614*IFERROR(N(INDEX(tech_rate,MATCH(M1614,tech_name,0))),0),2))</f>
        <v/>
      </c>
      <c r="P1614" s="80" t="n"/>
      <c r="Q1614" s="81" t="str">
        <f>IF(A1614="","",ROUND(Y1614+O1614+Z1614,2))</f>
        <v/>
      </c>
      <c r="R1614" s="79" t="str">
        <f>IF(A1614="","",IF(S1614=0,"Date manquante ou invalide",IF(C1614="","Équipement manquant",IF(ISNA(MATCH(C1614,eq_code,0)),"Équipement inconnu",IF(E1614="","Type manquant",IF(AND(E1614&lt;&gt;"Préventif",E1614&lt;&gt;"Correctif",E1614&lt;&gt;"Amélioratif"),"Type inconnu",IF(I1614="","Statut manquant",IF(AND(I1614&lt;&gt;"Terminée",I1614&lt;&gt;"En cours",I1614&lt;&gt;"À faire",I1614&lt;&gt;"Annulée"),"Statut inconnu",IF(AND(E1614="Préventif",F1614=""),"Plan manquant (préventif)",IF(AND(F1614&lt;&gt;"",ISNA(MATCH(F1614,pl_num,0))),"Plan inconnu",IF(AND(F1614&lt;&gt;"",IFERROR(INDEX(pl_eq,MATCH(F1614,pl_num,0))&amp;"",C1614)&lt;&gt;C1614),"Plan d'un autre équipement",IF(AND(J1614&lt;&gt;"",OR(NOT(ISNUMBER(J1614)),N(J1614)&lt;0)),"Compteur invalide",IF(OR(AND(K1614&lt;&gt;"",OR(NOT(ISNUMBER(K1614)),N(K1614)&lt;0)),AND(L1614&lt;&gt;"",OR(NOT(ISNUMBER(L1614)),N(L1614)&lt;0))),"Durée invalide",IF(OR(AND(N1614&lt;&gt;"",OR(NOT(ISNUMBER(N1614)),N(N1614)&lt;0)),AND(P1614&lt;&gt;"",OR(NOT(ISNUMBER(P1614)),N(P1614)&lt;0))),"Coût invalide",IF(AND(M1614&lt;&gt;"",ISNA(MATCH(M1614,tech_name,0))),"Technicien inconnu",IF(AND(I1614="Terminée",S1614&gt;p_today),"Terminée à une date future",IF(AND(I1614="Terminée",V1614=0),"Durée d'intervention manquante",IF(AND(I1614="Terminée",E1614="Préventif",T1614=0,OR(IFERROR(INDEX(pl_trig,MATCH(F1614,pl_num,0))&amp;"","")="Compteur",IFERROR(INDEX(pl_trig,MATCH(F1614,pl_num,0))&amp;"","")="Au premier des deux")),"Compteur manquant (plan au compteur)","OK"))))))))))))))))))</f>
        <v/>
      </c>
      <c r="S1614" s="67">
        <f>IF(AND(ISNUMBER(B1614),N(B1614)&gt;0),INT(B1614),0)</f>
        <v>0.0</v>
      </c>
      <c r="T1614" s="67">
        <f>IF(AND(ISNUMBER(J1614),N(J1614)&gt;=0),N(J1614),0)</f>
        <v>0.0</v>
      </c>
      <c r="U1614" s="67">
        <f>IF(AND(ISNUMBER(K1614),N(K1614)&gt;0),N(K1614),0)</f>
        <v>0.0</v>
      </c>
      <c r="V1614" s="67">
        <f>IF(AND(ISNUMBER(L1614),N(L1614)&gt;0),N(L1614),0)</f>
        <v>0.0</v>
      </c>
      <c r="W1614" s="67">
        <f>IF(AND(I1614="Terminée",S1614&gt;0,C1614&lt;&gt;"",ISNUMBER(MATCH(C1614,eq_code,0))),1,0)</f>
        <v>0.0</v>
      </c>
      <c r="X1614" s="67">
        <f>IF(AND(W1614=1,E1614="Préventif"),1,0)</f>
        <v>0.0</v>
      </c>
      <c r="Y1614" s="67">
        <f>IF(AND(ISNUMBER(N1614),N(N1614)&gt;0),N(N1614),0)</f>
        <v>0.0</v>
      </c>
      <c r="Z1614" s="67">
        <f>IF(AND(ISNUMBER(P1614),N(P1614)&gt;0),N(P1614),0)</f>
        <v>0.0</v>
      </c>
    </row>
    <row r="1615">
      <c r="A1615" s="79" t="str">
        <f>IF(COUNTA(B1615:C1615,E1615:G1615,I1615)=0,"","BI-"&amp;RIGHT("0000"&amp;(ROW()-5),4))</f>
        <v/>
      </c>
      <c r="B1615" s="72" t="n"/>
      <c r="C1615" s="66" t="n"/>
      <c r="D1615" s="67" t="str">
        <f>IF(C1615="","",IFERROR(INDEX(eq_des,MATCH(C1615,eq_code,0))&amp;"","Équipement inconnu"))</f>
        <v/>
      </c>
      <c r="E1615" s="68" t="n"/>
      <c r="F1615" s="68" t="n"/>
      <c r="G1615" s="66" t="n"/>
      <c r="H1615" s="66" t="n"/>
      <c r="I1615" s="68" t="n"/>
      <c r="J1615" s="73" t="n"/>
      <c r="K1615" s="71" t="n"/>
      <c r="L1615" s="71" t="n"/>
      <c r="M1615" s="66" t="n"/>
      <c r="N1615" s="80" t="n"/>
      <c r="O1615" s="81" t="str">
        <f>IF(A1615="","",ROUND(V1615*IFERROR(N(INDEX(tech_rate,MATCH(M1615,tech_name,0))),0),2))</f>
        <v/>
      </c>
      <c r="P1615" s="80" t="n"/>
      <c r="Q1615" s="81" t="str">
        <f>IF(A1615="","",ROUND(Y1615+O1615+Z1615,2))</f>
        <v/>
      </c>
      <c r="R1615" s="79" t="str">
        <f>IF(A1615="","",IF(S1615=0,"Date manquante ou invalide",IF(C1615="","Équipement manquant",IF(ISNA(MATCH(C1615,eq_code,0)),"Équipement inconnu",IF(E1615="","Type manquant",IF(AND(E1615&lt;&gt;"Préventif",E1615&lt;&gt;"Correctif",E1615&lt;&gt;"Amélioratif"),"Type inconnu",IF(I1615="","Statut manquant",IF(AND(I1615&lt;&gt;"Terminée",I1615&lt;&gt;"En cours",I1615&lt;&gt;"À faire",I1615&lt;&gt;"Annulée"),"Statut inconnu",IF(AND(E1615="Préventif",F1615=""),"Plan manquant (préventif)",IF(AND(F1615&lt;&gt;"",ISNA(MATCH(F1615,pl_num,0))),"Plan inconnu",IF(AND(F1615&lt;&gt;"",IFERROR(INDEX(pl_eq,MATCH(F1615,pl_num,0))&amp;"",C1615)&lt;&gt;C1615),"Plan d'un autre équipement",IF(AND(J1615&lt;&gt;"",OR(NOT(ISNUMBER(J1615)),N(J1615)&lt;0)),"Compteur invalide",IF(OR(AND(K1615&lt;&gt;"",OR(NOT(ISNUMBER(K1615)),N(K1615)&lt;0)),AND(L1615&lt;&gt;"",OR(NOT(ISNUMBER(L1615)),N(L1615)&lt;0))),"Durée invalide",IF(OR(AND(N1615&lt;&gt;"",OR(NOT(ISNUMBER(N1615)),N(N1615)&lt;0)),AND(P1615&lt;&gt;"",OR(NOT(ISNUMBER(P1615)),N(P1615)&lt;0))),"Coût invalide",IF(AND(M1615&lt;&gt;"",ISNA(MATCH(M1615,tech_name,0))),"Technicien inconnu",IF(AND(I1615="Terminée",S1615&gt;p_today),"Terminée à une date future",IF(AND(I1615="Terminée",V1615=0),"Durée d'intervention manquante",IF(AND(I1615="Terminée",E1615="Préventif",T1615=0,OR(IFERROR(INDEX(pl_trig,MATCH(F1615,pl_num,0))&amp;"","")="Compteur",IFERROR(INDEX(pl_trig,MATCH(F1615,pl_num,0))&amp;"","")="Au premier des deux")),"Compteur manquant (plan au compteur)","OK"))))))))))))))))))</f>
        <v/>
      </c>
      <c r="S1615" s="67">
        <f>IF(AND(ISNUMBER(B1615),N(B1615)&gt;0),INT(B1615),0)</f>
        <v>0.0</v>
      </c>
      <c r="T1615" s="67">
        <f>IF(AND(ISNUMBER(J1615),N(J1615)&gt;=0),N(J1615),0)</f>
        <v>0.0</v>
      </c>
      <c r="U1615" s="67">
        <f>IF(AND(ISNUMBER(K1615),N(K1615)&gt;0),N(K1615),0)</f>
        <v>0.0</v>
      </c>
      <c r="V1615" s="67">
        <f>IF(AND(ISNUMBER(L1615),N(L1615)&gt;0),N(L1615),0)</f>
        <v>0.0</v>
      </c>
      <c r="W1615" s="67">
        <f>IF(AND(I1615="Terminée",S1615&gt;0,C1615&lt;&gt;"",ISNUMBER(MATCH(C1615,eq_code,0))),1,0)</f>
        <v>0.0</v>
      </c>
      <c r="X1615" s="67">
        <f>IF(AND(W1615=1,E1615="Préventif"),1,0)</f>
        <v>0.0</v>
      </c>
      <c r="Y1615" s="67">
        <f>IF(AND(ISNUMBER(N1615),N(N1615)&gt;0),N(N1615),0)</f>
        <v>0.0</v>
      </c>
      <c r="Z1615" s="67">
        <f>IF(AND(ISNUMBER(P1615),N(P1615)&gt;0),N(P1615),0)</f>
        <v>0.0</v>
      </c>
    </row>
    <row r="1616">
      <c r="A1616" s="79" t="str">
        <f>IF(COUNTA(B1616:C1616,E1616:G1616,I1616)=0,"","BI-"&amp;RIGHT("0000"&amp;(ROW()-5),4))</f>
        <v/>
      </c>
      <c r="B1616" s="72" t="n"/>
      <c r="C1616" s="66" t="n"/>
      <c r="D1616" s="67" t="str">
        <f>IF(C1616="","",IFERROR(INDEX(eq_des,MATCH(C1616,eq_code,0))&amp;"","Équipement inconnu"))</f>
        <v/>
      </c>
      <c r="E1616" s="68" t="n"/>
      <c r="F1616" s="68" t="n"/>
      <c r="G1616" s="66" t="n"/>
      <c r="H1616" s="66" t="n"/>
      <c r="I1616" s="68" t="n"/>
      <c r="J1616" s="73" t="n"/>
      <c r="K1616" s="71" t="n"/>
      <c r="L1616" s="71" t="n"/>
      <c r="M1616" s="66" t="n"/>
      <c r="N1616" s="80" t="n"/>
      <c r="O1616" s="81" t="str">
        <f>IF(A1616="","",ROUND(V1616*IFERROR(N(INDEX(tech_rate,MATCH(M1616,tech_name,0))),0),2))</f>
        <v/>
      </c>
      <c r="P1616" s="80" t="n"/>
      <c r="Q1616" s="81" t="str">
        <f>IF(A1616="","",ROUND(Y1616+O1616+Z1616,2))</f>
        <v/>
      </c>
      <c r="R1616" s="79" t="str">
        <f>IF(A1616="","",IF(S1616=0,"Date manquante ou invalide",IF(C1616="","Équipement manquant",IF(ISNA(MATCH(C1616,eq_code,0)),"Équipement inconnu",IF(E1616="","Type manquant",IF(AND(E1616&lt;&gt;"Préventif",E1616&lt;&gt;"Correctif",E1616&lt;&gt;"Amélioratif"),"Type inconnu",IF(I1616="","Statut manquant",IF(AND(I1616&lt;&gt;"Terminée",I1616&lt;&gt;"En cours",I1616&lt;&gt;"À faire",I1616&lt;&gt;"Annulée"),"Statut inconnu",IF(AND(E1616="Préventif",F1616=""),"Plan manquant (préventif)",IF(AND(F1616&lt;&gt;"",ISNA(MATCH(F1616,pl_num,0))),"Plan inconnu",IF(AND(F1616&lt;&gt;"",IFERROR(INDEX(pl_eq,MATCH(F1616,pl_num,0))&amp;"",C1616)&lt;&gt;C1616),"Plan d'un autre équipement",IF(AND(J1616&lt;&gt;"",OR(NOT(ISNUMBER(J1616)),N(J1616)&lt;0)),"Compteur invalide",IF(OR(AND(K1616&lt;&gt;"",OR(NOT(ISNUMBER(K1616)),N(K1616)&lt;0)),AND(L1616&lt;&gt;"",OR(NOT(ISNUMBER(L1616)),N(L1616)&lt;0))),"Durée invalide",IF(OR(AND(N1616&lt;&gt;"",OR(NOT(ISNUMBER(N1616)),N(N1616)&lt;0)),AND(P1616&lt;&gt;"",OR(NOT(ISNUMBER(P1616)),N(P1616)&lt;0))),"Coût invalide",IF(AND(M1616&lt;&gt;"",ISNA(MATCH(M1616,tech_name,0))),"Technicien inconnu",IF(AND(I1616="Terminée",S1616&gt;p_today),"Terminée à une date future",IF(AND(I1616="Terminée",V1616=0),"Durée d'intervention manquante",IF(AND(I1616="Terminée",E1616="Préventif",T1616=0,OR(IFERROR(INDEX(pl_trig,MATCH(F1616,pl_num,0))&amp;"","")="Compteur",IFERROR(INDEX(pl_trig,MATCH(F1616,pl_num,0))&amp;"","")="Au premier des deux")),"Compteur manquant (plan au compteur)","OK"))))))))))))))))))</f>
        <v/>
      </c>
      <c r="S1616" s="67">
        <f>IF(AND(ISNUMBER(B1616),N(B1616)&gt;0),INT(B1616),0)</f>
        <v>0.0</v>
      </c>
      <c r="T1616" s="67">
        <f>IF(AND(ISNUMBER(J1616),N(J1616)&gt;=0),N(J1616),0)</f>
        <v>0.0</v>
      </c>
      <c r="U1616" s="67">
        <f>IF(AND(ISNUMBER(K1616),N(K1616)&gt;0),N(K1616),0)</f>
        <v>0.0</v>
      </c>
      <c r="V1616" s="67">
        <f>IF(AND(ISNUMBER(L1616),N(L1616)&gt;0),N(L1616),0)</f>
        <v>0.0</v>
      </c>
      <c r="W1616" s="67">
        <f>IF(AND(I1616="Terminée",S1616&gt;0,C1616&lt;&gt;"",ISNUMBER(MATCH(C1616,eq_code,0))),1,0)</f>
        <v>0.0</v>
      </c>
      <c r="X1616" s="67">
        <f>IF(AND(W1616=1,E1616="Préventif"),1,0)</f>
        <v>0.0</v>
      </c>
      <c r="Y1616" s="67">
        <f>IF(AND(ISNUMBER(N1616),N(N1616)&gt;0),N(N1616),0)</f>
        <v>0.0</v>
      </c>
      <c r="Z1616" s="67">
        <f>IF(AND(ISNUMBER(P1616),N(P1616)&gt;0),N(P1616),0)</f>
        <v>0.0</v>
      </c>
    </row>
    <row r="1617">
      <c r="A1617" s="79" t="str">
        <f>IF(COUNTA(B1617:C1617,E1617:G1617,I1617)=0,"","BI-"&amp;RIGHT("0000"&amp;(ROW()-5),4))</f>
        <v/>
      </c>
      <c r="B1617" s="72" t="n"/>
      <c r="C1617" s="66" t="n"/>
      <c r="D1617" s="67" t="str">
        <f>IF(C1617="","",IFERROR(INDEX(eq_des,MATCH(C1617,eq_code,0))&amp;"","Équipement inconnu"))</f>
        <v/>
      </c>
      <c r="E1617" s="68" t="n"/>
      <c r="F1617" s="68" t="n"/>
      <c r="G1617" s="66" t="n"/>
      <c r="H1617" s="66" t="n"/>
      <c r="I1617" s="68" t="n"/>
      <c r="J1617" s="73" t="n"/>
      <c r="K1617" s="71" t="n"/>
      <c r="L1617" s="71" t="n"/>
      <c r="M1617" s="66" t="n"/>
      <c r="N1617" s="80" t="n"/>
      <c r="O1617" s="81" t="str">
        <f>IF(A1617="","",ROUND(V1617*IFERROR(N(INDEX(tech_rate,MATCH(M1617,tech_name,0))),0),2))</f>
        <v/>
      </c>
      <c r="P1617" s="80" t="n"/>
      <c r="Q1617" s="81" t="str">
        <f>IF(A1617="","",ROUND(Y1617+O1617+Z1617,2))</f>
        <v/>
      </c>
      <c r="R1617" s="79" t="str">
        <f>IF(A1617="","",IF(S1617=0,"Date manquante ou invalide",IF(C1617="","Équipement manquant",IF(ISNA(MATCH(C1617,eq_code,0)),"Équipement inconnu",IF(E1617="","Type manquant",IF(AND(E1617&lt;&gt;"Préventif",E1617&lt;&gt;"Correctif",E1617&lt;&gt;"Amélioratif"),"Type inconnu",IF(I1617="","Statut manquant",IF(AND(I1617&lt;&gt;"Terminée",I1617&lt;&gt;"En cours",I1617&lt;&gt;"À faire",I1617&lt;&gt;"Annulée"),"Statut inconnu",IF(AND(E1617="Préventif",F1617=""),"Plan manquant (préventif)",IF(AND(F1617&lt;&gt;"",ISNA(MATCH(F1617,pl_num,0))),"Plan inconnu",IF(AND(F1617&lt;&gt;"",IFERROR(INDEX(pl_eq,MATCH(F1617,pl_num,0))&amp;"",C1617)&lt;&gt;C1617),"Plan d'un autre équipement",IF(AND(J1617&lt;&gt;"",OR(NOT(ISNUMBER(J1617)),N(J1617)&lt;0)),"Compteur invalide",IF(OR(AND(K1617&lt;&gt;"",OR(NOT(ISNUMBER(K1617)),N(K1617)&lt;0)),AND(L1617&lt;&gt;"",OR(NOT(ISNUMBER(L1617)),N(L1617)&lt;0))),"Durée invalide",IF(OR(AND(N1617&lt;&gt;"",OR(NOT(ISNUMBER(N1617)),N(N1617)&lt;0)),AND(P1617&lt;&gt;"",OR(NOT(ISNUMBER(P1617)),N(P1617)&lt;0))),"Coût invalide",IF(AND(M1617&lt;&gt;"",ISNA(MATCH(M1617,tech_name,0))),"Technicien inconnu",IF(AND(I1617="Terminée",S1617&gt;p_today),"Terminée à une date future",IF(AND(I1617="Terminée",V1617=0),"Durée d'intervention manquante",IF(AND(I1617="Terminée",E1617="Préventif",T1617=0,OR(IFERROR(INDEX(pl_trig,MATCH(F1617,pl_num,0))&amp;"","")="Compteur",IFERROR(INDEX(pl_trig,MATCH(F1617,pl_num,0))&amp;"","")="Au premier des deux")),"Compteur manquant (plan au compteur)","OK"))))))))))))))))))</f>
        <v/>
      </c>
      <c r="S1617" s="67">
        <f>IF(AND(ISNUMBER(B1617),N(B1617)&gt;0),INT(B1617),0)</f>
        <v>0.0</v>
      </c>
      <c r="T1617" s="67">
        <f>IF(AND(ISNUMBER(J1617),N(J1617)&gt;=0),N(J1617),0)</f>
        <v>0.0</v>
      </c>
      <c r="U1617" s="67">
        <f>IF(AND(ISNUMBER(K1617),N(K1617)&gt;0),N(K1617),0)</f>
        <v>0.0</v>
      </c>
      <c r="V1617" s="67">
        <f>IF(AND(ISNUMBER(L1617),N(L1617)&gt;0),N(L1617),0)</f>
        <v>0.0</v>
      </c>
      <c r="W1617" s="67">
        <f>IF(AND(I1617="Terminée",S1617&gt;0,C1617&lt;&gt;"",ISNUMBER(MATCH(C1617,eq_code,0))),1,0)</f>
        <v>0.0</v>
      </c>
      <c r="X1617" s="67">
        <f>IF(AND(W1617=1,E1617="Préventif"),1,0)</f>
        <v>0.0</v>
      </c>
      <c r="Y1617" s="67">
        <f>IF(AND(ISNUMBER(N1617),N(N1617)&gt;0),N(N1617),0)</f>
        <v>0.0</v>
      </c>
      <c r="Z1617" s="67">
        <f>IF(AND(ISNUMBER(P1617),N(P1617)&gt;0),N(P1617),0)</f>
        <v>0.0</v>
      </c>
    </row>
    <row r="1618">
      <c r="A1618" s="79" t="str">
        <f>IF(COUNTA(B1618:C1618,E1618:G1618,I1618)=0,"","BI-"&amp;RIGHT("0000"&amp;(ROW()-5),4))</f>
        <v/>
      </c>
      <c r="B1618" s="72" t="n"/>
      <c r="C1618" s="66" t="n"/>
      <c r="D1618" s="67" t="str">
        <f>IF(C1618="","",IFERROR(INDEX(eq_des,MATCH(C1618,eq_code,0))&amp;"","Équipement inconnu"))</f>
        <v/>
      </c>
      <c r="E1618" s="68" t="n"/>
      <c r="F1618" s="68" t="n"/>
      <c r="G1618" s="66" t="n"/>
      <c r="H1618" s="66" t="n"/>
      <c r="I1618" s="68" t="n"/>
      <c r="J1618" s="73" t="n"/>
      <c r="K1618" s="71" t="n"/>
      <c r="L1618" s="71" t="n"/>
      <c r="M1618" s="66" t="n"/>
      <c r="N1618" s="80" t="n"/>
      <c r="O1618" s="81" t="str">
        <f>IF(A1618="","",ROUND(V1618*IFERROR(N(INDEX(tech_rate,MATCH(M1618,tech_name,0))),0),2))</f>
        <v/>
      </c>
      <c r="P1618" s="80" t="n"/>
      <c r="Q1618" s="81" t="str">
        <f>IF(A1618="","",ROUND(Y1618+O1618+Z1618,2))</f>
        <v/>
      </c>
      <c r="R1618" s="79" t="str">
        <f>IF(A1618="","",IF(S1618=0,"Date manquante ou invalide",IF(C1618="","Équipement manquant",IF(ISNA(MATCH(C1618,eq_code,0)),"Équipement inconnu",IF(E1618="","Type manquant",IF(AND(E1618&lt;&gt;"Préventif",E1618&lt;&gt;"Correctif",E1618&lt;&gt;"Amélioratif"),"Type inconnu",IF(I1618="","Statut manquant",IF(AND(I1618&lt;&gt;"Terminée",I1618&lt;&gt;"En cours",I1618&lt;&gt;"À faire",I1618&lt;&gt;"Annulée"),"Statut inconnu",IF(AND(E1618="Préventif",F1618=""),"Plan manquant (préventif)",IF(AND(F1618&lt;&gt;"",ISNA(MATCH(F1618,pl_num,0))),"Plan inconnu",IF(AND(F1618&lt;&gt;"",IFERROR(INDEX(pl_eq,MATCH(F1618,pl_num,0))&amp;"",C1618)&lt;&gt;C1618),"Plan d'un autre équipement",IF(AND(J1618&lt;&gt;"",OR(NOT(ISNUMBER(J1618)),N(J1618)&lt;0)),"Compteur invalide",IF(OR(AND(K1618&lt;&gt;"",OR(NOT(ISNUMBER(K1618)),N(K1618)&lt;0)),AND(L1618&lt;&gt;"",OR(NOT(ISNUMBER(L1618)),N(L1618)&lt;0))),"Durée invalide",IF(OR(AND(N1618&lt;&gt;"",OR(NOT(ISNUMBER(N1618)),N(N1618)&lt;0)),AND(P1618&lt;&gt;"",OR(NOT(ISNUMBER(P1618)),N(P1618)&lt;0))),"Coût invalide",IF(AND(M1618&lt;&gt;"",ISNA(MATCH(M1618,tech_name,0))),"Technicien inconnu",IF(AND(I1618="Terminée",S1618&gt;p_today),"Terminée à une date future",IF(AND(I1618="Terminée",V1618=0),"Durée d'intervention manquante",IF(AND(I1618="Terminée",E1618="Préventif",T1618=0,OR(IFERROR(INDEX(pl_trig,MATCH(F1618,pl_num,0))&amp;"","")="Compteur",IFERROR(INDEX(pl_trig,MATCH(F1618,pl_num,0))&amp;"","")="Au premier des deux")),"Compteur manquant (plan au compteur)","OK"))))))))))))))))))</f>
        <v/>
      </c>
      <c r="S1618" s="67">
        <f>IF(AND(ISNUMBER(B1618),N(B1618)&gt;0),INT(B1618),0)</f>
        <v>0.0</v>
      </c>
      <c r="T1618" s="67">
        <f>IF(AND(ISNUMBER(J1618),N(J1618)&gt;=0),N(J1618),0)</f>
        <v>0.0</v>
      </c>
      <c r="U1618" s="67">
        <f>IF(AND(ISNUMBER(K1618),N(K1618)&gt;0),N(K1618),0)</f>
        <v>0.0</v>
      </c>
      <c r="V1618" s="67">
        <f>IF(AND(ISNUMBER(L1618),N(L1618)&gt;0),N(L1618),0)</f>
        <v>0.0</v>
      </c>
      <c r="W1618" s="67">
        <f>IF(AND(I1618="Terminée",S1618&gt;0,C1618&lt;&gt;"",ISNUMBER(MATCH(C1618,eq_code,0))),1,0)</f>
        <v>0.0</v>
      </c>
      <c r="X1618" s="67">
        <f>IF(AND(W1618=1,E1618="Préventif"),1,0)</f>
        <v>0.0</v>
      </c>
      <c r="Y1618" s="67">
        <f>IF(AND(ISNUMBER(N1618),N(N1618)&gt;0),N(N1618),0)</f>
        <v>0.0</v>
      </c>
      <c r="Z1618" s="67">
        <f>IF(AND(ISNUMBER(P1618),N(P1618)&gt;0),N(P1618),0)</f>
        <v>0.0</v>
      </c>
    </row>
    <row r="1619">
      <c r="A1619" s="79" t="str">
        <f>IF(COUNTA(B1619:C1619,E1619:G1619,I1619)=0,"","BI-"&amp;RIGHT("0000"&amp;(ROW()-5),4))</f>
        <v/>
      </c>
      <c r="B1619" s="72" t="n"/>
      <c r="C1619" s="66" t="n"/>
      <c r="D1619" s="67" t="str">
        <f>IF(C1619="","",IFERROR(INDEX(eq_des,MATCH(C1619,eq_code,0))&amp;"","Équipement inconnu"))</f>
        <v/>
      </c>
      <c r="E1619" s="68" t="n"/>
      <c r="F1619" s="68" t="n"/>
      <c r="G1619" s="66" t="n"/>
      <c r="H1619" s="66" t="n"/>
      <c r="I1619" s="68" t="n"/>
      <c r="J1619" s="73" t="n"/>
      <c r="K1619" s="71" t="n"/>
      <c r="L1619" s="71" t="n"/>
      <c r="M1619" s="66" t="n"/>
      <c r="N1619" s="80" t="n"/>
      <c r="O1619" s="81" t="str">
        <f>IF(A1619="","",ROUND(V1619*IFERROR(N(INDEX(tech_rate,MATCH(M1619,tech_name,0))),0),2))</f>
        <v/>
      </c>
      <c r="P1619" s="80" t="n"/>
      <c r="Q1619" s="81" t="str">
        <f>IF(A1619="","",ROUND(Y1619+O1619+Z1619,2))</f>
        <v/>
      </c>
      <c r="R1619" s="79" t="str">
        <f>IF(A1619="","",IF(S1619=0,"Date manquante ou invalide",IF(C1619="","Équipement manquant",IF(ISNA(MATCH(C1619,eq_code,0)),"Équipement inconnu",IF(E1619="","Type manquant",IF(AND(E1619&lt;&gt;"Préventif",E1619&lt;&gt;"Correctif",E1619&lt;&gt;"Amélioratif"),"Type inconnu",IF(I1619="","Statut manquant",IF(AND(I1619&lt;&gt;"Terminée",I1619&lt;&gt;"En cours",I1619&lt;&gt;"À faire",I1619&lt;&gt;"Annulée"),"Statut inconnu",IF(AND(E1619="Préventif",F1619=""),"Plan manquant (préventif)",IF(AND(F1619&lt;&gt;"",ISNA(MATCH(F1619,pl_num,0))),"Plan inconnu",IF(AND(F1619&lt;&gt;"",IFERROR(INDEX(pl_eq,MATCH(F1619,pl_num,0))&amp;"",C1619)&lt;&gt;C1619),"Plan d'un autre équipement",IF(AND(J1619&lt;&gt;"",OR(NOT(ISNUMBER(J1619)),N(J1619)&lt;0)),"Compteur invalide",IF(OR(AND(K1619&lt;&gt;"",OR(NOT(ISNUMBER(K1619)),N(K1619)&lt;0)),AND(L1619&lt;&gt;"",OR(NOT(ISNUMBER(L1619)),N(L1619)&lt;0))),"Durée invalide",IF(OR(AND(N1619&lt;&gt;"",OR(NOT(ISNUMBER(N1619)),N(N1619)&lt;0)),AND(P1619&lt;&gt;"",OR(NOT(ISNUMBER(P1619)),N(P1619)&lt;0))),"Coût invalide",IF(AND(M1619&lt;&gt;"",ISNA(MATCH(M1619,tech_name,0))),"Technicien inconnu",IF(AND(I1619="Terminée",S1619&gt;p_today),"Terminée à une date future",IF(AND(I1619="Terminée",V1619=0),"Durée d'intervention manquante",IF(AND(I1619="Terminée",E1619="Préventif",T1619=0,OR(IFERROR(INDEX(pl_trig,MATCH(F1619,pl_num,0))&amp;"","")="Compteur",IFERROR(INDEX(pl_trig,MATCH(F1619,pl_num,0))&amp;"","")="Au premier des deux")),"Compteur manquant (plan au compteur)","OK"))))))))))))))))))</f>
        <v/>
      </c>
      <c r="S1619" s="67">
        <f>IF(AND(ISNUMBER(B1619),N(B1619)&gt;0),INT(B1619),0)</f>
        <v>0.0</v>
      </c>
      <c r="T1619" s="67">
        <f>IF(AND(ISNUMBER(J1619),N(J1619)&gt;=0),N(J1619),0)</f>
        <v>0.0</v>
      </c>
      <c r="U1619" s="67">
        <f>IF(AND(ISNUMBER(K1619),N(K1619)&gt;0),N(K1619),0)</f>
        <v>0.0</v>
      </c>
      <c r="V1619" s="67">
        <f>IF(AND(ISNUMBER(L1619),N(L1619)&gt;0),N(L1619),0)</f>
        <v>0.0</v>
      </c>
      <c r="W1619" s="67">
        <f>IF(AND(I1619="Terminée",S1619&gt;0,C1619&lt;&gt;"",ISNUMBER(MATCH(C1619,eq_code,0))),1,0)</f>
        <v>0.0</v>
      </c>
      <c r="X1619" s="67">
        <f>IF(AND(W1619=1,E1619="Préventif"),1,0)</f>
        <v>0.0</v>
      </c>
      <c r="Y1619" s="67">
        <f>IF(AND(ISNUMBER(N1619),N(N1619)&gt;0),N(N1619),0)</f>
        <v>0.0</v>
      </c>
      <c r="Z1619" s="67">
        <f>IF(AND(ISNUMBER(P1619),N(P1619)&gt;0),N(P1619),0)</f>
        <v>0.0</v>
      </c>
    </row>
    <row r="1620">
      <c r="A1620" s="79" t="str">
        <f>IF(COUNTA(B1620:C1620,E1620:G1620,I1620)=0,"","BI-"&amp;RIGHT("0000"&amp;(ROW()-5),4))</f>
        <v/>
      </c>
      <c r="B1620" s="72" t="n"/>
      <c r="C1620" s="66" t="n"/>
      <c r="D1620" s="67" t="str">
        <f>IF(C1620="","",IFERROR(INDEX(eq_des,MATCH(C1620,eq_code,0))&amp;"","Équipement inconnu"))</f>
        <v/>
      </c>
      <c r="E1620" s="68" t="n"/>
      <c r="F1620" s="68" t="n"/>
      <c r="G1620" s="66" t="n"/>
      <c r="H1620" s="66" t="n"/>
      <c r="I1620" s="68" t="n"/>
      <c r="J1620" s="73" t="n"/>
      <c r="K1620" s="71" t="n"/>
      <c r="L1620" s="71" t="n"/>
      <c r="M1620" s="66" t="n"/>
      <c r="N1620" s="80" t="n"/>
      <c r="O1620" s="81" t="str">
        <f>IF(A1620="","",ROUND(V1620*IFERROR(N(INDEX(tech_rate,MATCH(M1620,tech_name,0))),0),2))</f>
        <v/>
      </c>
      <c r="P1620" s="80" t="n"/>
      <c r="Q1620" s="81" t="str">
        <f>IF(A1620="","",ROUND(Y1620+O1620+Z1620,2))</f>
        <v/>
      </c>
      <c r="R1620" s="79" t="str">
        <f>IF(A1620="","",IF(S1620=0,"Date manquante ou invalide",IF(C1620="","Équipement manquant",IF(ISNA(MATCH(C1620,eq_code,0)),"Équipement inconnu",IF(E1620="","Type manquant",IF(AND(E1620&lt;&gt;"Préventif",E1620&lt;&gt;"Correctif",E1620&lt;&gt;"Amélioratif"),"Type inconnu",IF(I1620="","Statut manquant",IF(AND(I1620&lt;&gt;"Terminée",I1620&lt;&gt;"En cours",I1620&lt;&gt;"À faire",I1620&lt;&gt;"Annulée"),"Statut inconnu",IF(AND(E1620="Préventif",F1620=""),"Plan manquant (préventif)",IF(AND(F1620&lt;&gt;"",ISNA(MATCH(F1620,pl_num,0))),"Plan inconnu",IF(AND(F1620&lt;&gt;"",IFERROR(INDEX(pl_eq,MATCH(F1620,pl_num,0))&amp;"",C1620)&lt;&gt;C1620),"Plan d'un autre équipement",IF(AND(J1620&lt;&gt;"",OR(NOT(ISNUMBER(J1620)),N(J1620)&lt;0)),"Compteur invalide",IF(OR(AND(K1620&lt;&gt;"",OR(NOT(ISNUMBER(K1620)),N(K1620)&lt;0)),AND(L1620&lt;&gt;"",OR(NOT(ISNUMBER(L1620)),N(L1620)&lt;0))),"Durée invalide",IF(OR(AND(N1620&lt;&gt;"",OR(NOT(ISNUMBER(N1620)),N(N1620)&lt;0)),AND(P1620&lt;&gt;"",OR(NOT(ISNUMBER(P1620)),N(P1620)&lt;0))),"Coût invalide",IF(AND(M1620&lt;&gt;"",ISNA(MATCH(M1620,tech_name,0))),"Technicien inconnu",IF(AND(I1620="Terminée",S1620&gt;p_today),"Terminée à une date future",IF(AND(I1620="Terminée",V1620=0),"Durée d'intervention manquante",IF(AND(I1620="Terminée",E1620="Préventif",T1620=0,OR(IFERROR(INDEX(pl_trig,MATCH(F1620,pl_num,0))&amp;"","")="Compteur",IFERROR(INDEX(pl_trig,MATCH(F1620,pl_num,0))&amp;"","")="Au premier des deux")),"Compteur manquant (plan au compteur)","OK"))))))))))))))))))</f>
        <v/>
      </c>
      <c r="S1620" s="67">
        <f>IF(AND(ISNUMBER(B1620),N(B1620)&gt;0),INT(B1620),0)</f>
        <v>0.0</v>
      </c>
      <c r="T1620" s="67">
        <f>IF(AND(ISNUMBER(J1620),N(J1620)&gt;=0),N(J1620),0)</f>
        <v>0.0</v>
      </c>
      <c r="U1620" s="67">
        <f>IF(AND(ISNUMBER(K1620),N(K1620)&gt;0),N(K1620),0)</f>
        <v>0.0</v>
      </c>
      <c r="V1620" s="67">
        <f>IF(AND(ISNUMBER(L1620),N(L1620)&gt;0),N(L1620),0)</f>
        <v>0.0</v>
      </c>
      <c r="W1620" s="67">
        <f>IF(AND(I1620="Terminée",S1620&gt;0,C1620&lt;&gt;"",ISNUMBER(MATCH(C1620,eq_code,0))),1,0)</f>
        <v>0.0</v>
      </c>
      <c r="X1620" s="67">
        <f>IF(AND(W1620=1,E1620="Préventif"),1,0)</f>
        <v>0.0</v>
      </c>
      <c r="Y1620" s="67">
        <f>IF(AND(ISNUMBER(N1620),N(N1620)&gt;0),N(N1620),0)</f>
        <v>0.0</v>
      </c>
      <c r="Z1620" s="67">
        <f>IF(AND(ISNUMBER(P1620),N(P1620)&gt;0),N(P1620),0)</f>
        <v>0.0</v>
      </c>
    </row>
    <row r="1621">
      <c r="A1621" s="79" t="str">
        <f>IF(COUNTA(B1621:C1621,E1621:G1621,I1621)=0,"","BI-"&amp;RIGHT("0000"&amp;(ROW()-5),4))</f>
        <v/>
      </c>
      <c r="B1621" s="72" t="n"/>
      <c r="C1621" s="66" t="n"/>
      <c r="D1621" s="67" t="str">
        <f>IF(C1621="","",IFERROR(INDEX(eq_des,MATCH(C1621,eq_code,0))&amp;"","Équipement inconnu"))</f>
        <v/>
      </c>
      <c r="E1621" s="68" t="n"/>
      <c r="F1621" s="68" t="n"/>
      <c r="G1621" s="66" t="n"/>
      <c r="H1621" s="66" t="n"/>
      <c r="I1621" s="68" t="n"/>
      <c r="J1621" s="73" t="n"/>
      <c r="K1621" s="71" t="n"/>
      <c r="L1621" s="71" t="n"/>
      <c r="M1621" s="66" t="n"/>
      <c r="N1621" s="80" t="n"/>
      <c r="O1621" s="81" t="str">
        <f>IF(A1621="","",ROUND(V1621*IFERROR(N(INDEX(tech_rate,MATCH(M1621,tech_name,0))),0),2))</f>
        <v/>
      </c>
      <c r="P1621" s="80" t="n"/>
      <c r="Q1621" s="81" t="str">
        <f>IF(A1621="","",ROUND(Y1621+O1621+Z1621,2))</f>
        <v/>
      </c>
      <c r="R1621" s="79" t="str">
        <f>IF(A1621="","",IF(S1621=0,"Date manquante ou invalide",IF(C1621="","Équipement manquant",IF(ISNA(MATCH(C1621,eq_code,0)),"Équipement inconnu",IF(E1621="","Type manquant",IF(AND(E1621&lt;&gt;"Préventif",E1621&lt;&gt;"Correctif",E1621&lt;&gt;"Amélioratif"),"Type inconnu",IF(I1621="","Statut manquant",IF(AND(I1621&lt;&gt;"Terminée",I1621&lt;&gt;"En cours",I1621&lt;&gt;"À faire",I1621&lt;&gt;"Annulée"),"Statut inconnu",IF(AND(E1621="Préventif",F1621=""),"Plan manquant (préventif)",IF(AND(F1621&lt;&gt;"",ISNA(MATCH(F1621,pl_num,0))),"Plan inconnu",IF(AND(F1621&lt;&gt;"",IFERROR(INDEX(pl_eq,MATCH(F1621,pl_num,0))&amp;"",C1621)&lt;&gt;C1621),"Plan d'un autre équipement",IF(AND(J1621&lt;&gt;"",OR(NOT(ISNUMBER(J1621)),N(J1621)&lt;0)),"Compteur invalide",IF(OR(AND(K1621&lt;&gt;"",OR(NOT(ISNUMBER(K1621)),N(K1621)&lt;0)),AND(L1621&lt;&gt;"",OR(NOT(ISNUMBER(L1621)),N(L1621)&lt;0))),"Durée invalide",IF(OR(AND(N1621&lt;&gt;"",OR(NOT(ISNUMBER(N1621)),N(N1621)&lt;0)),AND(P1621&lt;&gt;"",OR(NOT(ISNUMBER(P1621)),N(P1621)&lt;0))),"Coût invalide",IF(AND(M1621&lt;&gt;"",ISNA(MATCH(M1621,tech_name,0))),"Technicien inconnu",IF(AND(I1621="Terminée",S1621&gt;p_today),"Terminée à une date future",IF(AND(I1621="Terminée",V1621=0),"Durée d'intervention manquante",IF(AND(I1621="Terminée",E1621="Préventif",T1621=0,OR(IFERROR(INDEX(pl_trig,MATCH(F1621,pl_num,0))&amp;"","")="Compteur",IFERROR(INDEX(pl_trig,MATCH(F1621,pl_num,0))&amp;"","")="Au premier des deux")),"Compteur manquant (plan au compteur)","OK"))))))))))))))))))</f>
        <v/>
      </c>
      <c r="S1621" s="67">
        <f>IF(AND(ISNUMBER(B1621),N(B1621)&gt;0),INT(B1621),0)</f>
        <v>0.0</v>
      </c>
      <c r="T1621" s="67">
        <f>IF(AND(ISNUMBER(J1621),N(J1621)&gt;=0),N(J1621),0)</f>
        <v>0.0</v>
      </c>
      <c r="U1621" s="67">
        <f>IF(AND(ISNUMBER(K1621),N(K1621)&gt;0),N(K1621),0)</f>
        <v>0.0</v>
      </c>
      <c r="V1621" s="67">
        <f>IF(AND(ISNUMBER(L1621),N(L1621)&gt;0),N(L1621),0)</f>
        <v>0.0</v>
      </c>
      <c r="W1621" s="67">
        <f>IF(AND(I1621="Terminée",S1621&gt;0,C1621&lt;&gt;"",ISNUMBER(MATCH(C1621,eq_code,0))),1,0)</f>
        <v>0.0</v>
      </c>
      <c r="X1621" s="67">
        <f>IF(AND(W1621=1,E1621="Préventif"),1,0)</f>
        <v>0.0</v>
      </c>
      <c r="Y1621" s="67">
        <f>IF(AND(ISNUMBER(N1621),N(N1621)&gt;0),N(N1621),0)</f>
        <v>0.0</v>
      </c>
      <c r="Z1621" s="67">
        <f>IF(AND(ISNUMBER(P1621),N(P1621)&gt;0),N(P1621),0)</f>
        <v>0.0</v>
      </c>
    </row>
    <row r="1622">
      <c r="A1622" s="79" t="str">
        <f>IF(COUNTA(B1622:C1622,E1622:G1622,I1622)=0,"","BI-"&amp;RIGHT("0000"&amp;(ROW()-5),4))</f>
        <v/>
      </c>
      <c r="B1622" s="72" t="n"/>
      <c r="C1622" s="66" t="n"/>
      <c r="D1622" s="67" t="str">
        <f>IF(C1622="","",IFERROR(INDEX(eq_des,MATCH(C1622,eq_code,0))&amp;"","Équipement inconnu"))</f>
        <v/>
      </c>
      <c r="E1622" s="68" t="n"/>
      <c r="F1622" s="68" t="n"/>
      <c r="G1622" s="66" t="n"/>
      <c r="H1622" s="66" t="n"/>
      <c r="I1622" s="68" t="n"/>
      <c r="J1622" s="73" t="n"/>
      <c r="K1622" s="71" t="n"/>
      <c r="L1622" s="71" t="n"/>
      <c r="M1622" s="66" t="n"/>
      <c r="N1622" s="80" t="n"/>
      <c r="O1622" s="81" t="str">
        <f>IF(A1622="","",ROUND(V1622*IFERROR(N(INDEX(tech_rate,MATCH(M1622,tech_name,0))),0),2))</f>
        <v/>
      </c>
      <c r="P1622" s="80" t="n"/>
      <c r="Q1622" s="81" t="str">
        <f>IF(A1622="","",ROUND(Y1622+O1622+Z1622,2))</f>
        <v/>
      </c>
      <c r="R1622" s="79" t="str">
        <f>IF(A1622="","",IF(S1622=0,"Date manquante ou invalide",IF(C1622="","Équipement manquant",IF(ISNA(MATCH(C1622,eq_code,0)),"Équipement inconnu",IF(E1622="","Type manquant",IF(AND(E1622&lt;&gt;"Préventif",E1622&lt;&gt;"Correctif",E1622&lt;&gt;"Amélioratif"),"Type inconnu",IF(I1622="","Statut manquant",IF(AND(I1622&lt;&gt;"Terminée",I1622&lt;&gt;"En cours",I1622&lt;&gt;"À faire",I1622&lt;&gt;"Annulée"),"Statut inconnu",IF(AND(E1622="Préventif",F1622=""),"Plan manquant (préventif)",IF(AND(F1622&lt;&gt;"",ISNA(MATCH(F1622,pl_num,0))),"Plan inconnu",IF(AND(F1622&lt;&gt;"",IFERROR(INDEX(pl_eq,MATCH(F1622,pl_num,0))&amp;"",C1622)&lt;&gt;C1622),"Plan d'un autre équipement",IF(AND(J1622&lt;&gt;"",OR(NOT(ISNUMBER(J1622)),N(J1622)&lt;0)),"Compteur invalide",IF(OR(AND(K1622&lt;&gt;"",OR(NOT(ISNUMBER(K1622)),N(K1622)&lt;0)),AND(L1622&lt;&gt;"",OR(NOT(ISNUMBER(L1622)),N(L1622)&lt;0))),"Durée invalide",IF(OR(AND(N1622&lt;&gt;"",OR(NOT(ISNUMBER(N1622)),N(N1622)&lt;0)),AND(P1622&lt;&gt;"",OR(NOT(ISNUMBER(P1622)),N(P1622)&lt;0))),"Coût invalide",IF(AND(M1622&lt;&gt;"",ISNA(MATCH(M1622,tech_name,0))),"Technicien inconnu",IF(AND(I1622="Terminée",S1622&gt;p_today),"Terminée à une date future",IF(AND(I1622="Terminée",V1622=0),"Durée d'intervention manquante",IF(AND(I1622="Terminée",E1622="Préventif",T1622=0,OR(IFERROR(INDEX(pl_trig,MATCH(F1622,pl_num,0))&amp;"","")="Compteur",IFERROR(INDEX(pl_trig,MATCH(F1622,pl_num,0))&amp;"","")="Au premier des deux")),"Compteur manquant (plan au compteur)","OK"))))))))))))))))))</f>
        <v/>
      </c>
      <c r="S1622" s="67">
        <f>IF(AND(ISNUMBER(B1622),N(B1622)&gt;0),INT(B1622),0)</f>
        <v>0.0</v>
      </c>
      <c r="T1622" s="67">
        <f>IF(AND(ISNUMBER(J1622),N(J1622)&gt;=0),N(J1622),0)</f>
        <v>0.0</v>
      </c>
      <c r="U1622" s="67">
        <f>IF(AND(ISNUMBER(K1622),N(K1622)&gt;0),N(K1622),0)</f>
        <v>0.0</v>
      </c>
      <c r="V1622" s="67">
        <f>IF(AND(ISNUMBER(L1622),N(L1622)&gt;0),N(L1622),0)</f>
        <v>0.0</v>
      </c>
      <c r="W1622" s="67">
        <f>IF(AND(I1622="Terminée",S1622&gt;0,C1622&lt;&gt;"",ISNUMBER(MATCH(C1622,eq_code,0))),1,0)</f>
        <v>0.0</v>
      </c>
      <c r="X1622" s="67">
        <f>IF(AND(W1622=1,E1622="Préventif"),1,0)</f>
        <v>0.0</v>
      </c>
      <c r="Y1622" s="67">
        <f>IF(AND(ISNUMBER(N1622),N(N1622)&gt;0),N(N1622),0)</f>
        <v>0.0</v>
      </c>
      <c r="Z1622" s="67">
        <f>IF(AND(ISNUMBER(P1622),N(P1622)&gt;0),N(P1622),0)</f>
        <v>0.0</v>
      </c>
    </row>
    <row r="1623">
      <c r="A1623" s="79" t="str">
        <f>IF(COUNTA(B1623:C1623,E1623:G1623,I1623)=0,"","BI-"&amp;RIGHT("0000"&amp;(ROW()-5),4))</f>
        <v/>
      </c>
      <c r="B1623" s="72" t="n"/>
      <c r="C1623" s="66" t="n"/>
      <c r="D1623" s="67" t="str">
        <f>IF(C1623="","",IFERROR(INDEX(eq_des,MATCH(C1623,eq_code,0))&amp;"","Équipement inconnu"))</f>
        <v/>
      </c>
      <c r="E1623" s="68" t="n"/>
      <c r="F1623" s="68" t="n"/>
      <c r="G1623" s="66" t="n"/>
      <c r="H1623" s="66" t="n"/>
      <c r="I1623" s="68" t="n"/>
      <c r="J1623" s="73" t="n"/>
      <c r="K1623" s="71" t="n"/>
      <c r="L1623" s="71" t="n"/>
      <c r="M1623" s="66" t="n"/>
      <c r="N1623" s="80" t="n"/>
      <c r="O1623" s="81" t="str">
        <f>IF(A1623="","",ROUND(V1623*IFERROR(N(INDEX(tech_rate,MATCH(M1623,tech_name,0))),0),2))</f>
        <v/>
      </c>
      <c r="P1623" s="80" t="n"/>
      <c r="Q1623" s="81" t="str">
        <f>IF(A1623="","",ROUND(Y1623+O1623+Z1623,2))</f>
        <v/>
      </c>
      <c r="R1623" s="79" t="str">
        <f>IF(A1623="","",IF(S1623=0,"Date manquante ou invalide",IF(C1623="","Équipement manquant",IF(ISNA(MATCH(C1623,eq_code,0)),"Équipement inconnu",IF(E1623="","Type manquant",IF(AND(E1623&lt;&gt;"Préventif",E1623&lt;&gt;"Correctif",E1623&lt;&gt;"Amélioratif"),"Type inconnu",IF(I1623="","Statut manquant",IF(AND(I1623&lt;&gt;"Terminée",I1623&lt;&gt;"En cours",I1623&lt;&gt;"À faire",I1623&lt;&gt;"Annulée"),"Statut inconnu",IF(AND(E1623="Préventif",F1623=""),"Plan manquant (préventif)",IF(AND(F1623&lt;&gt;"",ISNA(MATCH(F1623,pl_num,0))),"Plan inconnu",IF(AND(F1623&lt;&gt;"",IFERROR(INDEX(pl_eq,MATCH(F1623,pl_num,0))&amp;"",C1623)&lt;&gt;C1623),"Plan d'un autre équipement",IF(AND(J1623&lt;&gt;"",OR(NOT(ISNUMBER(J1623)),N(J1623)&lt;0)),"Compteur invalide",IF(OR(AND(K1623&lt;&gt;"",OR(NOT(ISNUMBER(K1623)),N(K1623)&lt;0)),AND(L1623&lt;&gt;"",OR(NOT(ISNUMBER(L1623)),N(L1623)&lt;0))),"Durée invalide",IF(OR(AND(N1623&lt;&gt;"",OR(NOT(ISNUMBER(N1623)),N(N1623)&lt;0)),AND(P1623&lt;&gt;"",OR(NOT(ISNUMBER(P1623)),N(P1623)&lt;0))),"Coût invalide",IF(AND(M1623&lt;&gt;"",ISNA(MATCH(M1623,tech_name,0))),"Technicien inconnu",IF(AND(I1623="Terminée",S1623&gt;p_today),"Terminée à une date future",IF(AND(I1623="Terminée",V1623=0),"Durée d'intervention manquante",IF(AND(I1623="Terminée",E1623="Préventif",T1623=0,OR(IFERROR(INDEX(pl_trig,MATCH(F1623,pl_num,0))&amp;"","")="Compteur",IFERROR(INDEX(pl_trig,MATCH(F1623,pl_num,0))&amp;"","")="Au premier des deux")),"Compteur manquant (plan au compteur)","OK"))))))))))))))))))</f>
        <v/>
      </c>
      <c r="S1623" s="67">
        <f>IF(AND(ISNUMBER(B1623),N(B1623)&gt;0),INT(B1623),0)</f>
        <v>0.0</v>
      </c>
      <c r="T1623" s="67">
        <f>IF(AND(ISNUMBER(J1623),N(J1623)&gt;=0),N(J1623),0)</f>
        <v>0.0</v>
      </c>
      <c r="U1623" s="67">
        <f>IF(AND(ISNUMBER(K1623),N(K1623)&gt;0),N(K1623),0)</f>
        <v>0.0</v>
      </c>
      <c r="V1623" s="67">
        <f>IF(AND(ISNUMBER(L1623),N(L1623)&gt;0),N(L1623),0)</f>
        <v>0.0</v>
      </c>
      <c r="W1623" s="67">
        <f>IF(AND(I1623="Terminée",S1623&gt;0,C1623&lt;&gt;"",ISNUMBER(MATCH(C1623,eq_code,0))),1,0)</f>
        <v>0.0</v>
      </c>
      <c r="X1623" s="67">
        <f>IF(AND(W1623=1,E1623="Préventif"),1,0)</f>
        <v>0.0</v>
      </c>
      <c r="Y1623" s="67">
        <f>IF(AND(ISNUMBER(N1623),N(N1623)&gt;0),N(N1623),0)</f>
        <v>0.0</v>
      </c>
      <c r="Z1623" s="67">
        <f>IF(AND(ISNUMBER(P1623),N(P1623)&gt;0),N(P1623),0)</f>
        <v>0.0</v>
      </c>
    </row>
    <row r="1624">
      <c r="A1624" s="79" t="str">
        <f>IF(COUNTA(B1624:C1624,E1624:G1624,I1624)=0,"","BI-"&amp;RIGHT("0000"&amp;(ROW()-5),4))</f>
        <v/>
      </c>
      <c r="B1624" s="72" t="n"/>
      <c r="C1624" s="66" t="n"/>
      <c r="D1624" s="67" t="str">
        <f>IF(C1624="","",IFERROR(INDEX(eq_des,MATCH(C1624,eq_code,0))&amp;"","Équipement inconnu"))</f>
        <v/>
      </c>
      <c r="E1624" s="68" t="n"/>
      <c r="F1624" s="68" t="n"/>
      <c r="G1624" s="66" t="n"/>
      <c r="H1624" s="66" t="n"/>
      <c r="I1624" s="68" t="n"/>
      <c r="J1624" s="73" t="n"/>
      <c r="K1624" s="71" t="n"/>
      <c r="L1624" s="71" t="n"/>
      <c r="M1624" s="66" t="n"/>
      <c r="N1624" s="80" t="n"/>
      <c r="O1624" s="81" t="str">
        <f>IF(A1624="","",ROUND(V1624*IFERROR(N(INDEX(tech_rate,MATCH(M1624,tech_name,0))),0),2))</f>
        <v/>
      </c>
      <c r="P1624" s="80" t="n"/>
      <c r="Q1624" s="81" t="str">
        <f>IF(A1624="","",ROUND(Y1624+O1624+Z1624,2))</f>
        <v/>
      </c>
      <c r="R1624" s="79" t="str">
        <f>IF(A1624="","",IF(S1624=0,"Date manquante ou invalide",IF(C1624="","Équipement manquant",IF(ISNA(MATCH(C1624,eq_code,0)),"Équipement inconnu",IF(E1624="","Type manquant",IF(AND(E1624&lt;&gt;"Préventif",E1624&lt;&gt;"Correctif",E1624&lt;&gt;"Amélioratif"),"Type inconnu",IF(I1624="","Statut manquant",IF(AND(I1624&lt;&gt;"Terminée",I1624&lt;&gt;"En cours",I1624&lt;&gt;"À faire",I1624&lt;&gt;"Annulée"),"Statut inconnu",IF(AND(E1624="Préventif",F1624=""),"Plan manquant (préventif)",IF(AND(F1624&lt;&gt;"",ISNA(MATCH(F1624,pl_num,0))),"Plan inconnu",IF(AND(F1624&lt;&gt;"",IFERROR(INDEX(pl_eq,MATCH(F1624,pl_num,0))&amp;"",C1624)&lt;&gt;C1624),"Plan d'un autre équipement",IF(AND(J1624&lt;&gt;"",OR(NOT(ISNUMBER(J1624)),N(J1624)&lt;0)),"Compteur invalide",IF(OR(AND(K1624&lt;&gt;"",OR(NOT(ISNUMBER(K1624)),N(K1624)&lt;0)),AND(L1624&lt;&gt;"",OR(NOT(ISNUMBER(L1624)),N(L1624)&lt;0))),"Durée invalide",IF(OR(AND(N1624&lt;&gt;"",OR(NOT(ISNUMBER(N1624)),N(N1624)&lt;0)),AND(P1624&lt;&gt;"",OR(NOT(ISNUMBER(P1624)),N(P1624)&lt;0))),"Coût invalide",IF(AND(M1624&lt;&gt;"",ISNA(MATCH(M1624,tech_name,0))),"Technicien inconnu",IF(AND(I1624="Terminée",S1624&gt;p_today),"Terminée à une date future",IF(AND(I1624="Terminée",V1624=0),"Durée d'intervention manquante",IF(AND(I1624="Terminée",E1624="Préventif",T1624=0,OR(IFERROR(INDEX(pl_trig,MATCH(F1624,pl_num,0))&amp;"","")="Compteur",IFERROR(INDEX(pl_trig,MATCH(F1624,pl_num,0))&amp;"","")="Au premier des deux")),"Compteur manquant (plan au compteur)","OK"))))))))))))))))))</f>
        <v/>
      </c>
      <c r="S1624" s="67">
        <f>IF(AND(ISNUMBER(B1624),N(B1624)&gt;0),INT(B1624),0)</f>
        <v>0.0</v>
      </c>
      <c r="T1624" s="67">
        <f>IF(AND(ISNUMBER(J1624),N(J1624)&gt;=0),N(J1624),0)</f>
        <v>0.0</v>
      </c>
      <c r="U1624" s="67">
        <f>IF(AND(ISNUMBER(K1624),N(K1624)&gt;0),N(K1624),0)</f>
        <v>0.0</v>
      </c>
      <c r="V1624" s="67">
        <f>IF(AND(ISNUMBER(L1624),N(L1624)&gt;0),N(L1624),0)</f>
        <v>0.0</v>
      </c>
      <c r="W1624" s="67">
        <f>IF(AND(I1624="Terminée",S1624&gt;0,C1624&lt;&gt;"",ISNUMBER(MATCH(C1624,eq_code,0))),1,0)</f>
        <v>0.0</v>
      </c>
      <c r="X1624" s="67">
        <f>IF(AND(W1624=1,E1624="Préventif"),1,0)</f>
        <v>0.0</v>
      </c>
      <c r="Y1624" s="67">
        <f>IF(AND(ISNUMBER(N1624),N(N1624)&gt;0),N(N1624),0)</f>
        <v>0.0</v>
      </c>
      <c r="Z1624" s="67">
        <f>IF(AND(ISNUMBER(P1624),N(P1624)&gt;0),N(P1624),0)</f>
        <v>0.0</v>
      </c>
    </row>
    <row r="1625">
      <c r="A1625" s="79" t="str">
        <f>IF(COUNTA(B1625:C1625,E1625:G1625,I1625)=0,"","BI-"&amp;RIGHT("0000"&amp;(ROW()-5),4))</f>
        <v/>
      </c>
      <c r="B1625" s="72" t="n"/>
      <c r="C1625" s="66" t="n"/>
      <c r="D1625" s="67" t="str">
        <f>IF(C1625="","",IFERROR(INDEX(eq_des,MATCH(C1625,eq_code,0))&amp;"","Équipement inconnu"))</f>
        <v/>
      </c>
      <c r="E1625" s="68" t="n"/>
      <c r="F1625" s="68" t="n"/>
      <c r="G1625" s="66" t="n"/>
      <c r="H1625" s="66" t="n"/>
      <c r="I1625" s="68" t="n"/>
      <c r="J1625" s="73" t="n"/>
      <c r="K1625" s="71" t="n"/>
      <c r="L1625" s="71" t="n"/>
      <c r="M1625" s="66" t="n"/>
      <c r="N1625" s="80" t="n"/>
      <c r="O1625" s="81" t="str">
        <f>IF(A1625="","",ROUND(V1625*IFERROR(N(INDEX(tech_rate,MATCH(M1625,tech_name,0))),0),2))</f>
        <v/>
      </c>
      <c r="P1625" s="80" t="n"/>
      <c r="Q1625" s="81" t="str">
        <f>IF(A1625="","",ROUND(Y1625+O1625+Z1625,2))</f>
        <v/>
      </c>
      <c r="R1625" s="79" t="str">
        <f>IF(A1625="","",IF(S1625=0,"Date manquante ou invalide",IF(C1625="","Équipement manquant",IF(ISNA(MATCH(C1625,eq_code,0)),"Équipement inconnu",IF(E1625="","Type manquant",IF(AND(E1625&lt;&gt;"Préventif",E1625&lt;&gt;"Correctif",E1625&lt;&gt;"Amélioratif"),"Type inconnu",IF(I1625="","Statut manquant",IF(AND(I1625&lt;&gt;"Terminée",I1625&lt;&gt;"En cours",I1625&lt;&gt;"À faire",I1625&lt;&gt;"Annulée"),"Statut inconnu",IF(AND(E1625="Préventif",F1625=""),"Plan manquant (préventif)",IF(AND(F1625&lt;&gt;"",ISNA(MATCH(F1625,pl_num,0))),"Plan inconnu",IF(AND(F1625&lt;&gt;"",IFERROR(INDEX(pl_eq,MATCH(F1625,pl_num,0))&amp;"",C1625)&lt;&gt;C1625),"Plan d'un autre équipement",IF(AND(J1625&lt;&gt;"",OR(NOT(ISNUMBER(J1625)),N(J1625)&lt;0)),"Compteur invalide",IF(OR(AND(K1625&lt;&gt;"",OR(NOT(ISNUMBER(K1625)),N(K1625)&lt;0)),AND(L1625&lt;&gt;"",OR(NOT(ISNUMBER(L1625)),N(L1625)&lt;0))),"Durée invalide",IF(OR(AND(N1625&lt;&gt;"",OR(NOT(ISNUMBER(N1625)),N(N1625)&lt;0)),AND(P1625&lt;&gt;"",OR(NOT(ISNUMBER(P1625)),N(P1625)&lt;0))),"Coût invalide",IF(AND(M1625&lt;&gt;"",ISNA(MATCH(M1625,tech_name,0))),"Technicien inconnu",IF(AND(I1625="Terminée",S1625&gt;p_today),"Terminée à une date future",IF(AND(I1625="Terminée",V1625=0),"Durée d'intervention manquante",IF(AND(I1625="Terminée",E1625="Préventif",T1625=0,OR(IFERROR(INDEX(pl_trig,MATCH(F1625,pl_num,0))&amp;"","")="Compteur",IFERROR(INDEX(pl_trig,MATCH(F1625,pl_num,0))&amp;"","")="Au premier des deux")),"Compteur manquant (plan au compteur)","OK"))))))))))))))))))</f>
        <v/>
      </c>
      <c r="S1625" s="67">
        <f>IF(AND(ISNUMBER(B1625),N(B1625)&gt;0),INT(B1625),0)</f>
        <v>0.0</v>
      </c>
      <c r="T1625" s="67">
        <f>IF(AND(ISNUMBER(J1625),N(J1625)&gt;=0),N(J1625),0)</f>
        <v>0.0</v>
      </c>
      <c r="U1625" s="67">
        <f>IF(AND(ISNUMBER(K1625),N(K1625)&gt;0),N(K1625),0)</f>
        <v>0.0</v>
      </c>
      <c r="V1625" s="67">
        <f>IF(AND(ISNUMBER(L1625),N(L1625)&gt;0),N(L1625),0)</f>
        <v>0.0</v>
      </c>
      <c r="W1625" s="67">
        <f>IF(AND(I1625="Terminée",S1625&gt;0,C1625&lt;&gt;"",ISNUMBER(MATCH(C1625,eq_code,0))),1,0)</f>
        <v>0.0</v>
      </c>
      <c r="X1625" s="67">
        <f>IF(AND(W1625=1,E1625="Préventif"),1,0)</f>
        <v>0.0</v>
      </c>
      <c r="Y1625" s="67">
        <f>IF(AND(ISNUMBER(N1625),N(N1625)&gt;0),N(N1625),0)</f>
        <v>0.0</v>
      </c>
      <c r="Z1625" s="67">
        <f>IF(AND(ISNUMBER(P1625),N(P1625)&gt;0),N(P1625),0)</f>
        <v>0.0</v>
      </c>
    </row>
    <row r="1626">
      <c r="A1626" s="79" t="str">
        <f>IF(COUNTA(B1626:C1626,E1626:G1626,I1626)=0,"","BI-"&amp;RIGHT("0000"&amp;(ROW()-5),4))</f>
        <v/>
      </c>
      <c r="B1626" s="72" t="n"/>
      <c r="C1626" s="66" t="n"/>
      <c r="D1626" s="67" t="str">
        <f>IF(C1626="","",IFERROR(INDEX(eq_des,MATCH(C1626,eq_code,0))&amp;"","Équipement inconnu"))</f>
        <v/>
      </c>
      <c r="E1626" s="68" t="n"/>
      <c r="F1626" s="68" t="n"/>
      <c r="G1626" s="66" t="n"/>
      <c r="H1626" s="66" t="n"/>
      <c r="I1626" s="68" t="n"/>
      <c r="J1626" s="73" t="n"/>
      <c r="K1626" s="71" t="n"/>
      <c r="L1626" s="71" t="n"/>
      <c r="M1626" s="66" t="n"/>
      <c r="N1626" s="80" t="n"/>
      <c r="O1626" s="81" t="str">
        <f>IF(A1626="","",ROUND(V1626*IFERROR(N(INDEX(tech_rate,MATCH(M1626,tech_name,0))),0),2))</f>
        <v/>
      </c>
      <c r="P1626" s="80" t="n"/>
      <c r="Q1626" s="81" t="str">
        <f>IF(A1626="","",ROUND(Y1626+O1626+Z1626,2))</f>
        <v/>
      </c>
      <c r="R1626" s="79" t="str">
        <f>IF(A1626="","",IF(S1626=0,"Date manquante ou invalide",IF(C1626="","Équipement manquant",IF(ISNA(MATCH(C1626,eq_code,0)),"Équipement inconnu",IF(E1626="","Type manquant",IF(AND(E1626&lt;&gt;"Préventif",E1626&lt;&gt;"Correctif",E1626&lt;&gt;"Amélioratif"),"Type inconnu",IF(I1626="","Statut manquant",IF(AND(I1626&lt;&gt;"Terminée",I1626&lt;&gt;"En cours",I1626&lt;&gt;"À faire",I1626&lt;&gt;"Annulée"),"Statut inconnu",IF(AND(E1626="Préventif",F1626=""),"Plan manquant (préventif)",IF(AND(F1626&lt;&gt;"",ISNA(MATCH(F1626,pl_num,0))),"Plan inconnu",IF(AND(F1626&lt;&gt;"",IFERROR(INDEX(pl_eq,MATCH(F1626,pl_num,0))&amp;"",C1626)&lt;&gt;C1626),"Plan d'un autre équipement",IF(AND(J1626&lt;&gt;"",OR(NOT(ISNUMBER(J1626)),N(J1626)&lt;0)),"Compteur invalide",IF(OR(AND(K1626&lt;&gt;"",OR(NOT(ISNUMBER(K1626)),N(K1626)&lt;0)),AND(L1626&lt;&gt;"",OR(NOT(ISNUMBER(L1626)),N(L1626)&lt;0))),"Durée invalide",IF(OR(AND(N1626&lt;&gt;"",OR(NOT(ISNUMBER(N1626)),N(N1626)&lt;0)),AND(P1626&lt;&gt;"",OR(NOT(ISNUMBER(P1626)),N(P1626)&lt;0))),"Coût invalide",IF(AND(M1626&lt;&gt;"",ISNA(MATCH(M1626,tech_name,0))),"Technicien inconnu",IF(AND(I1626="Terminée",S1626&gt;p_today),"Terminée à une date future",IF(AND(I1626="Terminée",V1626=0),"Durée d'intervention manquante",IF(AND(I1626="Terminée",E1626="Préventif",T1626=0,OR(IFERROR(INDEX(pl_trig,MATCH(F1626,pl_num,0))&amp;"","")="Compteur",IFERROR(INDEX(pl_trig,MATCH(F1626,pl_num,0))&amp;"","")="Au premier des deux")),"Compteur manquant (plan au compteur)","OK"))))))))))))))))))</f>
        <v/>
      </c>
      <c r="S1626" s="67">
        <f>IF(AND(ISNUMBER(B1626),N(B1626)&gt;0),INT(B1626),0)</f>
        <v>0.0</v>
      </c>
      <c r="T1626" s="67">
        <f>IF(AND(ISNUMBER(J1626),N(J1626)&gt;=0),N(J1626),0)</f>
        <v>0.0</v>
      </c>
      <c r="U1626" s="67">
        <f>IF(AND(ISNUMBER(K1626),N(K1626)&gt;0),N(K1626),0)</f>
        <v>0.0</v>
      </c>
      <c r="V1626" s="67">
        <f>IF(AND(ISNUMBER(L1626),N(L1626)&gt;0),N(L1626),0)</f>
        <v>0.0</v>
      </c>
      <c r="W1626" s="67">
        <f>IF(AND(I1626="Terminée",S1626&gt;0,C1626&lt;&gt;"",ISNUMBER(MATCH(C1626,eq_code,0))),1,0)</f>
        <v>0.0</v>
      </c>
      <c r="X1626" s="67">
        <f>IF(AND(W1626=1,E1626="Préventif"),1,0)</f>
        <v>0.0</v>
      </c>
      <c r="Y1626" s="67">
        <f>IF(AND(ISNUMBER(N1626),N(N1626)&gt;0),N(N1626),0)</f>
        <v>0.0</v>
      </c>
      <c r="Z1626" s="67">
        <f>IF(AND(ISNUMBER(P1626),N(P1626)&gt;0),N(P1626),0)</f>
        <v>0.0</v>
      </c>
    </row>
    <row r="1627">
      <c r="A1627" s="79" t="str">
        <f>IF(COUNTA(B1627:C1627,E1627:G1627,I1627)=0,"","BI-"&amp;RIGHT("0000"&amp;(ROW()-5),4))</f>
        <v/>
      </c>
      <c r="B1627" s="72" t="n"/>
      <c r="C1627" s="66" t="n"/>
      <c r="D1627" s="67" t="str">
        <f>IF(C1627="","",IFERROR(INDEX(eq_des,MATCH(C1627,eq_code,0))&amp;"","Équipement inconnu"))</f>
        <v/>
      </c>
      <c r="E1627" s="68" t="n"/>
      <c r="F1627" s="68" t="n"/>
      <c r="G1627" s="66" t="n"/>
      <c r="H1627" s="66" t="n"/>
      <c r="I1627" s="68" t="n"/>
      <c r="J1627" s="73" t="n"/>
      <c r="K1627" s="71" t="n"/>
      <c r="L1627" s="71" t="n"/>
      <c r="M1627" s="66" t="n"/>
      <c r="N1627" s="80" t="n"/>
      <c r="O1627" s="81" t="str">
        <f>IF(A1627="","",ROUND(V1627*IFERROR(N(INDEX(tech_rate,MATCH(M1627,tech_name,0))),0),2))</f>
        <v/>
      </c>
      <c r="P1627" s="80" t="n"/>
      <c r="Q1627" s="81" t="str">
        <f>IF(A1627="","",ROUND(Y1627+O1627+Z1627,2))</f>
        <v/>
      </c>
      <c r="R1627" s="79" t="str">
        <f>IF(A1627="","",IF(S1627=0,"Date manquante ou invalide",IF(C1627="","Équipement manquant",IF(ISNA(MATCH(C1627,eq_code,0)),"Équipement inconnu",IF(E1627="","Type manquant",IF(AND(E1627&lt;&gt;"Préventif",E1627&lt;&gt;"Correctif",E1627&lt;&gt;"Amélioratif"),"Type inconnu",IF(I1627="","Statut manquant",IF(AND(I1627&lt;&gt;"Terminée",I1627&lt;&gt;"En cours",I1627&lt;&gt;"À faire",I1627&lt;&gt;"Annulée"),"Statut inconnu",IF(AND(E1627="Préventif",F1627=""),"Plan manquant (préventif)",IF(AND(F1627&lt;&gt;"",ISNA(MATCH(F1627,pl_num,0))),"Plan inconnu",IF(AND(F1627&lt;&gt;"",IFERROR(INDEX(pl_eq,MATCH(F1627,pl_num,0))&amp;"",C1627)&lt;&gt;C1627),"Plan d'un autre équipement",IF(AND(J1627&lt;&gt;"",OR(NOT(ISNUMBER(J1627)),N(J1627)&lt;0)),"Compteur invalide",IF(OR(AND(K1627&lt;&gt;"",OR(NOT(ISNUMBER(K1627)),N(K1627)&lt;0)),AND(L1627&lt;&gt;"",OR(NOT(ISNUMBER(L1627)),N(L1627)&lt;0))),"Durée invalide",IF(OR(AND(N1627&lt;&gt;"",OR(NOT(ISNUMBER(N1627)),N(N1627)&lt;0)),AND(P1627&lt;&gt;"",OR(NOT(ISNUMBER(P1627)),N(P1627)&lt;0))),"Coût invalide",IF(AND(M1627&lt;&gt;"",ISNA(MATCH(M1627,tech_name,0))),"Technicien inconnu",IF(AND(I1627="Terminée",S1627&gt;p_today),"Terminée à une date future",IF(AND(I1627="Terminée",V1627=0),"Durée d'intervention manquante",IF(AND(I1627="Terminée",E1627="Préventif",T1627=0,OR(IFERROR(INDEX(pl_trig,MATCH(F1627,pl_num,0))&amp;"","")="Compteur",IFERROR(INDEX(pl_trig,MATCH(F1627,pl_num,0))&amp;"","")="Au premier des deux")),"Compteur manquant (plan au compteur)","OK"))))))))))))))))))</f>
        <v/>
      </c>
      <c r="S1627" s="67">
        <f>IF(AND(ISNUMBER(B1627),N(B1627)&gt;0),INT(B1627),0)</f>
        <v>0.0</v>
      </c>
      <c r="T1627" s="67">
        <f>IF(AND(ISNUMBER(J1627),N(J1627)&gt;=0),N(J1627),0)</f>
        <v>0.0</v>
      </c>
      <c r="U1627" s="67">
        <f>IF(AND(ISNUMBER(K1627),N(K1627)&gt;0),N(K1627),0)</f>
        <v>0.0</v>
      </c>
      <c r="V1627" s="67">
        <f>IF(AND(ISNUMBER(L1627),N(L1627)&gt;0),N(L1627),0)</f>
        <v>0.0</v>
      </c>
      <c r="W1627" s="67">
        <f>IF(AND(I1627="Terminée",S1627&gt;0,C1627&lt;&gt;"",ISNUMBER(MATCH(C1627,eq_code,0))),1,0)</f>
        <v>0.0</v>
      </c>
      <c r="X1627" s="67">
        <f>IF(AND(W1627=1,E1627="Préventif"),1,0)</f>
        <v>0.0</v>
      </c>
      <c r="Y1627" s="67">
        <f>IF(AND(ISNUMBER(N1627),N(N1627)&gt;0),N(N1627),0)</f>
        <v>0.0</v>
      </c>
      <c r="Z1627" s="67">
        <f>IF(AND(ISNUMBER(P1627),N(P1627)&gt;0),N(P1627),0)</f>
        <v>0.0</v>
      </c>
    </row>
    <row r="1628">
      <c r="A1628" s="79" t="str">
        <f>IF(COUNTA(B1628:C1628,E1628:G1628,I1628)=0,"","BI-"&amp;RIGHT("0000"&amp;(ROW()-5),4))</f>
        <v/>
      </c>
      <c r="B1628" s="72" t="n"/>
      <c r="C1628" s="66" t="n"/>
      <c r="D1628" s="67" t="str">
        <f>IF(C1628="","",IFERROR(INDEX(eq_des,MATCH(C1628,eq_code,0))&amp;"","Équipement inconnu"))</f>
        <v/>
      </c>
      <c r="E1628" s="68" t="n"/>
      <c r="F1628" s="68" t="n"/>
      <c r="G1628" s="66" t="n"/>
      <c r="H1628" s="66" t="n"/>
      <c r="I1628" s="68" t="n"/>
      <c r="J1628" s="73" t="n"/>
      <c r="K1628" s="71" t="n"/>
      <c r="L1628" s="71" t="n"/>
      <c r="M1628" s="66" t="n"/>
      <c r="N1628" s="80" t="n"/>
      <c r="O1628" s="81" t="str">
        <f>IF(A1628="","",ROUND(V1628*IFERROR(N(INDEX(tech_rate,MATCH(M1628,tech_name,0))),0),2))</f>
        <v/>
      </c>
      <c r="P1628" s="80" t="n"/>
      <c r="Q1628" s="81" t="str">
        <f>IF(A1628="","",ROUND(Y1628+O1628+Z1628,2))</f>
        <v/>
      </c>
      <c r="R1628" s="79" t="str">
        <f>IF(A1628="","",IF(S1628=0,"Date manquante ou invalide",IF(C1628="","Équipement manquant",IF(ISNA(MATCH(C1628,eq_code,0)),"Équipement inconnu",IF(E1628="","Type manquant",IF(AND(E1628&lt;&gt;"Préventif",E1628&lt;&gt;"Correctif",E1628&lt;&gt;"Amélioratif"),"Type inconnu",IF(I1628="","Statut manquant",IF(AND(I1628&lt;&gt;"Terminée",I1628&lt;&gt;"En cours",I1628&lt;&gt;"À faire",I1628&lt;&gt;"Annulée"),"Statut inconnu",IF(AND(E1628="Préventif",F1628=""),"Plan manquant (préventif)",IF(AND(F1628&lt;&gt;"",ISNA(MATCH(F1628,pl_num,0))),"Plan inconnu",IF(AND(F1628&lt;&gt;"",IFERROR(INDEX(pl_eq,MATCH(F1628,pl_num,0))&amp;"",C1628)&lt;&gt;C1628),"Plan d'un autre équipement",IF(AND(J1628&lt;&gt;"",OR(NOT(ISNUMBER(J1628)),N(J1628)&lt;0)),"Compteur invalide",IF(OR(AND(K1628&lt;&gt;"",OR(NOT(ISNUMBER(K1628)),N(K1628)&lt;0)),AND(L1628&lt;&gt;"",OR(NOT(ISNUMBER(L1628)),N(L1628)&lt;0))),"Durée invalide",IF(OR(AND(N1628&lt;&gt;"",OR(NOT(ISNUMBER(N1628)),N(N1628)&lt;0)),AND(P1628&lt;&gt;"",OR(NOT(ISNUMBER(P1628)),N(P1628)&lt;0))),"Coût invalide",IF(AND(M1628&lt;&gt;"",ISNA(MATCH(M1628,tech_name,0))),"Technicien inconnu",IF(AND(I1628="Terminée",S1628&gt;p_today),"Terminée à une date future",IF(AND(I1628="Terminée",V1628=0),"Durée d'intervention manquante",IF(AND(I1628="Terminée",E1628="Préventif",T1628=0,OR(IFERROR(INDEX(pl_trig,MATCH(F1628,pl_num,0))&amp;"","")="Compteur",IFERROR(INDEX(pl_trig,MATCH(F1628,pl_num,0))&amp;"","")="Au premier des deux")),"Compteur manquant (plan au compteur)","OK"))))))))))))))))))</f>
        <v/>
      </c>
      <c r="S1628" s="67">
        <f>IF(AND(ISNUMBER(B1628),N(B1628)&gt;0),INT(B1628),0)</f>
        <v>0.0</v>
      </c>
      <c r="T1628" s="67">
        <f>IF(AND(ISNUMBER(J1628),N(J1628)&gt;=0),N(J1628),0)</f>
        <v>0.0</v>
      </c>
      <c r="U1628" s="67">
        <f>IF(AND(ISNUMBER(K1628),N(K1628)&gt;0),N(K1628),0)</f>
        <v>0.0</v>
      </c>
      <c r="V1628" s="67">
        <f>IF(AND(ISNUMBER(L1628),N(L1628)&gt;0),N(L1628),0)</f>
        <v>0.0</v>
      </c>
      <c r="W1628" s="67">
        <f>IF(AND(I1628="Terminée",S1628&gt;0,C1628&lt;&gt;"",ISNUMBER(MATCH(C1628,eq_code,0))),1,0)</f>
        <v>0.0</v>
      </c>
      <c r="X1628" s="67">
        <f>IF(AND(W1628=1,E1628="Préventif"),1,0)</f>
        <v>0.0</v>
      </c>
      <c r="Y1628" s="67">
        <f>IF(AND(ISNUMBER(N1628),N(N1628)&gt;0),N(N1628),0)</f>
        <v>0.0</v>
      </c>
      <c r="Z1628" s="67">
        <f>IF(AND(ISNUMBER(P1628),N(P1628)&gt;0),N(P1628),0)</f>
        <v>0.0</v>
      </c>
    </row>
    <row r="1629">
      <c r="A1629" s="79" t="str">
        <f>IF(COUNTA(B1629:C1629,E1629:G1629,I1629)=0,"","BI-"&amp;RIGHT("0000"&amp;(ROW()-5),4))</f>
        <v/>
      </c>
      <c r="B1629" s="72" t="n"/>
      <c r="C1629" s="66" t="n"/>
      <c r="D1629" s="67" t="str">
        <f>IF(C1629="","",IFERROR(INDEX(eq_des,MATCH(C1629,eq_code,0))&amp;"","Équipement inconnu"))</f>
        <v/>
      </c>
      <c r="E1629" s="68" t="n"/>
      <c r="F1629" s="68" t="n"/>
      <c r="G1629" s="66" t="n"/>
      <c r="H1629" s="66" t="n"/>
      <c r="I1629" s="68" t="n"/>
      <c r="J1629" s="73" t="n"/>
      <c r="K1629" s="71" t="n"/>
      <c r="L1629" s="71" t="n"/>
      <c r="M1629" s="66" t="n"/>
      <c r="N1629" s="80" t="n"/>
      <c r="O1629" s="81" t="str">
        <f>IF(A1629="","",ROUND(V1629*IFERROR(N(INDEX(tech_rate,MATCH(M1629,tech_name,0))),0),2))</f>
        <v/>
      </c>
      <c r="P1629" s="80" t="n"/>
      <c r="Q1629" s="81" t="str">
        <f>IF(A1629="","",ROUND(Y1629+O1629+Z1629,2))</f>
        <v/>
      </c>
      <c r="R1629" s="79" t="str">
        <f>IF(A1629="","",IF(S1629=0,"Date manquante ou invalide",IF(C1629="","Équipement manquant",IF(ISNA(MATCH(C1629,eq_code,0)),"Équipement inconnu",IF(E1629="","Type manquant",IF(AND(E1629&lt;&gt;"Préventif",E1629&lt;&gt;"Correctif",E1629&lt;&gt;"Amélioratif"),"Type inconnu",IF(I1629="","Statut manquant",IF(AND(I1629&lt;&gt;"Terminée",I1629&lt;&gt;"En cours",I1629&lt;&gt;"À faire",I1629&lt;&gt;"Annulée"),"Statut inconnu",IF(AND(E1629="Préventif",F1629=""),"Plan manquant (préventif)",IF(AND(F1629&lt;&gt;"",ISNA(MATCH(F1629,pl_num,0))),"Plan inconnu",IF(AND(F1629&lt;&gt;"",IFERROR(INDEX(pl_eq,MATCH(F1629,pl_num,0))&amp;"",C1629)&lt;&gt;C1629),"Plan d'un autre équipement",IF(AND(J1629&lt;&gt;"",OR(NOT(ISNUMBER(J1629)),N(J1629)&lt;0)),"Compteur invalide",IF(OR(AND(K1629&lt;&gt;"",OR(NOT(ISNUMBER(K1629)),N(K1629)&lt;0)),AND(L1629&lt;&gt;"",OR(NOT(ISNUMBER(L1629)),N(L1629)&lt;0))),"Durée invalide",IF(OR(AND(N1629&lt;&gt;"",OR(NOT(ISNUMBER(N1629)),N(N1629)&lt;0)),AND(P1629&lt;&gt;"",OR(NOT(ISNUMBER(P1629)),N(P1629)&lt;0))),"Coût invalide",IF(AND(M1629&lt;&gt;"",ISNA(MATCH(M1629,tech_name,0))),"Technicien inconnu",IF(AND(I1629="Terminée",S1629&gt;p_today),"Terminée à une date future",IF(AND(I1629="Terminée",V1629=0),"Durée d'intervention manquante",IF(AND(I1629="Terminée",E1629="Préventif",T1629=0,OR(IFERROR(INDEX(pl_trig,MATCH(F1629,pl_num,0))&amp;"","")="Compteur",IFERROR(INDEX(pl_trig,MATCH(F1629,pl_num,0))&amp;"","")="Au premier des deux")),"Compteur manquant (plan au compteur)","OK"))))))))))))))))))</f>
        <v/>
      </c>
      <c r="S1629" s="67">
        <f>IF(AND(ISNUMBER(B1629),N(B1629)&gt;0),INT(B1629),0)</f>
        <v>0.0</v>
      </c>
      <c r="T1629" s="67">
        <f>IF(AND(ISNUMBER(J1629),N(J1629)&gt;=0),N(J1629),0)</f>
        <v>0.0</v>
      </c>
      <c r="U1629" s="67">
        <f>IF(AND(ISNUMBER(K1629),N(K1629)&gt;0),N(K1629),0)</f>
        <v>0.0</v>
      </c>
      <c r="V1629" s="67">
        <f>IF(AND(ISNUMBER(L1629),N(L1629)&gt;0),N(L1629),0)</f>
        <v>0.0</v>
      </c>
      <c r="W1629" s="67">
        <f>IF(AND(I1629="Terminée",S1629&gt;0,C1629&lt;&gt;"",ISNUMBER(MATCH(C1629,eq_code,0))),1,0)</f>
        <v>0.0</v>
      </c>
      <c r="X1629" s="67">
        <f>IF(AND(W1629=1,E1629="Préventif"),1,0)</f>
        <v>0.0</v>
      </c>
      <c r="Y1629" s="67">
        <f>IF(AND(ISNUMBER(N1629),N(N1629)&gt;0),N(N1629),0)</f>
        <v>0.0</v>
      </c>
      <c r="Z1629" s="67">
        <f>IF(AND(ISNUMBER(P1629),N(P1629)&gt;0),N(P1629),0)</f>
        <v>0.0</v>
      </c>
    </row>
    <row r="1630">
      <c r="A1630" s="79" t="str">
        <f>IF(COUNTA(B1630:C1630,E1630:G1630,I1630)=0,"","BI-"&amp;RIGHT("0000"&amp;(ROW()-5),4))</f>
        <v/>
      </c>
      <c r="B1630" s="72" t="n"/>
      <c r="C1630" s="66" t="n"/>
      <c r="D1630" s="67" t="str">
        <f>IF(C1630="","",IFERROR(INDEX(eq_des,MATCH(C1630,eq_code,0))&amp;"","Équipement inconnu"))</f>
        <v/>
      </c>
      <c r="E1630" s="68" t="n"/>
      <c r="F1630" s="68" t="n"/>
      <c r="G1630" s="66" t="n"/>
      <c r="H1630" s="66" t="n"/>
      <c r="I1630" s="68" t="n"/>
      <c r="J1630" s="73" t="n"/>
      <c r="K1630" s="71" t="n"/>
      <c r="L1630" s="71" t="n"/>
      <c r="M1630" s="66" t="n"/>
      <c r="N1630" s="80" t="n"/>
      <c r="O1630" s="81" t="str">
        <f>IF(A1630="","",ROUND(V1630*IFERROR(N(INDEX(tech_rate,MATCH(M1630,tech_name,0))),0),2))</f>
        <v/>
      </c>
      <c r="P1630" s="80" t="n"/>
      <c r="Q1630" s="81" t="str">
        <f>IF(A1630="","",ROUND(Y1630+O1630+Z1630,2))</f>
        <v/>
      </c>
      <c r="R1630" s="79" t="str">
        <f>IF(A1630="","",IF(S1630=0,"Date manquante ou invalide",IF(C1630="","Équipement manquant",IF(ISNA(MATCH(C1630,eq_code,0)),"Équipement inconnu",IF(E1630="","Type manquant",IF(AND(E1630&lt;&gt;"Préventif",E1630&lt;&gt;"Correctif",E1630&lt;&gt;"Amélioratif"),"Type inconnu",IF(I1630="","Statut manquant",IF(AND(I1630&lt;&gt;"Terminée",I1630&lt;&gt;"En cours",I1630&lt;&gt;"À faire",I1630&lt;&gt;"Annulée"),"Statut inconnu",IF(AND(E1630="Préventif",F1630=""),"Plan manquant (préventif)",IF(AND(F1630&lt;&gt;"",ISNA(MATCH(F1630,pl_num,0))),"Plan inconnu",IF(AND(F1630&lt;&gt;"",IFERROR(INDEX(pl_eq,MATCH(F1630,pl_num,0))&amp;"",C1630)&lt;&gt;C1630),"Plan d'un autre équipement",IF(AND(J1630&lt;&gt;"",OR(NOT(ISNUMBER(J1630)),N(J1630)&lt;0)),"Compteur invalide",IF(OR(AND(K1630&lt;&gt;"",OR(NOT(ISNUMBER(K1630)),N(K1630)&lt;0)),AND(L1630&lt;&gt;"",OR(NOT(ISNUMBER(L1630)),N(L1630)&lt;0))),"Durée invalide",IF(OR(AND(N1630&lt;&gt;"",OR(NOT(ISNUMBER(N1630)),N(N1630)&lt;0)),AND(P1630&lt;&gt;"",OR(NOT(ISNUMBER(P1630)),N(P1630)&lt;0))),"Coût invalide",IF(AND(M1630&lt;&gt;"",ISNA(MATCH(M1630,tech_name,0))),"Technicien inconnu",IF(AND(I1630="Terminée",S1630&gt;p_today),"Terminée à une date future",IF(AND(I1630="Terminée",V1630=0),"Durée d'intervention manquante",IF(AND(I1630="Terminée",E1630="Préventif",T1630=0,OR(IFERROR(INDEX(pl_trig,MATCH(F1630,pl_num,0))&amp;"","")="Compteur",IFERROR(INDEX(pl_trig,MATCH(F1630,pl_num,0))&amp;"","")="Au premier des deux")),"Compteur manquant (plan au compteur)","OK"))))))))))))))))))</f>
        <v/>
      </c>
      <c r="S1630" s="67">
        <f>IF(AND(ISNUMBER(B1630),N(B1630)&gt;0),INT(B1630),0)</f>
        <v>0.0</v>
      </c>
      <c r="T1630" s="67">
        <f>IF(AND(ISNUMBER(J1630),N(J1630)&gt;=0),N(J1630),0)</f>
        <v>0.0</v>
      </c>
      <c r="U1630" s="67">
        <f>IF(AND(ISNUMBER(K1630),N(K1630)&gt;0),N(K1630),0)</f>
        <v>0.0</v>
      </c>
      <c r="V1630" s="67">
        <f>IF(AND(ISNUMBER(L1630),N(L1630)&gt;0),N(L1630),0)</f>
        <v>0.0</v>
      </c>
      <c r="W1630" s="67">
        <f>IF(AND(I1630="Terminée",S1630&gt;0,C1630&lt;&gt;"",ISNUMBER(MATCH(C1630,eq_code,0))),1,0)</f>
        <v>0.0</v>
      </c>
      <c r="X1630" s="67">
        <f>IF(AND(W1630=1,E1630="Préventif"),1,0)</f>
        <v>0.0</v>
      </c>
      <c r="Y1630" s="67">
        <f>IF(AND(ISNUMBER(N1630),N(N1630)&gt;0),N(N1630),0)</f>
        <v>0.0</v>
      </c>
      <c r="Z1630" s="67">
        <f>IF(AND(ISNUMBER(P1630),N(P1630)&gt;0),N(P1630),0)</f>
        <v>0.0</v>
      </c>
    </row>
    <row r="1631">
      <c r="A1631" s="79" t="str">
        <f>IF(COUNTA(B1631:C1631,E1631:G1631,I1631)=0,"","BI-"&amp;RIGHT("0000"&amp;(ROW()-5),4))</f>
        <v/>
      </c>
      <c r="B1631" s="72" t="n"/>
      <c r="C1631" s="66" t="n"/>
      <c r="D1631" s="67" t="str">
        <f>IF(C1631="","",IFERROR(INDEX(eq_des,MATCH(C1631,eq_code,0))&amp;"","Équipement inconnu"))</f>
        <v/>
      </c>
      <c r="E1631" s="68" t="n"/>
      <c r="F1631" s="68" t="n"/>
      <c r="G1631" s="66" t="n"/>
      <c r="H1631" s="66" t="n"/>
      <c r="I1631" s="68" t="n"/>
      <c r="J1631" s="73" t="n"/>
      <c r="K1631" s="71" t="n"/>
      <c r="L1631" s="71" t="n"/>
      <c r="M1631" s="66" t="n"/>
      <c r="N1631" s="80" t="n"/>
      <c r="O1631" s="81" t="str">
        <f>IF(A1631="","",ROUND(V1631*IFERROR(N(INDEX(tech_rate,MATCH(M1631,tech_name,0))),0),2))</f>
        <v/>
      </c>
      <c r="P1631" s="80" t="n"/>
      <c r="Q1631" s="81" t="str">
        <f>IF(A1631="","",ROUND(Y1631+O1631+Z1631,2))</f>
        <v/>
      </c>
      <c r="R1631" s="79" t="str">
        <f>IF(A1631="","",IF(S1631=0,"Date manquante ou invalide",IF(C1631="","Équipement manquant",IF(ISNA(MATCH(C1631,eq_code,0)),"Équipement inconnu",IF(E1631="","Type manquant",IF(AND(E1631&lt;&gt;"Préventif",E1631&lt;&gt;"Correctif",E1631&lt;&gt;"Amélioratif"),"Type inconnu",IF(I1631="","Statut manquant",IF(AND(I1631&lt;&gt;"Terminée",I1631&lt;&gt;"En cours",I1631&lt;&gt;"À faire",I1631&lt;&gt;"Annulée"),"Statut inconnu",IF(AND(E1631="Préventif",F1631=""),"Plan manquant (préventif)",IF(AND(F1631&lt;&gt;"",ISNA(MATCH(F1631,pl_num,0))),"Plan inconnu",IF(AND(F1631&lt;&gt;"",IFERROR(INDEX(pl_eq,MATCH(F1631,pl_num,0))&amp;"",C1631)&lt;&gt;C1631),"Plan d'un autre équipement",IF(AND(J1631&lt;&gt;"",OR(NOT(ISNUMBER(J1631)),N(J1631)&lt;0)),"Compteur invalide",IF(OR(AND(K1631&lt;&gt;"",OR(NOT(ISNUMBER(K1631)),N(K1631)&lt;0)),AND(L1631&lt;&gt;"",OR(NOT(ISNUMBER(L1631)),N(L1631)&lt;0))),"Durée invalide",IF(OR(AND(N1631&lt;&gt;"",OR(NOT(ISNUMBER(N1631)),N(N1631)&lt;0)),AND(P1631&lt;&gt;"",OR(NOT(ISNUMBER(P1631)),N(P1631)&lt;0))),"Coût invalide",IF(AND(M1631&lt;&gt;"",ISNA(MATCH(M1631,tech_name,0))),"Technicien inconnu",IF(AND(I1631="Terminée",S1631&gt;p_today),"Terminée à une date future",IF(AND(I1631="Terminée",V1631=0),"Durée d'intervention manquante",IF(AND(I1631="Terminée",E1631="Préventif",T1631=0,OR(IFERROR(INDEX(pl_trig,MATCH(F1631,pl_num,0))&amp;"","")="Compteur",IFERROR(INDEX(pl_trig,MATCH(F1631,pl_num,0))&amp;"","")="Au premier des deux")),"Compteur manquant (plan au compteur)","OK"))))))))))))))))))</f>
        <v/>
      </c>
      <c r="S1631" s="67">
        <f>IF(AND(ISNUMBER(B1631),N(B1631)&gt;0),INT(B1631),0)</f>
        <v>0.0</v>
      </c>
      <c r="T1631" s="67">
        <f>IF(AND(ISNUMBER(J1631),N(J1631)&gt;=0),N(J1631),0)</f>
        <v>0.0</v>
      </c>
      <c r="U1631" s="67">
        <f>IF(AND(ISNUMBER(K1631),N(K1631)&gt;0),N(K1631),0)</f>
        <v>0.0</v>
      </c>
      <c r="V1631" s="67">
        <f>IF(AND(ISNUMBER(L1631),N(L1631)&gt;0),N(L1631),0)</f>
        <v>0.0</v>
      </c>
      <c r="W1631" s="67">
        <f>IF(AND(I1631="Terminée",S1631&gt;0,C1631&lt;&gt;"",ISNUMBER(MATCH(C1631,eq_code,0))),1,0)</f>
        <v>0.0</v>
      </c>
      <c r="X1631" s="67">
        <f>IF(AND(W1631=1,E1631="Préventif"),1,0)</f>
        <v>0.0</v>
      </c>
      <c r="Y1631" s="67">
        <f>IF(AND(ISNUMBER(N1631),N(N1631)&gt;0),N(N1631),0)</f>
        <v>0.0</v>
      </c>
      <c r="Z1631" s="67">
        <f>IF(AND(ISNUMBER(P1631),N(P1631)&gt;0),N(P1631),0)</f>
        <v>0.0</v>
      </c>
    </row>
    <row r="1632">
      <c r="A1632" s="79" t="str">
        <f>IF(COUNTA(B1632:C1632,E1632:G1632,I1632)=0,"","BI-"&amp;RIGHT("0000"&amp;(ROW()-5),4))</f>
        <v/>
      </c>
      <c r="B1632" s="72" t="n"/>
      <c r="C1632" s="66" t="n"/>
      <c r="D1632" s="67" t="str">
        <f>IF(C1632="","",IFERROR(INDEX(eq_des,MATCH(C1632,eq_code,0))&amp;"","Équipement inconnu"))</f>
        <v/>
      </c>
      <c r="E1632" s="68" t="n"/>
      <c r="F1632" s="68" t="n"/>
      <c r="G1632" s="66" t="n"/>
      <c r="H1632" s="66" t="n"/>
      <c r="I1632" s="68" t="n"/>
      <c r="J1632" s="73" t="n"/>
      <c r="K1632" s="71" t="n"/>
      <c r="L1632" s="71" t="n"/>
      <c r="M1632" s="66" t="n"/>
      <c r="N1632" s="80" t="n"/>
      <c r="O1632" s="81" t="str">
        <f>IF(A1632="","",ROUND(V1632*IFERROR(N(INDEX(tech_rate,MATCH(M1632,tech_name,0))),0),2))</f>
        <v/>
      </c>
      <c r="P1632" s="80" t="n"/>
      <c r="Q1632" s="81" t="str">
        <f>IF(A1632="","",ROUND(Y1632+O1632+Z1632,2))</f>
        <v/>
      </c>
      <c r="R1632" s="79" t="str">
        <f>IF(A1632="","",IF(S1632=0,"Date manquante ou invalide",IF(C1632="","Équipement manquant",IF(ISNA(MATCH(C1632,eq_code,0)),"Équipement inconnu",IF(E1632="","Type manquant",IF(AND(E1632&lt;&gt;"Préventif",E1632&lt;&gt;"Correctif",E1632&lt;&gt;"Amélioratif"),"Type inconnu",IF(I1632="","Statut manquant",IF(AND(I1632&lt;&gt;"Terminée",I1632&lt;&gt;"En cours",I1632&lt;&gt;"À faire",I1632&lt;&gt;"Annulée"),"Statut inconnu",IF(AND(E1632="Préventif",F1632=""),"Plan manquant (préventif)",IF(AND(F1632&lt;&gt;"",ISNA(MATCH(F1632,pl_num,0))),"Plan inconnu",IF(AND(F1632&lt;&gt;"",IFERROR(INDEX(pl_eq,MATCH(F1632,pl_num,0))&amp;"",C1632)&lt;&gt;C1632),"Plan d'un autre équipement",IF(AND(J1632&lt;&gt;"",OR(NOT(ISNUMBER(J1632)),N(J1632)&lt;0)),"Compteur invalide",IF(OR(AND(K1632&lt;&gt;"",OR(NOT(ISNUMBER(K1632)),N(K1632)&lt;0)),AND(L1632&lt;&gt;"",OR(NOT(ISNUMBER(L1632)),N(L1632)&lt;0))),"Durée invalide",IF(OR(AND(N1632&lt;&gt;"",OR(NOT(ISNUMBER(N1632)),N(N1632)&lt;0)),AND(P1632&lt;&gt;"",OR(NOT(ISNUMBER(P1632)),N(P1632)&lt;0))),"Coût invalide",IF(AND(M1632&lt;&gt;"",ISNA(MATCH(M1632,tech_name,0))),"Technicien inconnu",IF(AND(I1632="Terminée",S1632&gt;p_today),"Terminée à une date future",IF(AND(I1632="Terminée",V1632=0),"Durée d'intervention manquante",IF(AND(I1632="Terminée",E1632="Préventif",T1632=0,OR(IFERROR(INDEX(pl_trig,MATCH(F1632,pl_num,0))&amp;"","")="Compteur",IFERROR(INDEX(pl_trig,MATCH(F1632,pl_num,0))&amp;"","")="Au premier des deux")),"Compteur manquant (plan au compteur)","OK"))))))))))))))))))</f>
        <v/>
      </c>
      <c r="S1632" s="67">
        <f>IF(AND(ISNUMBER(B1632),N(B1632)&gt;0),INT(B1632),0)</f>
        <v>0.0</v>
      </c>
      <c r="T1632" s="67">
        <f>IF(AND(ISNUMBER(J1632),N(J1632)&gt;=0),N(J1632),0)</f>
        <v>0.0</v>
      </c>
      <c r="U1632" s="67">
        <f>IF(AND(ISNUMBER(K1632),N(K1632)&gt;0),N(K1632),0)</f>
        <v>0.0</v>
      </c>
      <c r="V1632" s="67">
        <f>IF(AND(ISNUMBER(L1632),N(L1632)&gt;0),N(L1632),0)</f>
        <v>0.0</v>
      </c>
      <c r="W1632" s="67">
        <f>IF(AND(I1632="Terminée",S1632&gt;0,C1632&lt;&gt;"",ISNUMBER(MATCH(C1632,eq_code,0))),1,0)</f>
        <v>0.0</v>
      </c>
      <c r="X1632" s="67">
        <f>IF(AND(W1632=1,E1632="Préventif"),1,0)</f>
        <v>0.0</v>
      </c>
      <c r="Y1632" s="67">
        <f>IF(AND(ISNUMBER(N1632),N(N1632)&gt;0),N(N1632),0)</f>
        <v>0.0</v>
      </c>
      <c r="Z1632" s="67">
        <f>IF(AND(ISNUMBER(P1632),N(P1632)&gt;0),N(P1632),0)</f>
        <v>0.0</v>
      </c>
    </row>
    <row r="1633">
      <c r="A1633" s="79" t="str">
        <f>IF(COUNTA(B1633:C1633,E1633:G1633,I1633)=0,"","BI-"&amp;RIGHT("0000"&amp;(ROW()-5),4))</f>
        <v/>
      </c>
      <c r="B1633" s="72" t="n"/>
      <c r="C1633" s="66" t="n"/>
      <c r="D1633" s="67" t="str">
        <f>IF(C1633="","",IFERROR(INDEX(eq_des,MATCH(C1633,eq_code,0))&amp;"","Équipement inconnu"))</f>
        <v/>
      </c>
      <c r="E1633" s="68" t="n"/>
      <c r="F1633" s="68" t="n"/>
      <c r="G1633" s="66" t="n"/>
      <c r="H1633" s="66" t="n"/>
      <c r="I1633" s="68" t="n"/>
      <c r="J1633" s="73" t="n"/>
      <c r="K1633" s="71" t="n"/>
      <c r="L1633" s="71" t="n"/>
      <c r="M1633" s="66" t="n"/>
      <c r="N1633" s="80" t="n"/>
      <c r="O1633" s="81" t="str">
        <f>IF(A1633="","",ROUND(V1633*IFERROR(N(INDEX(tech_rate,MATCH(M1633,tech_name,0))),0),2))</f>
        <v/>
      </c>
      <c r="P1633" s="80" t="n"/>
      <c r="Q1633" s="81" t="str">
        <f>IF(A1633="","",ROUND(Y1633+O1633+Z1633,2))</f>
        <v/>
      </c>
      <c r="R1633" s="79" t="str">
        <f>IF(A1633="","",IF(S1633=0,"Date manquante ou invalide",IF(C1633="","Équipement manquant",IF(ISNA(MATCH(C1633,eq_code,0)),"Équipement inconnu",IF(E1633="","Type manquant",IF(AND(E1633&lt;&gt;"Préventif",E1633&lt;&gt;"Correctif",E1633&lt;&gt;"Amélioratif"),"Type inconnu",IF(I1633="","Statut manquant",IF(AND(I1633&lt;&gt;"Terminée",I1633&lt;&gt;"En cours",I1633&lt;&gt;"À faire",I1633&lt;&gt;"Annulée"),"Statut inconnu",IF(AND(E1633="Préventif",F1633=""),"Plan manquant (préventif)",IF(AND(F1633&lt;&gt;"",ISNA(MATCH(F1633,pl_num,0))),"Plan inconnu",IF(AND(F1633&lt;&gt;"",IFERROR(INDEX(pl_eq,MATCH(F1633,pl_num,0))&amp;"",C1633)&lt;&gt;C1633),"Plan d'un autre équipement",IF(AND(J1633&lt;&gt;"",OR(NOT(ISNUMBER(J1633)),N(J1633)&lt;0)),"Compteur invalide",IF(OR(AND(K1633&lt;&gt;"",OR(NOT(ISNUMBER(K1633)),N(K1633)&lt;0)),AND(L1633&lt;&gt;"",OR(NOT(ISNUMBER(L1633)),N(L1633)&lt;0))),"Durée invalide",IF(OR(AND(N1633&lt;&gt;"",OR(NOT(ISNUMBER(N1633)),N(N1633)&lt;0)),AND(P1633&lt;&gt;"",OR(NOT(ISNUMBER(P1633)),N(P1633)&lt;0))),"Coût invalide",IF(AND(M1633&lt;&gt;"",ISNA(MATCH(M1633,tech_name,0))),"Technicien inconnu",IF(AND(I1633="Terminée",S1633&gt;p_today),"Terminée à une date future",IF(AND(I1633="Terminée",V1633=0),"Durée d'intervention manquante",IF(AND(I1633="Terminée",E1633="Préventif",T1633=0,OR(IFERROR(INDEX(pl_trig,MATCH(F1633,pl_num,0))&amp;"","")="Compteur",IFERROR(INDEX(pl_trig,MATCH(F1633,pl_num,0))&amp;"","")="Au premier des deux")),"Compteur manquant (plan au compteur)","OK"))))))))))))))))))</f>
        <v/>
      </c>
      <c r="S1633" s="67">
        <f>IF(AND(ISNUMBER(B1633),N(B1633)&gt;0),INT(B1633),0)</f>
        <v>0.0</v>
      </c>
      <c r="T1633" s="67">
        <f>IF(AND(ISNUMBER(J1633),N(J1633)&gt;=0),N(J1633),0)</f>
        <v>0.0</v>
      </c>
      <c r="U1633" s="67">
        <f>IF(AND(ISNUMBER(K1633),N(K1633)&gt;0),N(K1633),0)</f>
        <v>0.0</v>
      </c>
      <c r="V1633" s="67">
        <f>IF(AND(ISNUMBER(L1633),N(L1633)&gt;0),N(L1633),0)</f>
        <v>0.0</v>
      </c>
      <c r="W1633" s="67">
        <f>IF(AND(I1633="Terminée",S1633&gt;0,C1633&lt;&gt;"",ISNUMBER(MATCH(C1633,eq_code,0))),1,0)</f>
        <v>0.0</v>
      </c>
      <c r="X1633" s="67">
        <f>IF(AND(W1633=1,E1633="Préventif"),1,0)</f>
        <v>0.0</v>
      </c>
      <c r="Y1633" s="67">
        <f>IF(AND(ISNUMBER(N1633),N(N1633)&gt;0),N(N1633),0)</f>
        <v>0.0</v>
      </c>
      <c r="Z1633" s="67">
        <f>IF(AND(ISNUMBER(P1633),N(P1633)&gt;0),N(P1633),0)</f>
        <v>0.0</v>
      </c>
    </row>
    <row r="1634">
      <c r="A1634" s="79" t="str">
        <f>IF(COUNTA(B1634:C1634,E1634:G1634,I1634)=0,"","BI-"&amp;RIGHT("0000"&amp;(ROW()-5),4))</f>
        <v/>
      </c>
      <c r="B1634" s="72" t="n"/>
      <c r="C1634" s="66" t="n"/>
      <c r="D1634" s="67" t="str">
        <f>IF(C1634="","",IFERROR(INDEX(eq_des,MATCH(C1634,eq_code,0))&amp;"","Équipement inconnu"))</f>
        <v/>
      </c>
      <c r="E1634" s="68" t="n"/>
      <c r="F1634" s="68" t="n"/>
      <c r="G1634" s="66" t="n"/>
      <c r="H1634" s="66" t="n"/>
      <c r="I1634" s="68" t="n"/>
      <c r="J1634" s="73" t="n"/>
      <c r="K1634" s="71" t="n"/>
      <c r="L1634" s="71" t="n"/>
      <c r="M1634" s="66" t="n"/>
      <c r="N1634" s="80" t="n"/>
      <c r="O1634" s="81" t="str">
        <f>IF(A1634="","",ROUND(V1634*IFERROR(N(INDEX(tech_rate,MATCH(M1634,tech_name,0))),0),2))</f>
        <v/>
      </c>
      <c r="P1634" s="80" t="n"/>
      <c r="Q1634" s="81" t="str">
        <f>IF(A1634="","",ROUND(Y1634+O1634+Z1634,2))</f>
        <v/>
      </c>
      <c r="R1634" s="79" t="str">
        <f>IF(A1634="","",IF(S1634=0,"Date manquante ou invalide",IF(C1634="","Équipement manquant",IF(ISNA(MATCH(C1634,eq_code,0)),"Équipement inconnu",IF(E1634="","Type manquant",IF(AND(E1634&lt;&gt;"Préventif",E1634&lt;&gt;"Correctif",E1634&lt;&gt;"Amélioratif"),"Type inconnu",IF(I1634="","Statut manquant",IF(AND(I1634&lt;&gt;"Terminée",I1634&lt;&gt;"En cours",I1634&lt;&gt;"À faire",I1634&lt;&gt;"Annulée"),"Statut inconnu",IF(AND(E1634="Préventif",F1634=""),"Plan manquant (préventif)",IF(AND(F1634&lt;&gt;"",ISNA(MATCH(F1634,pl_num,0))),"Plan inconnu",IF(AND(F1634&lt;&gt;"",IFERROR(INDEX(pl_eq,MATCH(F1634,pl_num,0))&amp;"",C1634)&lt;&gt;C1634),"Plan d'un autre équipement",IF(AND(J1634&lt;&gt;"",OR(NOT(ISNUMBER(J1634)),N(J1634)&lt;0)),"Compteur invalide",IF(OR(AND(K1634&lt;&gt;"",OR(NOT(ISNUMBER(K1634)),N(K1634)&lt;0)),AND(L1634&lt;&gt;"",OR(NOT(ISNUMBER(L1634)),N(L1634)&lt;0))),"Durée invalide",IF(OR(AND(N1634&lt;&gt;"",OR(NOT(ISNUMBER(N1634)),N(N1634)&lt;0)),AND(P1634&lt;&gt;"",OR(NOT(ISNUMBER(P1634)),N(P1634)&lt;0))),"Coût invalide",IF(AND(M1634&lt;&gt;"",ISNA(MATCH(M1634,tech_name,0))),"Technicien inconnu",IF(AND(I1634="Terminée",S1634&gt;p_today),"Terminée à une date future",IF(AND(I1634="Terminée",V1634=0),"Durée d'intervention manquante",IF(AND(I1634="Terminée",E1634="Préventif",T1634=0,OR(IFERROR(INDEX(pl_trig,MATCH(F1634,pl_num,0))&amp;"","")="Compteur",IFERROR(INDEX(pl_trig,MATCH(F1634,pl_num,0))&amp;"","")="Au premier des deux")),"Compteur manquant (plan au compteur)","OK"))))))))))))))))))</f>
        <v/>
      </c>
      <c r="S1634" s="67">
        <f>IF(AND(ISNUMBER(B1634),N(B1634)&gt;0),INT(B1634),0)</f>
        <v>0.0</v>
      </c>
      <c r="T1634" s="67">
        <f>IF(AND(ISNUMBER(J1634),N(J1634)&gt;=0),N(J1634),0)</f>
        <v>0.0</v>
      </c>
      <c r="U1634" s="67">
        <f>IF(AND(ISNUMBER(K1634),N(K1634)&gt;0),N(K1634),0)</f>
        <v>0.0</v>
      </c>
      <c r="V1634" s="67">
        <f>IF(AND(ISNUMBER(L1634),N(L1634)&gt;0),N(L1634),0)</f>
        <v>0.0</v>
      </c>
      <c r="W1634" s="67">
        <f>IF(AND(I1634="Terminée",S1634&gt;0,C1634&lt;&gt;"",ISNUMBER(MATCH(C1634,eq_code,0))),1,0)</f>
        <v>0.0</v>
      </c>
      <c r="X1634" s="67">
        <f>IF(AND(W1634=1,E1634="Préventif"),1,0)</f>
        <v>0.0</v>
      </c>
      <c r="Y1634" s="67">
        <f>IF(AND(ISNUMBER(N1634),N(N1634)&gt;0),N(N1634),0)</f>
        <v>0.0</v>
      </c>
      <c r="Z1634" s="67">
        <f>IF(AND(ISNUMBER(P1634),N(P1634)&gt;0),N(P1634),0)</f>
        <v>0.0</v>
      </c>
    </row>
    <row r="1635">
      <c r="A1635" s="79" t="str">
        <f>IF(COUNTA(B1635:C1635,E1635:G1635,I1635)=0,"","BI-"&amp;RIGHT("0000"&amp;(ROW()-5),4))</f>
        <v/>
      </c>
      <c r="B1635" s="72" t="n"/>
      <c r="C1635" s="66" t="n"/>
      <c r="D1635" s="67" t="str">
        <f>IF(C1635="","",IFERROR(INDEX(eq_des,MATCH(C1635,eq_code,0))&amp;"","Équipement inconnu"))</f>
        <v/>
      </c>
      <c r="E1635" s="68" t="n"/>
      <c r="F1635" s="68" t="n"/>
      <c r="G1635" s="66" t="n"/>
      <c r="H1635" s="66" t="n"/>
      <c r="I1635" s="68" t="n"/>
      <c r="J1635" s="73" t="n"/>
      <c r="K1635" s="71" t="n"/>
      <c r="L1635" s="71" t="n"/>
      <c r="M1635" s="66" t="n"/>
      <c r="N1635" s="80" t="n"/>
      <c r="O1635" s="81" t="str">
        <f>IF(A1635="","",ROUND(V1635*IFERROR(N(INDEX(tech_rate,MATCH(M1635,tech_name,0))),0),2))</f>
        <v/>
      </c>
      <c r="P1635" s="80" t="n"/>
      <c r="Q1635" s="81" t="str">
        <f>IF(A1635="","",ROUND(Y1635+O1635+Z1635,2))</f>
        <v/>
      </c>
      <c r="R1635" s="79" t="str">
        <f>IF(A1635="","",IF(S1635=0,"Date manquante ou invalide",IF(C1635="","Équipement manquant",IF(ISNA(MATCH(C1635,eq_code,0)),"Équipement inconnu",IF(E1635="","Type manquant",IF(AND(E1635&lt;&gt;"Préventif",E1635&lt;&gt;"Correctif",E1635&lt;&gt;"Amélioratif"),"Type inconnu",IF(I1635="","Statut manquant",IF(AND(I1635&lt;&gt;"Terminée",I1635&lt;&gt;"En cours",I1635&lt;&gt;"À faire",I1635&lt;&gt;"Annulée"),"Statut inconnu",IF(AND(E1635="Préventif",F1635=""),"Plan manquant (préventif)",IF(AND(F1635&lt;&gt;"",ISNA(MATCH(F1635,pl_num,0))),"Plan inconnu",IF(AND(F1635&lt;&gt;"",IFERROR(INDEX(pl_eq,MATCH(F1635,pl_num,0))&amp;"",C1635)&lt;&gt;C1635),"Plan d'un autre équipement",IF(AND(J1635&lt;&gt;"",OR(NOT(ISNUMBER(J1635)),N(J1635)&lt;0)),"Compteur invalide",IF(OR(AND(K1635&lt;&gt;"",OR(NOT(ISNUMBER(K1635)),N(K1635)&lt;0)),AND(L1635&lt;&gt;"",OR(NOT(ISNUMBER(L1635)),N(L1635)&lt;0))),"Durée invalide",IF(OR(AND(N1635&lt;&gt;"",OR(NOT(ISNUMBER(N1635)),N(N1635)&lt;0)),AND(P1635&lt;&gt;"",OR(NOT(ISNUMBER(P1635)),N(P1635)&lt;0))),"Coût invalide",IF(AND(M1635&lt;&gt;"",ISNA(MATCH(M1635,tech_name,0))),"Technicien inconnu",IF(AND(I1635="Terminée",S1635&gt;p_today),"Terminée à une date future",IF(AND(I1635="Terminée",V1635=0),"Durée d'intervention manquante",IF(AND(I1635="Terminée",E1635="Préventif",T1635=0,OR(IFERROR(INDEX(pl_trig,MATCH(F1635,pl_num,0))&amp;"","")="Compteur",IFERROR(INDEX(pl_trig,MATCH(F1635,pl_num,0))&amp;"","")="Au premier des deux")),"Compteur manquant (plan au compteur)","OK"))))))))))))))))))</f>
        <v/>
      </c>
      <c r="S1635" s="67">
        <f>IF(AND(ISNUMBER(B1635),N(B1635)&gt;0),INT(B1635),0)</f>
        <v>0.0</v>
      </c>
      <c r="T1635" s="67">
        <f>IF(AND(ISNUMBER(J1635),N(J1635)&gt;=0),N(J1635),0)</f>
        <v>0.0</v>
      </c>
      <c r="U1635" s="67">
        <f>IF(AND(ISNUMBER(K1635),N(K1635)&gt;0),N(K1635),0)</f>
        <v>0.0</v>
      </c>
      <c r="V1635" s="67">
        <f>IF(AND(ISNUMBER(L1635),N(L1635)&gt;0),N(L1635),0)</f>
        <v>0.0</v>
      </c>
      <c r="W1635" s="67">
        <f>IF(AND(I1635="Terminée",S1635&gt;0,C1635&lt;&gt;"",ISNUMBER(MATCH(C1635,eq_code,0))),1,0)</f>
        <v>0.0</v>
      </c>
      <c r="X1635" s="67">
        <f>IF(AND(W1635=1,E1635="Préventif"),1,0)</f>
        <v>0.0</v>
      </c>
      <c r="Y1635" s="67">
        <f>IF(AND(ISNUMBER(N1635),N(N1635)&gt;0),N(N1635),0)</f>
        <v>0.0</v>
      </c>
      <c r="Z1635" s="67">
        <f>IF(AND(ISNUMBER(P1635),N(P1635)&gt;0),N(P1635),0)</f>
        <v>0.0</v>
      </c>
    </row>
    <row r="1636">
      <c r="A1636" s="79" t="str">
        <f>IF(COUNTA(B1636:C1636,E1636:G1636,I1636)=0,"","BI-"&amp;RIGHT("0000"&amp;(ROW()-5),4))</f>
        <v/>
      </c>
      <c r="B1636" s="72" t="n"/>
      <c r="C1636" s="66" t="n"/>
      <c r="D1636" s="67" t="str">
        <f>IF(C1636="","",IFERROR(INDEX(eq_des,MATCH(C1636,eq_code,0))&amp;"","Équipement inconnu"))</f>
        <v/>
      </c>
      <c r="E1636" s="68" t="n"/>
      <c r="F1636" s="68" t="n"/>
      <c r="G1636" s="66" t="n"/>
      <c r="H1636" s="66" t="n"/>
      <c r="I1636" s="68" t="n"/>
      <c r="J1636" s="73" t="n"/>
      <c r="K1636" s="71" t="n"/>
      <c r="L1636" s="71" t="n"/>
      <c r="M1636" s="66" t="n"/>
      <c r="N1636" s="80" t="n"/>
      <c r="O1636" s="81" t="str">
        <f>IF(A1636="","",ROUND(V1636*IFERROR(N(INDEX(tech_rate,MATCH(M1636,tech_name,0))),0),2))</f>
        <v/>
      </c>
      <c r="P1636" s="80" t="n"/>
      <c r="Q1636" s="81" t="str">
        <f>IF(A1636="","",ROUND(Y1636+O1636+Z1636,2))</f>
        <v/>
      </c>
      <c r="R1636" s="79" t="str">
        <f>IF(A1636="","",IF(S1636=0,"Date manquante ou invalide",IF(C1636="","Équipement manquant",IF(ISNA(MATCH(C1636,eq_code,0)),"Équipement inconnu",IF(E1636="","Type manquant",IF(AND(E1636&lt;&gt;"Préventif",E1636&lt;&gt;"Correctif",E1636&lt;&gt;"Amélioratif"),"Type inconnu",IF(I1636="","Statut manquant",IF(AND(I1636&lt;&gt;"Terminée",I1636&lt;&gt;"En cours",I1636&lt;&gt;"À faire",I1636&lt;&gt;"Annulée"),"Statut inconnu",IF(AND(E1636="Préventif",F1636=""),"Plan manquant (préventif)",IF(AND(F1636&lt;&gt;"",ISNA(MATCH(F1636,pl_num,0))),"Plan inconnu",IF(AND(F1636&lt;&gt;"",IFERROR(INDEX(pl_eq,MATCH(F1636,pl_num,0))&amp;"",C1636)&lt;&gt;C1636),"Plan d'un autre équipement",IF(AND(J1636&lt;&gt;"",OR(NOT(ISNUMBER(J1636)),N(J1636)&lt;0)),"Compteur invalide",IF(OR(AND(K1636&lt;&gt;"",OR(NOT(ISNUMBER(K1636)),N(K1636)&lt;0)),AND(L1636&lt;&gt;"",OR(NOT(ISNUMBER(L1636)),N(L1636)&lt;0))),"Durée invalide",IF(OR(AND(N1636&lt;&gt;"",OR(NOT(ISNUMBER(N1636)),N(N1636)&lt;0)),AND(P1636&lt;&gt;"",OR(NOT(ISNUMBER(P1636)),N(P1636)&lt;0))),"Coût invalide",IF(AND(M1636&lt;&gt;"",ISNA(MATCH(M1636,tech_name,0))),"Technicien inconnu",IF(AND(I1636="Terminée",S1636&gt;p_today),"Terminée à une date future",IF(AND(I1636="Terminée",V1636=0),"Durée d'intervention manquante",IF(AND(I1636="Terminée",E1636="Préventif",T1636=0,OR(IFERROR(INDEX(pl_trig,MATCH(F1636,pl_num,0))&amp;"","")="Compteur",IFERROR(INDEX(pl_trig,MATCH(F1636,pl_num,0))&amp;"","")="Au premier des deux")),"Compteur manquant (plan au compteur)","OK"))))))))))))))))))</f>
        <v/>
      </c>
      <c r="S1636" s="67">
        <f>IF(AND(ISNUMBER(B1636),N(B1636)&gt;0),INT(B1636),0)</f>
        <v>0.0</v>
      </c>
      <c r="T1636" s="67">
        <f>IF(AND(ISNUMBER(J1636),N(J1636)&gt;=0),N(J1636),0)</f>
        <v>0.0</v>
      </c>
      <c r="U1636" s="67">
        <f>IF(AND(ISNUMBER(K1636),N(K1636)&gt;0),N(K1636),0)</f>
        <v>0.0</v>
      </c>
      <c r="V1636" s="67">
        <f>IF(AND(ISNUMBER(L1636),N(L1636)&gt;0),N(L1636),0)</f>
        <v>0.0</v>
      </c>
      <c r="W1636" s="67">
        <f>IF(AND(I1636="Terminée",S1636&gt;0,C1636&lt;&gt;"",ISNUMBER(MATCH(C1636,eq_code,0))),1,0)</f>
        <v>0.0</v>
      </c>
      <c r="X1636" s="67">
        <f>IF(AND(W1636=1,E1636="Préventif"),1,0)</f>
        <v>0.0</v>
      </c>
      <c r="Y1636" s="67">
        <f>IF(AND(ISNUMBER(N1636),N(N1636)&gt;0),N(N1636),0)</f>
        <v>0.0</v>
      </c>
      <c r="Z1636" s="67">
        <f>IF(AND(ISNUMBER(P1636),N(P1636)&gt;0),N(P1636),0)</f>
        <v>0.0</v>
      </c>
    </row>
    <row r="1637">
      <c r="A1637" s="79" t="str">
        <f>IF(COUNTA(B1637:C1637,E1637:G1637,I1637)=0,"","BI-"&amp;RIGHT("0000"&amp;(ROW()-5),4))</f>
        <v/>
      </c>
      <c r="B1637" s="72" t="n"/>
      <c r="C1637" s="66" t="n"/>
      <c r="D1637" s="67" t="str">
        <f>IF(C1637="","",IFERROR(INDEX(eq_des,MATCH(C1637,eq_code,0))&amp;"","Équipement inconnu"))</f>
        <v/>
      </c>
      <c r="E1637" s="68" t="n"/>
      <c r="F1637" s="68" t="n"/>
      <c r="G1637" s="66" t="n"/>
      <c r="H1637" s="66" t="n"/>
      <c r="I1637" s="68" t="n"/>
      <c r="J1637" s="73" t="n"/>
      <c r="K1637" s="71" t="n"/>
      <c r="L1637" s="71" t="n"/>
      <c r="M1637" s="66" t="n"/>
      <c r="N1637" s="80" t="n"/>
      <c r="O1637" s="81" t="str">
        <f>IF(A1637="","",ROUND(V1637*IFERROR(N(INDEX(tech_rate,MATCH(M1637,tech_name,0))),0),2))</f>
        <v/>
      </c>
      <c r="P1637" s="80" t="n"/>
      <c r="Q1637" s="81" t="str">
        <f>IF(A1637="","",ROUND(Y1637+O1637+Z1637,2))</f>
        <v/>
      </c>
      <c r="R1637" s="79" t="str">
        <f>IF(A1637="","",IF(S1637=0,"Date manquante ou invalide",IF(C1637="","Équipement manquant",IF(ISNA(MATCH(C1637,eq_code,0)),"Équipement inconnu",IF(E1637="","Type manquant",IF(AND(E1637&lt;&gt;"Préventif",E1637&lt;&gt;"Correctif",E1637&lt;&gt;"Amélioratif"),"Type inconnu",IF(I1637="","Statut manquant",IF(AND(I1637&lt;&gt;"Terminée",I1637&lt;&gt;"En cours",I1637&lt;&gt;"À faire",I1637&lt;&gt;"Annulée"),"Statut inconnu",IF(AND(E1637="Préventif",F1637=""),"Plan manquant (préventif)",IF(AND(F1637&lt;&gt;"",ISNA(MATCH(F1637,pl_num,0))),"Plan inconnu",IF(AND(F1637&lt;&gt;"",IFERROR(INDEX(pl_eq,MATCH(F1637,pl_num,0))&amp;"",C1637)&lt;&gt;C1637),"Plan d'un autre équipement",IF(AND(J1637&lt;&gt;"",OR(NOT(ISNUMBER(J1637)),N(J1637)&lt;0)),"Compteur invalide",IF(OR(AND(K1637&lt;&gt;"",OR(NOT(ISNUMBER(K1637)),N(K1637)&lt;0)),AND(L1637&lt;&gt;"",OR(NOT(ISNUMBER(L1637)),N(L1637)&lt;0))),"Durée invalide",IF(OR(AND(N1637&lt;&gt;"",OR(NOT(ISNUMBER(N1637)),N(N1637)&lt;0)),AND(P1637&lt;&gt;"",OR(NOT(ISNUMBER(P1637)),N(P1637)&lt;0))),"Coût invalide",IF(AND(M1637&lt;&gt;"",ISNA(MATCH(M1637,tech_name,0))),"Technicien inconnu",IF(AND(I1637="Terminée",S1637&gt;p_today),"Terminée à une date future",IF(AND(I1637="Terminée",V1637=0),"Durée d'intervention manquante",IF(AND(I1637="Terminée",E1637="Préventif",T1637=0,OR(IFERROR(INDEX(pl_trig,MATCH(F1637,pl_num,0))&amp;"","")="Compteur",IFERROR(INDEX(pl_trig,MATCH(F1637,pl_num,0))&amp;"","")="Au premier des deux")),"Compteur manquant (plan au compteur)","OK"))))))))))))))))))</f>
        <v/>
      </c>
      <c r="S1637" s="67">
        <f>IF(AND(ISNUMBER(B1637),N(B1637)&gt;0),INT(B1637),0)</f>
        <v>0.0</v>
      </c>
      <c r="T1637" s="67">
        <f>IF(AND(ISNUMBER(J1637),N(J1637)&gt;=0),N(J1637),0)</f>
        <v>0.0</v>
      </c>
      <c r="U1637" s="67">
        <f>IF(AND(ISNUMBER(K1637),N(K1637)&gt;0),N(K1637),0)</f>
        <v>0.0</v>
      </c>
      <c r="V1637" s="67">
        <f>IF(AND(ISNUMBER(L1637),N(L1637)&gt;0),N(L1637),0)</f>
        <v>0.0</v>
      </c>
      <c r="W1637" s="67">
        <f>IF(AND(I1637="Terminée",S1637&gt;0,C1637&lt;&gt;"",ISNUMBER(MATCH(C1637,eq_code,0))),1,0)</f>
        <v>0.0</v>
      </c>
      <c r="X1637" s="67">
        <f>IF(AND(W1637=1,E1637="Préventif"),1,0)</f>
        <v>0.0</v>
      </c>
      <c r="Y1637" s="67">
        <f>IF(AND(ISNUMBER(N1637),N(N1637)&gt;0),N(N1637),0)</f>
        <v>0.0</v>
      </c>
      <c r="Z1637" s="67">
        <f>IF(AND(ISNUMBER(P1637),N(P1637)&gt;0),N(P1637),0)</f>
        <v>0.0</v>
      </c>
    </row>
    <row r="1638">
      <c r="A1638" s="79" t="str">
        <f>IF(COUNTA(B1638:C1638,E1638:G1638,I1638)=0,"","BI-"&amp;RIGHT("0000"&amp;(ROW()-5),4))</f>
        <v/>
      </c>
      <c r="B1638" s="72" t="n"/>
      <c r="C1638" s="66" t="n"/>
      <c r="D1638" s="67" t="str">
        <f>IF(C1638="","",IFERROR(INDEX(eq_des,MATCH(C1638,eq_code,0))&amp;"","Équipement inconnu"))</f>
        <v/>
      </c>
      <c r="E1638" s="68" t="n"/>
      <c r="F1638" s="68" t="n"/>
      <c r="G1638" s="66" t="n"/>
      <c r="H1638" s="66" t="n"/>
      <c r="I1638" s="68" t="n"/>
      <c r="J1638" s="73" t="n"/>
      <c r="K1638" s="71" t="n"/>
      <c r="L1638" s="71" t="n"/>
      <c r="M1638" s="66" t="n"/>
      <c r="N1638" s="80" t="n"/>
      <c r="O1638" s="81" t="str">
        <f>IF(A1638="","",ROUND(V1638*IFERROR(N(INDEX(tech_rate,MATCH(M1638,tech_name,0))),0),2))</f>
        <v/>
      </c>
      <c r="P1638" s="80" t="n"/>
      <c r="Q1638" s="81" t="str">
        <f>IF(A1638="","",ROUND(Y1638+O1638+Z1638,2))</f>
        <v/>
      </c>
      <c r="R1638" s="79" t="str">
        <f>IF(A1638="","",IF(S1638=0,"Date manquante ou invalide",IF(C1638="","Équipement manquant",IF(ISNA(MATCH(C1638,eq_code,0)),"Équipement inconnu",IF(E1638="","Type manquant",IF(AND(E1638&lt;&gt;"Préventif",E1638&lt;&gt;"Correctif",E1638&lt;&gt;"Amélioratif"),"Type inconnu",IF(I1638="","Statut manquant",IF(AND(I1638&lt;&gt;"Terminée",I1638&lt;&gt;"En cours",I1638&lt;&gt;"À faire",I1638&lt;&gt;"Annulée"),"Statut inconnu",IF(AND(E1638="Préventif",F1638=""),"Plan manquant (préventif)",IF(AND(F1638&lt;&gt;"",ISNA(MATCH(F1638,pl_num,0))),"Plan inconnu",IF(AND(F1638&lt;&gt;"",IFERROR(INDEX(pl_eq,MATCH(F1638,pl_num,0))&amp;"",C1638)&lt;&gt;C1638),"Plan d'un autre équipement",IF(AND(J1638&lt;&gt;"",OR(NOT(ISNUMBER(J1638)),N(J1638)&lt;0)),"Compteur invalide",IF(OR(AND(K1638&lt;&gt;"",OR(NOT(ISNUMBER(K1638)),N(K1638)&lt;0)),AND(L1638&lt;&gt;"",OR(NOT(ISNUMBER(L1638)),N(L1638)&lt;0))),"Durée invalide",IF(OR(AND(N1638&lt;&gt;"",OR(NOT(ISNUMBER(N1638)),N(N1638)&lt;0)),AND(P1638&lt;&gt;"",OR(NOT(ISNUMBER(P1638)),N(P1638)&lt;0))),"Coût invalide",IF(AND(M1638&lt;&gt;"",ISNA(MATCH(M1638,tech_name,0))),"Technicien inconnu",IF(AND(I1638="Terminée",S1638&gt;p_today),"Terminée à une date future",IF(AND(I1638="Terminée",V1638=0),"Durée d'intervention manquante",IF(AND(I1638="Terminée",E1638="Préventif",T1638=0,OR(IFERROR(INDEX(pl_trig,MATCH(F1638,pl_num,0))&amp;"","")="Compteur",IFERROR(INDEX(pl_trig,MATCH(F1638,pl_num,0))&amp;"","")="Au premier des deux")),"Compteur manquant (plan au compteur)","OK"))))))))))))))))))</f>
        <v/>
      </c>
      <c r="S1638" s="67">
        <f>IF(AND(ISNUMBER(B1638),N(B1638)&gt;0),INT(B1638),0)</f>
        <v>0.0</v>
      </c>
      <c r="T1638" s="67">
        <f>IF(AND(ISNUMBER(J1638),N(J1638)&gt;=0),N(J1638),0)</f>
        <v>0.0</v>
      </c>
      <c r="U1638" s="67">
        <f>IF(AND(ISNUMBER(K1638),N(K1638)&gt;0),N(K1638),0)</f>
        <v>0.0</v>
      </c>
      <c r="V1638" s="67">
        <f>IF(AND(ISNUMBER(L1638),N(L1638)&gt;0),N(L1638),0)</f>
        <v>0.0</v>
      </c>
      <c r="W1638" s="67">
        <f>IF(AND(I1638="Terminée",S1638&gt;0,C1638&lt;&gt;"",ISNUMBER(MATCH(C1638,eq_code,0))),1,0)</f>
        <v>0.0</v>
      </c>
      <c r="X1638" s="67">
        <f>IF(AND(W1638=1,E1638="Préventif"),1,0)</f>
        <v>0.0</v>
      </c>
      <c r="Y1638" s="67">
        <f>IF(AND(ISNUMBER(N1638),N(N1638)&gt;0),N(N1638),0)</f>
        <v>0.0</v>
      </c>
      <c r="Z1638" s="67">
        <f>IF(AND(ISNUMBER(P1638),N(P1638)&gt;0),N(P1638),0)</f>
        <v>0.0</v>
      </c>
    </row>
    <row r="1639">
      <c r="A1639" s="79" t="str">
        <f>IF(COUNTA(B1639:C1639,E1639:G1639,I1639)=0,"","BI-"&amp;RIGHT("0000"&amp;(ROW()-5),4))</f>
        <v/>
      </c>
      <c r="B1639" s="72" t="n"/>
      <c r="C1639" s="66" t="n"/>
      <c r="D1639" s="67" t="str">
        <f>IF(C1639="","",IFERROR(INDEX(eq_des,MATCH(C1639,eq_code,0))&amp;"","Équipement inconnu"))</f>
        <v/>
      </c>
      <c r="E1639" s="68" t="n"/>
      <c r="F1639" s="68" t="n"/>
      <c r="G1639" s="66" t="n"/>
      <c r="H1639" s="66" t="n"/>
      <c r="I1639" s="68" t="n"/>
      <c r="J1639" s="73" t="n"/>
      <c r="K1639" s="71" t="n"/>
      <c r="L1639" s="71" t="n"/>
      <c r="M1639" s="66" t="n"/>
      <c r="N1639" s="80" t="n"/>
      <c r="O1639" s="81" t="str">
        <f>IF(A1639="","",ROUND(V1639*IFERROR(N(INDEX(tech_rate,MATCH(M1639,tech_name,0))),0),2))</f>
        <v/>
      </c>
      <c r="P1639" s="80" t="n"/>
      <c r="Q1639" s="81" t="str">
        <f>IF(A1639="","",ROUND(Y1639+O1639+Z1639,2))</f>
        <v/>
      </c>
      <c r="R1639" s="79" t="str">
        <f>IF(A1639="","",IF(S1639=0,"Date manquante ou invalide",IF(C1639="","Équipement manquant",IF(ISNA(MATCH(C1639,eq_code,0)),"Équipement inconnu",IF(E1639="","Type manquant",IF(AND(E1639&lt;&gt;"Préventif",E1639&lt;&gt;"Correctif",E1639&lt;&gt;"Amélioratif"),"Type inconnu",IF(I1639="","Statut manquant",IF(AND(I1639&lt;&gt;"Terminée",I1639&lt;&gt;"En cours",I1639&lt;&gt;"À faire",I1639&lt;&gt;"Annulée"),"Statut inconnu",IF(AND(E1639="Préventif",F1639=""),"Plan manquant (préventif)",IF(AND(F1639&lt;&gt;"",ISNA(MATCH(F1639,pl_num,0))),"Plan inconnu",IF(AND(F1639&lt;&gt;"",IFERROR(INDEX(pl_eq,MATCH(F1639,pl_num,0))&amp;"",C1639)&lt;&gt;C1639),"Plan d'un autre équipement",IF(AND(J1639&lt;&gt;"",OR(NOT(ISNUMBER(J1639)),N(J1639)&lt;0)),"Compteur invalide",IF(OR(AND(K1639&lt;&gt;"",OR(NOT(ISNUMBER(K1639)),N(K1639)&lt;0)),AND(L1639&lt;&gt;"",OR(NOT(ISNUMBER(L1639)),N(L1639)&lt;0))),"Durée invalide",IF(OR(AND(N1639&lt;&gt;"",OR(NOT(ISNUMBER(N1639)),N(N1639)&lt;0)),AND(P1639&lt;&gt;"",OR(NOT(ISNUMBER(P1639)),N(P1639)&lt;0))),"Coût invalide",IF(AND(M1639&lt;&gt;"",ISNA(MATCH(M1639,tech_name,0))),"Technicien inconnu",IF(AND(I1639="Terminée",S1639&gt;p_today),"Terminée à une date future",IF(AND(I1639="Terminée",V1639=0),"Durée d'intervention manquante",IF(AND(I1639="Terminée",E1639="Préventif",T1639=0,OR(IFERROR(INDEX(pl_trig,MATCH(F1639,pl_num,0))&amp;"","")="Compteur",IFERROR(INDEX(pl_trig,MATCH(F1639,pl_num,0))&amp;"","")="Au premier des deux")),"Compteur manquant (plan au compteur)","OK"))))))))))))))))))</f>
        <v/>
      </c>
      <c r="S1639" s="67">
        <f>IF(AND(ISNUMBER(B1639),N(B1639)&gt;0),INT(B1639),0)</f>
        <v>0.0</v>
      </c>
      <c r="T1639" s="67">
        <f>IF(AND(ISNUMBER(J1639),N(J1639)&gt;=0),N(J1639),0)</f>
        <v>0.0</v>
      </c>
      <c r="U1639" s="67">
        <f>IF(AND(ISNUMBER(K1639),N(K1639)&gt;0),N(K1639),0)</f>
        <v>0.0</v>
      </c>
      <c r="V1639" s="67">
        <f>IF(AND(ISNUMBER(L1639),N(L1639)&gt;0),N(L1639),0)</f>
        <v>0.0</v>
      </c>
      <c r="W1639" s="67">
        <f>IF(AND(I1639="Terminée",S1639&gt;0,C1639&lt;&gt;"",ISNUMBER(MATCH(C1639,eq_code,0))),1,0)</f>
        <v>0.0</v>
      </c>
      <c r="X1639" s="67">
        <f>IF(AND(W1639=1,E1639="Préventif"),1,0)</f>
        <v>0.0</v>
      </c>
      <c r="Y1639" s="67">
        <f>IF(AND(ISNUMBER(N1639),N(N1639)&gt;0),N(N1639),0)</f>
        <v>0.0</v>
      </c>
      <c r="Z1639" s="67">
        <f>IF(AND(ISNUMBER(P1639),N(P1639)&gt;0),N(P1639),0)</f>
        <v>0.0</v>
      </c>
    </row>
    <row r="1640">
      <c r="A1640" s="79" t="str">
        <f>IF(COUNTA(B1640:C1640,E1640:G1640,I1640)=0,"","BI-"&amp;RIGHT("0000"&amp;(ROW()-5),4))</f>
        <v/>
      </c>
      <c r="B1640" s="72" t="n"/>
      <c r="C1640" s="66" t="n"/>
      <c r="D1640" s="67" t="str">
        <f>IF(C1640="","",IFERROR(INDEX(eq_des,MATCH(C1640,eq_code,0))&amp;"","Équipement inconnu"))</f>
        <v/>
      </c>
      <c r="E1640" s="68" t="n"/>
      <c r="F1640" s="68" t="n"/>
      <c r="G1640" s="66" t="n"/>
      <c r="H1640" s="66" t="n"/>
      <c r="I1640" s="68" t="n"/>
      <c r="J1640" s="73" t="n"/>
      <c r="K1640" s="71" t="n"/>
      <c r="L1640" s="71" t="n"/>
      <c r="M1640" s="66" t="n"/>
      <c r="N1640" s="80" t="n"/>
      <c r="O1640" s="81" t="str">
        <f>IF(A1640="","",ROUND(V1640*IFERROR(N(INDEX(tech_rate,MATCH(M1640,tech_name,0))),0),2))</f>
        <v/>
      </c>
      <c r="P1640" s="80" t="n"/>
      <c r="Q1640" s="81" t="str">
        <f>IF(A1640="","",ROUND(Y1640+O1640+Z1640,2))</f>
        <v/>
      </c>
      <c r="R1640" s="79" t="str">
        <f>IF(A1640="","",IF(S1640=0,"Date manquante ou invalide",IF(C1640="","Équipement manquant",IF(ISNA(MATCH(C1640,eq_code,0)),"Équipement inconnu",IF(E1640="","Type manquant",IF(AND(E1640&lt;&gt;"Préventif",E1640&lt;&gt;"Correctif",E1640&lt;&gt;"Amélioratif"),"Type inconnu",IF(I1640="","Statut manquant",IF(AND(I1640&lt;&gt;"Terminée",I1640&lt;&gt;"En cours",I1640&lt;&gt;"À faire",I1640&lt;&gt;"Annulée"),"Statut inconnu",IF(AND(E1640="Préventif",F1640=""),"Plan manquant (préventif)",IF(AND(F1640&lt;&gt;"",ISNA(MATCH(F1640,pl_num,0))),"Plan inconnu",IF(AND(F1640&lt;&gt;"",IFERROR(INDEX(pl_eq,MATCH(F1640,pl_num,0))&amp;"",C1640)&lt;&gt;C1640),"Plan d'un autre équipement",IF(AND(J1640&lt;&gt;"",OR(NOT(ISNUMBER(J1640)),N(J1640)&lt;0)),"Compteur invalide",IF(OR(AND(K1640&lt;&gt;"",OR(NOT(ISNUMBER(K1640)),N(K1640)&lt;0)),AND(L1640&lt;&gt;"",OR(NOT(ISNUMBER(L1640)),N(L1640)&lt;0))),"Durée invalide",IF(OR(AND(N1640&lt;&gt;"",OR(NOT(ISNUMBER(N1640)),N(N1640)&lt;0)),AND(P1640&lt;&gt;"",OR(NOT(ISNUMBER(P1640)),N(P1640)&lt;0))),"Coût invalide",IF(AND(M1640&lt;&gt;"",ISNA(MATCH(M1640,tech_name,0))),"Technicien inconnu",IF(AND(I1640="Terminée",S1640&gt;p_today),"Terminée à une date future",IF(AND(I1640="Terminée",V1640=0),"Durée d'intervention manquante",IF(AND(I1640="Terminée",E1640="Préventif",T1640=0,OR(IFERROR(INDEX(pl_trig,MATCH(F1640,pl_num,0))&amp;"","")="Compteur",IFERROR(INDEX(pl_trig,MATCH(F1640,pl_num,0))&amp;"","")="Au premier des deux")),"Compteur manquant (plan au compteur)","OK"))))))))))))))))))</f>
        <v/>
      </c>
      <c r="S1640" s="67">
        <f>IF(AND(ISNUMBER(B1640),N(B1640)&gt;0),INT(B1640),0)</f>
        <v>0.0</v>
      </c>
      <c r="T1640" s="67">
        <f>IF(AND(ISNUMBER(J1640),N(J1640)&gt;=0),N(J1640),0)</f>
        <v>0.0</v>
      </c>
      <c r="U1640" s="67">
        <f>IF(AND(ISNUMBER(K1640),N(K1640)&gt;0),N(K1640),0)</f>
        <v>0.0</v>
      </c>
      <c r="V1640" s="67">
        <f>IF(AND(ISNUMBER(L1640),N(L1640)&gt;0),N(L1640),0)</f>
        <v>0.0</v>
      </c>
      <c r="W1640" s="67">
        <f>IF(AND(I1640="Terminée",S1640&gt;0,C1640&lt;&gt;"",ISNUMBER(MATCH(C1640,eq_code,0))),1,0)</f>
        <v>0.0</v>
      </c>
      <c r="X1640" s="67">
        <f>IF(AND(W1640=1,E1640="Préventif"),1,0)</f>
        <v>0.0</v>
      </c>
      <c r="Y1640" s="67">
        <f>IF(AND(ISNUMBER(N1640),N(N1640)&gt;0),N(N1640),0)</f>
        <v>0.0</v>
      </c>
      <c r="Z1640" s="67">
        <f>IF(AND(ISNUMBER(P1640),N(P1640)&gt;0),N(P1640),0)</f>
        <v>0.0</v>
      </c>
    </row>
    <row r="1641">
      <c r="A1641" s="79" t="str">
        <f>IF(COUNTA(B1641:C1641,E1641:G1641,I1641)=0,"","BI-"&amp;RIGHT("0000"&amp;(ROW()-5),4))</f>
        <v/>
      </c>
      <c r="B1641" s="72" t="n"/>
      <c r="C1641" s="66" t="n"/>
      <c r="D1641" s="67" t="str">
        <f>IF(C1641="","",IFERROR(INDEX(eq_des,MATCH(C1641,eq_code,0))&amp;"","Équipement inconnu"))</f>
        <v/>
      </c>
      <c r="E1641" s="68" t="n"/>
      <c r="F1641" s="68" t="n"/>
      <c r="G1641" s="66" t="n"/>
      <c r="H1641" s="66" t="n"/>
      <c r="I1641" s="68" t="n"/>
      <c r="J1641" s="73" t="n"/>
      <c r="K1641" s="71" t="n"/>
      <c r="L1641" s="71" t="n"/>
      <c r="M1641" s="66" t="n"/>
      <c r="N1641" s="80" t="n"/>
      <c r="O1641" s="81" t="str">
        <f>IF(A1641="","",ROUND(V1641*IFERROR(N(INDEX(tech_rate,MATCH(M1641,tech_name,0))),0),2))</f>
        <v/>
      </c>
      <c r="P1641" s="80" t="n"/>
      <c r="Q1641" s="81" t="str">
        <f>IF(A1641="","",ROUND(Y1641+O1641+Z1641,2))</f>
        <v/>
      </c>
      <c r="R1641" s="79" t="str">
        <f>IF(A1641="","",IF(S1641=0,"Date manquante ou invalide",IF(C1641="","Équipement manquant",IF(ISNA(MATCH(C1641,eq_code,0)),"Équipement inconnu",IF(E1641="","Type manquant",IF(AND(E1641&lt;&gt;"Préventif",E1641&lt;&gt;"Correctif",E1641&lt;&gt;"Amélioratif"),"Type inconnu",IF(I1641="","Statut manquant",IF(AND(I1641&lt;&gt;"Terminée",I1641&lt;&gt;"En cours",I1641&lt;&gt;"À faire",I1641&lt;&gt;"Annulée"),"Statut inconnu",IF(AND(E1641="Préventif",F1641=""),"Plan manquant (préventif)",IF(AND(F1641&lt;&gt;"",ISNA(MATCH(F1641,pl_num,0))),"Plan inconnu",IF(AND(F1641&lt;&gt;"",IFERROR(INDEX(pl_eq,MATCH(F1641,pl_num,0))&amp;"",C1641)&lt;&gt;C1641),"Plan d'un autre équipement",IF(AND(J1641&lt;&gt;"",OR(NOT(ISNUMBER(J1641)),N(J1641)&lt;0)),"Compteur invalide",IF(OR(AND(K1641&lt;&gt;"",OR(NOT(ISNUMBER(K1641)),N(K1641)&lt;0)),AND(L1641&lt;&gt;"",OR(NOT(ISNUMBER(L1641)),N(L1641)&lt;0))),"Durée invalide",IF(OR(AND(N1641&lt;&gt;"",OR(NOT(ISNUMBER(N1641)),N(N1641)&lt;0)),AND(P1641&lt;&gt;"",OR(NOT(ISNUMBER(P1641)),N(P1641)&lt;0))),"Coût invalide",IF(AND(M1641&lt;&gt;"",ISNA(MATCH(M1641,tech_name,0))),"Technicien inconnu",IF(AND(I1641="Terminée",S1641&gt;p_today),"Terminée à une date future",IF(AND(I1641="Terminée",V1641=0),"Durée d'intervention manquante",IF(AND(I1641="Terminée",E1641="Préventif",T1641=0,OR(IFERROR(INDEX(pl_trig,MATCH(F1641,pl_num,0))&amp;"","")="Compteur",IFERROR(INDEX(pl_trig,MATCH(F1641,pl_num,0))&amp;"","")="Au premier des deux")),"Compteur manquant (plan au compteur)","OK"))))))))))))))))))</f>
        <v/>
      </c>
      <c r="S1641" s="67">
        <f>IF(AND(ISNUMBER(B1641),N(B1641)&gt;0),INT(B1641),0)</f>
        <v>0.0</v>
      </c>
      <c r="T1641" s="67">
        <f>IF(AND(ISNUMBER(J1641),N(J1641)&gt;=0),N(J1641),0)</f>
        <v>0.0</v>
      </c>
      <c r="U1641" s="67">
        <f>IF(AND(ISNUMBER(K1641),N(K1641)&gt;0),N(K1641),0)</f>
        <v>0.0</v>
      </c>
      <c r="V1641" s="67">
        <f>IF(AND(ISNUMBER(L1641),N(L1641)&gt;0),N(L1641),0)</f>
        <v>0.0</v>
      </c>
      <c r="W1641" s="67">
        <f>IF(AND(I1641="Terminée",S1641&gt;0,C1641&lt;&gt;"",ISNUMBER(MATCH(C1641,eq_code,0))),1,0)</f>
        <v>0.0</v>
      </c>
      <c r="X1641" s="67">
        <f>IF(AND(W1641=1,E1641="Préventif"),1,0)</f>
        <v>0.0</v>
      </c>
      <c r="Y1641" s="67">
        <f>IF(AND(ISNUMBER(N1641),N(N1641)&gt;0),N(N1641),0)</f>
        <v>0.0</v>
      </c>
      <c r="Z1641" s="67">
        <f>IF(AND(ISNUMBER(P1641),N(P1641)&gt;0),N(P1641),0)</f>
        <v>0.0</v>
      </c>
    </row>
    <row r="1642">
      <c r="A1642" s="79" t="str">
        <f>IF(COUNTA(B1642:C1642,E1642:G1642,I1642)=0,"","BI-"&amp;RIGHT("0000"&amp;(ROW()-5),4))</f>
        <v/>
      </c>
      <c r="B1642" s="72" t="n"/>
      <c r="C1642" s="66" t="n"/>
      <c r="D1642" s="67" t="str">
        <f>IF(C1642="","",IFERROR(INDEX(eq_des,MATCH(C1642,eq_code,0))&amp;"","Équipement inconnu"))</f>
        <v/>
      </c>
      <c r="E1642" s="68" t="n"/>
      <c r="F1642" s="68" t="n"/>
      <c r="G1642" s="66" t="n"/>
      <c r="H1642" s="66" t="n"/>
      <c r="I1642" s="68" t="n"/>
      <c r="J1642" s="73" t="n"/>
      <c r="K1642" s="71" t="n"/>
      <c r="L1642" s="71" t="n"/>
      <c r="M1642" s="66" t="n"/>
      <c r="N1642" s="80" t="n"/>
      <c r="O1642" s="81" t="str">
        <f>IF(A1642="","",ROUND(V1642*IFERROR(N(INDEX(tech_rate,MATCH(M1642,tech_name,0))),0),2))</f>
        <v/>
      </c>
      <c r="P1642" s="80" t="n"/>
      <c r="Q1642" s="81" t="str">
        <f>IF(A1642="","",ROUND(Y1642+O1642+Z1642,2))</f>
        <v/>
      </c>
      <c r="R1642" s="79" t="str">
        <f>IF(A1642="","",IF(S1642=0,"Date manquante ou invalide",IF(C1642="","Équipement manquant",IF(ISNA(MATCH(C1642,eq_code,0)),"Équipement inconnu",IF(E1642="","Type manquant",IF(AND(E1642&lt;&gt;"Préventif",E1642&lt;&gt;"Correctif",E1642&lt;&gt;"Amélioratif"),"Type inconnu",IF(I1642="","Statut manquant",IF(AND(I1642&lt;&gt;"Terminée",I1642&lt;&gt;"En cours",I1642&lt;&gt;"À faire",I1642&lt;&gt;"Annulée"),"Statut inconnu",IF(AND(E1642="Préventif",F1642=""),"Plan manquant (préventif)",IF(AND(F1642&lt;&gt;"",ISNA(MATCH(F1642,pl_num,0))),"Plan inconnu",IF(AND(F1642&lt;&gt;"",IFERROR(INDEX(pl_eq,MATCH(F1642,pl_num,0))&amp;"",C1642)&lt;&gt;C1642),"Plan d'un autre équipement",IF(AND(J1642&lt;&gt;"",OR(NOT(ISNUMBER(J1642)),N(J1642)&lt;0)),"Compteur invalide",IF(OR(AND(K1642&lt;&gt;"",OR(NOT(ISNUMBER(K1642)),N(K1642)&lt;0)),AND(L1642&lt;&gt;"",OR(NOT(ISNUMBER(L1642)),N(L1642)&lt;0))),"Durée invalide",IF(OR(AND(N1642&lt;&gt;"",OR(NOT(ISNUMBER(N1642)),N(N1642)&lt;0)),AND(P1642&lt;&gt;"",OR(NOT(ISNUMBER(P1642)),N(P1642)&lt;0))),"Coût invalide",IF(AND(M1642&lt;&gt;"",ISNA(MATCH(M1642,tech_name,0))),"Technicien inconnu",IF(AND(I1642="Terminée",S1642&gt;p_today),"Terminée à une date future",IF(AND(I1642="Terminée",V1642=0),"Durée d'intervention manquante",IF(AND(I1642="Terminée",E1642="Préventif",T1642=0,OR(IFERROR(INDEX(pl_trig,MATCH(F1642,pl_num,0))&amp;"","")="Compteur",IFERROR(INDEX(pl_trig,MATCH(F1642,pl_num,0))&amp;"","")="Au premier des deux")),"Compteur manquant (plan au compteur)","OK"))))))))))))))))))</f>
        <v/>
      </c>
      <c r="S1642" s="67">
        <f>IF(AND(ISNUMBER(B1642),N(B1642)&gt;0),INT(B1642),0)</f>
        <v>0.0</v>
      </c>
      <c r="T1642" s="67">
        <f>IF(AND(ISNUMBER(J1642),N(J1642)&gt;=0),N(J1642),0)</f>
        <v>0.0</v>
      </c>
      <c r="U1642" s="67">
        <f>IF(AND(ISNUMBER(K1642),N(K1642)&gt;0),N(K1642),0)</f>
        <v>0.0</v>
      </c>
      <c r="V1642" s="67">
        <f>IF(AND(ISNUMBER(L1642),N(L1642)&gt;0),N(L1642),0)</f>
        <v>0.0</v>
      </c>
      <c r="W1642" s="67">
        <f>IF(AND(I1642="Terminée",S1642&gt;0,C1642&lt;&gt;"",ISNUMBER(MATCH(C1642,eq_code,0))),1,0)</f>
        <v>0.0</v>
      </c>
      <c r="X1642" s="67">
        <f>IF(AND(W1642=1,E1642="Préventif"),1,0)</f>
        <v>0.0</v>
      </c>
      <c r="Y1642" s="67">
        <f>IF(AND(ISNUMBER(N1642),N(N1642)&gt;0),N(N1642),0)</f>
        <v>0.0</v>
      </c>
      <c r="Z1642" s="67">
        <f>IF(AND(ISNUMBER(P1642),N(P1642)&gt;0),N(P1642),0)</f>
        <v>0.0</v>
      </c>
    </row>
    <row r="1643">
      <c r="A1643" s="79" t="str">
        <f>IF(COUNTA(B1643:C1643,E1643:G1643,I1643)=0,"","BI-"&amp;RIGHT("0000"&amp;(ROW()-5),4))</f>
        <v/>
      </c>
      <c r="B1643" s="72" t="n"/>
      <c r="C1643" s="66" t="n"/>
      <c r="D1643" s="67" t="str">
        <f>IF(C1643="","",IFERROR(INDEX(eq_des,MATCH(C1643,eq_code,0))&amp;"","Équipement inconnu"))</f>
        <v/>
      </c>
      <c r="E1643" s="68" t="n"/>
      <c r="F1643" s="68" t="n"/>
      <c r="G1643" s="66" t="n"/>
      <c r="H1643" s="66" t="n"/>
      <c r="I1643" s="68" t="n"/>
      <c r="J1643" s="73" t="n"/>
      <c r="K1643" s="71" t="n"/>
      <c r="L1643" s="71" t="n"/>
      <c r="M1643" s="66" t="n"/>
      <c r="N1643" s="80" t="n"/>
      <c r="O1643" s="81" t="str">
        <f>IF(A1643="","",ROUND(V1643*IFERROR(N(INDEX(tech_rate,MATCH(M1643,tech_name,0))),0),2))</f>
        <v/>
      </c>
      <c r="P1643" s="80" t="n"/>
      <c r="Q1643" s="81" t="str">
        <f>IF(A1643="","",ROUND(Y1643+O1643+Z1643,2))</f>
        <v/>
      </c>
      <c r="R1643" s="79" t="str">
        <f>IF(A1643="","",IF(S1643=0,"Date manquante ou invalide",IF(C1643="","Équipement manquant",IF(ISNA(MATCH(C1643,eq_code,0)),"Équipement inconnu",IF(E1643="","Type manquant",IF(AND(E1643&lt;&gt;"Préventif",E1643&lt;&gt;"Correctif",E1643&lt;&gt;"Amélioratif"),"Type inconnu",IF(I1643="","Statut manquant",IF(AND(I1643&lt;&gt;"Terminée",I1643&lt;&gt;"En cours",I1643&lt;&gt;"À faire",I1643&lt;&gt;"Annulée"),"Statut inconnu",IF(AND(E1643="Préventif",F1643=""),"Plan manquant (préventif)",IF(AND(F1643&lt;&gt;"",ISNA(MATCH(F1643,pl_num,0))),"Plan inconnu",IF(AND(F1643&lt;&gt;"",IFERROR(INDEX(pl_eq,MATCH(F1643,pl_num,0))&amp;"",C1643)&lt;&gt;C1643),"Plan d'un autre équipement",IF(AND(J1643&lt;&gt;"",OR(NOT(ISNUMBER(J1643)),N(J1643)&lt;0)),"Compteur invalide",IF(OR(AND(K1643&lt;&gt;"",OR(NOT(ISNUMBER(K1643)),N(K1643)&lt;0)),AND(L1643&lt;&gt;"",OR(NOT(ISNUMBER(L1643)),N(L1643)&lt;0))),"Durée invalide",IF(OR(AND(N1643&lt;&gt;"",OR(NOT(ISNUMBER(N1643)),N(N1643)&lt;0)),AND(P1643&lt;&gt;"",OR(NOT(ISNUMBER(P1643)),N(P1643)&lt;0))),"Coût invalide",IF(AND(M1643&lt;&gt;"",ISNA(MATCH(M1643,tech_name,0))),"Technicien inconnu",IF(AND(I1643="Terminée",S1643&gt;p_today),"Terminée à une date future",IF(AND(I1643="Terminée",V1643=0),"Durée d'intervention manquante",IF(AND(I1643="Terminée",E1643="Préventif",T1643=0,OR(IFERROR(INDEX(pl_trig,MATCH(F1643,pl_num,0))&amp;"","")="Compteur",IFERROR(INDEX(pl_trig,MATCH(F1643,pl_num,0))&amp;"","")="Au premier des deux")),"Compteur manquant (plan au compteur)","OK"))))))))))))))))))</f>
        <v/>
      </c>
      <c r="S1643" s="67">
        <f>IF(AND(ISNUMBER(B1643),N(B1643)&gt;0),INT(B1643),0)</f>
        <v>0.0</v>
      </c>
      <c r="T1643" s="67">
        <f>IF(AND(ISNUMBER(J1643),N(J1643)&gt;=0),N(J1643),0)</f>
        <v>0.0</v>
      </c>
      <c r="U1643" s="67">
        <f>IF(AND(ISNUMBER(K1643),N(K1643)&gt;0),N(K1643),0)</f>
        <v>0.0</v>
      </c>
      <c r="V1643" s="67">
        <f>IF(AND(ISNUMBER(L1643),N(L1643)&gt;0),N(L1643),0)</f>
        <v>0.0</v>
      </c>
      <c r="W1643" s="67">
        <f>IF(AND(I1643="Terminée",S1643&gt;0,C1643&lt;&gt;"",ISNUMBER(MATCH(C1643,eq_code,0))),1,0)</f>
        <v>0.0</v>
      </c>
      <c r="X1643" s="67">
        <f>IF(AND(W1643=1,E1643="Préventif"),1,0)</f>
        <v>0.0</v>
      </c>
      <c r="Y1643" s="67">
        <f>IF(AND(ISNUMBER(N1643),N(N1643)&gt;0),N(N1643),0)</f>
        <v>0.0</v>
      </c>
      <c r="Z1643" s="67">
        <f>IF(AND(ISNUMBER(P1643),N(P1643)&gt;0),N(P1643),0)</f>
        <v>0.0</v>
      </c>
    </row>
    <row r="1644">
      <c r="A1644" s="79" t="str">
        <f>IF(COUNTA(B1644:C1644,E1644:G1644,I1644)=0,"","BI-"&amp;RIGHT("0000"&amp;(ROW()-5),4))</f>
        <v/>
      </c>
      <c r="B1644" s="72" t="n"/>
      <c r="C1644" s="66" t="n"/>
      <c r="D1644" s="67" t="str">
        <f>IF(C1644="","",IFERROR(INDEX(eq_des,MATCH(C1644,eq_code,0))&amp;"","Équipement inconnu"))</f>
        <v/>
      </c>
      <c r="E1644" s="68" t="n"/>
      <c r="F1644" s="68" t="n"/>
      <c r="G1644" s="66" t="n"/>
      <c r="H1644" s="66" t="n"/>
      <c r="I1644" s="68" t="n"/>
      <c r="J1644" s="73" t="n"/>
      <c r="K1644" s="71" t="n"/>
      <c r="L1644" s="71" t="n"/>
      <c r="M1644" s="66" t="n"/>
      <c r="N1644" s="80" t="n"/>
      <c r="O1644" s="81" t="str">
        <f>IF(A1644="","",ROUND(V1644*IFERROR(N(INDEX(tech_rate,MATCH(M1644,tech_name,0))),0),2))</f>
        <v/>
      </c>
      <c r="P1644" s="80" t="n"/>
      <c r="Q1644" s="81" t="str">
        <f>IF(A1644="","",ROUND(Y1644+O1644+Z1644,2))</f>
        <v/>
      </c>
      <c r="R1644" s="79" t="str">
        <f>IF(A1644="","",IF(S1644=0,"Date manquante ou invalide",IF(C1644="","Équipement manquant",IF(ISNA(MATCH(C1644,eq_code,0)),"Équipement inconnu",IF(E1644="","Type manquant",IF(AND(E1644&lt;&gt;"Préventif",E1644&lt;&gt;"Correctif",E1644&lt;&gt;"Amélioratif"),"Type inconnu",IF(I1644="","Statut manquant",IF(AND(I1644&lt;&gt;"Terminée",I1644&lt;&gt;"En cours",I1644&lt;&gt;"À faire",I1644&lt;&gt;"Annulée"),"Statut inconnu",IF(AND(E1644="Préventif",F1644=""),"Plan manquant (préventif)",IF(AND(F1644&lt;&gt;"",ISNA(MATCH(F1644,pl_num,0))),"Plan inconnu",IF(AND(F1644&lt;&gt;"",IFERROR(INDEX(pl_eq,MATCH(F1644,pl_num,0))&amp;"",C1644)&lt;&gt;C1644),"Plan d'un autre équipement",IF(AND(J1644&lt;&gt;"",OR(NOT(ISNUMBER(J1644)),N(J1644)&lt;0)),"Compteur invalide",IF(OR(AND(K1644&lt;&gt;"",OR(NOT(ISNUMBER(K1644)),N(K1644)&lt;0)),AND(L1644&lt;&gt;"",OR(NOT(ISNUMBER(L1644)),N(L1644)&lt;0))),"Durée invalide",IF(OR(AND(N1644&lt;&gt;"",OR(NOT(ISNUMBER(N1644)),N(N1644)&lt;0)),AND(P1644&lt;&gt;"",OR(NOT(ISNUMBER(P1644)),N(P1644)&lt;0))),"Coût invalide",IF(AND(M1644&lt;&gt;"",ISNA(MATCH(M1644,tech_name,0))),"Technicien inconnu",IF(AND(I1644="Terminée",S1644&gt;p_today),"Terminée à une date future",IF(AND(I1644="Terminée",V1644=0),"Durée d'intervention manquante",IF(AND(I1644="Terminée",E1644="Préventif",T1644=0,OR(IFERROR(INDEX(pl_trig,MATCH(F1644,pl_num,0))&amp;"","")="Compteur",IFERROR(INDEX(pl_trig,MATCH(F1644,pl_num,0))&amp;"","")="Au premier des deux")),"Compteur manquant (plan au compteur)","OK"))))))))))))))))))</f>
        <v/>
      </c>
      <c r="S1644" s="67">
        <f>IF(AND(ISNUMBER(B1644),N(B1644)&gt;0),INT(B1644),0)</f>
        <v>0.0</v>
      </c>
      <c r="T1644" s="67">
        <f>IF(AND(ISNUMBER(J1644),N(J1644)&gt;=0),N(J1644),0)</f>
        <v>0.0</v>
      </c>
      <c r="U1644" s="67">
        <f>IF(AND(ISNUMBER(K1644),N(K1644)&gt;0),N(K1644),0)</f>
        <v>0.0</v>
      </c>
      <c r="V1644" s="67">
        <f>IF(AND(ISNUMBER(L1644),N(L1644)&gt;0),N(L1644),0)</f>
        <v>0.0</v>
      </c>
      <c r="W1644" s="67">
        <f>IF(AND(I1644="Terminée",S1644&gt;0,C1644&lt;&gt;"",ISNUMBER(MATCH(C1644,eq_code,0))),1,0)</f>
        <v>0.0</v>
      </c>
      <c r="X1644" s="67">
        <f>IF(AND(W1644=1,E1644="Préventif"),1,0)</f>
        <v>0.0</v>
      </c>
      <c r="Y1644" s="67">
        <f>IF(AND(ISNUMBER(N1644),N(N1644)&gt;0),N(N1644),0)</f>
        <v>0.0</v>
      </c>
      <c r="Z1644" s="67">
        <f>IF(AND(ISNUMBER(P1644),N(P1644)&gt;0),N(P1644),0)</f>
        <v>0.0</v>
      </c>
    </row>
    <row r="1645">
      <c r="A1645" s="79" t="str">
        <f>IF(COUNTA(B1645:C1645,E1645:G1645,I1645)=0,"","BI-"&amp;RIGHT("0000"&amp;(ROW()-5),4))</f>
        <v/>
      </c>
      <c r="B1645" s="72" t="n"/>
      <c r="C1645" s="66" t="n"/>
      <c r="D1645" s="67" t="str">
        <f>IF(C1645="","",IFERROR(INDEX(eq_des,MATCH(C1645,eq_code,0))&amp;"","Équipement inconnu"))</f>
        <v/>
      </c>
      <c r="E1645" s="68" t="n"/>
      <c r="F1645" s="68" t="n"/>
      <c r="G1645" s="66" t="n"/>
      <c r="H1645" s="66" t="n"/>
      <c r="I1645" s="68" t="n"/>
      <c r="J1645" s="73" t="n"/>
      <c r="K1645" s="71" t="n"/>
      <c r="L1645" s="71" t="n"/>
      <c r="M1645" s="66" t="n"/>
      <c r="N1645" s="80" t="n"/>
      <c r="O1645" s="81" t="str">
        <f>IF(A1645="","",ROUND(V1645*IFERROR(N(INDEX(tech_rate,MATCH(M1645,tech_name,0))),0),2))</f>
        <v/>
      </c>
      <c r="P1645" s="80" t="n"/>
      <c r="Q1645" s="81" t="str">
        <f>IF(A1645="","",ROUND(Y1645+O1645+Z1645,2))</f>
        <v/>
      </c>
      <c r="R1645" s="79" t="str">
        <f>IF(A1645="","",IF(S1645=0,"Date manquante ou invalide",IF(C1645="","Équipement manquant",IF(ISNA(MATCH(C1645,eq_code,0)),"Équipement inconnu",IF(E1645="","Type manquant",IF(AND(E1645&lt;&gt;"Préventif",E1645&lt;&gt;"Correctif",E1645&lt;&gt;"Amélioratif"),"Type inconnu",IF(I1645="","Statut manquant",IF(AND(I1645&lt;&gt;"Terminée",I1645&lt;&gt;"En cours",I1645&lt;&gt;"À faire",I1645&lt;&gt;"Annulée"),"Statut inconnu",IF(AND(E1645="Préventif",F1645=""),"Plan manquant (préventif)",IF(AND(F1645&lt;&gt;"",ISNA(MATCH(F1645,pl_num,0))),"Plan inconnu",IF(AND(F1645&lt;&gt;"",IFERROR(INDEX(pl_eq,MATCH(F1645,pl_num,0))&amp;"",C1645)&lt;&gt;C1645),"Plan d'un autre équipement",IF(AND(J1645&lt;&gt;"",OR(NOT(ISNUMBER(J1645)),N(J1645)&lt;0)),"Compteur invalide",IF(OR(AND(K1645&lt;&gt;"",OR(NOT(ISNUMBER(K1645)),N(K1645)&lt;0)),AND(L1645&lt;&gt;"",OR(NOT(ISNUMBER(L1645)),N(L1645)&lt;0))),"Durée invalide",IF(OR(AND(N1645&lt;&gt;"",OR(NOT(ISNUMBER(N1645)),N(N1645)&lt;0)),AND(P1645&lt;&gt;"",OR(NOT(ISNUMBER(P1645)),N(P1645)&lt;0))),"Coût invalide",IF(AND(M1645&lt;&gt;"",ISNA(MATCH(M1645,tech_name,0))),"Technicien inconnu",IF(AND(I1645="Terminée",S1645&gt;p_today),"Terminée à une date future",IF(AND(I1645="Terminée",V1645=0),"Durée d'intervention manquante",IF(AND(I1645="Terminée",E1645="Préventif",T1645=0,OR(IFERROR(INDEX(pl_trig,MATCH(F1645,pl_num,0))&amp;"","")="Compteur",IFERROR(INDEX(pl_trig,MATCH(F1645,pl_num,0))&amp;"","")="Au premier des deux")),"Compteur manquant (plan au compteur)","OK"))))))))))))))))))</f>
        <v/>
      </c>
      <c r="S1645" s="67">
        <f>IF(AND(ISNUMBER(B1645),N(B1645)&gt;0),INT(B1645),0)</f>
        <v>0.0</v>
      </c>
      <c r="T1645" s="67">
        <f>IF(AND(ISNUMBER(J1645),N(J1645)&gt;=0),N(J1645),0)</f>
        <v>0.0</v>
      </c>
      <c r="U1645" s="67">
        <f>IF(AND(ISNUMBER(K1645),N(K1645)&gt;0),N(K1645),0)</f>
        <v>0.0</v>
      </c>
      <c r="V1645" s="67">
        <f>IF(AND(ISNUMBER(L1645),N(L1645)&gt;0),N(L1645),0)</f>
        <v>0.0</v>
      </c>
      <c r="W1645" s="67">
        <f>IF(AND(I1645="Terminée",S1645&gt;0,C1645&lt;&gt;"",ISNUMBER(MATCH(C1645,eq_code,0))),1,0)</f>
        <v>0.0</v>
      </c>
      <c r="X1645" s="67">
        <f>IF(AND(W1645=1,E1645="Préventif"),1,0)</f>
        <v>0.0</v>
      </c>
      <c r="Y1645" s="67">
        <f>IF(AND(ISNUMBER(N1645),N(N1645)&gt;0),N(N1645),0)</f>
        <v>0.0</v>
      </c>
      <c r="Z1645" s="67">
        <f>IF(AND(ISNUMBER(P1645),N(P1645)&gt;0),N(P1645),0)</f>
        <v>0.0</v>
      </c>
    </row>
    <row r="1646">
      <c r="A1646" s="79" t="str">
        <f>IF(COUNTA(B1646:C1646,E1646:G1646,I1646)=0,"","BI-"&amp;RIGHT("0000"&amp;(ROW()-5),4))</f>
        <v/>
      </c>
      <c r="B1646" s="72" t="n"/>
      <c r="C1646" s="66" t="n"/>
      <c r="D1646" s="67" t="str">
        <f>IF(C1646="","",IFERROR(INDEX(eq_des,MATCH(C1646,eq_code,0))&amp;"","Équipement inconnu"))</f>
        <v/>
      </c>
      <c r="E1646" s="68" t="n"/>
      <c r="F1646" s="68" t="n"/>
      <c r="G1646" s="66" t="n"/>
      <c r="H1646" s="66" t="n"/>
      <c r="I1646" s="68" t="n"/>
      <c r="J1646" s="73" t="n"/>
      <c r="K1646" s="71" t="n"/>
      <c r="L1646" s="71" t="n"/>
      <c r="M1646" s="66" t="n"/>
      <c r="N1646" s="80" t="n"/>
      <c r="O1646" s="81" t="str">
        <f>IF(A1646="","",ROUND(V1646*IFERROR(N(INDEX(tech_rate,MATCH(M1646,tech_name,0))),0),2))</f>
        <v/>
      </c>
      <c r="P1646" s="80" t="n"/>
      <c r="Q1646" s="81" t="str">
        <f>IF(A1646="","",ROUND(Y1646+O1646+Z1646,2))</f>
        <v/>
      </c>
      <c r="R1646" s="79" t="str">
        <f>IF(A1646="","",IF(S1646=0,"Date manquante ou invalide",IF(C1646="","Équipement manquant",IF(ISNA(MATCH(C1646,eq_code,0)),"Équipement inconnu",IF(E1646="","Type manquant",IF(AND(E1646&lt;&gt;"Préventif",E1646&lt;&gt;"Correctif",E1646&lt;&gt;"Amélioratif"),"Type inconnu",IF(I1646="","Statut manquant",IF(AND(I1646&lt;&gt;"Terminée",I1646&lt;&gt;"En cours",I1646&lt;&gt;"À faire",I1646&lt;&gt;"Annulée"),"Statut inconnu",IF(AND(E1646="Préventif",F1646=""),"Plan manquant (préventif)",IF(AND(F1646&lt;&gt;"",ISNA(MATCH(F1646,pl_num,0))),"Plan inconnu",IF(AND(F1646&lt;&gt;"",IFERROR(INDEX(pl_eq,MATCH(F1646,pl_num,0))&amp;"",C1646)&lt;&gt;C1646),"Plan d'un autre équipement",IF(AND(J1646&lt;&gt;"",OR(NOT(ISNUMBER(J1646)),N(J1646)&lt;0)),"Compteur invalide",IF(OR(AND(K1646&lt;&gt;"",OR(NOT(ISNUMBER(K1646)),N(K1646)&lt;0)),AND(L1646&lt;&gt;"",OR(NOT(ISNUMBER(L1646)),N(L1646)&lt;0))),"Durée invalide",IF(OR(AND(N1646&lt;&gt;"",OR(NOT(ISNUMBER(N1646)),N(N1646)&lt;0)),AND(P1646&lt;&gt;"",OR(NOT(ISNUMBER(P1646)),N(P1646)&lt;0))),"Coût invalide",IF(AND(M1646&lt;&gt;"",ISNA(MATCH(M1646,tech_name,0))),"Technicien inconnu",IF(AND(I1646="Terminée",S1646&gt;p_today),"Terminée à une date future",IF(AND(I1646="Terminée",V1646=0),"Durée d'intervention manquante",IF(AND(I1646="Terminée",E1646="Préventif",T1646=0,OR(IFERROR(INDEX(pl_trig,MATCH(F1646,pl_num,0))&amp;"","")="Compteur",IFERROR(INDEX(pl_trig,MATCH(F1646,pl_num,0))&amp;"","")="Au premier des deux")),"Compteur manquant (plan au compteur)","OK"))))))))))))))))))</f>
        <v/>
      </c>
      <c r="S1646" s="67">
        <f>IF(AND(ISNUMBER(B1646),N(B1646)&gt;0),INT(B1646),0)</f>
        <v>0.0</v>
      </c>
      <c r="T1646" s="67">
        <f>IF(AND(ISNUMBER(J1646),N(J1646)&gt;=0),N(J1646),0)</f>
        <v>0.0</v>
      </c>
      <c r="U1646" s="67">
        <f>IF(AND(ISNUMBER(K1646),N(K1646)&gt;0),N(K1646),0)</f>
        <v>0.0</v>
      </c>
      <c r="V1646" s="67">
        <f>IF(AND(ISNUMBER(L1646),N(L1646)&gt;0),N(L1646),0)</f>
        <v>0.0</v>
      </c>
      <c r="W1646" s="67">
        <f>IF(AND(I1646="Terminée",S1646&gt;0,C1646&lt;&gt;"",ISNUMBER(MATCH(C1646,eq_code,0))),1,0)</f>
        <v>0.0</v>
      </c>
      <c r="X1646" s="67">
        <f>IF(AND(W1646=1,E1646="Préventif"),1,0)</f>
        <v>0.0</v>
      </c>
      <c r="Y1646" s="67">
        <f>IF(AND(ISNUMBER(N1646),N(N1646)&gt;0),N(N1646),0)</f>
        <v>0.0</v>
      </c>
      <c r="Z1646" s="67">
        <f>IF(AND(ISNUMBER(P1646),N(P1646)&gt;0),N(P1646),0)</f>
        <v>0.0</v>
      </c>
    </row>
    <row r="1647">
      <c r="A1647" s="79" t="str">
        <f>IF(COUNTA(B1647:C1647,E1647:G1647,I1647)=0,"","BI-"&amp;RIGHT("0000"&amp;(ROW()-5),4))</f>
        <v/>
      </c>
      <c r="B1647" s="72" t="n"/>
      <c r="C1647" s="66" t="n"/>
      <c r="D1647" s="67" t="str">
        <f>IF(C1647="","",IFERROR(INDEX(eq_des,MATCH(C1647,eq_code,0))&amp;"","Équipement inconnu"))</f>
        <v/>
      </c>
      <c r="E1647" s="68" t="n"/>
      <c r="F1647" s="68" t="n"/>
      <c r="G1647" s="66" t="n"/>
      <c r="H1647" s="66" t="n"/>
      <c r="I1647" s="68" t="n"/>
      <c r="J1647" s="73" t="n"/>
      <c r="K1647" s="71" t="n"/>
      <c r="L1647" s="71" t="n"/>
      <c r="M1647" s="66" t="n"/>
      <c r="N1647" s="80" t="n"/>
      <c r="O1647" s="81" t="str">
        <f>IF(A1647="","",ROUND(V1647*IFERROR(N(INDEX(tech_rate,MATCH(M1647,tech_name,0))),0),2))</f>
        <v/>
      </c>
      <c r="P1647" s="80" t="n"/>
      <c r="Q1647" s="81" t="str">
        <f>IF(A1647="","",ROUND(Y1647+O1647+Z1647,2))</f>
        <v/>
      </c>
      <c r="R1647" s="79" t="str">
        <f>IF(A1647="","",IF(S1647=0,"Date manquante ou invalide",IF(C1647="","Équipement manquant",IF(ISNA(MATCH(C1647,eq_code,0)),"Équipement inconnu",IF(E1647="","Type manquant",IF(AND(E1647&lt;&gt;"Préventif",E1647&lt;&gt;"Correctif",E1647&lt;&gt;"Amélioratif"),"Type inconnu",IF(I1647="","Statut manquant",IF(AND(I1647&lt;&gt;"Terminée",I1647&lt;&gt;"En cours",I1647&lt;&gt;"À faire",I1647&lt;&gt;"Annulée"),"Statut inconnu",IF(AND(E1647="Préventif",F1647=""),"Plan manquant (préventif)",IF(AND(F1647&lt;&gt;"",ISNA(MATCH(F1647,pl_num,0))),"Plan inconnu",IF(AND(F1647&lt;&gt;"",IFERROR(INDEX(pl_eq,MATCH(F1647,pl_num,0))&amp;"",C1647)&lt;&gt;C1647),"Plan d'un autre équipement",IF(AND(J1647&lt;&gt;"",OR(NOT(ISNUMBER(J1647)),N(J1647)&lt;0)),"Compteur invalide",IF(OR(AND(K1647&lt;&gt;"",OR(NOT(ISNUMBER(K1647)),N(K1647)&lt;0)),AND(L1647&lt;&gt;"",OR(NOT(ISNUMBER(L1647)),N(L1647)&lt;0))),"Durée invalide",IF(OR(AND(N1647&lt;&gt;"",OR(NOT(ISNUMBER(N1647)),N(N1647)&lt;0)),AND(P1647&lt;&gt;"",OR(NOT(ISNUMBER(P1647)),N(P1647)&lt;0))),"Coût invalide",IF(AND(M1647&lt;&gt;"",ISNA(MATCH(M1647,tech_name,0))),"Technicien inconnu",IF(AND(I1647="Terminée",S1647&gt;p_today),"Terminée à une date future",IF(AND(I1647="Terminée",V1647=0),"Durée d'intervention manquante",IF(AND(I1647="Terminée",E1647="Préventif",T1647=0,OR(IFERROR(INDEX(pl_trig,MATCH(F1647,pl_num,0))&amp;"","")="Compteur",IFERROR(INDEX(pl_trig,MATCH(F1647,pl_num,0))&amp;"","")="Au premier des deux")),"Compteur manquant (plan au compteur)","OK"))))))))))))))))))</f>
        <v/>
      </c>
      <c r="S1647" s="67">
        <f>IF(AND(ISNUMBER(B1647),N(B1647)&gt;0),INT(B1647),0)</f>
        <v>0.0</v>
      </c>
      <c r="T1647" s="67">
        <f>IF(AND(ISNUMBER(J1647),N(J1647)&gt;=0),N(J1647),0)</f>
        <v>0.0</v>
      </c>
      <c r="U1647" s="67">
        <f>IF(AND(ISNUMBER(K1647),N(K1647)&gt;0),N(K1647),0)</f>
        <v>0.0</v>
      </c>
      <c r="V1647" s="67">
        <f>IF(AND(ISNUMBER(L1647),N(L1647)&gt;0),N(L1647),0)</f>
        <v>0.0</v>
      </c>
      <c r="W1647" s="67">
        <f>IF(AND(I1647="Terminée",S1647&gt;0,C1647&lt;&gt;"",ISNUMBER(MATCH(C1647,eq_code,0))),1,0)</f>
        <v>0.0</v>
      </c>
      <c r="X1647" s="67">
        <f>IF(AND(W1647=1,E1647="Préventif"),1,0)</f>
        <v>0.0</v>
      </c>
      <c r="Y1647" s="67">
        <f>IF(AND(ISNUMBER(N1647),N(N1647)&gt;0),N(N1647),0)</f>
        <v>0.0</v>
      </c>
      <c r="Z1647" s="67">
        <f>IF(AND(ISNUMBER(P1647),N(P1647)&gt;0),N(P1647),0)</f>
        <v>0.0</v>
      </c>
    </row>
    <row r="1648">
      <c r="A1648" s="79" t="str">
        <f>IF(COUNTA(B1648:C1648,E1648:G1648,I1648)=0,"","BI-"&amp;RIGHT("0000"&amp;(ROW()-5),4))</f>
        <v/>
      </c>
      <c r="B1648" s="72" t="n"/>
      <c r="C1648" s="66" t="n"/>
      <c r="D1648" s="67" t="str">
        <f>IF(C1648="","",IFERROR(INDEX(eq_des,MATCH(C1648,eq_code,0))&amp;"","Équipement inconnu"))</f>
        <v/>
      </c>
      <c r="E1648" s="68" t="n"/>
      <c r="F1648" s="68" t="n"/>
      <c r="G1648" s="66" t="n"/>
      <c r="H1648" s="66" t="n"/>
      <c r="I1648" s="68" t="n"/>
      <c r="J1648" s="73" t="n"/>
      <c r="K1648" s="71" t="n"/>
      <c r="L1648" s="71" t="n"/>
      <c r="M1648" s="66" t="n"/>
      <c r="N1648" s="80" t="n"/>
      <c r="O1648" s="81" t="str">
        <f>IF(A1648="","",ROUND(V1648*IFERROR(N(INDEX(tech_rate,MATCH(M1648,tech_name,0))),0),2))</f>
        <v/>
      </c>
      <c r="P1648" s="80" t="n"/>
      <c r="Q1648" s="81" t="str">
        <f>IF(A1648="","",ROUND(Y1648+O1648+Z1648,2))</f>
        <v/>
      </c>
      <c r="R1648" s="79" t="str">
        <f>IF(A1648="","",IF(S1648=0,"Date manquante ou invalide",IF(C1648="","Équipement manquant",IF(ISNA(MATCH(C1648,eq_code,0)),"Équipement inconnu",IF(E1648="","Type manquant",IF(AND(E1648&lt;&gt;"Préventif",E1648&lt;&gt;"Correctif",E1648&lt;&gt;"Amélioratif"),"Type inconnu",IF(I1648="","Statut manquant",IF(AND(I1648&lt;&gt;"Terminée",I1648&lt;&gt;"En cours",I1648&lt;&gt;"À faire",I1648&lt;&gt;"Annulée"),"Statut inconnu",IF(AND(E1648="Préventif",F1648=""),"Plan manquant (préventif)",IF(AND(F1648&lt;&gt;"",ISNA(MATCH(F1648,pl_num,0))),"Plan inconnu",IF(AND(F1648&lt;&gt;"",IFERROR(INDEX(pl_eq,MATCH(F1648,pl_num,0))&amp;"",C1648)&lt;&gt;C1648),"Plan d'un autre équipement",IF(AND(J1648&lt;&gt;"",OR(NOT(ISNUMBER(J1648)),N(J1648)&lt;0)),"Compteur invalide",IF(OR(AND(K1648&lt;&gt;"",OR(NOT(ISNUMBER(K1648)),N(K1648)&lt;0)),AND(L1648&lt;&gt;"",OR(NOT(ISNUMBER(L1648)),N(L1648)&lt;0))),"Durée invalide",IF(OR(AND(N1648&lt;&gt;"",OR(NOT(ISNUMBER(N1648)),N(N1648)&lt;0)),AND(P1648&lt;&gt;"",OR(NOT(ISNUMBER(P1648)),N(P1648)&lt;0))),"Coût invalide",IF(AND(M1648&lt;&gt;"",ISNA(MATCH(M1648,tech_name,0))),"Technicien inconnu",IF(AND(I1648="Terminée",S1648&gt;p_today),"Terminée à une date future",IF(AND(I1648="Terminée",V1648=0),"Durée d'intervention manquante",IF(AND(I1648="Terminée",E1648="Préventif",T1648=0,OR(IFERROR(INDEX(pl_trig,MATCH(F1648,pl_num,0))&amp;"","")="Compteur",IFERROR(INDEX(pl_trig,MATCH(F1648,pl_num,0))&amp;"","")="Au premier des deux")),"Compteur manquant (plan au compteur)","OK"))))))))))))))))))</f>
        <v/>
      </c>
      <c r="S1648" s="67">
        <f>IF(AND(ISNUMBER(B1648),N(B1648)&gt;0),INT(B1648),0)</f>
        <v>0.0</v>
      </c>
      <c r="T1648" s="67">
        <f>IF(AND(ISNUMBER(J1648),N(J1648)&gt;=0),N(J1648),0)</f>
        <v>0.0</v>
      </c>
      <c r="U1648" s="67">
        <f>IF(AND(ISNUMBER(K1648),N(K1648)&gt;0),N(K1648),0)</f>
        <v>0.0</v>
      </c>
      <c r="V1648" s="67">
        <f>IF(AND(ISNUMBER(L1648),N(L1648)&gt;0),N(L1648),0)</f>
        <v>0.0</v>
      </c>
      <c r="W1648" s="67">
        <f>IF(AND(I1648="Terminée",S1648&gt;0,C1648&lt;&gt;"",ISNUMBER(MATCH(C1648,eq_code,0))),1,0)</f>
        <v>0.0</v>
      </c>
      <c r="X1648" s="67">
        <f>IF(AND(W1648=1,E1648="Préventif"),1,0)</f>
        <v>0.0</v>
      </c>
      <c r="Y1648" s="67">
        <f>IF(AND(ISNUMBER(N1648),N(N1648)&gt;0),N(N1648),0)</f>
        <v>0.0</v>
      </c>
      <c r="Z1648" s="67">
        <f>IF(AND(ISNUMBER(P1648),N(P1648)&gt;0),N(P1648),0)</f>
        <v>0.0</v>
      </c>
    </row>
    <row r="1649">
      <c r="A1649" s="79" t="str">
        <f>IF(COUNTA(B1649:C1649,E1649:G1649,I1649)=0,"","BI-"&amp;RIGHT("0000"&amp;(ROW()-5),4))</f>
        <v/>
      </c>
      <c r="B1649" s="72" t="n"/>
      <c r="C1649" s="66" t="n"/>
      <c r="D1649" s="67" t="str">
        <f>IF(C1649="","",IFERROR(INDEX(eq_des,MATCH(C1649,eq_code,0))&amp;"","Équipement inconnu"))</f>
        <v/>
      </c>
      <c r="E1649" s="68" t="n"/>
      <c r="F1649" s="68" t="n"/>
      <c r="G1649" s="66" t="n"/>
      <c r="H1649" s="66" t="n"/>
      <c r="I1649" s="68" t="n"/>
      <c r="J1649" s="73" t="n"/>
      <c r="K1649" s="71" t="n"/>
      <c r="L1649" s="71" t="n"/>
      <c r="M1649" s="66" t="n"/>
      <c r="N1649" s="80" t="n"/>
      <c r="O1649" s="81" t="str">
        <f>IF(A1649="","",ROUND(V1649*IFERROR(N(INDEX(tech_rate,MATCH(M1649,tech_name,0))),0),2))</f>
        <v/>
      </c>
      <c r="P1649" s="80" t="n"/>
      <c r="Q1649" s="81" t="str">
        <f>IF(A1649="","",ROUND(Y1649+O1649+Z1649,2))</f>
        <v/>
      </c>
      <c r="R1649" s="79" t="str">
        <f>IF(A1649="","",IF(S1649=0,"Date manquante ou invalide",IF(C1649="","Équipement manquant",IF(ISNA(MATCH(C1649,eq_code,0)),"Équipement inconnu",IF(E1649="","Type manquant",IF(AND(E1649&lt;&gt;"Préventif",E1649&lt;&gt;"Correctif",E1649&lt;&gt;"Amélioratif"),"Type inconnu",IF(I1649="","Statut manquant",IF(AND(I1649&lt;&gt;"Terminée",I1649&lt;&gt;"En cours",I1649&lt;&gt;"À faire",I1649&lt;&gt;"Annulée"),"Statut inconnu",IF(AND(E1649="Préventif",F1649=""),"Plan manquant (préventif)",IF(AND(F1649&lt;&gt;"",ISNA(MATCH(F1649,pl_num,0))),"Plan inconnu",IF(AND(F1649&lt;&gt;"",IFERROR(INDEX(pl_eq,MATCH(F1649,pl_num,0))&amp;"",C1649)&lt;&gt;C1649),"Plan d'un autre équipement",IF(AND(J1649&lt;&gt;"",OR(NOT(ISNUMBER(J1649)),N(J1649)&lt;0)),"Compteur invalide",IF(OR(AND(K1649&lt;&gt;"",OR(NOT(ISNUMBER(K1649)),N(K1649)&lt;0)),AND(L1649&lt;&gt;"",OR(NOT(ISNUMBER(L1649)),N(L1649)&lt;0))),"Durée invalide",IF(OR(AND(N1649&lt;&gt;"",OR(NOT(ISNUMBER(N1649)),N(N1649)&lt;0)),AND(P1649&lt;&gt;"",OR(NOT(ISNUMBER(P1649)),N(P1649)&lt;0))),"Coût invalide",IF(AND(M1649&lt;&gt;"",ISNA(MATCH(M1649,tech_name,0))),"Technicien inconnu",IF(AND(I1649="Terminée",S1649&gt;p_today),"Terminée à une date future",IF(AND(I1649="Terminée",V1649=0),"Durée d'intervention manquante",IF(AND(I1649="Terminée",E1649="Préventif",T1649=0,OR(IFERROR(INDEX(pl_trig,MATCH(F1649,pl_num,0))&amp;"","")="Compteur",IFERROR(INDEX(pl_trig,MATCH(F1649,pl_num,0))&amp;"","")="Au premier des deux")),"Compteur manquant (plan au compteur)","OK"))))))))))))))))))</f>
        <v/>
      </c>
      <c r="S1649" s="67">
        <f>IF(AND(ISNUMBER(B1649),N(B1649)&gt;0),INT(B1649),0)</f>
        <v>0.0</v>
      </c>
      <c r="T1649" s="67">
        <f>IF(AND(ISNUMBER(J1649),N(J1649)&gt;=0),N(J1649),0)</f>
        <v>0.0</v>
      </c>
      <c r="U1649" s="67">
        <f>IF(AND(ISNUMBER(K1649),N(K1649)&gt;0),N(K1649),0)</f>
        <v>0.0</v>
      </c>
      <c r="V1649" s="67">
        <f>IF(AND(ISNUMBER(L1649),N(L1649)&gt;0),N(L1649),0)</f>
        <v>0.0</v>
      </c>
      <c r="W1649" s="67">
        <f>IF(AND(I1649="Terminée",S1649&gt;0,C1649&lt;&gt;"",ISNUMBER(MATCH(C1649,eq_code,0))),1,0)</f>
        <v>0.0</v>
      </c>
      <c r="X1649" s="67">
        <f>IF(AND(W1649=1,E1649="Préventif"),1,0)</f>
        <v>0.0</v>
      </c>
      <c r="Y1649" s="67">
        <f>IF(AND(ISNUMBER(N1649),N(N1649)&gt;0),N(N1649),0)</f>
        <v>0.0</v>
      </c>
      <c r="Z1649" s="67">
        <f>IF(AND(ISNUMBER(P1649),N(P1649)&gt;0),N(P1649),0)</f>
        <v>0.0</v>
      </c>
    </row>
    <row r="1650">
      <c r="A1650" s="79" t="str">
        <f>IF(COUNTA(B1650:C1650,E1650:G1650,I1650)=0,"","BI-"&amp;RIGHT("0000"&amp;(ROW()-5),4))</f>
        <v/>
      </c>
      <c r="B1650" s="72" t="n"/>
      <c r="C1650" s="66" t="n"/>
      <c r="D1650" s="67" t="str">
        <f>IF(C1650="","",IFERROR(INDEX(eq_des,MATCH(C1650,eq_code,0))&amp;"","Équipement inconnu"))</f>
        <v/>
      </c>
      <c r="E1650" s="68" t="n"/>
      <c r="F1650" s="68" t="n"/>
      <c r="G1650" s="66" t="n"/>
      <c r="H1650" s="66" t="n"/>
      <c r="I1650" s="68" t="n"/>
      <c r="J1650" s="73" t="n"/>
      <c r="K1650" s="71" t="n"/>
      <c r="L1650" s="71" t="n"/>
      <c r="M1650" s="66" t="n"/>
      <c r="N1650" s="80" t="n"/>
      <c r="O1650" s="81" t="str">
        <f>IF(A1650="","",ROUND(V1650*IFERROR(N(INDEX(tech_rate,MATCH(M1650,tech_name,0))),0),2))</f>
        <v/>
      </c>
      <c r="P1650" s="80" t="n"/>
      <c r="Q1650" s="81" t="str">
        <f>IF(A1650="","",ROUND(Y1650+O1650+Z1650,2))</f>
        <v/>
      </c>
      <c r="R1650" s="79" t="str">
        <f>IF(A1650="","",IF(S1650=0,"Date manquante ou invalide",IF(C1650="","Équipement manquant",IF(ISNA(MATCH(C1650,eq_code,0)),"Équipement inconnu",IF(E1650="","Type manquant",IF(AND(E1650&lt;&gt;"Préventif",E1650&lt;&gt;"Correctif",E1650&lt;&gt;"Amélioratif"),"Type inconnu",IF(I1650="","Statut manquant",IF(AND(I1650&lt;&gt;"Terminée",I1650&lt;&gt;"En cours",I1650&lt;&gt;"À faire",I1650&lt;&gt;"Annulée"),"Statut inconnu",IF(AND(E1650="Préventif",F1650=""),"Plan manquant (préventif)",IF(AND(F1650&lt;&gt;"",ISNA(MATCH(F1650,pl_num,0))),"Plan inconnu",IF(AND(F1650&lt;&gt;"",IFERROR(INDEX(pl_eq,MATCH(F1650,pl_num,0))&amp;"",C1650)&lt;&gt;C1650),"Plan d'un autre équipement",IF(AND(J1650&lt;&gt;"",OR(NOT(ISNUMBER(J1650)),N(J1650)&lt;0)),"Compteur invalide",IF(OR(AND(K1650&lt;&gt;"",OR(NOT(ISNUMBER(K1650)),N(K1650)&lt;0)),AND(L1650&lt;&gt;"",OR(NOT(ISNUMBER(L1650)),N(L1650)&lt;0))),"Durée invalide",IF(OR(AND(N1650&lt;&gt;"",OR(NOT(ISNUMBER(N1650)),N(N1650)&lt;0)),AND(P1650&lt;&gt;"",OR(NOT(ISNUMBER(P1650)),N(P1650)&lt;0))),"Coût invalide",IF(AND(M1650&lt;&gt;"",ISNA(MATCH(M1650,tech_name,0))),"Technicien inconnu",IF(AND(I1650="Terminée",S1650&gt;p_today),"Terminée à une date future",IF(AND(I1650="Terminée",V1650=0),"Durée d'intervention manquante",IF(AND(I1650="Terminée",E1650="Préventif",T1650=0,OR(IFERROR(INDEX(pl_trig,MATCH(F1650,pl_num,0))&amp;"","")="Compteur",IFERROR(INDEX(pl_trig,MATCH(F1650,pl_num,0))&amp;"","")="Au premier des deux")),"Compteur manquant (plan au compteur)","OK"))))))))))))))))))</f>
        <v/>
      </c>
      <c r="S1650" s="67">
        <f>IF(AND(ISNUMBER(B1650),N(B1650)&gt;0),INT(B1650),0)</f>
        <v>0.0</v>
      </c>
      <c r="T1650" s="67">
        <f>IF(AND(ISNUMBER(J1650),N(J1650)&gt;=0),N(J1650),0)</f>
        <v>0.0</v>
      </c>
      <c r="U1650" s="67">
        <f>IF(AND(ISNUMBER(K1650),N(K1650)&gt;0),N(K1650),0)</f>
        <v>0.0</v>
      </c>
      <c r="V1650" s="67">
        <f>IF(AND(ISNUMBER(L1650),N(L1650)&gt;0),N(L1650),0)</f>
        <v>0.0</v>
      </c>
      <c r="W1650" s="67">
        <f>IF(AND(I1650="Terminée",S1650&gt;0,C1650&lt;&gt;"",ISNUMBER(MATCH(C1650,eq_code,0))),1,0)</f>
        <v>0.0</v>
      </c>
      <c r="X1650" s="67">
        <f>IF(AND(W1650=1,E1650="Préventif"),1,0)</f>
        <v>0.0</v>
      </c>
      <c r="Y1650" s="67">
        <f>IF(AND(ISNUMBER(N1650),N(N1650)&gt;0),N(N1650),0)</f>
        <v>0.0</v>
      </c>
      <c r="Z1650" s="67">
        <f>IF(AND(ISNUMBER(P1650),N(P1650)&gt;0),N(P1650),0)</f>
        <v>0.0</v>
      </c>
    </row>
    <row r="1651">
      <c r="A1651" s="79" t="str">
        <f>IF(COUNTA(B1651:C1651,E1651:G1651,I1651)=0,"","BI-"&amp;RIGHT("0000"&amp;(ROW()-5),4))</f>
        <v/>
      </c>
      <c r="B1651" s="72" t="n"/>
      <c r="C1651" s="66" t="n"/>
      <c r="D1651" s="67" t="str">
        <f>IF(C1651="","",IFERROR(INDEX(eq_des,MATCH(C1651,eq_code,0))&amp;"","Équipement inconnu"))</f>
        <v/>
      </c>
      <c r="E1651" s="68" t="n"/>
      <c r="F1651" s="68" t="n"/>
      <c r="G1651" s="66" t="n"/>
      <c r="H1651" s="66" t="n"/>
      <c r="I1651" s="68" t="n"/>
      <c r="J1651" s="73" t="n"/>
      <c r="K1651" s="71" t="n"/>
      <c r="L1651" s="71" t="n"/>
      <c r="M1651" s="66" t="n"/>
      <c r="N1651" s="80" t="n"/>
      <c r="O1651" s="81" t="str">
        <f>IF(A1651="","",ROUND(V1651*IFERROR(N(INDEX(tech_rate,MATCH(M1651,tech_name,0))),0),2))</f>
        <v/>
      </c>
      <c r="P1651" s="80" t="n"/>
      <c r="Q1651" s="81" t="str">
        <f>IF(A1651="","",ROUND(Y1651+O1651+Z1651,2))</f>
        <v/>
      </c>
      <c r="R1651" s="79" t="str">
        <f>IF(A1651="","",IF(S1651=0,"Date manquante ou invalide",IF(C1651="","Équipement manquant",IF(ISNA(MATCH(C1651,eq_code,0)),"Équipement inconnu",IF(E1651="","Type manquant",IF(AND(E1651&lt;&gt;"Préventif",E1651&lt;&gt;"Correctif",E1651&lt;&gt;"Amélioratif"),"Type inconnu",IF(I1651="","Statut manquant",IF(AND(I1651&lt;&gt;"Terminée",I1651&lt;&gt;"En cours",I1651&lt;&gt;"À faire",I1651&lt;&gt;"Annulée"),"Statut inconnu",IF(AND(E1651="Préventif",F1651=""),"Plan manquant (préventif)",IF(AND(F1651&lt;&gt;"",ISNA(MATCH(F1651,pl_num,0))),"Plan inconnu",IF(AND(F1651&lt;&gt;"",IFERROR(INDEX(pl_eq,MATCH(F1651,pl_num,0))&amp;"",C1651)&lt;&gt;C1651),"Plan d'un autre équipement",IF(AND(J1651&lt;&gt;"",OR(NOT(ISNUMBER(J1651)),N(J1651)&lt;0)),"Compteur invalide",IF(OR(AND(K1651&lt;&gt;"",OR(NOT(ISNUMBER(K1651)),N(K1651)&lt;0)),AND(L1651&lt;&gt;"",OR(NOT(ISNUMBER(L1651)),N(L1651)&lt;0))),"Durée invalide",IF(OR(AND(N1651&lt;&gt;"",OR(NOT(ISNUMBER(N1651)),N(N1651)&lt;0)),AND(P1651&lt;&gt;"",OR(NOT(ISNUMBER(P1651)),N(P1651)&lt;0))),"Coût invalide",IF(AND(M1651&lt;&gt;"",ISNA(MATCH(M1651,tech_name,0))),"Technicien inconnu",IF(AND(I1651="Terminée",S1651&gt;p_today),"Terminée à une date future",IF(AND(I1651="Terminée",V1651=0),"Durée d'intervention manquante",IF(AND(I1651="Terminée",E1651="Préventif",T1651=0,OR(IFERROR(INDEX(pl_trig,MATCH(F1651,pl_num,0))&amp;"","")="Compteur",IFERROR(INDEX(pl_trig,MATCH(F1651,pl_num,0))&amp;"","")="Au premier des deux")),"Compteur manquant (plan au compteur)","OK"))))))))))))))))))</f>
        <v/>
      </c>
      <c r="S1651" s="67">
        <f>IF(AND(ISNUMBER(B1651),N(B1651)&gt;0),INT(B1651),0)</f>
        <v>0.0</v>
      </c>
      <c r="T1651" s="67">
        <f>IF(AND(ISNUMBER(J1651),N(J1651)&gt;=0),N(J1651),0)</f>
        <v>0.0</v>
      </c>
      <c r="U1651" s="67">
        <f>IF(AND(ISNUMBER(K1651),N(K1651)&gt;0),N(K1651),0)</f>
        <v>0.0</v>
      </c>
      <c r="V1651" s="67">
        <f>IF(AND(ISNUMBER(L1651),N(L1651)&gt;0),N(L1651),0)</f>
        <v>0.0</v>
      </c>
      <c r="W1651" s="67">
        <f>IF(AND(I1651="Terminée",S1651&gt;0,C1651&lt;&gt;"",ISNUMBER(MATCH(C1651,eq_code,0))),1,0)</f>
        <v>0.0</v>
      </c>
      <c r="X1651" s="67">
        <f>IF(AND(W1651=1,E1651="Préventif"),1,0)</f>
        <v>0.0</v>
      </c>
      <c r="Y1651" s="67">
        <f>IF(AND(ISNUMBER(N1651),N(N1651)&gt;0),N(N1651),0)</f>
        <v>0.0</v>
      </c>
      <c r="Z1651" s="67">
        <f>IF(AND(ISNUMBER(P1651),N(P1651)&gt;0),N(P1651),0)</f>
        <v>0.0</v>
      </c>
    </row>
    <row r="1652">
      <c r="A1652" s="79" t="str">
        <f>IF(COUNTA(B1652:C1652,E1652:G1652,I1652)=0,"","BI-"&amp;RIGHT("0000"&amp;(ROW()-5),4))</f>
        <v/>
      </c>
      <c r="B1652" s="72" t="n"/>
      <c r="C1652" s="66" t="n"/>
      <c r="D1652" s="67" t="str">
        <f>IF(C1652="","",IFERROR(INDEX(eq_des,MATCH(C1652,eq_code,0))&amp;"","Équipement inconnu"))</f>
        <v/>
      </c>
      <c r="E1652" s="68" t="n"/>
      <c r="F1652" s="68" t="n"/>
      <c r="G1652" s="66" t="n"/>
      <c r="H1652" s="66" t="n"/>
      <c r="I1652" s="68" t="n"/>
      <c r="J1652" s="73" t="n"/>
      <c r="K1652" s="71" t="n"/>
      <c r="L1652" s="71" t="n"/>
      <c r="M1652" s="66" t="n"/>
      <c r="N1652" s="80" t="n"/>
      <c r="O1652" s="81" t="str">
        <f>IF(A1652="","",ROUND(V1652*IFERROR(N(INDEX(tech_rate,MATCH(M1652,tech_name,0))),0),2))</f>
        <v/>
      </c>
      <c r="P1652" s="80" t="n"/>
      <c r="Q1652" s="81" t="str">
        <f>IF(A1652="","",ROUND(Y1652+O1652+Z1652,2))</f>
        <v/>
      </c>
      <c r="R1652" s="79" t="str">
        <f>IF(A1652="","",IF(S1652=0,"Date manquante ou invalide",IF(C1652="","Équipement manquant",IF(ISNA(MATCH(C1652,eq_code,0)),"Équipement inconnu",IF(E1652="","Type manquant",IF(AND(E1652&lt;&gt;"Préventif",E1652&lt;&gt;"Correctif",E1652&lt;&gt;"Amélioratif"),"Type inconnu",IF(I1652="","Statut manquant",IF(AND(I1652&lt;&gt;"Terminée",I1652&lt;&gt;"En cours",I1652&lt;&gt;"À faire",I1652&lt;&gt;"Annulée"),"Statut inconnu",IF(AND(E1652="Préventif",F1652=""),"Plan manquant (préventif)",IF(AND(F1652&lt;&gt;"",ISNA(MATCH(F1652,pl_num,0))),"Plan inconnu",IF(AND(F1652&lt;&gt;"",IFERROR(INDEX(pl_eq,MATCH(F1652,pl_num,0))&amp;"",C1652)&lt;&gt;C1652),"Plan d'un autre équipement",IF(AND(J1652&lt;&gt;"",OR(NOT(ISNUMBER(J1652)),N(J1652)&lt;0)),"Compteur invalide",IF(OR(AND(K1652&lt;&gt;"",OR(NOT(ISNUMBER(K1652)),N(K1652)&lt;0)),AND(L1652&lt;&gt;"",OR(NOT(ISNUMBER(L1652)),N(L1652)&lt;0))),"Durée invalide",IF(OR(AND(N1652&lt;&gt;"",OR(NOT(ISNUMBER(N1652)),N(N1652)&lt;0)),AND(P1652&lt;&gt;"",OR(NOT(ISNUMBER(P1652)),N(P1652)&lt;0))),"Coût invalide",IF(AND(M1652&lt;&gt;"",ISNA(MATCH(M1652,tech_name,0))),"Technicien inconnu",IF(AND(I1652="Terminée",S1652&gt;p_today),"Terminée à une date future",IF(AND(I1652="Terminée",V1652=0),"Durée d'intervention manquante",IF(AND(I1652="Terminée",E1652="Préventif",T1652=0,OR(IFERROR(INDEX(pl_trig,MATCH(F1652,pl_num,0))&amp;"","")="Compteur",IFERROR(INDEX(pl_trig,MATCH(F1652,pl_num,0))&amp;"","")="Au premier des deux")),"Compteur manquant (plan au compteur)","OK"))))))))))))))))))</f>
        <v/>
      </c>
      <c r="S1652" s="67">
        <f>IF(AND(ISNUMBER(B1652),N(B1652)&gt;0),INT(B1652),0)</f>
        <v>0.0</v>
      </c>
      <c r="T1652" s="67">
        <f>IF(AND(ISNUMBER(J1652),N(J1652)&gt;=0),N(J1652),0)</f>
        <v>0.0</v>
      </c>
      <c r="U1652" s="67">
        <f>IF(AND(ISNUMBER(K1652),N(K1652)&gt;0),N(K1652),0)</f>
        <v>0.0</v>
      </c>
      <c r="V1652" s="67">
        <f>IF(AND(ISNUMBER(L1652),N(L1652)&gt;0),N(L1652),0)</f>
        <v>0.0</v>
      </c>
      <c r="W1652" s="67">
        <f>IF(AND(I1652="Terminée",S1652&gt;0,C1652&lt;&gt;"",ISNUMBER(MATCH(C1652,eq_code,0))),1,0)</f>
        <v>0.0</v>
      </c>
      <c r="X1652" s="67">
        <f>IF(AND(W1652=1,E1652="Préventif"),1,0)</f>
        <v>0.0</v>
      </c>
      <c r="Y1652" s="67">
        <f>IF(AND(ISNUMBER(N1652),N(N1652)&gt;0),N(N1652),0)</f>
        <v>0.0</v>
      </c>
      <c r="Z1652" s="67">
        <f>IF(AND(ISNUMBER(P1652),N(P1652)&gt;0),N(P1652),0)</f>
        <v>0.0</v>
      </c>
    </row>
    <row r="1653">
      <c r="A1653" s="79" t="str">
        <f>IF(COUNTA(B1653:C1653,E1653:G1653,I1653)=0,"","BI-"&amp;RIGHT("0000"&amp;(ROW()-5),4))</f>
        <v/>
      </c>
      <c r="B1653" s="72" t="n"/>
      <c r="C1653" s="66" t="n"/>
      <c r="D1653" s="67" t="str">
        <f>IF(C1653="","",IFERROR(INDEX(eq_des,MATCH(C1653,eq_code,0))&amp;"","Équipement inconnu"))</f>
        <v/>
      </c>
      <c r="E1653" s="68" t="n"/>
      <c r="F1653" s="68" t="n"/>
      <c r="G1653" s="66" t="n"/>
      <c r="H1653" s="66" t="n"/>
      <c r="I1653" s="68" t="n"/>
      <c r="J1653" s="73" t="n"/>
      <c r="K1653" s="71" t="n"/>
      <c r="L1653" s="71" t="n"/>
      <c r="M1653" s="66" t="n"/>
      <c r="N1653" s="80" t="n"/>
      <c r="O1653" s="81" t="str">
        <f>IF(A1653="","",ROUND(V1653*IFERROR(N(INDEX(tech_rate,MATCH(M1653,tech_name,0))),0),2))</f>
        <v/>
      </c>
      <c r="P1653" s="80" t="n"/>
      <c r="Q1653" s="81" t="str">
        <f>IF(A1653="","",ROUND(Y1653+O1653+Z1653,2))</f>
        <v/>
      </c>
      <c r="R1653" s="79" t="str">
        <f>IF(A1653="","",IF(S1653=0,"Date manquante ou invalide",IF(C1653="","Équipement manquant",IF(ISNA(MATCH(C1653,eq_code,0)),"Équipement inconnu",IF(E1653="","Type manquant",IF(AND(E1653&lt;&gt;"Préventif",E1653&lt;&gt;"Correctif",E1653&lt;&gt;"Amélioratif"),"Type inconnu",IF(I1653="","Statut manquant",IF(AND(I1653&lt;&gt;"Terminée",I1653&lt;&gt;"En cours",I1653&lt;&gt;"À faire",I1653&lt;&gt;"Annulée"),"Statut inconnu",IF(AND(E1653="Préventif",F1653=""),"Plan manquant (préventif)",IF(AND(F1653&lt;&gt;"",ISNA(MATCH(F1653,pl_num,0))),"Plan inconnu",IF(AND(F1653&lt;&gt;"",IFERROR(INDEX(pl_eq,MATCH(F1653,pl_num,0))&amp;"",C1653)&lt;&gt;C1653),"Plan d'un autre équipement",IF(AND(J1653&lt;&gt;"",OR(NOT(ISNUMBER(J1653)),N(J1653)&lt;0)),"Compteur invalide",IF(OR(AND(K1653&lt;&gt;"",OR(NOT(ISNUMBER(K1653)),N(K1653)&lt;0)),AND(L1653&lt;&gt;"",OR(NOT(ISNUMBER(L1653)),N(L1653)&lt;0))),"Durée invalide",IF(OR(AND(N1653&lt;&gt;"",OR(NOT(ISNUMBER(N1653)),N(N1653)&lt;0)),AND(P1653&lt;&gt;"",OR(NOT(ISNUMBER(P1653)),N(P1653)&lt;0))),"Coût invalide",IF(AND(M1653&lt;&gt;"",ISNA(MATCH(M1653,tech_name,0))),"Technicien inconnu",IF(AND(I1653="Terminée",S1653&gt;p_today),"Terminée à une date future",IF(AND(I1653="Terminée",V1653=0),"Durée d'intervention manquante",IF(AND(I1653="Terminée",E1653="Préventif",T1653=0,OR(IFERROR(INDEX(pl_trig,MATCH(F1653,pl_num,0))&amp;"","")="Compteur",IFERROR(INDEX(pl_trig,MATCH(F1653,pl_num,0))&amp;"","")="Au premier des deux")),"Compteur manquant (plan au compteur)","OK"))))))))))))))))))</f>
        <v/>
      </c>
      <c r="S1653" s="67">
        <f>IF(AND(ISNUMBER(B1653),N(B1653)&gt;0),INT(B1653),0)</f>
        <v>0.0</v>
      </c>
      <c r="T1653" s="67">
        <f>IF(AND(ISNUMBER(J1653),N(J1653)&gt;=0),N(J1653),0)</f>
        <v>0.0</v>
      </c>
      <c r="U1653" s="67">
        <f>IF(AND(ISNUMBER(K1653),N(K1653)&gt;0),N(K1653),0)</f>
        <v>0.0</v>
      </c>
      <c r="V1653" s="67">
        <f>IF(AND(ISNUMBER(L1653),N(L1653)&gt;0),N(L1653),0)</f>
        <v>0.0</v>
      </c>
      <c r="W1653" s="67">
        <f>IF(AND(I1653="Terminée",S1653&gt;0,C1653&lt;&gt;"",ISNUMBER(MATCH(C1653,eq_code,0))),1,0)</f>
        <v>0.0</v>
      </c>
      <c r="X1653" s="67">
        <f>IF(AND(W1653=1,E1653="Préventif"),1,0)</f>
        <v>0.0</v>
      </c>
      <c r="Y1653" s="67">
        <f>IF(AND(ISNUMBER(N1653),N(N1653)&gt;0),N(N1653),0)</f>
        <v>0.0</v>
      </c>
      <c r="Z1653" s="67">
        <f>IF(AND(ISNUMBER(P1653),N(P1653)&gt;0),N(P1653),0)</f>
        <v>0.0</v>
      </c>
    </row>
    <row r="1654">
      <c r="A1654" s="79" t="str">
        <f>IF(COUNTA(B1654:C1654,E1654:G1654,I1654)=0,"","BI-"&amp;RIGHT("0000"&amp;(ROW()-5),4))</f>
        <v/>
      </c>
      <c r="B1654" s="72" t="n"/>
      <c r="C1654" s="66" t="n"/>
      <c r="D1654" s="67" t="str">
        <f>IF(C1654="","",IFERROR(INDEX(eq_des,MATCH(C1654,eq_code,0))&amp;"","Équipement inconnu"))</f>
        <v/>
      </c>
      <c r="E1654" s="68" t="n"/>
      <c r="F1654" s="68" t="n"/>
      <c r="G1654" s="66" t="n"/>
      <c r="H1654" s="66" t="n"/>
      <c r="I1654" s="68" t="n"/>
      <c r="J1654" s="73" t="n"/>
      <c r="K1654" s="71" t="n"/>
      <c r="L1654" s="71" t="n"/>
      <c r="M1654" s="66" t="n"/>
      <c r="N1654" s="80" t="n"/>
      <c r="O1654" s="81" t="str">
        <f>IF(A1654="","",ROUND(V1654*IFERROR(N(INDEX(tech_rate,MATCH(M1654,tech_name,0))),0),2))</f>
        <v/>
      </c>
      <c r="P1654" s="80" t="n"/>
      <c r="Q1654" s="81" t="str">
        <f>IF(A1654="","",ROUND(Y1654+O1654+Z1654,2))</f>
        <v/>
      </c>
      <c r="R1654" s="79" t="str">
        <f>IF(A1654="","",IF(S1654=0,"Date manquante ou invalide",IF(C1654="","Équipement manquant",IF(ISNA(MATCH(C1654,eq_code,0)),"Équipement inconnu",IF(E1654="","Type manquant",IF(AND(E1654&lt;&gt;"Préventif",E1654&lt;&gt;"Correctif",E1654&lt;&gt;"Amélioratif"),"Type inconnu",IF(I1654="","Statut manquant",IF(AND(I1654&lt;&gt;"Terminée",I1654&lt;&gt;"En cours",I1654&lt;&gt;"À faire",I1654&lt;&gt;"Annulée"),"Statut inconnu",IF(AND(E1654="Préventif",F1654=""),"Plan manquant (préventif)",IF(AND(F1654&lt;&gt;"",ISNA(MATCH(F1654,pl_num,0))),"Plan inconnu",IF(AND(F1654&lt;&gt;"",IFERROR(INDEX(pl_eq,MATCH(F1654,pl_num,0))&amp;"",C1654)&lt;&gt;C1654),"Plan d'un autre équipement",IF(AND(J1654&lt;&gt;"",OR(NOT(ISNUMBER(J1654)),N(J1654)&lt;0)),"Compteur invalide",IF(OR(AND(K1654&lt;&gt;"",OR(NOT(ISNUMBER(K1654)),N(K1654)&lt;0)),AND(L1654&lt;&gt;"",OR(NOT(ISNUMBER(L1654)),N(L1654)&lt;0))),"Durée invalide",IF(OR(AND(N1654&lt;&gt;"",OR(NOT(ISNUMBER(N1654)),N(N1654)&lt;0)),AND(P1654&lt;&gt;"",OR(NOT(ISNUMBER(P1654)),N(P1654)&lt;0))),"Coût invalide",IF(AND(M1654&lt;&gt;"",ISNA(MATCH(M1654,tech_name,0))),"Technicien inconnu",IF(AND(I1654="Terminée",S1654&gt;p_today),"Terminée à une date future",IF(AND(I1654="Terminée",V1654=0),"Durée d'intervention manquante",IF(AND(I1654="Terminée",E1654="Préventif",T1654=0,OR(IFERROR(INDEX(pl_trig,MATCH(F1654,pl_num,0))&amp;"","")="Compteur",IFERROR(INDEX(pl_trig,MATCH(F1654,pl_num,0))&amp;"","")="Au premier des deux")),"Compteur manquant (plan au compteur)","OK"))))))))))))))))))</f>
        <v/>
      </c>
      <c r="S1654" s="67">
        <f>IF(AND(ISNUMBER(B1654),N(B1654)&gt;0),INT(B1654),0)</f>
        <v>0.0</v>
      </c>
      <c r="T1654" s="67">
        <f>IF(AND(ISNUMBER(J1654),N(J1654)&gt;=0),N(J1654),0)</f>
        <v>0.0</v>
      </c>
      <c r="U1654" s="67">
        <f>IF(AND(ISNUMBER(K1654),N(K1654)&gt;0),N(K1654),0)</f>
        <v>0.0</v>
      </c>
      <c r="V1654" s="67">
        <f>IF(AND(ISNUMBER(L1654),N(L1654)&gt;0),N(L1654),0)</f>
        <v>0.0</v>
      </c>
      <c r="W1654" s="67">
        <f>IF(AND(I1654="Terminée",S1654&gt;0,C1654&lt;&gt;"",ISNUMBER(MATCH(C1654,eq_code,0))),1,0)</f>
        <v>0.0</v>
      </c>
      <c r="X1654" s="67">
        <f>IF(AND(W1654=1,E1654="Préventif"),1,0)</f>
        <v>0.0</v>
      </c>
      <c r="Y1654" s="67">
        <f>IF(AND(ISNUMBER(N1654),N(N1654)&gt;0),N(N1654),0)</f>
        <v>0.0</v>
      </c>
      <c r="Z1654" s="67">
        <f>IF(AND(ISNUMBER(P1654),N(P1654)&gt;0),N(P1654),0)</f>
        <v>0.0</v>
      </c>
    </row>
    <row r="1655">
      <c r="A1655" s="79" t="str">
        <f>IF(COUNTA(B1655:C1655,E1655:G1655,I1655)=0,"","BI-"&amp;RIGHT("0000"&amp;(ROW()-5),4))</f>
        <v/>
      </c>
      <c r="B1655" s="72" t="n"/>
      <c r="C1655" s="66" t="n"/>
      <c r="D1655" s="67" t="str">
        <f>IF(C1655="","",IFERROR(INDEX(eq_des,MATCH(C1655,eq_code,0))&amp;"","Équipement inconnu"))</f>
        <v/>
      </c>
      <c r="E1655" s="68" t="n"/>
      <c r="F1655" s="68" t="n"/>
      <c r="G1655" s="66" t="n"/>
      <c r="H1655" s="66" t="n"/>
      <c r="I1655" s="68" t="n"/>
      <c r="J1655" s="73" t="n"/>
      <c r="K1655" s="71" t="n"/>
      <c r="L1655" s="71" t="n"/>
      <c r="M1655" s="66" t="n"/>
      <c r="N1655" s="80" t="n"/>
      <c r="O1655" s="81" t="str">
        <f>IF(A1655="","",ROUND(V1655*IFERROR(N(INDEX(tech_rate,MATCH(M1655,tech_name,0))),0),2))</f>
        <v/>
      </c>
      <c r="P1655" s="80" t="n"/>
      <c r="Q1655" s="81" t="str">
        <f>IF(A1655="","",ROUND(Y1655+O1655+Z1655,2))</f>
        <v/>
      </c>
      <c r="R1655" s="79" t="str">
        <f>IF(A1655="","",IF(S1655=0,"Date manquante ou invalide",IF(C1655="","Équipement manquant",IF(ISNA(MATCH(C1655,eq_code,0)),"Équipement inconnu",IF(E1655="","Type manquant",IF(AND(E1655&lt;&gt;"Préventif",E1655&lt;&gt;"Correctif",E1655&lt;&gt;"Amélioratif"),"Type inconnu",IF(I1655="","Statut manquant",IF(AND(I1655&lt;&gt;"Terminée",I1655&lt;&gt;"En cours",I1655&lt;&gt;"À faire",I1655&lt;&gt;"Annulée"),"Statut inconnu",IF(AND(E1655="Préventif",F1655=""),"Plan manquant (préventif)",IF(AND(F1655&lt;&gt;"",ISNA(MATCH(F1655,pl_num,0))),"Plan inconnu",IF(AND(F1655&lt;&gt;"",IFERROR(INDEX(pl_eq,MATCH(F1655,pl_num,0))&amp;"",C1655)&lt;&gt;C1655),"Plan d'un autre équipement",IF(AND(J1655&lt;&gt;"",OR(NOT(ISNUMBER(J1655)),N(J1655)&lt;0)),"Compteur invalide",IF(OR(AND(K1655&lt;&gt;"",OR(NOT(ISNUMBER(K1655)),N(K1655)&lt;0)),AND(L1655&lt;&gt;"",OR(NOT(ISNUMBER(L1655)),N(L1655)&lt;0))),"Durée invalide",IF(OR(AND(N1655&lt;&gt;"",OR(NOT(ISNUMBER(N1655)),N(N1655)&lt;0)),AND(P1655&lt;&gt;"",OR(NOT(ISNUMBER(P1655)),N(P1655)&lt;0))),"Coût invalide",IF(AND(M1655&lt;&gt;"",ISNA(MATCH(M1655,tech_name,0))),"Technicien inconnu",IF(AND(I1655="Terminée",S1655&gt;p_today),"Terminée à une date future",IF(AND(I1655="Terminée",V1655=0),"Durée d'intervention manquante",IF(AND(I1655="Terminée",E1655="Préventif",T1655=0,OR(IFERROR(INDEX(pl_trig,MATCH(F1655,pl_num,0))&amp;"","")="Compteur",IFERROR(INDEX(pl_trig,MATCH(F1655,pl_num,0))&amp;"","")="Au premier des deux")),"Compteur manquant (plan au compteur)","OK"))))))))))))))))))</f>
        <v/>
      </c>
      <c r="S1655" s="67">
        <f>IF(AND(ISNUMBER(B1655),N(B1655)&gt;0),INT(B1655),0)</f>
        <v>0.0</v>
      </c>
      <c r="T1655" s="67">
        <f>IF(AND(ISNUMBER(J1655),N(J1655)&gt;=0),N(J1655),0)</f>
        <v>0.0</v>
      </c>
      <c r="U1655" s="67">
        <f>IF(AND(ISNUMBER(K1655),N(K1655)&gt;0),N(K1655),0)</f>
        <v>0.0</v>
      </c>
      <c r="V1655" s="67">
        <f>IF(AND(ISNUMBER(L1655),N(L1655)&gt;0),N(L1655),0)</f>
        <v>0.0</v>
      </c>
      <c r="W1655" s="67">
        <f>IF(AND(I1655="Terminée",S1655&gt;0,C1655&lt;&gt;"",ISNUMBER(MATCH(C1655,eq_code,0))),1,0)</f>
        <v>0.0</v>
      </c>
      <c r="X1655" s="67">
        <f>IF(AND(W1655=1,E1655="Préventif"),1,0)</f>
        <v>0.0</v>
      </c>
      <c r="Y1655" s="67">
        <f>IF(AND(ISNUMBER(N1655),N(N1655)&gt;0),N(N1655),0)</f>
        <v>0.0</v>
      </c>
      <c r="Z1655" s="67">
        <f>IF(AND(ISNUMBER(P1655),N(P1655)&gt;0),N(P1655),0)</f>
        <v>0.0</v>
      </c>
    </row>
    <row r="1656">
      <c r="A1656" s="79" t="str">
        <f>IF(COUNTA(B1656:C1656,E1656:G1656,I1656)=0,"","BI-"&amp;RIGHT("0000"&amp;(ROW()-5),4))</f>
        <v/>
      </c>
      <c r="B1656" s="72" t="n"/>
      <c r="C1656" s="66" t="n"/>
      <c r="D1656" s="67" t="str">
        <f>IF(C1656="","",IFERROR(INDEX(eq_des,MATCH(C1656,eq_code,0))&amp;"","Équipement inconnu"))</f>
        <v/>
      </c>
      <c r="E1656" s="68" t="n"/>
      <c r="F1656" s="68" t="n"/>
      <c r="G1656" s="66" t="n"/>
      <c r="H1656" s="66" t="n"/>
      <c r="I1656" s="68" t="n"/>
      <c r="J1656" s="73" t="n"/>
      <c r="K1656" s="71" t="n"/>
      <c r="L1656" s="71" t="n"/>
      <c r="M1656" s="66" t="n"/>
      <c r="N1656" s="80" t="n"/>
      <c r="O1656" s="81" t="str">
        <f>IF(A1656="","",ROUND(V1656*IFERROR(N(INDEX(tech_rate,MATCH(M1656,tech_name,0))),0),2))</f>
        <v/>
      </c>
      <c r="P1656" s="80" t="n"/>
      <c r="Q1656" s="81" t="str">
        <f>IF(A1656="","",ROUND(Y1656+O1656+Z1656,2))</f>
        <v/>
      </c>
      <c r="R1656" s="79" t="str">
        <f>IF(A1656="","",IF(S1656=0,"Date manquante ou invalide",IF(C1656="","Équipement manquant",IF(ISNA(MATCH(C1656,eq_code,0)),"Équipement inconnu",IF(E1656="","Type manquant",IF(AND(E1656&lt;&gt;"Préventif",E1656&lt;&gt;"Correctif",E1656&lt;&gt;"Amélioratif"),"Type inconnu",IF(I1656="","Statut manquant",IF(AND(I1656&lt;&gt;"Terminée",I1656&lt;&gt;"En cours",I1656&lt;&gt;"À faire",I1656&lt;&gt;"Annulée"),"Statut inconnu",IF(AND(E1656="Préventif",F1656=""),"Plan manquant (préventif)",IF(AND(F1656&lt;&gt;"",ISNA(MATCH(F1656,pl_num,0))),"Plan inconnu",IF(AND(F1656&lt;&gt;"",IFERROR(INDEX(pl_eq,MATCH(F1656,pl_num,0))&amp;"",C1656)&lt;&gt;C1656),"Plan d'un autre équipement",IF(AND(J1656&lt;&gt;"",OR(NOT(ISNUMBER(J1656)),N(J1656)&lt;0)),"Compteur invalide",IF(OR(AND(K1656&lt;&gt;"",OR(NOT(ISNUMBER(K1656)),N(K1656)&lt;0)),AND(L1656&lt;&gt;"",OR(NOT(ISNUMBER(L1656)),N(L1656)&lt;0))),"Durée invalide",IF(OR(AND(N1656&lt;&gt;"",OR(NOT(ISNUMBER(N1656)),N(N1656)&lt;0)),AND(P1656&lt;&gt;"",OR(NOT(ISNUMBER(P1656)),N(P1656)&lt;0))),"Coût invalide",IF(AND(M1656&lt;&gt;"",ISNA(MATCH(M1656,tech_name,0))),"Technicien inconnu",IF(AND(I1656="Terminée",S1656&gt;p_today),"Terminée à une date future",IF(AND(I1656="Terminée",V1656=0),"Durée d'intervention manquante",IF(AND(I1656="Terminée",E1656="Préventif",T1656=0,OR(IFERROR(INDEX(pl_trig,MATCH(F1656,pl_num,0))&amp;"","")="Compteur",IFERROR(INDEX(pl_trig,MATCH(F1656,pl_num,0))&amp;"","")="Au premier des deux")),"Compteur manquant (plan au compteur)","OK"))))))))))))))))))</f>
        <v/>
      </c>
      <c r="S1656" s="67">
        <f>IF(AND(ISNUMBER(B1656),N(B1656)&gt;0),INT(B1656),0)</f>
        <v>0.0</v>
      </c>
      <c r="T1656" s="67">
        <f>IF(AND(ISNUMBER(J1656),N(J1656)&gt;=0),N(J1656),0)</f>
        <v>0.0</v>
      </c>
      <c r="U1656" s="67">
        <f>IF(AND(ISNUMBER(K1656),N(K1656)&gt;0),N(K1656),0)</f>
        <v>0.0</v>
      </c>
      <c r="V1656" s="67">
        <f>IF(AND(ISNUMBER(L1656),N(L1656)&gt;0),N(L1656),0)</f>
        <v>0.0</v>
      </c>
      <c r="W1656" s="67">
        <f>IF(AND(I1656="Terminée",S1656&gt;0,C1656&lt;&gt;"",ISNUMBER(MATCH(C1656,eq_code,0))),1,0)</f>
        <v>0.0</v>
      </c>
      <c r="X1656" s="67">
        <f>IF(AND(W1656=1,E1656="Préventif"),1,0)</f>
        <v>0.0</v>
      </c>
      <c r="Y1656" s="67">
        <f>IF(AND(ISNUMBER(N1656),N(N1656)&gt;0),N(N1656),0)</f>
        <v>0.0</v>
      </c>
      <c r="Z1656" s="67">
        <f>IF(AND(ISNUMBER(P1656),N(P1656)&gt;0),N(P1656),0)</f>
        <v>0.0</v>
      </c>
    </row>
    <row r="1657">
      <c r="A1657" s="79" t="str">
        <f>IF(COUNTA(B1657:C1657,E1657:G1657,I1657)=0,"","BI-"&amp;RIGHT("0000"&amp;(ROW()-5),4))</f>
        <v/>
      </c>
      <c r="B1657" s="72" t="n"/>
      <c r="C1657" s="66" t="n"/>
      <c r="D1657" s="67" t="str">
        <f>IF(C1657="","",IFERROR(INDEX(eq_des,MATCH(C1657,eq_code,0))&amp;"","Équipement inconnu"))</f>
        <v/>
      </c>
      <c r="E1657" s="68" t="n"/>
      <c r="F1657" s="68" t="n"/>
      <c r="G1657" s="66" t="n"/>
      <c r="H1657" s="66" t="n"/>
      <c r="I1657" s="68" t="n"/>
      <c r="J1657" s="73" t="n"/>
      <c r="K1657" s="71" t="n"/>
      <c r="L1657" s="71" t="n"/>
      <c r="M1657" s="66" t="n"/>
      <c r="N1657" s="80" t="n"/>
      <c r="O1657" s="81" t="str">
        <f>IF(A1657="","",ROUND(V1657*IFERROR(N(INDEX(tech_rate,MATCH(M1657,tech_name,0))),0),2))</f>
        <v/>
      </c>
      <c r="P1657" s="80" t="n"/>
      <c r="Q1657" s="81" t="str">
        <f>IF(A1657="","",ROUND(Y1657+O1657+Z1657,2))</f>
        <v/>
      </c>
      <c r="R1657" s="79" t="str">
        <f>IF(A1657="","",IF(S1657=0,"Date manquante ou invalide",IF(C1657="","Équipement manquant",IF(ISNA(MATCH(C1657,eq_code,0)),"Équipement inconnu",IF(E1657="","Type manquant",IF(AND(E1657&lt;&gt;"Préventif",E1657&lt;&gt;"Correctif",E1657&lt;&gt;"Amélioratif"),"Type inconnu",IF(I1657="","Statut manquant",IF(AND(I1657&lt;&gt;"Terminée",I1657&lt;&gt;"En cours",I1657&lt;&gt;"À faire",I1657&lt;&gt;"Annulée"),"Statut inconnu",IF(AND(E1657="Préventif",F1657=""),"Plan manquant (préventif)",IF(AND(F1657&lt;&gt;"",ISNA(MATCH(F1657,pl_num,0))),"Plan inconnu",IF(AND(F1657&lt;&gt;"",IFERROR(INDEX(pl_eq,MATCH(F1657,pl_num,0))&amp;"",C1657)&lt;&gt;C1657),"Plan d'un autre équipement",IF(AND(J1657&lt;&gt;"",OR(NOT(ISNUMBER(J1657)),N(J1657)&lt;0)),"Compteur invalide",IF(OR(AND(K1657&lt;&gt;"",OR(NOT(ISNUMBER(K1657)),N(K1657)&lt;0)),AND(L1657&lt;&gt;"",OR(NOT(ISNUMBER(L1657)),N(L1657)&lt;0))),"Durée invalide",IF(OR(AND(N1657&lt;&gt;"",OR(NOT(ISNUMBER(N1657)),N(N1657)&lt;0)),AND(P1657&lt;&gt;"",OR(NOT(ISNUMBER(P1657)),N(P1657)&lt;0))),"Coût invalide",IF(AND(M1657&lt;&gt;"",ISNA(MATCH(M1657,tech_name,0))),"Technicien inconnu",IF(AND(I1657="Terminée",S1657&gt;p_today),"Terminée à une date future",IF(AND(I1657="Terminée",V1657=0),"Durée d'intervention manquante",IF(AND(I1657="Terminée",E1657="Préventif",T1657=0,OR(IFERROR(INDEX(pl_trig,MATCH(F1657,pl_num,0))&amp;"","")="Compteur",IFERROR(INDEX(pl_trig,MATCH(F1657,pl_num,0))&amp;"","")="Au premier des deux")),"Compteur manquant (plan au compteur)","OK"))))))))))))))))))</f>
        <v/>
      </c>
      <c r="S1657" s="67">
        <f>IF(AND(ISNUMBER(B1657),N(B1657)&gt;0),INT(B1657),0)</f>
        <v>0.0</v>
      </c>
      <c r="T1657" s="67">
        <f>IF(AND(ISNUMBER(J1657),N(J1657)&gt;=0),N(J1657),0)</f>
        <v>0.0</v>
      </c>
      <c r="U1657" s="67">
        <f>IF(AND(ISNUMBER(K1657),N(K1657)&gt;0),N(K1657),0)</f>
        <v>0.0</v>
      </c>
      <c r="V1657" s="67">
        <f>IF(AND(ISNUMBER(L1657),N(L1657)&gt;0),N(L1657),0)</f>
        <v>0.0</v>
      </c>
      <c r="W1657" s="67">
        <f>IF(AND(I1657="Terminée",S1657&gt;0,C1657&lt;&gt;"",ISNUMBER(MATCH(C1657,eq_code,0))),1,0)</f>
        <v>0.0</v>
      </c>
      <c r="X1657" s="67">
        <f>IF(AND(W1657=1,E1657="Préventif"),1,0)</f>
        <v>0.0</v>
      </c>
      <c r="Y1657" s="67">
        <f>IF(AND(ISNUMBER(N1657),N(N1657)&gt;0),N(N1657),0)</f>
        <v>0.0</v>
      </c>
      <c r="Z1657" s="67">
        <f>IF(AND(ISNUMBER(P1657),N(P1657)&gt;0),N(P1657),0)</f>
        <v>0.0</v>
      </c>
    </row>
    <row r="1658">
      <c r="A1658" s="79" t="str">
        <f>IF(COUNTA(B1658:C1658,E1658:G1658,I1658)=0,"","BI-"&amp;RIGHT("0000"&amp;(ROW()-5),4))</f>
        <v/>
      </c>
      <c r="B1658" s="72" t="n"/>
      <c r="C1658" s="66" t="n"/>
      <c r="D1658" s="67" t="str">
        <f>IF(C1658="","",IFERROR(INDEX(eq_des,MATCH(C1658,eq_code,0))&amp;"","Équipement inconnu"))</f>
        <v/>
      </c>
      <c r="E1658" s="68" t="n"/>
      <c r="F1658" s="68" t="n"/>
      <c r="G1658" s="66" t="n"/>
      <c r="H1658" s="66" t="n"/>
      <c r="I1658" s="68" t="n"/>
      <c r="J1658" s="73" t="n"/>
      <c r="K1658" s="71" t="n"/>
      <c r="L1658" s="71" t="n"/>
      <c r="M1658" s="66" t="n"/>
      <c r="N1658" s="80" t="n"/>
      <c r="O1658" s="81" t="str">
        <f>IF(A1658="","",ROUND(V1658*IFERROR(N(INDEX(tech_rate,MATCH(M1658,tech_name,0))),0),2))</f>
        <v/>
      </c>
      <c r="P1658" s="80" t="n"/>
      <c r="Q1658" s="81" t="str">
        <f>IF(A1658="","",ROUND(Y1658+O1658+Z1658,2))</f>
        <v/>
      </c>
      <c r="R1658" s="79" t="str">
        <f>IF(A1658="","",IF(S1658=0,"Date manquante ou invalide",IF(C1658="","Équipement manquant",IF(ISNA(MATCH(C1658,eq_code,0)),"Équipement inconnu",IF(E1658="","Type manquant",IF(AND(E1658&lt;&gt;"Préventif",E1658&lt;&gt;"Correctif",E1658&lt;&gt;"Amélioratif"),"Type inconnu",IF(I1658="","Statut manquant",IF(AND(I1658&lt;&gt;"Terminée",I1658&lt;&gt;"En cours",I1658&lt;&gt;"À faire",I1658&lt;&gt;"Annulée"),"Statut inconnu",IF(AND(E1658="Préventif",F1658=""),"Plan manquant (préventif)",IF(AND(F1658&lt;&gt;"",ISNA(MATCH(F1658,pl_num,0))),"Plan inconnu",IF(AND(F1658&lt;&gt;"",IFERROR(INDEX(pl_eq,MATCH(F1658,pl_num,0))&amp;"",C1658)&lt;&gt;C1658),"Plan d'un autre équipement",IF(AND(J1658&lt;&gt;"",OR(NOT(ISNUMBER(J1658)),N(J1658)&lt;0)),"Compteur invalide",IF(OR(AND(K1658&lt;&gt;"",OR(NOT(ISNUMBER(K1658)),N(K1658)&lt;0)),AND(L1658&lt;&gt;"",OR(NOT(ISNUMBER(L1658)),N(L1658)&lt;0))),"Durée invalide",IF(OR(AND(N1658&lt;&gt;"",OR(NOT(ISNUMBER(N1658)),N(N1658)&lt;0)),AND(P1658&lt;&gt;"",OR(NOT(ISNUMBER(P1658)),N(P1658)&lt;0))),"Coût invalide",IF(AND(M1658&lt;&gt;"",ISNA(MATCH(M1658,tech_name,0))),"Technicien inconnu",IF(AND(I1658="Terminée",S1658&gt;p_today),"Terminée à une date future",IF(AND(I1658="Terminée",V1658=0),"Durée d'intervention manquante",IF(AND(I1658="Terminée",E1658="Préventif",T1658=0,OR(IFERROR(INDEX(pl_trig,MATCH(F1658,pl_num,0))&amp;"","")="Compteur",IFERROR(INDEX(pl_trig,MATCH(F1658,pl_num,0))&amp;"","")="Au premier des deux")),"Compteur manquant (plan au compteur)","OK"))))))))))))))))))</f>
        <v/>
      </c>
      <c r="S1658" s="67">
        <f>IF(AND(ISNUMBER(B1658),N(B1658)&gt;0),INT(B1658),0)</f>
        <v>0.0</v>
      </c>
      <c r="T1658" s="67">
        <f>IF(AND(ISNUMBER(J1658),N(J1658)&gt;=0),N(J1658),0)</f>
        <v>0.0</v>
      </c>
      <c r="U1658" s="67">
        <f>IF(AND(ISNUMBER(K1658),N(K1658)&gt;0),N(K1658),0)</f>
        <v>0.0</v>
      </c>
      <c r="V1658" s="67">
        <f>IF(AND(ISNUMBER(L1658),N(L1658)&gt;0),N(L1658),0)</f>
        <v>0.0</v>
      </c>
      <c r="W1658" s="67">
        <f>IF(AND(I1658="Terminée",S1658&gt;0,C1658&lt;&gt;"",ISNUMBER(MATCH(C1658,eq_code,0))),1,0)</f>
        <v>0.0</v>
      </c>
      <c r="X1658" s="67">
        <f>IF(AND(W1658=1,E1658="Préventif"),1,0)</f>
        <v>0.0</v>
      </c>
      <c r="Y1658" s="67">
        <f>IF(AND(ISNUMBER(N1658),N(N1658)&gt;0),N(N1658),0)</f>
        <v>0.0</v>
      </c>
      <c r="Z1658" s="67">
        <f>IF(AND(ISNUMBER(P1658),N(P1658)&gt;0),N(P1658),0)</f>
        <v>0.0</v>
      </c>
    </row>
    <row r="1659">
      <c r="A1659" s="79" t="str">
        <f>IF(COUNTA(B1659:C1659,E1659:G1659,I1659)=0,"","BI-"&amp;RIGHT("0000"&amp;(ROW()-5),4))</f>
        <v/>
      </c>
      <c r="B1659" s="72" t="n"/>
      <c r="C1659" s="66" t="n"/>
      <c r="D1659" s="67" t="str">
        <f>IF(C1659="","",IFERROR(INDEX(eq_des,MATCH(C1659,eq_code,0))&amp;"","Équipement inconnu"))</f>
        <v/>
      </c>
      <c r="E1659" s="68" t="n"/>
      <c r="F1659" s="68" t="n"/>
      <c r="G1659" s="66" t="n"/>
      <c r="H1659" s="66" t="n"/>
      <c r="I1659" s="68" t="n"/>
      <c r="J1659" s="73" t="n"/>
      <c r="K1659" s="71" t="n"/>
      <c r="L1659" s="71" t="n"/>
      <c r="M1659" s="66" t="n"/>
      <c r="N1659" s="80" t="n"/>
      <c r="O1659" s="81" t="str">
        <f>IF(A1659="","",ROUND(V1659*IFERROR(N(INDEX(tech_rate,MATCH(M1659,tech_name,0))),0),2))</f>
        <v/>
      </c>
      <c r="P1659" s="80" t="n"/>
      <c r="Q1659" s="81" t="str">
        <f>IF(A1659="","",ROUND(Y1659+O1659+Z1659,2))</f>
        <v/>
      </c>
      <c r="R1659" s="79" t="str">
        <f>IF(A1659="","",IF(S1659=0,"Date manquante ou invalide",IF(C1659="","Équipement manquant",IF(ISNA(MATCH(C1659,eq_code,0)),"Équipement inconnu",IF(E1659="","Type manquant",IF(AND(E1659&lt;&gt;"Préventif",E1659&lt;&gt;"Correctif",E1659&lt;&gt;"Amélioratif"),"Type inconnu",IF(I1659="","Statut manquant",IF(AND(I1659&lt;&gt;"Terminée",I1659&lt;&gt;"En cours",I1659&lt;&gt;"À faire",I1659&lt;&gt;"Annulée"),"Statut inconnu",IF(AND(E1659="Préventif",F1659=""),"Plan manquant (préventif)",IF(AND(F1659&lt;&gt;"",ISNA(MATCH(F1659,pl_num,0))),"Plan inconnu",IF(AND(F1659&lt;&gt;"",IFERROR(INDEX(pl_eq,MATCH(F1659,pl_num,0))&amp;"",C1659)&lt;&gt;C1659),"Plan d'un autre équipement",IF(AND(J1659&lt;&gt;"",OR(NOT(ISNUMBER(J1659)),N(J1659)&lt;0)),"Compteur invalide",IF(OR(AND(K1659&lt;&gt;"",OR(NOT(ISNUMBER(K1659)),N(K1659)&lt;0)),AND(L1659&lt;&gt;"",OR(NOT(ISNUMBER(L1659)),N(L1659)&lt;0))),"Durée invalide",IF(OR(AND(N1659&lt;&gt;"",OR(NOT(ISNUMBER(N1659)),N(N1659)&lt;0)),AND(P1659&lt;&gt;"",OR(NOT(ISNUMBER(P1659)),N(P1659)&lt;0))),"Coût invalide",IF(AND(M1659&lt;&gt;"",ISNA(MATCH(M1659,tech_name,0))),"Technicien inconnu",IF(AND(I1659="Terminée",S1659&gt;p_today),"Terminée à une date future",IF(AND(I1659="Terminée",V1659=0),"Durée d'intervention manquante",IF(AND(I1659="Terminée",E1659="Préventif",T1659=0,OR(IFERROR(INDEX(pl_trig,MATCH(F1659,pl_num,0))&amp;"","")="Compteur",IFERROR(INDEX(pl_trig,MATCH(F1659,pl_num,0))&amp;"","")="Au premier des deux")),"Compteur manquant (plan au compteur)","OK"))))))))))))))))))</f>
        <v/>
      </c>
      <c r="S1659" s="67">
        <f>IF(AND(ISNUMBER(B1659),N(B1659)&gt;0),INT(B1659),0)</f>
        <v>0.0</v>
      </c>
      <c r="T1659" s="67">
        <f>IF(AND(ISNUMBER(J1659),N(J1659)&gt;=0),N(J1659),0)</f>
        <v>0.0</v>
      </c>
      <c r="U1659" s="67">
        <f>IF(AND(ISNUMBER(K1659),N(K1659)&gt;0),N(K1659),0)</f>
        <v>0.0</v>
      </c>
      <c r="V1659" s="67">
        <f>IF(AND(ISNUMBER(L1659),N(L1659)&gt;0),N(L1659),0)</f>
        <v>0.0</v>
      </c>
      <c r="W1659" s="67">
        <f>IF(AND(I1659="Terminée",S1659&gt;0,C1659&lt;&gt;"",ISNUMBER(MATCH(C1659,eq_code,0))),1,0)</f>
        <v>0.0</v>
      </c>
      <c r="X1659" s="67">
        <f>IF(AND(W1659=1,E1659="Préventif"),1,0)</f>
        <v>0.0</v>
      </c>
      <c r="Y1659" s="67">
        <f>IF(AND(ISNUMBER(N1659),N(N1659)&gt;0),N(N1659),0)</f>
        <v>0.0</v>
      </c>
      <c r="Z1659" s="67">
        <f>IF(AND(ISNUMBER(P1659),N(P1659)&gt;0),N(P1659),0)</f>
        <v>0.0</v>
      </c>
    </row>
    <row r="1660">
      <c r="A1660" s="79" t="str">
        <f>IF(COUNTA(B1660:C1660,E1660:G1660,I1660)=0,"","BI-"&amp;RIGHT("0000"&amp;(ROW()-5),4))</f>
        <v/>
      </c>
      <c r="B1660" s="72" t="n"/>
      <c r="C1660" s="66" t="n"/>
      <c r="D1660" s="67" t="str">
        <f>IF(C1660="","",IFERROR(INDEX(eq_des,MATCH(C1660,eq_code,0))&amp;"","Équipement inconnu"))</f>
        <v/>
      </c>
      <c r="E1660" s="68" t="n"/>
      <c r="F1660" s="68" t="n"/>
      <c r="G1660" s="66" t="n"/>
      <c r="H1660" s="66" t="n"/>
      <c r="I1660" s="68" t="n"/>
      <c r="J1660" s="73" t="n"/>
      <c r="K1660" s="71" t="n"/>
      <c r="L1660" s="71" t="n"/>
      <c r="M1660" s="66" t="n"/>
      <c r="N1660" s="80" t="n"/>
      <c r="O1660" s="81" t="str">
        <f>IF(A1660="","",ROUND(V1660*IFERROR(N(INDEX(tech_rate,MATCH(M1660,tech_name,0))),0),2))</f>
        <v/>
      </c>
      <c r="P1660" s="80" t="n"/>
      <c r="Q1660" s="81" t="str">
        <f>IF(A1660="","",ROUND(Y1660+O1660+Z1660,2))</f>
        <v/>
      </c>
      <c r="R1660" s="79" t="str">
        <f>IF(A1660="","",IF(S1660=0,"Date manquante ou invalide",IF(C1660="","Équipement manquant",IF(ISNA(MATCH(C1660,eq_code,0)),"Équipement inconnu",IF(E1660="","Type manquant",IF(AND(E1660&lt;&gt;"Préventif",E1660&lt;&gt;"Correctif",E1660&lt;&gt;"Amélioratif"),"Type inconnu",IF(I1660="","Statut manquant",IF(AND(I1660&lt;&gt;"Terminée",I1660&lt;&gt;"En cours",I1660&lt;&gt;"À faire",I1660&lt;&gt;"Annulée"),"Statut inconnu",IF(AND(E1660="Préventif",F1660=""),"Plan manquant (préventif)",IF(AND(F1660&lt;&gt;"",ISNA(MATCH(F1660,pl_num,0))),"Plan inconnu",IF(AND(F1660&lt;&gt;"",IFERROR(INDEX(pl_eq,MATCH(F1660,pl_num,0))&amp;"",C1660)&lt;&gt;C1660),"Plan d'un autre équipement",IF(AND(J1660&lt;&gt;"",OR(NOT(ISNUMBER(J1660)),N(J1660)&lt;0)),"Compteur invalide",IF(OR(AND(K1660&lt;&gt;"",OR(NOT(ISNUMBER(K1660)),N(K1660)&lt;0)),AND(L1660&lt;&gt;"",OR(NOT(ISNUMBER(L1660)),N(L1660)&lt;0))),"Durée invalide",IF(OR(AND(N1660&lt;&gt;"",OR(NOT(ISNUMBER(N1660)),N(N1660)&lt;0)),AND(P1660&lt;&gt;"",OR(NOT(ISNUMBER(P1660)),N(P1660)&lt;0))),"Coût invalide",IF(AND(M1660&lt;&gt;"",ISNA(MATCH(M1660,tech_name,0))),"Technicien inconnu",IF(AND(I1660="Terminée",S1660&gt;p_today),"Terminée à une date future",IF(AND(I1660="Terminée",V1660=0),"Durée d'intervention manquante",IF(AND(I1660="Terminée",E1660="Préventif",T1660=0,OR(IFERROR(INDEX(pl_trig,MATCH(F1660,pl_num,0))&amp;"","")="Compteur",IFERROR(INDEX(pl_trig,MATCH(F1660,pl_num,0))&amp;"","")="Au premier des deux")),"Compteur manquant (plan au compteur)","OK"))))))))))))))))))</f>
        <v/>
      </c>
      <c r="S1660" s="67">
        <f>IF(AND(ISNUMBER(B1660),N(B1660)&gt;0),INT(B1660),0)</f>
        <v>0.0</v>
      </c>
      <c r="T1660" s="67">
        <f>IF(AND(ISNUMBER(J1660),N(J1660)&gt;=0),N(J1660),0)</f>
        <v>0.0</v>
      </c>
      <c r="U1660" s="67">
        <f>IF(AND(ISNUMBER(K1660),N(K1660)&gt;0),N(K1660),0)</f>
        <v>0.0</v>
      </c>
      <c r="V1660" s="67">
        <f>IF(AND(ISNUMBER(L1660),N(L1660)&gt;0),N(L1660),0)</f>
        <v>0.0</v>
      </c>
      <c r="W1660" s="67">
        <f>IF(AND(I1660="Terminée",S1660&gt;0,C1660&lt;&gt;"",ISNUMBER(MATCH(C1660,eq_code,0))),1,0)</f>
        <v>0.0</v>
      </c>
      <c r="X1660" s="67">
        <f>IF(AND(W1660=1,E1660="Préventif"),1,0)</f>
        <v>0.0</v>
      </c>
      <c r="Y1660" s="67">
        <f>IF(AND(ISNUMBER(N1660),N(N1660)&gt;0),N(N1660),0)</f>
        <v>0.0</v>
      </c>
      <c r="Z1660" s="67">
        <f>IF(AND(ISNUMBER(P1660),N(P1660)&gt;0),N(P1660),0)</f>
        <v>0.0</v>
      </c>
    </row>
    <row r="1661">
      <c r="A1661" s="79" t="str">
        <f>IF(COUNTA(B1661:C1661,E1661:G1661,I1661)=0,"","BI-"&amp;RIGHT("0000"&amp;(ROW()-5),4))</f>
        <v/>
      </c>
      <c r="B1661" s="72" t="n"/>
      <c r="C1661" s="66" t="n"/>
      <c r="D1661" s="67" t="str">
        <f>IF(C1661="","",IFERROR(INDEX(eq_des,MATCH(C1661,eq_code,0))&amp;"","Équipement inconnu"))</f>
        <v/>
      </c>
      <c r="E1661" s="68" t="n"/>
      <c r="F1661" s="68" t="n"/>
      <c r="G1661" s="66" t="n"/>
      <c r="H1661" s="66" t="n"/>
      <c r="I1661" s="68" t="n"/>
      <c r="J1661" s="73" t="n"/>
      <c r="K1661" s="71" t="n"/>
      <c r="L1661" s="71" t="n"/>
      <c r="M1661" s="66" t="n"/>
      <c r="N1661" s="80" t="n"/>
      <c r="O1661" s="81" t="str">
        <f>IF(A1661="","",ROUND(V1661*IFERROR(N(INDEX(tech_rate,MATCH(M1661,tech_name,0))),0),2))</f>
        <v/>
      </c>
      <c r="P1661" s="80" t="n"/>
      <c r="Q1661" s="81" t="str">
        <f>IF(A1661="","",ROUND(Y1661+O1661+Z1661,2))</f>
        <v/>
      </c>
      <c r="R1661" s="79" t="str">
        <f>IF(A1661="","",IF(S1661=0,"Date manquante ou invalide",IF(C1661="","Équipement manquant",IF(ISNA(MATCH(C1661,eq_code,0)),"Équipement inconnu",IF(E1661="","Type manquant",IF(AND(E1661&lt;&gt;"Préventif",E1661&lt;&gt;"Correctif",E1661&lt;&gt;"Amélioratif"),"Type inconnu",IF(I1661="","Statut manquant",IF(AND(I1661&lt;&gt;"Terminée",I1661&lt;&gt;"En cours",I1661&lt;&gt;"À faire",I1661&lt;&gt;"Annulée"),"Statut inconnu",IF(AND(E1661="Préventif",F1661=""),"Plan manquant (préventif)",IF(AND(F1661&lt;&gt;"",ISNA(MATCH(F1661,pl_num,0))),"Plan inconnu",IF(AND(F1661&lt;&gt;"",IFERROR(INDEX(pl_eq,MATCH(F1661,pl_num,0))&amp;"",C1661)&lt;&gt;C1661),"Plan d'un autre équipement",IF(AND(J1661&lt;&gt;"",OR(NOT(ISNUMBER(J1661)),N(J1661)&lt;0)),"Compteur invalide",IF(OR(AND(K1661&lt;&gt;"",OR(NOT(ISNUMBER(K1661)),N(K1661)&lt;0)),AND(L1661&lt;&gt;"",OR(NOT(ISNUMBER(L1661)),N(L1661)&lt;0))),"Durée invalide",IF(OR(AND(N1661&lt;&gt;"",OR(NOT(ISNUMBER(N1661)),N(N1661)&lt;0)),AND(P1661&lt;&gt;"",OR(NOT(ISNUMBER(P1661)),N(P1661)&lt;0))),"Coût invalide",IF(AND(M1661&lt;&gt;"",ISNA(MATCH(M1661,tech_name,0))),"Technicien inconnu",IF(AND(I1661="Terminée",S1661&gt;p_today),"Terminée à une date future",IF(AND(I1661="Terminée",V1661=0),"Durée d'intervention manquante",IF(AND(I1661="Terminée",E1661="Préventif",T1661=0,OR(IFERROR(INDEX(pl_trig,MATCH(F1661,pl_num,0))&amp;"","")="Compteur",IFERROR(INDEX(pl_trig,MATCH(F1661,pl_num,0))&amp;"","")="Au premier des deux")),"Compteur manquant (plan au compteur)","OK"))))))))))))))))))</f>
        <v/>
      </c>
      <c r="S1661" s="67">
        <f>IF(AND(ISNUMBER(B1661),N(B1661)&gt;0),INT(B1661),0)</f>
        <v>0.0</v>
      </c>
      <c r="T1661" s="67">
        <f>IF(AND(ISNUMBER(J1661),N(J1661)&gt;=0),N(J1661),0)</f>
        <v>0.0</v>
      </c>
      <c r="U1661" s="67">
        <f>IF(AND(ISNUMBER(K1661),N(K1661)&gt;0),N(K1661),0)</f>
        <v>0.0</v>
      </c>
      <c r="V1661" s="67">
        <f>IF(AND(ISNUMBER(L1661),N(L1661)&gt;0),N(L1661),0)</f>
        <v>0.0</v>
      </c>
      <c r="W1661" s="67">
        <f>IF(AND(I1661="Terminée",S1661&gt;0,C1661&lt;&gt;"",ISNUMBER(MATCH(C1661,eq_code,0))),1,0)</f>
        <v>0.0</v>
      </c>
      <c r="X1661" s="67">
        <f>IF(AND(W1661=1,E1661="Préventif"),1,0)</f>
        <v>0.0</v>
      </c>
      <c r="Y1661" s="67">
        <f>IF(AND(ISNUMBER(N1661),N(N1661)&gt;0),N(N1661),0)</f>
        <v>0.0</v>
      </c>
      <c r="Z1661" s="67">
        <f>IF(AND(ISNUMBER(P1661),N(P1661)&gt;0),N(P1661),0)</f>
        <v>0.0</v>
      </c>
    </row>
    <row r="1662">
      <c r="A1662" s="79" t="str">
        <f>IF(COUNTA(B1662:C1662,E1662:G1662,I1662)=0,"","BI-"&amp;RIGHT("0000"&amp;(ROW()-5),4))</f>
        <v/>
      </c>
      <c r="B1662" s="72" t="n"/>
      <c r="C1662" s="66" t="n"/>
      <c r="D1662" s="67" t="str">
        <f>IF(C1662="","",IFERROR(INDEX(eq_des,MATCH(C1662,eq_code,0))&amp;"","Équipement inconnu"))</f>
        <v/>
      </c>
      <c r="E1662" s="68" t="n"/>
      <c r="F1662" s="68" t="n"/>
      <c r="G1662" s="66" t="n"/>
      <c r="H1662" s="66" t="n"/>
      <c r="I1662" s="68" t="n"/>
      <c r="J1662" s="73" t="n"/>
      <c r="K1662" s="71" t="n"/>
      <c r="L1662" s="71" t="n"/>
      <c r="M1662" s="66" t="n"/>
      <c r="N1662" s="80" t="n"/>
      <c r="O1662" s="81" t="str">
        <f>IF(A1662="","",ROUND(V1662*IFERROR(N(INDEX(tech_rate,MATCH(M1662,tech_name,0))),0),2))</f>
        <v/>
      </c>
      <c r="P1662" s="80" t="n"/>
      <c r="Q1662" s="81" t="str">
        <f>IF(A1662="","",ROUND(Y1662+O1662+Z1662,2))</f>
        <v/>
      </c>
      <c r="R1662" s="79" t="str">
        <f>IF(A1662="","",IF(S1662=0,"Date manquante ou invalide",IF(C1662="","Équipement manquant",IF(ISNA(MATCH(C1662,eq_code,0)),"Équipement inconnu",IF(E1662="","Type manquant",IF(AND(E1662&lt;&gt;"Préventif",E1662&lt;&gt;"Correctif",E1662&lt;&gt;"Amélioratif"),"Type inconnu",IF(I1662="","Statut manquant",IF(AND(I1662&lt;&gt;"Terminée",I1662&lt;&gt;"En cours",I1662&lt;&gt;"À faire",I1662&lt;&gt;"Annulée"),"Statut inconnu",IF(AND(E1662="Préventif",F1662=""),"Plan manquant (préventif)",IF(AND(F1662&lt;&gt;"",ISNA(MATCH(F1662,pl_num,0))),"Plan inconnu",IF(AND(F1662&lt;&gt;"",IFERROR(INDEX(pl_eq,MATCH(F1662,pl_num,0))&amp;"",C1662)&lt;&gt;C1662),"Plan d'un autre équipement",IF(AND(J1662&lt;&gt;"",OR(NOT(ISNUMBER(J1662)),N(J1662)&lt;0)),"Compteur invalide",IF(OR(AND(K1662&lt;&gt;"",OR(NOT(ISNUMBER(K1662)),N(K1662)&lt;0)),AND(L1662&lt;&gt;"",OR(NOT(ISNUMBER(L1662)),N(L1662)&lt;0))),"Durée invalide",IF(OR(AND(N1662&lt;&gt;"",OR(NOT(ISNUMBER(N1662)),N(N1662)&lt;0)),AND(P1662&lt;&gt;"",OR(NOT(ISNUMBER(P1662)),N(P1662)&lt;0))),"Coût invalide",IF(AND(M1662&lt;&gt;"",ISNA(MATCH(M1662,tech_name,0))),"Technicien inconnu",IF(AND(I1662="Terminée",S1662&gt;p_today),"Terminée à une date future",IF(AND(I1662="Terminée",V1662=0),"Durée d'intervention manquante",IF(AND(I1662="Terminée",E1662="Préventif",T1662=0,OR(IFERROR(INDEX(pl_trig,MATCH(F1662,pl_num,0))&amp;"","")="Compteur",IFERROR(INDEX(pl_trig,MATCH(F1662,pl_num,0))&amp;"","")="Au premier des deux")),"Compteur manquant (plan au compteur)","OK"))))))))))))))))))</f>
        <v/>
      </c>
      <c r="S1662" s="67">
        <f>IF(AND(ISNUMBER(B1662),N(B1662)&gt;0),INT(B1662),0)</f>
        <v>0.0</v>
      </c>
      <c r="T1662" s="67">
        <f>IF(AND(ISNUMBER(J1662),N(J1662)&gt;=0),N(J1662),0)</f>
        <v>0.0</v>
      </c>
      <c r="U1662" s="67">
        <f>IF(AND(ISNUMBER(K1662),N(K1662)&gt;0),N(K1662),0)</f>
        <v>0.0</v>
      </c>
      <c r="V1662" s="67">
        <f>IF(AND(ISNUMBER(L1662),N(L1662)&gt;0),N(L1662),0)</f>
        <v>0.0</v>
      </c>
      <c r="W1662" s="67">
        <f>IF(AND(I1662="Terminée",S1662&gt;0,C1662&lt;&gt;"",ISNUMBER(MATCH(C1662,eq_code,0))),1,0)</f>
        <v>0.0</v>
      </c>
      <c r="X1662" s="67">
        <f>IF(AND(W1662=1,E1662="Préventif"),1,0)</f>
        <v>0.0</v>
      </c>
      <c r="Y1662" s="67">
        <f>IF(AND(ISNUMBER(N1662),N(N1662)&gt;0),N(N1662),0)</f>
        <v>0.0</v>
      </c>
      <c r="Z1662" s="67">
        <f>IF(AND(ISNUMBER(P1662),N(P1662)&gt;0),N(P1662),0)</f>
        <v>0.0</v>
      </c>
    </row>
    <row r="1663">
      <c r="A1663" s="79" t="str">
        <f>IF(COUNTA(B1663:C1663,E1663:G1663,I1663)=0,"","BI-"&amp;RIGHT("0000"&amp;(ROW()-5),4))</f>
        <v/>
      </c>
      <c r="B1663" s="72" t="n"/>
      <c r="C1663" s="66" t="n"/>
      <c r="D1663" s="67" t="str">
        <f>IF(C1663="","",IFERROR(INDEX(eq_des,MATCH(C1663,eq_code,0))&amp;"","Équipement inconnu"))</f>
        <v/>
      </c>
      <c r="E1663" s="68" t="n"/>
      <c r="F1663" s="68" t="n"/>
      <c r="G1663" s="66" t="n"/>
      <c r="H1663" s="66" t="n"/>
      <c r="I1663" s="68" t="n"/>
      <c r="J1663" s="73" t="n"/>
      <c r="K1663" s="71" t="n"/>
      <c r="L1663" s="71" t="n"/>
      <c r="M1663" s="66" t="n"/>
      <c r="N1663" s="80" t="n"/>
      <c r="O1663" s="81" t="str">
        <f>IF(A1663="","",ROUND(V1663*IFERROR(N(INDEX(tech_rate,MATCH(M1663,tech_name,0))),0),2))</f>
        <v/>
      </c>
      <c r="P1663" s="80" t="n"/>
      <c r="Q1663" s="81" t="str">
        <f>IF(A1663="","",ROUND(Y1663+O1663+Z1663,2))</f>
        <v/>
      </c>
      <c r="R1663" s="79" t="str">
        <f>IF(A1663="","",IF(S1663=0,"Date manquante ou invalide",IF(C1663="","Équipement manquant",IF(ISNA(MATCH(C1663,eq_code,0)),"Équipement inconnu",IF(E1663="","Type manquant",IF(AND(E1663&lt;&gt;"Préventif",E1663&lt;&gt;"Correctif",E1663&lt;&gt;"Amélioratif"),"Type inconnu",IF(I1663="","Statut manquant",IF(AND(I1663&lt;&gt;"Terminée",I1663&lt;&gt;"En cours",I1663&lt;&gt;"À faire",I1663&lt;&gt;"Annulée"),"Statut inconnu",IF(AND(E1663="Préventif",F1663=""),"Plan manquant (préventif)",IF(AND(F1663&lt;&gt;"",ISNA(MATCH(F1663,pl_num,0))),"Plan inconnu",IF(AND(F1663&lt;&gt;"",IFERROR(INDEX(pl_eq,MATCH(F1663,pl_num,0))&amp;"",C1663)&lt;&gt;C1663),"Plan d'un autre équipement",IF(AND(J1663&lt;&gt;"",OR(NOT(ISNUMBER(J1663)),N(J1663)&lt;0)),"Compteur invalide",IF(OR(AND(K1663&lt;&gt;"",OR(NOT(ISNUMBER(K1663)),N(K1663)&lt;0)),AND(L1663&lt;&gt;"",OR(NOT(ISNUMBER(L1663)),N(L1663)&lt;0))),"Durée invalide",IF(OR(AND(N1663&lt;&gt;"",OR(NOT(ISNUMBER(N1663)),N(N1663)&lt;0)),AND(P1663&lt;&gt;"",OR(NOT(ISNUMBER(P1663)),N(P1663)&lt;0))),"Coût invalide",IF(AND(M1663&lt;&gt;"",ISNA(MATCH(M1663,tech_name,0))),"Technicien inconnu",IF(AND(I1663="Terminée",S1663&gt;p_today),"Terminée à une date future",IF(AND(I1663="Terminée",V1663=0),"Durée d'intervention manquante",IF(AND(I1663="Terminée",E1663="Préventif",T1663=0,OR(IFERROR(INDEX(pl_trig,MATCH(F1663,pl_num,0))&amp;"","")="Compteur",IFERROR(INDEX(pl_trig,MATCH(F1663,pl_num,0))&amp;"","")="Au premier des deux")),"Compteur manquant (plan au compteur)","OK"))))))))))))))))))</f>
        <v/>
      </c>
      <c r="S1663" s="67">
        <f>IF(AND(ISNUMBER(B1663),N(B1663)&gt;0),INT(B1663),0)</f>
        <v>0.0</v>
      </c>
      <c r="T1663" s="67">
        <f>IF(AND(ISNUMBER(J1663),N(J1663)&gt;=0),N(J1663),0)</f>
        <v>0.0</v>
      </c>
      <c r="U1663" s="67">
        <f>IF(AND(ISNUMBER(K1663),N(K1663)&gt;0),N(K1663),0)</f>
        <v>0.0</v>
      </c>
      <c r="V1663" s="67">
        <f>IF(AND(ISNUMBER(L1663),N(L1663)&gt;0),N(L1663),0)</f>
        <v>0.0</v>
      </c>
      <c r="W1663" s="67">
        <f>IF(AND(I1663="Terminée",S1663&gt;0,C1663&lt;&gt;"",ISNUMBER(MATCH(C1663,eq_code,0))),1,0)</f>
        <v>0.0</v>
      </c>
      <c r="X1663" s="67">
        <f>IF(AND(W1663=1,E1663="Préventif"),1,0)</f>
        <v>0.0</v>
      </c>
      <c r="Y1663" s="67">
        <f>IF(AND(ISNUMBER(N1663),N(N1663)&gt;0),N(N1663),0)</f>
        <v>0.0</v>
      </c>
      <c r="Z1663" s="67">
        <f>IF(AND(ISNUMBER(P1663),N(P1663)&gt;0),N(P1663),0)</f>
        <v>0.0</v>
      </c>
    </row>
    <row r="1664">
      <c r="A1664" s="79" t="str">
        <f>IF(COUNTA(B1664:C1664,E1664:G1664,I1664)=0,"","BI-"&amp;RIGHT("0000"&amp;(ROW()-5),4))</f>
        <v/>
      </c>
      <c r="B1664" s="72" t="n"/>
      <c r="C1664" s="66" t="n"/>
      <c r="D1664" s="67" t="str">
        <f>IF(C1664="","",IFERROR(INDEX(eq_des,MATCH(C1664,eq_code,0))&amp;"","Équipement inconnu"))</f>
        <v/>
      </c>
      <c r="E1664" s="68" t="n"/>
      <c r="F1664" s="68" t="n"/>
      <c r="G1664" s="66" t="n"/>
      <c r="H1664" s="66" t="n"/>
      <c r="I1664" s="68" t="n"/>
      <c r="J1664" s="73" t="n"/>
      <c r="K1664" s="71" t="n"/>
      <c r="L1664" s="71" t="n"/>
      <c r="M1664" s="66" t="n"/>
      <c r="N1664" s="80" t="n"/>
      <c r="O1664" s="81" t="str">
        <f>IF(A1664="","",ROUND(V1664*IFERROR(N(INDEX(tech_rate,MATCH(M1664,tech_name,0))),0),2))</f>
        <v/>
      </c>
      <c r="P1664" s="80" t="n"/>
      <c r="Q1664" s="81" t="str">
        <f>IF(A1664="","",ROUND(Y1664+O1664+Z1664,2))</f>
        <v/>
      </c>
      <c r="R1664" s="79" t="str">
        <f>IF(A1664="","",IF(S1664=0,"Date manquante ou invalide",IF(C1664="","Équipement manquant",IF(ISNA(MATCH(C1664,eq_code,0)),"Équipement inconnu",IF(E1664="","Type manquant",IF(AND(E1664&lt;&gt;"Préventif",E1664&lt;&gt;"Correctif",E1664&lt;&gt;"Amélioratif"),"Type inconnu",IF(I1664="","Statut manquant",IF(AND(I1664&lt;&gt;"Terminée",I1664&lt;&gt;"En cours",I1664&lt;&gt;"À faire",I1664&lt;&gt;"Annulée"),"Statut inconnu",IF(AND(E1664="Préventif",F1664=""),"Plan manquant (préventif)",IF(AND(F1664&lt;&gt;"",ISNA(MATCH(F1664,pl_num,0))),"Plan inconnu",IF(AND(F1664&lt;&gt;"",IFERROR(INDEX(pl_eq,MATCH(F1664,pl_num,0))&amp;"",C1664)&lt;&gt;C1664),"Plan d'un autre équipement",IF(AND(J1664&lt;&gt;"",OR(NOT(ISNUMBER(J1664)),N(J1664)&lt;0)),"Compteur invalide",IF(OR(AND(K1664&lt;&gt;"",OR(NOT(ISNUMBER(K1664)),N(K1664)&lt;0)),AND(L1664&lt;&gt;"",OR(NOT(ISNUMBER(L1664)),N(L1664)&lt;0))),"Durée invalide",IF(OR(AND(N1664&lt;&gt;"",OR(NOT(ISNUMBER(N1664)),N(N1664)&lt;0)),AND(P1664&lt;&gt;"",OR(NOT(ISNUMBER(P1664)),N(P1664)&lt;0))),"Coût invalide",IF(AND(M1664&lt;&gt;"",ISNA(MATCH(M1664,tech_name,0))),"Technicien inconnu",IF(AND(I1664="Terminée",S1664&gt;p_today),"Terminée à une date future",IF(AND(I1664="Terminée",V1664=0),"Durée d'intervention manquante",IF(AND(I1664="Terminée",E1664="Préventif",T1664=0,OR(IFERROR(INDEX(pl_trig,MATCH(F1664,pl_num,0))&amp;"","")="Compteur",IFERROR(INDEX(pl_trig,MATCH(F1664,pl_num,0))&amp;"","")="Au premier des deux")),"Compteur manquant (plan au compteur)","OK"))))))))))))))))))</f>
        <v/>
      </c>
      <c r="S1664" s="67">
        <f>IF(AND(ISNUMBER(B1664),N(B1664)&gt;0),INT(B1664),0)</f>
        <v>0.0</v>
      </c>
      <c r="T1664" s="67">
        <f>IF(AND(ISNUMBER(J1664),N(J1664)&gt;=0),N(J1664),0)</f>
        <v>0.0</v>
      </c>
      <c r="U1664" s="67">
        <f>IF(AND(ISNUMBER(K1664),N(K1664)&gt;0),N(K1664),0)</f>
        <v>0.0</v>
      </c>
      <c r="V1664" s="67">
        <f>IF(AND(ISNUMBER(L1664),N(L1664)&gt;0),N(L1664),0)</f>
        <v>0.0</v>
      </c>
      <c r="W1664" s="67">
        <f>IF(AND(I1664="Terminée",S1664&gt;0,C1664&lt;&gt;"",ISNUMBER(MATCH(C1664,eq_code,0))),1,0)</f>
        <v>0.0</v>
      </c>
      <c r="X1664" s="67">
        <f>IF(AND(W1664=1,E1664="Préventif"),1,0)</f>
        <v>0.0</v>
      </c>
      <c r="Y1664" s="67">
        <f>IF(AND(ISNUMBER(N1664),N(N1664)&gt;0),N(N1664),0)</f>
        <v>0.0</v>
      </c>
      <c r="Z1664" s="67">
        <f>IF(AND(ISNUMBER(P1664),N(P1664)&gt;0),N(P1664),0)</f>
        <v>0.0</v>
      </c>
    </row>
    <row r="1665">
      <c r="A1665" s="79" t="str">
        <f>IF(COUNTA(B1665:C1665,E1665:G1665,I1665)=0,"","BI-"&amp;RIGHT("0000"&amp;(ROW()-5),4))</f>
        <v/>
      </c>
      <c r="B1665" s="72" t="n"/>
      <c r="C1665" s="66" t="n"/>
      <c r="D1665" s="67" t="str">
        <f>IF(C1665="","",IFERROR(INDEX(eq_des,MATCH(C1665,eq_code,0))&amp;"","Équipement inconnu"))</f>
        <v/>
      </c>
      <c r="E1665" s="68" t="n"/>
      <c r="F1665" s="68" t="n"/>
      <c r="G1665" s="66" t="n"/>
      <c r="H1665" s="66" t="n"/>
      <c r="I1665" s="68" t="n"/>
      <c r="J1665" s="73" t="n"/>
      <c r="K1665" s="71" t="n"/>
      <c r="L1665" s="71" t="n"/>
      <c r="M1665" s="66" t="n"/>
      <c r="N1665" s="80" t="n"/>
      <c r="O1665" s="81" t="str">
        <f>IF(A1665="","",ROUND(V1665*IFERROR(N(INDEX(tech_rate,MATCH(M1665,tech_name,0))),0),2))</f>
        <v/>
      </c>
      <c r="P1665" s="80" t="n"/>
      <c r="Q1665" s="81" t="str">
        <f>IF(A1665="","",ROUND(Y1665+O1665+Z1665,2))</f>
        <v/>
      </c>
      <c r="R1665" s="79" t="str">
        <f>IF(A1665="","",IF(S1665=0,"Date manquante ou invalide",IF(C1665="","Équipement manquant",IF(ISNA(MATCH(C1665,eq_code,0)),"Équipement inconnu",IF(E1665="","Type manquant",IF(AND(E1665&lt;&gt;"Préventif",E1665&lt;&gt;"Correctif",E1665&lt;&gt;"Amélioratif"),"Type inconnu",IF(I1665="","Statut manquant",IF(AND(I1665&lt;&gt;"Terminée",I1665&lt;&gt;"En cours",I1665&lt;&gt;"À faire",I1665&lt;&gt;"Annulée"),"Statut inconnu",IF(AND(E1665="Préventif",F1665=""),"Plan manquant (préventif)",IF(AND(F1665&lt;&gt;"",ISNA(MATCH(F1665,pl_num,0))),"Plan inconnu",IF(AND(F1665&lt;&gt;"",IFERROR(INDEX(pl_eq,MATCH(F1665,pl_num,0))&amp;"",C1665)&lt;&gt;C1665),"Plan d'un autre équipement",IF(AND(J1665&lt;&gt;"",OR(NOT(ISNUMBER(J1665)),N(J1665)&lt;0)),"Compteur invalide",IF(OR(AND(K1665&lt;&gt;"",OR(NOT(ISNUMBER(K1665)),N(K1665)&lt;0)),AND(L1665&lt;&gt;"",OR(NOT(ISNUMBER(L1665)),N(L1665)&lt;0))),"Durée invalide",IF(OR(AND(N1665&lt;&gt;"",OR(NOT(ISNUMBER(N1665)),N(N1665)&lt;0)),AND(P1665&lt;&gt;"",OR(NOT(ISNUMBER(P1665)),N(P1665)&lt;0))),"Coût invalide",IF(AND(M1665&lt;&gt;"",ISNA(MATCH(M1665,tech_name,0))),"Technicien inconnu",IF(AND(I1665="Terminée",S1665&gt;p_today),"Terminée à une date future",IF(AND(I1665="Terminée",V1665=0),"Durée d'intervention manquante",IF(AND(I1665="Terminée",E1665="Préventif",T1665=0,OR(IFERROR(INDEX(pl_trig,MATCH(F1665,pl_num,0))&amp;"","")="Compteur",IFERROR(INDEX(pl_trig,MATCH(F1665,pl_num,0))&amp;"","")="Au premier des deux")),"Compteur manquant (plan au compteur)","OK"))))))))))))))))))</f>
        <v/>
      </c>
      <c r="S1665" s="67">
        <f>IF(AND(ISNUMBER(B1665),N(B1665)&gt;0),INT(B1665),0)</f>
        <v>0.0</v>
      </c>
      <c r="T1665" s="67">
        <f>IF(AND(ISNUMBER(J1665),N(J1665)&gt;=0),N(J1665),0)</f>
        <v>0.0</v>
      </c>
      <c r="U1665" s="67">
        <f>IF(AND(ISNUMBER(K1665),N(K1665)&gt;0),N(K1665),0)</f>
        <v>0.0</v>
      </c>
      <c r="V1665" s="67">
        <f>IF(AND(ISNUMBER(L1665),N(L1665)&gt;0),N(L1665),0)</f>
        <v>0.0</v>
      </c>
      <c r="W1665" s="67">
        <f>IF(AND(I1665="Terminée",S1665&gt;0,C1665&lt;&gt;"",ISNUMBER(MATCH(C1665,eq_code,0))),1,0)</f>
        <v>0.0</v>
      </c>
      <c r="X1665" s="67">
        <f>IF(AND(W1665=1,E1665="Préventif"),1,0)</f>
        <v>0.0</v>
      </c>
      <c r="Y1665" s="67">
        <f>IF(AND(ISNUMBER(N1665),N(N1665)&gt;0),N(N1665),0)</f>
        <v>0.0</v>
      </c>
      <c r="Z1665" s="67">
        <f>IF(AND(ISNUMBER(P1665),N(P1665)&gt;0),N(P1665),0)</f>
        <v>0.0</v>
      </c>
    </row>
    <row r="1666">
      <c r="A1666" s="79" t="str">
        <f>IF(COUNTA(B1666:C1666,E1666:G1666,I1666)=0,"","BI-"&amp;RIGHT("0000"&amp;(ROW()-5),4))</f>
        <v/>
      </c>
      <c r="B1666" s="72" t="n"/>
      <c r="C1666" s="66" t="n"/>
      <c r="D1666" s="67" t="str">
        <f>IF(C1666="","",IFERROR(INDEX(eq_des,MATCH(C1666,eq_code,0))&amp;"","Équipement inconnu"))</f>
        <v/>
      </c>
      <c r="E1666" s="68" t="n"/>
      <c r="F1666" s="68" t="n"/>
      <c r="G1666" s="66" t="n"/>
      <c r="H1666" s="66" t="n"/>
      <c r="I1666" s="68" t="n"/>
      <c r="J1666" s="73" t="n"/>
      <c r="K1666" s="71" t="n"/>
      <c r="L1666" s="71" t="n"/>
      <c r="M1666" s="66" t="n"/>
      <c r="N1666" s="80" t="n"/>
      <c r="O1666" s="81" t="str">
        <f>IF(A1666="","",ROUND(V1666*IFERROR(N(INDEX(tech_rate,MATCH(M1666,tech_name,0))),0),2))</f>
        <v/>
      </c>
      <c r="P1666" s="80" t="n"/>
      <c r="Q1666" s="81" t="str">
        <f>IF(A1666="","",ROUND(Y1666+O1666+Z1666,2))</f>
        <v/>
      </c>
      <c r="R1666" s="79" t="str">
        <f>IF(A1666="","",IF(S1666=0,"Date manquante ou invalide",IF(C1666="","Équipement manquant",IF(ISNA(MATCH(C1666,eq_code,0)),"Équipement inconnu",IF(E1666="","Type manquant",IF(AND(E1666&lt;&gt;"Préventif",E1666&lt;&gt;"Correctif",E1666&lt;&gt;"Amélioratif"),"Type inconnu",IF(I1666="","Statut manquant",IF(AND(I1666&lt;&gt;"Terminée",I1666&lt;&gt;"En cours",I1666&lt;&gt;"À faire",I1666&lt;&gt;"Annulée"),"Statut inconnu",IF(AND(E1666="Préventif",F1666=""),"Plan manquant (préventif)",IF(AND(F1666&lt;&gt;"",ISNA(MATCH(F1666,pl_num,0))),"Plan inconnu",IF(AND(F1666&lt;&gt;"",IFERROR(INDEX(pl_eq,MATCH(F1666,pl_num,0))&amp;"",C1666)&lt;&gt;C1666),"Plan d'un autre équipement",IF(AND(J1666&lt;&gt;"",OR(NOT(ISNUMBER(J1666)),N(J1666)&lt;0)),"Compteur invalide",IF(OR(AND(K1666&lt;&gt;"",OR(NOT(ISNUMBER(K1666)),N(K1666)&lt;0)),AND(L1666&lt;&gt;"",OR(NOT(ISNUMBER(L1666)),N(L1666)&lt;0))),"Durée invalide",IF(OR(AND(N1666&lt;&gt;"",OR(NOT(ISNUMBER(N1666)),N(N1666)&lt;0)),AND(P1666&lt;&gt;"",OR(NOT(ISNUMBER(P1666)),N(P1666)&lt;0))),"Coût invalide",IF(AND(M1666&lt;&gt;"",ISNA(MATCH(M1666,tech_name,0))),"Technicien inconnu",IF(AND(I1666="Terminée",S1666&gt;p_today),"Terminée à une date future",IF(AND(I1666="Terminée",V1666=0),"Durée d'intervention manquante",IF(AND(I1666="Terminée",E1666="Préventif",T1666=0,OR(IFERROR(INDEX(pl_trig,MATCH(F1666,pl_num,0))&amp;"","")="Compteur",IFERROR(INDEX(pl_trig,MATCH(F1666,pl_num,0))&amp;"","")="Au premier des deux")),"Compteur manquant (plan au compteur)","OK"))))))))))))))))))</f>
        <v/>
      </c>
      <c r="S1666" s="67">
        <f>IF(AND(ISNUMBER(B1666),N(B1666)&gt;0),INT(B1666),0)</f>
        <v>0.0</v>
      </c>
      <c r="T1666" s="67">
        <f>IF(AND(ISNUMBER(J1666),N(J1666)&gt;=0),N(J1666),0)</f>
        <v>0.0</v>
      </c>
      <c r="U1666" s="67">
        <f>IF(AND(ISNUMBER(K1666),N(K1666)&gt;0),N(K1666),0)</f>
        <v>0.0</v>
      </c>
      <c r="V1666" s="67">
        <f>IF(AND(ISNUMBER(L1666),N(L1666)&gt;0),N(L1666),0)</f>
        <v>0.0</v>
      </c>
      <c r="W1666" s="67">
        <f>IF(AND(I1666="Terminée",S1666&gt;0,C1666&lt;&gt;"",ISNUMBER(MATCH(C1666,eq_code,0))),1,0)</f>
        <v>0.0</v>
      </c>
      <c r="X1666" s="67">
        <f>IF(AND(W1666=1,E1666="Préventif"),1,0)</f>
        <v>0.0</v>
      </c>
      <c r="Y1666" s="67">
        <f>IF(AND(ISNUMBER(N1666),N(N1666)&gt;0),N(N1666),0)</f>
        <v>0.0</v>
      </c>
      <c r="Z1666" s="67">
        <f>IF(AND(ISNUMBER(P1666),N(P1666)&gt;0),N(P1666),0)</f>
        <v>0.0</v>
      </c>
    </row>
    <row r="1667">
      <c r="A1667" s="79" t="str">
        <f>IF(COUNTA(B1667:C1667,E1667:G1667,I1667)=0,"","BI-"&amp;RIGHT("0000"&amp;(ROW()-5),4))</f>
        <v/>
      </c>
      <c r="B1667" s="72" t="n"/>
      <c r="C1667" s="66" t="n"/>
      <c r="D1667" s="67" t="str">
        <f>IF(C1667="","",IFERROR(INDEX(eq_des,MATCH(C1667,eq_code,0))&amp;"","Équipement inconnu"))</f>
        <v/>
      </c>
      <c r="E1667" s="68" t="n"/>
      <c r="F1667" s="68" t="n"/>
      <c r="G1667" s="66" t="n"/>
      <c r="H1667" s="66" t="n"/>
      <c r="I1667" s="68" t="n"/>
      <c r="J1667" s="73" t="n"/>
      <c r="K1667" s="71" t="n"/>
      <c r="L1667" s="71" t="n"/>
      <c r="M1667" s="66" t="n"/>
      <c r="N1667" s="80" t="n"/>
      <c r="O1667" s="81" t="str">
        <f>IF(A1667="","",ROUND(V1667*IFERROR(N(INDEX(tech_rate,MATCH(M1667,tech_name,0))),0),2))</f>
        <v/>
      </c>
      <c r="P1667" s="80" t="n"/>
      <c r="Q1667" s="81" t="str">
        <f>IF(A1667="","",ROUND(Y1667+O1667+Z1667,2))</f>
        <v/>
      </c>
      <c r="R1667" s="79" t="str">
        <f>IF(A1667="","",IF(S1667=0,"Date manquante ou invalide",IF(C1667="","Équipement manquant",IF(ISNA(MATCH(C1667,eq_code,0)),"Équipement inconnu",IF(E1667="","Type manquant",IF(AND(E1667&lt;&gt;"Préventif",E1667&lt;&gt;"Correctif",E1667&lt;&gt;"Amélioratif"),"Type inconnu",IF(I1667="","Statut manquant",IF(AND(I1667&lt;&gt;"Terminée",I1667&lt;&gt;"En cours",I1667&lt;&gt;"À faire",I1667&lt;&gt;"Annulée"),"Statut inconnu",IF(AND(E1667="Préventif",F1667=""),"Plan manquant (préventif)",IF(AND(F1667&lt;&gt;"",ISNA(MATCH(F1667,pl_num,0))),"Plan inconnu",IF(AND(F1667&lt;&gt;"",IFERROR(INDEX(pl_eq,MATCH(F1667,pl_num,0))&amp;"",C1667)&lt;&gt;C1667),"Plan d'un autre équipement",IF(AND(J1667&lt;&gt;"",OR(NOT(ISNUMBER(J1667)),N(J1667)&lt;0)),"Compteur invalide",IF(OR(AND(K1667&lt;&gt;"",OR(NOT(ISNUMBER(K1667)),N(K1667)&lt;0)),AND(L1667&lt;&gt;"",OR(NOT(ISNUMBER(L1667)),N(L1667)&lt;0))),"Durée invalide",IF(OR(AND(N1667&lt;&gt;"",OR(NOT(ISNUMBER(N1667)),N(N1667)&lt;0)),AND(P1667&lt;&gt;"",OR(NOT(ISNUMBER(P1667)),N(P1667)&lt;0))),"Coût invalide",IF(AND(M1667&lt;&gt;"",ISNA(MATCH(M1667,tech_name,0))),"Technicien inconnu",IF(AND(I1667="Terminée",S1667&gt;p_today),"Terminée à une date future",IF(AND(I1667="Terminée",V1667=0),"Durée d'intervention manquante",IF(AND(I1667="Terminée",E1667="Préventif",T1667=0,OR(IFERROR(INDEX(pl_trig,MATCH(F1667,pl_num,0))&amp;"","")="Compteur",IFERROR(INDEX(pl_trig,MATCH(F1667,pl_num,0))&amp;"","")="Au premier des deux")),"Compteur manquant (plan au compteur)","OK"))))))))))))))))))</f>
        <v/>
      </c>
      <c r="S1667" s="67">
        <f>IF(AND(ISNUMBER(B1667),N(B1667)&gt;0),INT(B1667),0)</f>
        <v>0.0</v>
      </c>
      <c r="T1667" s="67">
        <f>IF(AND(ISNUMBER(J1667),N(J1667)&gt;=0),N(J1667),0)</f>
        <v>0.0</v>
      </c>
      <c r="U1667" s="67">
        <f>IF(AND(ISNUMBER(K1667),N(K1667)&gt;0),N(K1667),0)</f>
        <v>0.0</v>
      </c>
      <c r="V1667" s="67">
        <f>IF(AND(ISNUMBER(L1667),N(L1667)&gt;0),N(L1667),0)</f>
        <v>0.0</v>
      </c>
      <c r="W1667" s="67">
        <f>IF(AND(I1667="Terminée",S1667&gt;0,C1667&lt;&gt;"",ISNUMBER(MATCH(C1667,eq_code,0))),1,0)</f>
        <v>0.0</v>
      </c>
      <c r="X1667" s="67">
        <f>IF(AND(W1667=1,E1667="Préventif"),1,0)</f>
        <v>0.0</v>
      </c>
      <c r="Y1667" s="67">
        <f>IF(AND(ISNUMBER(N1667),N(N1667)&gt;0),N(N1667),0)</f>
        <v>0.0</v>
      </c>
      <c r="Z1667" s="67">
        <f>IF(AND(ISNUMBER(P1667),N(P1667)&gt;0),N(P1667),0)</f>
        <v>0.0</v>
      </c>
    </row>
    <row r="1668">
      <c r="A1668" s="79" t="str">
        <f>IF(COUNTA(B1668:C1668,E1668:G1668,I1668)=0,"","BI-"&amp;RIGHT("0000"&amp;(ROW()-5),4))</f>
        <v/>
      </c>
      <c r="B1668" s="72" t="n"/>
      <c r="C1668" s="66" t="n"/>
      <c r="D1668" s="67" t="str">
        <f>IF(C1668="","",IFERROR(INDEX(eq_des,MATCH(C1668,eq_code,0))&amp;"","Équipement inconnu"))</f>
        <v/>
      </c>
      <c r="E1668" s="68" t="n"/>
      <c r="F1668" s="68" t="n"/>
      <c r="G1668" s="66" t="n"/>
      <c r="H1668" s="66" t="n"/>
      <c r="I1668" s="68" t="n"/>
      <c r="J1668" s="73" t="n"/>
      <c r="K1668" s="71" t="n"/>
      <c r="L1668" s="71" t="n"/>
      <c r="M1668" s="66" t="n"/>
      <c r="N1668" s="80" t="n"/>
      <c r="O1668" s="81" t="str">
        <f>IF(A1668="","",ROUND(V1668*IFERROR(N(INDEX(tech_rate,MATCH(M1668,tech_name,0))),0),2))</f>
        <v/>
      </c>
      <c r="P1668" s="80" t="n"/>
      <c r="Q1668" s="81" t="str">
        <f>IF(A1668="","",ROUND(Y1668+O1668+Z1668,2))</f>
        <v/>
      </c>
      <c r="R1668" s="79" t="str">
        <f>IF(A1668="","",IF(S1668=0,"Date manquante ou invalide",IF(C1668="","Équipement manquant",IF(ISNA(MATCH(C1668,eq_code,0)),"Équipement inconnu",IF(E1668="","Type manquant",IF(AND(E1668&lt;&gt;"Préventif",E1668&lt;&gt;"Correctif",E1668&lt;&gt;"Amélioratif"),"Type inconnu",IF(I1668="","Statut manquant",IF(AND(I1668&lt;&gt;"Terminée",I1668&lt;&gt;"En cours",I1668&lt;&gt;"À faire",I1668&lt;&gt;"Annulée"),"Statut inconnu",IF(AND(E1668="Préventif",F1668=""),"Plan manquant (préventif)",IF(AND(F1668&lt;&gt;"",ISNA(MATCH(F1668,pl_num,0))),"Plan inconnu",IF(AND(F1668&lt;&gt;"",IFERROR(INDEX(pl_eq,MATCH(F1668,pl_num,0))&amp;"",C1668)&lt;&gt;C1668),"Plan d'un autre équipement",IF(AND(J1668&lt;&gt;"",OR(NOT(ISNUMBER(J1668)),N(J1668)&lt;0)),"Compteur invalide",IF(OR(AND(K1668&lt;&gt;"",OR(NOT(ISNUMBER(K1668)),N(K1668)&lt;0)),AND(L1668&lt;&gt;"",OR(NOT(ISNUMBER(L1668)),N(L1668)&lt;0))),"Durée invalide",IF(OR(AND(N1668&lt;&gt;"",OR(NOT(ISNUMBER(N1668)),N(N1668)&lt;0)),AND(P1668&lt;&gt;"",OR(NOT(ISNUMBER(P1668)),N(P1668)&lt;0))),"Coût invalide",IF(AND(M1668&lt;&gt;"",ISNA(MATCH(M1668,tech_name,0))),"Technicien inconnu",IF(AND(I1668="Terminée",S1668&gt;p_today),"Terminée à une date future",IF(AND(I1668="Terminée",V1668=0),"Durée d'intervention manquante",IF(AND(I1668="Terminée",E1668="Préventif",T1668=0,OR(IFERROR(INDEX(pl_trig,MATCH(F1668,pl_num,0))&amp;"","")="Compteur",IFERROR(INDEX(pl_trig,MATCH(F1668,pl_num,0))&amp;"","")="Au premier des deux")),"Compteur manquant (plan au compteur)","OK"))))))))))))))))))</f>
        <v/>
      </c>
      <c r="S1668" s="67">
        <f>IF(AND(ISNUMBER(B1668),N(B1668)&gt;0),INT(B1668),0)</f>
        <v>0.0</v>
      </c>
      <c r="T1668" s="67">
        <f>IF(AND(ISNUMBER(J1668),N(J1668)&gt;=0),N(J1668),0)</f>
        <v>0.0</v>
      </c>
      <c r="U1668" s="67">
        <f>IF(AND(ISNUMBER(K1668),N(K1668)&gt;0),N(K1668),0)</f>
        <v>0.0</v>
      </c>
      <c r="V1668" s="67">
        <f>IF(AND(ISNUMBER(L1668),N(L1668)&gt;0),N(L1668),0)</f>
        <v>0.0</v>
      </c>
      <c r="W1668" s="67">
        <f>IF(AND(I1668="Terminée",S1668&gt;0,C1668&lt;&gt;"",ISNUMBER(MATCH(C1668,eq_code,0))),1,0)</f>
        <v>0.0</v>
      </c>
      <c r="X1668" s="67">
        <f>IF(AND(W1668=1,E1668="Préventif"),1,0)</f>
        <v>0.0</v>
      </c>
      <c r="Y1668" s="67">
        <f>IF(AND(ISNUMBER(N1668),N(N1668)&gt;0),N(N1668),0)</f>
        <v>0.0</v>
      </c>
      <c r="Z1668" s="67">
        <f>IF(AND(ISNUMBER(P1668),N(P1668)&gt;0),N(P1668),0)</f>
        <v>0.0</v>
      </c>
    </row>
    <row r="1669">
      <c r="A1669" s="79" t="str">
        <f>IF(COUNTA(B1669:C1669,E1669:G1669,I1669)=0,"","BI-"&amp;RIGHT("0000"&amp;(ROW()-5),4))</f>
        <v/>
      </c>
      <c r="B1669" s="72" t="n"/>
      <c r="C1669" s="66" t="n"/>
      <c r="D1669" s="67" t="str">
        <f>IF(C1669="","",IFERROR(INDEX(eq_des,MATCH(C1669,eq_code,0))&amp;"","Équipement inconnu"))</f>
        <v/>
      </c>
      <c r="E1669" s="68" t="n"/>
      <c r="F1669" s="68" t="n"/>
      <c r="G1669" s="66" t="n"/>
      <c r="H1669" s="66" t="n"/>
      <c r="I1669" s="68" t="n"/>
      <c r="J1669" s="73" t="n"/>
      <c r="K1669" s="71" t="n"/>
      <c r="L1669" s="71" t="n"/>
      <c r="M1669" s="66" t="n"/>
      <c r="N1669" s="80" t="n"/>
      <c r="O1669" s="81" t="str">
        <f>IF(A1669="","",ROUND(V1669*IFERROR(N(INDEX(tech_rate,MATCH(M1669,tech_name,0))),0),2))</f>
        <v/>
      </c>
      <c r="P1669" s="80" t="n"/>
      <c r="Q1669" s="81" t="str">
        <f>IF(A1669="","",ROUND(Y1669+O1669+Z1669,2))</f>
        <v/>
      </c>
      <c r="R1669" s="79" t="str">
        <f>IF(A1669="","",IF(S1669=0,"Date manquante ou invalide",IF(C1669="","Équipement manquant",IF(ISNA(MATCH(C1669,eq_code,0)),"Équipement inconnu",IF(E1669="","Type manquant",IF(AND(E1669&lt;&gt;"Préventif",E1669&lt;&gt;"Correctif",E1669&lt;&gt;"Amélioratif"),"Type inconnu",IF(I1669="","Statut manquant",IF(AND(I1669&lt;&gt;"Terminée",I1669&lt;&gt;"En cours",I1669&lt;&gt;"À faire",I1669&lt;&gt;"Annulée"),"Statut inconnu",IF(AND(E1669="Préventif",F1669=""),"Plan manquant (préventif)",IF(AND(F1669&lt;&gt;"",ISNA(MATCH(F1669,pl_num,0))),"Plan inconnu",IF(AND(F1669&lt;&gt;"",IFERROR(INDEX(pl_eq,MATCH(F1669,pl_num,0))&amp;"",C1669)&lt;&gt;C1669),"Plan d'un autre équipement",IF(AND(J1669&lt;&gt;"",OR(NOT(ISNUMBER(J1669)),N(J1669)&lt;0)),"Compteur invalide",IF(OR(AND(K1669&lt;&gt;"",OR(NOT(ISNUMBER(K1669)),N(K1669)&lt;0)),AND(L1669&lt;&gt;"",OR(NOT(ISNUMBER(L1669)),N(L1669)&lt;0))),"Durée invalide",IF(OR(AND(N1669&lt;&gt;"",OR(NOT(ISNUMBER(N1669)),N(N1669)&lt;0)),AND(P1669&lt;&gt;"",OR(NOT(ISNUMBER(P1669)),N(P1669)&lt;0))),"Coût invalide",IF(AND(M1669&lt;&gt;"",ISNA(MATCH(M1669,tech_name,0))),"Technicien inconnu",IF(AND(I1669="Terminée",S1669&gt;p_today),"Terminée à une date future",IF(AND(I1669="Terminée",V1669=0),"Durée d'intervention manquante",IF(AND(I1669="Terminée",E1669="Préventif",T1669=0,OR(IFERROR(INDEX(pl_trig,MATCH(F1669,pl_num,0))&amp;"","")="Compteur",IFERROR(INDEX(pl_trig,MATCH(F1669,pl_num,0))&amp;"","")="Au premier des deux")),"Compteur manquant (plan au compteur)","OK"))))))))))))))))))</f>
        <v/>
      </c>
      <c r="S1669" s="67">
        <f>IF(AND(ISNUMBER(B1669),N(B1669)&gt;0),INT(B1669),0)</f>
        <v>0.0</v>
      </c>
      <c r="T1669" s="67">
        <f>IF(AND(ISNUMBER(J1669),N(J1669)&gt;=0),N(J1669),0)</f>
        <v>0.0</v>
      </c>
      <c r="U1669" s="67">
        <f>IF(AND(ISNUMBER(K1669),N(K1669)&gt;0),N(K1669),0)</f>
        <v>0.0</v>
      </c>
      <c r="V1669" s="67">
        <f>IF(AND(ISNUMBER(L1669),N(L1669)&gt;0),N(L1669),0)</f>
        <v>0.0</v>
      </c>
      <c r="W1669" s="67">
        <f>IF(AND(I1669="Terminée",S1669&gt;0,C1669&lt;&gt;"",ISNUMBER(MATCH(C1669,eq_code,0))),1,0)</f>
        <v>0.0</v>
      </c>
      <c r="X1669" s="67">
        <f>IF(AND(W1669=1,E1669="Préventif"),1,0)</f>
        <v>0.0</v>
      </c>
      <c r="Y1669" s="67">
        <f>IF(AND(ISNUMBER(N1669),N(N1669)&gt;0),N(N1669),0)</f>
        <v>0.0</v>
      </c>
      <c r="Z1669" s="67">
        <f>IF(AND(ISNUMBER(P1669),N(P1669)&gt;0),N(P1669),0)</f>
        <v>0.0</v>
      </c>
    </row>
    <row r="1670">
      <c r="A1670" s="79" t="str">
        <f>IF(COUNTA(B1670:C1670,E1670:G1670,I1670)=0,"","BI-"&amp;RIGHT("0000"&amp;(ROW()-5),4))</f>
        <v/>
      </c>
      <c r="B1670" s="72" t="n"/>
      <c r="C1670" s="66" t="n"/>
      <c r="D1670" s="67" t="str">
        <f>IF(C1670="","",IFERROR(INDEX(eq_des,MATCH(C1670,eq_code,0))&amp;"","Équipement inconnu"))</f>
        <v/>
      </c>
      <c r="E1670" s="68" t="n"/>
      <c r="F1670" s="68" t="n"/>
      <c r="G1670" s="66" t="n"/>
      <c r="H1670" s="66" t="n"/>
      <c r="I1670" s="68" t="n"/>
      <c r="J1670" s="73" t="n"/>
      <c r="K1670" s="71" t="n"/>
      <c r="L1670" s="71" t="n"/>
      <c r="M1670" s="66" t="n"/>
      <c r="N1670" s="80" t="n"/>
      <c r="O1670" s="81" t="str">
        <f>IF(A1670="","",ROUND(V1670*IFERROR(N(INDEX(tech_rate,MATCH(M1670,tech_name,0))),0),2))</f>
        <v/>
      </c>
      <c r="P1670" s="80" t="n"/>
      <c r="Q1670" s="81" t="str">
        <f>IF(A1670="","",ROUND(Y1670+O1670+Z1670,2))</f>
        <v/>
      </c>
      <c r="R1670" s="79" t="str">
        <f>IF(A1670="","",IF(S1670=0,"Date manquante ou invalide",IF(C1670="","Équipement manquant",IF(ISNA(MATCH(C1670,eq_code,0)),"Équipement inconnu",IF(E1670="","Type manquant",IF(AND(E1670&lt;&gt;"Préventif",E1670&lt;&gt;"Correctif",E1670&lt;&gt;"Amélioratif"),"Type inconnu",IF(I1670="","Statut manquant",IF(AND(I1670&lt;&gt;"Terminée",I1670&lt;&gt;"En cours",I1670&lt;&gt;"À faire",I1670&lt;&gt;"Annulée"),"Statut inconnu",IF(AND(E1670="Préventif",F1670=""),"Plan manquant (préventif)",IF(AND(F1670&lt;&gt;"",ISNA(MATCH(F1670,pl_num,0))),"Plan inconnu",IF(AND(F1670&lt;&gt;"",IFERROR(INDEX(pl_eq,MATCH(F1670,pl_num,0))&amp;"",C1670)&lt;&gt;C1670),"Plan d'un autre équipement",IF(AND(J1670&lt;&gt;"",OR(NOT(ISNUMBER(J1670)),N(J1670)&lt;0)),"Compteur invalide",IF(OR(AND(K1670&lt;&gt;"",OR(NOT(ISNUMBER(K1670)),N(K1670)&lt;0)),AND(L1670&lt;&gt;"",OR(NOT(ISNUMBER(L1670)),N(L1670)&lt;0))),"Durée invalide",IF(OR(AND(N1670&lt;&gt;"",OR(NOT(ISNUMBER(N1670)),N(N1670)&lt;0)),AND(P1670&lt;&gt;"",OR(NOT(ISNUMBER(P1670)),N(P1670)&lt;0))),"Coût invalide",IF(AND(M1670&lt;&gt;"",ISNA(MATCH(M1670,tech_name,0))),"Technicien inconnu",IF(AND(I1670="Terminée",S1670&gt;p_today),"Terminée à une date future",IF(AND(I1670="Terminée",V1670=0),"Durée d'intervention manquante",IF(AND(I1670="Terminée",E1670="Préventif",T1670=0,OR(IFERROR(INDEX(pl_trig,MATCH(F1670,pl_num,0))&amp;"","")="Compteur",IFERROR(INDEX(pl_trig,MATCH(F1670,pl_num,0))&amp;"","")="Au premier des deux")),"Compteur manquant (plan au compteur)","OK"))))))))))))))))))</f>
        <v/>
      </c>
      <c r="S1670" s="67">
        <f>IF(AND(ISNUMBER(B1670),N(B1670)&gt;0),INT(B1670),0)</f>
        <v>0.0</v>
      </c>
      <c r="T1670" s="67">
        <f>IF(AND(ISNUMBER(J1670),N(J1670)&gt;=0),N(J1670),0)</f>
        <v>0.0</v>
      </c>
      <c r="U1670" s="67">
        <f>IF(AND(ISNUMBER(K1670),N(K1670)&gt;0),N(K1670),0)</f>
        <v>0.0</v>
      </c>
      <c r="V1670" s="67">
        <f>IF(AND(ISNUMBER(L1670),N(L1670)&gt;0),N(L1670),0)</f>
        <v>0.0</v>
      </c>
      <c r="W1670" s="67">
        <f>IF(AND(I1670="Terminée",S1670&gt;0,C1670&lt;&gt;"",ISNUMBER(MATCH(C1670,eq_code,0))),1,0)</f>
        <v>0.0</v>
      </c>
      <c r="X1670" s="67">
        <f>IF(AND(W1670=1,E1670="Préventif"),1,0)</f>
        <v>0.0</v>
      </c>
      <c r="Y1670" s="67">
        <f>IF(AND(ISNUMBER(N1670),N(N1670)&gt;0),N(N1670),0)</f>
        <v>0.0</v>
      </c>
      <c r="Z1670" s="67">
        <f>IF(AND(ISNUMBER(P1670),N(P1670)&gt;0),N(P1670),0)</f>
        <v>0.0</v>
      </c>
    </row>
    <row r="1671">
      <c r="A1671" s="79" t="str">
        <f>IF(COUNTA(B1671:C1671,E1671:G1671,I1671)=0,"","BI-"&amp;RIGHT("0000"&amp;(ROW()-5),4))</f>
        <v/>
      </c>
      <c r="B1671" s="72" t="n"/>
      <c r="C1671" s="66" t="n"/>
      <c r="D1671" s="67" t="str">
        <f>IF(C1671="","",IFERROR(INDEX(eq_des,MATCH(C1671,eq_code,0))&amp;"","Équipement inconnu"))</f>
        <v/>
      </c>
      <c r="E1671" s="68" t="n"/>
      <c r="F1671" s="68" t="n"/>
      <c r="G1671" s="66" t="n"/>
      <c r="H1671" s="66" t="n"/>
      <c r="I1671" s="68" t="n"/>
      <c r="J1671" s="73" t="n"/>
      <c r="K1671" s="71" t="n"/>
      <c r="L1671" s="71" t="n"/>
      <c r="M1671" s="66" t="n"/>
      <c r="N1671" s="80" t="n"/>
      <c r="O1671" s="81" t="str">
        <f>IF(A1671="","",ROUND(V1671*IFERROR(N(INDEX(tech_rate,MATCH(M1671,tech_name,0))),0),2))</f>
        <v/>
      </c>
      <c r="P1671" s="80" t="n"/>
      <c r="Q1671" s="81" t="str">
        <f>IF(A1671="","",ROUND(Y1671+O1671+Z1671,2))</f>
        <v/>
      </c>
      <c r="R1671" s="79" t="str">
        <f>IF(A1671="","",IF(S1671=0,"Date manquante ou invalide",IF(C1671="","Équipement manquant",IF(ISNA(MATCH(C1671,eq_code,0)),"Équipement inconnu",IF(E1671="","Type manquant",IF(AND(E1671&lt;&gt;"Préventif",E1671&lt;&gt;"Correctif",E1671&lt;&gt;"Amélioratif"),"Type inconnu",IF(I1671="","Statut manquant",IF(AND(I1671&lt;&gt;"Terminée",I1671&lt;&gt;"En cours",I1671&lt;&gt;"À faire",I1671&lt;&gt;"Annulée"),"Statut inconnu",IF(AND(E1671="Préventif",F1671=""),"Plan manquant (préventif)",IF(AND(F1671&lt;&gt;"",ISNA(MATCH(F1671,pl_num,0))),"Plan inconnu",IF(AND(F1671&lt;&gt;"",IFERROR(INDEX(pl_eq,MATCH(F1671,pl_num,0))&amp;"",C1671)&lt;&gt;C1671),"Plan d'un autre équipement",IF(AND(J1671&lt;&gt;"",OR(NOT(ISNUMBER(J1671)),N(J1671)&lt;0)),"Compteur invalide",IF(OR(AND(K1671&lt;&gt;"",OR(NOT(ISNUMBER(K1671)),N(K1671)&lt;0)),AND(L1671&lt;&gt;"",OR(NOT(ISNUMBER(L1671)),N(L1671)&lt;0))),"Durée invalide",IF(OR(AND(N1671&lt;&gt;"",OR(NOT(ISNUMBER(N1671)),N(N1671)&lt;0)),AND(P1671&lt;&gt;"",OR(NOT(ISNUMBER(P1671)),N(P1671)&lt;0))),"Coût invalide",IF(AND(M1671&lt;&gt;"",ISNA(MATCH(M1671,tech_name,0))),"Technicien inconnu",IF(AND(I1671="Terminée",S1671&gt;p_today),"Terminée à une date future",IF(AND(I1671="Terminée",V1671=0),"Durée d'intervention manquante",IF(AND(I1671="Terminée",E1671="Préventif",T1671=0,OR(IFERROR(INDEX(pl_trig,MATCH(F1671,pl_num,0))&amp;"","")="Compteur",IFERROR(INDEX(pl_trig,MATCH(F1671,pl_num,0))&amp;"","")="Au premier des deux")),"Compteur manquant (plan au compteur)","OK"))))))))))))))))))</f>
        <v/>
      </c>
      <c r="S1671" s="67">
        <f>IF(AND(ISNUMBER(B1671),N(B1671)&gt;0),INT(B1671),0)</f>
        <v>0.0</v>
      </c>
      <c r="T1671" s="67">
        <f>IF(AND(ISNUMBER(J1671),N(J1671)&gt;=0),N(J1671),0)</f>
        <v>0.0</v>
      </c>
      <c r="U1671" s="67">
        <f>IF(AND(ISNUMBER(K1671),N(K1671)&gt;0),N(K1671),0)</f>
        <v>0.0</v>
      </c>
      <c r="V1671" s="67">
        <f>IF(AND(ISNUMBER(L1671),N(L1671)&gt;0),N(L1671),0)</f>
        <v>0.0</v>
      </c>
      <c r="W1671" s="67">
        <f>IF(AND(I1671="Terminée",S1671&gt;0,C1671&lt;&gt;"",ISNUMBER(MATCH(C1671,eq_code,0))),1,0)</f>
        <v>0.0</v>
      </c>
      <c r="X1671" s="67">
        <f>IF(AND(W1671=1,E1671="Préventif"),1,0)</f>
        <v>0.0</v>
      </c>
      <c r="Y1671" s="67">
        <f>IF(AND(ISNUMBER(N1671),N(N1671)&gt;0),N(N1671),0)</f>
        <v>0.0</v>
      </c>
      <c r="Z1671" s="67">
        <f>IF(AND(ISNUMBER(P1671),N(P1671)&gt;0),N(P1671),0)</f>
        <v>0.0</v>
      </c>
    </row>
    <row r="1672">
      <c r="A1672" s="79" t="str">
        <f>IF(COUNTA(B1672:C1672,E1672:G1672,I1672)=0,"","BI-"&amp;RIGHT("0000"&amp;(ROW()-5),4))</f>
        <v/>
      </c>
      <c r="B1672" s="72" t="n"/>
      <c r="C1672" s="66" t="n"/>
      <c r="D1672" s="67" t="str">
        <f>IF(C1672="","",IFERROR(INDEX(eq_des,MATCH(C1672,eq_code,0))&amp;"","Équipement inconnu"))</f>
        <v/>
      </c>
      <c r="E1672" s="68" t="n"/>
      <c r="F1672" s="68" t="n"/>
      <c r="G1672" s="66" t="n"/>
      <c r="H1672" s="66" t="n"/>
      <c r="I1672" s="68" t="n"/>
      <c r="J1672" s="73" t="n"/>
      <c r="K1672" s="71" t="n"/>
      <c r="L1672" s="71" t="n"/>
      <c r="M1672" s="66" t="n"/>
      <c r="N1672" s="80" t="n"/>
      <c r="O1672" s="81" t="str">
        <f>IF(A1672="","",ROUND(V1672*IFERROR(N(INDEX(tech_rate,MATCH(M1672,tech_name,0))),0),2))</f>
        <v/>
      </c>
      <c r="P1672" s="80" t="n"/>
      <c r="Q1672" s="81" t="str">
        <f>IF(A1672="","",ROUND(Y1672+O1672+Z1672,2))</f>
        <v/>
      </c>
      <c r="R1672" s="79" t="str">
        <f>IF(A1672="","",IF(S1672=0,"Date manquante ou invalide",IF(C1672="","Équipement manquant",IF(ISNA(MATCH(C1672,eq_code,0)),"Équipement inconnu",IF(E1672="","Type manquant",IF(AND(E1672&lt;&gt;"Préventif",E1672&lt;&gt;"Correctif",E1672&lt;&gt;"Amélioratif"),"Type inconnu",IF(I1672="","Statut manquant",IF(AND(I1672&lt;&gt;"Terminée",I1672&lt;&gt;"En cours",I1672&lt;&gt;"À faire",I1672&lt;&gt;"Annulée"),"Statut inconnu",IF(AND(E1672="Préventif",F1672=""),"Plan manquant (préventif)",IF(AND(F1672&lt;&gt;"",ISNA(MATCH(F1672,pl_num,0))),"Plan inconnu",IF(AND(F1672&lt;&gt;"",IFERROR(INDEX(pl_eq,MATCH(F1672,pl_num,0))&amp;"",C1672)&lt;&gt;C1672),"Plan d'un autre équipement",IF(AND(J1672&lt;&gt;"",OR(NOT(ISNUMBER(J1672)),N(J1672)&lt;0)),"Compteur invalide",IF(OR(AND(K1672&lt;&gt;"",OR(NOT(ISNUMBER(K1672)),N(K1672)&lt;0)),AND(L1672&lt;&gt;"",OR(NOT(ISNUMBER(L1672)),N(L1672)&lt;0))),"Durée invalide",IF(OR(AND(N1672&lt;&gt;"",OR(NOT(ISNUMBER(N1672)),N(N1672)&lt;0)),AND(P1672&lt;&gt;"",OR(NOT(ISNUMBER(P1672)),N(P1672)&lt;0))),"Coût invalide",IF(AND(M1672&lt;&gt;"",ISNA(MATCH(M1672,tech_name,0))),"Technicien inconnu",IF(AND(I1672="Terminée",S1672&gt;p_today),"Terminée à une date future",IF(AND(I1672="Terminée",V1672=0),"Durée d'intervention manquante",IF(AND(I1672="Terminée",E1672="Préventif",T1672=0,OR(IFERROR(INDEX(pl_trig,MATCH(F1672,pl_num,0))&amp;"","")="Compteur",IFERROR(INDEX(pl_trig,MATCH(F1672,pl_num,0))&amp;"","")="Au premier des deux")),"Compteur manquant (plan au compteur)","OK"))))))))))))))))))</f>
        <v/>
      </c>
      <c r="S1672" s="67">
        <f>IF(AND(ISNUMBER(B1672),N(B1672)&gt;0),INT(B1672),0)</f>
        <v>0.0</v>
      </c>
      <c r="T1672" s="67">
        <f>IF(AND(ISNUMBER(J1672),N(J1672)&gt;=0),N(J1672),0)</f>
        <v>0.0</v>
      </c>
      <c r="U1672" s="67">
        <f>IF(AND(ISNUMBER(K1672),N(K1672)&gt;0),N(K1672),0)</f>
        <v>0.0</v>
      </c>
      <c r="V1672" s="67">
        <f>IF(AND(ISNUMBER(L1672),N(L1672)&gt;0),N(L1672),0)</f>
        <v>0.0</v>
      </c>
      <c r="W1672" s="67">
        <f>IF(AND(I1672="Terminée",S1672&gt;0,C1672&lt;&gt;"",ISNUMBER(MATCH(C1672,eq_code,0))),1,0)</f>
        <v>0.0</v>
      </c>
      <c r="X1672" s="67">
        <f>IF(AND(W1672=1,E1672="Préventif"),1,0)</f>
        <v>0.0</v>
      </c>
      <c r="Y1672" s="67">
        <f>IF(AND(ISNUMBER(N1672),N(N1672)&gt;0),N(N1672),0)</f>
        <v>0.0</v>
      </c>
      <c r="Z1672" s="67">
        <f>IF(AND(ISNUMBER(P1672),N(P1672)&gt;0),N(P1672),0)</f>
        <v>0.0</v>
      </c>
    </row>
    <row r="1673">
      <c r="A1673" s="79" t="str">
        <f>IF(COUNTA(B1673:C1673,E1673:G1673,I1673)=0,"","BI-"&amp;RIGHT("0000"&amp;(ROW()-5),4))</f>
        <v/>
      </c>
      <c r="B1673" s="72" t="n"/>
      <c r="C1673" s="66" t="n"/>
      <c r="D1673" s="67" t="str">
        <f>IF(C1673="","",IFERROR(INDEX(eq_des,MATCH(C1673,eq_code,0))&amp;"","Équipement inconnu"))</f>
        <v/>
      </c>
      <c r="E1673" s="68" t="n"/>
      <c r="F1673" s="68" t="n"/>
      <c r="G1673" s="66" t="n"/>
      <c r="H1673" s="66" t="n"/>
      <c r="I1673" s="68" t="n"/>
      <c r="J1673" s="73" t="n"/>
      <c r="K1673" s="71" t="n"/>
      <c r="L1673" s="71" t="n"/>
      <c r="M1673" s="66" t="n"/>
      <c r="N1673" s="80" t="n"/>
      <c r="O1673" s="81" t="str">
        <f>IF(A1673="","",ROUND(V1673*IFERROR(N(INDEX(tech_rate,MATCH(M1673,tech_name,0))),0),2))</f>
        <v/>
      </c>
      <c r="P1673" s="80" t="n"/>
      <c r="Q1673" s="81" t="str">
        <f>IF(A1673="","",ROUND(Y1673+O1673+Z1673,2))</f>
        <v/>
      </c>
      <c r="R1673" s="79" t="str">
        <f>IF(A1673="","",IF(S1673=0,"Date manquante ou invalide",IF(C1673="","Équipement manquant",IF(ISNA(MATCH(C1673,eq_code,0)),"Équipement inconnu",IF(E1673="","Type manquant",IF(AND(E1673&lt;&gt;"Préventif",E1673&lt;&gt;"Correctif",E1673&lt;&gt;"Amélioratif"),"Type inconnu",IF(I1673="","Statut manquant",IF(AND(I1673&lt;&gt;"Terminée",I1673&lt;&gt;"En cours",I1673&lt;&gt;"À faire",I1673&lt;&gt;"Annulée"),"Statut inconnu",IF(AND(E1673="Préventif",F1673=""),"Plan manquant (préventif)",IF(AND(F1673&lt;&gt;"",ISNA(MATCH(F1673,pl_num,0))),"Plan inconnu",IF(AND(F1673&lt;&gt;"",IFERROR(INDEX(pl_eq,MATCH(F1673,pl_num,0))&amp;"",C1673)&lt;&gt;C1673),"Plan d'un autre équipement",IF(AND(J1673&lt;&gt;"",OR(NOT(ISNUMBER(J1673)),N(J1673)&lt;0)),"Compteur invalide",IF(OR(AND(K1673&lt;&gt;"",OR(NOT(ISNUMBER(K1673)),N(K1673)&lt;0)),AND(L1673&lt;&gt;"",OR(NOT(ISNUMBER(L1673)),N(L1673)&lt;0))),"Durée invalide",IF(OR(AND(N1673&lt;&gt;"",OR(NOT(ISNUMBER(N1673)),N(N1673)&lt;0)),AND(P1673&lt;&gt;"",OR(NOT(ISNUMBER(P1673)),N(P1673)&lt;0))),"Coût invalide",IF(AND(M1673&lt;&gt;"",ISNA(MATCH(M1673,tech_name,0))),"Technicien inconnu",IF(AND(I1673="Terminée",S1673&gt;p_today),"Terminée à une date future",IF(AND(I1673="Terminée",V1673=0),"Durée d'intervention manquante",IF(AND(I1673="Terminée",E1673="Préventif",T1673=0,OR(IFERROR(INDEX(pl_trig,MATCH(F1673,pl_num,0))&amp;"","")="Compteur",IFERROR(INDEX(pl_trig,MATCH(F1673,pl_num,0))&amp;"","")="Au premier des deux")),"Compteur manquant (plan au compteur)","OK"))))))))))))))))))</f>
        <v/>
      </c>
      <c r="S1673" s="67">
        <f>IF(AND(ISNUMBER(B1673),N(B1673)&gt;0),INT(B1673),0)</f>
        <v>0.0</v>
      </c>
      <c r="T1673" s="67">
        <f>IF(AND(ISNUMBER(J1673),N(J1673)&gt;=0),N(J1673),0)</f>
        <v>0.0</v>
      </c>
      <c r="U1673" s="67">
        <f>IF(AND(ISNUMBER(K1673),N(K1673)&gt;0),N(K1673),0)</f>
        <v>0.0</v>
      </c>
      <c r="V1673" s="67">
        <f>IF(AND(ISNUMBER(L1673),N(L1673)&gt;0),N(L1673),0)</f>
        <v>0.0</v>
      </c>
      <c r="W1673" s="67">
        <f>IF(AND(I1673="Terminée",S1673&gt;0,C1673&lt;&gt;"",ISNUMBER(MATCH(C1673,eq_code,0))),1,0)</f>
        <v>0.0</v>
      </c>
      <c r="X1673" s="67">
        <f>IF(AND(W1673=1,E1673="Préventif"),1,0)</f>
        <v>0.0</v>
      </c>
      <c r="Y1673" s="67">
        <f>IF(AND(ISNUMBER(N1673),N(N1673)&gt;0),N(N1673),0)</f>
        <v>0.0</v>
      </c>
      <c r="Z1673" s="67">
        <f>IF(AND(ISNUMBER(P1673),N(P1673)&gt;0),N(P1673),0)</f>
        <v>0.0</v>
      </c>
    </row>
    <row r="1674">
      <c r="A1674" s="79" t="str">
        <f>IF(COUNTA(B1674:C1674,E1674:G1674,I1674)=0,"","BI-"&amp;RIGHT("0000"&amp;(ROW()-5),4))</f>
        <v/>
      </c>
      <c r="B1674" s="72" t="n"/>
      <c r="C1674" s="66" t="n"/>
      <c r="D1674" s="67" t="str">
        <f>IF(C1674="","",IFERROR(INDEX(eq_des,MATCH(C1674,eq_code,0))&amp;"","Équipement inconnu"))</f>
        <v/>
      </c>
      <c r="E1674" s="68" t="n"/>
      <c r="F1674" s="68" t="n"/>
      <c r="G1674" s="66" t="n"/>
      <c r="H1674" s="66" t="n"/>
      <c r="I1674" s="68" t="n"/>
      <c r="J1674" s="73" t="n"/>
      <c r="K1674" s="71" t="n"/>
      <c r="L1674" s="71" t="n"/>
      <c r="M1674" s="66" t="n"/>
      <c r="N1674" s="80" t="n"/>
      <c r="O1674" s="81" t="str">
        <f>IF(A1674="","",ROUND(V1674*IFERROR(N(INDEX(tech_rate,MATCH(M1674,tech_name,0))),0),2))</f>
        <v/>
      </c>
      <c r="P1674" s="80" t="n"/>
      <c r="Q1674" s="81" t="str">
        <f>IF(A1674="","",ROUND(Y1674+O1674+Z1674,2))</f>
        <v/>
      </c>
      <c r="R1674" s="79" t="str">
        <f>IF(A1674="","",IF(S1674=0,"Date manquante ou invalide",IF(C1674="","Équipement manquant",IF(ISNA(MATCH(C1674,eq_code,0)),"Équipement inconnu",IF(E1674="","Type manquant",IF(AND(E1674&lt;&gt;"Préventif",E1674&lt;&gt;"Correctif",E1674&lt;&gt;"Amélioratif"),"Type inconnu",IF(I1674="","Statut manquant",IF(AND(I1674&lt;&gt;"Terminée",I1674&lt;&gt;"En cours",I1674&lt;&gt;"À faire",I1674&lt;&gt;"Annulée"),"Statut inconnu",IF(AND(E1674="Préventif",F1674=""),"Plan manquant (préventif)",IF(AND(F1674&lt;&gt;"",ISNA(MATCH(F1674,pl_num,0))),"Plan inconnu",IF(AND(F1674&lt;&gt;"",IFERROR(INDEX(pl_eq,MATCH(F1674,pl_num,0))&amp;"",C1674)&lt;&gt;C1674),"Plan d'un autre équipement",IF(AND(J1674&lt;&gt;"",OR(NOT(ISNUMBER(J1674)),N(J1674)&lt;0)),"Compteur invalide",IF(OR(AND(K1674&lt;&gt;"",OR(NOT(ISNUMBER(K1674)),N(K1674)&lt;0)),AND(L1674&lt;&gt;"",OR(NOT(ISNUMBER(L1674)),N(L1674)&lt;0))),"Durée invalide",IF(OR(AND(N1674&lt;&gt;"",OR(NOT(ISNUMBER(N1674)),N(N1674)&lt;0)),AND(P1674&lt;&gt;"",OR(NOT(ISNUMBER(P1674)),N(P1674)&lt;0))),"Coût invalide",IF(AND(M1674&lt;&gt;"",ISNA(MATCH(M1674,tech_name,0))),"Technicien inconnu",IF(AND(I1674="Terminée",S1674&gt;p_today),"Terminée à une date future",IF(AND(I1674="Terminée",V1674=0),"Durée d'intervention manquante",IF(AND(I1674="Terminée",E1674="Préventif",T1674=0,OR(IFERROR(INDEX(pl_trig,MATCH(F1674,pl_num,0))&amp;"","")="Compteur",IFERROR(INDEX(pl_trig,MATCH(F1674,pl_num,0))&amp;"","")="Au premier des deux")),"Compteur manquant (plan au compteur)","OK"))))))))))))))))))</f>
        <v/>
      </c>
      <c r="S1674" s="67">
        <f>IF(AND(ISNUMBER(B1674),N(B1674)&gt;0),INT(B1674),0)</f>
        <v>0.0</v>
      </c>
      <c r="T1674" s="67">
        <f>IF(AND(ISNUMBER(J1674),N(J1674)&gt;=0),N(J1674),0)</f>
        <v>0.0</v>
      </c>
      <c r="U1674" s="67">
        <f>IF(AND(ISNUMBER(K1674),N(K1674)&gt;0),N(K1674),0)</f>
        <v>0.0</v>
      </c>
      <c r="V1674" s="67">
        <f>IF(AND(ISNUMBER(L1674),N(L1674)&gt;0),N(L1674),0)</f>
        <v>0.0</v>
      </c>
      <c r="W1674" s="67">
        <f>IF(AND(I1674="Terminée",S1674&gt;0,C1674&lt;&gt;"",ISNUMBER(MATCH(C1674,eq_code,0))),1,0)</f>
        <v>0.0</v>
      </c>
      <c r="X1674" s="67">
        <f>IF(AND(W1674=1,E1674="Préventif"),1,0)</f>
        <v>0.0</v>
      </c>
      <c r="Y1674" s="67">
        <f>IF(AND(ISNUMBER(N1674),N(N1674)&gt;0),N(N1674),0)</f>
        <v>0.0</v>
      </c>
      <c r="Z1674" s="67">
        <f>IF(AND(ISNUMBER(P1674),N(P1674)&gt;0),N(P1674),0)</f>
        <v>0.0</v>
      </c>
    </row>
    <row r="1675">
      <c r="A1675" s="79" t="str">
        <f>IF(COUNTA(B1675:C1675,E1675:G1675,I1675)=0,"","BI-"&amp;RIGHT("0000"&amp;(ROW()-5),4))</f>
        <v/>
      </c>
      <c r="B1675" s="72" t="n"/>
      <c r="C1675" s="66" t="n"/>
      <c r="D1675" s="67" t="str">
        <f>IF(C1675="","",IFERROR(INDEX(eq_des,MATCH(C1675,eq_code,0))&amp;"","Équipement inconnu"))</f>
        <v/>
      </c>
      <c r="E1675" s="68" t="n"/>
      <c r="F1675" s="68" t="n"/>
      <c r="G1675" s="66" t="n"/>
      <c r="H1675" s="66" t="n"/>
      <c r="I1675" s="68" t="n"/>
      <c r="J1675" s="73" t="n"/>
      <c r="K1675" s="71" t="n"/>
      <c r="L1675" s="71" t="n"/>
      <c r="M1675" s="66" t="n"/>
      <c r="N1675" s="80" t="n"/>
      <c r="O1675" s="81" t="str">
        <f>IF(A1675="","",ROUND(V1675*IFERROR(N(INDEX(tech_rate,MATCH(M1675,tech_name,0))),0),2))</f>
        <v/>
      </c>
      <c r="P1675" s="80" t="n"/>
      <c r="Q1675" s="81" t="str">
        <f>IF(A1675="","",ROUND(Y1675+O1675+Z1675,2))</f>
        <v/>
      </c>
      <c r="R1675" s="79" t="str">
        <f>IF(A1675="","",IF(S1675=0,"Date manquante ou invalide",IF(C1675="","Équipement manquant",IF(ISNA(MATCH(C1675,eq_code,0)),"Équipement inconnu",IF(E1675="","Type manquant",IF(AND(E1675&lt;&gt;"Préventif",E1675&lt;&gt;"Correctif",E1675&lt;&gt;"Amélioratif"),"Type inconnu",IF(I1675="","Statut manquant",IF(AND(I1675&lt;&gt;"Terminée",I1675&lt;&gt;"En cours",I1675&lt;&gt;"À faire",I1675&lt;&gt;"Annulée"),"Statut inconnu",IF(AND(E1675="Préventif",F1675=""),"Plan manquant (préventif)",IF(AND(F1675&lt;&gt;"",ISNA(MATCH(F1675,pl_num,0))),"Plan inconnu",IF(AND(F1675&lt;&gt;"",IFERROR(INDEX(pl_eq,MATCH(F1675,pl_num,0))&amp;"",C1675)&lt;&gt;C1675),"Plan d'un autre équipement",IF(AND(J1675&lt;&gt;"",OR(NOT(ISNUMBER(J1675)),N(J1675)&lt;0)),"Compteur invalide",IF(OR(AND(K1675&lt;&gt;"",OR(NOT(ISNUMBER(K1675)),N(K1675)&lt;0)),AND(L1675&lt;&gt;"",OR(NOT(ISNUMBER(L1675)),N(L1675)&lt;0))),"Durée invalide",IF(OR(AND(N1675&lt;&gt;"",OR(NOT(ISNUMBER(N1675)),N(N1675)&lt;0)),AND(P1675&lt;&gt;"",OR(NOT(ISNUMBER(P1675)),N(P1675)&lt;0))),"Coût invalide",IF(AND(M1675&lt;&gt;"",ISNA(MATCH(M1675,tech_name,0))),"Technicien inconnu",IF(AND(I1675="Terminée",S1675&gt;p_today),"Terminée à une date future",IF(AND(I1675="Terminée",V1675=0),"Durée d'intervention manquante",IF(AND(I1675="Terminée",E1675="Préventif",T1675=0,OR(IFERROR(INDEX(pl_trig,MATCH(F1675,pl_num,0))&amp;"","")="Compteur",IFERROR(INDEX(pl_trig,MATCH(F1675,pl_num,0))&amp;"","")="Au premier des deux")),"Compteur manquant (plan au compteur)","OK"))))))))))))))))))</f>
        <v/>
      </c>
      <c r="S1675" s="67">
        <f>IF(AND(ISNUMBER(B1675),N(B1675)&gt;0),INT(B1675),0)</f>
        <v>0.0</v>
      </c>
      <c r="T1675" s="67">
        <f>IF(AND(ISNUMBER(J1675),N(J1675)&gt;=0),N(J1675),0)</f>
        <v>0.0</v>
      </c>
      <c r="U1675" s="67">
        <f>IF(AND(ISNUMBER(K1675),N(K1675)&gt;0),N(K1675),0)</f>
        <v>0.0</v>
      </c>
      <c r="V1675" s="67">
        <f>IF(AND(ISNUMBER(L1675),N(L1675)&gt;0),N(L1675),0)</f>
        <v>0.0</v>
      </c>
      <c r="W1675" s="67">
        <f>IF(AND(I1675="Terminée",S1675&gt;0,C1675&lt;&gt;"",ISNUMBER(MATCH(C1675,eq_code,0))),1,0)</f>
        <v>0.0</v>
      </c>
      <c r="X1675" s="67">
        <f>IF(AND(W1675=1,E1675="Préventif"),1,0)</f>
        <v>0.0</v>
      </c>
      <c r="Y1675" s="67">
        <f>IF(AND(ISNUMBER(N1675),N(N1675)&gt;0),N(N1675),0)</f>
        <v>0.0</v>
      </c>
      <c r="Z1675" s="67">
        <f>IF(AND(ISNUMBER(P1675),N(P1675)&gt;0),N(P1675),0)</f>
        <v>0.0</v>
      </c>
    </row>
    <row r="1676">
      <c r="A1676" s="79" t="str">
        <f>IF(COUNTA(B1676:C1676,E1676:G1676,I1676)=0,"","BI-"&amp;RIGHT("0000"&amp;(ROW()-5),4))</f>
        <v/>
      </c>
      <c r="B1676" s="72" t="n"/>
      <c r="C1676" s="66" t="n"/>
      <c r="D1676" s="67" t="str">
        <f>IF(C1676="","",IFERROR(INDEX(eq_des,MATCH(C1676,eq_code,0))&amp;"","Équipement inconnu"))</f>
        <v/>
      </c>
      <c r="E1676" s="68" t="n"/>
      <c r="F1676" s="68" t="n"/>
      <c r="G1676" s="66" t="n"/>
      <c r="H1676" s="66" t="n"/>
      <c r="I1676" s="68" t="n"/>
      <c r="J1676" s="73" t="n"/>
      <c r="K1676" s="71" t="n"/>
      <c r="L1676" s="71" t="n"/>
      <c r="M1676" s="66" t="n"/>
      <c r="N1676" s="80" t="n"/>
      <c r="O1676" s="81" t="str">
        <f>IF(A1676="","",ROUND(V1676*IFERROR(N(INDEX(tech_rate,MATCH(M1676,tech_name,0))),0),2))</f>
        <v/>
      </c>
      <c r="P1676" s="80" t="n"/>
      <c r="Q1676" s="81" t="str">
        <f>IF(A1676="","",ROUND(Y1676+O1676+Z1676,2))</f>
        <v/>
      </c>
      <c r="R1676" s="79" t="str">
        <f>IF(A1676="","",IF(S1676=0,"Date manquante ou invalide",IF(C1676="","Équipement manquant",IF(ISNA(MATCH(C1676,eq_code,0)),"Équipement inconnu",IF(E1676="","Type manquant",IF(AND(E1676&lt;&gt;"Préventif",E1676&lt;&gt;"Correctif",E1676&lt;&gt;"Amélioratif"),"Type inconnu",IF(I1676="","Statut manquant",IF(AND(I1676&lt;&gt;"Terminée",I1676&lt;&gt;"En cours",I1676&lt;&gt;"À faire",I1676&lt;&gt;"Annulée"),"Statut inconnu",IF(AND(E1676="Préventif",F1676=""),"Plan manquant (préventif)",IF(AND(F1676&lt;&gt;"",ISNA(MATCH(F1676,pl_num,0))),"Plan inconnu",IF(AND(F1676&lt;&gt;"",IFERROR(INDEX(pl_eq,MATCH(F1676,pl_num,0))&amp;"",C1676)&lt;&gt;C1676),"Plan d'un autre équipement",IF(AND(J1676&lt;&gt;"",OR(NOT(ISNUMBER(J1676)),N(J1676)&lt;0)),"Compteur invalide",IF(OR(AND(K1676&lt;&gt;"",OR(NOT(ISNUMBER(K1676)),N(K1676)&lt;0)),AND(L1676&lt;&gt;"",OR(NOT(ISNUMBER(L1676)),N(L1676)&lt;0))),"Durée invalide",IF(OR(AND(N1676&lt;&gt;"",OR(NOT(ISNUMBER(N1676)),N(N1676)&lt;0)),AND(P1676&lt;&gt;"",OR(NOT(ISNUMBER(P1676)),N(P1676)&lt;0))),"Coût invalide",IF(AND(M1676&lt;&gt;"",ISNA(MATCH(M1676,tech_name,0))),"Technicien inconnu",IF(AND(I1676="Terminée",S1676&gt;p_today),"Terminée à une date future",IF(AND(I1676="Terminée",V1676=0),"Durée d'intervention manquante",IF(AND(I1676="Terminée",E1676="Préventif",T1676=0,OR(IFERROR(INDEX(pl_trig,MATCH(F1676,pl_num,0))&amp;"","")="Compteur",IFERROR(INDEX(pl_trig,MATCH(F1676,pl_num,0))&amp;"","")="Au premier des deux")),"Compteur manquant (plan au compteur)","OK"))))))))))))))))))</f>
        <v/>
      </c>
      <c r="S1676" s="67">
        <f>IF(AND(ISNUMBER(B1676),N(B1676)&gt;0),INT(B1676),0)</f>
        <v>0.0</v>
      </c>
      <c r="T1676" s="67">
        <f>IF(AND(ISNUMBER(J1676),N(J1676)&gt;=0),N(J1676),0)</f>
        <v>0.0</v>
      </c>
      <c r="U1676" s="67">
        <f>IF(AND(ISNUMBER(K1676),N(K1676)&gt;0),N(K1676),0)</f>
        <v>0.0</v>
      </c>
      <c r="V1676" s="67">
        <f>IF(AND(ISNUMBER(L1676),N(L1676)&gt;0),N(L1676),0)</f>
        <v>0.0</v>
      </c>
      <c r="W1676" s="67">
        <f>IF(AND(I1676="Terminée",S1676&gt;0,C1676&lt;&gt;"",ISNUMBER(MATCH(C1676,eq_code,0))),1,0)</f>
        <v>0.0</v>
      </c>
      <c r="X1676" s="67">
        <f>IF(AND(W1676=1,E1676="Préventif"),1,0)</f>
        <v>0.0</v>
      </c>
      <c r="Y1676" s="67">
        <f>IF(AND(ISNUMBER(N1676),N(N1676)&gt;0),N(N1676),0)</f>
        <v>0.0</v>
      </c>
      <c r="Z1676" s="67">
        <f>IF(AND(ISNUMBER(P1676),N(P1676)&gt;0),N(P1676),0)</f>
        <v>0.0</v>
      </c>
    </row>
    <row r="1677">
      <c r="A1677" s="79" t="str">
        <f>IF(COUNTA(B1677:C1677,E1677:G1677,I1677)=0,"","BI-"&amp;RIGHT("0000"&amp;(ROW()-5),4))</f>
        <v/>
      </c>
      <c r="B1677" s="72" t="n"/>
      <c r="C1677" s="66" t="n"/>
      <c r="D1677" s="67" t="str">
        <f>IF(C1677="","",IFERROR(INDEX(eq_des,MATCH(C1677,eq_code,0))&amp;"","Équipement inconnu"))</f>
        <v/>
      </c>
      <c r="E1677" s="68" t="n"/>
      <c r="F1677" s="68" t="n"/>
      <c r="G1677" s="66" t="n"/>
      <c r="H1677" s="66" t="n"/>
      <c r="I1677" s="68" t="n"/>
      <c r="J1677" s="73" t="n"/>
      <c r="K1677" s="71" t="n"/>
      <c r="L1677" s="71" t="n"/>
      <c r="M1677" s="66" t="n"/>
      <c r="N1677" s="80" t="n"/>
      <c r="O1677" s="81" t="str">
        <f>IF(A1677="","",ROUND(V1677*IFERROR(N(INDEX(tech_rate,MATCH(M1677,tech_name,0))),0),2))</f>
        <v/>
      </c>
      <c r="P1677" s="80" t="n"/>
      <c r="Q1677" s="81" t="str">
        <f>IF(A1677="","",ROUND(Y1677+O1677+Z1677,2))</f>
        <v/>
      </c>
      <c r="R1677" s="79" t="str">
        <f>IF(A1677="","",IF(S1677=0,"Date manquante ou invalide",IF(C1677="","Équipement manquant",IF(ISNA(MATCH(C1677,eq_code,0)),"Équipement inconnu",IF(E1677="","Type manquant",IF(AND(E1677&lt;&gt;"Préventif",E1677&lt;&gt;"Correctif",E1677&lt;&gt;"Amélioratif"),"Type inconnu",IF(I1677="","Statut manquant",IF(AND(I1677&lt;&gt;"Terminée",I1677&lt;&gt;"En cours",I1677&lt;&gt;"À faire",I1677&lt;&gt;"Annulée"),"Statut inconnu",IF(AND(E1677="Préventif",F1677=""),"Plan manquant (préventif)",IF(AND(F1677&lt;&gt;"",ISNA(MATCH(F1677,pl_num,0))),"Plan inconnu",IF(AND(F1677&lt;&gt;"",IFERROR(INDEX(pl_eq,MATCH(F1677,pl_num,0))&amp;"",C1677)&lt;&gt;C1677),"Plan d'un autre équipement",IF(AND(J1677&lt;&gt;"",OR(NOT(ISNUMBER(J1677)),N(J1677)&lt;0)),"Compteur invalide",IF(OR(AND(K1677&lt;&gt;"",OR(NOT(ISNUMBER(K1677)),N(K1677)&lt;0)),AND(L1677&lt;&gt;"",OR(NOT(ISNUMBER(L1677)),N(L1677)&lt;0))),"Durée invalide",IF(OR(AND(N1677&lt;&gt;"",OR(NOT(ISNUMBER(N1677)),N(N1677)&lt;0)),AND(P1677&lt;&gt;"",OR(NOT(ISNUMBER(P1677)),N(P1677)&lt;0))),"Coût invalide",IF(AND(M1677&lt;&gt;"",ISNA(MATCH(M1677,tech_name,0))),"Technicien inconnu",IF(AND(I1677="Terminée",S1677&gt;p_today),"Terminée à une date future",IF(AND(I1677="Terminée",V1677=0),"Durée d'intervention manquante",IF(AND(I1677="Terminée",E1677="Préventif",T1677=0,OR(IFERROR(INDEX(pl_trig,MATCH(F1677,pl_num,0))&amp;"","")="Compteur",IFERROR(INDEX(pl_trig,MATCH(F1677,pl_num,0))&amp;"","")="Au premier des deux")),"Compteur manquant (plan au compteur)","OK"))))))))))))))))))</f>
        <v/>
      </c>
      <c r="S1677" s="67">
        <f>IF(AND(ISNUMBER(B1677),N(B1677)&gt;0),INT(B1677),0)</f>
        <v>0.0</v>
      </c>
      <c r="T1677" s="67">
        <f>IF(AND(ISNUMBER(J1677),N(J1677)&gt;=0),N(J1677),0)</f>
        <v>0.0</v>
      </c>
      <c r="U1677" s="67">
        <f>IF(AND(ISNUMBER(K1677),N(K1677)&gt;0),N(K1677),0)</f>
        <v>0.0</v>
      </c>
      <c r="V1677" s="67">
        <f>IF(AND(ISNUMBER(L1677),N(L1677)&gt;0),N(L1677),0)</f>
        <v>0.0</v>
      </c>
      <c r="W1677" s="67">
        <f>IF(AND(I1677="Terminée",S1677&gt;0,C1677&lt;&gt;"",ISNUMBER(MATCH(C1677,eq_code,0))),1,0)</f>
        <v>0.0</v>
      </c>
      <c r="X1677" s="67">
        <f>IF(AND(W1677=1,E1677="Préventif"),1,0)</f>
        <v>0.0</v>
      </c>
      <c r="Y1677" s="67">
        <f>IF(AND(ISNUMBER(N1677),N(N1677)&gt;0),N(N1677),0)</f>
        <v>0.0</v>
      </c>
      <c r="Z1677" s="67">
        <f>IF(AND(ISNUMBER(P1677),N(P1677)&gt;0),N(P1677),0)</f>
        <v>0.0</v>
      </c>
    </row>
    <row r="1678">
      <c r="A1678" s="79" t="str">
        <f>IF(COUNTA(B1678:C1678,E1678:G1678,I1678)=0,"","BI-"&amp;RIGHT("0000"&amp;(ROW()-5),4))</f>
        <v/>
      </c>
      <c r="B1678" s="72" t="n"/>
      <c r="C1678" s="66" t="n"/>
      <c r="D1678" s="67" t="str">
        <f>IF(C1678="","",IFERROR(INDEX(eq_des,MATCH(C1678,eq_code,0))&amp;"","Équipement inconnu"))</f>
        <v/>
      </c>
      <c r="E1678" s="68" t="n"/>
      <c r="F1678" s="68" t="n"/>
      <c r="G1678" s="66" t="n"/>
      <c r="H1678" s="66" t="n"/>
      <c r="I1678" s="68" t="n"/>
      <c r="J1678" s="73" t="n"/>
      <c r="K1678" s="71" t="n"/>
      <c r="L1678" s="71" t="n"/>
      <c r="M1678" s="66" t="n"/>
      <c r="N1678" s="80" t="n"/>
      <c r="O1678" s="81" t="str">
        <f>IF(A1678="","",ROUND(V1678*IFERROR(N(INDEX(tech_rate,MATCH(M1678,tech_name,0))),0),2))</f>
        <v/>
      </c>
      <c r="P1678" s="80" t="n"/>
      <c r="Q1678" s="81" t="str">
        <f>IF(A1678="","",ROUND(Y1678+O1678+Z1678,2))</f>
        <v/>
      </c>
      <c r="R1678" s="79" t="str">
        <f>IF(A1678="","",IF(S1678=0,"Date manquante ou invalide",IF(C1678="","Équipement manquant",IF(ISNA(MATCH(C1678,eq_code,0)),"Équipement inconnu",IF(E1678="","Type manquant",IF(AND(E1678&lt;&gt;"Préventif",E1678&lt;&gt;"Correctif",E1678&lt;&gt;"Amélioratif"),"Type inconnu",IF(I1678="","Statut manquant",IF(AND(I1678&lt;&gt;"Terminée",I1678&lt;&gt;"En cours",I1678&lt;&gt;"À faire",I1678&lt;&gt;"Annulée"),"Statut inconnu",IF(AND(E1678="Préventif",F1678=""),"Plan manquant (préventif)",IF(AND(F1678&lt;&gt;"",ISNA(MATCH(F1678,pl_num,0))),"Plan inconnu",IF(AND(F1678&lt;&gt;"",IFERROR(INDEX(pl_eq,MATCH(F1678,pl_num,0))&amp;"",C1678)&lt;&gt;C1678),"Plan d'un autre équipement",IF(AND(J1678&lt;&gt;"",OR(NOT(ISNUMBER(J1678)),N(J1678)&lt;0)),"Compteur invalide",IF(OR(AND(K1678&lt;&gt;"",OR(NOT(ISNUMBER(K1678)),N(K1678)&lt;0)),AND(L1678&lt;&gt;"",OR(NOT(ISNUMBER(L1678)),N(L1678)&lt;0))),"Durée invalide",IF(OR(AND(N1678&lt;&gt;"",OR(NOT(ISNUMBER(N1678)),N(N1678)&lt;0)),AND(P1678&lt;&gt;"",OR(NOT(ISNUMBER(P1678)),N(P1678)&lt;0))),"Coût invalide",IF(AND(M1678&lt;&gt;"",ISNA(MATCH(M1678,tech_name,0))),"Technicien inconnu",IF(AND(I1678="Terminée",S1678&gt;p_today),"Terminée à une date future",IF(AND(I1678="Terminée",V1678=0),"Durée d'intervention manquante",IF(AND(I1678="Terminée",E1678="Préventif",T1678=0,OR(IFERROR(INDEX(pl_trig,MATCH(F1678,pl_num,0))&amp;"","")="Compteur",IFERROR(INDEX(pl_trig,MATCH(F1678,pl_num,0))&amp;"","")="Au premier des deux")),"Compteur manquant (plan au compteur)","OK"))))))))))))))))))</f>
        <v/>
      </c>
      <c r="S1678" s="67">
        <f>IF(AND(ISNUMBER(B1678),N(B1678)&gt;0),INT(B1678),0)</f>
        <v>0.0</v>
      </c>
      <c r="T1678" s="67">
        <f>IF(AND(ISNUMBER(J1678),N(J1678)&gt;=0),N(J1678),0)</f>
        <v>0.0</v>
      </c>
      <c r="U1678" s="67">
        <f>IF(AND(ISNUMBER(K1678),N(K1678)&gt;0),N(K1678),0)</f>
        <v>0.0</v>
      </c>
      <c r="V1678" s="67">
        <f>IF(AND(ISNUMBER(L1678),N(L1678)&gt;0),N(L1678),0)</f>
        <v>0.0</v>
      </c>
      <c r="W1678" s="67">
        <f>IF(AND(I1678="Terminée",S1678&gt;0,C1678&lt;&gt;"",ISNUMBER(MATCH(C1678,eq_code,0))),1,0)</f>
        <v>0.0</v>
      </c>
      <c r="X1678" s="67">
        <f>IF(AND(W1678=1,E1678="Préventif"),1,0)</f>
        <v>0.0</v>
      </c>
      <c r="Y1678" s="67">
        <f>IF(AND(ISNUMBER(N1678),N(N1678)&gt;0),N(N1678),0)</f>
        <v>0.0</v>
      </c>
      <c r="Z1678" s="67">
        <f>IF(AND(ISNUMBER(P1678),N(P1678)&gt;0),N(P1678),0)</f>
        <v>0.0</v>
      </c>
    </row>
    <row r="1679">
      <c r="A1679" s="79" t="str">
        <f>IF(COUNTA(B1679:C1679,E1679:G1679,I1679)=0,"","BI-"&amp;RIGHT("0000"&amp;(ROW()-5),4))</f>
        <v/>
      </c>
      <c r="B1679" s="72" t="n"/>
      <c r="C1679" s="66" t="n"/>
      <c r="D1679" s="67" t="str">
        <f>IF(C1679="","",IFERROR(INDEX(eq_des,MATCH(C1679,eq_code,0))&amp;"","Équipement inconnu"))</f>
        <v/>
      </c>
      <c r="E1679" s="68" t="n"/>
      <c r="F1679" s="68" t="n"/>
      <c r="G1679" s="66" t="n"/>
      <c r="H1679" s="66" t="n"/>
      <c r="I1679" s="68" t="n"/>
      <c r="J1679" s="73" t="n"/>
      <c r="K1679" s="71" t="n"/>
      <c r="L1679" s="71" t="n"/>
      <c r="M1679" s="66" t="n"/>
      <c r="N1679" s="80" t="n"/>
      <c r="O1679" s="81" t="str">
        <f>IF(A1679="","",ROUND(V1679*IFERROR(N(INDEX(tech_rate,MATCH(M1679,tech_name,0))),0),2))</f>
        <v/>
      </c>
      <c r="P1679" s="80" t="n"/>
      <c r="Q1679" s="81" t="str">
        <f>IF(A1679="","",ROUND(Y1679+O1679+Z1679,2))</f>
        <v/>
      </c>
      <c r="R1679" s="79" t="str">
        <f>IF(A1679="","",IF(S1679=0,"Date manquante ou invalide",IF(C1679="","Équipement manquant",IF(ISNA(MATCH(C1679,eq_code,0)),"Équipement inconnu",IF(E1679="","Type manquant",IF(AND(E1679&lt;&gt;"Préventif",E1679&lt;&gt;"Correctif",E1679&lt;&gt;"Amélioratif"),"Type inconnu",IF(I1679="","Statut manquant",IF(AND(I1679&lt;&gt;"Terminée",I1679&lt;&gt;"En cours",I1679&lt;&gt;"À faire",I1679&lt;&gt;"Annulée"),"Statut inconnu",IF(AND(E1679="Préventif",F1679=""),"Plan manquant (préventif)",IF(AND(F1679&lt;&gt;"",ISNA(MATCH(F1679,pl_num,0))),"Plan inconnu",IF(AND(F1679&lt;&gt;"",IFERROR(INDEX(pl_eq,MATCH(F1679,pl_num,0))&amp;"",C1679)&lt;&gt;C1679),"Plan d'un autre équipement",IF(AND(J1679&lt;&gt;"",OR(NOT(ISNUMBER(J1679)),N(J1679)&lt;0)),"Compteur invalide",IF(OR(AND(K1679&lt;&gt;"",OR(NOT(ISNUMBER(K1679)),N(K1679)&lt;0)),AND(L1679&lt;&gt;"",OR(NOT(ISNUMBER(L1679)),N(L1679)&lt;0))),"Durée invalide",IF(OR(AND(N1679&lt;&gt;"",OR(NOT(ISNUMBER(N1679)),N(N1679)&lt;0)),AND(P1679&lt;&gt;"",OR(NOT(ISNUMBER(P1679)),N(P1679)&lt;0))),"Coût invalide",IF(AND(M1679&lt;&gt;"",ISNA(MATCH(M1679,tech_name,0))),"Technicien inconnu",IF(AND(I1679="Terminée",S1679&gt;p_today),"Terminée à une date future",IF(AND(I1679="Terminée",V1679=0),"Durée d'intervention manquante",IF(AND(I1679="Terminée",E1679="Préventif",T1679=0,OR(IFERROR(INDEX(pl_trig,MATCH(F1679,pl_num,0))&amp;"","")="Compteur",IFERROR(INDEX(pl_trig,MATCH(F1679,pl_num,0))&amp;"","")="Au premier des deux")),"Compteur manquant (plan au compteur)","OK"))))))))))))))))))</f>
        <v/>
      </c>
      <c r="S1679" s="67">
        <f>IF(AND(ISNUMBER(B1679),N(B1679)&gt;0),INT(B1679),0)</f>
        <v>0.0</v>
      </c>
      <c r="T1679" s="67">
        <f>IF(AND(ISNUMBER(J1679),N(J1679)&gt;=0),N(J1679),0)</f>
        <v>0.0</v>
      </c>
      <c r="U1679" s="67">
        <f>IF(AND(ISNUMBER(K1679),N(K1679)&gt;0),N(K1679),0)</f>
        <v>0.0</v>
      </c>
      <c r="V1679" s="67">
        <f>IF(AND(ISNUMBER(L1679),N(L1679)&gt;0),N(L1679),0)</f>
        <v>0.0</v>
      </c>
      <c r="W1679" s="67">
        <f>IF(AND(I1679="Terminée",S1679&gt;0,C1679&lt;&gt;"",ISNUMBER(MATCH(C1679,eq_code,0))),1,0)</f>
        <v>0.0</v>
      </c>
      <c r="X1679" s="67">
        <f>IF(AND(W1679=1,E1679="Préventif"),1,0)</f>
        <v>0.0</v>
      </c>
      <c r="Y1679" s="67">
        <f>IF(AND(ISNUMBER(N1679),N(N1679)&gt;0),N(N1679),0)</f>
        <v>0.0</v>
      </c>
      <c r="Z1679" s="67">
        <f>IF(AND(ISNUMBER(P1679),N(P1679)&gt;0),N(P1679),0)</f>
        <v>0.0</v>
      </c>
    </row>
    <row r="1680">
      <c r="A1680" s="79" t="str">
        <f>IF(COUNTA(B1680:C1680,E1680:G1680,I1680)=0,"","BI-"&amp;RIGHT("0000"&amp;(ROW()-5),4))</f>
        <v/>
      </c>
      <c r="B1680" s="72" t="n"/>
      <c r="C1680" s="66" t="n"/>
      <c r="D1680" s="67" t="str">
        <f>IF(C1680="","",IFERROR(INDEX(eq_des,MATCH(C1680,eq_code,0))&amp;"","Équipement inconnu"))</f>
        <v/>
      </c>
      <c r="E1680" s="68" t="n"/>
      <c r="F1680" s="68" t="n"/>
      <c r="G1680" s="66" t="n"/>
      <c r="H1680" s="66" t="n"/>
      <c r="I1680" s="68" t="n"/>
      <c r="J1680" s="73" t="n"/>
      <c r="K1680" s="71" t="n"/>
      <c r="L1680" s="71" t="n"/>
      <c r="M1680" s="66" t="n"/>
      <c r="N1680" s="80" t="n"/>
      <c r="O1680" s="81" t="str">
        <f>IF(A1680="","",ROUND(V1680*IFERROR(N(INDEX(tech_rate,MATCH(M1680,tech_name,0))),0),2))</f>
        <v/>
      </c>
      <c r="P1680" s="80" t="n"/>
      <c r="Q1680" s="81" t="str">
        <f>IF(A1680="","",ROUND(Y1680+O1680+Z1680,2))</f>
        <v/>
      </c>
      <c r="R1680" s="79" t="str">
        <f>IF(A1680="","",IF(S1680=0,"Date manquante ou invalide",IF(C1680="","Équipement manquant",IF(ISNA(MATCH(C1680,eq_code,0)),"Équipement inconnu",IF(E1680="","Type manquant",IF(AND(E1680&lt;&gt;"Préventif",E1680&lt;&gt;"Correctif",E1680&lt;&gt;"Amélioratif"),"Type inconnu",IF(I1680="","Statut manquant",IF(AND(I1680&lt;&gt;"Terminée",I1680&lt;&gt;"En cours",I1680&lt;&gt;"À faire",I1680&lt;&gt;"Annulée"),"Statut inconnu",IF(AND(E1680="Préventif",F1680=""),"Plan manquant (préventif)",IF(AND(F1680&lt;&gt;"",ISNA(MATCH(F1680,pl_num,0))),"Plan inconnu",IF(AND(F1680&lt;&gt;"",IFERROR(INDEX(pl_eq,MATCH(F1680,pl_num,0))&amp;"",C1680)&lt;&gt;C1680),"Plan d'un autre équipement",IF(AND(J1680&lt;&gt;"",OR(NOT(ISNUMBER(J1680)),N(J1680)&lt;0)),"Compteur invalide",IF(OR(AND(K1680&lt;&gt;"",OR(NOT(ISNUMBER(K1680)),N(K1680)&lt;0)),AND(L1680&lt;&gt;"",OR(NOT(ISNUMBER(L1680)),N(L1680)&lt;0))),"Durée invalide",IF(OR(AND(N1680&lt;&gt;"",OR(NOT(ISNUMBER(N1680)),N(N1680)&lt;0)),AND(P1680&lt;&gt;"",OR(NOT(ISNUMBER(P1680)),N(P1680)&lt;0))),"Coût invalide",IF(AND(M1680&lt;&gt;"",ISNA(MATCH(M1680,tech_name,0))),"Technicien inconnu",IF(AND(I1680="Terminée",S1680&gt;p_today),"Terminée à une date future",IF(AND(I1680="Terminée",V1680=0),"Durée d'intervention manquante",IF(AND(I1680="Terminée",E1680="Préventif",T1680=0,OR(IFERROR(INDEX(pl_trig,MATCH(F1680,pl_num,0))&amp;"","")="Compteur",IFERROR(INDEX(pl_trig,MATCH(F1680,pl_num,0))&amp;"","")="Au premier des deux")),"Compteur manquant (plan au compteur)","OK"))))))))))))))))))</f>
        <v/>
      </c>
      <c r="S1680" s="67">
        <f>IF(AND(ISNUMBER(B1680),N(B1680)&gt;0),INT(B1680),0)</f>
        <v>0.0</v>
      </c>
      <c r="T1680" s="67">
        <f>IF(AND(ISNUMBER(J1680),N(J1680)&gt;=0),N(J1680),0)</f>
        <v>0.0</v>
      </c>
      <c r="U1680" s="67">
        <f>IF(AND(ISNUMBER(K1680),N(K1680)&gt;0),N(K1680),0)</f>
        <v>0.0</v>
      </c>
      <c r="V1680" s="67">
        <f>IF(AND(ISNUMBER(L1680),N(L1680)&gt;0),N(L1680),0)</f>
        <v>0.0</v>
      </c>
      <c r="W1680" s="67">
        <f>IF(AND(I1680="Terminée",S1680&gt;0,C1680&lt;&gt;"",ISNUMBER(MATCH(C1680,eq_code,0))),1,0)</f>
        <v>0.0</v>
      </c>
      <c r="X1680" s="67">
        <f>IF(AND(W1680=1,E1680="Préventif"),1,0)</f>
        <v>0.0</v>
      </c>
      <c r="Y1680" s="67">
        <f>IF(AND(ISNUMBER(N1680),N(N1680)&gt;0),N(N1680),0)</f>
        <v>0.0</v>
      </c>
      <c r="Z1680" s="67">
        <f>IF(AND(ISNUMBER(P1680),N(P1680)&gt;0),N(P1680),0)</f>
        <v>0.0</v>
      </c>
    </row>
    <row r="1681">
      <c r="A1681" s="79" t="str">
        <f>IF(COUNTA(B1681:C1681,E1681:G1681,I1681)=0,"","BI-"&amp;RIGHT("0000"&amp;(ROW()-5),4))</f>
        <v/>
      </c>
      <c r="B1681" s="72" t="n"/>
      <c r="C1681" s="66" t="n"/>
      <c r="D1681" s="67" t="str">
        <f>IF(C1681="","",IFERROR(INDEX(eq_des,MATCH(C1681,eq_code,0))&amp;"","Équipement inconnu"))</f>
        <v/>
      </c>
      <c r="E1681" s="68" t="n"/>
      <c r="F1681" s="68" t="n"/>
      <c r="G1681" s="66" t="n"/>
      <c r="H1681" s="66" t="n"/>
      <c r="I1681" s="68" t="n"/>
      <c r="J1681" s="73" t="n"/>
      <c r="K1681" s="71" t="n"/>
      <c r="L1681" s="71" t="n"/>
      <c r="M1681" s="66" t="n"/>
      <c r="N1681" s="80" t="n"/>
      <c r="O1681" s="81" t="str">
        <f>IF(A1681="","",ROUND(V1681*IFERROR(N(INDEX(tech_rate,MATCH(M1681,tech_name,0))),0),2))</f>
        <v/>
      </c>
      <c r="P1681" s="80" t="n"/>
      <c r="Q1681" s="81" t="str">
        <f>IF(A1681="","",ROUND(Y1681+O1681+Z1681,2))</f>
        <v/>
      </c>
      <c r="R1681" s="79" t="str">
        <f>IF(A1681="","",IF(S1681=0,"Date manquante ou invalide",IF(C1681="","Équipement manquant",IF(ISNA(MATCH(C1681,eq_code,0)),"Équipement inconnu",IF(E1681="","Type manquant",IF(AND(E1681&lt;&gt;"Préventif",E1681&lt;&gt;"Correctif",E1681&lt;&gt;"Amélioratif"),"Type inconnu",IF(I1681="","Statut manquant",IF(AND(I1681&lt;&gt;"Terminée",I1681&lt;&gt;"En cours",I1681&lt;&gt;"À faire",I1681&lt;&gt;"Annulée"),"Statut inconnu",IF(AND(E1681="Préventif",F1681=""),"Plan manquant (préventif)",IF(AND(F1681&lt;&gt;"",ISNA(MATCH(F1681,pl_num,0))),"Plan inconnu",IF(AND(F1681&lt;&gt;"",IFERROR(INDEX(pl_eq,MATCH(F1681,pl_num,0))&amp;"",C1681)&lt;&gt;C1681),"Plan d'un autre équipement",IF(AND(J1681&lt;&gt;"",OR(NOT(ISNUMBER(J1681)),N(J1681)&lt;0)),"Compteur invalide",IF(OR(AND(K1681&lt;&gt;"",OR(NOT(ISNUMBER(K1681)),N(K1681)&lt;0)),AND(L1681&lt;&gt;"",OR(NOT(ISNUMBER(L1681)),N(L1681)&lt;0))),"Durée invalide",IF(OR(AND(N1681&lt;&gt;"",OR(NOT(ISNUMBER(N1681)),N(N1681)&lt;0)),AND(P1681&lt;&gt;"",OR(NOT(ISNUMBER(P1681)),N(P1681)&lt;0))),"Coût invalide",IF(AND(M1681&lt;&gt;"",ISNA(MATCH(M1681,tech_name,0))),"Technicien inconnu",IF(AND(I1681="Terminée",S1681&gt;p_today),"Terminée à une date future",IF(AND(I1681="Terminée",V1681=0),"Durée d'intervention manquante",IF(AND(I1681="Terminée",E1681="Préventif",T1681=0,OR(IFERROR(INDEX(pl_trig,MATCH(F1681,pl_num,0))&amp;"","")="Compteur",IFERROR(INDEX(pl_trig,MATCH(F1681,pl_num,0))&amp;"","")="Au premier des deux")),"Compteur manquant (plan au compteur)","OK"))))))))))))))))))</f>
        <v/>
      </c>
      <c r="S1681" s="67">
        <f>IF(AND(ISNUMBER(B1681),N(B1681)&gt;0),INT(B1681),0)</f>
        <v>0.0</v>
      </c>
      <c r="T1681" s="67">
        <f>IF(AND(ISNUMBER(J1681),N(J1681)&gt;=0),N(J1681),0)</f>
        <v>0.0</v>
      </c>
      <c r="U1681" s="67">
        <f>IF(AND(ISNUMBER(K1681),N(K1681)&gt;0),N(K1681),0)</f>
        <v>0.0</v>
      </c>
      <c r="V1681" s="67">
        <f>IF(AND(ISNUMBER(L1681),N(L1681)&gt;0),N(L1681),0)</f>
        <v>0.0</v>
      </c>
      <c r="W1681" s="67">
        <f>IF(AND(I1681="Terminée",S1681&gt;0,C1681&lt;&gt;"",ISNUMBER(MATCH(C1681,eq_code,0))),1,0)</f>
        <v>0.0</v>
      </c>
      <c r="X1681" s="67">
        <f>IF(AND(W1681=1,E1681="Préventif"),1,0)</f>
        <v>0.0</v>
      </c>
      <c r="Y1681" s="67">
        <f>IF(AND(ISNUMBER(N1681),N(N1681)&gt;0),N(N1681),0)</f>
        <v>0.0</v>
      </c>
      <c r="Z1681" s="67">
        <f>IF(AND(ISNUMBER(P1681),N(P1681)&gt;0),N(P1681),0)</f>
        <v>0.0</v>
      </c>
    </row>
    <row r="1682">
      <c r="A1682" s="79" t="str">
        <f>IF(COUNTA(B1682:C1682,E1682:G1682,I1682)=0,"","BI-"&amp;RIGHT("0000"&amp;(ROW()-5),4))</f>
        <v/>
      </c>
      <c r="B1682" s="72" t="n"/>
      <c r="C1682" s="66" t="n"/>
      <c r="D1682" s="67" t="str">
        <f>IF(C1682="","",IFERROR(INDEX(eq_des,MATCH(C1682,eq_code,0))&amp;"","Équipement inconnu"))</f>
        <v/>
      </c>
      <c r="E1682" s="68" t="n"/>
      <c r="F1682" s="68" t="n"/>
      <c r="G1682" s="66" t="n"/>
      <c r="H1682" s="66" t="n"/>
      <c r="I1682" s="68" t="n"/>
      <c r="J1682" s="73" t="n"/>
      <c r="K1682" s="71" t="n"/>
      <c r="L1682" s="71" t="n"/>
      <c r="M1682" s="66" t="n"/>
      <c r="N1682" s="80" t="n"/>
      <c r="O1682" s="81" t="str">
        <f>IF(A1682="","",ROUND(V1682*IFERROR(N(INDEX(tech_rate,MATCH(M1682,tech_name,0))),0),2))</f>
        <v/>
      </c>
      <c r="P1682" s="80" t="n"/>
      <c r="Q1682" s="81" t="str">
        <f>IF(A1682="","",ROUND(Y1682+O1682+Z1682,2))</f>
        <v/>
      </c>
      <c r="R1682" s="79" t="str">
        <f>IF(A1682="","",IF(S1682=0,"Date manquante ou invalide",IF(C1682="","Équipement manquant",IF(ISNA(MATCH(C1682,eq_code,0)),"Équipement inconnu",IF(E1682="","Type manquant",IF(AND(E1682&lt;&gt;"Préventif",E1682&lt;&gt;"Correctif",E1682&lt;&gt;"Amélioratif"),"Type inconnu",IF(I1682="","Statut manquant",IF(AND(I1682&lt;&gt;"Terminée",I1682&lt;&gt;"En cours",I1682&lt;&gt;"À faire",I1682&lt;&gt;"Annulée"),"Statut inconnu",IF(AND(E1682="Préventif",F1682=""),"Plan manquant (préventif)",IF(AND(F1682&lt;&gt;"",ISNA(MATCH(F1682,pl_num,0))),"Plan inconnu",IF(AND(F1682&lt;&gt;"",IFERROR(INDEX(pl_eq,MATCH(F1682,pl_num,0))&amp;"",C1682)&lt;&gt;C1682),"Plan d'un autre équipement",IF(AND(J1682&lt;&gt;"",OR(NOT(ISNUMBER(J1682)),N(J1682)&lt;0)),"Compteur invalide",IF(OR(AND(K1682&lt;&gt;"",OR(NOT(ISNUMBER(K1682)),N(K1682)&lt;0)),AND(L1682&lt;&gt;"",OR(NOT(ISNUMBER(L1682)),N(L1682)&lt;0))),"Durée invalide",IF(OR(AND(N1682&lt;&gt;"",OR(NOT(ISNUMBER(N1682)),N(N1682)&lt;0)),AND(P1682&lt;&gt;"",OR(NOT(ISNUMBER(P1682)),N(P1682)&lt;0))),"Coût invalide",IF(AND(M1682&lt;&gt;"",ISNA(MATCH(M1682,tech_name,0))),"Technicien inconnu",IF(AND(I1682="Terminée",S1682&gt;p_today),"Terminée à une date future",IF(AND(I1682="Terminée",V1682=0),"Durée d'intervention manquante",IF(AND(I1682="Terminée",E1682="Préventif",T1682=0,OR(IFERROR(INDEX(pl_trig,MATCH(F1682,pl_num,0))&amp;"","")="Compteur",IFERROR(INDEX(pl_trig,MATCH(F1682,pl_num,0))&amp;"","")="Au premier des deux")),"Compteur manquant (plan au compteur)","OK"))))))))))))))))))</f>
        <v/>
      </c>
      <c r="S1682" s="67">
        <f>IF(AND(ISNUMBER(B1682),N(B1682)&gt;0),INT(B1682),0)</f>
        <v>0.0</v>
      </c>
      <c r="T1682" s="67">
        <f>IF(AND(ISNUMBER(J1682),N(J1682)&gt;=0),N(J1682),0)</f>
        <v>0.0</v>
      </c>
      <c r="U1682" s="67">
        <f>IF(AND(ISNUMBER(K1682),N(K1682)&gt;0),N(K1682),0)</f>
        <v>0.0</v>
      </c>
      <c r="V1682" s="67">
        <f>IF(AND(ISNUMBER(L1682),N(L1682)&gt;0),N(L1682),0)</f>
        <v>0.0</v>
      </c>
      <c r="W1682" s="67">
        <f>IF(AND(I1682="Terminée",S1682&gt;0,C1682&lt;&gt;"",ISNUMBER(MATCH(C1682,eq_code,0))),1,0)</f>
        <v>0.0</v>
      </c>
      <c r="X1682" s="67">
        <f>IF(AND(W1682=1,E1682="Préventif"),1,0)</f>
        <v>0.0</v>
      </c>
      <c r="Y1682" s="67">
        <f>IF(AND(ISNUMBER(N1682),N(N1682)&gt;0),N(N1682),0)</f>
        <v>0.0</v>
      </c>
      <c r="Z1682" s="67">
        <f>IF(AND(ISNUMBER(P1682),N(P1682)&gt;0),N(P1682),0)</f>
        <v>0.0</v>
      </c>
    </row>
    <row r="1683">
      <c r="A1683" s="79" t="str">
        <f>IF(COUNTA(B1683:C1683,E1683:G1683,I1683)=0,"","BI-"&amp;RIGHT("0000"&amp;(ROW()-5),4))</f>
        <v/>
      </c>
      <c r="B1683" s="72" t="n"/>
      <c r="C1683" s="66" t="n"/>
      <c r="D1683" s="67" t="str">
        <f>IF(C1683="","",IFERROR(INDEX(eq_des,MATCH(C1683,eq_code,0))&amp;"","Équipement inconnu"))</f>
        <v/>
      </c>
      <c r="E1683" s="68" t="n"/>
      <c r="F1683" s="68" t="n"/>
      <c r="G1683" s="66" t="n"/>
      <c r="H1683" s="66" t="n"/>
      <c r="I1683" s="68" t="n"/>
      <c r="J1683" s="73" t="n"/>
      <c r="K1683" s="71" t="n"/>
      <c r="L1683" s="71" t="n"/>
      <c r="M1683" s="66" t="n"/>
      <c r="N1683" s="80" t="n"/>
      <c r="O1683" s="81" t="str">
        <f>IF(A1683="","",ROUND(V1683*IFERROR(N(INDEX(tech_rate,MATCH(M1683,tech_name,0))),0),2))</f>
        <v/>
      </c>
      <c r="P1683" s="80" t="n"/>
      <c r="Q1683" s="81" t="str">
        <f>IF(A1683="","",ROUND(Y1683+O1683+Z1683,2))</f>
        <v/>
      </c>
      <c r="R1683" s="79" t="str">
        <f>IF(A1683="","",IF(S1683=0,"Date manquante ou invalide",IF(C1683="","Équipement manquant",IF(ISNA(MATCH(C1683,eq_code,0)),"Équipement inconnu",IF(E1683="","Type manquant",IF(AND(E1683&lt;&gt;"Préventif",E1683&lt;&gt;"Correctif",E1683&lt;&gt;"Amélioratif"),"Type inconnu",IF(I1683="","Statut manquant",IF(AND(I1683&lt;&gt;"Terminée",I1683&lt;&gt;"En cours",I1683&lt;&gt;"À faire",I1683&lt;&gt;"Annulée"),"Statut inconnu",IF(AND(E1683="Préventif",F1683=""),"Plan manquant (préventif)",IF(AND(F1683&lt;&gt;"",ISNA(MATCH(F1683,pl_num,0))),"Plan inconnu",IF(AND(F1683&lt;&gt;"",IFERROR(INDEX(pl_eq,MATCH(F1683,pl_num,0))&amp;"",C1683)&lt;&gt;C1683),"Plan d'un autre équipement",IF(AND(J1683&lt;&gt;"",OR(NOT(ISNUMBER(J1683)),N(J1683)&lt;0)),"Compteur invalide",IF(OR(AND(K1683&lt;&gt;"",OR(NOT(ISNUMBER(K1683)),N(K1683)&lt;0)),AND(L1683&lt;&gt;"",OR(NOT(ISNUMBER(L1683)),N(L1683)&lt;0))),"Durée invalide",IF(OR(AND(N1683&lt;&gt;"",OR(NOT(ISNUMBER(N1683)),N(N1683)&lt;0)),AND(P1683&lt;&gt;"",OR(NOT(ISNUMBER(P1683)),N(P1683)&lt;0))),"Coût invalide",IF(AND(M1683&lt;&gt;"",ISNA(MATCH(M1683,tech_name,0))),"Technicien inconnu",IF(AND(I1683="Terminée",S1683&gt;p_today),"Terminée à une date future",IF(AND(I1683="Terminée",V1683=0),"Durée d'intervention manquante",IF(AND(I1683="Terminée",E1683="Préventif",T1683=0,OR(IFERROR(INDEX(pl_trig,MATCH(F1683,pl_num,0))&amp;"","")="Compteur",IFERROR(INDEX(pl_trig,MATCH(F1683,pl_num,0))&amp;"","")="Au premier des deux")),"Compteur manquant (plan au compteur)","OK"))))))))))))))))))</f>
        <v/>
      </c>
      <c r="S1683" s="67">
        <f>IF(AND(ISNUMBER(B1683),N(B1683)&gt;0),INT(B1683),0)</f>
        <v>0.0</v>
      </c>
      <c r="T1683" s="67">
        <f>IF(AND(ISNUMBER(J1683),N(J1683)&gt;=0),N(J1683),0)</f>
        <v>0.0</v>
      </c>
      <c r="U1683" s="67">
        <f>IF(AND(ISNUMBER(K1683),N(K1683)&gt;0),N(K1683),0)</f>
        <v>0.0</v>
      </c>
      <c r="V1683" s="67">
        <f>IF(AND(ISNUMBER(L1683),N(L1683)&gt;0),N(L1683),0)</f>
        <v>0.0</v>
      </c>
      <c r="W1683" s="67">
        <f>IF(AND(I1683="Terminée",S1683&gt;0,C1683&lt;&gt;"",ISNUMBER(MATCH(C1683,eq_code,0))),1,0)</f>
        <v>0.0</v>
      </c>
      <c r="X1683" s="67">
        <f>IF(AND(W1683=1,E1683="Préventif"),1,0)</f>
        <v>0.0</v>
      </c>
      <c r="Y1683" s="67">
        <f>IF(AND(ISNUMBER(N1683),N(N1683)&gt;0),N(N1683),0)</f>
        <v>0.0</v>
      </c>
      <c r="Z1683" s="67">
        <f>IF(AND(ISNUMBER(P1683),N(P1683)&gt;0),N(P1683),0)</f>
        <v>0.0</v>
      </c>
    </row>
    <row r="1684">
      <c r="A1684" s="79" t="str">
        <f>IF(COUNTA(B1684:C1684,E1684:G1684,I1684)=0,"","BI-"&amp;RIGHT("0000"&amp;(ROW()-5),4))</f>
        <v/>
      </c>
      <c r="B1684" s="72" t="n"/>
      <c r="C1684" s="66" t="n"/>
      <c r="D1684" s="67" t="str">
        <f>IF(C1684="","",IFERROR(INDEX(eq_des,MATCH(C1684,eq_code,0))&amp;"","Équipement inconnu"))</f>
        <v/>
      </c>
      <c r="E1684" s="68" t="n"/>
      <c r="F1684" s="68" t="n"/>
      <c r="G1684" s="66" t="n"/>
      <c r="H1684" s="66" t="n"/>
      <c r="I1684" s="68" t="n"/>
      <c r="J1684" s="73" t="n"/>
      <c r="K1684" s="71" t="n"/>
      <c r="L1684" s="71" t="n"/>
      <c r="M1684" s="66" t="n"/>
      <c r="N1684" s="80" t="n"/>
      <c r="O1684" s="81" t="str">
        <f>IF(A1684="","",ROUND(V1684*IFERROR(N(INDEX(tech_rate,MATCH(M1684,tech_name,0))),0),2))</f>
        <v/>
      </c>
      <c r="P1684" s="80" t="n"/>
      <c r="Q1684" s="81" t="str">
        <f>IF(A1684="","",ROUND(Y1684+O1684+Z1684,2))</f>
        <v/>
      </c>
      <c r="R1684" s="79" t="str">
        <f>IF(A1684="","",IF(S1684=0,"Date manquante ou invalide",IF(C1684="","Équipement manquant",IF(ISNA(MATCH(C1684,eq_code,0)),"Équipement inconnu",IF(E1684="","Type manquant",IF(AND(E1684&lt;&gt;"Préventif",E1684&lt;&gt;"Correctif",E1684&lt;&gt;"Amélioratif"),"Type inconnu",IF(I1684="","Statut manquant",IF(AND(I1684&lt;&gt;"Terminée",I1684&lt;&gt;"En cours",I1684&lt;&gt;"À faire",I1684&lt;&gt;"Annulée"),"Statut inconnu",IF(AND(E1684="Préventif",F1684=""),"Plan manquant (préventif)",IF(AND(F1684&lt;&gt;"",ISNA(MATCH(F1684,pl_num,0))),"Plan inconnu",IF(AND(F1684&lt;&gt;"",IFERROR(INDEX(pl_eq,MATCH(F1684,pl_num,0))&amp;"",C1684)&lt;&gt;C1684),"Plan d'un autre équipement",IF(AND(J1684&lt;&gt;"",OR(NOT(ISNUMBER(J1684)),N(J1684)&lt;0)),"Compteur invalide",IF(OR(AND(K1684&lt;&gt;"",OR(NOT(ISNUMBER(K1684)),N(K1684)&lt;0)),AND(L1684&lt;&gt;"",OR(NOT(ISNUMBER(L1684)),N(L1684)&lt;0))),"Durée invalide",IF(OR(AND(N1684&lt;&gt;"",OR(NOT(ISNUMBER(N1684)),N(N1684)&lt;0)),AND(P1684&lt;&gt;"",OR(NOT(ISNUMBER(P1684)),N(P1684)&lt;0))),"Coût invalide",IF(AND(M1684&lt;&gt;"",ISNA(MATCH(M1684,tech_name,0))),"Technicien inconnu",IF(AND(I1684="Terminée",S1684&gt;p_today),"Terminée à une date future",IF(AND(I1684="Terminée",V1684=0),"Durée d'intervention manquante",IF(AND(I1684="Terminée",E1684="Préventif",T1684=0,OR(IFERROR(INDEX(pl_trig,MATCH(F1684,pl_num,0))&amp;"","")="Compteur",IFERROR(INDEX(pl_trig,MATCH(F1684,pl_num,0))&amp;"","")="Au premier des deux")),"Compteur manquant (plan au compteur)","OK"))))))))))))))))))</f>
        <v/>
      </c>
      <c r="S1684" s="67">
        <f>IF(AND(ISNUMBER(B1684),N(B1684)&gt;0),INT(B1684),0)</f>
        <v>0.0</v>
      </c>
      <c r="T1684" s="67">
        <f>IF(AND(ISNUMBER(J1684),N(J1684)&gt;=0),N(J1684),0)</f>
        <v>0.0</v>
      </c>
      <c r="U1684" s="67">
        <f>IF(AND(ISNUMBER(K1684),N(K1684)&gt;0),N(K1684),0)</f>
        <v>0.0</v>
      </c>
      <c r="V1684" s="67">
        <f>IF(AND(ISNUMBER(L1684),N(L1684)&gt;0),N(L1684),0)</f>
        <v>0.0</v>
      </c>
      <c r="W1684" s="67">
        <f>IF(AND(I1684="Terminée",S1684&gt;0,C1684&lt;&gt;"",ISNUMBER(MATCH(C1684,eq_code,0))),1,0)</f>
        <v>0.0</v>
      </c>
      <c r="X1684" s="67">
        <f>IF(AND(W1684=1,E1684="Préventif"),1,0)</f>
        <v>0.0</v>
      </c>
      <c r="Y1684" s="67">
        <f>IF(AND(ISNUMBER(N1684),N(N1684)&gt;0),N(N1684),0)</f>
        <v>0.0</v>
      </c>
      <c r="Z1684" s="67">
        <f>IF(AND(ISNUMBER(P1684),N(P1684)&gt;0),N(P1684),0)</f>
        <v>0.0</v>
      </c>
    </row>
    <row r="1685">
      <c r="A1685" s="79" t="str">
        <f>IF(COUNTA(B1685:C1685,E1685:G1685,I1685)=0,"","BI-"&amp;RIGHT("0000"&amp;(ROW()-5),4))</f>
        <v/>
      </c>
      <c r="B1685" s="72" t="n"/>
      <c r="C1685" s="66" t="n"/>
      <c r="D1685" s="67" t="str">
        <f>IF(C1685="","",IFERROR(INDEX(eq_des,MATCH(C1685,eq_code,0))&amp;"","Équipement inconnu"))</f>
        <v/>
      </c>
      <c r="E1685" s="68" t="n"/>
      <c r="F1685" s="68" t="n"/>
      <c r="G1685" s="66" t="n"/>
      <c r="H1685" s="66" t="n"/>
      <c r="I1685" s="68" t="n"/>
      <c r="J1685" s="73" t="n"/>
      <c r="K1685" s="71" t="n"/>
      <c r="L1685" s="71" t="n"/>
      <c r="M1685" s="66" t="n"/>
      <c r="N1685" s="80" t="n"/>
      <c r="O1685" s="81" t="str">
        <f>IF(A1685="","",ROUND(V1685*IFERROR(N(INDEX(tech_rate,MATCH(M1685,tech_name,0))),0),2))</f>
        <v/>
      </c>
      <c r="P1685" s="80" t="n"/>
      <c r="Q1685" s="81" t="str">
        <f>IF(A1685="","",ROUND(Y1685+O1685+Z1685,2))</f>
        <v/>
      </c>
      <c r="R1685" s="79" t="str">
        <f>IF(A1685="","",IF(S1685=0,"Date manquante ou invalide",IF(C1685="","Équipement manquant",IF(ISNA(MATCH(C1685,eq_code,0)),"Équipement inconnu",IF(E1685="","Type manquant",IF(AND(E1685&lt;&gt;"Préventif",E1685&lt;&gt;"Correctif",E1685&lt;&gt;"Amélioratif"),"Type inconnu",IF(I1685="","Statut manquant",IF(AND(I1685&lt;&gt;"Terminée",I1685&lt;&gt;"En cours",I1685&lt;&gt;"À faire",I1685&lt;&gt;"Annulée"),"Statut inconnu",IF(AND(E1685="Préventif",F1685=""),"Plan manquant (préventif)",IF(AND(F1685&lt;&gt;"",ISNA(MATCH(F1685,pl_num,0))),"Plan inconnu",IF(AND(F1685&lt;&gt;"",IFERROR(INDEX(pl_eq,MATCH(F1685,pl_num,0))&amp;"",C1685)&lt;&gt;C1685),"Plan d'un autre équipement",IF(AND(J1685&lt;&gt;"",OR(NOT(ISNUMBER(J1685)),N(J1685)&lt;0)),"Compteur invalide",IF(OR(AND(K1685&lt;&gt;"",OR(NOT(ISNUMBER(K1685)),N(K1685)&lt;0)),AND(L1685&lt;&gt;"",OR(NOT(ISNUMBER(L1685)),N(L1685)&lt;0))),"Durée invalide",IF(OR(AND(N1685&lt;&gt;"",OR(NOT(ISNUMBER(N1685)),N(N1685)&lt;0)),AND(P1685&lt;&gt;"",OR(NOT(ISNUMBER(P1685)),N(P1685)&lt;0))),"Coût invalide",IF(AND(M1685&lt;&gt;"",ISNA(MATCH(M1685,tech_name,0))),"Technicien inconnu",IF(AND(I1685="Terminée",S1685&gt;p_today),"Terminée à une date future",IF(AND(I1685="Terminée",V1685=0),"Durée d'intervention manquante",IF(AND(I1685="Terminée",E1685="Préventif",T1685=0,OR(IFERROR(INDEX(pl_trig,MATCH(F1685,pl_num,0))&amp;"","")="Compteur",IFERROR(INDEX(pl_trig,MATCH(F1685,pl_num,0))&amp;"","")="Au premier des deux")),"Compteur manquant (plan au compteur)","OK"))))))))))))))))))</f>
        <v/>
      </c>
      <c r="S1685" s="67">
        <f>IF(AND(ISNUMBER(B1685),N(B1685)&gt;0),INT(B1685),0)</f>
        <v>0.0</v>
      </c>
      <c r="T1685" s="67">
        <f>IF(AND(ISNUMBER(J1685),N(J1685)&gt;=0),N(J1685),0)</f>
        <v>0.0</v>
      </c>
      <c r="U1685" s="67">
        <f>IF(AND(ISNUMBER(K1685),N(K1685)&gt;0),N(K1685),0)</f>
        <v>0.0</v>
      </c>
      <c r="V1685" s="67">
        <f>IF(AND(ISNUMBER(L1685),N(L1685)&gt;0),N(L1685),0)</f>
        <v>0.0</v>
      </c>
      <c r="W1685" s="67">
        <f>IF(AND(I1685="Terminée",S1685&gt;0,C1685&lt;&gt;"",ISNUMBER(MATCH(C1685,eq_code,0))),1,0)</f>
        <v>0.0</v>
      </c>
      <c r="X1685" s="67">
        <f>IF(AND(W1685=1,E1685="Préventif"),1,0)</f>
        <v>0.0</v>
      </c>
      <c r="Y1685" s="67">
        <f>IF(AND(ISNUMBER(N1685),N(N1685)&gt;0),N(N1685),0)</f>
        <v>0.0</v>
      </c>
      <c r="Z1685" s="67">
        <f>IF(AND(ISNUMBER(P1685),N(P1685)&gt;0),N(P1685),0)</f>
        <v>0.0</v>
      </c>
    </row>
    <row r="1686">
      <c r="A1686" s="79" t="str">
        <f>IF(COUNTA(B1686:C1686,E1686:G1686,I1686)=0,"","BI-"&amp;RIGHT("0000"&amp;(ROW()-5),4))</f>
        <v/>
      </c>
      <c r="B1686" s="72" t="n"/>
      <c r="C1686" s="66" t="n"/>
      <c r="D1686" s="67" t="str">
        <f>IF(C1686="","",IFERROR(INDEX(eq_des,MATCH(C1686,eq_code,0))&amp;"","Équipement inconnu"))</f>
        <v/>
      </c>
      <c r="E1686" s="68" t="n"/>
      <c r="F1686" s="68" t="n"/>
      <c r="G1686" s="66" t="n"/>
      <c r="H1686" s="66" t="n"/>
      <c r="I1686" s="68" t="n"/>
      <c r="J1686" s="73" t="n"/>
      <c r="K1686" s="71" t="n"/>
      <c r="L1686" s="71" t="n"/>
      <c r="M1686" s="66" t="n"/>
      <c r="N1686" s="80" t="n"/>
      <c r="O1686" s="81" t="str">
        <f>IF(A1686="","",ROUND(V1686*IFERROR(N(INDEX(tech_rate,MATCH(M1686,tech_name,0))),0),2))</f>
        <v/>
      </c>
      <c r="P1686" s="80" t="n"/>
      <c r="Q1686" s="81" t="str">
        <f>IF(A1686="","",ROUND(Y1686+O1686+Z1686,2))</f>
        <v/>
      </c>
      <c r="R1686" s="79" t="str">
        <f>IF(A1686="","",IF(S1686=0,"Date manquante ou invalide",IF(C1686="","Équipement manquant",IF(ISNA(MATCH(C1686,eq_code,0)),"Équipement inconnu",IF(E1686="","Type manquant",IF(AND(E1686&lt;&gt;"Préventif",E1686&lt;&gt;"Correctif",E1686&lt;&gt;"Amélioratif"),"Type inconnu",IF(I1686="","Statut manquant",IF(AND(I1686&lt;&gt;"Terminée",I1686&lt;&gt;"En cours",I1686&lt;&gt;"À faire",I1686&lt;&gt;"Annulée"),"Statut inconnu",IF(AND(E1686="Préventif",F1686=""),"Plan manquant (préventif)",IF(AND(F1686&lt;&gt;"",ISNA(MATCH(F1686,pl_num,0))),"Plan inconnu",IF(AND(F1686&lt;&gt;"",IFERROR(INDEX(pl_eq,MATCH(F1686,pl_num,0))&amp;"",C1686)&lt;&gt;C1686),"Plan d'un autre équipement",IF(AND(J1686&lt;&gt;"",OR(NOT(ISNUMBER(J1686)),N(J1686)&lt;0)),"Compteur invalide",IF(OR(AND(K1686&lt;&gt;"",OR(NOT(ISNUMBER(K1686)),N(K1686)&lt;0)),AND(L1686&lt;&gt;"",OR(NOT(ISNUMBER(L1686)),N(L1686)&lt;0))),"Durée invalide",IF(OR(AND(N1686&lt;&gt;"",OR(NOT(ISNUMBER(N1686)),N(N1686)&lt;0)),AND(P1686&lt;&gt;"",OR(NOT(ISNUMBER(P1686)),N(P1686)&lt;0))),"Coût invalide",IF(AND(M1686&lt;&gt;"",ISNA(MATCH(M1686,tech_name,0))),"Technicien inconnu",IF(AND(I1686="Terminée",S1686&gt;p_today),"Terminée à une date future",IF(AND(I1686="Terminée",V1686=0),"Durée d'intervention manquante",IF(AND(I1686="Terminée",E1686="Préventif",T1686=0,OR(IFERROR(INDEX(pl_trig,MATCH(F1686,pl_num,0))&amp;"","")="Compteur",IFERROR(INDEX(pl_trig,MATCH(F1686,pl_num,0))&amp;"","")="Au premier des deux")),"Compteur manquant (plan au compteur)","OK"))))))))))))))))))</f>
        <v/>
      </c>
      <c r="S1686" s="67">
        <f>IF(AND(ISNUMBER(B1686),N(B1686)&gt;0),INT(B1686),0)</f>
        <v>0.0</v>
      </c>
      <c r="T1686" s="67">
        <f>IF(AND(ISNUMBER(J1686),N(J1686)&gt;=0),N(J1686),0)</f>
        <v>0.0</v>
      </c>
      <c r="U1686" s="67">
        <f>IF(AND(ISNUMBER(K1686),N(K1686)&gt;0),N(K1686),0)</f>
        <v>0.0</v>
      </c>
      <c r="V1686" s="67">
        <f>IF(AND(ISNUMBER(L1686),N(L1686)&gt;0),N(L1686),0)</f>
        <v>0.0</v>
      </c>
      <c r="W1686" s="67">
        <f>IF(AND(I1686="Terminée",S1686&gt;0,C1686&lt;&gt;"",ISNUMBER(MATCH(C1686,eq_code,0))),1,0)</f>
        <v>0.0</v>
      </c>
      <c r="X1686" s="67">
        <f>IF(AND(W1686=1,E1686="Préventif"),1,0)</f>
        <v>0.0</v>
      </c>
      <c r="Y1686" s="67">
        <f>IF(AND(ISNUMBER(N1686),N(N1686)&gt;0),N(N1686),0)</f>
        <v>0.0</v>
      </c>
      <c r="Z1686" s="67">
        <f>IF(AND(ISNUMBER(P1686),N(P1686)&gt;0),N(P1686),0)</f>
        <v>0.0</v>
      </c>
    </row>
    <row r="1687">
      <c r="A1687" s="79" t="str">
        <f>IF(COUNTA(B1687:C1687,E1687:G1687,I1687)=0,"","BI-"&amp;RIGHT("0000"&amp;(ROW()-5),4))</f>
        <v/>
      </c>
      <c r="B1687" s="72" t="n"/>
      <c r="C1687" s="66" t="n"/>
      <c r="D1687" s="67" t="str">
        <f>IF(C1687="","",IFERROR(INDEX(eq_des,MATCH(C1687,eq_code,0))&amp;"","Équipement inconnu"))</f>
        <v/>
      </c>
      <c r="E1687" s="68" t="n"/>
      <c r="F1687" s="68" t="n"/>
      <c r="G1687" s="66" t="n"/>
      <c r="H1687" s="66" t="n"/>
      <c r="I1687" s="68" t="n"/>
      <c r="J1687" s="73" t="n"/>
      <c r="K1687" s="71" t="n"/>
      <c r="L1687" s="71" t="n"/>
      <c r="M1687" s="66" t="n"/>
      <c r="N1687" s="80" t="n"/>
      <c r="O1687" s="81" t="str">
        <f>IF(A1687="","",ROUND(V1687*IFERROR(N(INDEX(tech_rate,MATCH(M1687,tech_name,0))),0),2))</f>
        <v/>
      </c>
      <c r="P1687" s="80" t="n"/>
      <c r="Q1687" s="81" t="str">
        <f>IF(A1687="","",ROUND(Y1687+O1687+Z1687,2))</f>
        <v/>
      </c>
      <c r="R1687" s="79" t="str">
        <f>IF(A1687="","",IF(S1687=0,"Date manquante ou invalide",IF(C1687="","Équipement manquant",IF(ISNA(MATCH(C1687,eq_code,0)),"Équipement inconnu",IF(E1687="","Type manquant",IF(AND(E1687&lt;&gt;"Préventif",E1687&lt;&gt;"Correctif",E1687&lt;&gt;"Amélioratif"),"Type inconnu",IF(I1687="","Statut manquant",IF(AND(I1687&lt;&gt;"Terminée",I1687&lt;&gt;"En cours",I1687&lt;&gt;"À faire",I1687&lt;&gt;"Annulée"),"Statut inconnu",IF(AND(E1687="Préventif",F1687=""),"Plan manquant (préventif)",IF(AND(F1687&lt;&gt;"",ISNA(MATCH(F1687,pl_num,0))),"Plan inconnu",IF(AND(F1687&lt;&gt;"",IFERROR(INDEX(pl_eq,MATCH(F1687,pl_num,0))&amp;"",C1687)&lt;&gt;C1687),"Plan d'un autre équipement",IF(AND(J1687&lt;&gt;"",OR(NOT(ISNUMBER(J1687)),N(J1687)&lt;0)),"Compteur invalide",IF(OR(AND(K1687&lt;&gt;"",OR(NOT(ISNUMBER(K1687)),N(K1687)&lt;0)),AND(L1687&lt;&gt;"",OR(NOT(ISNUMBER(L1687)),N(L1687)&lt;0))),"Durée invalide",IF(OR(AND(N1687&lt;&gt;"",OR(NOT(ISNUMBER(N1687)),N(N1687)&lt;0)),AND(P1687&lt;&gt;"",OR(NOT(ISNUMBER(P1687)),N(P1687)&lt;0))),"Coût invalide",IF(AND(M1687&lt;&gt;"",ISNA(MATCH(M1687,tech_name,0))),"Technicien inconnu",IF(AND(I1687="Terminée",S1687&gt;p_today),"Terminée à une date future",IF(AND(I1687="Terminée",V1687=0),"Durée d'intervention manquante",IF(AND(I1687="Terminée",E1687="Préventif",T1687=0,OR(IFERROR(INDEX(pl_trig,MATCH(F1687,pl_num,0))&amp;"","")="Compteur",IFERROR(INDEX(pl_trig,MATCH(F1687,pl_num,0))&amp;"","")="Au premier des deux")),"Compteur manquant (plan au compteur)","OK"))))))))))))))))))</f>
        <v/>
      </c>
      <c r="S1687" s="67">
        <f>IF(AND(ISNUMBER(B1687),N(B1687)&gt;0),INT(B1687),0)</f>
        <v>0.0</v>
      </c>
      <c r="T1687" s="67">
        <f>IF(AND(ISNUMBER(J1687),N(J1687)&gt;=0),N(J1687),0)</f>
        <v>0.0</v>
      </c>
      <c r="U1687" s="67">
        <f>IF(AND(ISNUMBER(K1687),N(K1687)&gt;0),N(K1687),0)</f>
        <v>0.0</v>
      </c>
      <c r="V1687" s="67">
        <f>IF(AND(ISNUMBER(L1687),N(L1687)&gt;0),N(L1687),0)</f>
        <v>0.0</v>
      </c>
      <c r="W1687" s="67">
        <f>IF(AND(I1687="Terminée",S1687&gt;0,C1687&lt;&gt;"",ISNUMBER(MATCH(C1687,eq_code,0))),1,0)</f>
        <v>0.0</v>
      </c>
      <c r="X1687" s="67">
        <f>IF(AND(W1687=1,E1687="Préventif"),1,0)</f>
        <v>0.0</v>
      </c>
      <c r="Y1687" s="67">
        <f>IF(AND(ISNUMBER(N1687),N(N1687)&gt;0),N(N1687),0)</f>
        <v>0.0</v>
      </c>
      <c r="Z1687" s="67">
        <f>IF(AND(ISNUMBER(P1687),N(P1687)&gt;0),N(P1687),0)</f>
        <v>0.0</v>
      </c>
    </row>
    <row r="1688">
      <c r="A1688" s="79" t="str">
        <f>IF(COUNTA(B1688:C1688,E1688:G1688,I1688)=0,"","BI-"&amp;RIGHT("0000"&amp;(ROW()-5),4))</f>
        <v/>
      </c>
      <c r="B1688" s="72" t="n"/>
      <c r="C1688" s="66" t="n"/>
      <c r="D1688" s="67" t="str">
        <f>IF(C1688="","",IFERROR(INDEX(eq_des,MATCH(C1688,eq_code,0))&amp;"","Équipement inconnu"))</f>
        <v/>
      </c>
      <c r="E1688" s="68" t="n"/>
      <c r="F1688" s="68" t="n"/>
      <c r="G1688" s="66" t="n"/>
      <c r="H1688" s="66" t="n"/>
      <c r="I1688" s="68" t="n"/>
      <c r="J1688" s="73" t="n"/>
      <c r="K1688" s="71" t="n"/>
      <c r="L1688" s="71" t="n"/>
      <c r="M1688" s="66" t="n"/>
      <c r="N1688" s="80" t="n"/>
      <c r="O1688" s="81" t="str">
        <f>IF(A1688="","",ROUND(V1688*IFERROR(N(INDEX(tech_rate,MATCH(M1688,tech_name,0))),0),2))</f>
        <v/>
      </c>
      <c r="P1688" s="80" t="n"/>
      <c r="Q1688" s="81" t="str">
        <f>IF(A1688="","",ROUND(Y1688+O1688+Z1688,2))</f>
        <v/>
      </c>
      <c r="R1688" s="79" t="str">
        <f>IF(A1688="","",IF(S1688=0,"Date manquante ou invalide",IF(C1688="","Équipement manquant",IF(ISNA(MATCH(C1688,eq_code,0)),"Équipement inconnu",IF(E1688="","Type manquant",IF(AND(E1688&lt;&gt;"Préventif",E1688&lt;&gt;"Correctif",E1688&lt;&gt;"Amélioratif"),"Type inconnu",IF(I1688="","Statut manquant",IF(AND(I1688&lt;&gt;"Terminée",I1688&lt;&gt;"En cours",I1688&lt;&gt;"À faire",I1688&lt;&gt;"Annulée"),"Statut inconnu",IF(AND(E1688="Préventif",F1688=""),"Plan manquant (préventif)",IF(AND(F1688&lt;&gt;"",ISNA(MATCH(F1688,pl_num,0))),"Plan inconnu",IF(AND(F1688&lt;&gt;"",IFERROR(INDEX(pl_eq,MATCH(F1688,pl_num,0))&amp;"",C1688)&lt;&gt;C1688),"Plan d'un autre équipement",IF(AND(J1688&lt;&gt;"",OR(NOT(ISNUMBER(J1688)),N(J1688)&lt;0)),"Compteur invalide",IF(OR(AND(K1688&lt;&gt;"",OR(NOT(ISNUMBER(K1688)),N(K1688)&lt;0)),AND(L1688&lt;&gt;"",OR(NOT(ISNUMBER(L1688)),N(L1688)&lt;0))),"Durée invalide",IF(OR(AND(N1688&lt;&gt;"",OR(NOT(ISNUMBER(N1688)),N(N1688)&lt;0)),AND(P1688&lt;&gt;"",OR(NOT(ISNUMBER(P1688)),N(P1688)&lt;0))),"Coût invalide",IF(AND(M1688&lt;&gt;"",ISNA(MATCH(M1688,tech_name,0))),"Technicien inconnu",IF(AND(I1688="Terminée",S1688&gt;p_today),"Terminée à une date future",IF(AND(I1688="Terminée",V1688=0),"Durée d'intervention manquante",IF(AND(I1688="Terminée",E1688="Préventif",T1688=0,OR(IFERROR(INDEX(pl_trig,MATCH(F1688,pl_num,0))&amp;"","")="Compteur",IFERROR(INDEX(pl_trig,MATCH(F1688,pl_num,0))&amp;"","")="Au premier des deux")),"Compteur manquant (plan au compteur)","OK"))))))))))))))))))</f>
        <v/>
      </c>
      <c r="S1688" s="67">
        <f>IF(AND(ISNUMBER(B1688),N(B1688)&gt;0),INT(B1688),0)</f>
        <v>0.0</v>
      </c>
      <c r="T1688" s="67">
        <f>IF(AND(ISNUMBER(J1688),N(J1688)&gt;=0),N(J1688),0)</f>
        <v>0.0</v>
      </c>
      <c r="U1688" s="67">
        <f>IF(AND(ISNUMBER(K1688),N(K1688)&gt;0),N(K1688),0)</f>
        <v>0.0</v>
      </c>
      <c r="V1688" s="67">
        <f>IF(AND(ISNUMBER(L1688),N(L1688)&gt;0),N(L1688),0)</f>
        <v>0.0</v>
      </c>
      <c r="W1688" s="67">
        <f>IF(AND(I1688="Terminée",S1688&gt;0,C1688&lt;&gt;"",ISNUMBER(MATCH(C1688,eq_code,0))),1,0)</f>
        <v>0.0</v>
      </c>
      <c r="X1688" s="67">
        <f>IF(AND(W1688=1,E1688="Préventif"),1,0)</f>
        <v>0.0</v>
      </c>
      <c r="Y1688" s="67">
        <f>IF(AND(ISNUMBER(N1688),N(N1688)&gt;0),N(N1688),0)</f>
        <v>0.0</v>
      </c>
      <c r="Z1688" s="67">
        <f>IF(AND(ISNUMBER(P1688),N(P1688)&gt;0),N(P1688),0)</f>
        <v>0.0</v>
      </c>
    </row>
    <row r="1689">
      <c r="A1689" s="79" t="str">
        <f>IF(COUNTA(B1689:C1689,E1689:G1689,I1689)=0,"","BI-"&amp;RIGHT("0000"&amp;(ROW()-5),4))</f>
        <v/>
      </c>
      <c r="B1689" s="72" t="n"/>
      <c r="C1689" s="66" t="n"/>
      <c r="D1689" s="67" t="str">
        <f>IF(C1689="","",IFERROR(INDEX(eq_des,MATCH(C1689,eq_code,0))&amp;"","Équipement inconnu"))</f>
        <v/>
      </c>
      <c r="E1689" s="68" t="n"/>
      <c r="F1689" s="68" t="n"/>
      <c r="G1689" s="66" t="n"/>
      <c r="H1689" s="66" t="n"/>
      <c r="I1689" s="68" t="n"/>
      <c r="J1689" s="73" t="n"/>
      <c r="K1689" s="71" t="n"/>
      <c r="L1689" s="71" t="n"/>
      <c r="M1689" s="66" t="n"/>
      <c r="N1689" s="80" t="n"/>
      <c r="O1689" s="81" t="str">
        <f>IF(A1689="","",ROUND(V1689*IFERROR(N(INDEX(tech_rate,MATCH(M1689,tech_name,0))),0),2))</f>
        <v/>
      </c>
      <c r="P1689" s="80" t="n"/>
      <c r="Q1689" s="81" t="str">
        <f>IF(A1689="","",ROUND(Y1689+O1689+Z1689,2))</f>
        <v/>
      </c>
      <c r="R1689" s="79" t="str">
        <f>IF(A1689="","",IF(S1689=0,"Date manquante ou invalide",IF(C1689="","Équipement manquant",IF(ISNA(MATCH(C1689,eq_code,0)),"Équipement inconnu",IF(E1689="","Type manquant",IF(AND(E1689&lt;&gt;"Préventif",E1689&lt;&gt;"Correctif",E1689&lt;&gt;"Amélioratif"),"Type inconnu",IF(I1689="","Statut manquant",IF(AND(I1689&lt;&gt;"Terminée",I1689&lt;&gt;"En cours",I1689&lt;&gt;"À faire",I1689&lt;&gt;"Annulée"),"Statut inconnu",IF(AND(E1689="Préventif",F1689=""),"Plan manquant (préventif)",IF(AND(F1689&lt;&gt;"",ISNA(MATCH(F1689,pl_num,0))),"Plan inconnu",IF(AND(F1689&lt;&gt;"",IFERROR(INDEX(pl_eq,MATCH(F1689,pl_num,0))&amp;"",C1689)&lt;&gt;C1689),"Plan d'un autre équipement",IF(AND(J1689&lt;&gt;"",OR(NOT(ISNUMBER(J1689)),N(J1689)&lt;0)),"Compteur invalide",IF(OR(AND(K1689&lt;&gt;"",OR(NOT(ISNUMBER(K1689)),N(K1689)&lt;0)),AND(L1689&lt;&gt;"",OR(NOT(ISNUMBER(L1689)),N(L1689)&lt;0))),"Durée invalide",IF(OR(AND(N1689&lt;&gt;"",OR(NOT(ISNUMBER(N1689)),N(N1689)&lt;0)),AND(P1689&lt;&gt;"",OR(NOT(ISNUMBER(P1689)),N(P1689)&lt;0))),"Coût invalide",IF(AND(M1689&lt;&gt;"",ISNA(MATCH(M1689,tech_name,0))),"Technicien inconnu",IF(AND(I1689="Terminée",S1689&gt;p_today),"Terminée à une date future",IF(AND(I1689="Terminée",V1689=0),"Durée d'intervention manquante",IF(AND(I1689="Terminée",E1689="Préventif",T1689=0,OR(IFERROR(INDEX(pl_trig,MATCH(F1689,pl_num,0))&amp;"","")="Compteur",IFERROR(INDEX(pl_trig,MATCH(F1689,pl_num,0))&amp;"","")="Au premier des deux")),"Compteur manquant (plan au compteur)","OK"))))))))))))))))))</f>
        <v/>
      </c>
      <c r="S1689" s="67">
        <f>IF(AND(ISNUMBER(B1689),N(B1689)&gt;0),INT(B1689),0)</f>
        <v>0.0</v>
      </c>
      <c r="T1689" s="67">
        <f>IF(AND(ISNUMBER(J1689),N(J1689)&gt;=0),N(J1689),0)</f>
        <v>0.0</v>
      </c>
      <c r="U1689" s="67">
        <f>IF(AND(ISNUMBER(K1689),N(K1689)&gt;0),N(K1689),0)</f>
        <v>0.0</v>
      </c>
      <c r="V1689" s="67">
        <f>IF(AND(ISNUMBER(L1689),N(L1689)&gt;0),N(L1689),0)</f>
        <v>0.0</v>
      </c>
      <c r="W1689" s="67">
        <f>IF(AND(I1689="Terminée",S1689&gt;0,C1689&lt;&gt;"",ISNUMBER(MATCH(C1689,eq_code,0))),1,0)</f>
        <v>0.0</v>
      </c>
      <c r="X1689" s="67">
        <f>IF(AND(W1689=1,E1689="Préventif"),1,0)</f>
        <v>0.0</v>
      </c>
      <c r="Y1689" s="67">
        <f>IF(AND(ISNUMBER(N1689),N(N1689)&gt;0),N(N1689),0)</f>
        <v>0.0</v>
      </c>
      <c r="Z1689" s="67">
        <f>IF(AND(ISNUMBER(P1689),N(P1689)&gt;0),N(P1689),0)</f>
        <v>0.0</v>
      </c>
    </row>
    <row r="1690">
      <c r="A1690" s="79" t="str">
        <f>IF(COUNTA(B1690:C1690,E1690:G1690,I1690)=0,"","BI-"&amp;RIGHT("0000"&amp;(ROW()-5),4))</f>
        <v/>
      </c>
      <c r="B1690" s="72" t="n"/>
      <c r="C1690" s="66" t="n"/>
      <c r="D1690" s="67" t="str">
        <f>IF(C1690="","",IFERROR(INDEX(eq_des,MATCH(C1690,eq_code,0))&amp;"","Équipement inconnu"))</f>
        <v/>
      </c>
      <c r="E1690" s="68" t="n"/>
      <c r="F1690" s="68" t="n"/>
      <c r="G1690" s="66" t="n"/>
      <c r="H1690" s="66" t="n"/>
      <c r="I1690" s="68" t="n"/>
      <c r="J1690" s="73" t="n"/>
      <c r="K1690" s="71" t="n"/>
      <c r="L1690" s="71" t="n"/>
      <c r="M1690" s="66" t="n"/>
      <c r="N1690" s="80" t="n"/>
      <c r="O1690" s="81" t="str">
        <f>IF(A1690="","",ROUND(V1690*IFERROR(N(INDEX(tech_rate,MATCH(M1690,tech_name,0))),0),2))</f>
        <v/>
      </c>
      <c r="P1690" s="80" t="n"/>
      <c r="Q1690" s="81" t="str">
        <f>IF(A1690="","",ROUND(Y1690+O1690+Z1690,2))</f>
        <v/>
      </c>
      <c r="R1690" s="79" t="str">
        <f>IF(A1690="","",IF(S1690=0,"Date manquante ou invalide",IF(C1690="","Équipement manquant",IF(ISNA(MATCH(C1690,eq_code,0)),"Équipement inconnu",IF(E1690="","Type manquant",IF(AND(E1690&lt;&gt;"Préventif",E1690&lt;&gt;"Correctif",E1690&lt;&gt;"Amélioratif"),"Type inconnu",IF(I1690="","Statut manquant",IF(AND(I1690&lt;&gt;"Terminée",I1690&lt;&gt;"En cours",I1690&lt;&gt;"À faire",I1690&lt;&gt;"Annulée"),"Statut inconnu",IF(AND(E1690="Préventif",F1690=""),"Plan manquant (préventif)",IF(AND(F1690&lt;&gt;"",ISNA(MATCH(F1690,pl_num,0))),"Plan inconnu",IF(AND(F1690&lt;&gt;"",IFERROR(INDEX(pl_eq,MATCH(F1690,pl_num,0))&amp;"",C1690)&lt;&gt;C1690),"Plan d'un autre équipement",IF(AND(J1690&lt;&gt;"",OR(NOT(ISNUMBER(J1690)),N(J1690)&lt;0)),"Compteur invalide",IF(OR(AND(K1690&lt;&gt;"",OR(NOT(ISNUMBER(K1690)),N(K1690)&lt;0)),AND(L1690&lt;&gt;"",OR(NOT(ISNUMBER(L1690)),N(L1690)&lt;0))),"Durée invalide",IF(OR(AND(N1690&lt;&gt;"",OR(NOT(ISNUMBER(N1690)),N(N1690)&lt;0)),AND(P1690&lt;&gt;"",OR(NOT(ISNUMBER(P1690)),N(P1690)&lt;0))),"Coût invalide",IF(AND(M1690&lt;&gt;"",ISNA(MATCH(M1690,tech_name,0))),"Technicien inconnu",IF(AND(I1690="Terminée",S1690&gt;p_today),"Terminée à une date future",IF(AND(I1690="Terminée",V1690=0),"Durée d'intervention manquante",IF(AND(I1690="Terminée",E1690="Préventif",T1690=0,OR(IFERROR(INDEX(pl_trig,MATCH(F1690,pl_num,0))&amp;"","")="Compteur",IFERROR(INDEX(pl_trig,MATCH(F1690,pl_num,0))&amp;"","")="Au premier des deux")),"Compteur manquant (plan au compteur)","OK"))))))))))))))))))</f>
        <v/>
      </c>
      <c r="S1690" s="67">
        <f>IF(AND(ISNUMBER(B1690),N(B1690)&gt;0),INT(B1690),0)</f>
        <v>0.0</v>
      </c>
      <c r="T1690" s="67">
        <f>IF(AND(ISNUMBER(J1690),N(J1690)&gt;=0),N(J1690),0)</f>
        <v>0.0</v>
      </c>
      <c r="U1690" s="67">
        <f>IF(AND(ISNUMBER(K1690),N(K1690)&gt;0),N(K1690),0)</f>
        <v>0.0</v>
      </c>
      <c r="V1690" s="67">
        <f>IF(AND(ISNUMBER(L1690),N(L1690)&gt;0),N(L1690),0)</f>
        <v>0.0</v>
      </c>
      <c r="W1690" s="67">
        <f>IF(AND(I1690="Terminée",S1690&gt;0,C1690&lt;&gt;"",ISNUMBER(MATCH(C1690,eq_code,0))),1,0)</f>
        <v>0.0</v>
      </c>
      <c r="X1690" s="67">
        <f>IF(AND(W1690=1,E1690="Préventif"),1,0)</f>
        <v>0.0</v>
      </c>
      <c r="Y1690" s="67">
        <f>IF(AND(ISNUMBER(N1690),N(N1690)&gt;0),N(N1690),0)</f>
        <v>0.0</v>
      </c>
      <c r="Z1690" s="67">
        <f>IF(AND(ISNUMBER(P1690),N(P1690)&gt;0),N(P1690),0)</f>
        <v>0.0</v>
      </c>
    </row>
    <row r="1691">
      <c r="A1691" s="79" t="str">
        <f>IF(COUNTA(B1691:C1691,E1691:G1691,I1691)=0,"","BI-"&amp;RIGHT("0000"&amp;(ROW()-5),4))</f>
        <v/>
      </c>
      <c r="B1691" s="72" t="n"/>
      <c r="C1691" s="66" t="n"/>
      <c r="D1691" s="67" t="str">
        <f>IF(C1691="","",IFERROR(INDEX(eq_des,MATCH(C1691,eq_code,0))&amp;"","Équipement inconnu"))</f>
        <v/>
      </c>
      <c r="E1691" s="68" t="n"/>
      <c r="F1691" s="68" t="n"/>
      <c r="G1691" s="66" t="n"/>
      <c r="H1691" s="66" t="n"/>
      <c r="I1691" s="68" t="n"/>
      <c r="J1691" s="73" t="n"/>
      <c r="K1691" s="71" t="n"/>
      <c r="L1691" s="71" t="n"/>
      <c r="M1691" s="66" t="n"/>
      <c r="N1691" s="80" t="n"/>
      <c r="O1691" s="81" t="str">
        <f>IF(A1691="","",ROUND(V1691*IFERROR(N(INDEX(tech_rate,MATCH(M1691,tech_name,0))),0),2))</f>
        <v/>
      </c>
      <c r="P1691" s="80" t="n"/>
      <c r="Q1691" s="81" t="str">
        <f>IF(A1691="","",ROUND(Y1691+O1691+Z1691,2))</f>
        <v/>
      </c>
      <c r="R1691" s="79" t="str">
        <f>IF(A1691="","",IF(S1691=0,"Date manquante ou invalide",IF(C1691="","Équipement manquant",IF(ISNA(MATCH(C1691,eq_code,0)),"Équipement inconnu",IF(E1691="","Type manquant",IF(AND(E1691&lt;&gt;"Préventif",E1691&lt;&gt;"Correctif",E1691&lt;&gt;"Amélioratif"),"Type inconnu",IF(I1691="","Statut manquant",IF(AND(I1691&lt;&gt;"Terminée",I1691&lt;&gt;"En cours",I1691&lt;&gt;"À faire",I1691&lt;&gt;"Annulée"),"Statut inconnu",IF(AND(E1691="Préventif",F1691=""),"Plan manquant (préventif)",IF(AND(F1691&lt;&gt;"",ISNA(MATCH(F1691,pl_num,0))),"Plan inconnu",IF(AND(F1691&lt;&gt;"",IFERROR(INDEX(pl_eq,MATCH(F1691,pl_num,0))&amp;"",C1691)&lt;&gt;C1691),"Plan d'un autre équipement",IF(AND(J1691&lt;&gt;"",OR(NOT(ISNUMBER(J1691)),N(J1691)&lt;0)),"Compteur invalide",IF(OR(AND(K1691&lt;&gt;"",OR(NOT(ISNUMBER(K1691)),N(K1691)&lt;0)),AND(L1691&lt;&gt;"",OR(NOT(ISNUMBER(L1691)),N(L1691)&lt;0))),"Durée invalide",IF(OR(AND(N1691&lt;&gt;"",OR(NOT(ISNUMBER(N1691)),N(N1691)&lt;0)),AND(P1691&lt;&gt;"",OR(NOT(ISNUMBER(P1691)),N(P1691)&lt;0))),"Coût invalide",IF(AND(M1691&lt;&gt;"",ISNA(MATCH(M1691,tech_name,0))),"Technicien inconnu",IF(AND(I1691="Terminée",S1691&gt;p_today),"Terminée à une date future",IF(AND(I1691="Terminée",V1691=0),"Durée d'intervention manquante",IF(AND(I1691="Terminée",E1691="Préventif",T1691=0,OR(IFERROR(INDEX(pl_trig,MATCH(F1691,pl_num,0))&amp;"","")="Compteur",IFERROR(INDEX(pl_trig,MATCH(F1691,pl_num,0))&amp;"","")="Au premier des deux")),"Compteur manquant (plan au compteur)","OK"))))))))))))))))))</f>
        <v/>
      </c>
      <c r="S1691" s="67">
        <f>IF(AND(ISNUMBER(B1691),N(B1691)&gt;0),INT(B1691),0)</f>
        <v>0.0</v>
      </c>
      <c r="T1691" s="67">
        <f>IF(AND(ISNUMBER(J1691),N(J1691)&gt;=0),N(J1691),0)</f>
        <v>0.0</v>
      </c>
      <c r="U1691" s="67">
        <f>IF(AND(ISNUMBER(K1691),N(K1691)&gt;0),N(K1691),0)</f>
        <v>0.0</v>
      </c>
      <c r="V1691" s="67">
        <f>IF(AND(ISNUMBER(L1691),N(L1691)&gt;0),N(L1691),0)</f>
        <v>0.0</v>
      </c>
      <c r="W1691" s="67">
        <f>IF(AND(I1691="Terminée",S1691&gt;0,C1691&lt;&gt;"",ISNUMBER(MATCH(C1691,eq_code,0))),1,0)</f>
        <v>0.0</v>
      </c>
      <c r="X1691" s="67">
        <f>IF(AND(W1691=1,E1691="Préventif"),1,0)</f>
        <v>0.0</v>
      </c>
      <c r="Y1691" s="67">
        <f>IF(AND(ISNUMBER(N1691),N(N1691)&gt;0),N(N1691),0)</f>
        <v>0.0</v>
      </c>
      <c r="Z1691" s="67">
        <f>IF(AND(ISNUMBER(P1691),N(P1691)&gt;0),N(P1691),0)</f>
        <v>0.0</v>
      </c>
    </row>
    <row r="1692">
      <c r="A1692" s="79" t="str">
        <f>IF(COUNTA(B1692:C1692,E1692:G1692,I1692)=0,"","BI-"&amp;RIGHT("0000"&amp;(ROW()-5),4))</f>
        <v/>
      </c>
      <c r="B1692" s="72" t="n"/>
      <c r="C1692" s="66" t="n"/>
      <c r="D1692" s="67" t="str">
        <f>IF(C1692="","",IFERROR(INDEX(eq_des,MATCH(C1692,eq_code,0))&amp;"","Équipement inconnu"))</f>
        <v/>
      </c>
      <c r="E1692" s="68" t="n"/>
      <c r="F1692" s="68" t="n"/>
      <c r="G1692" s="66" t="n"/>
      <c r="H1692" s="66" t="n"/>
      <c r="I1692" s="68" t="n"/>
      <c r="J1692" s="73" t="n"/>
      <c r="K1692" s="71" t="n"/>
      <c r="L1692" s="71" t="n"/>
      <c r="M1692" s="66" t="n"/>
      <c r="N1692" s="80" t="n"/>
      <c r="O1692" s="81" t="str">
        <f>IF(A1692="","",ROUND(V1692*IFERROR(N(INDEX(tech_rate,MATCH(M1692,tech_name,0))),0),2))</f>
        <v/>
      </c>
      <c r="P1692" s="80" t="n"/>
      <c r="Q1692" s="81" t="str">
        <f>IF(A1692="","",ROUND(Y1692+O1692+Z1692,2))</f>
        <v/>
      </c>
      <c r="R1692" s="79" t="str">
        <f>IF(A1692="","",IF(S1692=0,"Date manquante ou invalide",IF(C1692="","Équipement manquant",IF(ISNA(MATCH(C1692,eq_code,0)),"Équipement inconnu",IF(E1692="","Type manquant",IF(AND(E1692&lt;&gt;"Préventif",E1692&lt;&gt;"Correctif",E1692&lt;&gt;"Amélioratif"),"Type inconnu",IF(I1692="","Statut manquant",IF(AND(I1692&lt;&gt;"Terminée",I1692&lt;&gt;"En cours",I1692&lt;&gt;"À faire",I1692&lt;&gt;"Annulée"),"Statut inconnu",IF(AND(E1692="Préventif",F1692=""),"Plan manquant (préventif)",IF(AND(F1692&lt;&gt;"",ISNA(MATCH(F1692,pl_num,0))),"Plan inconnu",IF(AND(F1692&lt;&gt;"",IFERROR(INDEX(pl_eq,MATCH(F1692,pl_num,0))&amp;"",C1692)&lt;&gt;C1692),"Plan d'un autre équipement",IF(AND(J1692&lt;&gt;"",OR(NOT(ISNUMBER(J1692)),N(J1692)&lt;0)),"Compteur invalide",IF(OR(AND(K1692&lt;&gt;"",OR(NOT(ISNUMBER(K1692)),N(K1692)&lt;0)),AND(L1692&lt;&gt;"",OR(NOT(ISNUMBER(L1692)),N(L1692)&lt;0))),"Durée invalide",IF(OR(AND(N1692&lt;&gt;"",OR(NOT(ISNUMBER(N1692)),N(N1692)&lt;0)),AND(P1692&lt;&gt;"",OR(NOT(ISNUMBER(P1692)),N(P1692)&lt;0))),"Coût invalide",IF(AND(M1692&lt;&gt;"",ISNA(MATCH(M1692,tech_name,0))),"Technicien inconnu",IF(AND(I1692="Terminée",S1692&gt;p_today),"Terminée à une date future",IF(AND(I1692="Terminée",V1692=0),"Durée d'intervention manquante",IF(AND(I1692="Terminée",E1692="Préventif",T1692=0,OR(IFERROR(INDEX(pl_trig,MATCH(F1692,pl_num,0))&amp;"","")="Compteur",IFERROR(INDEX(pl_trig,MATCH(F1692,pl_num,0))&amp;"","")="Au premier des deux")),"Compteur manquant (plan au compteur)","OK"))))))))))))))))))</f>
        <v/>
      </c>
      <c r="S1692" s="67">
        <f>IF(AND(ISNUMBER(B1692),N(B1692)&gt;0),INT(B1692),0)</f>
        <v>0.0</v>
      </c>
      <c r="T1692" s="67">
        <f>IF(AND(ISNUMBER(J1692),N(J1692)&gt;=0),N(J1692),0)</f>
        <v>0.0</v>
      </c>
      <c r="U1692" s="67">
        <f>IF(AND(ISNUMBER(K1692),N(K1692)&gt;0),N(K1692),0)</f>
        <v>0.0</v>
      </c>
      <c r="V1692" s="67">
        <f>IF(AND(ISNUMBER(L1692),N(L1692)&gt;0),N(L1692),0)</f>
        <v>0.0</v>
      </c>
      <c r="W1692" s="67">
        <f>IF(AND(I1692="Terminée",S1692&gt;0,C1692&lt;&gt;"",ISNUMBER(MATCH(C1692,eq_code,0))),1,0)</f>
        <v>0.0</v>
      </c>
      <c r="X1692" s="67">
        <f>IF(AND(W1692=1,E1692="Préventif"),1,0)</f>
        <v>0.0</v>
      </c>
      <c r="Y1692" s="67">
        <f>IF(AND(ISNUMBER(N1692),N(N1692)&gt;0),N(N1692),0)</f>
        <v>0.0</v>
      </c>
      <c r="Z1692" s="67">
        <f>IF(AND(ISNUMBER(P1692),N(P1692)&gt;0),N(P1692),0)</f>
        <v>0.0</v>
      </c>
    </row>
    <row r="1693">
      <c r="A1693" s="79" t="str">
        <f>IF(COUNTA(B1693:C1693,E1693:G1693,I1693)=0,"","BI-"&amp;RIGHT("0000"&amp;(ROW()-5),4))</f>
        <v/>
      </c>
      <c r="B1693" s="72" t="n"/>
      <c r="C1693" s="66" t="n"/>
      <c r="D1693" s="67" t="str">
        <f>IF(C1693="","",IFERROR(INDEX(eq_des,MATCH(C1693,eq_code,0))&amp;"","Équipement inconnu"))</f>
        <v/>
      </c>
      <c r="E1693" s="68" t="n"/>
      <c r="F1693" s="68" t="n"/>
      <c r="G1693" s="66" t="n"/>
      <c r="H1693" s="66" t="n"/>
      <c r="I1693" s="68" t="n"/>
      <c r="J1693" s="73" t="n"/>
      <c r="K1693" s="71" t="n"/>
      <c r="L1693" s="71" t="n"/>
      <c r="M1693" s="66" t="n"/>
      <c r="N1693" s="80" t="n"/>
      <c r="O1693" s="81" t="str">
        <f>IF(A1693="","",ROUND(V1693*IFERROR(N(INDEX(tech_rate,MATCH(M1693,tech_name,0))),0),2))</f>
        <v/>
      </c>
      <c r="P1693" s="80" t="n"/>
      <c r="Q1693" s="81" t="str">
        <f>IF(A1693="","",ROUND(Y1693+O1693+Z1693,2))</f>
        <v/>
      </c>
      <c r="R1693" s="79" t="str">
        <f>IF(A1693="","",IF(S1693=0,"Date manquante ou invalide",IF(C1693="","Équipement manquant",IF(ISNA(MATCH(C1693,eq_code,0)),"Équipement inconnu",IF(E1693="","Type manquant",IF(AND(E1693&lt;&gt;"Préventif",E1693&lt;&gt;"Correctif",E1693&lt;&gt;"Amélioratif"),"Type inconnu",IF(I1693="","Statut manquant",IF(AND(I1693&lt;&gt;"Terminée",I1693&lt;&gt;"En cours",I1693&lt;&gt;"À faire",I1693&lt;&gt;"Annulée"),"Statut inconnu",IF(AND(E1693="Préventif",F1693=""),"Plan manquant (préventif)",IF(AND(F1693&lt;&gt;"",ISNA(MATCH(F1693,pl_num,0))),"Plan inconnu",IF(AND(F1693&lt;&gt;"",IFERROR(INDEX(pl_eq,MATCH(F1693,pl_num,0))&amp;"",C1693)&lt;&gt;C1693),"Plan d'un autre équipement",IF(AND(J1693&lt;&gt;"",OR(NOT(ISNUMBER(J1693)),N(J1693)&lt;0)),"Compteur invalide",IF(OR(AND(K1693&lt;&gt;"",OR(NOT(ISNUMBER(K1693)),N(K1693)&lt;0)),AND(L1693&lt;&gt;"",OR(NOT(ISNUMBER(L1693)),N(L1693)&lt;0))),"Durée invalide",IF(OR(AND(N1693&lt;&gt;"",OR(NOT(ISNUMBER(N1693)),N(N1693)&lt;0)),AND(P1693&lt;&gt;"",OR(NOT(ISNUMBER(P1693)),N(P1693)&lt;0))),"Coût invalide",IF(AND(M1693&lt;&gt;"",ISNA(MATCH(M1693,tech_name,0))),"Technicien inconnu",IF(AND(I1693="Terminée",S1693&gt;p_today),"Terminée à une date future",IF(AND(I1693="Terminée",V1693=0),"Durée d'intervention manquante",IF(AND(I1693="Terminée",E1693="Préventif",T1693=0,OR(IFERROR(INDEX(pl_trig,MATCH(F1693,pl_num,0))&amp;"","")="Compteur",IFERROR(INDEX(pl_trig,MATCH(F1693,pl_num,0))&amp;"","")="Au premier des deux")),"Compteur manquant (plan au compteur)","OK"))))))))))))))))))</f>
        <v/>
      </c>
      <c r="S1693" s="67">
        <f>IF(AND(ISNUMBER(B1693),N(B1693)&gt;0),INT(B1693),0)</f>
        <v>0.0</v>
      </c>
      <c r="T1693" s="67">
        <f>IF(AND(ISNUMBER(J1693),N(J1693)&gt;=0),N(J1693),0)</f>
        <v>0.0</v>
      </c>
      <c r="U1693" s="67">
        <f>IF(AND(ISNUMBER(K1693),N(K1693)&gt;0),N(K1693),0)</f>
        <v>0.0</v>
      </c>
      <c r="V1693" s="67">
        <f>IF(AND(ISNUMBER(L1693),N(L1693)&gt;0),N(L1693),0)</f>
        <v>0.0</v>
      </c>
      <c r="W1693" s="67">
        <f>IF(AND(I1693="Terminée",S1693&gt;0,C1693&lt;&gt;"",ISNUMBER(MATCH(C1693,eq_code,0))),1,0)</f>
        <v>0.0</v>
      </c>
      <c r="X1693" s="67">
        <f>IF(AND(W1693=1,E1693="Préventif"),1,0)</f>
        <v>0.0</v>
      </c>
      <c r="Y1693" s="67">
        <f>IF(AND(ISNUMBER(N1693),N(N1693)&gt;0),N(N1693),0)</f>
        <v>0.0</v>
      </c>
      <c r="Z1693" s="67">
        <f>IF(AND(ISNUMBER(P1693),N(P1693)&gt;0),N(P1693),0)</f>
        <v>0.0</v>
      </c>
    </row>
    <row r="1694">
      <c r="A1694" s="79" t="str">
        <f>IF(COUNTA(B1694:C1694,E1694:G1694,I1694)=0,"","BI-"&amp;RIGHT("0000"&amp;(ROW()-5),4))</f>
        <v/>
      </c>
      <c r="B1694" s="72" t="n"/>
      <c r="C1694" s="66" t="n"/>
      <c r="D1694" s="67" t="str">
        <f>IF(C1694="","",IFERROR(INDEX(eq_des,MATCH(C1694,eq_code,0))&amp;"","Équipement inconnu"))</f>
        <v/>
      </c>
      <c r="E1694" s="68" t="n"/>
      <c r="F1694" s="68" t="n"/>
      <c r="G1694" s="66" t="n"/>
      <c r="H1694" s="66" t="n"/>
      <c r="I1694" s="68" t="n"/>
      <c r="J1694" s="73" t="n"/>
      <c r="K1694" s="71" t="n"/>
      <c r="L1694" s="71" t="n"/>
      <c r="M1694" s="66" t="n"/>
      <c r="N1694" s="80" t="n"/>
      <c r="O1694" s="81" t="str">
        <f>IF(A1694="","",ROUND(V1694*IFERROR(N(INDEX(tech_rate,MATCH(M1694,tech_name,0))),0),2))</f>
        <v/>
      </c>
      <c r="P1694" s="80" t="n"/>
      <c r="Q1694" s="81" t="str">
        <f>IF(A1694="","",ROUND(Y1694+O1694+Z1694,2))</f>
        <v/>
      </c>
      <c r="R1694" s="79" t="str">
        <f>IF(A1694="","",IF(S1694=0,"Date manquante ou invalide",IF(C1694="","Équipement manquant",IF(ISNA(MATCH(C1694,eq_code,0)),"Équipement inconnu",IF(E1694="","Type manquant",IF(AND(E1694&lt;&gt;"Préventif",E1694&lt;&gt;"Correctif",E1694&lt;&gt;"Amélioratif"),"Type inconnu",IF(I1694="","Statut manquant",IF(AND(I1694&lt;&gt;"Terminée",I1694&lt;&gt;"En cours",I1694&lt;&gt;"À faire",I1694&lt;&gt;"Annulée"),"Statut inconnu",IF(AND(E1694="Préventif",F1694=""),"Plan manquant (préventif)",IF(AND(F1694&lt;&gt;"",ISNA(MATCH(F1694,pl_num,0))),"Plan inconnu",IF(AND(F1694&lt;&gt;"",IFERROR(INDEX(pl_eq,MATCH(F1694,pl_num,0))&amp;"",C1694)&lt;&gt;C1694),"Plan d'un autre équipement",IF(AND(J1694&lt;&gt;"",OR(NOT(ISNUMBER(J1694)),N(J1694)&lt;0)),"Compteur invalide",IF(OR(AND(K1694&lt;&gt;"",OR(NOT(ISNUMBER(K1694)),N(K1694)&lt;0)),AND(L1694&lt;&gt;"",OR(NOT(ISNUMBER(L1694)),N(L1694)&lt;0))),"Durée invalide",IF(OR(AND(N1694&lt;&gt;"",OR(NOT(ISNUMBER(N1694)),N(N1694)&lt;0)),AND(P1694&lt;&gt;"",OR(NOT(ISNUMBER(P1694)),N(P1694)&lt;0))),"Coût invalide",IF(AND(M1694&lt;&gt;"",ISNA(MATCH(M1694,tech_name,0))),"Technicien inconnu",IF(AND(I1694="Terminée",S1694&gt;p_today),"Terminée à une date future",IF(AND(I1694="Terminée",V1694=0),"Durée d'intervention manquante",IF(AND(I1694="Terminée",E1694="Préventif",T1694=0,OR(IFERROR(INDEX(pl_trig,MATCH(F1694,pl_num,0))&amp;"","")="Compteur",IFERROR(INDEX(pl_trig,MATCH(F1694,pl_num,0))&amp;"","")="Au premier des deux")),"Compteur manquant (plan au compteur)","OK"))))))))))))))))))</f>
        <v/>
      </c>
      <c r="S1694" s="67">
        <f>IF(AND(ISNUMBER(B1694),N(B1694)&gt;0),INT(B1694),0)</f>
        <v>0.0</v>
      </c>
      <c r="T1694" s="67">
        <f>IF(AND(ISNUMBER(J1694),N(J1694)&gt;=0),N(J1694),0)</f>
        <v>0.0</v>
      </c>
      <c r="U1694" s="67">
        <f>IF(AND(ISNUMBER(K1694),N(K1694)&gt;0),N(K1694),0)</f>
        <v>0.0</v>
      </c>
      <c r="V1694" s="67">
        <f>IF(AND(ISNUMBER(L1694),N(L1694)&gt;0),N(L1694),0)</f>
        <v>0.0</v>
      </c>
      <c r="W1694" s="67">
        <f>IF(AND(I1694="Terminée",S1694&gt;0,C1694&lt;&gt;"",ISNUMBER(MATCH(C1694,eq_code,0))),1,0)</f>
        <v>0.0</v>
      </c>
      <c r="X1694" s="67">
        <f>IF(AND(W1694=1,E1694="Préventif"),1,0)</f>
        <v>0.0</v>
      </c>
      <c r="Y1694" s="67">
        <f>IF(AND(ISNUMBER(N1694),N(N1694)&gt;0),N(N1694),0)</f>
        <v>0.0</v>
      </c>
      <c r="Z1694" s="67">
        <f>IF(AND(ISNUMBER(P1694),N(P1694)&gt;0),N(P1694),0)</f>
        <v>0.0</v>
      </c>
    </row>
    <row r="1695">
      <c r="A1695" s="79" t="str">
        <f>IF(COUNTA(B1695:C1695,E1695:G1695,I1695)=0,"","BI-"&amp;RIGHT("0000"&amp;(ROW()-5),4))</f>
        <v/>
      </c>
      <c r="B1695" s="72" t="n"/>
      <c r="C1695" s="66" t="n"/>
      <c r="D1695" s="67" t="str">
        <f>IF(C1695="","",IFERROR(INDEX(eq_des,MATCH(C1695,eq_code,0))&amp;"","Équipement inconnu"))</f>
        <v/>
      </c>
      <c r="E1695" s="68" t="n"/>
      <c r="F1695" s="68" t="n"/>
      <c r="G1695" s="66" t="n"/>
      <c r="H1695" s="66" t="n"/>
      <c r="I1695" s="68" t="n"/>
      <c r="J1695" s="73" t="n"/>
      <c r="K1695" s="71" t="n"/>
      <c r="L1695" s="71" t="n"/>
      <c r="M1695" s="66" t="n"/>
      <c r="N1695" s="80" t="n"/>
      <c r="O1695" s="81" t="str">
        <f>IF(A1695="","",ROUND(V1695*IFERROR(N(INDEX(tech_rate,MATCH(M1695,tech_name,0))),0),2))</f>
        <v/>
      </c>
      <c r="P1695" s="80" t="n"/>
      <c r="Q1695" s="81" t="str">
        <f>IF(A1695="","",ROUND(Y1695+O1695+Z1695,2))</f>
        <v/>
      </c>
      <c r="R1695" s="79" t="str">
        <f>IF(A1695="","",IF(S1695=0,"Date manquante ou invalide",IF(C1695="","Équipement manquant",IF(ISNA(MATCH(C1695,eq_code,0)),"Équipement inconnu",IF(E1695="","Type manquant",IF(AND(E1695&lt;&gt;"Préventif",E1695&lt;&gt;"Correctif",E1695&lt;&gt;"Amélioratif"),"Type inconnu",IF(I1695="","Statut manquant",IF(AND(I1695&lt;&gt;"Terminée",I1695&lt;&gt;"En cours",I1695&lt;&gt;"À faire",I1695&lt;&gt;"Annulée"),"Statut inconnu",IF(AND(E1695="Préventif",F1695=""),"Plan manquant (préventif)",IF(AND(F1695&lt;&gt;"",ISNA(MATCH(F1695,pl_num,0))),"Plan inconnu",IF(AND(F1695&lt;&gt;"",IFERROR(INDEX(pl_eq,MATCH(F1695,pl_num,0))&amp;"",C1695)&lt;&gt;C1695),"Plan d'un autre équipement",IF(AND(J1695&lt;&gt;"",OR(NOT(ISNUMBER(J1695)),N(J1695)&lt;0)),"Compteur invalide",IF(OR(AND(K1695&lt;&gt;"",OR(NOT(ISNUMBER(K1695)),N(K1695)&lt;0)),AND(L1695&lt;&gt;"",OR(NOT(ISNUMBER(L1695)),N(L1695)&lt;0))),"Durée invalide",IF(OR(AND(N1695&lt;&gt;"",OR(NOT(ISNUMBER(N1695)),N(N1695)&lt;0)),AND(P1695&lt;&gt;"",OR(NOT(ISNUMBER(P1695)),N(P1695)&lt;0))),"Coût invalide",IF(AND(M1695&lt;&gt;"",ISNA(MATCH(M1695,tech_name,0))),"Technicien inconnu",IF(AND(I1695="Terminée",S1695&gt;p_today),"Terminée à une date future",IF(AND(I1695="Terminée",V1695=0),"Durée d'intervention manquante",IF(AND(I1695="Terminée",E1695="Préventif",T1695=0,OR(IFERROR(INDEX(pl_trig,MATCH(F1695,pl_num,0))&amp;"","")="Compteur",IFERROR(INDEX(pl_trig,MATCH(F1695,pl_num,0))&amp;"","")="Au premier des deux")),"Compteur manquant (plan au compteur)","OK"))))))))))))))))))</f>
        <v/>
      </c>
      <c r="S1695" s="67">
        <f>IF(AND(ISNUMBER(B1695),N(B1695)&gt;0),INT(B1695),0)</f>
        <v>0.0</v>
      </c>
      <c r="T1695" s="67">
        <f>IF(AND(ISNUMBER(J1695),N(J1695)&gt;=0),N(J1695),0)</f>
        <v>0.0</v>
      </c>
      <c r="U1695" s="67">
        <f>IF(AND(ISNUMBER(K1695),N(K1695)&gt;0),N(K1695),0)</f>
        <v>0.0</v>
      </c>
      <c r="V1695" s="67">
        <f>IF(AND(ISNUMBER(L1695),N(L1695)&gt;0),N(L1695),0)</f>
        <v>0.0</v>
      </c>
      <c r="W1695" s="67">
        <f>IF(AND(I1695="Terminée",S1695&gt;0,C1695&lt;&gt;"",ISNUMBER(MATCH(C1695,eq_code,0))),1,0)</f>
        <v>0.0</v>
      </c>
      <c r="X1695" s="67">
        <f>IF(AND(W1695=1,E1695="Préventif"),1,0)</f>
        <v>0.0</v>
      </c>
      <c r="Y1695" s="67">
        <f>IF(AND(ISNUMBER(N1695),N(N1695)&gt;0),N(N1695),0)</f>
        <v>0.0</v>
      </c>
      <c r="Z1695" s="67">
        <f>IF(AND(ISNUMBER(P1695),N(P1695)&gt;0),N(P1695),0)</f>
        <v>0.0</v>
      </c>
    </row>
    <row r="1696">
      <c r="A1696" s="79" t="str">
        <f>IF(COUNTA(B1696:C1696,E1696:G1696,I1696)=0,"","BI-"&amp;RIGHT("0000"&amp;(ROW()-5),4))</f>
        <v/>
      </c>
      <c r="B1696" s="72" t="n"/>
      <c r="C1696" s="66" t="n"/>
      <c r="D1696" s="67" t="str">
        <f>IF(C1696="","",IFERROR(INDEX(eq_des,MATCH(C1696,eq_code,0))&amp;"","Équipement inconnu"))</f>
        <v/>
      </c>
      <c r="E1696" s="68" t="n"/>
      <c r="F1696" s="68" t="n"/>
      <c r="G1696" s="66" t="n"/>
      <c r="H1696" s="66" t="n"/>
      <c r="I1696" s="68" t="n"/>
      <c r="J1696" s="73" t="n"/>
      <c r="K1696" s="71" t="n"/>
      <c r="L1696" s="71" t="n"/>
      <c r="M1696" s="66" t="n"/>
      <c r="N1696" s="80" t="n"/>
      <c r="O1696" s="81" t="str">
        <f>IF(A1696="","",ROUND(V1696*IFERROR(N(INDEX(tech_rate,MATCH(M1696,tech_name,0))),0),2))</f>
        <v/>
      </c>
      <c r="P1696" s="80" t="n"/>
      <c r="Q1696" s="81" t="str">
        <f>IF(A1696="","",ROUND(Y1696+O1696+Z1696,2))</f>
        <v/>
      </c>
      <c r="R1696" s="79" t="str">
        <f>IF(A1696="","",IF(S1696=0,"Date manquante ou invalide",IF(C1696="","Équipement manquant",IF(ISNA(MATCH(C1696,eq_code,0)),"Équipement inconnu",IF(E1696="","Type manquant",IF(AND(E1696&lt;&gt;"Préventif",E1696&lt;&gt;"Correctif",E1696&lt;&gt;"Amélioratif"),"Type inconnu",IF(I1696="","Statut manquant",IF(AND(I1696&lt;&gt;"Terminée",I1696&lt;&gt;"En cours",I1696&lt;&gt;"À faire",I1696&lt;&gt;"Annulée"),"Statut inconnu",IF(AND(E1696="Préventif",F1696=""),"Plan manquant (préventif)",IF(AND(F1696&lt;&gt;"",ISNA(MATCH(F1696,pl_num,0))),"Plan inconnu",IF(AND(F1696&lt;&gt;"",IFERROR(INDEX(pl_eq,MATCH(F1696,pl_num,0))&amp;"",C1696)&lt;&gt;C1696),"Plan d'un autre équipement",IF(AND(J1696&lt;&gt;"",OR(NOT(ISNUMBER(J1696)),N(J1696)&lt;0)),"Compteur invalide",IF(OR(AND(K1696&lt;&gt;"",OR(NOT(ISNUMBER(K1696)),N(K1696)&lt;0)),AND(L1696&lt;&gt;"",OR(NOT(ISNUMBER(L1696)),N(L1696)&lt;0))),"Durée invalide",IF(OR(AND(N1696&lt;&gt;"",OR(NOT(ISNUMBER(N1696)),N(N1696)&lt;0)),AND(P1696&lt;&gt;"",OR(NOT(ISNUMBER(P1696)),N(P1696)&lt;0))),"Coût invalide",IF(AND(M1696&lt;&gt;"",ISNA(MATCH(M1696,tech_name,0))),"Technicien inconnu",IF(AND(I1696="Terminée",S1696&gt;p_today),"Terminée à une date future",IF(AND(I1696="Terminée",V1696=0),"Durée d'intervention manquante",IF(AND(I1696="Terminée",E1696="Préventif",T1696=0,OR(IFERROR(INDEX(pl_trig,MATCH(F1696,pl_num,0))&amp;"","")="Compteur",IFERROR(INDEX(pl_trig,MATCH(F1696,pl_num,0))&amp;"","")="Au premier des deux")),"Compteur manquant (plan au compteur)","OK"))))))))))))))))))</f>
        <v/>
      </c>
      <c r="S1696" s="67">
        <f>IF(AND(ISNUMBER(B1696),N(B1696)&gt;0),INT(B1696),0)</f>
        <v>0.0</v>
      </c>
      <c r="T1696" s="67">
        <f>IF(AND(ISNUMBER(J1696),N(J1696)&gt;=0),N(J1696),0)</f>
        <v>0.0</v>
      </c>
      <c r="U1696" s="67">
        <f>IF(AND(ISNUMBER(K1696),N(K1696)&gt;0),N(K1696),0)</f>
        <v>0.0</v>
      </c>
      <c r="V1696" s="67">
        <f>IF(AND(ISNUMBER(L1696),N(L1696)&gt;0),N(L1696),0)</f>
        <v>0.0</v>
      </c>
      <c r="W1696" s="67">
        <f>IF(AND(I1696="Terminée",S1696&gt;0,C1696&lt;&gt;"",ISNUMBER(MATCH(C1696,eq_code,0))),1,0)</f>
        <v>0.0</v>
      </c>
      <c r="X1696" s="67">
        <f>IF(AND(W1696=1,E1696="Préventif"),1,0)</f>
        <v>0.0</v>
      </c>
      <c r="Y1696" s="67">
        <f>IF(AND(ISNUMBER(N1696),N(N1696)&gt;0),N(N1696),0)</f>
        <v>0.0</v>
      </c>
      <c r="Z1696" s="67">
        <f>IF(AND(ISNUMBER(P1696),N(P1696)&gt;0),N(P1696),0)</f>
        <v>0.0</v>
      </c>
    </row>
    <row r="1697">
      <c r="A1697" s="79" t="str">
        <f>IF(COUNTA(B1697:C1697,E1697:G1697,I1697)=0,"","BI-"&amp;RIGHT("0000"&amp;(ROW()-5),4))</f>
        <v/>
      </c>
      <c r="B1697" s="72" t="n"/>
      <c r="C1697" s="66" t="n"/>
      <c r="D1697" s="67" t="str">
        <f>IF(C1697="","",IFERROR(INDEX(eq_des,MATCH(C1697,eq_code,0))&amp;"","Équipement inconnu"))</f>
        <v/>
      </c>
      <c r="E1697" s="68" t="n"/>
      <c r="F1697" s="68" t="n"/>
      <c r="G1697" s="66" t="n"/>
      <c r="H1697" s="66" t="n"/>
      <c r="I1697" s="68" t="n"/>
      <c r="J1697" s="73" t="n"/>
      <c r="K1697" s="71" t="n"/>
      <c r="L1697" s="71" t="n"/>
      <c r="M1697" s="66" t="n"/>
      <c r="N1697" s="80" t="n"/>
      <c r="O1697" s="81" t="str">
        <f>IF(A1697="","",ROUND(V1697*IFERROR(N(INDEX(tech_rate,MATCH(M1697,tech_name,0))),0),2))</f>
        <v/>
      </c>
      <c r="P1697" s="80" t="n"/>
      <c r="Q1697" s="81" t="str">
        <f>IF(A1697="","",ROUND(Y1697+O1697+Z1697,2))</f>
        <v/>
      </c>
      <c r="R1697" s="79" t="str">
        <f>IF(A1697="","",IF(S1697=0,"Date manquante ou invalide",IF(C1697="","Équipement manquant",IF(ISNA(MATCH(C1697,eq_code,0)),"Équipement inconnu",IF(E1697="","Type manquant",IF(AND(E1697&lt;&gt;"Préventif",E1697&lt;&gt;"Correctif",E1697&lt;&gt;"Amélioratif"),"Type inconnu",IF(I1697="","Statut manquant",IF(AND(I1697&lt;&gt;"Terminée",I1697&lt;&gt;"En cours",I1697&lt;&gt;"À faire",I1697&lt;&gt;"Annulée"),"Statut inconnu",IF(AND(E1697="Préventif",F1697=""),"Plan manquant (préventif)",IF(AND(F1697&lt;&gt;"",ISNA(MATCH(F1697,pl_num,0))),"Plan inconnu",IF(AND(F1697&lt;&gt;"",IFERROR(INDEX(pl_eq,MATCH(F1697,pl_num,0))&amp;"",C1697)&lt;&gt;C1697),"Plan d'un autre équipement",IF(AND(J1697&lt;&gt;"",OR(NOT(ISNUMBER(J1697)),N(J1697)&lt;0)),"Compteur invalide",IF(OR(AND(K1697&lt;&gt;"",OR(NOT(ISNUMBER(K1697)),N(K1697)&lt;0)),AND(L1697&lt;&gt;"",OR(NOT(ISNUMBER(L1697)),N(L1697)&lt;0))),"Durée invalide",IF(OR(AND(N1697&lt;&gt;"",OR(NOT(ISNUMBER(N1697)),N(N1697)&lt;0)),AND(P1697&lt;&gt;"",OR(NOT(ISNUMBER(P1697)),N(P1697)&lt;0))),"Coût invalide",IF(AND(M1697&lt;&gt;"",ISNA(MATCH(M1697,tech_name,0))),"Technicien inconnu",IF(AND(I1697="Terminée",S1697&gt;p_today),"Terminée à une date future",IF(AND(I1697="Terminée",V1697=0),"Durée d'intervention manquante",IF(AND(I1697="Terminée",E1697="Préventif",T1697=0,OR(IFERROR(INDEX(pl_trig,MATCH(F1697,pl_num,0))&amp;"","")="Compteur",IFERROR(INDEX(pl_trig,MATCH(F1697,pl_num,0))&amp;"","")="Au premier des deux")),"Compteur manquant (plan au compteur)","OK"))))))))))))))))))</f>
        <v/>
      </c>
      <c r="S1697" s="67">
        <f>IF(AND(ISNUMBER(B1697),N(B1697)&gt;0),INT(B1697),0)</f>
        <v>0.0</v>
      </c>
      <c r="T1697" s="67">
        <f>IF(AND(ISNUMBER(J1697),N(J1697)&gt;=0),N(J1697),0)</f>
        <v>0.0</v>
      </c>
      <c r="U1697" s="67">
        <f>IF(AND(ISNUMBER(K1697),N(K1697)&gt;0),N(K1697),0)</f>
        <v>0.0</v>
      </c>
      <c r="V1697" s="67">
        <f>IF(AND(ISNUMBER(L1697),N(L1697)&gt;0),N(L1697),0)</f>
        <v>0.0</v>
      </c>
      <c r="W1697" s="67">
        <f>IF(AND(I1697="Terminée",S1697&gt;0,C1697&lt;&gt;"",ISNUMBER(MATCH(C1697,eq_code,0))),1,0)</f>
        <v>0.0</v>
      </c>
      <c r="X1697" s="67">
        <f>IF(AND(W1697=1,E1697="Préventif"),1,0)</f>
        <v>0.0</v>
      </c>
      <c r="Y1697" s="67">
        <f>IF(AND(ISNUMBER(N1697),N(N1697)&gt;0),N(N1697),0)</f>
        <v>0.0</v>
      </c>
      <c r="Z1697" s="67">
        <f>IF(AND(ISNUMBER(P1697),N(P1697)&gt;0),N(P1697),0)</f>
        <v>0.0</v>
      </c>
    </row>
    <row r="1698">
      <c r="A1698" s="79" t="str">
        <f>IF(COUNTA(B1698:C1698,E1698:G1698,I1698)=0,"","BI-"&amp;RIGHT("0000"&amp;(ROW()-5),4))</f>
        <v/>
      </c>
      <c r="B1698" s="72" t="n"/>
      <c r="C1698" s="66" t="n"/>
      <c r="D1698" s="67" t="str">
        <f>IF(C1698="","",IFERROR(INDEX(eq_des,MATCH(C1698,eq_code,0))&amp;"","Équipement inconnu"))</f>
        <v/>
      </c>
      <c r="E1698" s="68" t="n"/>
      <c r="F1698" s="68" t="n"/>
      <c r="G1698" s="66" t="n"/>
      <c r="H1698" s="66" t="n"/>
      <c r="I1698" s="68" t="n"/>
      <c r="J1698" s="73" t="n"/>
      <c r="K1698" s="71" t="n"/>
      <c r="L1698" s="71" t="n"/>
      <c r="M1698" s="66" t="n"/>
      <c r="N1698" s="80" t="n"/>
      <c r="O1698" s="81" t="str">
        <f>IF(A1698="","",ROUND(V1698*IFERROR(N(INDEX(tech_rate,MATCH(M1698,tech_name,0))),0),2))</f>
        <v/>
      </c>
      <c r="P1698" s="80" t="n"/>
      <c r="Q1698" s="81" t="str">
        <f>IF(A1698="","",ROUND(Y1698+O1698+Z1698,2))</f>
        <v/>
      </c>
      <c r="R1698" s="79" t="str">
        <f>IF(A1698="","",IF(S1698=0,"Date manquante ou invalide",IF(C1698="","Équipement manquant",IF(ISNA(MATCH(C1698,eq_code,0)),"Équipement inconnu",IF(E1698="","Type manquant",IF(AND(E1698&lt;&gt;"Préventif",E1698&lt;&gt;"Correctif",E1698&lt;&gt;"Amélioratif"),"Type inconnu",IF(I1698="","Statut manquant",IF(AND(I1698&lt;&gt;"Terminée",I1698&lt;&gt;"En cours",I1698&lt;&gt;"À faire",I1698&lt;&gt;"Annulée"),"Statut inconnu",IF(AND(E1698="Préventif",F1698=""),"Plan manquant (préventif)",IF(AND(F1698&lt;&gt;"",ISNA(MATCH(F1698,pl_num,0))),"Plan inconnu",IF(AND(F1698&lt;&gt;"",IFERROR(INDEX(pl_eq,MATCH(F1698,pl_num,0))&amp;"",C1698)&lt;&gt;C1698),"Plan d'un autre équipement",IF(AND(J1698&lt;&gt;"",OR(NOT(ISNUMBER(J1698)),N(J1698)&lt;0)),"Compteur invalide",IF(OR(AND(K1698&lt;&gt;"",OR(NOT(ISNUMBER(K1698)),N(K1698)&lt;0)),AND(L1698&lt;&gt;"",OR(NOT(ISNUMBER(L1698)),N(L1698)&lt;0))),"Durée invalide",IF(OR(AND(N1698&lt;&gt;"",OR(NOT(ISNUMBER(N1698)),N(N1698)&lt;0)),AND(P1698&lt;&gt;"",OR(NOT(ISNUMBER(P1698)),N(P1698)&lt;0))),"Coût invalide",IF(AND(M1698&lt;&gt;"",ISNA(MATCH(M1698,tech_name,0))),"Technicien inconnu",IF(AND(I1698="Terminée",S1698&gt;p_today),"Terminée à une date future",IF(AND(I1698="Terminée",V1698=0),"Durée d'intervention manquante",IF(AND(I1698="Terminée",E1698="Préventif",T1698=0,OR(IFERROR(INDEX(pl_trig,MATCH(F1698,pl_num,0))&amp;"","")="Compteur",IFERROR(INDEX(pl_trig,MATCH(F1698,pl_num,0))&amp;"","")="Au premier des deux")),"Compteur manquant (plan au compteur)","OK"))))))))))))))))))</f>
        <v/>
      </c>
      <c r="S1698" s="67">
        <f>IF(AND(ISNUMBER(B1698),N(B1698)&gt;0),INT(B1698),0)</f>
        <v>0.0</v>
      </c>
      <c r="T1698" s="67">
        <f>IF(AND(ISNUMBER(J1698),N(J1698)&gt;=0),N(J1698),0)</f>
        <v>0.0</v>
      </c>
      <c r="U1698" s="67">
        <f>IF(AND(ISNUMBER(K1698),N(K1698)&gt;0),N(K1698),0)</f>
        <v>0.0</v>
      </c>
      <c r="V1698" s="67">
        <f>IF(AND(ISNUMBER(L1698),N(L1698)&gt;0),N(L1698),0)</f>
        <v>0.0</v>
      </c>
      <c r="W1698" s="67">
        <f>IF(AND(I1698="Terminée",S1698&gt;0,C1698&lt;&gt;"",ISNUMBER(MATCH(C1698,eq_code,0))),1,0)</f>
        <v>0.0</v>
      </c>
      <c r="X1698" s="67">
        <f>IF(AND(W1698=1,E1698="Préventif"),1,0)</f>
        <v>0.0</v>
      </c>
      <c r="Y1698" s="67">
        <f>IF(AND(ISNUMBER(N1698),N(N1698)&gt;0),N(N1698),0)</f>
        <v>0.0</v>
      </c>
      <c r="Z1698" s="67">
        <f>IF(AND(ISNUMBER(P1698),N(P1698)&gt;0),N(P1698),0)</f>
        <v>0.0</v>
      </c>
    </row>
    <row r="1699">
      <c r="A1699" s="79" t="str">
        <f>IF(COUNTA(B1699:C1699,E1699:G1699,I1699)=0,"","BI-"&amp;RIGHT("0000"&amp;(ROW()-5),4))</f>
        <v/>
      </c>
      <c r="B1699" s="72" t="n"/>
      <c r="C1699" s="66" t="n"/>
      <c r="D1699" s="67" t="str">
        <f>IF(C1699="","",IFERROR(INDEX(eq_des,MATCH(C1699,eq_code,0))&amp;"","Équipement inconnu"))</f>
        <v/>
      </c>
      <c r="E1699" s="68" t="n"/>
      <c r="F1699" s="68" t="n"/>
      <c r="G1699" s="66" t="n"/>
      <c r="H1699" s="66" t="n"/>
      <c r="I1699" s="68" t="n"/>
      <c r="J1699" s="73" t="n"/>
      <c r="K1699" s="71" t="n"/>
      <c r="L1699" s="71" t="n"/>
      <c r="M1699" s="66" t="n"/>
      <c r="N1699" s="80" t="n"/>
      <c r="O1699" s="81" t="str">
        <f>IF(A1699="","",ROUND(V1699*IFERROR(N(INDEX(tech_rate,MATCH(M1699,tech_name,0))),0),2))</f>
        <v/>
      </c>
      <c r="P1699" s="80" t="n"/>
      <c r="Q1699" s="81" t="str">
        <f>IF(A1699="","",ROUND(Y1699+O1699+Z1699,2))</f>
        <v/>
      </c>
      <c r="R1699" s="79" t="str">
        <f>IF(A1699="","",IF(S1699=0,"Date manquante ou invalide",IF(C1699="","Équipement manquant",IF(ISNA(MATCH(C1699,eq_code,0)),"Équipement inconnu",IF(E1699="","Type manquant",IF(AND(E1699&lt;&gt;"Préventif",E1699&lt;&gt;"Correctif",E1699&lt;&gt;"Amélioratif"),"Type inconnu",IF(I1699="","Statut manquant",IF(AND(I1699&lt;&gt;"Terminée",I1699&lt;&gt;"En cours",I1699&lt;&gt;"À faire",I1699&lt;&gt;"Annulée"),"Statut inconnu",IF(AND(E1699="Préventif",F1699=""),"Plan manquant (préventif)",IF(AND(F1699&lt;&gt;"",ISNA(MATCH(F1699,pl_num,0))),"Plan inconnu",IF(AND(F1699&lt;&gt;"",IFERROR(INDEX(pl_eq,MATCH(F1699,pl_num,0))&amp;"",C1699)&lt;&gt;C1699),"Plan d'un autre équipement",IF(AND(J1699&lt;&gt;"",OR(NOT(ISNUMBER(J1699)),N(J1699)&lt;0)),"Compteur invalide",IF(OR(AND(K1699&lt;&gt;"",OR(NOT(ISNUMBER(K1699)),N(K1699)&lt;0)),AND(L1699&lt;&gt;"",OR(NOT(ISNUMBER(L1699)),N(L1699)&lt;0))),"Durée invalide",IF(OR(AND(N1699&lt;&gt;"",OR(NOT(ISNUMBER(N1699)),N(N1699)&lt;0)),AND(P1699&lt;&gt;"",OR(NOT(ISNUMBER(P1699)),N(P1699)&lt;0))),"Coût invalide",IF(AND(M1699&lt;&gt;"",ISNA(MATCH(M1699,tech_name,0))),"Technicien inconnu",IF(AND(I1699="Terminée",S1699&gt;p_today),"Terminée à une date future",IF(AND(I1699="Terminée",V1699=0),"Durée d'intervention manquante",IF(AND(I1699="Terminée",E1699="Préventif",T1699=0,OR(IFERROR(INDEX(pl_trig,MATCH(F1699,pl_num,0))&amp;"","")="Compteur",IFERROR(INDEX(pl_trig,MATCH(F1699,pl_num,0))&amp;"","")="Au premier des deux")),"Compteur manquant (plan au compteur)","OK"))))))))))))))))))</f>
        <v/>
      </c>
      <c r="S1699" s="67">
        <f>IF(AND(ISNUMBER(B1699),N(B1699)&gt;0),INT(B1699),0)</f>
        <v>0.0</v>
      </c>
      <c r="T1699" s="67">
        <f>IF(AND(ISNUMBER(J1699),N(J1699)&gt;=0),N(J1699),0)</f>
        <v>0.0</v>
      </c>
      <c r="U1699" s="67">
        <f>IF(AND(ISNUMBER(K1699),N(K1699)&gt;0),N(K1699),0)</f>
        <v>0.0</v>
      </c>
      <c r="V1699" s="67">
        <f>IF(AND(ISNUMBER(L1699),N(L1699)&gt;0),N(L1699),0)</f>
        <v>0.0</v>
      </c>
      <c r="W1699" s="67">
        <f>IF(AND(I1699="Terminée",S1699&gt;0,C1699&lt;&gt;"",ISNUMBER(MATCH(C1699,eq_code,0))),1,0)</f>
        <v>0.0</v>
      </c>
      <c r="X1699" s="67">
        <f>IF(AND(W1699=1,E1699="Préventif"),1,0)</f>
        <v>0.0</v>
      </c>
      <c r="Y1699" s="67">
        <f>IF(AND(ISNUMBER(N1699),N(N1699)&gt;0),N(N1699),0)</f>
        <v>0.0</v>
      </c>
      <c r="Z1699" s="67">
        <f>IF(AND(ISNUMBER(P1699),N(P1699)&gt;0),N(P1699),0)</f>
        <v>0.0</v>
      </c>
    </row>
    <row r="1700">
      <c r="A1700" s="79" t="str">
        <f>IF(COUNTA(B1700:C1700,E1700:G1700,I1700)=0,"","BI-"&amp;RIGHT("0000"&amp;(ROW()-5),4))</f>
        <v/>
      </c>
      <c r="B1700" s="72" t="n"/>
      <c r="C1700" s="66" t="n"/>
      <c r="D1700" s="67" t="str">
        <f>IF(C1700="","",IFERROR(INDEX(eq_des,MATCH(C1700,eq_code,0))&amp;"","Équipement inconnu"))</f>
        <v/>
      </c>
      <c r="E1700" s="68" t="n"/>
      <c r="F1700" s="68" t="n"/>
      <c r="G1700" s="66" t="n"/>
      <c r="H1700" s="66" t="n"/>
      <c r="I1700" s="68" t="n"/>
      <c r="J1700" s="73" t="n"/>
      <c r="K1700" s="71" t="n"/>
      <c r="L1700" s="71" t="n"/>
      <c r="M1700" s="66" t="n"/>
      <c r="N1700" s="80" t="n"/>
      <c r="O1700" s="81" t="str">
        <f>IF(A1700="","",ROUND(V1700*IFERROR(N(INDEX(tech_rate,MATCH(M1700,tech_name,0))),0),2))</f>
        <v/>
      </c>
      <c r="P1700" s="80" t="n"/>
      <c r="Q1700" s="81" t="str">
        <f>IF(A1700="","",ROUND(Y1700+O1700+Z1700,2))</f>
        <v/>
      </c>
      <c r="R1700" s="79" t="str">
        <f>IF(A1700="","",IF(S1700=0,"Date manquante ou invalide",IF(C1700="","Équipement manquant",IF(ISNA(MATCH(C1700,eq_code,0)),"Équipement inconnu",IF(E1700="","Type manquant",IF(AND(E1700&lt;&gt;"Préventif",E1700&lt;&gt;"Correctif",E1700&lt;&gt;"Amélioratif"),"Type inconnu",IF(I1700="","Statut manquant",IF(AND(I1700&lt;&gt;"Terminée",I1700&lt;&gt;"En cours",I1700&lt;&gt;"À faire",I1700&lt;&gt;"Annulée"),"Statut inconnu",IF(AND(E1700="Préventif",F1700=""),"Plan manquant (préventif)",IF(AND(F1700&lt;&gt;"",ISNA(MATCH(F1700,pl_num,0))),"Plan inconnu",IF(AND(F1700&lt;&gt;"",IFERROR(INDEX(pl_eq,MATCH(F1700,pl_num,0))&amp;"",C1700)&lt;&gt;C1700),"Plan d'un autre équipement",IF(AND(J1700&lt;&gt;"",OR(NOT(ISNUMBER(J1700)),N(J1700)&lt;0)),"Compteur invalide",IF(OR(AND(K1700&lt;&gt;"",OR(NOT(ISNUMBER(K1700)),N(K1700)&lt;0)),AND(L1700&lt;&gt;"",OR(NOT(ISNUMBER(L1700)),N(L1700)&lt;0))),"Durée invalide",IF(OR(AND(N1700&lt;&gt;"",OR(NOT(ISNUMBER(N1700)),N(N1700)&lt;0)),AND(P1700&lt;&gt;"",OR(NOT(ISNUMBER(P1700)),N(P1700)&lt;0))),"Coût invalide",IF(AND(M1700&lt;&gt;"",ISNA(MATCH(M1700,tech_name,0))),"Technicien inconnu",IF(AND(I1700="Terminée",S1700&gt;p_today),"Terminée à une date future",IF(AND(I1700="Terminée",V1700=0),"Durée d'intervention manquante",IF(AND(I1700="Terminée",E1700="Préventif",T1700=0,OR(IFERROR(INDEX(pl_trig,MATCH(F1700,pl_num,0))&amp;"","")="Compteur",IFERROR(INDEX(pl_trig,MATCH(F1700,pl_num,0))&amp;"","")="Au premier des deux")),"Compteur manquant (plan au compteur)","OK"))))))))))))))))))</f>
        <v/>
      </c>
      <c r="S1700" s="67">
        <f>IF(AND(ISNUMBER(B1700),N(B1700)&gt;0),INT(B1700),0)</f>
        <v>0.0</v>
      </c>
      <c r="T1700" s="67">
        <f>IF(AND(ISNUMBER(J1700),N(J1700)&gt;=0),N(J1700),0)</f>
        <v>0.0</v>
      </c>
      <c r="U1700" s="67">
        <f>IF(AND(ISNUMBER(K1700),N(K1700)&gt;0),N(K1700),0)</f>
        <v>0.0</v>
      </c>
      <c r="V1700" s="67">
        <f>IF(AND(ISNUMBER(L1700),N(L1700)&gt;0),N(L1700),0)</f>
        <v>0.0</v>
      </c>
      <c r="W1700" s="67">
        <f>IF(AND(I1700="Terminée",S1700&gt;0,C1700&lt;&gt;"",ISNUMBER(MATCH(C1700,eq_code,0))),1,0)</f>
        <v>0.0</v>
      </c>
      <c r="X1700" s="67">
        <f>IF(AND(W1700=1,E1700="Préventif"),1,0)</f>
        <v>0.0</v>
      </c>
      <c r="Y1700" s="67">
        <f>IF(AND(ISNUMBER(N1700),N(N1700)&gt;0),N(N1700),0)</f>
        <v>0.0</v>
      </c>
      <c r="Z1700" s="67">
        <f>IF(AND(ISNUMBER(P1700),N(P1700)&gt;0),N(P1700),0)</f>
        <v>0.0</v>
      </c>
    </row>
    <row r="1701">
      <c r="A1701" s="79" t="str">
        <f>IF(COUNTA(B1701:C1701,E1701:G1701,I1701)=0,"","BI-"&amp;RIGHT("0000"&amp;(ROW()-5),4))</f>
        <v/>
      </c>
      <c r="B1701" s="72" t="n"/>
      <c r="C1701" s="66" t="n"/>
      <c r="D1701" s="67" t="str">
        <f>IF(C1701="","",IFERROR(INDEX(eq_des,MATCH(C1701,eq_code,0))&amp;"","Équipement inconnu"))</f>
        <v/>
      </c>
      <c r="E1701" s="68" t="n"/>
      <c r="F1701" s="68" t="n"/>
      <c r="G1701" s="66" t="n"/>
      <c r="H1701" s="66" t="n"/>
      <c r="I1701" s="68" t="n"/>
      <c r="J1701" s="73" t="n"/>
      <c r="K1701" s="71" t="n"/>
      <c r="L1701" s="71" t="n"/>
      <c r="M1701" s="66" t="n"/>
      <c r="N1701" s="80" t="n"/>
      <c r="O1701" s="81" t="str">
        <f>IF(A1701="","",ROUND(V1701*IFERROR(N(INDEX(tech_rate,MATCH(M1701,tech_name,0))),0),2))</f>
        <v/>
      </c>
      <c r="P1701" s="80" t="n"/>
      <c r="Q1701" s="81" t="str">
        <f>IF(A1701="","",ROUND(Y1701+O1701+Z1701,2))</f>
        <v/>
      </c>
      <c r="R1701" s="79" t="str">
        <f>IF(A1701="","",IF(S1701=0,"Date manquante ou invalide",IF(C1701="","Équipement manquant",IF(ISNA(MATCH(C1701,eq_code,0)),"Équipement inconnu",IF(E1701="","Type manquant",IF(AND(E1701&lt;&gt;"Préventif",E1701&lt;&gt;"Correctif",E1701&lt;&gt;"Amélioratif"),"Type inconnu",IF(I1701="","Statut manquant",IF(AND(I1701&lt;&gt;"Terminée",I1701&lt;&gt;"En cours",I1701&lt;&gt;"À faire",I1701&lt;&gt;"Annulée"),"Statut inconnu",IF(AND(E1701="Préventif",F1701=""),"Plan manquant (préventif)",IF(AND(F1701&lt;&gt;"",ISNA(MATCH(F1701,pl_num,0))),"Plan inconnu",IF(AND(F1701&lt;&gt;"",IFERROR(INDEX(pl_eq,MATCH(F1701,pl_num,0))&amp;"",C1701)&lt;&gt;C1701),"Plan d'un autre équipement",IF(AND(J1701&lt;&gt;"",OR(NOT(ISNUMBER(J1701)),N(J1701)&lt;0)),"Compteur invalide",IF(OR(AND(K1701&lt;&gt;"",OR(NOT(ISNUMBER(K1701)),N(K1701)&lt;0)),AND(L1701&lt;&gt;"",OR(NOT(ISNUMBER(L1701)),N(L1701)&lt;0))),"Durée invalide",IF(OR(AND(N1701&lt;&gt;"",OR(NOT(ISNUMBER(N1701)),N(N1701)&lt;0)),AND(P1701&lt;&gt;"",OR(NOT(ISNUMBER(P1701)),N(P1701)&lt;0))),"Coût invalide",IF(AND(M1701&lt;&gt;"",ISNA(MATCH(M1701,tech_name,0))),"Technicien inconnu",IF(AND(I1701="Terminée",S1701&gt;p_today),"Terminée à une date future",IF(AND(I1701="Terminée",V1701=0),"Durée d'intervention manquante",IF(AND(I1701="Terminée",E1701="Préventif",T1701=0,OR(IFERROR(INDEX(pl_trig,MATCH(F1701,pl_num,0))&amp;"","")="Compteur",IFERROR(INDEX(pl_trig,MATCH(F1701,pl_num,0))&amp;"","")="Au premier des deux")),"Compteur manquant (plan au compteur)","OK"))))))))))))))))))</f>
        <v/>
      </c>
      <c r="S1701" s="67">
        <f>IF(AND(ISNUMBER(B1701),N(B1701)&gt;0),INT(B1701),0)</f>
        <v>0.0</v>
      </c>
      <c r="T1701" s="67">
        <f>IF(AND(ISNUMBER(J1701),N(J1701)&gt;=0),N(J1701),0)</f>
        <v>0.0</v>
      </c>
      <c r="U1701" s="67">
        <f>IF(AND(ISNUMBER(K1701),N(K1701)&gt;0),N(K1701),0)</f>
        <v>0.0</v>
      </c>
      <c r="V1701" s="67">
        <f>IF(AND(ISNUMBER(L1701),N(L1701)&gt;0),N(L1701),0)</f>
        <v>0.0</v>
      </c>
      <c r="W1701" s="67">
        <f>IF(AND(I1701="Terminée",S1701&gt;0,C1701&lt;&gt;"",ISNUMBER(MATCH(C1701,eq_code,0))),1,0)</f>
        <v>0.0</v>
      </c>
      <c r="X1701" s="67">
        <f>IF(AND(W1701=1,E1701="Préventif"),1,0)</f>
        <v>0.0</v>
      </c>
      <c r="Y1701" s="67">
        <f>IF(AND(ISNUMBER(N1701),N(N1701)&gt;0),N(N1701),0)</f>
        <v>0.0</v>
      </c>
      <c r="Z1701" s="67">
        <f>IF(AND(ISNUMBER(P1701),N(P1701)&gt;0),N(P1701),0)</f>
        <v>0.0</v>
      </c>
    </row>
    <row r="1702">
      <c r="A1702" s="79" t="str">
        <f>IF(COUNTA(B1702:C1702,E1702:G1702,I1702)=0,"","BI-"&amp;RIGHT("0000"&amp;(ROW()-5),4))</f>
        <v/>
      </c>
      <c r="B1702" s="72" t="n"/>
      <c r="C1702" s="66" t="n"/>
      <c r="D1702" s="67" t="str">
        <f>IF(C1702="","",IFERROR(INDEX(eq_des,MATCH(C1702,eq_code,0))&amp;"","Équipement inconnu"))</f>
        <v/>
      </c>
      <c r="E1702" s="68" t="n"/>
      <c r="F1702" s="68" t="n"/>
      <c r="G1702" s="66" t="n"/>
      <c r="H1702" s="66" t="n"/>
      <c r="I1702" s="68" t="n"/>
      <c r="J1702" s="73" t="n"/>
      <c r="K1702" s="71" t="n"/>
      <c r="L1702" s="71" t="n"/>
      <c r="M1702" s="66" t="n"/>
      <c r="N1702" s="80" t="n"/>
      <c r="O1702" s="81" t="str">
        <f>IF(A1702="","",ROUND(V1702*IFERROR(N(INDEX(tech_rate,MATCH(M1702,tech_name,0))),0),2))</f>
        <v/>
      </c>
      <c r="P1702" s="80" t="n"/>
      <c r="Q1702" s="81" t="str">
        <f>IF(A1702="","",ROUND(Y1702+O1702+Z1702,2))</f>
        <v/>
      </c>
      <c r="R1702" s="79" t="str">
        <f>IF(A1702="","",IF(S1702=0,"Date manquante ou invalide",IF(C1702="","Équipement manquant",IF(ISNA(MATCH(C1702,eq_code,0)),"Équipement inconnu",IF(E1702="","Type manquant",IF(AND(E1702&lt;&gt;"Préventif",E1702&lt;&gt;"Correctif",E1702&lt;&gt;"Amélioratif"),"Type inconnu",IF(I1702="","Statut manquant",IF(AND(I1702&lt;&gt;"Terminée",I1702&lt;&gt;"En cours",I1702&lt;&gt;"À faire",I1702&lt;&gt;"Annulée"),"Statut inconnu",IF(AND(E1702="Préventif",F1702=""),"Plan manquant (préventif)",IF(AND(F1702&lt;&gt;"",ISNA(MATCH(F1702,pl_num,0))),"Plan inconnu",IF(AND(F1702&lt;&gt;"",IFERROR(INDEX(pl_eq,MATCH(F1702,pl_num,0))&amp;"",C1702)&lt;&gt;C1702),"Plan d'un autre équipement",IF(AND(J1702&lt;&gt;"",OR(NOT(ISNUMBER(J1702)),N(J1702)&lt;0)),"Compteur invalide",IF(OR(AND(K1702&lt;&gt;"",OR(NOT(ISNUMBER(K1702)),N(K1702)&lt;0)),AND(L1702&lt;&gt;"",OR(NOT(ISNUMBER(L1702)),N(L1702)&lt;0))),"Durée invalide",IF(OR(AND(N1702&lt;&gt;"",OR(NOT(ISNUMBER(N1702)),N(N1702)&lt;0)),AND(P1702&lt;&gt;"",OR(NOT(ISNUMBER(P1702)),N(P1702)&lt;0))),"Coût invalide",IF(AND(M1702&lt;&gt;"",ISNA(MATCH(M1702,tech_name,0))),"Technicien inconnu",IF(AND(I1702="Terminée",S1702&gt;p_today),"Terminée à une date future",IF(AND(I1702="Terminée",V1702=0),"Durée d'intervention manquante",IF(AND(I1702="Terminée",E1702="Préventif",T1702=0,OR(IFERROR(INDEX(pl_trig,MATCH(F1702,pl_num,0))&amp;"","")="Compteur",IFERROR(INDEX(pl_trig,MATCH(F1702,pl_num,0))&amp;"","")="Au premier des deux")),"Compteur manquant (plan au compteur)","OK"))))))))))))))))))</f>
        <v/>
      </c>
      <c r="S1702" s="67">
        <f>IF(AND(ISNUMBER(B1702),N(B1702)&gt;0),INT(B1702),0)</f>
        <v>0.0</v>
      </c>
      <c r="T1702" s="67">
        <f>IF(AND(ISNUMBER(J1702),N(J1702)&gt;=0),N(J1702),0)</f>
        <v>0.0</v>
      </c>
      <c r="U1702" s="67">
        <f>IF(AND(ISNUMBER(K1702),N(K1702)&gt;0),N(K1702),0)</f>
        <v>0.0</v>
      </c>
      <c r="V1702" s="67">
        <f>IF(AND(ISNUMBER(L1702),N(L1702)&gt;0),N(L1702),0)</f>
        <v>0.0</v>
      </c>
      <c r="W1702" s="67">
        <f>IF(AND(I1702="Terminée",S1702&gt;0,C1702&lt;&gt;"",ISNUMBER(MATCH(C1702,eq_code,0))),1,0)</f>
        <v>0.0</v>
      </c>
      <c r="X1702" s="67">
        <f>IF(AND(W1702=1,E1702="Préventif"),1,0)</f>
        <v>0.0</v>
      </c>
      <c r="Y1702" s="67">
        <f>IF(AND(ISNUMBER(N1702),N(N1702)&gt;0),N(N1702),0)</f>
        <v>0.0</v>
      </c>
      <c r="Z1702" s="67">
        <f>IF(AND(ISNUMBER(P1702),N(P1702)&gt;0),N(P1702),0)</f>
        <v>0.0</v>
      </c>
    </row>
    <row r="1703">
      <c r="A1703" s="79" t="str">
        <f>IF(COUNTA(B1703:C1703,E1703:G1703,I1703)=0,"","BI-"&amp;RIGHT("0000"&amp;(ROW()-5),4))</f>
        <v/>
      </c>
      <c r="B1703" s="72" t="n"/>
      <c r="C1703" s="66" t="n"/>
      <c r="D1703" s="67" t="str">
        <f>IF(C1703="","",IFERROR(INDEX(eq_des,MATCH(C1703,eq_code,0))&amp;"","Équipement inconnu"))</f>
        <v/>
      </c>
      <c r="E1703" s="68" t="n"/>
      <c r="F1703" s="68" t="n"/>
      <c r="G1703" s="66" t="n"/>
      <c r="H1703" s="66" t="n"/>
      <c r="I1703" s="68" t="n"/>
      <c r="J1703" s="73" t="n"/>
      <c r="K1703" s="71" t="n"/>
      <c r="L1703" s="71" t="n"/>
      <c r="M1703" s="66" t="n"/>
      <c r="N1703" s="80" t="n"/>
      <c r="O1703" s="81" t="str">
        <f>IF(A1703="","",ROUND(V1703*IFERROR(N(INDEX(tech_rate,MATCH(M1703,tech_name,0))),0),2))</f>
        <v/>
      </c>
      <c r="P1703" s="80" t="n"/>
      <c r="Q1703" s="81" t="str">
        <f>IF(A1703="","",ROUND(Y1703+O1703+Z1703,2))</f>
        <v/>
      </c>
      <c r="R1703" s="79" t="str">
        <f>IF(A1703="","",IF(S1703=0,"Date manquante ou invalide",IF(C1703="","Équipement manquant",IF(ISNA(MATCH(C1703,eq_code,0)),"Équipement inconnu",IF(E1703="","Type manquant",IF(AND(E1703&lt;&gt;"Préventif",E1703&lt;&gt;"Correctif",E1703&lt;&gt;"Amélioratif"),"Type inconnu",IF(I1703="","Statut manquant",IF(AND(I1703&lt;&gt;"Terminée",I1703&lt;&gt;"En cours",I1703&lt;&gt;"À faire",I1703&lt;&gt;"Annulée"),"Statut inconnu",IF(AND(E1703="Préventif",F1703=""),"Plan manquant (préventif)",IF(AND(F1703&lt;&gt;"",ISNA(MATCH(F1703,pl_num,0))),"Plan inconnu",IF(AND(F1703&lt;&gt;"",IFERROR(INDEX(pl_eq,MATCH(F1703,pl_num,0))&amp;"",C1703)&lt;&gt;C1703),"Plan d'un autre équipement",IF(AND(J1703&lt;&gt;"",OR(NOT(ISNUMBER(J1703)),N(J1703)&lt;0)),"Compteur invalide",IF(OR(AND(K1703&lt;&gt;"",OR(NOT(ISNUMBER(K1703)),N(K1703)&lt;0)),AND(L1703&lt;&gt;"",OR(NOT(ISNUMBER(L1703)),N(L1703)&lt;0))),"Durée invalide",IF(OR(AND(N1703&lt;&gt;"",OR(NOT(ISNUMBER(N1703)),N(N1703)&lt;0)),AND(P1703&lt;&gt;"",OR(NOT(ISNUMBER(P1703)),N(P1703)&lt;0))),"Coût invalide",IF(AND(M1703&lt;&gt;"",ISNA(MATCH(M1703,tech_name,0))),"Technicien inconnu",IF(AND(I1703="Terminée",S1703&gt;p_today),"Terminée à une date future",IF(AND(I1703="Terminée",V1703=0),"Durée d'intervention manquante",IF(AND(I1703="Terminée",E1703="Préventif",T1703=0,OR(IFERROR(INDEX(pl_trig,MATCH(F1703,pl_num,0))&amp;"","")="Compteur",IFERROR(INDEX(pl_trig,MATCH(F1703,pl_num,0))&amp;"","")="Au premier des deux")),"Compteur manquant (plan au compteur)","OK"))))))))))))))))))</f>
        <v/>
      </c>
      <c r="S1703" s="67">
        <f>IF(AND(ISNUMBER(B1703),N(B1703)&gt;0),INT(B1703),0)</f>
        <v>0.0</v>
      </c>
      <c r="T1703" s="67">
        <f>IF(AND(ISNUMBER(J1703),N(J1703)&gt;=0),N(J1703),0)</f>
        <v>0.0</v>
      </c>
      <c r="U1703" s="67">
        <f>IF(AND(ISNUMBER(K1703),N(K1703)&gt;0),N(K1703),0)</f>
        <v>0.0</v>
      </c>
      <c r="V1703" s="67">
        <f>IF(AND(ISNUMBER(L1703),N(L1703)&gt;0),N(L1703),0)</f>
        <v>0.0</v>
      </c>
      <c r="W1703" s="67">
        <f>IF(AND(I1703="Terminée",S1703&gt;0,C1703&lt;&gt;"",ISNUMBER(MATCH(C1703,eq_code,0))),1,0)</f>
        <v>0.0</v>
      </c>
      <c r="X1703" s="67">
        <f>IF(AND(W1703=1,E1703="Préventif"),1,0)</f>
        <v>0.0</v>
      </c>
      <c r="Y1703" s="67">
        <f>IF(AND(ISNUMBER(N1703),N(N1703)&gt;0),N(N1703),0)</f>
        <v>0.0</v>
      </c>
      <c r="Z1703" s="67">
        <f>IF(AND(ISNUMBER(P1703),N(P1703)&gt;0),N(P1703),0)</f>
        <v>0.0</v>
      </c>
    </row>
    <row r="1704">
      <c r="A1704" s="79" t="str">
        <f>IF(COUNTA(B1704:C1704,E1704:G1704,I1704)=0,"","BI-"&amp;RIGHT("0000"&amp;(ROW()-5),4))</f>
        <v/>
      </c>
      <c r="B1704" s="72" t="n"/>
      <c r="C1704" s="66" t="n"/>
      <c r="D1704" s="67" t="str">
        <f>IF(C1704="","",IFERROR(INDEX(eq_des,MATCH(C1704,eq_code,0))&amp;"","Équipement inconnu"))</f>
        <v/>
      </c>
      <c r="E1704" s="68" t="n"/>
      <c r="F1704" s="68" t="n"/>
      <c r="G1704" s="66" t="n"/>
      <c r="H1704" s="66" t="n"/>
      <c r="I1704" s="68" t="n"/>
      <c r="J1704" s="73" t="n"/>
      <c r="K1704" s="71" t="n"/>
      <c r="L1704" s="71" t="n"/>
      <c r="M1704" s="66" t="n"/>
      <c r="N1704" s="80" t="n"/>
      <c r="O1704" s="81" t="str">
        <f>IF(A1704="","",ROUND(V1704*IFERROR(N(INDEX(tech_rate,MATCH(M1704,tech_name,0))),0),2))</f>
        <v/>
      </c>
      <c r="P1704" s="80" t="n"/>
      <c r="Q1704" s="81" t="str">
        <f>IF(A1704="","",ROUND(Y1704+O1704+Z1704,2))</f>
        <v/>
      </c>
      <c r="R1704" s="79" t="str">
        <f>IF(A1704="","",IF(S1704=0,"Date manquante ou invalide",IF(C1704="","Équipement manquant",IF(ISNA(MATCH(C1704,eq_code,0)),"Équipement inconnu",IF(E1704="","Type manquant",IF(AND(E1704&lt;&gt;"Préventif",E1704&lt;&gt;"Correctif",E1704&lt;&gt;"Amélioratif"),"Type inconnu",IF(I1704="","Statut manquant",IF(AND(I1704&lt;&gt;"Terminée",I1704&lt;&gt;"En cours",I1704&lt;&gt;"À faire",I1704&lt;&gt;"Annulée"),"Statut inconnu",IF(AND(E1704="Préventif",F1704=""),"Plan manquant (préventif)",IF(AND(F1704&lt;&gt;"",ISNA(MATCH(F1704,pl_num,0))),"Plan inconnu",IF(AND(F1704&lt;&gt;"",IFERROR(INDEX(pl_eq,MATCH(F1704,pl_num,0))&amp;"",C1704)&lt;&gt;C1704),"Plan d'un autre équipement",IF(AND(J1704&lt;&gt;"",OR(NOT(ISNUMBER(J1704)),N(J1704)&lt;0)),"Compteur invalide",IF(OR(AND(K1704&lt;&gt;"",OR(NOT(ISNUMBER(K1704)),N(K1704)&lt;0)),AND(L1704&lt;&gt;"",OR(NOT(ISNUMBER(L1704)),N(L1704)&lt;0))),"Durée invalide",IF(OR(AND(N1704&lt;&gt;"",OR(NOT(ISNUMBER(N1704)),N(N1704)&lt;0)),AND(P1704&lt;&gt;"",OR(NOT(ISNUMBER(P1704)),N(P1704)&lt;0))),"Coût invalide",IF(AND(M1704&lt;&gt;"",ISNA(MATCH(M1704,tech_name,0))),"Technicien inconnu",IF(AND(I1704="Terminée",S1704&gt;p_today),"Terminée à une date future",IF(AND(I1704="Terminée",V1704=0),"Durée d'intervention manquante",IF(AND(I1704="Terminée",E1704="Préventif",T1704=0,OR(IFERROR(INDEX(pl_trig,MATCH(F1704,pl_num,0))&amp;"","")="Compteur",IFERROR(INDEX(pl_trig,MATCH(F1704,pl_num,0))&amp;"","")="Au premier des deux")),"Compteur manquant (plan au compteur)","OK"))))))))))))))))))</f>
        <v/>
      </c>
      <c r="S1704" s="67">
        <f>IF(AND(ISNUMBER(B1704),N(B1704)&gt;0),INT(B1704),0)</f>
        <v>0.0</v>
      </c>
      <c r="T1704" s="67">
        <f>IF(AND(ISNUMBER(J1704),N(J1704)&gt;=0),N(J1704),0)</f>
        <v>0.0</v>
      </c>
      <c r="U1704" s="67">
        <f>IF(AND(ISNUMBER(K1704),N(K1704)&gt;0),N(K1704),0)</f>
        <v>0.0</v>
      </c>
      <c r="V1704" s="67">
        <f>IF(AND(ISNUMBER(L1704),N(L1704)&gt;0),N(L1704),0)</f>
        <v>0.0</v>
      </c>
      <c r="W1704" s="67">
        <f>IF(AND(I1704="Terminée",S1704&gt;0,C1704&lt;&gt;"",ISNUMBER(MATCH(C1704,eq_code,0))),1,0)</f>
        <v>0.0</v>
      </c>
      <c r="X1704" s="67">
        <f>IF(AND(W1704=1,E1704="Préventif"),1,0)</f>
        <v>0.0</v>
      </c>
      <c r="Y1704" s="67">
        <f>IF(AND(ISNUMBER(N1704),N(N1704)&gt;0),N(N1704),0)</f>
        <v>0.0</v>
      </c>
      <c r="Z1704" s="67">
        <f>IF(AND(ISNUMBER(P1704),N(P1704)&gt;0),N(P1704),0)</f>
        <v>0.0</v>
      </c>
    </row>
    <row r="1705">
      <c r="A1705" s="79" t="str">
        <f>IF(COUNTA(B1705:C1705,E1705:G1705,I1705)=0,"","BI-"&amp;RIGHT("0000"&amp;(ROW()-5),4))</f>
        <v/>
      </c>
      <c r="B1705" s="72" t="n"/>
      <c r="C1705" s="66" t="n"/>
      <c r="D1705" s="67" t="str">
        <f>IF(C1705="","",IFERROR(INDEX(eq_des,MATCH(C1705,eq_code,0))&amp;"","Équipement inconnu"))</f>
        <v/>
      </c>
      <c r="E1705" s="68" t="n"/>
      <c r="F1705" s="68" t="n"/>
      <c r="G1705" s="66" t="n"/>
      <c r="H1705" s="66" t="n"/>
      <c r="I1705" s="68" t="n"/>
      <c r="J1705" s="73" t="n"/>
      <c r="K1705" s="71" t="n"/>
      <c r="L1705" s="71" t="n"/>
      <c r="M1705" s="66" t="n"/>
      <c r="N1705" s="80" t="n"/>
      <c r="O1705" s="81" t="str">
        <f>IF(A1705="","",ROUND(V1705*IFERROR(N(INDEX(tech_rate,MATCH(M1705,tech_name,0))),0),2))</f>
        <v/>
      </c>
      <c r="P1705" s="80" t="n"/>
      <c r="Q1705" s="81" t="str">
        <f>IF(A1705="","",ROUND(Y1705+O1705+Z1705,2))</f>
        <v/>
      </c>
      <c r="R1705" s="79" t="str">
        <f>IF(A1705="","",IF(S1705=0,"Date manquante ou invalide",IF(C1705="","Équipement manquant",IF(ISNA(MATCH(C1705,eq_code,0)),"Équipement inconnu",IF(E1705="","Type manquant",IF(AND(E1705&lt;&gt;"Préventif",E1705&lt;&gt;"Correctif",E1705&lt;&gt;"Amélioratif"),"Type inconnu",IF(I1705="","Statut manquant",IF(AND(I1705&lt;&gt;"Terminée",I1705&lt;&gt;"En cours",I1705&lt;&gt;"À faire",I1705&lt;&gt;"Annulée"),"Statut inconnu",IF(AND(E1705="Préventif",F1705=""),"Plan manquant (préventif)",IF(AND(F1705&lt;&gt;"",ISNA(MATCH(F1705,pl_num,0))),"Plan inconnu",IF(AND(F1705&lt;&gt;"",IFERROR(INDEX(pl_eq,MATCH(F1705,pl_num,0))&amp;"",C1705)&lt;&gt;C1705),"Plan d'un autre équipement",IF(AND(J1705&lt;&gt;"",OR(NOT(ISNUMBER(J1705)),N(J1705)&lt;0)),"Compteur invalide",IF(OR(AND(K1705&lt;&gt;"",OR(NOT(ISNUMBER(K1705)),N(K1705)&lt;0)),AND(L1705&lt;&gt;"",OR(NOT(ISNUMBER(L1705)),N(L1705)&lt;0))),"Durée invalide",IF(OR(AND(N1705&lt;&gt;"",OR(NOT(ISNUMBER(N1705)),N(N1705)&lt;0)),AND(P1705&lt;&gt;"",OR(NOT(ISNUMBER(P1705)),N(P1705)&lt;0))),"Coût invalide",IF(AND(M1705&lt;&gt;"",ISNA(MATCH(M1705,tech_name,0))),"Technicien inconnu",IF(AND(I1705="Terminée",S1705&gt;p_today),"Terminée à une date future",IF(AND(I1705="Terminée",V1705=0),"Durée d'intervention manquante",IF(AND(I1705="Terminée",E1705="Préventif",T1705=0,OR(IFERROR(INDEX(pl_trig,MATCH(F1705,pl_num,0))&amp;"","")="Compteur",IFERROR(INDEX(pl_trig,MATCH(F1705,pl_num,0))&amp;"","")="Au premier des deux")),"Compteur manquant (plan au compteur)","OK"))))))))))))))))))</f>
        <v/>
      </c>
      <c r="S1705" s="67">
        <f>IF(AND(ISNUMBER(B1705),N(B1705)&gt;0),INT(B1705),0)</f>
        <v>0.0</v>
      </c>
      <c r="T1705" s="67">
        <f>IF(AND(ISNUMBER(J1705),N(J1705)&gt;=0),N(J1705),0)</f>
        <v>0.0</v>
      </c>
      <c r="U1705" s="67">
        <f>IF(AND(ISNUMBER(K1705),N(K1705)&gt;0),N(K1705),0)</f>
        <v>0.0</v>
      </c>
      <c r="V1705" s="67">
        <f>IF(AND(ISNUMBER(L1705),N(L1705)&gt;0),N(L1705),0)</f>
        <v>0.0</v>
      </c>
      <c r="W1705" s="67">
        <f>IF(AND(I1705="Terminée",S1705&gt;0,C1705&lt;&gt;"",ISNUMBER(MATCH(C1705,eq_code,0))),1,0)</f>
        <v>0.0</v>
      </c>
      <c r="X1705" s="67">
        <f>IF(AND(W1705=1,E1705="Préventif"),1,0)</f>
        <v>0.0</v>
      </c>
      <c r="Y1705" s="67">
        <f>IF(AND(ISNUMBER(N1705),N(N1705)&gt;0),N(N1705),0)</f>
        <v>0.0</v>
      </c>
      <c r="Z1705" s="67">
        <f>IF(AND(ISNUMBER(P1705),N(P1705)&gt;0),N(P1705),0)</f>
        <v>0.0</v>
      </c>
    </row>
    <row r="1706">
      <c r="A1706" s="79" t="str">
        <f>IF(COUNTA(B1706:C1706,E1706:G1706,I1706)=0,"","BI-"&amp;RIGHT("0000"&amp;(ROW()-5),4))</f>
        <v/>
      </c>
      <c r="B1706" s="72" t="n"/>
      <c r="C1706" s="66" t="n"/>
      <c r="D1706" s="67" t="str">
        <f>IF(C1706="","",IFERROR(INDEX(eq_des,MATCH(C1706,eq_code,0))&amp;"","Équipement inconnu"))</f>
        <v/>
      </c>
      <c r="E1706" s="68" t="n"/>
      <c r="F1706" s="68" t="n"/>
      <c r="G1706" s="66" t="n"/>
      <c r="H1706" s="66" t="n"/>
      <c r="I1706" s="68" t="n"/>
      <c r="J1706" s="73" t="n"/>
      <c r="K1706" s="71" t="n"/>
      <c r="L1706" s="71" t="n"/>
      <c r="M1706" s="66" t="n"/>
      <c r="N1706" s="80" t="n"/>
      <c r="O1706" s="81" t="str">
        <f>IF(A1706="","",ROUND(V1706*IFERROR(N(INDEX(tech_rate,MATCH(M1706,tech_name,0))),0),2))</f>
        <v/>
      </c>
      <c r="P1706" s="80" t="n"/>
      <c r="Q1706" s="81" t="str">
        <f>IF(A1706="","",ROUND(Y1706+O1706+Z1706,2))</f>
        <v/>
      </c>
      <c r="R1706" s="79" t="str">
        <f>IF(A1706="","",IF(S1706=0,"Date manquante ou invalide",IF(C1706="","Équipement manquant",IF(ISNA(MATCH(C1706,eq_code,0)),"Équipement inconnu",IF(E1706="","Type manquant",IF(AND(E1706&lt;&gt;"Préventif",E1706&lt;&gt;"Correctif",E1706&lt;&gt;"Amélioratif"),"Type inconnu",IF(I1706="","Statut manquant",IF(AND(I1706&lt;&gt;"Terminée",I1706&lt;&gt;"En cours",I1706&lt;&gt;"À faire",I1706&lt;&gt;"Annulée"),"Statut inconnu",IF(AND(E1706="Préventif",F1706=""),"Plan manquant (préventif)",IF(AND(F1706&lt;&gt;"",ISNA(MATCH(F1706,pl_num,0))),"Plan inconnu",IF(AND(F1706&lt;&gt;"",IFERROR(INDEX(pl_eq,MATCH(F1706,pl_num,0))&amp;"",C1706)&lt;&gt;C1706),"Plan d'un autre équipement",IF(AND(J1706&lt;&gt;"",OR(NOT(ISNUMBER(J1706)),N(J1706)&lt;0)),"Compteur invalide",IF(OR(AND(K1706&lt;&gt;"",OR(NOT(ISNUMBER(K1706)),N(K1706)&lt;0)),AND(L1706&lt;&gt;"",OR(NOT(ISNUMBER(L1706)),N(L1706)&lt;0))),"Durée invalide",IF(OR(AND(N1706&lt;&gt;"",OR(NOT(ISNUMBER(N1706)),N(N1706)&lt;0)),AND(P1706&lt;&gt;"",OR(NOT(ISNUMBER(P1706)),N(P1706)&lt;0))),"Coût invalide",IF(AND(M1706&lt;&gt;"",ISNA(MATCH(M1706,tech_name,0))),"Technicien inconnu",IF(AND(I1706="Terminée",S1706&gt;p_today),"Terminée à une date future",IF(AND(I1706="Terminée",V1706=0),"Durée d'intervention manquante",IF(AND(I1706="Terminée",E1706="Préventif",T1706=0,OR(IFERROR(INDEX(pl_trig,MATCH(F1706,pl_num,0))&amp;"","")="Compteur",IFERROR(INDEX(pl_trig,MATCH(F1706,pl_num,0))&amp;"","")="Au premier des deux")),"Compteur manquant (plan au compteur)","OK"))))))))))))))))))</f>
        <v/>
      </c>
      <c r="S1706" s="67">
        <f>IF(AND(ISNUMBER(B1706),N(B1706)&gt;0),INT(B1706),0)</f>
        <v>0.0</v>
      </c>
      <c r="T1706" s="67">
        <f>IF(AND(ISNUMBER(J1706),N(J1706)&gt;=0),N(J1706),0)</f>
        <v>0.0</v>
      </c>
      <c r="U1706" s="67">
        <f>IF(AND(ISNUMBER(K1706),N(K1706)&gt;0),N(K1706),0)</f>
        <v>0.0</v>
      </c>
      <c r="V1706" s="67">
        <f>IF(AND(ISNUMBER(L1706),N(L1706)&gt;0),N(L1706),0)</f>
        <v>0.0</v>
      </c>
      <c r="W1706" s="67">
        <f>IF(AND(I1706="Terminée",S1706&gt;0,C1706&lt;&gt;"",ISNUMBER(MATCH(C1706,eq_code,0))),1,0)</f>
        <v>0.0</v>
      </c>
      <c r="X1706" s="67">
        <f>IF(AND(W1706=1,E1706="Préventif"),1,0)</f>
        <v>0.0</v>
      </c>
      <c r="Y1706" s="67">
        <f>IF(AND(ISNUMBER(N1706),N(N1706)&gt;0),N(N1706),0)</f>
        <v>0.0</v>
      </c>
      <c r="Z1706" s="67">
        <f>IF(AND(ISNUMBER(P1706),N(P1706)&gt;0),N(P1706),0)</f>
        <v>0.0</v>
      </c>
    </row>
    <row r="1707">
      <c r="A1707" s="79" t="str">
        <f>IF(COUNTA(B1707:C1707,E1707:G1707,I1707)=0,"","BI-"&amp;RIGHT("0000"&amp;(ROW()-5),4))</f>
        <v/>
      </c>
      <c r="B1707" s="72" t="n"/>
      <c r="C1707" s="66" t="n"/>
      <c r="D1707" s="67" t="str">
        <f>IF(C1707="","",IFERROR(INDEX(eq_des,MATCH(C1707,eq_code,0))&amp;"","Équipement inconnu"))</f>
        <v/>
      </c>
      <c r="E1707" s="68" t="n"/>
      <c r="F1707" s="68" t="n"/>
      <c r="G1707" s="66" t="n"/>
      <c r="H1707" s="66" t="n"/>
      <c r="I1707" s="68" t="n"/>
      <c r="J1707" s="73" t="n"/>
      <c r="K1707" s="71" t="n"/>
      <c r="L1707" s="71" t="n"/>
      <c r="M1707" s="66" t="n"/>
      <c r="N1707" s="80" t="n"/>
      <c r="O1707" s="81" t="str">
        <f>IF(A1707="","",ROUND(V1707*IFERROR(N(INDEX(tech_rate,MATCH(M1707,tech_name,0))),0),2))</f>
        <v/>
      </c>
      <c r="P1707" s="80" t="n"/>
      <c r="Q1707" s="81" t="str">
        <f>IF(A1707="","",ROUND(Y1707+O1707+Z1707,2))</f>
        <v/>
      </c>
      <c r="R1707" s="79" t="str">
        <f>IF(A1707="","",IF(S1707=0,"Date manquante ou invalide",IF(C1707="","Équipement manquant",IF(ISNA(MATCH(C1707,eq_code,0)),"Équipement inconnu",IF(E1707="","Type manquant",IF(AND(E1707&lt;&gt;"Préventif",E1707&lt;&gt;"Correctif",E1707&lt;&gt;"Amélioratif"),"Type inconnu",IF(I1707="","Statut manquant",IF(AND(I1707&lt;&gt;"Terminée",I1707&lt;&gt;"En cours",I1707&lt;&gt;"À faire",I1707&lt;&gt;"Annulée"),"Statut inconnu",IF(AND(E1707="Préventif",F1707=""),"Plan manquant (préventif)",IF(AND(F1707&lt;&gt;"",ISNA(MATCH(F1707,pl_num,0))),"Plan inconnu",IF(AND(F1707&lt;&gt;"",IFERROR(INDEX(pl_eq,MATCH(F1707,pl_num,0))&amp;"",C1707)&lt;&gt;C1707),"Plan d'un autre équipement",IF(AND(J1707&lt;&gt;"",OR(NOT(ISNUMBER(J1707)),N(J1707)&lt;0)),"Compteur invalide",IF(OR(AND(K1707&lt;&gt;"",OR(NOT(ISNUMBER(K1707)),N(K1707)&lt;0)),AND(L1707&lt;&gt;"",OR(NOT(ISNUMBER(L1707)),N(L1707)&lt;0))),"Durée invalide",IF(OR(AND(N1707&lt;&gt;"",OR(NOT(ISNUMBER(N1707)),N(N1707)&lt;0)),AND(P1707&lt;&gt;"",OR(NOT(ISNUMBER(P1707)),N(P1707)&lt;0))),"Coût invalide",IF(AND(M1707&lt;&gt;"",ISNA(MATCH(M1707,tech_name,0))),"Technicien inconnu",IF(AND(I1707="Terminée",S1707&gt;p_today),"Terminée à une date future",IF(AND(I1707="Terminée",V1707=0),"Durée d'intervention manquante",IF(AND(I1707="Terminée",E1707="Préventif",T1707=0,OR(IFERROR(INDEX(pl_trig,MATCH(F1707,pl_num,0))&amp;"","")="Compteur",IFERROR(INDEX(pl_trig,MATCH(F1707,pl_num,0))&amp;"","")="Au premier des deux")),"Compteur manquant (plan au compteur)","OK"))))))))))))))))))</f>
        <v/>
      </c>
      <c r="S1707" s="67">
        <f>IF(AND(ISNUMBER(B1707),N(B1707)&gt;0),INT(B1707),0)</f>
        <v>0.0</v>
      </c>
      <c r="T1707" s="67">
        <f>IF(AND(ISNUMBER(J1707),N(J1707)&gt;=0),N(J1707),0)</f>
        <v>0.0</v>
      </c>
      <c r="U1707" s="67">
        <f>IF(AND(ISNUMBER(K1707),N(K1707)&gt;0),N(K1707),0)</f>
        <v>0.0</v>
      </c>
      <c r="V1707" s="67">
        <f>IF(AND(ISNUMBER(L1707),N(L1707)&gt;0),N(L1707),0)</f>
        <v>0.0</v>
      </c>
      <c r="W1707" s="67">
        <f>IF(AND(I1707="Terminée",S1707&gt;0,C1707&lt;&gt;"",ISNUMBER(MATCH(C1707,eq_code,0))),1,0)</f>
        <v>0.0</v>
      </c>
      <c r="X1707" s="67">
        <f>IF(AND(W1707=1,E1707="Préventif"),1,0)</f>
        <v>0.0</v>
      </c>
      <c r="Y1707" s="67">
        <f>IF(AND(ISNUMBER(N1707),N(N1707)&gt;0),N(N1707),0)</f>
        <v>0.0</v>
      </c>
      <c r="Z1707" s="67">
        <f>IF(AND(ISNUMBER(P1707),N(P1707)&gt;0),N(P1707),0)</f>
        <v>0.0</v>
      </c>
    </row>
    <row r="1708">
      <c r="A1708" s="79" t="str">
        <f>IF(COUNTA(B1708:C1708,E1708:G1708,I1708)=0,"","BI-"&amp;RIGHT("0000"&amp;(ROW()-5),4))</f>
        <v/>
      </c>
      <c r="B1708" s="72" t="n"/>
      <c r="C1708" s="66" t="n"/>
      <c r="D1708" s="67" t="str">
        <f>IF(C1708="","",IFERROR(INDEX(eq_des,MATCH(C1708,eq_code,0))&amp;"","Équipement inconnu"))</f>
        <v/>
      </c>
      <c r="E1708" s="68" t="n"/>
      <c r="F1708" s="68" t="n"/>
      <c r="G1708" s="66" t="n"/>
      <c r="H1708" s="66" t="n"/>
      <c r="I1708" s="68" t="n"/>
      <c r="J1708" s="73" t="n"/>
      <c r="K1708" s="71" t="n"/>
      <c r="L1708" s="71" t="n"/>
      <c r="M1708" s="66" t="n"/>
      <c r="N1708" s="80" t="n"/>
      <c r="O1708" s="81" t="str">
        <f>IF(A1708="","",ROUND(V1708*IFERROR(N(INDEX(tech_rate,MATCH(M1708,tech_name,0))),0),2))</f>
        <v/>
      </c>
      <c r="P1708" s="80" t="n"/>
      <c r="Q1708" s="81" t="str">
        <f>IF(A1708="","",ROUND(Y1708+O1708+Z1708,2))</f>
        <v/>
      </c>
      <c r="R1708" s="79" t="str">
        <f>IF(A1708="","",IF(S1708=0,"Date manquante ou invalide",IF(C1708="","Équipement manquant",IF(ISNA(MATCH(C1708,eq_code,0)),"Équipement inconnu",IF(E1708="","Type manquant",IF(AND(E1708&lt;&gt;"Préventif",E1708&lt;&gt;"Correctif",E1708&lt;&gt;"Amélioratif"),"Type inconnu",IF(I1708="","Statut manquant",IF(AND(I1708&lt;&gt;"Terminée",I1708&lt;&gt;"En cours",I1708&lt;&gt;"À faire",I1708&lt;&gt;"Annulée"),"Statut inconnu",IF(AND(E1708="Préventif",F1708=""),"Plan manquant (préventif)",IF(AND(F1708&lt;&gt;"",ISNA(MATCH(F1708,pl_num,0))),"Plan inconnu",IF(AND(F1708&lt;&gt;"",IFERROR(INDEX(pl_eq,MATCH(F1708,pl_num,0))&amp;"",C1708)&lt;&gt;C1708),"Plan d'un autre équipement",IF(AND(J1708&lt;&gt;"",OR(NOT(ISNUMBER(J1708)),N(J1708)&lt;0)),"Compteur invalide",IF(OR(AND(K1708&lt;&gt;"",OR(NOT(ISNUMBER(K1708)),N(K1708)&lt;0)),AND(L1708&lt;&gt;"",OR(NOT(ISNUMBER(L1708)),N(L1708)&lt;0))),"Durée invalide",IF(OR(AND(N1708&lt;&gt;"",OR(NOT(ISNUMBER(N1708)),N(N1708)&lt;0)),AND(P1708&lt;&gt;"",OR(NOT(ISNUMBER(P1708)),N(P1708)&lt;0))),"Coût invalide",IF(AND(M1708&lt;&gt;"",ISNA(MATCH(M1708,tech_name,0))),"Technicien inconnu",IF(AND(I1708="Terminée",S1708&gt;p_today),"Terminée à une date future",IF(AND(I1708="Terminée",V1708=0),"Durée d'intervention manquante",IF(AND(I1708="Terminée",E1708="Préventif",T1708=0,OR(IFERROR(INDEX(pl_trig,MATCH(F1708,pl_num,0))&amp;"","")="Compteur",IFERROR(INDEX(pl_trig,MATCH(F1708,pl_num,0))&amp;"","")="Au premier des deux")),"Compteur manquant (plan au compteur)","OK"))))))))))))))))))</f>
        <v/>
      </c>
      <c r="S1708" s="67">
        <f>IF(AND(ISNUMBER(B1708),N(B1708)&gt;0),INT(B1708),0)</f>
        <v>0.0</v>
      </c>
      <c r="T1708" s="67">
        <f>IF(AND(ISNUMBER(J1708),N(J1708)&gt;=0),N(J1708),0)</f>
        <v>0.0</v>
      </c>
      <c r="U1708" s="67">
        <f>IF(AND(ISNUMBER(K1708),N(K1708)&gt;0),N(K1708),0)</f>
        <v>0.0</v>
      </c>
      <c r="V1708" s="67">
        <f>IF(AND(ISNUMBER(L1708),N(L1708)&gt;0),N(L1708),0)</f>
        <v>0.0</v>
      </c>
      <c r="W1708" s="67">
        <f>IF(AND(I1708="Terminée",S1708&gt;0,C1708&lt;&gt;"",ISNUMBER(MATCH(C1708,eq_code,0))),1,0)</f>
        <v>0.0</v>
      </c>
      <c r="X1708" s="67">
        <f>IF(AND(W1708=1,E1708="Préventif"),1,0)</f>
        <v>0.0</v>
      </c>
      <c r="Y1708" s="67">
        <f>IF(AND(ISNUMBER(N1708),N(N1708)&gt;0),N(N1708),0)</f>
        <v>0.0</v>
      </c>
      <c r="Z1708" s="67">
        <f>IF(AND(ISNUMBER(P1708),N(P1708)&gt;0),N(P1708),0)</f>
        <v>0.0</v>
      </c>
    </row>
    <row r="1709">
      <c r="A1709" s="79" t="str">
        <f>IF(COUNTA(B1709:C1709,E1709:G1709,I1709)=0,"","BI-"&amp;RIGHT("0000"&amp;(ROW()-5),4))</f>
        <v/>
      </c>
      <c r="B1709" s="72" t="n"/>
      <c r="C1709" s="66" t="n"/>
      <c r="D1709" s="67" t="str">
        <f>IF(C1709="","",IFERROR(INDEX(eq_des,MATCH(C1709,eq_code,0))&amp;"","Équipement inconnu"))</f>
        <v/>
      </c>
      <c r="E1709" s="68" t="n"/>
      <c r="F1709" s="68" t="n"/>
      <c r="G1709" s="66" t="n"/>
      <c r="H1709" s="66" t="n"/>
      <c r="I1709" s="68" t="n"/>
      <c r="J1709" s="73" t="n"/>
      <c r="K1709" s="71" t="n"/>
      <c r="L1709" s="71" t="n"/>
      <c r="M1709" s="66" t="n"/>
      <c r="N1709" s="80" t="n"/>
      <c r="O1709" s="81" t="str">
        <f>IF(A1709="","",ROUND(V1709*IFERROR(N(INDEX(tech_rate,MATCH(M1709,tech_name,0))),0),2))</f>
        <v/>
      </c>
      <c r="P1709" s="80" t="n"/>
      <c r="Q1709" s="81" t="str">
        <f>IF(A1709="","",ROUND(Y1709+O1709+Z1709,2))</f>
        <v/>
      </c>
      <c r="R1709" s="79" t="str">
        <f>IF(A1709="","",IF(S1709=0,"Date manquante ou invalide",IF(C1709="","Équipement manquant",IF(ISNA(MATCH(C1709,eq_code,0)),"Équipement inconnu",IF(E1709="","Type manquant",IF(AND(E1709&lt;&gt;"Préventif",E1709&lt;&gt;"Correctif",E1709&lt;&gt;"Amélioratif"),"Type inconnu",IF(I1709="","Statut manquant",IF(AND(I1709&lt;&gt;"Terminée",I1709&lt;&gt;"En cours",I1709&lt;&gt;"À faire",I1709&lt;&gt;"Annulée"),"Statut inconnu",IF(AND(E1709="Préventif",F1709=""),"Plan manquant (préventif)",IF(AND(F1709&lt;&gt;"",ISNA(MATCH(F1709,pl_num,0))),"Plan inconnu",IF(AND(F1709&lt;&gt;"",IFERROR(INDEX(pl_eq,MATCH(F1709,pl_num,0))&amp;"",C1709)&lt;&gt;C1709),"Plan d'un autre équipement",IF(AND(J1709&lt;&gt;"",OR(NOT(ISNUMBER(J1709)),N(J1709)&lt;0)),"Compteur invalide",IF(OR(AND(K1709&lt;&gt;"",OR(NOT(ISNUMBER(K1709)),N(K1709)&lt;0)),AND(L1709&lt;&gt;"",OR(NOT(ISNUMBER(L1709)),N(L1709)&lt;0))),"Durée invalide",IF(OR(AND(N1709&lt;&gt;"",OR(NOT(ISNUMBER(N1709)),N(N1709)&lt;0)),AND(P1709&lt;&gt;"",OR(NOT(ISNUMBER(P1709)),N(P1709)&lt;0))),"Coût invalide",IF(AND(M1709&lt;&gt;"",ISNA(MATCH(M1709,tech_name,0))),"Technicien inconnu",IF(AND(I1709="Terminée",S1709&gt;p_today),"Terminée à une date future",IF(AND(I1709="Terminée",V1709=0),"Durée d'intervention manquante",IF(AND(I1709="Terminée",E1709="Préventif",T1709=0,OR(IFERROR(INDEX(pl_trig,MATCH(F1709,pl_num,0))&amp;"","")="Compteur",IFERROR(INDEX(pl_trig,MATCH(F1709,pl_num,0))&amp;"","")="Au premier des deux")),"Compteur manquant (plan au compteur)","OK"))))))))))))))))))</f>
        <v/>
      </c>
      <c r="S1709" s="67">
        <f>IF(AND(ISNUMBER(B1709),N(B1709)&gt;0),INT(B1709),0)</f>
        <v>0.0</v>
      </c>
      <c r="T1709" s="67">
        <f>IF(AND(ISNUMBER(J1709),N(J1709)&gt;=0),N(J1709),0)</f>
        <v>0.0</v>
      </c>
      <c r="U1709" s="67">
        <f>IF(AND(ISNUMBER(K1709),N(K1709)&gt;0),N(K1709),0)</f>
        <v>0.0</v>
      </c>
      <c r="V1709" s="67">
        <f>IF(AND(ISNUMBER(L1709),N(L1709)&gt;0),N(L1709),0)</f>
        <v>0.0</v>
      </c>
      <c r="W1709" s="67">
        <f>IF(AND(I1709="Terminée",S1709&gt;0,C1709&lt;&gt;"",ISNUMBER(MATCH(C1709,eq_code,0))),1,0)</f>
        <v>0.0</v>
      </c>
      <c r="X1709" s="67">
        <f>IF(AND(W1709=1,E1709="Préventif"),1,0)</f>
        <v>0.0</v>
      </c>
      <c r="Y1709" s="67">
        <f>IF(AND(ISNUMBER(N1709),N(N1709)&gt;0),N(N1709),0)</f>
        <v>0.0</v>
      </c>
      <c r="Z1709" s="67">
        <f>IF(AND(ISNUMBER(P1709),N(P1709)&gt;0),N(P1709),0)</f>
        <v>0.0</v>
      </c>
    </row>
    <row r="1710">
      <c r="A1710" s="79" t="str">
        <f>IF(COUNTA(B1710:C1710,E1710:G1710,I1710)=0,"","BI-"&amp;RIGHT("0000"&amp;(ROW()-5),4))</f>
        <v/>
      </c>
      <c r="B1710" s="72" t="n"/>
      <c r="C1710" s="66" t="n"/>
      <c r="D1710" s="67" t="str">
        <f>IF(C1710="","",IFERROR(INDEX(eq_des,MATCH(C1710,eq_code,0))&amp;"","Équipement inconnu"))</f>
        <v/>
      </c>
      <c r="E1710" s="68" t="n"/>
      <c r="F1710" s="68" t="n"/>
      <c r="G1710" s="66" t="n"/>
      <c r="H1710" s="66" t="n"/>
      <c r="I1710" s="68" t="n"/>
      <c r="J1710" s="73" t="n"/>
      <c r="K1710" s="71" t="n"/>
      <c r="L1710" s="71" t="n"/>
      <c r="M1710" s="66" t="n"/>
      <c r="N1710" s="80" t="n"/>
      <c r="O1710" s="81" t="str">
        <f>IF(A1710="","",ROUND(V1710*IFERROR(N(INDEX(tech_rate,MATCH(M1710,tech_name,0))),0),2))</f>
        <v/>
      </c>
      <c r="P1710" s="80" t="n"/>
      <c r="Q1710" s="81" t="str">
        <f>IF(A1710="","",ROUND(Y1710+O1710+Z1710,2))</f>
        <v/>
      </c>
      <c r="R1710" s="79" t="str">
        <f>IF(A1710="","",IF(S1710=0,"Date manquante ou invalide",IF(C1710="","Équipement manquant",IF(ISNA(MATCH(C1710,eq_code,0)),"Équipement inconnu",IF(E1710="","Type manquant",IF(AND(E1710&lt;&gt;"Préventif",E1710&lt;&gt;"Correctif",E1710&lt;&gt;"Amélioratif"),"Type inconnu",IF(I1710="","Statut manquant",IF(AND(I1710&lt;&gt;"Terminée",I1710&lt;&gt;"En cours",I1710&lt;&gt;"À faire",I1710&lt;&gt;"Annulée"),"Statut inconnu",IF(AND(E1710="Préventif",F1710=""),"Plan manquant (préventif)",IF(AND(F1710&lt;&gt;"",ISNA(MATCH(F1710,pl_num,0))),"Plan inconnu",IF(AND(F1710&lt;&gt;"",IFERROR(INDEX(pl_eq,MATCH(F1710,pl_num,0))&amp;"",C1710)&lt;&gt;C1710),"Plan d'un autre équipement",IF(AND(J1710&lt;&gt;"",OR(NOT(ISNUMBER(J1710)),N(J1710)&lt;0)),"Compteur invalide",IF(OR(AND(K1710&lt;&gt;"",OR(NOT(ISNUMBER(K1710)),N(K1710)&lt;0)),AND(L1710&lt;&gt;"",OR(NOT(ISNUMBER(L1710)),N(L1710)&lt;0))),"Durée invalide",IF(OR(AND(N1710&lt;&gt;"",OR(NOT(ISNUMBER(N1710)),N(N1710)&lt;0)),AND(P1710&lt;&gt;"",OR(NOT(ISNUMBER(P1710)),N(P1710)&lt;0))),"Coût invalide",IF(AND(M1710&lt;&gt;"",ISNA(MATCH(M1710,tech_name,0))),"Technicien inconnu",IF(AND(I1710="Terminée",S1710&gt;p_today),"Terminée à une date future",IF(AND(I1710="Terminée",V1710=0),"Durée d'intervention manquante",IF(AND(I1710="Terminée",E1710="Préventif",T1710=0,OR(IFERROR(INDEX(pl_trig,MATCH(F1710,pl_num,0))&amp;"","")="Compteur",IFERROR(INDEX(pl_trig,MATCH(F1710,pl_num,0))&amp;"","")="Au premier des deux")),"Compteur manquant (plan au compteur)","OK"))))))))))))))))))</f>
        <v/>
      </c>
      <c r="S1710" s="67">
        <f>IF(AND(ISNUMBER(B1710),N(B1710)&gt;0),INT(B1710),0)</f>
        <v>0.0</v>
      </c>
      <c r="T1710" s="67">
        <f>IF(AND(ISNUMBER(J1710),N(J1710)&gt;=0),N(J1710),0)</f>
        <v>0.0</v>
      </c>
      <c r="U1710" s="67">
        <f>IF(AND(ISNUMBER(K1710),N(K1710)&gt;0),N(K1710),0)</f>
        <v>0.0</v>
      </c>
      <c r="V1710" s="67">
        <f>IF(AND(ISNUMBER(L1710),N(L1710)&gt;0),N(L1710),0)</f>
        <v>0.0</v>
      </c>
      <c r="W1710" s="67">
        <f>IF(AND(I1710="Terminée",S1710&gt;0,C1710&lt;&gt;"",ISNUMBER(MATCH(C1710,eq_code,0))),1,0)</f>
        <v>0.0</v>
      </c>
      <c r="X1710" s="67">
        <f>IF(AND(W1710=1,E1710="Préventif"),1,0)</f>
        <v>0.0</v>
      </c>
      <c r="Y1710" s="67">
        <f>IF(AND(ISNUMBER(N1710),N(N1710)&gt;0),N(N1710),0)</f>
        <v>0.0</v>
      </c>
      <c r="Z1710" s="67">
        <f>IF(AND(ISNUMBER(P1710),N(P1710)&gt;0),N(P1710),0)</f>
        <v>0.0</v>
      </c>
    </row>
    <row r="1711">
      <c r="A1711" s="79" t="str">
        <f>IF(COUNTA(B1711:C1711,E1711:G1711,I1711)=0,"","BI-"&amp;RIGHT("0000"&amp;(ROW()-5),4))</f>
        <v/>
      </c>
      <c r="B1711" s="72" t="n"/>
      <c r="C1711" s="66" t="n"/>
      <c r="D1711" s="67" t="str">
        <f>IF(C1711="","",IFERROR(INDEX(eq_des,MATCH(C1711,eq_code,0))&amp;"","Équipement inconnu"))</f>
        <v/>
      </c>
      <c r="E1711" s="68" t="n"/>
      <c r="F1711" s="68" t="n"/>
      <c r="G1711" s="66" t="n"/>
      <c r="H1711" s="66" t="n"/>
      <c r="I1711" s="68" t="n"/>
      <c r="J1711" s="73" t="n"/>
      <c r="K1711" s="71" t="n"/>
      <c r="L1711" s="71" t="n"/>
      <c r="M1711" s="66" t="n"/>
      <c r="N1711" s="80" t="n"/>
      <c r="O1711" s="81" t="str">
        <f>IF(A1711="","",ROUND(V1711*IFERROR(N(INDEX(tech_rate,MATCH(M1711,tech_name,0))),0),2))</f>
        <v/>
      </c>
      <c r="P1711" s="80" t="n"/>
      <c r="Q1711" s="81" t="str">
        <f>IF(A1711="","",ROUND(Y1711+O1711+Z1711,2))</f>
        <v/>
      </c>
      <c r="R1711" s="79" t="str">
        <f>IF(A1711="","",IF(S1711=0,"Date manquante ou invalide",IF(C1711="","Équipement manquant",IF(ISNA(MATCH(C1711,eq_code,0)),"Équipement inconnu",IF(E1711="","Type manquant",IF(AND(E1711&lt;&gt;"Préventif",E1711&lt;&gt;"Correctif",E1711&lt;&gt;"Amélioratif"),"Type inconnu",IF(I1711="","Statut manquant",IF(AND(I1711&lt;&gt;"Terminée",I1711&lt;&gt;"En cours",I1711&lt;&gt;"À faire",I1711&lt;&gt;"Annulée"),"Statut inconnu",IF(AND(E1711="Préventif",F1711=""),"Plan manquant (préventif)",IF(AND(F1711&lt;&gt;"",ISNA(MATCH(F1711,pl_num,0))),"Plan inconnu",IF(AND(F1711&lt;&gt;"",IFERROR(INDEX(pl_eq,MATCH(F1711,pl_num,0))&amp;"",C1711)&lt;&gt;C1711),"Plan d'un autre équipement",IF(AND(J1711&lt;&gt;"",OR(NOT(ISNUMBER(J1711)),N(J1711)&lt;0)),"Compteur invalide",IF(OR(AND(K1711&lt;&gt;"",OR(NOT(ISNUMBER(K1711)),N(K1711)&lt;0)),AND(L1711&lt;&gt;"",OR(NOT(ISNUMBER(L1711)),N(L1711)&lt;0))),"Durée invalide",IF(OR(AND(N1711&lt;&gt;"",OR(NOT(ISNUMBER(N1711)),N(N1711)&lt;0)),AND(P1711&lt;&gt;"",OR(NOT(ISNUMBER(P1711)),N(P1711)&lt;0))),"Coût invalide",IF(AND(M1711&lt;&gt;"",ISNA(MATCH(M1711,tech_name,0))),"Technicien inconnu",IF(AND(I1711="Terminée",S1711&gt;p_today),"Terminée à une date future",IF(AND(I1711="Terminée",V1711=0),"Durée d'intervention manquante",IF(AND(I1711="Terminée",E1711="Préventif",T1711=0,OR(IFERROR(INDEX(pl_trig,MATCH(F1711,pl_num,0))&amp;"","")="Compteur",IFERROR(INDEX(pl_trig,MATCH(F1711,pl_num,0))&amp;"","")="Au premier des deux")),"Compteur manquant (plan au compteur)","OK"))))))))))))))))))</f>
        <v/>
      </c>
      <c r="S1711" s="67">
        <f>IF(AND(ISNUMBER(B1711),N(B1711)&gt;0),INT(B1711),0)</f>
        <v>0.0</v>
      </c>
      <c r="T1711" s="67">
        <f>IF(AND(ISNUMBER(J1711),N(J1711)&gt;=0),N(J1711),0)</f>
        <v>0.0</v>
      </c>
      <c r="U1711" s="67">
        <f>IF(AND(ISNUMBER(K1711),N(K1711)&gt;0),N(K1711),0)</f>
        <v>0.0</v>
      </c>
      <c r="V1711" s="67">
        <f>IF(AND(ISNUMBER(L1711),N(L1711)&gt;0),N(L1711),0)</f>
        <v>0.0</v>
      </c>
      <c r="W1711" s="67">
        <f>IF(AND(I1711="Terminée",S1711&gt;0,C1711&lt;&gt;"",ISNUMBER(MATCH(C1711,eq_code,0))),1,0)</f>
        <v>0.0</v>
      </c>
      <c r="X1711" s="67">
        <f>IF(AND(W1711=1,E1711="Préventif"),1,0)</f>
        <v>0.0</v>
      </c>
      <c r="Y1711" s="67">
        <f>IF(AND(ISNUMBER(N1711),N(N1711)&gt;0),N(N1711),0)</f>
        <v>0.0</v>
      </c>
      <c r="Z1711" s="67">
        <f>IF(AND(ISNUMBER(P1711),N(P1711)&gt;0),N(P1711),0)</f>
        <v>0.0</v>
      </c>
    </row>
    <row r="1712">
      <c r="A1712" s="79" t="str">
        <f>IF(COUNTA(B1712:C1712,E1712:G1712,I1712)=0,"","BI-"&amp;RIGHT("0000"&amp;(ROW()-5),4))</f>
        <v/>
      </c>
      <c r="B1712" s="72" t="n"/>
      <c r="C1712" s="66" t="n"/>
      <c r="D1712" s="67" t="str">
        <f>IF(C1712="","",IFERROR(INDEX(eq_des,MATCH(C1712,eq_code,0))&amp;"","Équipement inconnu"))</f>
        <v/>
      </c>
      <c r="E1712" s="68" t="n"/>
      <c r="F1712" s="68" t="n"/>
      <c r="G1712" s="66" t="n"/>
      <c r="H1712" s="66" t="n"/>
      <c r="I1712" s="68" t="n"/>
      <c r="J1712" s="73" t="n"/>
      <c r="K1712" s="71" t="n"/>
      <c r="L1712" s="71" t="n"/>
      <c r="M1712" s="66" t="n"/>
      <c r="N1712" s="80" t="n"/>
      <c r="O1712" s="81" t="str">
        <f>IF(A1712="","",ROUND(V1712*IFERROR(N(INDEX(tech_rate,MATCH(M1712,tech_name,0))),0),2))</f>
        <v/>
      </c>
      <c r="P1712" s="80" t="n"/>
      <c r="Q1712" s="81" t="str">
        <f>IF(A1712="","",ROUND(Y1712+O1712+Z1712,2))</f>
        <v/>
      </c>
      <c r="R1712" s="79" t="str">
        <f>IF(A1712="","",IF(S1712=0,"Date manquante ou invalide",IF(C1712="","Équipement manquant",IF(ISNA(MATCH(C1712,eq_code,0)),"Équipement inconnu",IF(E1712="","Type manquant",IF(AND(E1712&lt;&gt;"Préventif",E1712&lt;&gt;"Correctif",E1712&lt;&gt;"Amélioratif"),"Type inconnu",IF(I1712="","Statut manquant",IF(AND(I1712&lt;&gt;"Terminée",I1712&lt;&gt;"En cours",I1712&lt;&gt;"À faire",I1712&lt;&gt;"Annulée"),"Statut inconnu",IF(AND(E1712="Préventif",F1712=""),"Plan manquant (préventif)",IF(AND(F1712&lt;&gt;"",ISNA(MATCH(F1712,pl_num,0))),"Plan inconnu",IF(AND(F1712&lt;&gt;"",IFERROR(INDEX(pl_eq,MATCH(F1712,pl_num,0))&amp;"",C1712)&lt;&gt;C1712),"Plan d'un autre équipement",IF(AND(J1712&lt;&gt;"",OR(NOT(ISNUMBER(J1712)),N(J1712)&lt;0)),"Compteur invalide",IF(OR(AND(K1712&lt;&gt;"",OR(NOT(ISNUMBER(K1712)),N(K1712)&lt;0)),AND(L1712&lt;&gt;"",OR(NOT(ISNUMBER(L1712)),N(L1712)&lt;0))),"Durée invalide",IF(OR(AND(N1712&lt;&gt;"",OR(NOT(ISNUMBER(N1712)),N(N1712)&lt;0)),AND(P1712&lt;&gt;"",OR(NOT(ISNUMBER(P1712)),N(P1712)&lt;0))),"Coût invalide",IF(AND(M1712&lt;&gt;"",ISNA(MATCH(M1712,tech_name,0))),"Technicien inconnu",IF(AND(I1712="Terminée",S1712&gt;p_today),"Terminée à une date future",IF(AND(I1712="Terminée",V1712=0),"Durée d'intervention manquante",IF(AND(I1712="Terminée",E1712="Préventif",T1712=0,OR(IFERROR(INDEX(pl_trig,MATCH(F1712,pl_num,0))&amp;"","")="Compteur",IFERROR(INDEX(pl_trig,MATCH(F1712,pl_num,0))&amp;"","")="Au premier des deux")),"Compteur manquant (plan au compteur)","OK"))))))))))))))))))</f>
        <v/>
      </c>
      <c r="S1712" s="67">
        <f>IF(AND(ISNUMBER(B1712),N(B1712)&gt;0),INT(B1712),0)</f>
        <v>0.0</v>
      </c>
      <c r="T1712" s="67">
        <f>IF(AND(ISNUMBER(J1712),N(J1712)&gt;=0),N(J1712),0)</f>
        <v>0.0</v>
      </c>
      <c r="U1712" s="67">
        <f>IF(AND(ISNUMBER(K1712),N(K1712)&gt;0),N(K1712),0)</f>
        <v>0.0</v>
      </c>
      <c r="V1712" s="67">
        <f>IF(AND(ISNUMBER(L1712),N(L1712)&gt;0),N(L1712),0)</f>
        <v>0.0</v>
      </c>
      <c r="W1712" s="67">
        <f>IF(AND(I1712="Terminée",S1712&gt;0,C1712&lt;&gt;"",ISNUMBER(MATCH(C1712,eq_code,0))),1,0)</f>
        <v>0.0</v>
      </c>
      <c r="X1712" s="67">
        <f>IF(AND(W1712=1,E1712="Préventif"),1,0)</f>
        <v>0.0</v>
      </c>
      <c r="Y1712" s="67">
        <f>IF(AND(ISNUMBER(N1712),N(N1712)&gt;0),N(N1712),0)</f>
        <v>0.0</v>
      </c>
      <c r="Z1712" s="67">
        <f>IF(AND(ISNUMBER(P1712),N(P1712)&gt;0),N(P1712),0)</f>
        <v>0.0</v>
      </c>
    </row>
    <row r="1713">
      <c r="A1713" s="79" t="str">
        <f>IF(COUNTA(B1713:C1713,E1713:G1713,I1713)=0,"","BI-"&amp;RIGHT("0000"&amp;(ROW()-5),4))</f>
        <v/>
      </c>
      <c r="B1713" s="72" t="n"/>
      <c r="C1713" s="66" t="n"/>
      <c r="D1713" s="67" t="str">
        <f>IF(C1713="","",IFERROR(INDEX(eq_des,MATCH(C1713,eq_code,0))&amp;"","Équipement inconnu"))</f>
        <v/>
      </c>
      <c r="E1713" s="68" t="n"/>
      <c r="F1713" s="68" t="n"/>
      <c r="G1713" s="66" t="n"/>
      <c r="H1713" s="66" t="n"/>
      <c r="I1713" s="68" t="n"/>
      <c r="J1713" s="73" t="n"/>
      <c r="K1713" s="71" t="n"/>
      <c r="L1713" s="71" t="n"/>
      <c r="M1713" s="66" t="n"/>
      <c r="N1713" s="80" t="n"/>
      <c r="O1713" s="81" t="str">
        <f>IF(A1713="","",ROUND(V1713*IFERROR(N(INDEX(tech_rate,MATCH(M1713,tech_name,0))),0),2))</f>
        <v/>
      </c>
      <c r="P1713" s="80" t="n"/>
      <c r="Q1713" s="81" t="str">
        <f>IF(A1713="","",ROUND(Y1713+O1713+Z1713,2))</f>
        <v/>
      </c>
      <c r="R1713" s="79" t="str">
        <f>IF(A1713="","",IF(S1713=0,"Date manquante ou invalide",IF(C1713="","Équipement manquant",IF(ISNA(MATCH(C1713,eq_code,0)),"Équipement inconnu",IF(E1713="","Type manquant",IF(AND(E1713&lt;&gt;"Préventif",E1713&lt;&gt;"Correctif",E1713&lt;&gt;"Amélioratif"),"Type inconnu",IF(I1713="","Statut manquant",IF(AND(I1713&lt;&gt;"Terminée",I1713&lt;&gt;"En cours",I1713&lt;&gt;"À faire",I1713&lt;&gt;"Annulée"),"Statut inconnu",IF(AND(E1713="Préventif",F1713=""),"Plan manquant (préventif)",IF(AND(F1713&lt;&gt;"",ISNA(MATCH(F1713,pl_num,0))),"Plan inconnu",IF(AND(F1713&lt;&gt;"",IFERROR(INDEX(pl_eq,MATCH(F1713,pl_num,0))&amp;"",C1713)&lt;&gt;C1713),"Plan d'un autre équipement",IF(AND(J1713&lt;&gt;"",OR(NOT(ISNUMBER(J1713)),N(J1713)&lt;0)),"Compteur invalide",IF(OR(AND(K1713&lt;&gt;"",OR(NOT(ISNUMBER(K1713)),N(K1713)&lt;0)),AND(L1713&lt;&gt;"",OR(NOT(ISNUMBER(L1713)),N(L1713)&lt;0))),"Durée invalide",IF(OR(AND(N1713&lt;&gt;"",OR(NOT(ISNUMBER(N1713)),N(N1713)&lt;0)),AND(P1713&lt;&gt;"",OR(NOT(ISNUMBER(P1713)),N(P1713)&lt;0))),"Coût invalide",IF(AND(M1713&lt;&gt;"",ISNA(MATCH(M1713,tech_name,0))),"Technicien inconnu",IF(AND(I1713="Terminée",S1713&gt;p_today),"Terminée à une date future",IF(AND(I1713="Terminée",V1713=0),"Durée d'intervention manquante",IF(AND(I1713="Terminée",E1713="Préventif",T1713=0,OR(IFERROR(INDEX(pl_trig,MATCH(F1713,pl_num,0))&amp;"","")="Compteur",IFERROR(INDEX(pl_trig,MATCH(F1713,pl_num,0))&amp;"","")="Au premier des deux")),"Compteur manquant (plan au compteur)","OK"))))))))))))))))))</f>
        <v/>
      </c>
      <c r="S1713" s="67">
        <f>IF(AND(ISNUMBER(B1713),N(B1713)&gt;0),INT(B1713),0)</f>
        <v>0.0</v>
      </c>
      <c r="T1713" s="67">
        <f>IF(AND(ISNUMBER(J1713),N(J1713)&gt;=0),N(J1713),0)</f>
        <v>0.0</v>
      </c>
      <c r="U1713" s="67">
        <f>IF(AND(ISNUMBER(K1713),N(K1713)&gt;0),N(K1713),0)</f>
        <v>0.0</v>
      </c>
      <c r="V1713" s="67">
        <f>IF(AND(ISNUMBER(L1713),N(L1713)&gt;0),N(L1713),0)</f>
        <v>0.0</v>
      </c>
      <c r="W1713" s="67">
        <f>IF(AND(I1713="Terminée",S1713&gt;0,C1713&lt;&gt;"",ISNUMBER(MATCH(C1713,eq_code,0))),1,0)</f>
        <v>0.0</v>
      </c>
      <c r="X1713" s="67">
        <f>IF(AND(W1713=1,E1713="Préventif"),1,0)</f>
        <v>0.0</v>
      </c>
      <c r="Y1713" s="67">
        <f>IF(AND(ISNUMBER(N1713),N(N1713)&gt;0),N(N1713),0)</f>
        <v>0.0</v>
      </c>
      <c r="Z1713" s="67">
        <f>IF(AND(ISNUMBER(P1713),N(P1713)&gt;0),N(P1713),0)</f>
        <v>0.0</v>
      </c>
    </row>
    <row r="1714">
      <c r="A1714" s="79" t="str">
        <f>IF(COUNTA(B1714:C1714,E1714:G1714,I1714)=0,"","BI-"&amp;RIGHT("0000"&amp;(ROW()-5),4))</f>
        <v/>
      </c>
      <c r="B1714" s="72" t="n"/>
      <c r="C1714" s="66" t="n"/>
      <c r="D1714" s="67" t="str">
        <f>IF(C1714="","",IFERROR(INDEX(eq_des,MATCH(C1714,eq_code,0))&amp;"","Équipement inconnu"))</f>
        <v/>
      </c>
      <c r="E1714" s="68" t="n"/>
      <c r="F1714" s="68" t="n"/>
      <c r="G1714" s="66" t="n"/>
      <c r="H1714" s="66" t="n"/>
      <c r="I1714" s="68" t="n"/>
      <c r="J1714" s="73" t="n"/>
      <c r="K1714" s="71" t="n"/>
      <c r="L1714" s="71" t="n"/>
      <c r="M1714" s="66" t="n"/>
      <c r="N1714" s="80" t="n"/>
      <c r="O1714" s="81" t="str">
        <f>IF(A1714="","",ROUND(V1714*IFERROR(N(INDEX(tech_rate,MATCH(M1714,tech_name,0))),0),2))</f>
        <v/>
      </c>
      <c r="P1714" s="80" t="n"/>
      <c r="Q1714" s="81" t="str">
        <f>IF(A1714="","",ROUND(Y1714+O1714+Z1714,2))</f>
        <v/>
      </c>
      <c r="R1714" s="79" t="str">
        <f>IF(A1714="","",IF(S1714=0,"Date manquante ou invalide",IF(C1714="","Équipement manquant",IF(ISNA(MATCH(C1714,eq_code,0)),"Équipement inconnu",IF(E1714="","Type manquant",IF(AND(E1714&lt;&gt;"Préventif",E1714&lt;&gt;"Correctif",E1714&lt;&gt;"Amélioratif"),"Type inconnu",IF(I1714="","Statut manquant",IF(AND(I1714&lt;&gt;"Terminée",I1714&lt;&gt;"En cours",I1714&lt;&gt;"À faire",I1714&lt;&gt;"Annulée"),"Statut inconnu",IF(AND(E1714="Préventif",F1714=""),"Plan manquant (préventif)",IF(AND(F1714&lt;&gt;"",ISNA(MATCH(F1714,pl_num,0))),"Plan inconnu",IF(AND(F1714&lt;&gt;"",IFERROR(INDEX(pl_eq,MATCH(F1714,pl_num,0))&amp;"",C1714)&lt;&gt;C1714),"Plan d'un autre équipement",IF(AND(J1714&lt;&gt;"",OR(NOT(ISNUMBER(J1714)),N(J1714)&lt;0)),"Compteur invalide",IF(OR(AND(K1714&lt;&gt;"",OR(NOT(ISNUMBER(K1714)),N(K1714)&lt;0)),AND(L1714&lt;&gt;"",OR(NOT(ISNUMBER(L1714)),N(L1714)&lt;0))),"Durée invalide",IF(OR(AND(N1714&lt;&gt;"",OR(NOT(ISNUMBER(N1714)),N(N1714)&lt;0)),AND(P1714&lt;&gt;"",OR(NOT(ISNUMBER(P1714)),N(P1714)&lt;0))),"Coût invalide",IF(AND(M1714&lt;&gt;"",ISNA(MATCH(M1714,tech_name,0))),"Technicien inconnu",IF(AND(I1714="Terminée",S1714&gt;p_today),"Terminée à une date future",IF(AND(I1714="Terminée",V1714=0),"Durée d'intervention manquante",IF(AND(I1714="Terminée",E1714="Préventif",T1714=0,OR(IFERROR(INDEX(pl_trig,MATCH(F1714,pl_num,0))&amp;"","")="Compteur",IFERROR(INDEX(pl_trig,MATCH(F1714,pl_num,0))&amp;"","")="Au premier des deux")),"Compteur manquant (plan au compteur)","OK"))))))))))))))))))</f>
        <v/>
      </c>
      <c r="S1714" s="67">
        <f>IF(AND(ISNUMBER(B1714),N(B1714)&gt;0),INT(B1714),0)</f>
        <v>0.0</v>
      </c>
      <c r="T1714" s="67">
        <f>IF(AND(ISNUMBER(J1714),N(J1714)&gt;=0),N(J1714),0)</f>
        <v>0.0</v>
      </c>
      <c r="U1714" s="67">
        <f>IF(AND(ISNUMBER(K1714),N(K1714)&gt;0),N(K1714),0)</f>
        <v>0.0</v>
      </c>
      <c r="V1714" s="67">
        <f>IF(AND(ISNUMBER(L1714),N(L1714)&gt;0),N(L1714),0)</f>
        <v>0.0</v>
      </c>
      <c r="W1714" s="67">
        <f>IF(AND(I1714="Terminée",S1714&gt;0,C1714&lt;&gt;"",ISNUMBER(MATCH(C1714,eq_code,0))),1,0)</f>
        <v>0.0</v>
      </c>
      <c r="X1714" s="67">
        <f>IF(AND(W1714=1,E1714="Préventif"),1,0)</f>
        <v>0.0</v>
      </c>
      <c r="Y1714" s="67">
        <f>IF(AND(ISNUMBER(N1714),N(N1714)&gt;0),N(N1714),0)</f>
        <v>0.0</v>
      </c>
      <c r="Z1714" s="67">
        <f>IF(AND(ISNUMBER(P1714),N(P1714)&gt;0),N(P1714),0)</f>
        <v>0.0</v>
      </c>
    </row>
    <row r="1715">
      <c r="A1715" s="79" t="str">
        <f>IF(COUNTA(B1715:C1715,E1715:G1715,I1715)=0,"","BI-"&amp;RIGHT("0000"&amp;(ROW()-5),4))</f>
        <v/>
      </c>
      <c r="B1715" s="72" t="n"/>
      <c r="C1715" s="66" t="n"/>
      <c r="D1715" s="67" t="str">
        <f>IF(C1715="","",IFERROR(INDEX(eq_des,MATCH(C1715,eq_code,0))&amp;"","Équipement inconnu"))</f>
        <v/>
      </c>
      <c r="E1715" s="68" t="n"/>
      <c r="F1715" s="68" t="n"/>
      <c r="G1715" s="66" t="n"/>
      <c r="H1715" s="66" t="n"/>
      <c r="I1715" s="68" t="n"/>
      <c r="J1715" s="73" t="n"/>
      <c r="K1715" s="71" t="n"/>
      <c r="L1715" s="71" t="n"/>
      <c r="M1715" s="66" t="n"/>
      <c r="N1715" s="80" t="n"/>
      <c r="O1715" s="81" t="str">
        <f>IF(A1715="","",ROUND(V1715*IFERROR(N(INDEX(tech_rate,MATCH(M1715,tech_name,0))),0),2))</f>
        <v/>
      </c>
      <c r="P1715" s="80" t="n"/>
      <c r="Q1715" s="81" t="str">
        <f>IF(A1715="","",ROUND(Y1715+O1715+Z1715,2))</f>
        <v/>
      </c>
      <c r="R1715" s="79" t="str">
        <f>IF(A1715="","",IF(S1715=0,"Date manquante ou invalide",IF(C1715="","Équipement manquant",IF(ISNA(MATCH(C1715,eq_code,0)),"Équipement inconnu",IF(E1715="","Type manquant",IF(AND(E1715&lt;&gt;"Préventif",E1715&lt;&gt;"Correctif",E1715&lt;&gt;"Amélioratif"),"Type inconnu",IF(I1715="","Statut manquant",IF(AND(I1715&lt;&gt;"Terminée",I1715&lt;&gt;"En cours",I1715&lt;&gt;"À faire",I1715&lt;&gt;"Annulée"),"Statut inconnu",IF(AND(E1715="Préventif",F1715=""),"Plan manquant (préventif)",IF(AND(F1715&lt;&gt;"",ISNA(MATCH(F1715,pl_num,0))),"Plan inconnu",IF(AND(F1715&lt;&gt;"",IFERROR(INDEX(pl_eq,MATCH(F1715,pl_num,0))&amp;"",C1715)&lt;&gt;C1715),"Plan d'un autre équipement",IF(AND(J1715&lt;&gt;"",OR(NOT(ISNUMBER(J1715)),N(J1715)&lt;0)),"Compteur invalide",IF(OR(AND(K1715&lt;&gt;"",OR(NOT(ISNUMBER(K1715)),N(K1715)&lt;0)),AND(L1715&lt;&gt;"",OR(NOT(ISNUMBER(L1715)),N(L1715)&lt;0))),"Durée invalide",IF(OR(AND(N1715&lt;&gt;"",OR(NOT(ISNUMBER(N1715)),N(N1715)&lt;0)),AND(P1715&lt;&gt;"",OR(NOT(ISNUMBER(P1715)),N(P1715)&lt;0))),"Coût invalide",IF(AND(M1715&lt;&gt;"",ISNA(MATCH(M1715,tech_name,0))),"Technicien inconnu",IF(AND(I1715="Terminée",S1715&gt;p_today),"Terminée à une date future",IF(AND(I1715="Terminée",V1715=0),"Durée d'intervention manquante",IF(AND(I1715="Terminée",E1715="Préventif",T1715=0,OR(IFERROR(INDEX(pl_trig,MATCH(F1715,pl_num,0))&amp;"","")="Compteur",IFERROR(INDEX(pl_trig,MATCH(F1715,pl_num,0))&amp;"","")="Au premier des deux")),"Compteur manquant (plan au compteur)","OK"))))))))))))))))))</f>
        <v/>
      </c>
      <c r="S1715" s="67">
        <f>IF(AND(ISNUMBER(B1715),N(B1715)&gt;0),INT(B1715),0)</f>
        <v>0.0</v>
      </c>
      <c r="T1715" s="67">
        <f>IF(AND(ISNUMBER(J1715),N(J1715)&gt;=0),N(J1715),0)</f>
        <v>0.0</v>
      </c>
      <c r="U1715" s="67">
        <f>IF(AND(ISNUMBER(K1715),N(K1715)&gt;0),N(K1715),0)</f>
        <v>0.0</v>
      </c>
      <c r="V1715" s="67">
        <f>IF(AND(ISNUMBER(L1715),N(L1715)&gt;0),N(L1715),0)</f>
        <v>0.0</v>
      </c>
      <c r="W1715" s="67">
        <f>IF(AND(I1715="Terminée",S1715&gt;0,C1715&lt;&gt;"",ISNUMBER(MATCH(C1715,eq_code,0))),1,0)</f>
        <v>0.0</v>
      </c>
      <c r="X1715" s="67">
        <f>IF(AND(W1715=1,E1715="Préventif"),1,0)</f>
        <v>0.0</v>
      </c>
      <c r="Y1715" s="67">
        <f>IF(AND(ISNUMBER(N1715),N(N1715)&gt;0),N(N1715),0)</f>
        <v>0.0</v>
      </c>
      <c r="Z1715" s="67">
        <f>IF(AND(ISNUMBER(P1715),N(P1715)&gt;0),N(P1715),0)</f>
        <v>0.0</v>
      </c>
    </row>
    <row r="1716">
      <c r="A1716" s="79" t="str">
        <f>IF(COUNTA(B1716:C1716,E1716:G1716,I1716)=0,"","BI-"&amp;RIGHT("0000"&amp;(ROW()-5),4))</f>
        <v/>
      </c>
      <c r="B1716" s="72" t="n"/>
      <c r="C1716" s="66" t="n"/>
      <c r="D1716" s="67" t="str">
        <f>IF(C1716="","",IFERROR(INDEX(eq_des,MATCH(C1716,eq_code,0))&amp;"","Équipement inconnu"))</f>
        <v/>
      </c>
      <c r="E1716" s="68" t="n"/>
      <c r="F1716" s="68" t="n"/>
      <c r="G1716" s="66" t="n"/>
      <c r="H1716" s="66" t="n"/>
      <c r="I1716" s="68" t="n"/>
      <c r="J1716" s="73" t="n"/>
      <c r="K1716" s="71" t="n"/>
      <c r="L1716" s="71" t="n"/>
      <c r="M1716" s="66" t="n"/>
      <c r="N1716" s="80" t="n"/>
      <c r="O1716" s="81" t="str">
        <f>IF(A1716="","",ROUND(V1716*IFERROR(N(INDEX(tech_rate,MATCH(M1716,tech_name,0))),0),2))</f>
        <v/>
      </c>
      <c r="P1716" s="80" t="n"/>
      <c r="Q1716" s="81" t="str">
        <f>IF(A1716="","",ROUND(Y1716+O1716+Z1716,2))</f>
        <v/>
      </c>
      <c r="R1716" s="79" t="str">
        <f>IF(A1716="","",IF(S1716=0,"Date manquante ou invalide",IF(C1716="","Équipement manquant",IF(ISNA(MATCH(C1716,eq_code,0)),"Équipement inconnu",IF(E1716="","Type manquant",IF(AND(E1716&lt;&gt;"Préventif",E1716&lt;&gt;"Correctif",E1716&lt;&gt;"Amélioratif"),"Type inconnu",IF(I1716="","Statut manquant",IF(AND(I1716&lt;&gt;"Terminée",I1716&lt;&gt;"En cours",I1716&lt;&gt;"À faire",I1716&lt;&gt;"Annulée"),"Statut inconnu",IF(AND(E1716="Préventif",F1716=""),"Plan manquant (préventif)",IF(AND(F1716&lt;&gt;"",ISNA(MATCH(F1716,pl_num,0))),"Plan inconnu",IF(AND(F1716&lt;&gt;"",IFERROR(INDEX(pl_eq,MATCH(F1716,pl_num,0))&amp;"",C1716)&lt;&gt;C1716),"Plan d'un autre équipement",IF(AND(J1716&lt;&gt;"",OR(NOT(ISNUMBER(J1716)),N(J1716)&lt;0)),"Compteur invalide",IF(OR(AND(K1716&lt;&gt;"",OR(NOT(ISNUMBER(K1716)),N(K1716)&lt;0)),AND(L1716&lt;&gt;"",OR(NOT(ISNUMBER(L1716)),N(L1716)&lt;0))),"Durée invalide",IF(OR(AND(N1716&lt;&gt;"",OR(NOT(ISNUMBER(N1716)),N(N1716)&lt;0)),AND(P1716&lt;&gt;"",OR(NOT(ISNUMBER(P1716)),N(P1716)&lt;0))),"Coût invalide",IF(AND(M1716&lt;&gt;"",ISNA(MATCH(M1716,tech_name,0))),"Technicien inconnu",IF(AND(I1716="Terminée",S1716&gt;p_today),"Terminée à une date future",IF(AND(I1716="Terminée",V1716=0),"Durée d'intervention manquante",IF(AND(I1716="Terminée",E1716="Préventif",T1716=0,OR(IFERROR(INDEX(pl_trig,MATCH(F1716,pl_num,0))&amp;"","")="Compteur",IFERROR(INDEX(pl_trig,MATCH(F1716,pl_num,0))&amp;"","")="Au premier des deux")),"Compteur manquant (plan au compteur)","OK"))))))))))))))))))</f>
        <v/>
      </c>
      <c r="S1716" s="67">
        <f>IF(AND(ISNUMBER(B1716),N(B1716)&gt;0),INT(B1716),0)</f>
        <v>0.0</v>
      </c>
      <c r="T1716" s="67">
        <f>IF(AND(ISNUMBER(J1716),N(J1716)&gt;=0),N(J1716),0)</f>
        <v>0.0</v>
      </c>
      <c r="U1716" s="67">
        <f>IF(AND(ISNUMBER(K1716),N(K1716)&gt;0),N(K1716),0)</f>
        <v>0.0</v>
      </c>
      <c r="V1716" s="67">
        <f>IF(AND(ISNUMBER(L1716),N(L1716)&gt;0),N(L1716),0)</f>
        <v>0.0</v>
      </c>
      <c r="W1716" s="67">
        <f>IF(AND(I1716="Terminée",S1716&gt;0,C1716&lt;&gt;"",ISNUMBER(MATCH(C1716,eq_code,0))),1,0)</f>
        <v>0.0</v>
      </c>
      <c r="X1716" s="67">
        <f>IF(AND(W1716=1,E1716="Préventif"),1,0)</f>
        <v>0.0</v>
      </c>
      <c r="Y1716" s="67">
        <f>IF(AND(ISNUMBER(N1716),N(N1716)&gt;0),N(N1716),0)</f>
        <v>0.0</v>
      </c>
      <c r="Z1716" s="67">
        <f>IF(AND(ISNUMBER(P1716),N(P1716)&gt;0),N(P1716),0)</f>
        <v>0.0</v>
      </c>
    </row>
    <row r="1717">
      <c r="A1717" s="79" t="str">
        <f>IF(COUNTA(B1717:C1717,E1717:G1717,I1717)=0,"","BI-"&amp;RIGHT("0000"&amp;(ROW()-5),4))</f>
        <v/>
      </c>
      <c r="B1717" s="72" t="n"/>
      <c r="C1717" s="66" t="n"/>
      <c r="D1717" s="67" t="str">
        <f>IF(C1717="","",IFERROR(INDEX(eq_des,MATCH(C1717,eq_code,0))&amp;"","Équipement inconnu"))</f>
        <v/>
      </c>
      <c r="E1717" s="68" t="n"/>
      <c r="F1717" s="68" t="n"/>
      <c r="G1717" s="66" t="n"/>
      <c r="H1717" s="66" t="n"/>
      <c r="I1717" s="68" t="n"/>
      <c r="J1717" s="73" t="n"/>
      <c r="K1717" s="71" t="n"/>
      <c r="L1717" s="71" t="n"/>
      <c r="M1717" s="66" t="n"/>
      <c r="N1717" s="80" t="n"/>
      <c r="O1717" s="81" t="str">
        <f>IF(A1717="","",ROUND(V1717*IFERROR(N(INDEX(tech_rate,MATCH(M1717,tech_name,0))),0),2))</f>
        <v/>
      </c>
      <c r="P1717" s="80" t="n"/>
      <c r="Q1717" s="81" t="str">
        <f>IF(A1717="","",ROUND(Y1717+O1717+Z1717,2))</f>
        <v/>
      </c>
      <c r="R1717" s="79" t="str">
        <f>IF(A1717="","",IF(S1717=0,"Date manquante ou invalide",IF(C1717="","Équipement manquant",IF(ISNA(MATCH(C1717,eq_code,0)),"Équipement inconnu",IF(E1717="","Type manquant",IF(AND(E1717&lt;&gt;"Préventif",E1717&lt;&gt;"Correctif",E1717&lt;&gt;"Amélioratif"),"Type inconnu",IF(I1717="","Statut manquant",IF(AND(I1717&lt;&gt;"Terminée",I1717&lt;&gt;"En cours",I1717&lt;&gt;"À faire",I1717&lt;&gt;"Annulée"),"Statut inconnu",IF(AND(E1717="Préventif",F1717=""),"Plan manquant (préventif)",IF(AND(F1717&lt;&gt;"",ISNA(MATCH(F1717,pl_num,0))),"Plan inconnu",IF(AND(F1717&lt;&gt;"",IFERROR(INDEX(pl_eq,MATCH(F1717,pl_num,0))&amp;"",C1717)&lt;&gt;C1717),"Plan d'un autre équipement",IF(AND(J1717&lt;&gt;"",OR(NOT(ISNUMBER(J1717)),N(J1717)&lt;0)),"Compteur invalide",IF(OR(AND(K1717&lt;&gt;"",OR(NOT(ISNUMBER(K1717)),N(K1717)&lt;0)),AND(L1717&lt;&gt;"",OR(NOT(ISNUMBER(L1717)),N(L1717)&lt;0))),"Durée invalide",IF(OR(AND(N1717&lt;&gt;"",OR(NOT(ISNUMBER(N1717)),N(N1717)&lt;0)),AND(P1717&lt;&gt;"",OR(NOT(ISNUMBER(P1717)),N(P1717)&lt;0))),"Coût invalide",IF(AND(M1717&lt;&gt;"",ISNA(MATCH(M1717,tech_name,0))),"Technicien inconnu",IF(AND(I1717="Terminée",S1717&gt;p_today),"Terminée à une date future",IF(AND(I1717="Terminée",V1717=0),"Durée d'intervention manquante",IF(AND(I1717="Terminée",E1717="Préventif",T1717=0,OR(IFERROR(INDEX(pl_trig,MATCH(F1717,pl_num,0))&amp;"","")="Compteur",IFERROR(INDEX(pl_trig,MATCH(F1717,pl_num,0))&amp;"","")="Au premier des deux")),"Compteur manquant (plan au compteur)","OK"))))))))))))))))))</f>
        <v/>
      </c>
      <c r="S1717" s="67">
        <f>IF(AND(ISNUMBER(B1717),N(B1717)&gt;0),INT(B1717),0)</f>
        <v>0.0</v>
      </c>
      <c r="T1717" s="67">
        <f>IF(AND(ISNUMBER(J1717),N(J1717)&gt;=0),N(J1717),0)</f>
        <v>0.0</v>
      </c>
      <c r="U1717" s="67">
        <f>IF(AND(ISNUMBER(K1717),N(K1717)&gt;0),N(K1717),0)</f>
        <v>0.0</v>
      </c>
      <c r="V1717" s="67">
        <f>IF(AND(ISNUMBER(L1717),N(L1717)&gt;0),N(L1717),0)</f>
        <v>0.0</v>
      </c>
      <c r="W1717" s="67">
        <f>IF(AND(I1717="Terminée",S1717&gt;0,C1717&lt;&gt;"",ISNUMBER(MATCH(C1717,eq_code,0))),1,0)</f>
        <v>0.0</v>
      </c>
      <c r="X1717" s="67">
        <f>IF(AND(W1717=1,E1717="Préventif"),1,0)</f>
        <v>0.0</v>
      </c>
      <c r="Y1717" s="67">
        <f>IF(AND(ISNUMBER(N1717),N(N1717)&gt;0),N(N1717),0)</f>
        <v>0.0</v>
      </c>
      <c r="Z1717" s="67">
        <f>IF(AND(ISNUMBER(P1717),N(P1717)&gt;0),N(P1717),0)</f>
        <v>0.0</v>
      </c>
    </row>
    <row r="1718">
      <c r="A1718" s="79" t="str">
        <f>IF(COUNTA(B1718:C1718,E1718:G1718,I1718)=0,"","BI-"&amp;RIGHT("0000"&amp;(ROW()-5),4))</f>
        <v/>
      </c>
      <c r="B1718" s="72" t="n"/>
      <c r="C1718" s="66" t="n"/>
      <c r="D1718" s="67" t="str">
        <f>IF(C1718="","",IFERROR(INDEX(eq_des,MATCH(C1718,eq_code,0))&amp;"","Équipement inconnu"))</f>
        <v/>
      </c>
      <c r="E1718" s="68" t="n"/>
      <c r="F1718" s="68" t="n"/>
      <c r="G1718" s="66" t="n"/>
      <c r="H1718" s="66" t="n"/>
      <c r="I1718" s="68" t="n"/>
      <c r="J1718" s="73" t="n"/>
      <c r="K1718" s="71" t="n"/>
      <c r="L1718" s="71" t="n"/>
      <c r="M1718" s="66" t="n"/>
      <c r="N1718" s="80" t="n"/>
      <c r="O1718" s="81" t="str">
        <f>IF(A1718="","",ROUND(V1718*IFERROR(N(INDEX(tech_rate,MATCH(M1718,tech_name,0))),0),2))</f>
        <v/>
      </c>
      <c r="P1718" s="80" t="n"/>
      <c r="Q1718" s="81" t="str">
        <f>IF(A1718="","",ROUND(Y1718+O1718+Z1718,2))</f>
        <v/>
      </c>
      <c r="R1718" s="79" t="str">
        <f>IF(A1718="","",IF(S1718=0,"Date manquante ou invalide",IF(C1718="","Équipement manquant",IF(ISNA(MATCH(C1718,eq_code,0)),"Équipement inconnu",IF(E1718="","Type manquant",IF(AND(E1718&lt;&gt;"Préventif",E1718&lt;&gt;"Correctif",E1718&lt;&gt;"Amélioratif"),"Type inconnu",IF(I1718="","Statut manquant",IF(AND(I1718&lt;&gt;"Terminée",I1718&lt;&gt;"En cours",I1718&lt;&gt;"À faire",I1718&lt;&gt;"Annulée"),"Statut inconnu",IF(AND(E1718="Préventif",F1718=""),"Plan manquant (préventif)",IF(AND(F1718&lt;&gt;"",ISNA(MATCH(F1718,pl_num,0))),"Plan inconnu",IF(AND(F1718&lt;&gt;"",IFERROR(INDEX(pl_eq,MATCH(F1718,pl_num,0))&amp;"",C1718)&lt;&gt;C1718),"Plan d'un autre équipement",IF(AND(J1718&lt;&gt;"",OR(NOT(ISNUMBER(J1718)),N(J1718)&lt;0)),"Compteur invalide",IF(OR(AND(K1718&lt;&gt;"",OR(NOT(ISNUMBER(K1718)),N(K1718)&lt;0)),AND(L1718&lt;&gt;"",OR(NOT(ISNUMBER(L1718)),N(L1718)&lt;0))),"Durée invalide",IF(OR(AND(N1718&lt;&gt;"",OR(NOT(ISNUMBER(N1718)),N(N1718)&lt;0)),AND(P1718&lt;&gt;"",OR(NOT(ISNUMBER(P1718)),N(P1718)&lt;0))),"Coût invalide",IF(AND(M1718&lt;&gt;"",ISNA(MATCH(M1718,tech_name,0))),"Technicien inconnu",IF(AND(I1718="Terminée",S1718&gt;p_today),"Terminée à une date future",IF(AND(I1718="Terminée",V1718=0),"Durée d'intervention manquante",IF(AND(I1718="Terminée",E1718="Préventif",T1718=0,OR(IFERROR(INDEX(pl_trig,MATCH(F1718,pl_num,0))&amp;"","")="Compteur",IFERROR(INDEX(pl_trig,MATCH(F1718,pl_num,0))&amp;"","")="Au premier des deux")),"Compteur manquant (plan au compteur)","OK"))))))))))))))))))</f>
        <v/>
      </c>
      <c r="S1718" s="67">
        <f>IF(AND(ISNUMBER(B1718),N(B1718)&gt;0),INT(B1718),0)</f>
        <v>0.0</v>
      </c>
      <c r="T1718" s="67">
        <f>IF(AND(ISNUMBER(J1718),N(J1718)&gt;=0),N(J1718),0)</f>
        <v>0.0</v>
      </c>
      <c r="U1718" s="67">
        <f>IF(AND(ISNUMBER(K1718),N(K1718)&gt;0),N(K1718),0)</f>
        <v>0.0</v>
      </c>
      <c r="V1718" s="67">
        <f>IF(AND(ISNUMBER(L1718),N(L1718)&gt;0),N(L1718),0)</f>
        <v>0.0</v>
      </c>
      <c r="W1718" s="67">
        <f>IF(AND(I1718="Terminée",S1718&gt;0,C1718&lt;&gt;"",ISNUMBER(MATCH(C1718,eq_code,0))),1,0)</f>
        <v>0.0</v>
      </c>
      <c r="X1718" s="67">
        <f>IF(AND(W1718=1,E1718="Préventif"),1,0)</f>
        <v>0.0</v>
      </c>
      <c r="Y1718" s="67">
        <f>IF(AND(ISNUMBER(N1718),N(N1718)&gt;0),N(N1718),0)</f>
        <v>0.0</v>
      </c>
      <c r="Z1718" s="67">
        <f>IF(AND(ISNUMBER(P1718),N(P1718)&gt;0),N(P1718),0)</f>
        <v>0.0</v>
      </c>
    </row>
    <row r="1719">
      <c r="A1719" s="79" t="str">
        <f>IF(COUNTA(B1719:C1719,E1719:G1719,I1719)=0,"","BI-"&amp;RIGHT("0000"&amp;(ROW()-5),4))</f>
        <v/>
      </c>
      <c r="B1719" s="72" t="n"/>
      <c r="C1719" s="66" t="n"/>
      <c r="D1719" s="67" t="str">
        <f>IF(C1719="","",IFERROR(INDEX(eq_des,MATCH(C1719,eq_code,0))&amp;"","Équipement inconnu"))</f>
        <v/>
      </c>
      <c r="E1719" s="68" t="n"/>
      <c r="F1719" s="68" t="n"/>
      <c r="G1719" s="66" t="n"/>
      <c r="H1719" s="66" t="n"/>
      <c r="I1719" s="68" t="n"/>
      <c r="J1719" s="73" t="n"/>
      <c r="K1719" s="71" t="n"/>
      <c r="L1719" s="71" t="n"/>
      <c r="M1719" s="66" t="n"/>
      <c r="N1719" s="80" t="n"/>
      <c r="O1719" s="81" t="str">
        <f>IF(A1719="","",ROUND(V1719*IFERROR(N(INDEX(tech_rate,MATCH(M1719,tech_name,0))),0),2))</f>
        <v/>
      </c>
      <c r="P1719" s="80" t="n"/>
      <c r="Q1719" s="81" t="str">
        <f>IF(A1719="","",ROUND(Y1719+O1719+Z1719,2))</f>
        <v/>
      </c>
      <c r="R1719" s="79" t="str">
        <f>IF(A1719="","",IF(S1719=0,"Date manquante ou invalide",IF(C1719="","Équipement manquant",IF(ISNA(MATCH(C1719,eq_code,0)),"Équipement inconnu",IF(E1719="","Type manquant",IF(AND(E1719&lt;&gt;"Préventif",E1719&lt;&gt;"Correctif",E1719&lt;&gt;"Amélioratif"),"Type inconnu",IF(I1719="","Statut manquant",IF(AND(I1719&lt;&gt;"Terminée",I1719&lt;&gt;"En cours",I1719&lt;&gt;"À faire",I1719&lt;&gt;"Annulée"),"Statut inconnu",IF(AND(E1719="Préventif",F1719=""),"Plan manquant (préventif)",IF(AND(F1719&lt;&gt;"",ISNA(MATCH(F1719,pl_num,0))),"Plan inconnu",IF(AND(F1719&lt;&gt;"",IFERROR(INDEX(pl_eq,MATCH(F1719,pl_num,0))&amp;"",C1719)&lt;&gt;C1719),"Plan d'un autre équipement",IF(AND(J1719&lt;&gt;"",OR(NOT(ISNUMBER(J1719)),N(J1719)&lt;0)),"Compteur invalide",IF(OR(AND(K1719&lt;&gt;"",OR(NOT(ISNUMBER(K1719)),N(K1719)&lt;0)),AND(L1719&lt;&gt;"",OR(NOT(ISNUMBER(L1719)),N(L1719)&lt;0))),"Durée invalide",IF(OR(AND(N1719&lt;&gt;"",OR(NOT(ISNUMBER(N1719)),N(N1719)&lt;0)),AND(P1719&lt;&gt;"",OR(NOT(ISNUMBER(P1719)),N(P1719)&lt;0))),"Coût invalide",IF(AND(M1719&lt;&gt;"",ISNA(MATCH(M1719,tech_name,0))),"Technicien inconnu",IF(AND(I1719="Terminée",S1719&gt;p_today),"Terminée à une date future",IF(AND(I1719="Terminée",V1719=0),"Durée d'intervention manquante",IF(AND(I1719="Terminée",E1719="Préventif",T1719=0,OR(IFERROR(INDEX(pl_trig,MATCH(F1719,pl_num,0))&amp;"","")="Compteur",IFERROR(INDEX(pl_trig,MATCH(F1719,pl_num,0))&amp;"","")="Au premier des deux")),"Compteur manquant (plan au compteur)","OK"))))))))))))))))))</f>
        <v/>
      </c>
      <c r="S1719" s="67">
        <f>IF(AND(ISNUMBER(B1719),N(B1719)&gt;0),INT(B1719),0)</f>
        <v>0.0</v>
      </c>
      <c r="T1719" s="67">
        <f>IF(AND(ISNUMBER(J1719),N(J1719)&gt;=0),N(J1719),0)</f>
        <v>0.0</v>
      </c>
      <c r="U1719" s="67">
        <f>IF(AND(ISNUMBER(K1719),N(K1719)&gt;0),N(K1719),0)</f>
        <v>0.0</v>
      </c>
      <c r="V1719" s="67">
        <f>IF(AND(ISNUMBER(L1719),N(L1719)&gt;0),N(L1719),0)</f>
        <v>0.0</v>
      </c>
      <c r="W1719" s="67">
        <f>IF(AND(I1719="Terminée",S1719&gt;0,C1719&lt;&gt;"",ISNUMBER(MATCH(C1719,eq_code,0))),1,0)</f>
        <v>0.0</v>
      </c>
      <c r="X1719" s="67">
        <f>IF(AND(W1719=1,E1719="Préventif"),1,0)</f>
        <v>0.0</v>
      </c>
      <c r="Y1719" s="67">
        <f>IF(AND(ISNUMBER(N1719),N(N1719)&gt;0),N(N1719),0)</f>
        <v>0.0</v>
      </c>
      <c r="Z1719" s="67">
        <f>IF(AND(ISNUMBER(P1719),N(P1719)&gt;0),N(P1719),0)</f>
        <v>0.0</v>
      </c>
    </row>
    <row r="1720">
      <c r="A1720" s="79" t="str">
        <f>IF(COUNTA(B1720:C1720,E1720:G1720,I1720)=0,"","BI-"&amp;RIGHT("0000"&amp;(ROW()-5),4))</f>
        <v/>
      </c>
      <c r="B1720" s="72" t="n"/>
      <c r="C1720" s="66" t="n"/>
      <c r="D1720" s="67" t="str">
        <f>IF(C1720="","",IFERROR(INDEX(eq_des,MATCH(C1720,eq_code,0))&amp;"","Équipement inconnu"))</f>
        <v/>
      </c>
      <c r="E1720" s="68" t="n"/>
      <c r="F1720" s="68" t="n"/>
      <c r="G1720" s="66" t="n"/>
      <c r="H1720" s="66" t="n"/>
      <c r="I1720" s="68" t="n"/>
      <c r="J1720" s="73" t="n"/>
      <c r="K1720" s="71" t="n"/>
      <c r="L1720" s="71" t="n"/>
      <c r="M1720" s="66" t="n"/>
      <c r="N1720" s="80" t="n"/>
      <c r="O1720" s="81" t="str">
        <f>IF(A1720="","",ROUND(V1720*IFERROR(N(INDEX(tech_rate,MATCH(M1720,tech_name,0))),0),2))</f>
        <v/>
      </c>
      <c r="P1720" s="80" t="n"/>
      <c r="Q1720" s="81" t="str">
        <f>IF(A1720="","",ROUND(Y1720+O1720+Z1720,2))</f>
        <v/>
      </c>
      <c r="R1720" s="79" t="str">
        <f>IF(A1720="","",IF(S1720=0,"Date manquante ou invalide",IF(C1720="","Équipement manquant",IF(ISNA(MATCH(C1720,eq_code,0)),"Équipement inconnu",IF(E1720="","Type manquant",IF(AND(E1720&lt;&gt;"Préventif",E1720&lt;&gt;"Correctif",E1720&lt;&gt;"Amélioratif"),"Type inconnu",IF(I1720="","Statut manquant",IF(AND(I1720&lt;&gt;"Terminée",I1720&lt;&gt;"En cours",I1720&lt;&gt;"À faire",I1720&lt;&gt;"Annulée"),"Statut inconnu",IF(AND(E1720="Préventif",F1720=""),"Plan manquant (préventif)",IF(AND(F1720&lt;&gt;"",ISNA(MATCH(F1720,pl_num,0))),"Plan inconnu",IF(AND(F1720&lt;&gt;"",IFERROR(INDEX(pl_eq,MATCH(F1720,pl_num,0))&amp;"",C1720)&lt;&gt;C1720),"Plan d'un autre équipement",IF(AND(J1720&lt;&gt;"",OR(NOT(ISNUMBER(J1720)),N(J1720)&lt;0)),"Compteur invalide",IF(OR(AND(K1720&lt;&gt;"",OR(NOT(ISNUMBER(K1720)),N(K1720)&lt;0)),AND(L1720&lt;&gt;"",OR(NOT(ISNUMBER(L1720)),N(L1720)&lt;0))),"Durée invalide",IF(OR(AND(N1720&lt;&gt;"",OR(NOT(ISNUMBER(N1720)),N(N1720)&lt;0)),AND(P1720&lt;&gt;"",OR(NOT(ISNUMBER(P1720)),N(P1720)&lt;0))),"Coût invalide",IF(AND(M1720&lt;&gt;"",ISNA(MATCH(M1720,tech_name,0))),"Technicien inconnu",IF(AND(I1720="Terminée",S1720&gt;p_today),"Terminée à une date future",IF(AND(I1720="Terminée",V1720=0),"Durée d'intervention manquante",IF(AND(I1720="Terminée",E1720="Préventif",T1720=0,OR(IFERROR(INDEX(pl_trig,MATCH(F1720,pl_num,0))&amp;"","")="Compteur",IFERROR(INDEX(pl_trig,MATCH(F1720,pl_num,0))&amp;"","")="Au premier des deux")),"Compteur manquant (plan au compteur)","OK"))))))))))))))))))</f>
        <v/>
      </c>
      <c r="S1720" s="67">
        <f>IF(AND(ISNUMBER(B1720),N(B1720)&gt;0),INT(B1720),0)</f>
        <v>0.0</v>
      </c>
      <c r="T1720" s="67">
        <f>IF(AND(ISNUMBER(J1720),N(J1720)&gt;=0),N(J1720),0)</f>
        <v>0.0</v>
      </c>
      <c r="U1720" s="67">
        <f>IF(AND(ISNUMBER(K1720),N(K1720)&gt;0),N(K1720),0)</f>
        <v>0.0</v>
      </c>
      <c r="V1720" s="67">
        <f>IF(AND(ISNUMBER(L1720),N(L1720)&gt;0),N(L1720),0)</f>
        <v>0.0</v>
      </c>
      <c r="W1720" s="67">
        <f>IF(AND(I1720="Terminée",S1720&gt;0,C1720&lt;&gt;"",ISNUMBER(MATCH(C1720,eq_code,0))),1,0)</f>
        <v>0.0</v>
      </c>
      <c r="X1720" s="67">
        <f>IF(AND(W1720=1,E1720="Préventif"),1,0)</f>
        <v>0.0</v>
      </c>
      <c r="Y1720" s="67">
        <f>IF(AND(ISNUMBER(N1720),N(N1720)&gt;0),N(N1720),0)</f>
        <v>0.0</v>
      </c>
      <c r="Z1720" s="67">
        <f>IF(AND(ISNUMBER(P1720),N(P1720)&gt;0),N(P1720),0)</f>
        <v>0.0</v>
      </c>
    </row>
    <row r="1721">
      <c r="A1721" s="79" t="str">
        <f>IF(COUNTA(B1721:C1721,E1721:G1721,I1721)=0,"","BI-"&amp;RIGHT("0000"&amp;(ROW()-5),4))</f>
        <v/>
      </c>
      <c r="B1721" s="72" t="n"/>
      <c r="C1721" s="66" t="n"/>
      <c r="D1721" s="67" t="str">
        <f>IF(C1721="","",IFERROR(INDEX(eq_des,MATCH(C1721,eq_code,0))&amp;"","Équipement inconnu"))</f>
        <v/>
      </c>
      <c r="E1721" s="68" t="n"/>
      <c r="F1721" s="68" t="n"/>
      <c r="G1721" s="66" t="n"/>
      <c r="H1721" s="66" t="n"/>
      <c r="I1721" s="68" t="n"/>
      <c r="J1721" s="73" t="n"/>
      <c r="K1721" s="71" t="n"/>
      <c r="L1721" s="71" t="n"/>
      <c r="M1721" s="66" t="n"/>
      <c r="N1721" s="80" t="n"/>
      <c r="O1721" s="81" t="str">
        <f>IF(A1721="","",ROUND(V1721*IFERROR(N(INDEX(tech_rate,MATCH(M1721,tech_name,0))),0),2))</f>
        <v/>
      </c>
      <c r="P1721" s="80" t="n"/>
      <c r="Q1721" s="81" t="str">
        <f>IF(A1721="","",ROUND(Y1721+O1721+Z1721,2))</f>
        <v/>
      </c>
      <c r="R1721" s="79" t="str">
        <f>IF(A1721="","",IF(S1721=0,"Date manquante ou invalide",IF(C1721="","Équipement manquant",IF(ISNA(MATCH(C1721,eq_code,0)),"Équipement inconnu",IF(E1721="","Type manquant",IF(AND(E1721&lt;&gt;"Préventif",E1721&lt;&gt;"Correctif",E1721&lt;&gt;"Amélioratif"),"Type inconnu",IF(I1721="","Statut manquant",IF(AND(I1721&lt;&gt;"Terminée",I1721&lt;&gt;"En cours",I1721&lt;&gt;"À faire",I1721&lt;&gt;"Annulée"),"Statut inconnu",IF(AND(E1721="Préventif",F1721=""),"Plan manquant (préventif)",IF(AND(F1721&lt;&gt;"",ISNA(MATCH(F1721,pl_num,0))),"Plan inconnu",IF(AND(F1721&lt;&gt;"",IFERROR(INDEX(pl_eq,MATCH(F1721,pl_num,0))&amp;"",C1721)&lt;&gt;C1721),"Plan d'un autre équipement",IF(AND(J1721&lt;&gt;"",OR(NOT(ISNUMBER(J1721)),N(J1721)&lt;0)),"Compteur invalide",IF(OR(AND(K1721&lt;&gt;"",OR(NOT(ISNUMBER(K1721)),N(K1721)&lt;0)),AND(L1721&lt;&gt;"",OR(NOT(ISNUMBER(L1721)),N(L1721)&lt;0))),"Durée invalide",IF(OR(AND(N1721&lt;&gt;"",OR(NOT(ISNUMBER(N1721)),N(N1721)&lt;0)),AND(P1721&lt;&gt;"",OR(NOT(ISNUMBER(P1721)),N(P1721)&lt;0))),"Coût invalide",IF(AND(M1721&lt;&gt;"",ISNA(MATCH(M1721,tech_name,0))),"Technicien inconnu",IF(AND(I1721="Terminée",S1721&gt;p_today),"Terminée à une date future",IF(AND(I1721="Terminée",V1721=0),"Durée d'intervention manquante",IF(AND(I1721="Terminée",E1721="Préventif",T1721=0,OR(IFERROR(INDEX(pl_trig,MATCH(F1721,pl_num,0))&amp;"","")="Compteur",IFERROR(INDEX(pl_trig,MATCH(F1721,pl_num,0))&amp;"","")="Au premier des deux")),"Compteur manquant (plan au compteur)","OK"))))))))))))))))))</f>
        <v/>
      </c>
      <c r="S1721" s="67">
        <f>IF(AND(ISNUMBER(B1721),N(B1721)&gt;0),INT(B1721),0)</f>
        <v>0.0</v>
      </c>
      <c r="T1721" s="67">
        <f>IF(AND(ISNUMBER(J1721),N(J1721)&gt;=0),N(J1721),0)</f>
        <v>0.0</v>
      </c>
      <c r="U1721" s="67">
        <f>IF(AND(ISNUMBER(K1721),N(K1721)&gt;0),N(K1721),0)</f>
        <v>0.0</v>
      </c>
      <c r="V1721" s="67">
        <f>IF(AND(ISNUMBER(L1721),N(L1721)&gt;0),N(L1721),0)</f>
        <v>0.0</v>
      </c>
      <c r="W1721" s="67">
        <f>IF(AND(I1721="Terminée",S1721&gt;0,C1721&lt;&gt;"",ISNUMBER(MATCH(C1721,eq_code,0))),1,0)</f>
        <v>0.0</v>
      </c>
      <c r="X1721" s="67">
        <f>IF(AND(W1721=1,E1721="Préventif"),1,0)</f>
        <v>0.0</v>
      </c>
      <c r="Y1721" s="67">
        <f>IF(AND(ISNUMBER(N1721),N(N1721)&gt;0),N(N1721),0)</f>
        <v>0.0</v>
      </c>
      <c r="Z1721" s="67">
        <f>IF(AND(ISNUMBER(P1721),N(P1721)&gt;0),N(P1721),0)</f>
        <v>0.0</v>
      </c>
    </row>
    <row r="1722">
      <c r="A1722" s="79" t="str">
        <f>IF(COUNTA(B1722:C1722,E1722:G1722,I1722)=0,"","BI-"&amp;RIGHT("0000"&amp;(ROW()-5),4))</f>
        <v/>
      </c>
      <c r="B1722" s="72" t="n"/>
      <c r="C1722" s="66" t="n"/>
      <c r="D1722" s="67" t="str">
        <f>IF(C1722="","",IFERROR(INDEX(eq_des,MATCH(C1722,eq_code,0))&amp;"","Équipement inconnu"))</f>
        <v/>
      </c>
      <c r="E1722" s="68" t="n"/>
      <c r="F1722" s="68" t="n"/>
      <c r="G1722" s="66" t="n"/>
      <c r="H1722" s="66" t="n"/>
      <c r="I1722" s="68" t="n"/>
      <c r="J1722" s="73" t="n"/>
      <c r="K1722" s="71" t="n"/>
      <c r="L1722" s="71" t="n"/>
      <c r="M1722" s="66" t="n"/>
      <c r="N1722" s="80" t="n"/>
      <c r="O1722" s="81" t="str">
        <f>IF(A1722="","",ROUND(V1722*IFERROR(N(INDEX(tech_rate,MATCH(M1722,tech_name,0))),0),2))</f>
        <v/>
      </c>
      <c r="P1722" s="80" t="n"/>
      <c r="Q1722" s="81" t="str">
        <f>IF(A1722="","",ROUND(Y1722+O1722+Z1722,2))</f>
        <v/>
      </c>
      <c r="R1722" s="79" t="str">
        <f>IF(A1722="","",IF(S1722=0,"Date manquante ou invalide",IF(C1722="","Équipement manquant",IF(ISNA(MATCH(C1722,eq_code,0)),"Équipement inconnu",IF(E1722="","Type manquant",IF(AND(E1722&lt;&gt;"Préventif",E1722&lt;&gt;"Correctif",E1722&lt;&gt;"Amélioratif"),"Type inconnu",IF(I1722="","Statut manquant",IF(AND(I1722&lt;&gt;"Terminée",I1722&lt;&gt;"En cours",I1722&lt;&gt;"À faire",I1722&lt;&gt;"Annulée"),"Statut inconnu",IF(AND(E1722="Préventif",F1722=""),"Plan manquant (préventif)",IF(AND(F1722&lt;&gt;"",ISNA(MATCH(F1722,pl_num,0))),"Plan inconnu",IF(AND(F1722&lt;&gt;"",IFERROR(INDEX(pl_eq,MATCH(F1722,pl_num,0))&amp;"",C1722)&lt;&gt;C1722),"Plan d'un autre équipement",IF(AND(J1722&lt;&gt;"",OR(NOT(ISNUMBER(J1722)),N(J1722)&lt;0)),"Compteur invalide",IF(OR(AND(K1722&lt;&gt;"",OR(NOT(ISNUMBER(K1722)),N(K1722)&lt;0)),AND(L1722&lt;&gt;"",OR(NOT(ISNUMBER(L1722)),N(L1722)&lt;0))),"Durée invalide",IF(OR(AND(N1722&lt;&gt;"",OR(NOT(ISNUMBER(N1722)),N(N1722)&lt;0)),AND(P1722&lt;&gt;"",OR(NOT(ISNUMBER(P1722)),N(P1722)&lt;0))),"Coût invalide",IF(AND(M1722&lt;&gt;"",ISNA(MATCH(M1722,tech_name,0))),"Technicien inconnu",IF(AND(I1722="Terminée",S1722&gt;p_today),"Terminée à une date future",IF(AND(I1722="Terminée",V1722=0),"Durée d'intervention manquante",IF(AND(I1722="Terminée",E1722="Préventif",T1722=0,OR(IFERROR(INDEX(pl_trig,MATCH(F1722,pl_num,0))&amp;"","")="Compteur",IFERROR(INDEX(pl_trig,MATCH(F1722,pl_num,0))&amp;"","")="Au premier des deux")),"Compteur manquant (plan au compteur)","OK"))))))))))))))))))</f>
        <v/>
      </c>
      <c r="S1722" s="67">
        <f>IF(AND(ISNUMBER(B1722),N(B1722)&gt;0),INT(B1722),0)</f>
        <v>0.0</v>
      </c>
      <c r="T1722" s="67">
        <f>IF(AND(ISNUMBER(J1722),N(J1722)&gt;=0),N(J1722),0)</f>
        <v>0.0</v>
      </c>
      <c r="U1722" s="67">
        <f>IF(AND(ISNUMBER(K1722),N(K1722)&gt;0),N(K1722),0)</f>
        <v>0.0</v>
      </c>
      <c r="V1722" s="67">
        <f>IF(AND(ISNUMBER(L1722),N(L1722)&gt;0),N(L1722),0)</f>
        <v>0.0</v>
      </c>
      <c r="W1722" s="67">
        <f>IF(AND(I1722="Terminée",S1722&gt;0,C1722&lt;&gt;"",ISNUMBER(MATCH(C1722,eq_code,0))),1,0)</f>
        <v>0.0</v>
      </c>
      <c r="X1722" s="67">
        <f>IF(AND(W1722=1,E1722="Préventif"),1,0)</f>
        <v>0.0</v>
      </c>
      <c r="Y1722" s="67">
        <f>IF(AND(ISNUMBER(N1722),N(N1722)&gt;0),N(N1722),0)</f>
        <v>0.0</v>
      </c>
      <c r="Z1722" s="67">
        <f>IF(AND(ISNUMBER(P1722),N(P1722)&gt;0),N(P1722),0)</f>
        <v>0.0</v>
      </c>
    </row>
    <row r="1723">
      <c r="A1723" s="79" t="str">
        <f>IF(COUNTA(B1723:C1723,E1723:G1723,I1723)=0,"","BI-"&amp;RIGHT("0000"&amp;(ROW()-5),4))</f>
        <v/>
      </c>
      <c r="B1723" s="72" t="n"/>
      <c r="C1723" s="66" t="n"/>
      <c r="D1723" s="67" t="str">
        <f>IF(C1723="","",IFERROR(INDEX(eq_des,MATCH(C1723,eq_code,0))&amp;"","Équipement inconnu"))</f>
        <v/>
      </c>
      <c r="E1723" s="68" t="n"/>
      <c r="F1723" s="68" t="n"/>
      <c r="G1723" s="66" t="n"/>
      <c r="H1723" s="66" t="n"/>
      <c r="I1723" s="68" t="n"/>
      <c r="J1723" s="73" t="n"/>
      <c r="K1723" s="71" t="n"/>
      <c r="L1723" s="71" t="n"/>
      <c r="M1723" s="66" t="n"/>
      <c r="N1723" s="80" t="n"/>
      <c r="O1723" s="81" t="str">
        <f>IF(A1723="","",ROUND(V1723*IFERROR(N(INDEX(tech_rate,MATCH(M1723,tech_name,0))),0),2))</f>
        <v/>
      </c>
      <c r="P1723" s="80" t="n"/>
      <c r="Q1723" s="81" t="str">
        <f>IF(A1723="","",ROUND(Y1723+O1723+Z1723,2))</f>
        <v/>
      </c>
      <c r="R1723" s="79" t="str">
        <f>IF(A1723="","",IF(S1723=0,"Date manquante ou invalide",IF(C1723="","Équipement manquant",IF(ISNA(MATCH(C1723,eq_code,0)),"Équipement inconnu",IF(E1723="","Type manquant",IF(AND(E1723&lt;&gt;"Préventif",E1723&lt;&gt;"Correctif",E1723&lt;&gt;"Amélioratif"),"Type inconnu",IF(I1723="","Statut manquant",IF(AND(I1723&lt;&gt;"Terminée",I1723&lt;&gt;"En cours",I1723&lt;&gt;"À faire",I1723&lt;&gt;"Annulée"),"Statut inconnu",IF(AND(E1723="Préventif",F1723=""),"Plan manquant (préventif)",IF(AND(F1723&lt;&gt;"",ISNA(MATCH(F1723,pl_num,0))),"Plan inconnu",IF(AND(F1723&lt;&gt;"",IFERROR(INDEX(pl_eq,MATCH(F1723,pl_num,0))&amp;"",C1723)&lt;&gt;C1723),"Plan d'un autre équipement",IF(AND(J1723&lt;&gt;"",OR(NOT(ISNUMBER(J1723)),N(J1723)&lt;0)),"Compteur invalide",IF(OR(AND(K1723&lt;&gt;"",OR(NOT(ISNUMBER(K1723)),N(K1723)&lt;0)),AND(L1723&lt;&gt;"",OR(NOT(ISNUMBER(L1723)),N(L1723)&lt;0))),"Durée invalide",IF(OR(AND(N1723&lt;&gt;"",OR(NOT(ISNUMBER(N1723)),N(N1723)&lt;0)),AND(P1723&lt;&gt;"",OR(NOT(ISNUMBER(P1723)),N(P1723)&lt;0))),"Coût invalide",IF(AND(M1723&lt;&gt;"",ISNA(MATCH(M1723,tech_name,0))),"Technicien inconnu",IF(AND(I1723="Terminée",S1723&gt;p_today),"Terminée à une date future",IF(AND(I1723="Terminée",V1723=0),"Durée d'intervention manquante",IF(AND(I1723="Terminée",E1723="Préventif",T1723=0,OR(IFERROR(INDEX(pl_trig,MATCH(F1723,pl_num,0))&amp;"","")="Compteur",IFERROR(INDEX(pl_trig,MATCH(F1723,pl_num,0))&amp;"","")="Au premier des deux")),"Compteur manquant (plan au compteur)","OK"))))))))))))))))))</f>
        <v/>
      </c>
      <c r="S1723" s="67">
        <f>IF(AND(ISNUMBER(B1723),N(B1723)&gt;0),INT(B1723),0)</f>
        <v>0.0</v>
      </c>
      <c r="T1723" s="67">
        <f>IF(AND(ISNUMBER(J1723),N(J1723)&gt;=0),N(J1723),0)</f>
        <v>0.0</v>
      </c>
      <c r="U1723" s="67">
        <f>IF(AND(ISNUMBER(K1723),N(K1723)&gt;0),N(K1723),0)</f>
        <v>0.0</v>
      </c>
      <c r="V1723" s="67">
        <f>IF(AND(ISNUMBER(L1723),N(L1723)&gt;0),N(L1723),0)</f>
        <v>0.0</v>
      </c>
      <c r="W1723" s="67">
        <f>IF(AND(I1723="Terminée",S1723&gt;0,C1723&lt;&gt;"",ISNUMBER(MATCH(C1723,eq_code,0))),1,0)</f>
        <v>0.0</v>
      </c>
      <c r="X1723" s="67">
        <f>IF(AND(W1723=1,E1723="Préventif"),1,0)</f>
        <v>0.0</v>
      </c>
      <c r="Y1723" s="67">
        <f>IF(AND(ISNUMBER(N1723),N(N1723)&gt;0),N(N1723),0)</f>
        <v>0.0</v>
      </c>
      <c r="Z1723" s="67">
        <f>IF(AND(ISNUMBER(P1723),N(P1723)&gt;0),N(P1723),0)</f>
        <v>0.0</v>
      </c>
    </row>
    <row r="1724">
      <c r="A1724" s="79" t="str">
        <f>IF(COUNTA(B1724:C1724,E1724:G1724,I1724)=0,"","BI-"&amp;RIGHT("0000"&amp;(ROW()-5),4))</f>
        <v/>
      </c>
      <c r="B1724" s="72" t="n"/>
      <c r="C1724" s="66" t="n"/>
      <c r="D1724" s="67" t="str">
        <f>IF(C1724="","",IFERROR(INDEX(eq_des,MATCH(C1724,eq_code,0))&amp;"","Équipement inconnu"))</f>
        <v/>
      </c>
      <c r="E1724" s="68" t="n"/>
      <c r="F1724" s="68" t="n"/>
      <c r="G1724" s="66" t="n"/>
      <c r="H1724" s="66" t="n"/>
      <c r="I1724" s="68" t="n"/>
      <c r="J1724" s="73" t="n"/>
      <c r="K1724" s="71" t="n"/>
      <c r="L1724" s="71" t="n"/>
      <c r="M1724" s="66" t="n"/>
      <c r="N1724" s="80" t="n"/>
      <c r="O1724" s="81" t="str">
        <f>IF(A1724="","",ROUND(V1724*IFERROR(N(INDEX(tech_rate,MATCH(M1724,tech_name,0))),0),2))</f>
        <v/>
      </c>
      <c r="P1724" s="80" t="n"/>
      <c r="Q1724" s="81" t="str">
        <f>IF(A1724="","",ROUND(Y1724+O1724+Z1724,2))</f>
        <v/>
      </c>
      <c r="R1724" s="79" t="str">
        <f>IF(A1724="","",IF(S1724=0,"Date manquante ou invalide",IF(C1724="","Équipement manquant",IF(ISNA(MATCH(C1724,eq_code,0)),"Équipement inconnu",IF(E1724="","Type manquant",IF(AND(E1724&lt;&gt;"Préventif",E1724&lt;&gt;"Correctif",E1724&lt;&gt;"Amélioratif"),"Type inconnu",IF(I1724="","Statut manquant",IF(AND(I1724&lt;&gt;"Terminée",I1724&lt;&gt;"En cours",I1724&lt;&gt;"À faire",I1724&lt;&gt;"Annulée"),"Statut inconnu",IF(AND(E1724="Préventif",F1724=""),"Plan manquant (préventif)",IF(AND(F1724&lt;&gt;"",ISNA(MATCH(F1724,pl_num,0))),"Plan inconnu",IF(AND(F1724&lt;&gt;"",IFERROR(INDEX(pl_eq,MATCH(F1724,pl_num,0))&amp;"",C1724)&lt;&gt;C1724),"Plan d'un autre équipement",IF(AND(J1724&lt;&gt;"",OR(NOT(ISNUMBER(J1724)),N(J1724)&lt;0)),"Compteur invalide",IF(OR(AND(K1724&lt;&gt;"",OR(NOT(ISNUMBER(K1724)),N(K1724)&lt;0)),AND(L1724&lt;&gt;"",OR(NOT(ISNUMBER(L1724)),N(L1724)&lt;0))),"Durée invalide",IF(OR(AND(N1724&lt;&gt;"",OR(NOT(ISNUMBER(N1724)),N(N1724)&lt;0)),AND(P1724&lt;&gt;"",OR(NOT(ISNUMBER(P1724)),N(P1724)&lt;0))),"Coût invalide",IF(AND(M1724&lt;&gt;"",ISNA(MATCH(M1724,tech_name,0))),"Technicien inconnu",IF(AND(I1724="Terminée",S1724&gt;p_today),"Terminée à une date future",IF(AND(I1724="Terminée",V1724=0),"Durée d'intervention manquante",IF(AND(I1724="Terminée",E1724="Préventif",T1724=0,OR(IFERROR(INDEX(pl_trig,MATCH(F1724,pl_num,0))&amp;"","")="Compteur",IFERROR(INDEX(pl_trig,MATCH(F1724,pl_num,0))&amp;"","")="Au premier des deux")),"Compteur manquant (plan au compteur)","OK"))))))))))))))))))</f>
        <v/>
      </c>
      <c r="S1724" s="67">
        <f>IF(AND(ISNUMBER(B1724),N(B1724)&gt;0),INT(B1724),0)</f>
        <v>0.0</v>
      </c>
      <c r="T1724" s="67">
        <f>IF(AND(ISNUMBER(J1724),N(J1724)&gt;=0),N(J1724),0)</f>
        <v>0.0</v>
      </c>
      <c r="U1724" s="67">
        <f>IF(AND(ISNUMBER(K1724),N(K1724)&gt;0),N(K1724),0)</f>
        <v>0.0</v>
      </c>
      <c r="V1724" s="67">
        <f>IF(AND(ISNUMBER(L1724),N(L1724)&gt;0),N(L1724),0)</f>
        <v>0.0</v>
      </c>
      <c r="W1724" s="67">
        <f>IF(AND(I1724="Terminée",S1724&gt;0,C1724&lt;&gt;"",ISNUMBER(MATCH(C1724,eq_code,0))),1,0)</f>
        <v>0.0</v>
      </c>
      <c r="X1724" s="67">
        <f>IF(AND(W1724=1,E1724="Préventif"),1,0)</f>
        <v>0.0</v>
      </c>
      <c r="Y1724" s="67">
        <f>IF(AND(ISNUMBER(N1724),N(N1724)&gt;0),N(N1724),0)</f>
        <v>0.0</v>
      </c>
      <c r="Z1724" s="67">
        <f>IF(AND(ISNUMBER(P1724),N(P1724)&gt;0),N(P1724),0)</f>
        <v>0.0</v>
      </c>
    </row>
    <row r="1725">
      <c r="A1725" s="79" t="str">
        <f>IF(COUNTA(B1725:C1725,E1725:G1725,I1725)=0,"","BI-"&amp;RIGHT("0000"&amp;(ROW()-5),4))</f>
        <v/>
      </c>
      <c r="B1725" s="72" t="n"/>
      <c r="C1725" s="66" t="n"/>
      <c r="D1725" s="67" t="str">
        <f>IF(C1725="","",IFERROR(INDEX(eq_des,MATCH(C1725,eq_code,0))&amp;"","Équipement inconnu"))</f>
        <v/>
      </c>
      <c r="E1725" s="68" t="n"/>
      <c r="F1725" s="68" t="n"/>
      <c r="G1725" s="66" t="n"/>
      <c r="H1725" s="66" t="n"/>
      <c r="I1725" s="68" t="n"/>
      <c r="J1725" s="73" t="n"/>
      <c r="K1725" s="71" t="n"/>
      <c r="L1725" s="71" t="n"/>
      <c r="M1725" s="66" t="n"/>
      <c r="N1725" s="80" t="n"/>
      <c r="O1725" s="81" t="str">
        <f>IF(A1725="","",ROUND(V1725*IFERROR(N(INDEX(tech_rate,MATCH(M1725,tech_name,0))),0),2))</f>
        <v/>
      </c>
      <c r="P1725" s="80" t="n"/>
      <c r="Q1725" s="81" t="str">
        <f>IF(A1725="","",ROUND(Y1725+O1725+Z1725,2))</f>
        <v/>
      </c>
      <c r="R1725" s="79" t="str">
        <f>IF(A1725="","",IF(S1725=0,"Date manquante ou invalide",IF(C1725="","Équipement manquant",IF(ISNA(MATCH(C1725,eq_code,0)),"Équipement inconnu",IF(E1725="","Type manquant",IF(AND(E1725&lt;&gt;"Préventif",E1725&lt;&gt;"Correctif",E1725&lt;&gt;"Amélioratif"),"Type inconnu",IF(I1725="","Statut manquant",IF(AND(I1725&lt;&gt;"Terminée",I1725&lt;&gt;"En cours",I1725&lt;&gt;"À faire",I1725&lt;&gt;"Annulée"),"Statut inconnu",IF(AND(E1725="Préventif",F1725=""),"Plan manquant (préventif)",IF(AND(F1725&lt;&gt;"",ISNA(MATCH(F1725,pl_num,0))),"Plan inconnu",IF(AND(F1725&lt;&gt;"",IFERROR(INDEX(pl_eq,MATCH(F1725,pl_num,0))&amp;"",C1725)&lt;&gt;C1725),"Plan d'un autre équipement",IF(AND(J1725&lt;&gt;"",OR(NOT(ISNUMBER(J1725)),N(J1725)&lt;0)),"Compteur invalide",IF(OR(AND(K1725&lt;&gt;"",OR(NOT(ISNUMBER(K1725)),N(K1725)&lt;0)),AND(L1725&lt;&gt;"",OR(NOT(ISNUMBER(L1725)),N(L1725)&lt;0))),"Durée invalide",IF(OR(AND(N1725&lt;&gt;"",OR(NOT(ISNUMBER(N1725)),N(N1725)&lt;0)),AND(P1725&lt;&gt;"",OR(NOT(ISNUMBER(P1725)),N(P1725)&lt;0))),"Coût invalide",IF(AND(M1725&lt;&gt;"",ISNA(MATCH(M1725,tech_name,0))),"Technicien inconnu",IF(AND(I1725="Terminée",S1725&gt;p_today),"Terminée à une date future",IF(AND(I1725="Terminée",V1725=0),"Durée d'intervention manquante",IF(AND(I1725="Terminée",E1725="Préventif",T1725=0,OR(IFERROR(INDEX(pl_trig,MATCH(F1725,pl_num,0))&amp;"","")="Compteur",IFERROR(INDEX(pl_trig,MATCH(F1725,pl_num,0))&amp;"","")="Au premier des deux")),"Compteur manquant (plan au compteur)","OK"))))))))))))))))))</f>
        <v/>
      </c>
      <c r="S1725" s="67">
        <f>IF(AND(ISNUMBER(B1725),N(B1725)&gt;0),INT(B1725),0)</f>
        <v>0.0</v>
      </c>
      <c r="T1725" s="67">
        <f>IF(AND(ISNUMBER(J1725),N(J1725)&gt;=0),N(J1725),0)</f>
        <v>0.0</v>
      </c>
      <c r="U1725" s="67">
        <f>IF(AND(ISNUMBER(K1725),N(K1725)&gt;0),N(K1725),0)</f>
        <v>0.0</v>
      </c>
      <c r="V1725" s="67">
        <f>IF(AND(ISNUMBER(L1725),N(L1725)&gt;0),N(L1725),0)</f>
        <v>0.0</v>
      </c>
      <c r="W1725" s="67">
        <f>IF(AND(I1725="Terminée",S1725&gt;0,C1725&lt;&gt;"",ISNUMBER(MATCH(C1725,eq_code,0))),1,0)</f>
        <v>0.0</v>
      </c>
      <c r="X1725" s="67">
        <f>IF(AND(W1725=1,E1725="Préventif"),1,0)</f>
        <v>0.0</v>
      </c>
      <c r="Y1725" s="67">
        <f>IF(AND(ISNUMBER(N1725),N(N1725)&gt;0),N(N1725),0)</f>
        <v>0.0</v>
      </c>
      <c r="Z1725" s="67">
        <f>IF(AND(ISNUMBER(P1725),N(P1725)&gt;0),N(P1725),0)</f>
        <v>0.0</v>
      </c>
    </row>
    <row r="1726">
      <c r="A1726" s="79" t="str">
        <f>IF(COUNTA(B1726:C1726,E1726:G1726,I1726)=0,"","BI-"&amp;RIGHT("0000"&amp;(ROW()-5),4))</f>
        <v/>
      </c>
      <c r="B1726" s="72" t="n"/>
      <c r="C1726" s="66" t="n"/>
      <c r="D1726" s="67" t="str">
        <f>IF(C1726="","",IFERROR(INDEX(eq_des,MATCH(C1726,eq_code,0))&amp;"","Équipement inconnu"))</f>
        <v/>
      </c>
      <c r="E1726" s="68" t="n"/>
      <c r="F1726" s="68" t="n"/>
      <c r="G1726" s="66" t="n"/>
      <c r="H1726" s="66" t="n"/>
      <c r="I1726" s="68" t="n"/>
      <c r="J1726" s="73" t="n"/>
      <c r="K1726" s="71" t="n"/>
      <c r="L1726" s="71" t="n"/>
      <c r="M1726" s="66" t="n"/>
      <c r="N1726" s="80" t="n"/>
      <c r="O1726" s="81" t="str">
        <f>IF(A1726="","",ROUND(V1726*IFERROR(N(INDEX(tech_rate,MATCH(M1726,tech_name,0))),0),2))</f>
        <v/>
      </c>
      <c r="P1726" s="80" t="n"/>
      <c r="Q1726" s="81" t="str">
        <f>IF(A1726="","",ROUND(Y1726+O1726+Z1726,2))</f>
        <v/>
      </c>
      <c r="R1726" s="79" t="str">
        <f>IF(A1726="","",IF(S1726=0,"Date manquante ou invalide",IF(C1726="","Équipement manquant",IF(ISNA(MATCH(C1726,eq_code,0)),"Équipement inconnu",IF(E1726="","Type manquant",IF(AND(E1726&lt;&gt;"Préventif",E1726&lt;&gt;"Correctif",E1726&lt;&gt;"Amélioratif"),"Type inconnu",IF(I1726="","Statut manquant",IF(AND(I1726&lt;&gt;"Terminée",I1726&lt;&gt;"En cours",I1726&lt;&gt;"À faire",I1726&lt;&gt;"Annulée"),"Statut inconnu",IF(AND(E1726="Préventif",F1726=""),"Plan manquant (préventif)",IF(AND(F1726&lt;&gt;"",ISNA(MATCH(F1726,pl_num,0))),"Plan inconnu",IF(AND(F1726&lt;&gt;"",IFERROR(INDEX(pl_eq,MATCH(F1726,pl_num,0))&amp;"",C1726)&lt;&gt;C1726),"Plan d'un autre équipement",IF(AND(J1726&lt;&gt;"",OR(NOT(ISNUMBER(J1726)),N(J1726)&lt;0)),"Compteur invalide",IF(OR(AND(K1726&lt;&gt;"",OR(NOT(ISNUMBER(K1726)),N(K1726)&lt;0)),AND(L1726&lt;&gt;"",OR(NOT(ISNUMBER(L1726)),N(L1726)&lt;0))),"Durée invalide",IF(OR(AND(N1726&lt;&gt;"",OR(NOT(ISNUMBER(N1726)),N(N1726)&lt;0)),AND(P1726&lt;&gt;"",OR(NOT(ISNUMBER(P1726)),N(P1726)&lt;0))),"Coût invalide",IF(AND(M1726&lt;&gt;"",ISNA(MATCH(M1726,tech_name,0))),"Technicien inconnu",IF(AND(I1726="Terminée",S1726&gt;p_today),"Terminée à une date future",IF(AND(I1726="Terminée",V1726=0),"Durée d'intervention manquante",IF(AND(I1726="Terminée",E1726="Préventif",T1726=0,OR(IFERROR(INDEX(pl_trig,MATCH(F1726,pl_num,0))&amp;"","")="Compteur",IFERROR(INDEX(pl_trig,MATCH(F1726,pl_num,0))&amp;"","")="Au premier des deux")),"Compteur manquant (plan au compteur)","OK"))))))))))))))))))</f>
        <v/>
      </c>
      <c r="S1726" s="67">
        <f>IF(AND(ISNUMBER(B1726),N(B1726)&gt;0),INT(B1726),0)</f>
        <v>0.0</v>
      </c>
      <c r="T1726" s="67">
        <f>IF(AND(ISNUMBER(J1726),N(J1726)&gt;=0),N(J1726),0)</f>
        <v>0.0</v>
      </c>
      <c r="U1726" s="67">
        <f>IF(AND(ISNUMBER(K1726),N(K1726)&gt;0),N(K1726),0)</f>
        <v>0.0</v>
      </c>
      <c r="V1726" s="67">
        <f>IF(AND(ISNUMBER(L1726),N(L1726)&gt;0),N(L1726),0)</f>
        <v>0.0</v>
      </c>
      <c r="W1726" s="67">
        <f>IF(AND(I1726="Terminée",S1726&gt;0,C1726&lt;&gt;"",ISNUMBER(MATCH(C1726,eq_code,0))),1,0)</f>
        <v>0.0</v>
      </c>
      <c r="X1726" s="67">
        <f>IF(AND(W1726=1,E1726="Préventif"),1,0)</f>
        <v>0.0</v>
      </c>
      <c r="Y1726" s="67">
        <f>IF(AND(ISNUMBER(N1726),N(N1726)&gt;0),N(N1726),0)</f>
        <v>0.0</v>
      </c>
      <c r="Z1726" s="67">
        <f>IF(AND(ISNUMBER(P1726),N(P1726)&gt;0),N(P1726),0)</f>
        <v>0.0</v>
      </c>
    </row>
    <row r="1727">
      <c r="A1727" s="79" t="str">
        <f>IF(COUNTA(B1727:C1727,E1727:G1727,I1727)=0,"","BI-"&amp;RIGHT("0000"&amp;(ROW()-5),4))</f>
        <v/>
      </c>
      <c r="B1727" s="72" t="n"/>
      <c r="C1727" s="66" t="n"/>
      <c r="D1727" s="67" t="str">
        <f>IF(C1727="","",IFERROR(INDEX(eq_des,MATCH(C1727,eq_code,0))&amp;"","Équipement inconnu"))</f>
        <v/>
      </c>
      <c r="E1727" s="68" t="n"/>
      <c r="F1727" s="68" t="n"/>
      <c r="G1727" s="66" t="n"/>
      <c r="H1727" s="66" t="n"/>
      <c r="I1727" s="68" t="n"/>
      <c r="J1727" s="73" t="n"/>
      <c r="K1727" s="71" t="n"/>
      <c r="L1727" s="71" t="n"/>
      <c r="M1727" s="66" t="n"/>
      <c r="N1727" s="80" t="n"/>
      <c r="O1727" s="81" t="str">
        <f>IF(A1727="","",ROUND(V1727*IFERROR(N(INDEX(tech_rate,MATCH(M1727,tech_name,0))),0),2))</f>
        <v/>
      </c>
      <c r="P1727" s="80" t="n"/>
      <c r="Q1727" s="81" t="str">
        <f>IF(A1727="","",ROUND(Y1727+O1727+Z1727,2))</f>
        <v/>
      </c>
      <c r="R1727" s="79" t="str">
        <f>IF(A1727="","",IF(S1727=0,"Date manquante ou invalide",IF(C1727="","Équipement manquant",IF(ISNA(MATCH(C1727,eq_code,0)),"Équipement inconnu",IF(E1727="","Type manquant",IF(AND(E1727&lt;&gt;"Préventif",E1727&lt;&gt;"Correctif",E1727&lt;&gt;"Amélioratif"),"Type inconnu",IF(I1727="","Statut manquant",IF(AND(I1727&lt;&gt;"Terminée",I1727&lt;&gt;"En cours",I1727&lt;&gt;"À faire",I1727&lt;&gt;"Annulée"),"Statut inconnu",IF(AND(E1727="Préventif",F1727=""),"Plan manquant (préventif)",IF(AND(F1727&lt;&gt;"",ISNA(MATCH(F1727,pl_num,0))),"Plan inconnu",IF(AND(F1727&lt;&gt;"",IFERROR(INDEX(pl_eq,MATCH(F1727,pl_num,0))&amp;"",C1727)&lt;&gt;C1727),"Plan d'un autre équipement",IF(AND(J1727&lt;&gt;"",OR(NOT(ISNUMBER(J1727)),N(J1727)&lt;0)),"Compteur invalide",IF(OR(AND(K1727&lt;&gt;"",OR(NOT(ISNUMBER(K1727)),N(K1727)&lt;0)),AND(L1727&lt;&gt;"",OR(NOT(ISNUMBER(L1727)),N(L1727)&lt;0))),"Durée invalide",IF(OR(AND(N1727&lt;&gt;"",OR(NOT(ISNUMBER(N1727)),N(N1727)&lt;0)),AND(P1727&lt;&gt;"",OR(NOT(ISNUMBER(P1727)),N(P1727)&lt;0))),"Coût invalide",IF(AND(M1727&lt;&gt;"",ISNA(MATCH(M1727,tech_name,0))),"Technicien inconnu",IF(AND(I1727="Terminée",S1727&gt;p_today),"Terminée à une date future",IF(AND(I1727="Terminée",V1727=0),"Durée d'intervention manquante",IF(AND(I1727="Terminée",E1727="Préventif",T1727=0,OR(IFERROR(INDEX(pl_trig,MATCH(F1727,pl_num,0))&amp;"","")="Compteur",IFERROR(INDEX(pl_trig,MATCH(F1727,pl_num,0))&amp;"","")="Au premier des deux")),"Compteur manquant (plan au compteur)","OK"))))))))))))))))))</f>
        <v/>
      </c>
      <c r="S1727" s="67">
        <f>IF(AND(ISNUMBER(B1727),N(B1727)&gt;0),INT(B1727),0)</f>
        <v>0.0</v>
      </c>
      <c r="T1727" s="67">
        <f>IF(AND(ISNUMBER(J1727),N(J1727)&gt;=0),N(J1727),0)</f>
        <v>0.0</v>
      </c>
      <c r="U1727" s="67">
        <f>IF(AND(ISNUMBER(K1727),N(K1727)&gt;0),N(K1727),0)</f>
        <v>0.0</v>
      </c>
      <c r="V1727" s="67">
        <f>IF(AND(ISNUMBER(L1727),N(L1727)&gt;0),N(L1727),0)</f>
        <v>0.0</v>
      </c>
      <c r="W1727" s="67">
        <f>IF(AND(I1727="Terminée",S1727&gt;0,C1727&lt;&gt;"",ISNUMBER(MATCH(C1727,eq_code,0))),1,0)</f>
        <v>0.0</v>
      </c>
      <c r="X1727" s="67">
        <f>IF(AND(W1727=1,E1727="Préventif"),1,0)</f>
        <v>0.0</v>
      </c>
      <c r="Y1727" s="67">
        <f>IF(AND(ISNUMBER(N1727),N(N1727)&gt;0),N(N1727),0)</f>
        <v>0.0</v>
      </c>
      <c r="Z1727" s="67">
        <f>IF(AND(ISNUMBER(P1727),N(P1727)&gt;0),N(P1727),0)</f>
        <v>0.0</v>
      </c>
    </row>
    <row r="1728">
      <c r="A1728" s="79" t="str">
        <f>IF(COUNTA(B1728:C1728,E1728:G1728,I1728)=0,"","BI-"&amp;RIGHT("0000"&amp;(ROW()-5),4))</f>
        <v/>
      </c>
      <c r="B1728" s="72" t="n"/>
      <c r="C1728" s="66" t="n"/>
      <c r="D1728" s="67" t="str">
        <f>IF(C1728="","",IFERROR(INDEX(eq_des,MATCH(C1728,eq_code,0))&amp;"","Équipement inconnu"))</f>
        <v/>
      </c>
      <c r="E1728" s="68" t="n"/>
      <c r="F1728" s="68" t="n"/>
      <c r="G1728" s="66" t="n"/>
      <c r="H1728" s="66" t="n"/>
      <c r="I1728" s="68" t="n"/>
      <c r="J1728" s="73" t="n"/>
      <c r="K1728" s="71" t="n"/>
      <c r="L1728" s="71" t="n"/>
      <c r="M1728" s="66" t="n"/>
      <c r="N1728" s="80" t="n"/>
      <c r="O1728" s="81" t="str">
        <f>IF(A1728="","",ROUND(V1728*IFERROR(N(INDEX(tech_rate,MATCH(M1728,tech_name,0))),0),2))</f>
        <v/>
      </c>
      <c r="P1728" s="80" t="n"/>
      <c r="Q1728" s="81" t="str">
        <f>IF(A1728="","",ROUND(Y1728+O1728+Z1728,2))</f>
        <v/>
      </c>
      <c r="R1728" s="79" t="str">
        <f>IF(A1728="","",IF(S1728=0,"Date manquante ou invalide",IF(C1728="","Équipement manquant",IF(ISNA(MATCH(C1728,eq_code,0)),"Équipement inconnu",IF(E1728="","Type manquant",IF(AND(E1728&lt;&gt;"Préventif",E1728&lt;&gt;"Correctif",E1728&lt;&gt;"Amélioratif"),"Type inconnu",IF(I1728="","Statut manquant",IF(AND(I1728&lt;&gt;"Terminée",I1728&lt;&gt;"En cours",I1728&lt;&gt;"À faire",I1728&lt;&gt;"Annulée"),"Statut inconnu",IF(AND(E1728="Préventif",F1728=""),"Plan manquant (préventif)",IF(AND(F1728&lt;&gt;"",ISNA(MATCH(F1728,pl_num,0))),"Plan inconnu",IF(AND(F1728&lt;&gt;"",IFERROR(INDEX(pl_eq,MATCH(F1728,pl_num,0))&amp;"",C1728)&lt;&gt;C1728),"Plan d'un autre équipement",IF(AND(J1728&lt;&gt;"",OR(NOT(ISNUMBER(J1728)),N(J1728)&lt;0)),"Compteur invalide",IF(OR(AND(K1728&lt;&gt;"",OR(NOT(ISNUMBER(K1728)),N(K1728)&lt;0)),AND(L1728&lt;&gt;"",OR(NOT(ISNUMBER(L1728)),N(L1728)&lt;0))),"Durée invalide",IF(OR(AND(N1728&lt;&gt;"",OR(NOT(ISNUMBER(N1728)),N(N1728)&lt;0)),AND(P1728&lt;&gt;"",OR(NOT(ISNUMBER(P1728)),N(P1728)&lt;0))),"Coût invalide",IF(AND(M1728&lt;&gt;"",ISNA(MATCH(M1728,tech_name,0))),"Technicien inconnu",IF(AND(I1728="Terminée",S1728&gt;p_today),"Terminée à une date future",IF(AND(I1728="Terminée",V1728=0),"Durée d'intervention manquante",IF(AND(I1728="Terminée",E1728="Préventif",T1728=0,OR(IFERROR(INDEX(pl_trig,MATCH(F1728,pl_num,0))&amp;"","")="Compteur",IFERROR(INDEX(pl_trig,MATCH(F1728,pl_num,0))&amp;"","")="Au premier des deux")),"Compteur manquant (plan au compteur)","OK"))))))))))))))))))</f>
        <v/>
      </c>
      <c r="S1728" s="67">
        <f>IF(AND(ISNUMBER(B1728),N(B1728)&gt;0),INT(B1728),0)</f>
        <v>0.0</v>
      </c>
      <c r="T1728" s="67">
        <f>IF(AND(ISNUMBER(J1728),N(J1728)&gt;=0),N(J1728),0)</f>
        <v>0.0</v>
      </c>
      <c r="U1728" s="67">
        <f>IF(AND(ISNUMBER(K1728),N(K1728)&gt;0),N(K1728),0)</f>
        <v>0.0</v>
      </c>
      <c r="V1728" s="67">
        <f>IF(AND(ISNUMBER(L1728),N(L1728)&gt;0),N(L1728),0)</f>
        <v>0.0</v>
      </c>
      <c r="W1728" s="67">
        <f>IF(AND(I1728="Terminée",S1728&gt;0,C1728&lt;&gt;"",ISNUMBER(MATCH(C1728,eq_code,0))),1,0)</f>
        <v>0.0</v>
      </c>
      <c r="X1728" s="67">
        <f>IF(AND(W1728=1,E1728="Préventif"),1,0)</f>
        <v>0.0</v>
      </c>
      <c r="Y1728" s="67">
        <f>IF(AND(ISNUMBER(N1728),N(N1728)&gt;0),N(N1728),0)</f>
        <v>0.0</v>
      </c>
      <c r="Z1728" s="67">
        <f>IF(AND(ISNUMBER(P1728),N(P1728)&gt;0),N(P1728),0)</f>
        <v>0.0</v>
      </c>
    </row>
    <row r="1729">
      <c r="A1729" s="79" t="str">
        <f>IF(COUNTA(B1729:C1729,E1729:G1729,I1729)=0,"","BI-"&amp;RIGHT("0000"&amp;(ROW()-5),4))</f>
        <v/>
      </c>
      <c r="B1729" s="72" t="n"/>
      <c r="C1729" s="66" t="n"/>
      <c r="D1729" s="67" t="str">
        <f>IF(C1729="","",IFERROR(INDEX(eq_des,MATCH(C1729,eq_code,0))&amp;"","Équipement inconnu"))</f>
        <v/>
      </c>
      <c r="E1729" s="68" t="n"/>
      <c r="F1729" s="68" t="n"/>
      <c r="G1729" s="66" t="n"/>
      <c r="H1729" s="66" t="n"/>
      <c r="I1729" s="68" t="n"/>
      <c r="J1729" s="73" t="n"/>
      <c r="K1729" s="71" t="n"/>
      <c r="L1729" s="71" t="n"/>
      <c r="M1729" s="66" t="n"/>
      <c r="N1729" s="80" t="n"/>
      <c r="O1729" s="81" t="str">
        <f>IF(A1729="","",ROUND(V1729*IFERROR(N(INDEX(tech_rate,MATCH(M1729,tech_name,0))),0),2))</f>
        <v/>
      </c>
      <c r="P1729" s="80" t="n"/>
      <c r="Q1729" s="81" t="str">
        <f>IF(A1729="","",ROUND(Y1729+O1729+Z1729,2))</f>
        <v/>
      </c>
      <c r="R1729" s="79" t="str">
        <f>IF(A1729="","",IF(S1729=0,"Date manquante ou invalide",IF(C1729="","Équipement manquant",IF(ISNA(MATCH(C1729,eq_code,0)),"Équipement inconnu",IF(E1729="","Type manquant",IF(AND(E1729&lt;&gt;"Préventif",E1729&lt;&gt;"Correctif",E1729&lt;&gt;"Amélioratif"),"Type inconnu",IF(I1729="","Statut manquant",IF(AND(I1729&lt;&gt;"Terminée",I1729&lt;&gt;"En cours",I1729&lt;&gt;"À faire",I1729&lt;&gt;"Annulée"),"Statut inconnu",IF(AND(E1729="Préventif",F1729=""),"Plan manquant (préventif)",IF(AND(F1729&lt;&gt;"",ISNA(MATCH(F1729,pl_num,0))),"Plan inconnu",IF(AND(F1729&lt;&gt;"",IFERROR(INDEX(pl_eq,MATCH(F1729,pl_num,0))&amp;"",C1729)&lt;&gt;C1729),"Plan d'un autre équipement",IF(AND(J1729&lt;&gt;"",OR(NOT(ISNUMBER(J1729)),N(J1729)&lt;0)),"Compteur invalide",IF(OR(AND(K1729&lt;&gt;"",OR(NOT(ISNUMBER(K1729)),N(K1729)&lt;0)),AND(L1729&lt;&gt;"",OR(NOT(ISNUMBER(L1729)),N(L1729)&lt;0))),"Durée invalide",IF(OR(AND(N1729&lt;&gt;"",OR(NOT(ISNUMBER(N1729)),N(N1729)&lt;0)),AND(P1729&lt;&gt;"",OR(NOT(ISNUMBER(P1729)),N(P1729)&lt;0))),"Coût invalide",IF(AND(M1729&lt;&gt;"",ISNA(MATCH(M1729,tech_name,0))),"Technicien inconnu",IF(AND(I1729="Terminée",S1729&gt;p_today),"Terminée à une date future",IF(AND(I1729="Terminée",V1729=0),"Durée d'intervention manquante",IF(AND(I1729="Terminée",E1729="Préventif",T1729=0,OR(IFERROR(INDEX(pl_trig,MATCH(F1729,pl_num,0))&amp;"","")="Compteur",IFERROR(INDEX(pl_trig,MATCH(F1729,pl_num,0))&amp;"","")="Au premier des deux")),"Compteur manquant (plan au compteur)","OK"))))))))))))))))))</f>
        <v/>
      </c>
      <c r="S1729" s="67">
        <f>IF(AND(ISNUMBER(B1729),N(B1729)&gt;0),INT(B1729),0)</f>
        <v>0.0</v>
      </c>
      <c r="T1729" s="67">
        <f>IF(AND(ISNUMBER(J1729),N(J1729)&gt;=0),N(J1729),0)</f>
        <v>0.0</v>
      </c>
      <c r="U1729" s="67">
        <f>IF(AND(ISNUMBER(K1729),N(K1729)&gt;0),N(K1729),0)</f>
        <v>0.0</v>
      </c>
      <c r="V1729" s="67">
        <f>IF(AND(ISNUMBER(L1729),N(L1729)&gt;0),N(L1729),0)</f>
        <v>0.0</v>
      </c>
      <c r="W1729" s="67">
        <f>IF(AND(I1729="Terminée",S1729&gt;0,C1729&lt;&gt;"",ISNUMBER(MATCH(C1729,eq_code,0))),1,0)</f>
        <v>0.0</v>
      </c>
      <c r="X1729" s="67">
        <f>IF(AND(W1729=1,E1729="Préventif"),1,0)</f>
        <v>0.0</v>
      </c>
      <c r="Y1729" s="67">
        <f>IF(AND(ISNUMBER(N1729),N(N1729)&gt;0),N(N1729),0)</f>
        <v>0.0</v>
      </c>
      <c r="Z1729" s="67">
        <f>IF(AND(ISNUMBER(P1729),N(P1729)&gt;0),N(P1729),0)</f>
        <v>0.0</v>
      </c>
    </row>
    <row r="1730">
      <c r="A1730" s="79" t="str">
        <f>IF(COUNTA(B1730:C1730,E1730:G1730,I1730)=0,"","BI-"&amp;RIGHT("0000"&amp;(ROW()-5),4))</f>
        <v/>
      </c>
      <c r="B1730" s="72" t="n"/>
      <c r="C1730" s="66" t="n"/>
      <c r="D1730" s="67" t="str">
        <f>IF(C1730="","",IFERROR(INDEX(eq_des,MATCH(C1730,eq_code,0))&amp;"","Équipement inconnu"))</f>
        <v/>
      </c>
      <c r="E1730" s="68" t="n"/>
      <c r="F1730" s="68" t="n"/>
      <c r="G1730" s="66" t="n"/>
      <c r="H1730" s="66" t="n"/>
      <c r="I1730" s="68" t="n"/>
      <c r="J1730" s="73" t="n"/>
      <c r="K1730" s="71" t="n"/>
      <c r="L1730" s="71" t="n"/>
      <c r="M1730" s="66" t="n"/>
      <c r="N1730" s="80" t="n"/>
      <c r="O1730" s="81" t="str">
        <f>IF(A1730="","",ROUND(V1730*IFERROR(N(INDEX(tech_rate,MATCH(M1730,tech_name,0))),0),2))</f>
        <v/>
      </c>
      <c r="P1730" s="80" t="n"/>
      <c r="Q1730" s="81" t="str">
        <f>IF(A1730="","",ROUND(Y1730+O1730+Z1730,2))</f>
        <v/>
      </c>
      <c r="R1730" s="79" t="str">
        <f>IF(A1730="","",IF(S1730=0,"Date manquante ou invalide",IF(C1730="","Équipement manquant",IF(ISNA(MATCH(C1730,eq_code,0)),"Équipement inconnu",IF(E1730="","Type manquant",IF(AND(E1730&lt;&gt;"Préventif",E1730&lt;&gt;"Correctif",E1730&lt;&gt;"Amélioratif"),"Type inconnu",IF(I1730="","Statut manquant",IF(AND(I1730&lt;&gt;"Terminée",I1730&lt;&gt;"En cours",I1730&lt;&gt;"À faire",I1730&lt;&gt;"Annulée"),"Statut inconnu",IF(AND(E1730="Préventif",F1730=""),"Plan manquant (préventif)",IF(AND(F1730&lt;&gt;"",ISNA(MATCH(F1730,pl_num,0))),"Plan inconnu",IF(AND(F1730&lt;&gt;"",IFERROR(INDEX(pl_eq,MATCH(F1730,pl_num,0))&amp;"",C1730)&lt;&gt;C1730),"Plan d'un autre équipement",IF(AND(J1730&lt;&gt;"",OR(NOT(ISNUMBER(J1730)),N(J1730)&lt;0)),"Compteur invalide",IF(OR(AND(K1730&lt;&gt;"",OR(NOT(ISNUMBER(K1730)),N(K1730)&lt;0)),AND(L1730&lt;&gt;"",OR(NOT(ISNUMBER(L1730)),N(L1730)&lt;0))),"Durée invalide",IF(OR(AND(N1730&lt;&gt;"",OR(NOT(ISNUMBER(N1730)),N(N1730)&lt;0)),AND(P1730&lt;&gt;"",OR(NOT(ISNUMBER(P1730)),N(P1730)&lt;0))),"Coût invalide",IF(AND(M1730&lt;&gt;"",ISNA(MATCH(M1730,tech_name,0))),"Technicien inconnu",IF(AND(I1730="Terminée",S1730&gt;p_today),"Terminée à une date future",IF(AND(I1730="Terminée",V1730=0),"Durée d'intervention manquante",IF(AND(I1730="Terminée",E1730="Préventif",T1730=0,OR(IFERROR(INDEX(pl_trig,MATCH(F1730,pl_num,0))&amp;"","")="Compteur",IFERROR(INDEX(pl_trig,MATCH(F1730,pl_num,0))&amp;"","")="Au premier des deux")),"Compteur manquant (plan au compteur)","OK"))))))))))))))))))</f>
        <v/>
      </c>
      <c r="S1730" s="67">
        <f>IF(AND(ISNUMBER(B1730),N(B1730)&gt;0),INT(B1730),0)</f>
        <v>0.0</v>
      </c>
      <c r="T1730" s="67">
        <f>IF(AND(ISNUMBER(J1730),N(J1730)&gt;=0),N(J1730),0)</f>
        <v>0.0</v>
      </c>
      <c r="U1730" s="67">
        <f>IF(AND(ISNUMBER(K1730),N(K1730)&gt;0),N(K1730),0)</f>
        <v>0.0</v>
      </c>
      <c r="V1730" s="67">
        <f>IF(AND(ISNUMBER(L1730),N(L1730)&gt;0),N(L1730),0)</f>
        <v>0.0</v>
      </c>
      <c r="W1730" s="67">
        <f>IF(AND(I1730="Terminée",S1730&gt;0,C1730&lt;&gt;"",ISNUMBER(MATCH(C1730,eq_code,0))),1,0)</f>
        <v>0.0</v>
      </c>
      <c r="X1730" s="67">
        <f>IF(AND(W1730=1,E1730="Préventif"),1,0)</f>
        <v>0.0</v>
      </c>
      <c r="Y1730" s="67">
        <f>IF(AND(ISNUMBER(N1730),N(N1730)&gt;0),N(N1730),0)</f>
        <v>0.0</v>
      </c>
      <c r="Z1730" s="67">
        <f>IF(AND(ISNUMBER(P1730),N(P1730)&gt;0),N(P1730),0)</f>
        <v>0.0</v>
      </c>
    </row>
    <row r="1731">
      <c r="A1731" s="79" t="str">
        <f>IF(COUNTA(B1731:C1731,E1731:G1731,I1731)=0,"","BI-"&amp;RIGHT("0000"&amp;(ROW()-5),4))</f>
        <v/>
      </c>
      <c r="B1731" s="72" t="n"/>
      <c r="C1731" s="66" t="n"/>
      <c r="D1731" s="67" t="str">
        <f>IF(C1731="","",IFERROR(INDEX(eq_des,MATCH(C1731,eq_code,0))&amp;"","Équipement inconnu"))</f>
        <v/>
      </c>
      <c r="E1731" s="68" t="n"/>
      <c r="F1731" s="68" t="n"/>
      <c r="G1731" s="66" t="n"/>
      <c r="H1731" s="66" t="n"/>
      <c r="I1731" s="68" t="n"/>
      <c r="J1731" s="73" t="n"/>
      <c r="K1731" s="71" t="n"/>
      <c r="L1731" s="71" t="n"/>
      <c r="M1731" s="66" t="n"/>
      <c r="N1731" s="80" t="n"/>
      <c r="O1731" s="81" t="str">
        <f>IF(A1731="","",ROUND(V1731*IFERROR(N(INDEX(tech_rate,MATCH(M1731,tech_name,0))),0),2))</f>
        <v/>
      </c>
      <c r="P1731" s="80" t="n"/>
      <c r="Q1731" s="81" t="str">
        <f>IF(A1731="","",ROUND(Y1731+O1731+Z1731,2))</f>
        <v/>
      </c>
      <c r="R1731" s="79" t="str">
        <f>IF(A1731="","",IF(S1731=0,"Date manquante ou invalide",IF(C1731="","Équipement manquant",IF(ISNA(MATCH(C1731,eq_code,0)),"Équipement inconnu",IF(E1731="","Type manquant",IF(AND(E1731&lt;&gt;"Préventif",E1731&lt;&gt;"Correctif",E1731&lt;&gt;"Amélioratif"),"Type inconnu",IF(I1731="","Statut manquant",IF(AND(I1731&lt;&gt;"Terminée",I1731&lt;&gt;"En cours",I1731&lt;&gt;"À faire",I1731&lt;&gt;"Annulée"),"Statut inconnu",IF(AND(E1731="Préventif",F1731=""),"Plan manquant (préventif)",IF(AND(F1731&lt;&gt;"",ISNA(MATCH(F1731,pl_num,0))),"Plan inconnu",IF(AND(F1731&lt;&gt;"",IFERROR(INDEX(pl_eq,MATCH(F1731,pl_num,0))&amp;"",C1731)&lt;&gt;C1731),"Plan d'un autre équipement",IF(AND(J1731&lt;&gt;"",OR(NOT(ISNUMBER(J1731)),N(J1731)&lt;0)),"Compteur invalide",IF(OR(AND(K1731&lt;&gt;"",OR(NOT(ISNUMBER(K1731)),N(K1731)&lt;0)),AND(L1731&lt;&gt;"",OR(NOT(ISNUMBER(L1731)),N(L1731)&lt;0))),"Durée invalide",IF(OR(AND(N1731&lt;&gt;"",OR(NOT(ISNUMBER(N1731)),N(N1731)&lt;0)),AND(P1731&lt;&gt;"",OR(NOT(ISNUMBER(P1731)),N(P1731)&lt;0))),"Coût invalide",IF(AND(M1731&lt;&gt;"",ISNA(MATCH(M1731,tech_name,0))),"Technicien inconnu",IF(AND(I1731="Terminée",S1731&gt;p_today),"Terminée à une date future",IF(AND(I1731="Terminée",V1731=0),"Durée d'intervention manquante",IF(AND(I1731="Terminée",E1731="Préventif",T1731=0,OR(IFERROR(INDEX(pl_trig,MATCH(F1731,pl_num,0))&amp;"","")="Compteur",IFERROR(INDEX(pl_trig,MATCH(F1731,pl_num,0))&amp;"","")="Au premier des deux")),"Compteur manquant (plan au compteur)","OK"))))))))))))))))))</f>
        <v/>
      </c>
      <c r="S1731" s="67">
        <f>IF(AND(ISNUMBER(B1731),N(B1731)&gt;0),INT(B1731),0)</f>
        <v>0.0</v>
      </c>
      <c r="T1731" s="67">
        <f>IF(AND(ISNUMBER(J1731),N(J1731)&gt;=0),N(J1731),0)</f>
        <v>0.0</v>
      </c>
      <c r="U1731" s="67">
        <f>IF(AND(ISNUMBER(K1731),N(K1731)&gt;0),N(K1731),0)</f>
        <v>0.0</v>
      </c>
      <c r="V1731" s="67">
        <f>IF(AND(ISNUMBER(L1731),N(L1731)&gt;0),N(L1731),0)</f>
        <v>0.0</v>
      </c>
      <c r="W1731" s="67">
        <f>IF(AND(I1731="Terminée",S1731&gt;0,C1731&lt;&gt;"",ISNUMBER(MATCH(C1731,eq_code,0))),1,0)</f>
        <v>0.0</v>
      </c>
      <c r="X1731" s="67">
        <f>IF(AND(W1731=1,E1731="Préventif"),1,0)</f>
        <v>0.0</v>
      </c>
      <c r="Y1731" s="67">
        <f>IF(AND(ISNUMBER(N1731),N(N1731)&gt;0),N(N1731),0)</f>
        <v>0.0</v>
      </c>
      <c r="Z1731" s="67">
        <f>IF(AND(ISNUMBER(P1731),N(P1731)&gt;0),N(P1731),0)</f>
        <v>0.0</v>
      </c>
    </row>
    <row r="1732">
      <c r="A1732" s="79" t="str">
        <f>IF(COUNTA(B1732:C1732,E1732:G1732,I1732)=0,"","BI-"&amp;RIGHT("0000"&amp;(ROW()-5),4))</f>
        <v/>
      </c>
      <c r="B1732" s="72" t="n"/>
      <c r="C1732" s="66" t="n"/>
      <c r="D1732" s="67" t="str">
        <f>IF(C1732="","",IFERROR(INDEX(eq_des,MATCH(C1732,eq_code,0))&amp;"","Équipement inconnu"))</f>
        <v/>
      </c>
      <c r="E1732" s="68" t="n"/>
      <c r="F1732" s="68" t="n"/>
      <c r="G1732" s="66" t="n"/>
      <c r="H1732" s="66" t="n"/>
      <c r="I1732" s="68" t="n"/>
      <c r="J1732" s="73" t="n"/>
      <c r="K1732" s="71" t="n"/>
      <c r="L1732" s="71" t="n"/>
      <c r="M1732" s="66" t="n"/>
      <c r="N1732" s="80" t="n"/>
      <c r="O1732" s="81" t="str">
        <f>IF(A1732="","",ROUND(V1732*IFERROR(N(INDEX(tech_rate,MATCH(M1732,tech_name,0))),0),2))</f>
        <v/>
      </c>
      <c r="P1732" s="80" t="n"/>
      <c r="Q1732" s="81" t="str">
        <f>IF(A1732="","",ROUND(Y1732+O1732+Z1732,2))</f>
        <v/>
      </c>
      <c r="R1732" s="79" t="str">
        <f>IF(A1732="","",IF(S1732=0,"Date manquante ou invalide",IF(C1732="","Équipement manquant",IF(ISNA(MATCH(C1732,eq_code,0)),"Équipement inconnu",IF(E1732="","Type manquant",IF(AND(E1732&lt;&gt;"Préventif",E1732&lt;&gt;"Correctif",E1732&lt;&gt;"Amélioratif"),"Type inconnu",IF(I1732="","Statut manquant",IF(AND(I1732&lt;&gt;"Terminée",I1732&lt;&gt;"En cours",I1732&lt;&gt;"À faire",I1732&lt;&gt;"Annulée"),"Statut inconnu",IF(AND(E1732="Préventif",F1732=""),"Plan manquant (préventif)",IF(AND(F1732&lt;&gt;"",ISNA(MATCH(F1732,pl_num,0))),"Plan inconnu",IF(AND(F1732&lt;&gt;"",IFERROR(INDEX(pl_eq,MATCH(F1732,pl_num,0))&amp;"",C1732)&lt;&gt;C1732),"Plan d'un autre équipement",IF(AND(J1732&lt;&gt;"",OR(NOT(ISNUMBER(J1732)),N(J1732)&lt;0)),"Compteur invalide",IF(OR(AND(K1732&lt;&gt;"",OR(NOT(ISNUMBER(K1732)),N(K1732)&lt;0)),AND(L1732&lt;&gt;"",OR(NOT(ISNUMBER(L1732)),N(L1732)&lt;0))),"Durée invalide",IF(OR(AND(N1732&lt;&gt;"",OR(NOT(ISNUMBER(N1732)),N(N1732)&lt;0)),AND(P1732&lt;&gt;"",OR(NOT(ISNUMBER(P1732)),N(P1732)&lt;0))),"Coût invalide",IF(AND(M1732&lt;&gt;"",ISNA(MATCH(M1732,tech_name,0))),"Technicien inconnu",IF(AND(I1732="Terminée",S1732&gt;p_today),"Terminée à une date future",IF(AND(I1732="Terminée",V1732=0),"Durée d'intervention manquante",IF(AND(I1732="Terminée",E1732="Préventif",T1732=0,OR(IFERROR(INDEX(pl_trig,MATCH(F1732,pl_num,0))&amp;"","")="Compteur",IFERROR(INDEX(pl_trig,MATCH(F1732,pl_num,0))&amp;"","")="Au premier des deux")),"Compteur manquant (plan au compteur)","OK"))))))))))))))))))</f>
        <v/>
      </c>
      <c r="S1732" s="67">
        <f>IF(AND(ISNUMBER(B1732),N(B1732)&gt;0),INT(B1732),0)</f>
        <v>0.0</v>
      </c>
      <c r="T1732" s="67">
        <f>IF(AND(ISNUMBER(J1732),N(J1732)&gt;=0),N(J1732),0)</f>
        <v>0.0</v>
      </c>
      <c r="U1732" s="67">
        <f>IF(AND(ISNUMBER(K1732),N(K1732)&gt;0),N(K1732),0)</f>
        <v>0.0</v>
      </c>
      <c r="V1732" s="67">
        <f>IF(AND(ISNUMBER(L1732),N(L1732)&gt;0),N(L1732),0)</f>
        <v>0.0</v>
      </c>
      <c r="W1732" s="67">
        <f>IF(AND(I1732="Terminée",S1732&gt;0,C1732&lt;&gt;"",ISNUMBER(MATCH(C1732,eq_code,0))),1,0)</f>
        <v>0.0</v>
      </c>
      <c r="X1732" s="67">
        <f>IF(AND(W1732=1,E1732="Préventif"),1,0)</f>
        <v>0.0</v>
      </c>
      <c r="Y1732" s="67">
        <f>IF(AND(ISNUMBER(N1732),N(N1732)&gt;0),N(N1732),0)</f>
        <v>0.0</v>
      </c>
      <c r="Z1732" s="67">
        <f>IF(AND(ISNUMBER(P1732),N(P1732)&gt;0),N(P1732),0)</f>
        <v>0.0</v>
      </c>
    </row>
    <row r="1733">
      <c r="A1733" s="79" t="str">
        <f>IF(COUNTA(B1733:C1733,E1733:G1733,I1733)=0,"","BI-"&amp;RIGHT("0000"&amp;(ROW()-5),4))</f>
        <v/>
      </c>
      <c r="B1733" s="72" t="n"/>
      <c r="C1733" s="66" t="n"/>
      <c r="D1733" s="67" t="str">
        <f>IF(C1733="","",IFERROR(INDEX(eq_des,MATCH(C1733,eq_code,0))&amp;"","Équipement inconnu"))</f>
        <v/>
      </c>
      <c r="E1733" s="68" t="n"/>
      <c r="F1733" s="68" t="n"/>
      <c r="G1733" s="66" t="n"/>
      <c r="H1733" s="66" t="n"/>
      <c r="I1733" s="68" t="n"/>
      <c r="J1733" s="73" t="n"/>
      <c r="K1733" s="71" t="n"/>
      <c r="L1733" s="71" t="n"/>
      <c r="M1733" s="66" t="n"/>
      <c r="N1733" s="80" t="n"/>
      <c r="O1733" s="81" t="str">
        <f>IF(A1733="","",ROUND(V1733*IFERROR(N(INDEX(tech_rate,MATCH(M1733,tech_name,0))),0),2))</f>
        <v/>
      </c>
      <c r="P1733" s="80" t="n"/>
      <c r="Q1733" s="81" t="str">
        <f>IF(A1733="","",ROUND(Y1733+O1733+Z1733,2))</f>
        <v/>
      </c>
      <c r="R1733" s="79" t="str">
        <f>IF(A1733="","",IF(S1733=0,"Date manquante ou invalide",IF(C1733="","Équipement manquant",IF(ISNA(MATCH(C1733,eq_code,0)),"Équipement inconnu",IF(E1733="","Type manquant",IF(AND(E1733&lt;&gt;"Préventif",E1733&lt;&gt;"Correctif",E1733&lt;&gt;"Amélioratif"),"Type inconnu",IF(I1733="","Statut manquant",IF(AND(I1733&lt;&gt;"Terminée",I1733&lt;&gt;"En cours",I1733&lt;&gt;"À faire",I1733&lt;&gt;"Annulée"),"Statut inconnu",IF(AND(E1733="Préventif",F1733=""),"Plan manquant (préventif)",IF(AND(F1733&lt;&gt;"",ISNA(MATCH(F1733,pl_num,0))),"Plan inconnu",IF(AND(F1733&lt;&gt;"",IFERROR(INDEX(pl_eq,MATCH(F1733,pl_num,0))&amp;"",C1733)&lt;&gt;C1733),"Plan d'un autre équipement",IF(AND(J1733&lt;&gt;"",OR(NOT(ISNUMBER(J1733)),N(J1733)&lt;0)),"Compteur invalide",IF(OR(AND(K1733&lt;&gt;"",OR(NOT(ISNUMBER(K1733)),N(K1733)&lt;0)),AND(L1733&lt;&gt;"",OR(NOT(ISNUMBER(L1733)),N(L1733)&lt;0))),"Durée invalide",IF(OR(AND(N1733&lt;&gt;"",OR(NOT(ISNUMBER(N1733)),N(N1733)&lt;0)),AND(P1733&lt;&gt;"",OR(NOT(ISNUMBER(P1733)),N(P1733)&lt;0))),"Coût invalide",IF(AND(M1733&lt;&gt;"",ISNA(MATCH(M1733,tech_name,0))),"Technicien inconnu",IF(AND(I1733="Terminée",S1733&gt;p_today),"Terminée à une date future",IF(AND(I1733="Terminée",V1733=0),"Durée d'intervention manquante",IF(AND(I1733="Terminée",E1733="Préventif",T1733=0,OR(IFERROR(INDEX(pl_trig,MATCH(F1733,pl_num,0))&amp;"","")="Compteur",IFERROR(INDEX(pl_trig,MATCH(F1733,pl_num,0))&amp;"","")="Au premier des deux")),"Compteur manquant (plan au compteur)","OK"))))))))))))))))))</f>
        <v/>
      </c>
      <c r="S1733" s="67">
        <f>IF(AND(ISNUMBER(B1733),N(B1733)&gt;0),INT(B1733),0)</f>
        <v>0.0</v>
      </c>
      <c r="T1733" s="67">
        <f>IF(AND(ISNUMBER(J1733),N(J1733)&gt;=0),N(J1733),0)</f>
        <v>0.0</v>
      </c>
      <c r="U1733" s="67">
        <f>IF(AND(ISNUMBER(K1733),N(K1733)&gt;0),N(K1733),0)</f>
        <v>0.0</v>
      </c>
      <c r="V1733" s="67">
        <f>IF(AND(ISNUMBER(L1733),N(L1733)&gt;0),N(L1733),0)</f>
        <v>0.0</v>
      </c>
      <c r="W1733" s="67">
        <f>IF(AND(I1733="Terminée",S1733&gt;0,C1733&lt;&gt;"",ISNUMBER(MATCH(C1733,eq_code,0))),1,0)</f>
        <v>0.0</v>
      </c>
      <c r="X1733" s="67">
        <f>IF(AND(W1733=1,E1733="Préventif"),1,0)</f>
        <v>0.0</v>
      </c>
      <c r="Y1733" s="67">
        <f>IF(AND(ISNUMBER(N1733),N(N1733)&gt;0),N(N1733),0)</f>
        <v>0.0</v>
      </c>
      <c r="Z1733" s="67">
        <f>IF(AND(ISNUMBER(P1733),N(P1733)&gt;0),N(P1733),0)</f>
        <v>0.0</v>
      </c>
    </row>
    <row r="1734">
      <c r="A1734" s="79" t="str">
        <f>IF(COUNTA(B1734:C1734,E1734:G1734,I1734)=0,"","BI-"&amp;RIGHT("0000"&amp;(ROW()-5),4))</f>
        <v/>
      </c>
      <c r="B1734" s="72" t="n"/>
      <c r="C1734" s="66" t="n"/>
      <c r="D1734" s="67" t="str">
        <f>IF(C1734="","",IFERROR(INDEX(eq_des,MATCH(C1734,eq_code,0))&amp;"","Équipement inconnu"))</f>
        <v/>
      </c>
      <c r="E1734" s="68" t="n"/>
      <c r="F1734" s="68" t="n"/>
      <c r="G1734" s="66" t="n"/>
      <c r="H1734" s="66" t="n"/>
      <c r="I1734" s="68" t="n"/>
      <c r="J1734" s="73" t="n"/>
      <c r="K1734" s="71" t="n"/>
      <c r="L1734" s="71" t="n"/>
      <c r="M1734" s="66" t="n"/>
      <c r="N1734" s="80" t="n"/>
      <c r="O1734" s="81" t="str">
        <f>IF(A1734="","",ROUND(V1734*IFERROR(N(INDEX(tech_rate,MATCH(M1734,tech_name,0))),0),2))</f>
        <v/>
      </c>
      <c r="P1734" s="80" t="n"/>
      <c r="Q1734" s="81" t="str">
        <f>IF(A1734="","",ROUND(Y1734+O1734+Z1734,2))</f>
        <v/>
      </c>
      <c r="R1734" s="79" t="str">
        <f>IF(A1734="","",IF(S1734=0,"Date manquante ou invalide",IF(C1734="","Équipement manquant",IF(ISNA(MATCH(C1734,eq_code,0)),"Équipement inconnu",IF(E1734="","Type manquant",IF(AND(E1734&lt;&gt;"Préventif",E1734&lt;&gt;"Correctif",E1734&lt;&gt;"Amélioratif"),"Type inconnu",IF(I1734="","Statut manquant",IF(AND(I1734&lt;&gt;"Terminée",I1734&lt;&gt;"En cours",I1734&lt;&gt;"À faire",I1734&lt;&gt;"Annulée"),"Statut inconnu",IF(AND(E1734="Préventif",F1734=""),"Plan manquant (préventif)",IF(AND(F1734&lt;&gt;"",ISNA(MATCH(F1734,pl_num,0))),"Plan inconnu",IF(AND(F1734&lt;&gt;"",IFERROR(INDEX(pl_eq,MATCH(F1734,pl_num,0))&amp;"",C1734)&lt;&gt;C1734),"Plan d'un autre équipement",IF(AND(J1734&lt;&gt;"",OR(NOT(ISNUMBER(J1734)),N(J1734)&lt;0)),"Compteur invalide",IF(OR(AND(K1734&lt;&gt;"",OR(NOT(ISNUMBER(K1734)),N(K1734)&lt;0)),AND(L1734&lt;&gt;"",OR(NOT(ISNUMBER(L1734)),N(L1734)&lt;0))),"Durée invalide",IF(OR(AND(N1734&lt;&gt;"",OR(NOT(ISNUMBER(N1734)),N(N1734)&lt;0)),AND(P1734&lt;&gt;"",OR(NOT(ISNUMBER(P1734)),N(P1734)&lt;0))),"Coût invalide",IF(AND(M1734&lt;&gt;"",ISNA(MATCH(M1734,tech_name,0))),"Technicien inconnu",IF(AND(I1734="Terminée",S1734&gt;p_today),"Terminée à une date future",IF(AND(I1734="Terminée",V1734=0),"Durée d'intervention manquante",IF(AND(I1734="Terminée",E1734="Préventif",T1734=0,OR(IFERROR(INDEX(pl_trig,MATCH(F1734,pl_num,0))&amp;"","")="Compteur",IFERROR(INDEX(pl_trig,MATCH(F1734,pl_num,0))&amp;"","")="Au premier des deux")),"Compteur manquant (plan au compteur)","OK"))))))))))))))))))</f>
        <v/>
      </c>
      <c r="S1734" s="67">
        <f>IF(AND(ISNUMBER(B1734),N(B1734)&gt;0),INT(B1734),0)</f>
        <v>0.0</v>
      </c>
      <c r="T1734" s="67">
        <f>IF(AND(ISNUMBER(J1734),N(J1734)&gt;=0),N(J1734),0)</f>
        <v>0.0</v>
      </c>
      <c r="U1734" s="67">
        <f>IF(AND(ISNUMBER(K1734),N(K1734)&gt;0),N(K1734),0)</f>
        <v>0.0</v>
      </c>
      <c r="V1734" s="67">
        <f>IF(AND(ISNUMBER(L1734),N(L1734)&gt;0),N(L1734),0)</f>
        <v>0.0</v>
      </c>
      <c r="W1734" s="67">
        <f>IF(AND(I1734="Terminée",S1734&gt;0,C1734&lt;&gt;"",ISNUMBER(MATCH(C1734,eq_code,0))),1,0)</f>
        <v>0.0</v>
      </c>
      <c r="X1734" s="67">
        <f>IF(AND(W1734=1,E1734="Préventif"),1,0)</f>
        <v>0.0</v>
      </c>
      <c r="Y1734" s="67">
        <f>IF(AND(ISNUMBER(N1734),N(N1734)&gt;0),N(N1734),0)</f>
        <v>0.0</v>
      </c>
      <c r="Z1734" s="67">
        <f>IF(AND(ISNUMBER(P1734),N(P1734)&gt;0),N(P1734),0)</f>
        <v>0.0</v>
      </c>
    </row>
    <row r="1735">
      <c r="A1735" s="79" t="str">
        <f>IF(COUNTA(B1735:C1735,E1735:G1735,I1735)=0,"","BI-"&amp;RIGHT("0000"&amp;(ROW()-5),4))</f>
        <v/>
      </c>
      <c r="B1735" s="72" t="n"/>
      <c r="C1735" s="66" t="n"/>
      <c r="D1735" s="67" t="str">
        <f>IF(C1735="","",IFERROR(INDEX(eq_des,MATCH(C1735,eq_code,0))&amp;"","Équipement inconnu"))</f>
        <v/>
      </c>
      <c r="E1735" s="68" t="n"/>
      <c r="F1735" s="68" t="n"/>
      <c r="G1735" s="66" t="n"/>
      <c r="H1735" s="66" t="n"/>
      <c r="I1735" s="68" t="n"/>
      <c r="J1735" s="73" t="n"/>
      <c r="K1735" s="71" t="n"/>
      <c r="L1735" s="71" t="n"/>
      <c r="M1735" s="66" t="n"/>
      <c r="N1735" s="80" t="n"/>
      <c r="O1735" s="81" t="str">
        <f>IF(A1735="","",ROUND(V1735*IFERROR(N(INDEX(tech_rate,MATCH(M1735,tech_name,0))),0),2))</f>
        <v/>
      </c>
      <c r="P1735" s="80" t="n"/>
      <c r="Q1735" s="81" t="str">
        <f>IF(A1735="","",ROUND(Y1735+O1735+Z1735,2))</f>
        <v/>
      </c>
      <c r="R1735" s="79" t="str">
        <f>IF(A1735="","",IF(S1735=0,"Date manquante ou invalide",IF(C1735="","Équipement manquant",IF(ISNA(MATCH(C1735,eq_code,0)),"Équipement inconnu",IF(E1735="","Type manquant",IF(AND(E1735&lt;&gt;"Préventif",E1735&lt;&gt;"Correctif",E1735&lt;&gt;"Amélioratif"),"Type inconnu",IF(I1735="","Statut manquant",IF(AND(I1735&lt;&gt;"Terminée",I1735&lt;&gt;"En cours",I1735&lt;&gt;"À faire",I1735&lt;&gt;"Annulée"),"Statut inconnu",IF(AND(E1735="Préventif",F1735=""),"Plan manquant (préventif)",IF(AND(F1735&lt;&gt;"",ISNA(MATCH(F1735,pl_num,0))),"Plan inconnu",IF(AND(F1735&lt;&gt;"",IFERROR(INDEX(pl_eq,MATCH(F1735,pl_num,0))&amp;"",C1735)&lt;&gt;C1735),"Plan d'un autre équipement",IF(AND(J1735&lt;&gt;"",OR(NOT(ISNUMBER(J1735)),N(J1735)&lt;0)),"Compteur invalide",IF(OR(AND(K1735&lt;&gt;"",OR(NOT(ISNUMBER(K1735)),N(K1735)&lt;0)),AND(L1735&lt;&gt;"",OR(NOT(ISNUMBER(L1735)),N(L1735)&lt;0))),"Durée invalide",IF(OR(AND(N1735&lt;&gt;"",OR(NOT(ISNUMBER(N1735)),N(N1735)&lt;0)),AND(P1735&lt;&gt;"",OR(NOT(ISNUMBER(P1735)),N(P1735)&lt;0))),"Coût invalide",IF(AND(M1735&lt;&gt;"",ISNA(MATCH(M1735,tech_name,0))),"Technicien inconnu",IF(AND(I1735="Terminée",S1735&gt;p_today),"Terminée à une date future",IF(AND(I1735="Terminée",V1735=0),"Durée d'intervention manquante",IF(AND(I1735="Terminée",E1735="Préventif",T1735=0,OR(IFERROR(INDEX(pl_trig,MATCH(F1735,pl_num,0))&amp;"","")="Compteur",IFERROR(INDEX(pl_trig,MATCH(F1735,pl_num,0))&amp;"","")="Au premier des deux")),"Compteur manquant (plan au compteur)","OK"))))))))))))))))))</f>
        <v/>
      </c>
      <c r="S1735" s="67">
        <f>IF(AND(ISNUMBER(B1735),N(B1735)&gt;0),INT(B1735),0)</f>
        <v>0.0</v>
      </c>
      <c r="T1735" s="67">
        <f>IF(AND(ISNUMBER(J1735),N(J1735)&gt;=0),N(J1735),0)</f>
        <v>0.0</v>
      </c>
      <c r="U1735" s="67">
        <f>IF(AND(ISNUMBER(K1735),N(K1735)&gt;0),N(K1735),0)</f>
        <v>0.0</v>
      </c>
      <c r="V1735" s="67">
        <f>IF(AND(ISNUMBER(L1735),N(L1735)&gt;0),N(L1735),0)</f>
        <v>0.0</v>
      </c>
      <c r="W1735" s="67">
        <f>IF(AND(I1735="Terminée",S1735&gt;0,C1735&lt;&gt;"",ISNUMBER(MATCH(C1735,eq_code,0))),1,0)</f>
        <v>0.0</v>
      </c>
      <c r="X1735" s="67">
        <f>IF(AND(W1735=1,E1735="Préventif"),1,0)</f>
        <v>0.0</v>
      </c>
      <c r="Y1735" s="67">
        <f>IF(AND(ISNUMBER(N1735),N(N1735)&gt;0),N(N1735),0)</f>
        <v>0.0</v>
      </c>
      <c r="Z1735" s="67">
        <f>IF(AND(ISNUMBER(P1735),N(P1735)&gt;0),N(P1735),0)</f>
        <v>0.0</v>
      </c>
    </row>
    <row r="1736">
      <c r="A1736" s="79" t="str">
        <f>IF(COUNTA(B1736:C1736,E1736:G1736,I1736)=0,"","BI-"&amp;RIGHT("0000"&amp;(ROW()-5),4))</f>
        <v/>
      </c>
      <c r="B1736" s="72" t="n"/>
      <c r="C1736" s="66" t="n"/>
      <c r="D1736" s="67" t="str">
        <f>IF(C1736="","",IFERROR(INDEX(eq_des,MATCH(C1736,eq_code,0))&amp;"","Équipement inconnu"))</f>
        <v/>
      </c>
      <c r="E1736" s="68" t="n"/>
      <c r="F1736" s="68" t="n"/>
      <c r="G1736" s="66" t="n"/>
      <c r="H1736" s="66" t="n"/>
      <c r="I1736" s="68" t="n"/>
      <c r="J1736" s="73" t="n"/>
      <c r="K1736" s="71" t="n"/>
      <c r="L1736" s="71" t="n"/>
      <c r="M1736" s="66" t="n"/>
      <c r="N1736" s="80" t="n"/>
      <c r="O1736" s="81" t="str">
        <f>IF(A1736="","",ROUND(V1736*IFERROR(N(INDEX(tech_rate,MATCH(M1736,tech_name,0))),0),2))</f>
        <v/>
      </c>
      <c r="P1736" s="80" t="n"/>
      <c r="Q1736" s="81" t="str">
        <f>IF(A1736="","",ROUND(Y1736+O1736+Z1736,2))</f>
        <v/>
      </c>
      <c r="R1736" s="79" t="str">
        <f>IF(A1736="","",IF(S1736=0,"Date manquante ou invalide",IF(C1736="","Équipement manquant",IF(ISNA(MATCH(C1736,eq_code,0)),"Équipement inconnu",IF(E1736="","Type manquant",IF(AND(E1736&lt;&gt;"Préventif",E1736&lt;&gt;"Correctif",E1736&lt;&gt;"Amélioratif"),"Type inconnu",IF(I1736="","Statut manquant",IF(AND(I1736&lt;&gt;"Terminée",I1736&lt;&gt;"En cours",I1736&lt;&gt;"À faire",I1736&lt;&gt;"Annulée"),"Statut inconnu",IF(AND(E1736="Préventif",F1736=""),"Plan manquant (préventif)",IF(AND(F1736&lt;&gt;"",ISNA(MATCH(F1736,pl_num,0))),"Plan inconnu",IF(AND(F1736&lt;&gt;"",IFERROR(INDEX(pl_eq,MATCH(F1736,pl_num,0))&amp;"",C1736)&lt;&gt;C1736),"Plan d'un autre équipement",IF(AND(J1736&lt;&gt;"",OR(NOT(ISNUMBER(J1736)),N(J1736)&lt;0)),"Compteur invalide",IF(OR(AND(K1736&lt;&gt;"",OR(NOT(ISNUMBER(K1736)),N(K1736)&lt;0)),AND(L1736&lt;&gt;"",OR(NOT(ISNUMBER(L1736)),N(L1736)&lt;0))),"Durée invalide",IF(OR(AND(N1736&lt;&gt;"",OR(NOT(ISNUMBER(N1736)),N(N1736)&lt;0)),AND(P1736&lt;&gt;"",OR(NOT(ISNUMBER(P1736)),N(P1736)&lt;0))),"Coût invalide",IF(AND(M1736&lt;&gt;"",ISNA(MATCH(M1736,tech_name,0))),"Technicien inconnu",IF(AND(I1736="Terminée",S1736&gt;p_today),"Terminée à une date future",IF(AND(I1736="Terminée",V1736=0),"Durée d'intervention manquante",IF(AND(I1736="Terminée",E1736="Préventif",T1736=0,OR(IFERROR(INDEX(pl_trig,MATCH(F1736,pl_num,0))&amp;"","")="Compteur",IFERROR(INDEX(pl_trig,MATCH(F1736,pl_num,0))&amp;"","")="Au premier des deux")),"Compteur manquant (plan au compteur)","OK"))))))))))))))))))</f>
        <v/>
      </c>
      <c r="S1736" s="67">
        <f>IF(AND(ISNUMBER(B1736),N(B1736)&gt;0),INT(B1736),0)</f>
        <v>0.0</v>
      </c>
      <c r="T1736" s="67">
        <f>IF(AND(ISNUMBER(J1736),N(J1736)&gt;=0),N(J1736),0)</f>
        <v>0.0</v>
      </c>
      <c r="U1736" s="67">
        <f>IF(AND(ISNUMBER(K1736),N(K1736)&gt;0),N(K1736),0)</f>
        <v>0.0</v>
      </c>
      <c r="V1736" s="67">
        <f>IF(AND(ISNUMBER(L1736),N(L1736)&gt;0),N(L1736),0)</f>
        <v>0.0</v>
      </c>
      <c r="W1736" s="67">
        <f>IF(AND(I1736="Terminée",S1736&gt;0,C1736&lt;&gt;"",ISNUMBER(MATCH(C1736,eq_code,0))),1,0)</f>
        <v>0.0</v>
      </c>
      <c r="X1736" s="67">
        <f>IF(AND(W1736=1,E1736="Préventif"),1,0)</f>
        <v>0.0</v>
      </c>
      <c r="Y1736" s="67">
        <f>IF(AND(ISNUMBER(N1736),N(N1736)&gt;0),N(N1736),0)</f>
        <v>0.0</v>
      </c>
      <c r="Z1736" s="67">
        <f>IF(AND(ISNUMBER(P1736),N(P1736)&gt;0),N(P1736),0)</f>
        <v>0.0</v>
      </c>
    </row>
    <row r="1737">
      <c r="A1737" s="79" t="str">
        <f>IF(COUNTA(B1737:C1737,E1737:G1737,I1737)=0,"","BI-"&amp;RIGHT("0000"&amp;(ROW()-5),4))</f>
        <v/>
      </c>
      <c r="B1737" s="72" t="n"/>
      <c r="C1737" s="66" t="n"/>
      <c r="D1737" s="67" t="str">
        <f>IF(C1737="","",IFERROR(INDEX(eq_des,MATCH(C1737,eq_code,0))&amp;"","Équipement inconnu"))</f>
        <v/>
      </c>
      <c r="E1737" s="68" t="n"/>
      <c r="F1737" s="68" t="n"/>
      <c r="G1737" s="66" t="n"/>
      <c r="H1737" s="66" t="n"/>
      <c r="I1737" s="68" t="n"/>
      <c r="J1737" s="73" t="n"/>
      <c r="K1737" s="71" t="n"/>
      <c r="L1737" s="71" t="n"/>
      <c r="M1737" s="66" t="n"/>
      <c r="N1737" s="80" t="n"/>
      <c r="O1737" s="81" t="str">
        <f>IF(A1737="","",ROUND(V1737*IFERROR(N(INDEX(tech_rate,MATCH(M1737,tech_name,0))),0),2))</f>
        <v/>
      </c>
      <c r="P1737" s="80" t="n"/>
      <c r="Q1737" s="81" t="str">
        <f>IF(A1737="","",ROUND(Y1737+O1737+Z1737,2))</f>
        <v/>
      </c>
      <c r="R1737" s="79" t="str">
        <f>IF(A1737="","",IF(S1737=0,"Date manquante ou invalide",IF(C1737="","Équipement manquant",IF(ISNA(MATCH(C1737,eq_code,0)),"Équipement inconnu",IF(E1737="","Type manquant",IF(AND(E1737&lt;&gt;"Préventif",E1737&lt;&gt;"Correctif",E1737&lt;&gt;"Amélioratif"),"Type inconnu",IF(I1737="","Statut manquant",IF(AND(I1737&lt;&gt;"Terminée",I1737&lt;&gt;"En cours",I1737&lt;&gt;"À faire",I1737&lt;&gt;"Annulée"),"Statut inconnu",IF(AND(E1737="Préventif",F1737=""),"Plan manquant (préventif)",IF(AND(F1737&lt;&gt;"",ISNA(MATCH(F1737,pl_num,0))),"Plan inconnu",IF(AND(F1737&lt;&gt;"",IFERROR(INDEX(pl_eq,MATCH(F1737,pl_num,0))&amp;"",C1737)&lt;&gt;C1737),"Plan d'un autre équipement",IF(AND(J1737&lt;&gt;"",OR(NOT(ISNUMBER(J1737)),N(J1737)&lt;0)),"Compteur invalide",IF(OR(AND(K1737&lt;&gt;"",OR(NOT(ISNUMBER(K1737)),N(K1737)&lt;0)),AND(L1737&lt;&gt;"",OR(NOT(ISNUMBER(L1737)),N(L1737)&lt;0))),"Durée invalide",IF(OR(AND(N1737&lt;&gt;"",OR(NOT(ISNUMBER(N1737)),N(N1737)&lt;0)),AND(P1737&lt;&gt;"",OR(NOT(ISNUMBER(P1737)),N(P1737)&lt;0))),"Coût invalide",IF(AND(M1737&lt;&gt;"",ISNA(MATCH(M1737,tech_name,0))),"Technicien inconnu",IF(AND(I1737="Terminée",S1737&gt;p_today),"Terminée à une date future",IF(AND(I1737="Terminée",V1737=0),"Durée d'intervention manquante",IF(AND(I1737="Terminée",E1737="Préventif",T1737=0,OR(IFERROR(INDEX(pl_trig,MATCH(F1737,pl_num,0))&amp;"","")="Compteur",IFERROR(INDEX(pl_trig,MATCH(F1737,pl_num,0))&amp;"","")="Au premier des deux")),"Compteur manquant (plan au compteur)","OK"))))))))))))))))))</f>
        <v/>
      </c>
      <c r="S1737" s="67">
        <f>IF(AND(ISNUMBER(B1737),N(B1737)&gt;0),INT(B1737),0)</f>
        <v>0.0</v>
      </c>
      <c r="T1737" s="67">
        <f>IF(AND(ISNUMBER(J1737),N(J1737)&gt;=0),N(J1737),0)</f>
        <v>0.0</v>
      </c>
      <c r="U1737" s="67">
        <f>IF(AND(ISNUMBER(K1737),N(K1737)&gt;0),N(K1737),0)</f>
        <v>0.0</v>
      </c>
      <c r="V1737" s="67">
        <f>IF(AND(ISNUMBER(L1737),N(L1737)&gt;0),N(L1737),0)</f>
        <v>0.0</v>
      </c>
      <c r="W1737" s="67">
        <f>IF(AND(I1737="Terminée",S1737&gt;0,C1737&lt;&gt;"",ISNUMBER(MATCH(C1737,eq_code,0))),1,0)</f>
        <v>0.0</v>
      </c>
      <c r="X1737" s="67">
        <f>IF(AND(W1737=1,E1737="Préventif"),1,0)</f>
        <v>0.0</v>
      </c>
      <c r="Y1737" s="67">
        <f>IF(AND(ISNUMBER(N1737),N(N1737)&gt;0),N(N1737),0)</f>
        <v>0.0</v>
      </c>
      <c r="Z1737" s="67">
        <f>IF(AND(ISNUMBER(P1737),N(P1737)&gt;0),N(P1737),0)</f>
        <v>0.0</v>
      </c>
    </row>
    <row r="1738">
      <c r="A1738" s="79" t="str">
        <f>IF(COUNTA(B1738:C1738,E1738:G1738,I1738)=0,"","BI-"&amp;RIGHT("0000"&amp;(ROW()-5),4))</f>
        <v/>
      </c>
      <c r="B1738" s="72" t="n"/>
      <c r="C1738" s="66" t="n"/>
      <c r="D1738" s="67" t="str">
        <f>IF(C1738="","",IFERROR(INDEX(eq_des,MATCH(C1738,eq_code,0))&amp;"","Équipement inconnu"))</f>
        <v/>
      </c>
      <c r="E1738" s="68" t="n"/>
      <c r="F1738" s="68" t="n"/>
      <c r="G1738" s="66" t="n"/>
      <c r="H1738" s="66" t="n"/>
      <c r="I1738" s="68" t="n"/>
      <c r="J1738" s="73" t="n"/>
      <c r="K1738" s="71" t="n"/>
      <c r="L1738" s="71" t="n"/>
      <c r="M1738" s="66" t="n"/>
      <c r="N1738" s="80" t="n"/>
      <c r="O1738" s="81" t="str">
        <f>IF(A1738="","",ROUND(V1738*IFERROR(N(INDEX(tech_rate,MATCH(M1738,tech_name,0))),0),2))</f>
        <v/>
      </c>
      <c r="P1738" s="80" t="n"/>
      <c r="Q1738" s="81" t="str">
        <f>IF(A1738="","",ROUND(Y1738+O1738+Z1738,2))</f>
        <v/>
      </c>
      <c r="R1738" s="79" t="str">
        <f>IF(A1738="","",IF(S1738=0,"Date manquante ou invalide",IF(C1738="","Équipement manquant",IF(ISNA(MATCH(C1738,eq_code,0)),"Équipement inconnu",IF(E1738="","Type manquant",IF(AND(E1738&lt;&gt;"Préventif",E1738&lt;&gt;"Correctif",E1738&lt;&gt;"Amélioratif"),"Type inconnu",IF(I1738="","Statut manquant",IF(AND(I1738&lt;&gt;"Terminée",I1738&lt;&gt;"En cours",I1738&lt;&gt;"À faire",I1738&lt;&gt;"Annulée"),"Statut inconnu",IF(AND(E1738="Préventif",F1738=""),"Plan manquant (préventif)",IF(AND(F1738&lt;&gt;"",ISNA(MATCH(F1738,pl_num,0))),"Plan inconnu",IF(AND(F1738&lt;&gt;"",IFERROR(INDEX(pl_eq,MATCH(F1738,pl_num,0))&amp;"",C1738)&lt;&gt;C1738),"Plan d'un autre équipement",IF(AND(J1738&lt;&gt;"",OR(NOT(ISNUMBER(J1738)),N(J1738)&lt;0)),"Compteur invalide",IF(OR(AND(K1738&lt;&gt;"",OR(NOT(ISNUMBER(K1738)),N(K1738)&lt;0)),AND(L1738&lt;&gt;"",OR(NOT(ISNUMBER(L1738)),N(L1738)&lt;0))),"Durée invalide",IF(OR(AND(N1738&lt;&gt;"",OR(NOT(ISNUMBER(N1738)),N(N1738)&lt;0)),AND(P1738&lt;&gt;"",OR(NOT(ISNUMBER(P1738)),N(P1738)&lt;0))),"Coût invalide",IF(AND(M1738&lt;&gt;"",ISNA(MATCH(M1738,tech_name,0))),"Technicien inconnu",IF(AND(I1738="Terminée",S1738&gt;p_today),"Terminée à une date future",IF(AND(I1738="Terminée",V1738=0),"Durée d'intervention manquante",IF(AND(I1738="Terminée",E1738="Préventif",T1738=0,OR(IFERROR(INDEX(pl_trig,MATCH(F1738,pl_num,0))&amp;"","")="Compteur",IFERROR(INDEX(pl_trig,MATCH(F1738,pl_num,0))&amp;"","")="Au premier des deux")),"Compteur manquant (plan au compteur)","OK"))))))))))))))))))</f>
        <v/>
      </c>
      <c r="S1738" s="67">
        <f>IF(AND(ISNUMBER(B1738),N(B1738)&gt;0),INT(B1738),0)</f>
        <v>0.0</v>
      </c>
      <c r="T1738" s="67">
        <f>IF(AND(ISNUMBER(J1738),N(J1738)&gt;=0),N(J1738),0)</f>
        <v>0.0</v>
      </c>
      <c r="U1738" s="67">
        <f>IF(AND(ISNUMBER(K1738),N(K1738)&gt;0),N(K1738),0)</f>
        <v>0.0</v>
      </c>
      <c r="V1738" s="67">
        <f>IF(AND(ISNUMBER(L1738),N(L1738)&gt;0),N(L1738),0)</f>
        <v>0.0</v>
      </c>
      <c r="W1738" s="67">
        <f>IF(AND(I1738="Terminée",S1738&gt;0,C1738&lt;&gt;"",ISNUMBER(MATCH(C1738,eq_code,0))),1,0)</f>
        <v>0.0</v>
      </c>
      <c r="X1738" s="67">
        <f>IF(AND(W1738=1,E1738="Préventif"),1,0)</f>
        <v>0.0</v>
      </c>
      <c r="Y1738" s="67">
        <f>IF(AND(ISNUMBER(N1738),N(N1738)&gt;0),N(N1738),0)</f>
        <v>0.0</v>
      </c>
      <c r="Z1738" s="67">
        <f>IF(AND(ISNUMBER(P1738),N(P1738)&gt;0),N(P1738),0)</f>
        <v>0.0</v>
      </c>
    </row>
    <row r="1739">
      <c r="A1739" s="79" t="str">
        <f>IF(COUNTA(B1739:C1739,E1739:G1739,I1739)=0,"","BI-"&amp;RIGHT("0000"&amp;(ROW()-5),4))</f>
        <v/>
      </c>
      <c r="B1739" s="72" t="n"/>
      <c r="C1739" s="66" t="n"/>
      <c r="D1739" s="67" t="str">
        <f>IF(C1739="","",IFERROR(INDEX(eq_des,MATCH(C1739,eq_code,0))&amp;"","Équipement inconnu"))</f>
        <v/>
      </c>
      <c r="E1739" s="68" t="n"/>
      <c r="F1739" s="68" t="n"/>
      <c r="G1739" s="66" t="n"/>
      <c r="H1739" s="66" t="n"/>
      <c r="I1739" s="68" t="n"/>
      <c r="J1739" s="73" t="n"/>
      <c r="K1739" s="71" t="n"/>
      <c r="L1739" s="71" t="n"/>
      <c r="M1739" s="66" t="n"/>
      <c r="N1739" s="80" t="n"/>
      <c r="O1739" s="81" t="str">
        <f>IF(A1739="","",ROUND(V1739*IFERROR(N(INDEX(tech_rate,MATCH(M1739,tech_name,0))),0),2))</f>
        <v/>
      </c>
      <c r="P1739" s="80" t="n"/>
      <c r="Q1739" s="81" t="str">
        <f>IF(A1739="","",ROUND(Y1739+O1739+Z1739,2))</f>
        <v/>
      </c>
      <c r="R1739" s="79" t="str">
        <f>IF(A1739="","",IF(S1739=0,"Date manquante ou invalide",IF(C1739="","Équipement manquant",IF(ISNA(MATCH(C1739,eq_code,0)),"Équipement inconnu",IF(E1739="","Type manquant",IF(AND(E1739&lt;&gt;"Préventif",E1739&lt;&gt;"Correctif",E1739&lt;&gt;"Amélioratif"),"Type inconnu",IF(I1739="","Statut manquant",IF(AND(I1739&lt;&gt;"Terminée",I1739&lt;&gt;"En cours",I1739&lt;&gt;"À faire",I1739&lt;&gt;"Annulée"),"Statut inconnu",IF(AND(E1739="Préventif",F1739=""),"Plan manquant (préventif)",IF(AND(F1739&lt;&gt;"",ISNA(MATCH(F1739,pl_num,0))),"Plan inconnu",IF(AND(F1739&lt;&gt;"",IFERROR(INDEX(pl_eq,MATCH(F1739,pl_num,0))&amp;"",C1739)&lt;&gt;C1739),"Plan d'un autre équipement",IF(AND(J1739&lt;&gt;"",OR(NOT(ISNUMBER(J1739)),N(J1739)&lt;0)),"Compteur invalide",IF(OR(AND(K1739&lt;&gt;"",OR(NOT(ISNUMBER(K1739)),N(K1739)&lt;0)),AND(L1739&lt;&gt;"",OR(NOT(ISNUMBER(L1739)),N(L1739)&lt;0))),"Durée invalide",IF(OR(AND(N1739&lt;&gt;"",OR(NOT(ISNUMBER(N1739)),N(N1739)&lt;0)),AND(P1739&lt;&gt;"",OR(NOT(ISNUMBER(P1739)),N(P1739)&lt;0))),"Coût invalide",IF(AND(M1739&lt;&gt;"",ISNA(MATCH(M1739,tech_name,0))),"Technicien inconnu",IF(AND(I1739="Terminée",S1739&gt;p_today),"Terminée à une date future",IF(AND(I1739="Terminée",V1739=0),"Durée d'intervention manquante",IF(AND(I1739="Terminée",E1739="Préventif",T1739=0,OR(IFERROR(INDEX(pl_trig,MATCH(F1739,pl_num,0))&amp;"","")="Compteur",IFERROR(INDEX(pl_trig,MATCH(F1739,pl_num,0))&amp;"","")="Au premier des deux")),"Compteur manquant (plan au compteur)","OK"))))))))))))))))))</f>
        <v/>
      </c>
      <c r="S1739" s="67">
        <f>IF(AND(ISNUMBER(B1739),N(B1739)&gt;0),INT(B1739),0)</f>
        <v>0.0</v>
      </c>
      <c r="T1739" s="67">
        <f>IF(AND(ISNUMBER(J1739),N(J1739)&gt;=0),N(J1739),0)</f>
        <v>0.0</v>
      </c>
      <c r="U1739" s="67">
        <f>IF(AND(ISNUMBER(K1739),N(K1739)&gt;0),N(K1739),0)</f>
        <v>0.0</v>
      </c>
      <c r="V1739" s="67">
        <f>IF(AND(ISNUMBER(L1739),N(L1739)&gt;0),N(L1739),0)</f>
        <v>0.0</v>
      </c>
      <c r="W1739" s="67">
        <f>IF(AND(I1739="Terminée",S1739&gt;0,C1739&lt;&gt;"",ISNUMBER(MATCH(C1739,eq_code,0))),1,0)</f>
        <v>0.0</v>
      </c>
      <c r="X1739" s="67">
        <f>IF(AND(W1739=1,E1739="Préventif"),1,0)</f>
        <v>0.0</v>
      </c>
      <c r="Y1739" s="67">
        <f>IF(AND(ISNUMBER(N1739),N(N1739)&gt;0),N(N1739),0)</f>
        <v>0.0</v>
      </c>
      <c r="Z1739" s="67">
        <f>IF(AND(ISNUMBER(P1739),N(P1739)&gt;0),N(P1739),0)</f>
        <v>0.0</v>
      </c>
    </row>
    <row r="1740">
      <c r="A1740" s="79" t="str">
        <f>IF(COUNTA(B1740:C1740,E1740:G1740,I1740)=0,"","BI-"&amp;RIGHT("0000"&amp;(ROW()-5),4))</f>
        <v/>
      </c>
      <c r="B1740" s="72" t="n"/>
      <c r="C1740" s="66" t="n"/>
      <c r="D1740" s="67" t="str">
        <f>IF(C1740="","",IFERROR(INDEX(eq_des,MATCH(C1740,eq_code,0))&amp;"","Équipement inconnu"))</f>
        <v/>
      </c>
      <c r="E1740" s="68" t="n"/>
      <c r="F1740" s="68" t="n"/>
      <c r="G1740" s="66" t="n"/>
      <c r="H1740" s="66" t="n"/>
      <c r="I1740" s="68" t="n"/>
      <c r="J1740" s="73" t="n"/>
      <c r="K1740" s="71" t="n"/>
      <c r="L1740" s="71" t="n"/>
      <c r="M1740" s="66" t="n"/>
      <c r="N1740" s="80" t="n"/>
      <c r="O1740" s="81" t="str">
        <f>IF(A1740="","",ROUND(V1740*IFERROR(N(INDEX(tech_rate,MATCH(M1740,tech_name,0))),0),2))</f>
        <v/>
      </c>
      <c r="P1740" s="80" t="n"/>
      <c r="Q1740" s="81" t="str">
        <f>IF(A1740="","",ROUND(Y1740+O1740+Z1740,2))</f>
        <v/>
      </c>
      <c r="R1740" s="79" t="str">
        <f>IF(A1740="","",IF(S1740=0,"Date manquante ou invalide",IF(C1740="","Équipement manquant",IF(ISNA(MATCH(C1740,eq_code,0)),"Équipement inconnu",IF(E1740="","Type manquant",IF(AND(E1740&lt;&gt;"Préventif",E1740&lt;&gt;"Correctif",E1740&lt;&gt;"Amélioratif"),"Type inconnu",IF(I1740="","Statut manquant",IF(AND(I1740&lt;&gt;"Terminée",I1740&lt;&gt;"En cours",I1740&lt;&gt;"À faire",I1740&lt;&gt;"Annulée"),"Statut inconnu",IF(AND(E1740="Préventif",F1740=""),"Plan manquant (préventif)",IF(AND(F1740&lt;&gt;"",ISNA(MATCH(F1740,pl_num,0))),"Plan inconnu",IF(AND(F1740&lt;&gt;"",IFERROR(INDEX(pl_eq,MATCH(F1740,pl_num,0))&amp;"",C1740)&lt;&gt;C1740),"Plan d'un autre équipement",IF(AND(J1740&lt;&gt;"",OR(NOT(ISNUMBER(J1740)),N(J1740)&lt;0)),"Compteur invalide",IF(OR(AND(K1740&lt;&gt;"",OR(NOT(ISNUMBER(K1740)),N(K1740)&lt;0)),AND(L1740&lt;&gt;"",OR(NOT(ISNUMBER(L1740)),N(L1740)&lt;0))),"Durée invalide",IF(OR(AND(N1740&lt;&gt;"",OR(NOT(ISNUMBER(N1740)),N(N1740)&lt;0)),AND(P1740&lt;&gt;"",OR(NOT(ISNUMBER(P1740)),N(P1740)&lt;0))),"Coût invalide",IF(AND(M1740&lt;&gt;"",ISNA(MATCH(M1740,tech_name,0))),"Technicien inconnu",IF(AND(I1740="Terminée",S1740&gt;p_today),"Terminée à une date future",IF(AND(I1740="Terminée",V1740=0),"Durée d'intervention manquante",IF(AND(I1740="Terminée",E1740="Préventif",T1740=0,OR(IFERROR(INDEX(pl_trig,MATCH(F1740,pl_num,0))&amp;"","")="Compteur",IFERROR(INDEX(pl_trig,MATCH(F1740,pl_num,0))&amp;"","")="Au premier des deux")),"Compteur manquant (plan au compteur)","OK"))))))))))))))))))</f>
        <v/>
      </c>
      <c r="S1740" s="67">
        <f>IF(AND(ISNUMBER(B1740),N(B1740)&gt;0),INT(B1740),0)</f>
        <v>0.0</v>
      </c>
      <c r="T1740" s="67">
        <f>IF(AND(ISNUMBER(J1740),N(J1740)&gt;=0),N(J1740),0)</f>
        <v>0.0</v>
      </c>
      <c r="U1740" s="67">
        <f>IF(AND(ISNUMBER(K1740),N(K1740)&gt;0),N(K1740),0)</f>
        <v>0.0</v>
      </c>
      <c r="V1740" s="67">
        <f>IF(AND(ISNUMBER(L1740),N(L1740)&gt;0),N(L1740),0)</f>
        <v>0.0</v>
      </c>
      <c r="W1740" s="67">
        <f>IF(AND(I1740="Terminée",S1740&gt;0,C1740&lt;&gt;"",ISNUMBER(MATCH(C1740,eq_code,0))),1,0)</f>
        <v>0.0</v>
      </c>
      <c r="X1740" s="67">
        <f>IF(AND(W1740=1,E1740="Préventif"),1,0)</f>
        <v>0.0</v>
      </c>
      <c r="Y1740" s="67">
        <f>IF(AND(ISNUMBER(N1740),N(N1740)&gt;0),N(N1740),0)</f>
        <v>0.0</v>
      </c>
      <c r="Z1740" s="67">
        <f>IF(AND(ISNUMBER(P1740),N(P1740)&gt;0),N(P1740),0)</f>
        <v>0.0</v>
      </c>
    </row>
    <row r="1741">
      <c r="A1741" s="79" t="str">
        <f>IF(COUNTA(B1741:C1741,E1741:G1741,I1741)=0,"","BI-"&amp;RIGHT("0000"&amp;(ROW()-5),4))</f>
        <v/>
      </c>
      <c r="B1741" s="72" t="n"/>
      <c r="C1741" s="66" t="n"/>
      <c r="D1741" s="67" t="str">
        <f>IF(C1741="","",IFERROR(INDEX(eq_des,MATCH(C1741,eq_code,0))&amp;"","Équipement inconnu"))</f>
        <v/>
      </c>
      <c r="E1741" s="68" t="n"/>
      <c r="F1741" s="68" t="n"/>
      <c r="G1741" s="66" t="n"/>
      <c r="H1741" s="66" t="n"/>
      <c r="I1741" s="68" t="n"/>
      <c r="J1741" s="73" t="n"/>
      <c r="K1741" s="71" t="n"/>
      <c r="L1741" s="71" t="n"/>
      <c r="M1741" s="66" t="n"/>
      <c r="N1741" s="80" t="n"/>
      <c r="O1741" s="81" t="str">
        <f>IF(A1741="","",ROUND(V1741*IFERROR(N(INDEX(tech_rate,MATCH(M1741,tech_name,0))),0),2))</f>
        <v/>
      </c>
      <c r="P1741" s="80" t="n"/>
      <c r="Q1741" s="81" t="str">
        <f>IF(A1741="","",ROUND(Y1741+O1741+Z1741,2))</f>
        <v/>
      </c>
      <c r="R1741" s="79" t="str">
        <f>IF(A1741="","",IF(S1741=0,"Date manquante ou invalide",IF(C1741="","Équipement manquant",IF(ISNA(MATCH(C1741,eq_code,0)),"Équipement inconnu",IF(E1741="","Type manquant",IF(AND(E1741&lt;&gt;"Préventif",E1741&lt;&gt;"Correctif",E1741&lt;&gt;"Amélioratif"),"Type inconnu",IF(I1741="","Statut manquant",IF(AND(I1741&lt;&gt;"Terminée",I1741&lt;&gt;"En cours",I1741&lt;&gt;"À faire",I1741&lt;&gt;"Annulée"),"Statut inconnu",IF(AND(E1741="Préventif",F1741=""),"Plan manquant (préventif)",IF(AND(F1741&lt;&gt;"",ISNA(MATCH(F1741,pl_num,0))),"Plan inconnu",IF(AND(F1741&lt;&gt;"",IFERROR(INDEX(pl_eq,MATCH(F1741,pl_num,0))&amp;"",C1741)&lt;&gt;C1741),"Plan d'un autre équipement",IF(AND(J1741&lt;&gt;"",OR(NOT(ISNUMBER(J1741)),N(J1741)&lt;0)),"Compteur invalide",IF(OR(AND(K1741&lt;&gt;"",OR(NOT(ISNUMBER(K1741)),N(K1741)&lt;0)),AND(L1741&lt;&gt;"",OR(NOT(ISNUMBER(L1741)),N(L1741)&lt;0))),"Durée invalide",IF(OR(AND(N1741&lt;&gt;"",OR(NOT(ISNUMBER(N1741)),N(N1741)&lt;0)),AND(P1741&lt;&gt;"",OR(NOT(ISNUMBER(P1741)),N(P1741)&lt;0))),"Coût invalide",IF(AND(M1741&lt;&gt;"",ISNA(MATCH(M1741,tech_name,0))),"Technicien inconnu",IF(AND(I1741="Terminée",S1741&gt;p_today),"Terminée à une date future",IF(AND(I1741="Terminée",V1741=0),"Durée d'intervention manquante",IF(AND(I1741="Terminée",E1741="Préventif",T1741=0,OR(IFERROR(INDEX(pl_trig,MATCH(F1741,pl_num,0))&amp;"","")="Compteur",IFERROR(INDEX(pl_trig,MATCH(F1741,pl_num,0))&amp;"","")="Au premier des deux")),"Compteur manquant (plan au compteur)","OK"))))))))))))))))))</f>
        <v/>
      </c>
      <c r="S1741" s="67">
        <f>IF(AND(ISNUMBER(B1741),N(B1741)&gt;0),INT(B1741),0)</f>
        <v>0.0</v>
      </c>
      <c r="T1741" s="67">
        <f>IF(AND(ISNUMBER(J1741),N(J1741)&gt;=0),N(J1741),0)</f>
        <v>0.0</v>
      </c>
      <c r="U1741" s="67">
        <f>IF(AND(ISNUMBER(K1741),N(K1741)&gt;0),N(K1741),0)</f>
        <v>0.0</v>
      </c>
      <c r="V1741" s="67">
        <f>IF(AND(ISNUMBER(L1741),N(L1741)&gt;0),N(L1741),0)</f>
        <v>0.0</v>
      </c>
      <c r="W1741" s="67">
        <f>IF(AND(I1741="Terminée",S1741&gt;0,C1741&lt;&gt;"",ISNUMBER(MATCH(C1741,eq_code,0))),1,0)</f>
        <v>0.0</v>
      </c>
      <c r="X1741" s="67">
        <f>IF(AND(W1741=1,E1741="Préventif"),1,0)</f>
        <v>0.0</v>
      </c>
      <c r="Y1741" s="67">
        <f>IF(AND(ISNUMBER(N1741),N(N1741)&gt;0),N(N1741),0)</f>
        <v>0.0</v>
      </c>
      <c r="Z1741" s="67">
        <f>IF(AND(ISNUMBER(P1741),N(P1741)&gt;0),N(P1741),0)</f>
        <v>0.0</v>
      </c>
    </row>
    <row r="1742">
      <c r="A1742" s="79" t="str">
        <f>IF(COUNTA(B1742:C1742,E1742:G1742,I1742)=0,"","BI-"&amp;RIGHT("0000"&amp;(ROW()-5),4))</f>
        <v/>
      </c>
      <c r="B1742" s="72" t="n"/>
      <c r="C1742" s="66" t="n"/>
      <c r="D1742" s="67" t="str">
        <f>IF(C1742="","",IFERROR(INDEX(eq_des,MATCH(C1742,eq_code,0))&amp;"","Équipement inconnu"))</f>
        <v/>
      </c>
      <c r="E1742" s="68" t="n"/>
      <c r="F1742" s="68" t="n"/>
      <c r="G1742" s="66" t="n"/>
      <c r="H1742" s="66" t="n"/>
      <c r="I1742" s="68" t="n"/>
      <c r="J1742" s="73" t="n"/>
      <c r="K1742" s="71" t="n"/>
      <c r="L1742" s="71" t="n"/>
      <c r="M1742" s="66" t="n"/>
      <c r="N1742" s="80" t="n"/>
      <c r="O1742" s="81" t="str">
        <f>IF(A1742="","",ROUND(V1742*IFERROR(N(INDEX(tech_rate,MATCH(M1742,tech_name,0))),0),2))</f>
        <v/>
      </c>
      <c r="P1742" s="80" t="n"/>
      <c r="Q1742" s="81" t="str">
        <f>IF(A1742="","",ROUND(Y1742+O1742+Z1742,2))</f>
        <v/>
      </c>
      <c r="R1742" s="79" t="str">
        <f>IF(A1742="","",IF(S1742=0,"Date manquante ou invalide",IF(C1742="","Équipement manquant",IF(ISNA(MATCH(C1742,eq_code,0)),"Équipement inconnu",IF(E1742="","Type manquant",IF(AND(E1742&lt;&gt;"Préventif",E1742&lt;&gt;"Correctif",E1742&lt;&gt;"Amélioratif"),"Type inconnu",IF(I1742="","Statut manquant",IF(AND(I1742&lt;&gt;"Terminée",I1742&lt;&gt;"En cours",I1742&lt;&gt;"À faire",I1742&lt;&gt;"Annulée"),"Statut inconnu",IF(AND(E1742="Préventif",F1742=""),"Plan manquant (préventif)",IF(AND(F1742&lt;&gt;"",ISNA(MATCH(F1742,pl_num,0))),"Plan inconnu",IF(AND(F1742&lt;&gt;"",IFERROR(INDEX(pl_eq,MATCH(F1742,pl_num,0))&amp;"",C1742)&lt;&gt;C1742),"Plan d'un autre équipement",IF(AND(J1742&lt;&gt;"",OR(NOT(ISNUMBER(J1742)),N(J1742)&lt;0)),"Compteur invalide",IF(OR(AND(K1742&lt;&gt;"",OR(NOT(ISNUMBER(K1742)),N(K1742)&lt;0)),AND(L1742&lt;&gt;"",OR(NOT(ISNUMBER(L1742)),N(L1742)&lt;0))),"Durée invalide",IF(OR(AND(N1742&lt;&gt;"",OR(NOT(ISNUMBER(N1742)),N(N1742)&lt;0)),AND(P1742&lt;&gt;"",OR(NOT(ISNUMBER(P1742)),N(P1742)&lt;0))),"Coût invalide",IF(AND(M1742&lt;&gt;"",ISNA(MATCH(M1742,tech_name,0))),"Technicien inconnu",IF(AND(I1742="Terminée",S1742&gt;p_today),"Terminée à une date future",IF(AND(I1742="Terminée",V1742=0),"Durée d'intervention manquante",IF(AND(I1742="Terminée",E1742="Préventif",T1742=0,OR(IFERROR(INDEX(pl_trig,MATCH(F1742,pl_num,0))&amp;"","")="Compteur",IFERROR(INDEX(pl_trig,MATCH(F1742,pl_num,0))&amp;"","")="Au premier des deux")),"Compteur manquant (plan au compteur)","OK"))))))))))))))))))</f>
        <v/>
      </c>
      <c r="S1742" s="67">
        <f>IF(AND(ISNUMBER(B1742),N(B1742)&gt;0),INT(B1742),0)</f>
        <v>0.0</v>
      </c>
      <c r="T1742" s="67">
        <f>IF(AND(ISNUMBER(J1742),N(J1742)&gt;=0),N(J1742),0)</f>
        <v>0.0</v>
      </c>
      <c r="U1742" s="67">
        <f>IF(AND(ISNUMBER(K1742),N(K1742)&gt;0),N(K1742),0)</f>
        <v>0.0</v>
      </c>
      <c r="V1742" s="67">
        <f>IF(AND(ISNUMBER(L1742),N(L1742)&gt;0),N(L1742),0)</f>
        <v>0.0</v>
      </c>
      <c r="W1742" s="67">
        <f>IF(AND(I1742="Terminée",S1742&gt;0,C1742&lt;&gt;"",ISNUMBER(MATCH(C1742,eq_code,0))),1,0)</f>
        <v>0.0</v>
      </c>
      <c r="X1742" s="67">
        <f>IF(AND(W1742=1,E1742="Préventif"),1,0)</f>
        <v>0.0</v>
      </c>
      <c r="Y1742" s="67">
        <f>IF(AND(ISNUMBER(N1742),N(N1742)&gt;0),N(N1742),0)</f>
        <v>0.0</v>
      </c>
      <c r="Z1742" s="67">
        <f>IF(AND(ISNUMBER(P1742),N(P1742)&gt;0),N(P1742),0)</f>
        <v>0.0</v>
      </c>
    </row>
    <row r="1743">
      <c r="A1743" s="79" t="str">
        <f>IF(COUNTA(B1743:C1743,E1743:G1743,I1743)=0,"","BI-"&amp;RIGHT("0000"&amp;(ROW()-5),4))</f>
        <v/>
      </c>
      <c r="B1743" s="72" t="n"/>
      <c r="C1743" s="66" t="n"/>
      <c r="D1743" s="67" t="str">
        <f>IF(C1743="","",IFERROR(INDEX(eq_des,MATCH(C1743,eq_code,0))&amp;"","Équipement inconnu"))</f>
        <v/>
      </c>
      <c r="E1743" s="68" t="n"/>
      <c r="F1743" s="68" t="n"/>
      <c r="G1743" s="66" t="n"/>
      <c r="H1743" s="66" t="n"/>
      <c r="I1743" s="68" t="n"/>
      <c r="J1743" s="73" t="n"/>
      <c r="K1743" s="71" t="n"/>
      <c r="L1743" s="71" t="n"/>
      <c r="M1743" s="66" t="n"/>
      <c r="N1743" s="80" t="n"/>
      <c r="O1743" s="81" t="str">
        <f>IF(A1743="","",ROUND(V1743*IFERROR(N(INDEX(tech_rate,MATCH(M1743,tech_name,0))),0),2))</f>
        <v/>
      </c>
      <c r="P1743" s="80" t="n"/>
      <c r="Q1743" s="81" t="str">
        <f>IF(A1743="","",ROUND(Y1743+O1743+Z1743,2))</f>
        <v/>
      </c>
      <c r="R1743" s="79" t="str">
        <f>IF(A1743="","",IF(S1743=0,"Date manquante ou invalide",IF(C1743="","Équipement manquant",IF(ISNA(MATCH(C1743,eq_code,0)),"Équipement inconnu",IF(E1743="","Type manquant",IF(AND(E1743&lt;&gt;"Préventif",E1743&lt;&gt;"Correctif",E1743&lt;&gt;"Amélioratif"),"Type inconnu",IF(I1743="","Statut manquant",IF(AND(I1743&lt;&gt;"Terminée",I1743&lt;&gt;"En cours",I1743&lt;&gt;"À faire",I1743&lt;&gt;"Annulée"),"Statut inconnu",IF(AND(E1743="Préventif",F1743=""),"Plan manquant (préventif)",IF(AND(F1743&lt;&gt;"",ISNA(MATCH(F1743,pl_num,0))),"Plan inconnu",IF(AND(F1743&lt;&gt;"",IFERROR(INDEX(pl_eq,MATCH(F1743,pl_num,0))&amp;"",C1743)&lt;&gt;C1743),"Plan d'un autre équipement",IF(AND(J1743&lt;&gt;"",OR(NOT(ISNUMBER(J1743)),N(J1743)&lt;0)),"Compteur invalide",IF(OR(AND(K1743&lt;&gt;"",OR(NOT(ISNUMBER(K1743)),N(K1743)&lt;0)),AND(L1743&lt;&gt;"",OR(NOT(ISNUMBER(L1743)),N(L1743)&lt;0))),"Durée invalide",IF(OR(AND(N1743&lt;&gt;"",OR(NOT(ISNUMBER(N1743)),N(N1743)&lt;0)),AND(P1743&lt;&gt;"",OR(NOT(ISNUMBER(P1743)),N(P1743)&lt;0))),"Coût invalide",IF(AND(M1743&lt;&gt;"",ISNA(MATCH(M1743,tech_name,0))),"Technicien inconnu",IF(AND(I1743="Terminée",S1743&gt;p_today),"Terminée à une date future",IF(AND(I1743="Terminée",V1743=0),"Durée d'intervention manquante",IF(AND(I1743="Terminée",E1743="Préventif",T1743=0,OR(IFERROR(INDEX(pl_trig,MATCH(F1743,pl_num,0))&amp;"","")="Compteur",IFERROR(INDEX(pl_trig,MATCH(F1743,pl_num,0))&amp;"","")="Au premier des deux")),"Compteur manquant (plan au compteur)","OK"))))))))))))))))))</f>
        <v/>
      </c>
      <c r="S1743" s="67">
        <f>IF(AND(ISNUMBER(B1743),N(B1743)&gt;0),INT(B1743),0)</f>
        <v>0.0</v>
      </c>
      <c r="T1743" s="67">
        <f>IF(AND(ISNUMBER(J1743),N(J1743)&gt;=0),N(J1743),0)</f>
        <v>0.0</v>
      </c>
      <c r="U1743" s="67">
        <f>IF(AND(ISNUMBER(K1743),N(K1743)&gt;0),N(K1743),0)</f>
        <v>0.0</v>
      </c>
      <c r="V1743" s="67">
        <f>IF(AND(ISNUMBER(L1743),N(L1743)&gt;0),N(L1743),0)</f>
        <v>0.0</v>
      </c>
      <c r="W1743" s="67">
        <f>IF(AND(I1743="Terminée",S1743&gt;0,C1743&lt;&gt;"",ISNUMBER(MATCH(C1743,eq_code,0))),1,0)</f>
        <v>0.0</v>
      </c>
      <c r="X1743" s="67">
        <f>IF(AND(W1743=1,E1743="Préventif"),1,0)</f>
        <v>0.0</v>
      </c>
      <c r="Y1743" s="67">
        <f>IF(AND(ISNUMBER(N1743),N(N1743)&gt;0),N(N1743),0)</f>
        <v>0.0</v>
      </c>
      <c r="Z1743" s="67">
        <f>IF(AND(ISNUMBER(P1743),N(P1743)&gt;0),N(P1743),0)</f>
        <v>0.0</v>
      </c>
    </row>
    <row r="1744">
      <c r="A1744" s="79" t="str">
        <f>IF(COUNTA(B1744:C1744,E1744:G1744,I1744)=0,"","BI-"&amp;RIGHT("0000"&amp;(ROW()-5),4))</f>
        <v/>
      </c>
      <c r="B1744" s="72" t="n"/>
      <c r="C1744" s="66" t="n"/>
      <c r="D1744" s="67" t="str">
        <f>IF(C1744="","",IFERROR(INDEX(eq_des,MATCH(C1744,eq_code,0))&amp;"","Équipement inconnu"))</f>
        <v/>
      </c>
      <c r="E1744" s="68" t="n"/>
      <c r="F1744" s="68" t="n"/>
      <c r="G1744" s="66" t="n"/>
      <c r="H1744" s="66" t="n"/>
      <c r="I1744" s="68" t="n"/>
      <c r="J1744" s="73" t="n"/>
      <c r="K1744" s="71" t="n"/>
      <c r="L1744" s="71" t="n"/>
      <c r="M1744" s="66" t="n"/>
      <c r="N1744" s="80" t="n"/>
      <c r="O1744" s="81" t="str">
        <f>IF(A1744="","",ROUND(V1744*IFERROR(N(INDEX(tech_rate,MATCH(M1744,tech_name,0))),0),2))</f>
        <v/>
      </c>
      <c r="P1744" s="80" t="n"/>
      <c r="Q1744" s="81" t="str">
        <f>IF(A1744="","",ROUND(Y1744+O1744+Z1744,2))</f>
        <v/>
      </c>
      <c r="R1744" s="79" t="str">
        <f>IF(A1744="","",IF(S1744=0,"Date manquante ou invalide",IF(C1744="","Équipement manquant",IF(ISNA(MATCH(C1744,eq_code,0)),"Équipement inconnu",IF(E1744="","Type manquant",IF(AND(E1744&lt;&gt;"Préventif",E1744&lt;&gt;"Correctif",E1744&lt;&gt;"Amélioratif"),"Type inconnu",IF(I1744="","Statut manquant",IF(AND(I1744&lt;&gt;"Terminée",I1744&lt;&gt;"En cours",I1744&lt;&gt;"À faire",I1744&lt;&gt;"Annulée"),"Statut inconnu",IF(AND(E1744="Préventif",F1744=""),"Plan manquant (préventif)",IF(AND(F1744&lt;&gt;"",ISNA(MATCH(F1744,pl_num,0))),"Plan inconnu",IF(AND(F1744&lt;&gt;"",IFERROR(INDEX(pl_eq,MATCH(F1744,pl_num,0))&amp;"",C1744)&lt;&gt;C1744),"Plan d'un autre équipement",IF(AND(J1744&lt;&gt;"",OR(NOT(ISNUMBER(J1744)),N(J1744)&lt;0)),"Compteur invalide",IF(OR(AND(K1744&lt;&gt;"",OR(NOT(ISNUMBER(K1744)),N(K1744)&lt;0)),AND(L1744&lt;&gt;"",OR(NOT(ISNUMBER(L1744)),N(L1744)&lt;0))),"Durée invalide",IF(OR(AND(N1744&lt;&gt;"",OR(NOT(ISNUMBER(N1744)),N(N1744)&lt;0)),AND(P1744&lt;&gt;"",OR(NOT(ISNUMBER(P1744)),N(P1744)&lt;0))),"Coût invalide",IF(AND(M1744&lt;&gt;"",ISNA(MATCH(M1744,tech_name,0))),"Technicien inconnu",IF(AND(I1744="Terminée",S1744&gt;p_today),"Terminée à une date future",IF(AND(I1744="Terminée",V1744=0),"Durée d'intervention manquante",IF(AND(I1744="Terminée",E1744="Préventif",T1744=0,OR(IFERROR(INDEX(pl_trig,MATCH(F1744,pl_num,0))&amp;"","")="Compteur",IFERROR(INDEX(pl_trig,MATCH(F1744,pl_num,0))&amp;"","")="Au premier des deux")),"Compteur manquant (plan au compteur)","OK"))))))))))))))))))</f>
        <v/>
      </c>
      <c r="S1744" s="67">
        <f>IF(AND(ISNUMBER(B1744),N(B1744)&gt;0),INT(B1744),0)</f>
        <v>0.0</v>
      </c>
      <c r="T1744" s="67">
        <f>IF(AND(ISNUMBER(J1744),N(J1744)&gt;=0),N(J1744),0)</f>
        <v>0.0</v>
      </c>
      <c r="U1744" s="67">
        <f>IF(AND(ISNUMBER(K1744),N(K1744)&gt;0),N(K1744),0)</f>
        <v>0.0</v>
      </c>
      <c r="V1744" s="67">
        <f>IF(AND(ISNUMBER(L1744),N(L1744)&gt;0),N(L1744),0)</f>
        <v>0.0</v>
      </c>
      <c r="W1744" s="67">
        <f>IF(AND(I1744="Terminée",S1744&gt;0,C1744&lt;&gt;"",ISNUMBER(MATCH(C1744,eq_code,0))),1,0)</f>
        <v>0.0</v>
      </c>
      <c r="X1744" s="67">
        <f>IF(AND(W1744=1,E1744="Préventif"),1,0)</f>
        <v>0.0</v>
      </c>
      <c r="Y1744" s="67">
        <f>IF(AND(ISNUMBER(N1744),N(N1744)&gt;0),N(N1744),0)</f>
        <v>0.0</v>
      </c>
      <c r="Z1744" s="67">
        <f>IF(AND(ISNUMBER(P1744),N(P1744)&gt;0),N(P1744),0)</f>
        <v>0.0</v>
      </c>
    </row>
    <row r="1745">
      <c r="A1745" s="79" t="str">
        <f>IF(COUNTA(B1745:C1745,E1745:G1745,I1745)=0,"","BI-"&amp;RIGHT("0000"&amp;(ROW()-5),4))</f>
        <v/>
      </c>
      <c r="B1745" s="72" t="n"/>
      <c r="C1745" s="66" t="n"/>
      <c r="D1745" s="67" t="str">
        <f>IF(C1745="","",IFERROR(INDEX(eq_des,MATCH(C1745,eq_code,0))&amp;"","Équipement inconnu"))</f>
        <v/>
      </c>
      <c r="E1745" s="68" t="n"/>
      <c r="F1745" s="68" t="n"/>
      <c r="G1745" s="66" t="n"/>
      <c r="H1745" s="66" t="n"/>
      <c r="I1745" s="68" t="n"/>
      <c r="J1745" s="73" t="n"/>
      <c r="K1745" s="71" t="n"/>
      <c r="L1745" s="71" t="n"/>
      <c r="M1745" s="66" t="n"/>
      <c r="N1745" s="80" t="n"/>
      <c r="O1745" s="81" t="str">
        <f>IF(A1745="","",ROUND(V1745*IFERROR(N(INDEX(tech_rate,MATCH(M1745,tech_name,0))),0),2))</f>
        <v/>
      </c>
      <c r="P1745" s="80" t="n"/>
      <c r="Q1745" s="81" t="str">
        <f>IF(A1745="","",ROUND(Y1745+O1745+Z1745,2))</f>
        <v/>
      </c>
      <c r="R1745" s="79" t="str">
        <f>IF(A1745="","",IF(S1745=0,"Date manquante ou invalide",IF(C1745="","Équipement manquant",IF(ISNA(MATCH(C1745,eq_code,0)),"Équipement inconnu",IF(E1745="","Type manquant",IF(AND(E1745&lt;&gt;"Préventif",E1745&lt;&gt;"Correctif",E1745&lt;&gt;"Amélioratif"),"Type inconnu",IF(I1745="","Statut manquant",IF(AND(I1745&lt;&gt;"Terminée",I1745&lt;&gt;"En cours",I1745&lt;&gt;"À faire",I1745&lt;&gt;"Annulée"),"Statut inconnu",IF(AND(E1745="Préventif",F1745=""),"Plan manquant (préventif)",IF(AND(F1745&lt;&gt;"",ISNA(MATCH(F1745,pl_num,0))),"Plan inconnu",IF(AND(F1745&lt;&gt;"",IFERROR(INDEX(pl_eq,MATCH(F1745,pl_num,0))&amp;"",C1745)&lt;&gt;C1745),"Plan d'un autre équipement",IF(AND(J1745&lt;&gt;"",OR(NOT(ISNUMBER(J1745)),N(J1745)&lt;0)),"Compteur invalide",IF(OR(AND(K1745&lt;&gt;"",OR(NOT(ISNUMBER(K1745)),N(K1745)&lt;0)),AND(L1745&lt;&gt;"",OR(NOT(ISNUMBER(L1745)),N(L1745)&lt;0))),"Durée invalide",IF(OR(AND(N1745&lt;&gt;"",OR(NOT(ISNUMBER(N1745)),N(N1745)&lt;0)),AND(P1745&lt;&gt;"",OR(NOT(ISNUMBER(P1745)),N(P1745)&lt;0))),"Coût invalide",IF(AND(M1745&lt;&gt;"",ISNA(MATCH(M1745,tech_name,0))),"Technicien inconnu",IF(AND(I1745="Terminée",S1745&gt;p_today),"Terminée à une date future",IF(AND(I1745="Terminée",V1745=0),"Durée d'intervention manquante",IF(AND(I1745="Terminée",E1745="Préventif",T1745=0,OR(IFERROR(INDEX(pl_trig,MATCH(F1745,pl_num,0))&amp;"","")="Compteur",IFERROR(INDEX(pl_trig,MATCH(F1745,pl_num,0))&amp;"","")="Au premier des deux")),"Compteur manquant (plan au compteur)","OK"))))))))))))))))))</f>
        <v/>
      </c>
      <c r="S1745" s="67">
        <f>IF(AND(ISNUMBER(B1745),N(B1745)&gt;0),INT(B1745),0)</f>
        <v>0.0</v>
      </c>
      <c r="T1745" s="67">
        <f>IF(AND(ISNUMBER(J1745),N(J1745)&gt;=0),N(J1745),0)</f>
        <v>0.0</v>
      </c>
      <c r="U1745" s="67">
        <f>IF(AND(ISNUMBER(K1745),N(K1745)&gt;0),N(K1745),0)</f>
        <v>0.0</v>
      </c>
      <c r="V1745" s="67">
        <f>IF(AND(ISNUMBER(L1745),N(L1745)&gt;0),N(L1745),0)</f>
        <v>0.0</v>
      </c>
      <c r="W1745" s="67">
        <f>IF(AND(I1745="Terminée",S1745&gt;0,C1745&lt;&gt;"",ISNUMBER(MATCH(C1745,eq_code,0))),1,0)</f>
        <v>0.0</v>
      </c>
      <c r="X1745" s="67">
        <f>IF(AND(W1745=1,E1745="Préventif"),1,0)</f>
        <v>0.0</v>
      </c>
      <c r="Y1745" s="67">
        <f>IF(AND(ISNUMBER(N1745),N(N1745)&gt;0),N(N1745),0)</f>
        <v>0.0</v>
      </c>
      <c r="Z1745" s="67">
        <f>IF(AND(ISNUMBER(P1745),N(P1745)&gt;0),N(P1745),0)</f>
        <v>0.0</v>
      </c>
    </row>
    <row r="1746">
      <c r="A1746" s="79" t="str">
        <f>IF(COUNTA(B1746:C1746,E1746:G1746,I1746)=0,"","BI-"&amp;RIGHT("0000"&amp;(ROW()-5),4))</f>
        <v/>
      </c>
      <c r="B1746" s="72" t="n"/>
      <c r="C1746" s="66" t="n"/>
      <c r="D1746" s="67" t="str">
        <f>IF(C1746="","",IFERROR(INDEX(eq_des,MATCH(C1746,eq_code,0))&amp;"","Équipement inconnu"))</f>
        <v/>
      </c>
      <c r="E1746" s="68" t="n"/>
      <c r="F1746" s="68" t="n"/>
      <c r="G1746" s="66" t="n"/>
      <c r="H1746" s="66" t="n"/>
      <c r="I1746" s="68" t="n"/>
      <c r="J1746" s="73" t="n"/>
      <c r="K1746" s="71" t="n"/>
      <c r="L1746" s="71" t="n"/>
      <c r="M1746" s="66" t="n"/>
      <c r="N1746" s="80" t="n"/>
      <c r="O1746" s="81" t="str">
        <f>IF(A1746="","",ROUND(V1746*IFERROR(N(INDEX(tech_rate,MATCH(M1746,tech_name,0))),0),2))</f>
        <v/>
      </c>
      <c r="P1746" s="80" t="n"/>
      <c r="Q1746" s="81" t="str">
        <f>IF(A1746="","",ROUND(Y1746+O1746+Z1746,2))</f>
        <v/>
      </c>
      <c r="R1746" s="79" t="str">
        <f>IF(A1746="","",IF(S1746=0,"Date manquante ou invalide",IF(C1746="","Équipement manquant",IF(ISNA(MATCH(C1746,eq_code,0)),"Équipement inconnu",IF(E1746="","Type manquant",IF(AND(E1746&lt;&gt;"Préventif",E1746&lt;&gt;"Correctif",E1746&lt;&gt;"Amélioratif"),"Type inconnu",IF(I1746="","Statut manquant",IF(AND(I1746&lt;&gt;"Terminée",I1746&lt;&gt;"En cours",I1746&lt;&gt;"À faire",I1746&lt;&gt;"Annulée"),"Statut inconnu",IF(AND(E1746="Préventif",F1746=""),"Plan manquant (préventif)",IF(AND(F1746&lt;&gt;"",ISNA(MATCH(F1746,pl_num,0))),"Plan inconnu",IF(AND(F1746&lt;&gt;"",IFERROR(INDEX(pl_eq,MATCH(F1746,pl_num,0))&amp;"",C1746)&lt;&gt;C1746),"Plan d'un autre équipement",IF(AND(J1746&lt;&gt;"",OR(NOT(ISNUMBER(J1746)),N(J1746)&lt;0)),"Compteur invalide",IF(OR(AND(K1746&lt;&gt;"",OR(NOT(ISNUMBER(K1746)),N(K1746)&lt;0)),AND(L1746&lt;&gt;"",OR(NOT(ISNUMBER(L1746)),N(L1746)&lt;0))),"Durée invalide",IF(OR(AND(N1746&lt;&gt;"",OR(NOT(ISNUMBER(N1746)),N(N1746)&lt;0)),AND(P1746&lt;&gt;"",OR(NOT(ISNUMBER(P1746)),N(P1746)&lt;0))),"Coût invalide",IF(AND(M1746&lt;&gt;"",ISNA(MATCH(M1746,tech_name,0))),"Technicien inconnu",IF(AND(I1746="Terminée",S1746&gt;p_today),"Terminée à une date future",IF(AND(I1746="Terminée",V1746=0),"Durée d'intervention manquante",IF(AND(I1746="Terminée",E1746="Préventif",T1746=0,OR(IFERROR(INDEX(pl_trig,MATCH(F1746,pl_num,0))&amp;"","")="Compteur",IFERROR(INDEX(pl_trig,MATCH(F1746,pl_num,0))&amp;"","")="Au premier des deux")),"Compteur manquant (plan au compteur)","OK"))))))))))))))))))</f>
        <v/>
      </c>
      <c r="S1746" s="67">
        <f>IF(AND(ISNUMBER(B1746),N(B1746)&gt;0),INT(B1746),0)</f>
        <v>0.0</v>
      </c>
      <c r="T1746" s="67">
        <f>IF(AND(ISNUMBER(J1746),N(J1746)&gt;=0),N(J1746),0)</f>
        <v>0.0</v>
      </c>
      <c r="U1746" s="67">
        <f>IF(AND(ISNUMBER(K1746),N(K1746)&gt;0),N(K1746),0)</f>
        <v>0.0</v>
      </c>
      <c r="V1746" s="67">
        <f>IF(AND(ISNUMBER(L1746),N(L1746)&gt;0),N(L1746),0)</f>
        <v>0.0</v>
      </c>
      <c r="W1746" s="67">
        <f>IF(AND(I1746="Terminée",S1746&gt;0,C1746&lt;&gt;"",ISNUMBER(MATCH(C1746,eq_code,0))),1,0)</f>
        <v>0.0</v>
      </c>
      <c r="X1746" s="67">
        <f>IF(AND(W1746=1,E1746="Préventif"),1,0)</f>
        <v>0.0</v>
      </c>
      <c r="Y1746" s="67">
        <f>IF(AND(ISNUMBER(N1746),N(N1746)&gt;0),N(N1746),0)</f>
        <v>0.0</v>
      </c>
      <c r="Z1746" s="67">
        <f>IF(AND(ISNUMBER(P1746),N(P1746)&gt;0),N(P1746),0)</f>
        <v>0.0</v>
      </c>
    </row>
    <row r="1747">
      <c r="A1747" s="79" t="str">
        <f>IF(COUNTA(B1747:C1747,E1747:G1747,I1747)=0,"","BI-"&amp;RIGHT("0000"&amp;(ROW()-5),4))</f>
        <v/>
      </c>
      <c r="B1747" s="72" t="n"/>
      <c r="C1747" s="66" t="n"/>
      <c r="D1747" s="67" t="str">
        <f>IF(C1747="","",IFERROR(INDEX(eq_des,MATCH(C1747,eq_code,0))&amp;"","Équipement inconnu"))</f>
        <v/>
      </c>
      <c r="E1747" s="68" t="n"/>
      <c r="F1747" s="68" t="n"/>
      <c r="G1747" s="66" t="n"/>
      <c r="H1747" s="66" t="n"/>
      <c r="I1747" s="68" t="n"/>
      <c r="J1747" s="73" t="n"/>
      <c r="K1747" s="71" t="n"/>
      <c r="L1747" s="71" t="n"/>
      <c r="M1747" s="66" t="n"/>
      <c r="N1747" s="80" t="n"/>
      <c r="O1747" s="81" t="str">
        <f>IF(A1747="","",ROUND(V1747*IFERROR(N(INDEX(tech_rate,MATCH(M1747,tech_name,0))),0),2))</f>
        <v/>
      </c>
      <c r="P1747" s="80" t="n"/>
      <c r="Q1747" s="81" t="str">
        <f>IF(A1747="","",ROUND(Y1747+O1747+Z1747,2))</f>
        <v/>
      </c>
      <c r="R1747" s="79" t="str">
        <f>IF(A1747="","",IF(S1747=0,"Date manquante ou invalide",IF(C1747="","Équipement manquant",IF(ISNA(MATCH(C1747,eq_code,0)),"Équipement inconnu",IF(E1747="","Type manquant",IF(AND(E1747&lt;&gt;"Préventif",E1747&lt;&gt;"Correctif",E1747&lt;&gt;"Amélioratif"),"Type inconnu",IF(I1747="","Statut manquant",IF(AND(I1747&lt;&gt;"Terminée",I1747&lt;&gt;"En cours",I1747&lt;&gt;"À faire",I1747&lt;&gt;"Annulée"),"Statut inconnu",IF(AND(E1747="Préventif",F1747=""),"Plan manquant (préventif)",IF(AND(F1747&lt;&gt;"",ISNA(MATCH(F1747,pl_num,0))),"Plan inconnu",IF(AND(F1747&lt;&gt;"",IFERROR(INDEX(pl_eq,MATCH(F1747,pl_num,0))&amp;"",C1747)&lt;&gt;C1747),"Plan d'un autre équipement",IF(AND(J1747&lt;&gt;"",OR(NOT(ISNUMBER(J1747)),N(J1747)&lt;0)),"Compteur invalide",IF(OR(AND(K1747&lt;&gt;"",OR(NOT(ISNUMBER(K1747)),N(K1747)&lt;0)),AND(L1747&lt;&gt;"",OR(NOT(ISNUMBER(L1747)),N(L1747)&lt;0))),"Durée invalide",IF(OR(AND(N1747&lt;&gt;"",OR(NOT(ISNUMBER(N1747)),N(N1747)&lt;0)),AND(P1747&lt;&gt;"",OR(NOT(ISNUMBER(P1747)),N(P1747)&lt;0))),"Coût invalide",IF(AND(M1747&lt;&gt;"",ISNA(MATCH(M1747,tech_name,0))),"Technicien inconnu",IF(AND(I1747="Terminée",S1747&gt;p_today),"Terminée à une date future",IF(AND(I1747="Terminée",V1747=0),"Durée d'intervention manquante",IF(AND(I1747="Terminée",E1747="Préventif",T1747=0,OR(IFERROR(INDEX(pl_trig,MATCH(F1747,pl_num,0))&amp;"","")="Compteur",IFERROR(INDEX(pl_trig,MATCH(F1747,pl_num,0))&amp;"","")="Au premier des deux")),"Compteur manquant (plan au compteur)","OK"))))))))))))))))))</f>
        <v/>
      </c>
      <c r="S1747" s="67">
        <f>IF(AND(ISNUMBER(B1747),N(B1747)&gt;0),INT(B1747),0)</f>
        <v>0.0</v>
      </c>
      <c r="T1747" s="67">
        <f>IF(AND(ISNUMBER(J1747),N(J1747)&gt;=0),N(J1747),0)</f>
        <v>0.0</v>
      </c>
      <c r="U1747" s="67">
        <f>IF(AND(ISNUMBER(K1747),N(K1747)&gt;0),N(K1747),0)</f>
        <v>0.0</v>
      </c>
      <c r="V1747" s="67">
        <f>IF(AND(ISNUMBER(L1747),N(L1747)&gt;0),N(L1747),0)</f>
        <v>0.0</v>
      </c>
      <c r="W1747" s="67">
        <f>IF(AND(I1747="Terminée",S1747&gt;0,C1747&lt;&gt;"",ISNUMBER(MATCH(C1747,eq_code,0))),1,0)</f>
        <v>0.0</v>
      </c>
      <c r="X1747" s="67">
        <f>IF(AND(W1747=1,E1747="Préventif"),1,0)</f>
        <v>0.0</v>
      </c>
      <c r="Y1747" s="67">
        <f>IF(AND(ISNUMBER(N1747),N(N1747)&gt;0),N(N1747),0)</f>
        <v>0.0</v>
      </c>
      <c r="Z1747" s="67">
        <f>IF(AND(ISNUMBER(P1747),N(P1747)&gt;0),N(P1747),0)</f>
        <v>0.0</v>
      </c>
    </row>
    <row r="1748">
      <c r="A1748" s="79" t="str">
        <f>IF(COUNTA(B1748:C1748,E1748:G1748,I1748)=0,"","BI-"&amp;RIGHT("0000"&amp;(ROW()-5),4))</f>
        <v/>
      </c>
      <c r="B1748" s="72" t="n"/>
      <c r="C1748" s="66" t="n"/>
      <c r="D1748" s="67" t="str">
        <f>IF(C1748="","",IFERROR(INDEX(eq_des,MATCH(C1748,eq_code,0))&amp;"","Équipement inconnu"))</f>
        <v/>
      </c>
      <c r="E1748" s="68" t="n"/>
      <c r="F1748" s="68" t="n"/>
      <c r="G1748" s="66" t="n"/>
      <c r="H1748" s="66" t="n"/>
      <c r="I1748" s="68" t="n"/>
      <c r="J1748" s="73" t="n"/>
      <c r="K1748" s="71" t="n"/>
      <c r="L1748" s="71" t="n"/>
      <c r="M1748" s="66" t="n"/>
      <c r="N1748" s="80" t="n"/>
      <c r="O1748" s="81" t="str">
        <f>IF(A1748="","",ROUND(V1748*IFERROR(N(INDEX(tech_rate,MATCH(M1748,tech_name,0))),0),2))</f>
        <v/>
      </c>
      <c r="P1748" s="80" t="n"/>
      <c r="Q1748" s="81" t="str">
        <f>IF(A1748="","",ROUND(Y1748+O1748+Z1748,2))</f>
        <v/>
      </c>
      <c r="R1748" s="79" t="str">
        <f>IF(A1748="","",IF(S1748=0,"Date manquante ou invalide",IF(C1748="","Équipement manquant",IF(ISNA(MATCH(C1748,eq_code,0)),"Équipement inconnu",IF(E1748="","Type manquant",IF(AND(E1748&lt;&gt;"Préventif",E1748&lt;&gt;"Correctif",E1748&lt;&gt;"Amélioratif"),"Type inconnu",IF(I1748="","Statut manquant",IF(AND(I1748&lt;&gt;"Terminée",I1748&lt;&gt;"En cours",I1748&lt;&gt;"À faire",I1748&lt;&gt;"Annulée"),"Statut inconnu",IF(AND(E1748="Préventif",F1748=""),"Plan manquant (préventif)",IF(AND(F1748&lt;&gt;"",ISNA(MATCH(F1748,pl_num,0))),"Plan inconnu",IF(AND(F1748&lt;&gt;"",IFERROR(INDEX(pl_eq,MATCH(F1748,pl_num,0))&amp;"",C1748)&lt;&gt;C1748),"Plan d'un autre équipement",IF(AND(J1748&lt;&gt;"",OR(NOT(ISNUMBER(J1748)),N(J1748)&lt;0)),"Compteur invalide",IF(OR(AND(K1748&lt;&gt;"",OR(NOT(ISNUMBER(K1748)),N(K1748)&lt;0)),AND(L1748&lt;&gt;"",OR(NOT(ISNUMBER(L1748)),N(L1748)&lt;0))),"Durée invalide",IF(OR(AND(N1748&lt;&gt;"",OR(NOT(ISNUMBER(N1748)),N(N1748)&lt;0)),AND(P1748&lt;&gt;"",OR(NOT(ISNUMBER(P1748)),N(P1748)&lt;0))),"Coût invalide",IF(AND(M1748&lt;&gt;"",ISNA(MATCH(M1748,tech_name,0))),"Technicien inconnu",IF(AND(I1748="Terminée",S1748&gt;p_today),"Terminée à une date future",IF(AND(I1748="Terminée",V1748=0),"Durée d'intervention manquante",IF(AND(I1748="Terminée",E1748="Préventif",T1748=0,OR(IFERROR(INDEX(pl_trig,MATCH(F1748,pl_num,0))&amp;"","")="Compteur",IFERROR(INDEX(pl_trig,MATCH(F1748,pl_num,0))&amp;"","")="Au premier des deux")),"Compteur manquant (plan au compteur)","OK"))))))))))))))))))</f>
        <v/>
      </c>
      <c r="S1748" s="67">
        <f>IF(AND(ISNUMBER(B1748),N(B1748)&gt;0),INT(B1748),0)</f>
        <v>0.0</v>
      </c>
      <c r="T1748" s="67">
        <f>IF(AND(ISNUMBER(J1748),N(J1748)&gt;=0),N(J1748),0)</f>
        <v>0.0</v>
      </c>
      <c r="U1748" s="67">
        <f>IF(AND(ISNUMBER(K1748),N(K1748)&gt;0),N(K1748),0)</f>
        <v>0.0</v>
      </c>
      <c r="V1748" s="67">
        <f>IF(AND(ISNUMBER(L1748),N(L1748)&gt;0),N(L1748),0)</f>
        <v>0.0</v>
      </c>
      <c r="W1748" s="67">
        <f>IF(AND(I1748="Terminée",S1748&gt;0,C1748&lt;&gt;"",ISNUMBER(MATCH(C1748,eq_code,0))),1,0)</f>
        <v>0.0</v>
      </c>
      <c r="X1748" s="67">
        <f>IF(AND(W1748=1,E1748="Préventif"),1,0)</f>
        <v>0.0</v>
      </c>
      <c r="Y1748" s="67">
        <f>IF(AND(ISNUMBER(N1748),N(N1748)&gt;0),N(N1748),0)</f>
        <v>0.0</v>
      </c>
      <c r="Z1748" s="67">
        <f>IF(AND(ISNUMBER(P1748),N(P1748)&gt;0),N(P1748),0)</f>
        <v>0.0</v>
      </c>
    </row>
    <row r="1749">
      <c r="A1749" s="79" t="str">
        <f>IF(COUNTA(B1749:C1749,E1749:G1749,I1749)=0,"","BI-"&amp;RIGHT("0000"&amp;(ROW()-5),4))</f>
        <v/>
      </c>
      <c r="B1749" s="72" t="n"/>
      <c r="C1749" s="66" t="n"/>
      <c r="D1749" s="67" t="str">
        <f>IF(C1749="","",IFERROR(INDEX(eq_des,MATCH(C1749,eq_code,0))&amp;"","Équipement inconnu"))</f>
        <v/>
      </c>
      <c r="E1749" s="68" t="n"/>
      <c r="F1749" s="68" t="n"/>
      <c r="G1749" s="66" t="n"/>
      <c r="H1749" s="66" t="n"/>
      <c r="I1749" s="68" t="n"/>
      <c r="J1749" s="73" t="n"/>
      <c r="K1749" s="71" t="n"/>
      <c r="L1749" s="71" t="n"/>
      <c r="M1749" s="66" t="n"/>
      <c r="N1749" s="80" t="n"/>
      <c r="O1749" s="81" t="str">
        <f>IF(A1749="","",ROUND(V1749*IFERROR(N(INDEX(tech_rate,MATCH(M1749,tech_name,0))),0),2))</f>
        <v/>
      </c>
      <c r="P1749" s="80" t="n"/>
      <c r="Q1749" s="81" t="str">
        <f>IF(A1749="","",ROUND(Y1749+O1749+Z1749,2))</f>
        <v/>
      </c>
      <c r="R1749" s="79" t="str">
        <f>IF(A1749="","",IF(S1749=0,"Date manquante ou invalide",IF(C1749="","Équipement manquant",IF(ISNA(MATCH(C1749,eq_code,0)),"Équipement inconnu",IF(E1749="","Type manquant",IF(AND(E1749&lt;&gt;"Préventif",E1749&lt;&gt;"Correctif",E1749&lt;&gt;"Amélioratif"),"Type inconnu",IF(I1749="","Statut manquant",IF(AND(I1749&lt;&gt;"Terminée",I1749&lt;&gt;"En cours",I1749&lt;&gt;"À faire",I1749&lt;&gt;"Annulée"),"Statut inconnu",IF(AND(E1749="Préventif",F1749=""),"Plan manquant (préventif)",IF(AND(F1749&lt;&gt;"",ISNA(MATCH(F1749,pl_num,0))),"Plan inconnu",IF(AND(F1749&lt;&gt;"",IFERROR(INDEX(pl_eq,MATCH(F1749,pl_num,0))&amp;"",C1749)&lt;&gt;C1749),"Plan d'un autre équipement",IF(AND(J1749&lt;&gt;"",OR(NOT(ISNUMBER(J1749)),N(J1749)&lt;0)),"Compteur invalide",IF(OR(AND(K1749&lt;&gt;"",OR(NOT(ISNUMBER(K1749)),N(K1749)&lt;0)),AND(L1749&lt;&gt;"",OR(NOT(ISNUMBER(L1749)),N(L1749)&lt;0))),"Durée invalide",IF(OR(AND(N1749&lt;&gt;"",OR(NOT(ISNUMBER(N1749)),N(N1749)&lt;0)),AND(P1749&lt;&gt;"",OR(NOT(ISNUMBER(P1749)),N(P1749)&lt;0))),"Coût invalide",IF(AND(M1749&lt;&gt;"",ISNA(MATCH(M1749,tech_name,0))),"Technicien inconnu",IF(AND(I1749="Terminée",S1749&gt;p_today),"Terminée à une date future",IF(AND(I1749="Terminée",V1749=0),"Durée d'intervention manquante",IF(AND(I1749="Terminée",E1749="Préventif",T1749=0,OR(IFERROR(INDEX(pl_trig,MATCH(F1749,pl_num,0))&amp;"","")="Compteur",IFERROR(INDEX(pl_trig,MATCH(F1749,pl_num,0))&amp;"","")="Au premier des deux")),"Compteur manquant (plan au compteur)","OK"))))))))))))))))))</f>
        <v/>
      </c>
      <c r="S1749" s="67">
        <f>IF(AND(ISNUMBER(B1749),N(B1749)&gt;0),INT(B1749),0)</f>
        <v>0.0</v>
      </c>
      <c r="T1749" s="67">
        <f>IF(AND(ISNUMBER(J1749),N(J1749)&gt;=0),N(J1749),0)</f>
        <v>0.0</v>
      </c>
      <c r="U1749" s="67">
        <f>IF(AND(ISNUMBER(K1749),N(K1749)&gt;0),N(K1749),0)</f>
        <v>0.0</v>
      </c>
      <c r="V1749" s="67">
        <f>IF(AND(ISNUMBER(L1749),N(L1749)&gt;0),N(L1749),0)</f>
        <v>0.0</v>
      </c>
      <c r="W1749" s="67">
        <f>IF(AND(I1749="Terminée",S1749&gt;0,C1749&lt;&gt;"",ISNUMBER(MATCH(C1749,eq_code,0))),1,0)</f>
        <v>0.0</v>
      </c>
      <c r="X1749" s="67">
        <f>IF(AND(W1749=1,E1749="Préventif"),1,0)</f>
        <v>0.0</v>
      </c>
      <c r="Y1749" s="67">
        <f>IF(AND(ISNUMBER(N1749),N(N1749)&gt;0),N(N1749),0)</f>
        <v>0.0</v>
      </c>
      <c r="Z1749" s="67">
        <f>IF(AND(ISNUMBER(P1749),N(P1749)&gt;0),N(P1749),0)</f>
        <v>0.0</v>
      </c>
    </row>
    <row r="1750">
      <c r="A1750" s="79" t="str">
        <f>IF(COUNTA(B1750:C1750,E1750:G1750,I1750)=0,"","BI-"&amp;RIGHT("0000"&amp;(ROW()-5),4))</f>
        <v/>
      </c>
      <c r="B1750" s="72" t="n"/>
      <c r="C1750" s="66" t="n"/>
      <c r="D1750" s="67" t="str">
        <f>IF(C1750="","",IFERROR(INDEX(eq_des,MATCH(C1750,eq_code,0))&amp;"","Équipement inconnu"))</f>
        <v/>
      </c>
      <c r="E1750" s="68" t="n"/>
      <c r="F1750" s="68" t="n"/>
      <c r="G1750" s="66" t="n"/>
      <c r="H1750" s="66" t="n"/>
      <c r="I1750" s="68" t="n"/>
      <c r="J1750" s="73" t="n"/>
      <c r="K1750" s="71" t="n"/>
      <c r="L1750" s="71" t="n"/>
      <c r="M1750" s="66" t="n"/>
      <c r="N1750" s="80" t="n"/>
      <c r="O1750" s="81" t="str">
        <f>IF(A1750="","",ROUND(V1750*IFERROR(N(INDEX(tech_rate,MATCH(M1750,tech_name,0))),0),2))</f>
        <v/>
      </c>
      <c r="P1750" s="80" t="n"/>
      <c r="Q1750" s="81" t="str">
        <f>IF(A1750="","",ROUND(Y1750+O1750+Z1750,2))</f>
        <v/>
      </c>
      <c r="R1750" s="79" t="str">
        <f>IF(A1750="","",IF(S1750=0,"Date manquante ou invalide",IF(C1750="","Équipement manquant",IF(ISNA(MATCH(C1750,eq_code,0)),"Équipement inconnu",IF(E1750="","Type manquant",IF(AND(E1750&lt;&gt;"Préventif",E1750&lt;&gt;"Correctif",E1750&lt;&gt;"Amélioratif"),"Type inconnu",IF(I1750="","Statut manquant",IF(AND(I1750&lt;&gt;"Terminée",I1750&lt;&gt;"En cours",I1750&lt;&gt;"À faire",I1750&lt;&gt;"Annulée"),"Statut inconnu",IF(AND(E1750="Préventif",F1750=""),"Plan manquant (préventif)",IF(AND(F1750&lt;&gt;"",ISNA(MATCH(F1750,pl_num,0))),"Plan inconnu",IF(AND(F1750&lt;&gt;"",IFERROR(INDEX(pl_eq,MATCH(F1750,pl_num,0))&amp;"",C1750)&lt;&gt;C1750),"Plan d'un autre équipement",IF(AND(J1750&lt;&gt;"",OR(NOT(ISNUMBER(J1750)),N(J1750)&lt;0)),"Compteur invalide",IF(OR(AND(K1750&lt;&gt;"",OR(NOT(ISNUMBER(K1750)),N(K1750)&lt;0)),AND(L1750&lt;&gt;"",OR(NOT(ISNUMBER(L1750)),N(L1750)&lt;0))),"Durée invalide",IF(OR(AND(N1750&lt;&gt;"",OR(NOT(ISNUMBER(N1750)),N(N1750)&lt;0)),AND(P1750&lt;&gt;"",OR(NOT(ISNUMBER(P1750)),N(P1750)&lt;0))),"Coût invalide",IF(AND(M1750&lt;&gt;"",ISNA(MATCH(M1750,tech_name,0))),"Technicien inconnu",IF(AND(I1750="Terminée",S1750&gt;p_today),"Terminée à une date future",IF(AND(I1750="Terminée",V1750=0),"Durée d'intervention manquante",IF(AND(I1750="Terminée",E1750="Préventif",T1750=0,OR(IFERROR(INDEX(pl_trig,MATCH(F1750,pl_num,0))&amp;"","")="Compteur",IFERROR(INDEX(pl_trig,MATCH(F1750,pl_num,0))&amp;"","")="Au premier des deux")),"Compteur manquant (plan au compteur)","OK"))))))))))))))))))</f>
        <v/>
      </c>
      <c r="S1750" s="67">
        <f>IF(AND(ISNUMBER(B1750),N(B1750)&gt;0),INT(B1750),0)</f>
        <v>0.0</v>
      </c>
      <c r="T1750" s="67">
        <f>IF(AND(ISNUMBER(J1750),N(J1750)&gt;=0),N(J1750),0)</f>
        <v>0.0</v>
      </c>
      <c r="U1750" s="67">
        <f>IF(AND(ISNUMBER(K1750),N(K1750)&gt;0),N(K1750),0)</f>
        <v>0.0</v>
      </c>
      <c r="V1750" s="67">
        <f>IF(AND(ISNUMBER(L1750),N(L1750)&gt;0),N(L1750),0)</f>
        <v>0.0</v>
      </c>
      <c r="W1750" s="67">
        <f>IF(AND(I1750="Terminée",S1750&gt;0,C1750&lt;&gt;"",ISNUMBER(MATCH(C1750,eq_code,0))),1,0)</f>
        <v>0.0</v>
      </c>
      <c r="X1750" s="67">
        <f>IF(AND(W1750=1,E1750="Préventif"),1,0)</f>
        <v>0.0</v>
      </c>
      <c r="Y1750" s="67">
        <f>IF(AND(ISNUMBER(N1750),N(N1750)&gt;0),N(N1750),0)</f>
        <v>0.0</v>
      </c>
      <c r="Z1750" s="67">
        <f>IF(AND(ISNUMBER(P1750),N(P1750)&gt;0),N(P1750),0)</f>
        <v>0.0</v>
      </c>
    </row>
    <row r="1751">
      <c r="A1751" s="79" t="str">
        <f>IF(COUNTA(B1751:C1751,E1751:G1751,I1751)=0,"","BI-"&amp;RIGHT("0000"&amp;(ROW()-5),4))</f>
        <v/>
      </c>
      <c r="B1751" s="72" t="n"/>
      <c r="C1751" s="66" t="n"/>
      <c r="D1751" s="67" t="str">
        <f>IF(C1751="","",IFERROR(INDEX(eq_des,MATCH(C1751,eq_code,0))&amp;"","Équipement inconnu"))</f>
        <v/>
      </c>
      <c r="E1751" s="68" t="n"/>
      <c r="F1751" s="68" t="n"/>
      <c r="G1751" s="66" t="n"/>
      <c r="H1751" s="66" t="n"/>
      <c r="I1751" s="68" t="n"/>
      <c r="J1751" s="73" t="n"/>
      <c r="K1751" s="71" t="n"/>
      <c r="L1751" s="71" t="n"/>
      <c r="M1751" s="66" t="n"/>
      <c r="N1751" s="80" t="n"/>
      <c r="O1751" s="81" t="str">
        <f>IF(A1751="","",ROUND(V1751*IFERROR(N(INDEX(tech_rate,MATCH(M1751,tech_name,0))),0),2))</f>
        <v/>
      </c>
      <c r="P1751" s="80" t="n"/>
      <c r="Q1751" s="81" t="str">
        <f>IF(A1751="","",ROUND(Y1751+O1751+Z1751,2))</f>
        <v/>
      </c>
      <c r="R1751" s="79" t="str">
        <f>IF(A1751="","",IF(S1751=0,"Date manquante ou invalide",IF(C1751="","Équipement manquant",IF(ISNA(MATCH(C1751,eq_code,0)),"Équipement inconnu",IF(E1751="","Type manquant",IF(AND(E1751&lt;&gt;"Préventif",E1751&lt;&gt;"Correctif",E1751&lt;&gt;"Amélioratif"),"Type inconnu",IF(I1751="","Statut manquant",IF(AND(I1751&lt;&gt;"Terminée",I1751&lt;&gt;"En cours",I1751&lt;&gt;"À faire",I1751&lt;&gt;"Annulée"),"Statut inconnu",IF(AND(E1751="Préventif",F1751=""),"Plan manquant (préventif)",IF(AND(F1751&lt;&gt;"",ISNA(MATCH(F1751,pl_num,0))),"Plan inconnu",IF(AND(F1751&lt;&gt;"",IFERROR(INDEX(pl_eq,MATCH(F1751,pl_num,0))&amp;"",C1751)&lt;&gt;C1751),"Plan d'un autre équipement",IF(AND(J1751&lt;&gt;"",OR(NOT(ISNUMBER(J1751)),N(J1751)&lt;0)),"Compteur invalide",IF(OR(AND(K1751&lt;&gt;"",OR(NOT(ISNUMBER(K1751)),N(K1751)&lt;0)),AND(L1751&lt;&gt;"",OR(NOT(ISNUMBER(L1751)),N(L1751)&lt;0))),"Durée invalide",IF(OR(AND(N1751&lt;&gt;"",OR(NOT(ISNUMBER(N1751)),N(N1751)&lt;0)),AND(P1751&lt;&gt;"",OR(NOT(ISNUMBER(P1751)),N(P1751)&lt;0))),"Coût invalide",IF(AND(M1751&lt;&gt;"",ISNA(MATCH(M1751,tech_name,0))),"Technicien inconnu",IF(AND(I1751="Terminée",S1751&gt;p_today),"Terminée à une date future",IF(AND(I1751="Terminée",V1751=0),"Durée d'intervention manquante",IF(AND(I1751="Terminée",E1751="Préventif",T1751=0,OR(IFERROR(INDEX(pl_trig,MATCH(F1751,pl_num,0))&amp;"","")="Compteur",IFERROR(INDEX(pl_trig,MATCH(F1751,pl_num,0))&amp;"","")="Au premier des deux")),"Compteur manquant (plan au compteur)","OK"))))))))))))))))))</f>
        <v/>
      </c>
      <c r="S1751" s="67">
        <f>IF(AND(ISNUMBER(B1751),N(B1751)&gt;0),INT(B1751),0)</f>
        <v>0.0</v>
      </c>
      <c r="T1751" s="67">
        <f>IF(AND(ISNUMBER(J1751),N(J1751)&gt;=0),N(J1751),0)</f>
        <v>0.0</v>
      </c>
      <c r="U1751" s="67">
        <f>IF(AND(ISNUMBER(K1751),N(K1751)&gt;0),N(K1751),0)</f>
        <v>0.0</v>
      </c>
      <c r="V1751" s="67">
        <f>IF(AND(ISNUMBER(L1751),N(L1751)&gt;0),N(L1751),0)</f>
        <v>0.0</v>
      </c>
      <c r="W1751" s="67">
        <f>IF(AND(I1751="Terminée",S1751&gt;0,C1751&lt;&gt;"",ISNUMBER(MATCH(C1751,eq_code,0))),1,0)</f>
        <v>0.0</v>
      </c>
      <c r="X1751" s="67">
        <f>IF(AND(W1751=1,E1751="Préventif"),1,0)</f>
        <v>0.0</v>
      </c>
      <c r="Y1751" s="67">
        <f>IF(AND(ISNUMBER(N1751),N(N1751)&gt;0),N(N1751),0)</f>
        <v>0.0</v>
      </c>
      <c r="Z1751" s="67">
        <f>IF(AND(ISNUMBER(P1751),N(P1751)&gt;0),N(P1751),0)</f>
        <v>0.0</v>
      </c>
    </row>
    <row r="1752">
      <c r="A1752" s="79" t="str">
        <f>IF(COUNTA(B1752:C1752,E1752:G1752,I1752)=0,"","BI-"&amp;RIGHT("0000"&amp;(ROW()-5),4))</f>
        <v/>
      </c>
      <c r="B1752" s="72" t="n"/>
      <c r="C1752" s="66" t="n"/>
      <c r="D1752" s="67" t="str">
        <f>IF(C1752="","",IFERROR(INDEX(eq_des,MATCH(C1752,eq_code,0))&amp;"","Équipement inconnu"))</f>
        <v/>
      </c>
      <c r="E1752" s="68" t="n"/>
      <c r="F1752" s="68" t="n"/>
      <c r="G1752" s="66" t="n"/>
      <c r="H1752" s="66" t="n"/>
      <c r="I1752" s="68" t="n"/>
      <c r="J1752" s="73" t="n"/>
      <c r="K1752" s="71" t="n"/>
      <c r="L1752" s="71" t="n"/>
      <c r="M1752" s="66" t="n"/>
      <c r="N1752" s="80" t="n"/>
      <c r="O1752" s="81" t="str">
        <f>IF(A1752="","",ROUND(V1752*IFERROR(N(INDEX(tech_rate,MATCH(M1752,tech_name,0))),0),2))</f>
        <v/>
      </c>
      <c r="P1752" s="80" t="n"/>
      <c r="Q1752" s="81" t="str">
        <f>IF(A1752="","",ROUND(Y1752+O1752+Z1752,2))</f>
        <v/>
      </c>
      <c r="R1752" s="79" t="str">
        <f>IF(A1752="","",IF(S1752=0,"Date manquante ou invalide",IF(C1752="","Équipement manquant",IF(ISNA(MATCH(C1752,eq_code,0)),"Équipement inconnu",IF(E1752="","Type manquant",IF(AND(E1752&lt;&gt;"Préventif",E1752&lt;&gt;"Correctif",E1752&lt;&gt;"Amélioratif"),"Type inconnu",IF(I1752="","Statut manquant",IF(AND(I1752&lt;&gt;"Terminée",I1752&lt;&gt;"En cours",I1752&lt;&gt;"À faire",I1752&lt;&gt;"Annulée"),"Statut inconnu",IF(AND(E1752="Préventif",F1752=""),"Plan manquant (préventif)",IF(AND(F1752&lt;&gt;"",ISNA(MATCH(F1752,pl_num,0))),"Plan inconnu",IF(AND(F1752&lt;&gt;"",IFERROR(INDEX(pl_eq,MATCH(F1752,pl_num,0))&amp;"",C1752)&lt;&gt;C1752),"Plan d'un autre équipement",IF(AND(J1752&lt;&gt;"",OR(NOT(ISNUMBER(J1752)),N(J1752)&lt;0)),"Compteur invalide",IF(OR(AND(K1752&lt;&gt;"",OR(NOT(ISNUMBER(K1752)),N(K1752)&lt;0)),AND(L1752&lt;&gt;"",OR(NOT(ISNUMBER(L1752)),N(L1752)&lt;0))),"Durée invalide",IF(OR(AND(N1752&lt;&gt;"",OR(NOT(ISNUMBER(N1752)),N(N1752)&lt;0)),AND(P1752&lt;&gt;"",OR(NOT(ISNUMBER(P1752)),N(P1752)&lt;0))),"Coût invalide",IF(AND(M1752&lt;&gt;"",ISNA(MATCH(M1752,tech_name,0))),"Technicien inconnu",IF(AND(I1752="Terminée",S1752&gt;p_today),"Terminée à une date future",IF(AND(I1752="Terminée",V1752=0),"Durée d'intervention manquante",IF(AND(I1752="Terminée",E1752="Préventif",T1752=0,OR(IFERROR(INDEX(pl_trig,MATCH(F1752,pl_num,0))&amp;"","")="Compteur",IFERROR(INDEX(pl_trig,MATCH(F1752,pl_num,0))&amp;"","")="Au premier des deux")),"Compteur manquant (plan au compteur)","OK"))))))))))))))))))</f>
        <v/>
      </c>
      <c r="S1752" s="67">
        <f>IF(AND(ISNUMBER(B1752),N(B1752)&gt;0),INT(B1752),0)</f>
        <v>0.0</v>
      </c>
      <c r="T1752" s="67">
        <f>IF(AND(ISNUMBER(J1752),N(J1752)&gt;=0),N(J1752),0)</f>
        <v>0.0</v>
      </c>
      <c r="U1752" s="67">
        <f>IF(AND(ISNUMBER(K1752),N(K1752)&gt;0),N(K1752),0)</f>
        <v>0.0</v>
      </c>
      <c r="V1752" s="67">
        <f>IF(AND(ISNUMBER(L1752),N(L1752)&gt;0),N(L1752),0)</f>
        <v>0.0</v>
      </c>
      <c r="W1752" s="67">
        <f>IF(AND(I1752="Terminée",S1752&gt;0,C1752&lt;&gt;"",ISNUMBER(MATCH(C1752,eq_code,0))),1,0)</f>
        <v>0.0</v>
      </c>
      <c r="X1752" s="67">
        <f>IF(AND(W1752=1,E1752="Préventif"),1,0)</f>
        <v>0.0</v>
      </c>
      <c r="Y1752" s="67">
        <f>IF(AND(ISNUMBER(N1752),N(N1752)&gt;0),N(N1752),0)</f>
        <v>0.0</v>
      </c>
      <c r="Z1752" s="67">
        <f>IF(AND(ISNUMBER(P1752),N(P1752)&gt;0),N(P1752),0)</f>
        <v>0.0</v>
      </c>
    </row>
    <row r="1753">
      <c r="A1753" s="79" t="str">
        <f>IF(COUNTA(B1753:C1753,E1753:G1753,I1753)=0,"","BI-"&amp;RIGHT("0000"&amp;(ROW()-5),4))</f>
        <v/>
      </c>
      <c r="B1753" s="72" t="n"/>
      <c r="C1753" s="66" t="n"/>
      <c r="D1753" s="67" t="str">
        <f>IF(C1753="","",IFERROR(INDEX(eq_des,MATCH(C1753,eq_code,0))&amp;"","Équipement inconnu"))</f>
        <v/>
      </c>
      <c r="E1753" s="68" t="n"/>
      <c r="F1753" s="68" t="n"/>
      <c r="G1753" s="66" t="n"/>
      <c r="H1753" s="66" t="n"/>
      <c r="I1753" s="68" t="n"/>
      <c r="J1753" s="73" t="n"/>
      <c r="K1753" s="71" t="n"/>
      <c r="L1753" s="71" t="n"/>
      <c r="M1753" s="66" t="n"/>
      <c r="N1753" s="80" t="n"/>
      <c r="O1753" s="81" t="str">
        <f>IF(A1753="","",ROUND(V1753*IFERROR(N(INDEX(tech_rate,MATCH(M1753,tech_name,0))),0),2))</f>
        <v/>
      </c>
      <c r="P1753" s="80" t="n"/>
      <c r="Q1753" s="81" t="str">
        <f>IF(A1753="","",ROUND(Y1753+O1753+Z1753,2))</f>
        <v/>
      </c>
      <c r="R1753" s="79" t="str">
        <f>IF(A1753="","",IF(S1753=0,"Date manquante ou invalide",IF(C1753="","Équipement manquant",IF(ISNA(MATCH(C1753,eq_code,0)),"Équipement inconnu",IF(E1753="","Type manquant",IF(AND(E1753&lt;&gt;"Préventif",E1753&lt;&gt;"Correctif",E1753&lt;&gt;"Amélioratif"),"Type inconnu",IF(I1753="","Statut manquant",IF(AND(I1753&lt;&gt;"Terminée",I1753&lt;&gt;"En cours",I1753&lt;&gt;"À faire",I1753&lt;&gt;"Annulée"),"Statut inconnu",IF(AND(E1753="Préventif",F1753=""),"Plan manquant (préventif)",IF(AND(F1753&lt;&gt;"",ISNA(MATCH(F1753,pl_num,0))),"Plan inconnu",IF(AND(F1753&lt;&gt;"",IFERROR(INDEX(pl_eq,MATCH(F1753,pl_num,0))&amp;"",C1753)&lt;&gt;C1753),"Plan d'un autre équipement",IF(AND(J1753&lt;&gt;"",OR(NOT(ISNUMBER(J1753)),N(J1753)&lt;0)),"Compteur invalide",IF(OR(AND(K1753&lt;&gt;"",OR(NOT(ISNUMBER(K1753)),N(K1753)&lt;0)),AND(L1753&lt;&gt;"",OR(NOT(ISNUMBER(L1753)),N(L1753)&lt;0))),"Durée invalide",IF(OR(AND(N1753&lt;&gt;"",OR(NOT(ISNUMBER(N1753)),N(N1753)&lt;0)),AND(P1753&lt;&gt;"",OR(NOT(ISNUMBER(P1753)),N(P1753)&lt;0))),"Coût invalide",IF(AND(M1753&lt;&gt;"",ISNA(MATCH(M1753,tech_name,0))),"Technicien inconnu",IF(AND(I1753="Terminée",S1753&gt;p_today),"Terminée à une date future",IF(AND(I1753="Terminée",V1753=0),"Durée d'intervention manquante",IF(AND(I1753="Terminée",E1753="Préventif",T1753=0,OR(IFERROR(INDEX(pl_trig,MATCH(F1753,pl_num,0))&amp;"","")="Compteur",IFERROR(INDEX(pl_trig,MATCH(F1753,pl_num,0))&amp;"","")="Au premier des deux")),"Compteur manquant (plan au compteur)","OK"))))))))))))))))))</f>
        <v/>
      </c>
      <c r="S1753" s="67">
        <f>IF(AND(ISNUMBER(B1753),N(B1753)&gt;0),INT(B1753),0)</f>
        <v>0.0</v>
      </c>
      <c r="T1753" s="67">
        <f>IF(AND(ISNUMBER(J1753),N(J1753)&gt;=0),N(J1753),0)</f>
        <v>0.0</v>
      </c>
      <c r="U1753" s="67">
        <f>IF(AND(ISNUMBER(K1753),N(K1753)&gt;0),N(K1753),0)</f>
        <v>0.0</v>
      </c>
      <c r="V1753" s="67">
        <f>IF(AND(ISNUMBER(L1753),N(L1753)&gt;0),N(L1753),0)</f>
        <v>0.0</v>
      </c>
      <c r="W1753" s="67">
        <f>IF(AND(I1753="Terminée",S1753&gt;0,C1753&lt;&gt;"",ISNUMBER(MATCH(C1753,eq_code,0))),1,0)</f>
        <v>0.0</v>
      </c>
      <c r="X1753" s="67">
        <f>IF(AND(W1753=1,E1753="Préventif"),1,0)</f>
        <v>0.0</v>
      </c>
      <c r="Y1753" s="67">
        <f>IF(AND(ISNUMBER(N1753),N(N1753)&gt;0),N(N1753),0)</f>
        <v>0.0</v>
      </c>
      <c r="Z1753" s="67">
        <f>IF(AND(ISNUMBER(P1753),N(P1753)&gt;0),N(P1753),0)</f>
        <v>0.0</v>
      </c>
    </row>
    <row r="1754">
      <c r="A1754" s="79" t="str">
        <f>IF(COUNTA(B1754:C1754,E1754:G1754,I1754)=0,"","BI-"&amp;RIGHT("0000"&amp;(ROW()-5),4))</f>
        <v/>
      </c>
      <c r="B1754" s="72" t="n"/>
      <c r="C1754" s="66" t="n"/>
      <c r="D1754" s="67" t="str">
        <f>IF(C1754="","",IFERROR(INDEX(eq_des,MATCH(C1754,eq_code,0))&amp;"","Équipement inconnu"))</f>
        <v/>
      </c>
      <c r="E1754" s="68" t="n"/>
      <c r="F1754" s="68" t="n"/>
      <c r="G1754" s="66" t="n"/>
      <c r="H1754" s="66" t="n"/>
      <c r="I1754" s="68" t="n"/>
      <c r="J1754" s="73" t="n"/>
      <c r="K1754" s="71" t="n"/>
      <c r="L1754" s="71" t="n"/>
      <c r="M1754" s="66" t="n"/>
      <c r="N1754" s="80" t="n"/>
      <c r="O1754" s="81" t="str">
        <f>IF(A1754="","",ROUND(V1754*IFERROR(N(INDEX(tech_rate,MATCH(M1754,tech_name,0))),0),2))</f>
        <v/>
      </c>
      <c r="P1754" s="80" t="n"/>
      <c r="Q1754" s="81" t="str">
        <f>IF(A1754="","",ROUND(Y1754+O1754+Z1754,2))</f>
        <v/>
      </c>
      <c r="R1754" s="79" t="str">
        <f>IF(A1754="","",IF(S1754=0,"Date manquante ou invalide",IF(C1754="","Équipement manquant",IF(ISNA(MATCH(C1754,eq_code,0)),"Équipement inconnu",IF(E1754="","Type manquant",IF(AND(E1754&lt;&gt;"Préventif",E1754&lt;&gt;"Correctif",E1754&lt;&gt;"Amélioratif"),"Type inconnu",IF(I1754="","Statut manquant",IF(AND(I1754&lt;&gt;"Terminée",I1754&lt;&gt;"En cours",I1754&lt;&gt;"À faire",I1754&lt;&gt;"Annulée"),"Statut inconnu",IF(AND(E1754="Préventif",F1754=""),"Plan manquant (préventif)",IF(AND(F1754&lt;&gt;"",ISNA(MATCH(F1754,pl_num,0))),"Plan inconnu",IF(AND(F1754&lt;&gt;"",IFERROR(INDEX(pl_eq,MATCH(F1754,pl_num,0))&amp;"",C1754)&lt;&gt;C1754),"Plan d'un autre équipement",IF(AND(J1754&lt;&gt;"",OR(NOT(ISNUMBER(J1754)),N(J1754)&lt;0)),"Compteur invalide",IF(OR(AND(K1754&lt;&gt;"",OR(NOT(ISNUMBER(K1754)),N(K1754)&lt;0)),AND(L1754&lt;&gt;"",OR(NOT(ISNUMBER(L1754)),N(L1754)&lt;0))),"Durée invalide",IF(OR(AND(N1754&lt;&gt;"",OR(NOT(ISNUMBER(N1754)),N(N1754)&lt;0)),AND(P1754&lt;&gt;"",OR(NOT(ISNUMBER(P1754)),N(P1754)&lt;0))),"Coût invalide",IF(AND(M1754&lt;&gt;"",ISNA(MATCH(M1754,tech_name,0))),"Technicien inconnu",IF(AND(I1754="Terminée",S1754&gt;p_today),"Terminée à une date future",IF(AND(I1754="Terminée",V1754=0),"Durée d'intervention manquante",IF(AND(I1754="Terminée",E1754="Préventif",T1754=0,OR(IFERROR(INDEX(pl_trig,MATCH(F1754,pl_num,0))&amp;"","")="Compteur",IFERROR(INDEX(pl_trig,MATCH(F1754,pl_num,0))&amp;"","")="Au premier des deux")),"Compteur manquant (plan au compteur)","OK"))))))))))))))))))</f>
        <v/>
      </c>
      <c r="S1754" s="67">
        <f>IF(AND(ISNUMBER(B1754),N(B1754)&gt;0),INT(B1754),0)</f>
        <v>0.0</v>
      </c>
      <c r="T1754" s="67">
        <f>IF(AND(ISNUMBER(J1754),N(J1754)&gt;=0),N(J1754),0)</f>
        <v>0.0</v>
      </c>
      <c r="U1754" s="67">
        <f>IF(AND(ISNUMBER(K1754),N(K1754)&gt;0),N(K1754),0)</f>
        <v>0.0</v>
      </c>
      <c r="V1754" s="67">
        <f>IF(AND(ISNUMBER(L1754),N(L1754)&gt;0),N(L1754),0)</f>
        <v>0.0</v>
      </c>
      <c r="W1754" s="67">
        <f>IF(AND(I1754="Terminée",S1754&gt;0,C1754&lt;&gt;"",ISNUMBER(MATCH(C1754,eq_code,0))),1,0)</f>
        <v>0.0</v>
      </c>
      <c r="X1754" s="67">
        <f>IF(AND(W1754=1,E1754="Préventif"),1,0)</f>
        <v>0.0</v>
      </c>
      <c r="Y1754" s="67">
        <f>IF(AND(ISNUMBER(N1754),N(N1754)&gt;0),N(N1754),0)</f>
        <v>0.0</v>
      </c>
      <c r="Z1754" s="67">
        <f>IF(AND(ISNUMBER(P1754),N(P1754)&gt;0),N(P1754),0)</f>
        <v>0.0</v>
      </c>
    </row>
    <row r="1755">
      <c r="A1755" s="79" t="str">
        <f>IF(COUNTA(B1755:C1755,E1755:G1755,I1755)=0,"","BI-"&amp;RIGHT("0000"&amp;(ROW()-5),4))</f>
        <v/>
      </c>
      <c r="B1755" s="72" t="n"/>
      <c r="C1755" s="66" t="n"/>
      <c r="D1755" s="67" t="str">
        <f>IF(C1755="","",IFERROR(INDEX(eq_des,MATCH(C1755,eq_code,0))&amp;"","Équipement inconnu"))</f>
        <v/>
      </c>
      <c r="E1755" s="68" t="n"/>
      <c r="F1755" s="68" t="n"/>
      <c r="G1755" s="66" t="n"/>
      <c r="H1755" s="66" t="n"/>
      <c r="I1755" s="68" t="n"/>
      <c r="J1755" s="73" t="n"/>
      <c r="K1755" s="71" t="n"/>
      <c r="L1755" s="71" t="n"/>
      <c r="M1755" s="66" t="n"/>
      <c r="N1755" s="80" t="n"/>
      <c r="O1755" s="81" t="str">
        <f>IF(A1755="","",ROUND(V1755*IFERROR(N(INDEX(tech_rate,MATCH(M1755,tech_name,0))),0),2))</f>
        <v/>
      </c>
      <c r="P1755" s="80" t="n"/>
      <c r="Q1755" s="81" t="str">
        <f>IF(A1755="","",ROUND(Y1755+O1755+Z1755,2))</f>
        <v/>
      </c>
      <c r="R1755" s="79" t="str">
        <f>IF(A1755="","",IF(S1755=0,"Date manquante ou invalide",IF(C1755="","Équipement manquant",IF(ISNA(MATCH(C1755,eq_code,0)),"Équipement inconnu",IF(E1755="","Type manquant",IF(AND(E1755&lt;&gt;"Préventif",E1755&lt;&gt;"Correctif",E1755&lt;&gt;"Amélioratif"),"Type inconnu",IF(I1755="","Statut manquant",IF(AND(I1755&lt;&gt;"Terminée",I1755&lt;&gt;"En cours",I1755&lt;&gt;"À faire",I1755&lt;&gt;"Annulée"),"Statut inconnu",IF(AND(E1755="Préventif",F1755=""),"Plan manquant (préventif)",IF(AND(F1755&lt;&gt;"",ISNA(MATCH(F1755,pl_num,0))),"Plan inconnu",IF(AND(F1755&lt;&gt;"",IFERROR(INDEX(pl_eq,MATCH(F1755,pl_num,0))&amp;"",C1755)&lt;&gt;C1755),"Plan d'un autre équipement",IF(AND(J1755&lt;&gt;"",OR(NOT(ISNUMBER(J1755)),N(J1755)&lt;0)),"Compteur invalide",IF(OR(AND(K1755&lt;&gt;"",OR(NOT(ISNUMBER(K1755)),N(K1755)&lt;0)),AND(L1755&lt;&gt;"",OR(NOT(ISNUMBER(L1755)),N(L1755)&lt;0))),"Durée invalide",IF(OR(AND(N1755&lt;&gt;"",OR(NOT(ISNUMBER(N1755)),N(N1755)&lt;0)),AND(P1755&lt;&gt;"",OR(NOT(ISNUMBER(P1755)),N(P1755)&lt;0))),"Coût invalide",IF(AND(M1755&lt;&gt;"",ISNA(MATCH(M1755,tech_name,0))),"Technicien inconnu",IF(AND(I1755="Terminée",S1755&gt;p_today),"Terminée à une date future",IF(AND(I1755="Terminée",V1755=0),"Durée d'intervention manquante",IF(AND(I1755="Terminée",E1755="Préventif",T1755=0,OR(IFERROR(INDEX(pl_trig,MATCH(F1755,pl_num,0))&amp;"","")="Compteur",IFERROR(INDEX(pl_trig,MATCH(F1755,pl_num,0))&amp;"","")="Au premier des deux")),"Compteur manquant (plan au compteur)","OK"))))))))))))))))))</f>
        <v/>
      </c>
      <c r="S1755" s="67">
        <f>IF(AND(ISNUMBER(B1755),N(B1755)&gt;0),INT(B1755),0)</f>
        <v>0.0</v>
      </c>
      <c r="T1755" s="67">
        <f>IF(AND(ISNUMBER(J1755),N(J1755)&gt;=0),N(J1755),0)</f>
        <v>0.0</v>
      </c>
      <c r="U1755" s="67">
        <f>IF(AND(ISNUMBER(K1755),N(K1755)&gt;0),N(K1755),0)</f>
        <v>0.0</v>
      </c>
      <c r="V1755" s="67">
        <f>IF(AND(ISNUMBER(L1755),N(L1755)&gt;0),N(L1755),0)</f>
        <v>0.0</v>
      </c>
      <c r="W1755" s="67">
        <f>IF(AND(I1755="Terminée",S1755&gt;0,C1755&lt;&gt;"",ISNUMBER(MATCH(C1755,eq_code,0))),1,0)</f>
        <v>0.0</v>
      </c>
      <c r="X1755" s="67">
        <f>IF(AND(W1755=1,E1755="Préventif"),1,0)</f>
        <v>0.0</v>
      </c>
      <c r="Y1755" s="67">
        <f>IF(AND(ISNUMBER(N1755),N(N1755)&gt;0),N(N1755),0)</f>
        <v>0.0</v>
      </c>
      <c r="Z1755" s="67">
        <f>IF(AND(ISNUMBER(P1755),N(P1755)&gt;0),N(P1755),0)</f>
        <v>0.0</v>
      </c>
    </row>
    <row r="1756">
      <c r="A1756" s="79" t="str">
        <f>IF(COUNTA(B1756:C1756,E1756:G1756,I1756)=0,"","BI-"&amp;RIGHT("0000"&amp;(ROW()-5),4))</f>
        <v/>
      </c>
      <c r="B1756" s="72" t="n"/>
      <c r="C1756" s="66" t="n"/>
      <c r="D1756" s="67" t="str">
        <f>IF(C1756="","",IFERROR(INDEX(eq_des,MATCH(C1756,eq_code,0))&amp;"","Équipement inconnu"))</f>
        <v/>
      </c>
      <c r="E1756" s="68" t="n"/>
      <c r="F1756" s="68" t="n"/>
      <c r="G1756" s="66" t="n"/>
      <c r="H1756" s="66" t="n"/>
      <c r="I1756" s="68" t="n"/>
      <c r="J1756" s="73" t="n"/>
      <c r="K1756" s="71" t="n"/>
      <c r="L1756" s="71" t="n"/>
      <c r="M1756" s="66" t="n"/>
      <c r="N1756" s="80" t="n"/>
      <c r="O1756" s="81" t="str">
        <f>IF(A1756="","",ROUND(V1756*IFERROR(N(INDEX(tech_rate,MATCH(M1756,tech_name,0))),0),2))</f>
        <v/>
      </c>
      <c r="P1756" s="80" t="n"/>
      <c r="Q1756" s="81" t="str">
        <f>IF(A1756="","",ROUND(Y1756+O1756+Z1756,2))</f>
        <v/>
      </c>
      <c r="R1756" s="79" t="str">
        <f>IF(A1756="","",IF(S1756=0,"Date manquante ou invalide",IF(C1756="","Équipement manquant",IF(ISNA(MATCH(C1756,eq_code,0)),"Équipement inconnu",IF(E1756="","Type manquant",IF(AND(E1756&lt;&gt;"Préventif",E1756&lt;&gt;"Correctif",E1756&lt;&gt;"Amélioratif"),"Type inconnu",IF(I1756="","Statut manquant",IF(AND(I1756&lt;&gt;"Terminée",I1756&lt;&gt;"En cours",I1756&lt;&gt;"À faire",I1756&lt;&gt;"Annulée"),"Statut inconnu",IF(AND(E1756="Préventif",F1756=""),"Plan manquant (préventif)",IF(AND(F1756&lt;&gt;"",ISNA(MATCH(F1756,pl_num,0))),"Plan inconnu",IF(AND(F1756&lt;&gt;"",IFERROR(INDEX(pl_eq,MATCH(F1756,pl_num,0))&amp;"",C1756)&lt;&gt;C1756),"Plan d'un autre équipement",IF(AND(J1756&lt;&gt;"",OR(NOT(ISNUMBER(J1756)),N(J1756)&lt;0)),"Compteur invalide",IF(OR(AND(K1756&lt;&gt;"",OR(NOT(ISNUMBER(K1756)),N(K1756)&lt;0)),AND(L1756&lt;&gt;"",OR(NOT(ISNUMBER(L1756)),N(L1756)&lt;0))),"Durée invalide",IF(OR(AND(N1756&lt;&gt;"",OR(NOT(ISNUMBER(N1756)),N(N1756)&lt;0)),AND(P1756&lt;&gt;"",OR(NOT(ISNUMBER(P1756)),N(P1756)&lt;0))),"Coût invalide",IF(AND(M1756&lt;&gt;"",ISNA(MATCH(M1756,tech_name,0))),"Technicien inconnu",IF(AND(I1756="Terminée",S1756&gt;p_today),"Terminée à une date future",IF(AND(I1756="Terminée",V1756=0),"Durée d'intervention manquante",IF(AND(I1756="Terminée",E1756="Préventif",T1756=0,OR(IFERROR(INDEX(pl_trig,MATCH(F1756,pl_num,0))&amp;"","")="Compteur",IFERROR(INDEX(pl_trig,MATCH(F1756,pl_num,0))&amp;"","")="Au premier des deux")),"Compteur manquant (plan au compteur)","OK"))))))))))))))))))</f>
        <v/>
      </c>
      <c r="S1756" s="67">
        <f>IF(AND(ISNUMBER(B1756),N(B1756)&gt;0),INT(B1756),0)</f>
        <v>0.0</v>
      </c>
      <c r="T1756" s="67">
        <f>IF(AND(ISNUMBER(J1756),N(J1756)&gt;=0),N(J1756),0)</f>
        <v>0.0</v>
      </c>
      <c r="U1756" s="67">
        <f>IF(AND(ISNUMBER(K1756),N(K1756)&gt;0),N(K1756),0)</f>
        <v>0.0</v>
      </c>
      <c r="V1756" s="67">
        <f>IF(AND(ISNUMBER(L1756),N(L1756)&gt;0),N(L1756),0)</f>
        <v>0.0</v>
      </c>
      <c r="W1756" s="67">
        <f>IF(AND(I1756="Terminée",S1756&gt;0,C1756&lt;&gt;"",ISNUMBER(MATCH(C1756,eq_code,0))),1,0)</f>
        <v>0.0</v>
      </c>
      <c r="X1756" s="67">
        <f>IF(AND(W1756=1,E1756="Préventif"),1,0)</f>
        <v>0.0</v>
      </c>
      <c r="Y1756" s="67">
        <f>IF(AND(ISNUMBER(N1756),N(N1756)&gt;0),N(N1756),0)</f>
        <v>0.0</v>
      </c>
      <c r="Z1756" s="67">
        <f>IF(AND(ISNUMBER(P1756),N(P1756)&gt;0),N(P1756),0)</f>
        <v>0.0</v>
      </c>
    </row>
    <row r="1757">
      <c r="A1757" s="79" t="str">
        <f>IF(COUNTA(B1757:C1757,E1757:G1757,I1757)=0,"","BI-"&amp;RIGHT("0000"&amp;(ROW()-5),4))</f>
        <v/>
      </c>
      <c r="B1757" s="72" t="n"/>
      <c r="C1757" s="66" t="n"/>
      <c r="D1757" s="67" t="str">
        <f>IF(C1757="","",IFERROR(INDEX(eq_des,MATCH(C1757,eq_code,0))&amp;"","Équipement inconnu"))</f>
        <v/>
      </c>
      <c r="E1757" s="68" t="n"/>
      <c r="F1757" s="68" t="n"/>
      <c r="G1757" s="66" t="n"/>
      <c r="H1757" s="66" t="n"/>
      <c r="I1757" s="68" t="n"/>
      <c r="J1757" s="73" t="n"/>
      <c r="K1757" s="71" t="n"/>
      <c r="L1757" s="71" t="n"/>
      <c r="M1757" s="66" t="n"/>
      <c r="N1757" s="80" t="n"/>
      <c r="O1757" s="81" t="str">
        <f>IF(A1757="","",ROUND(V1757*IFERROR(N(INDEX(tech_rate,MATCH(M1757,tech_name,0))),0),2))</f>
        <v/>
      </c>
      <c r="P1757" s="80" t="n"/>
      <c r="Q1757" s="81" t="str">
        <f>IF(A1757="","",ROUND(Y1757+O1757+Z1757,2))</f>
        <v/>
      </c>
      <c r="R1757" s="79" t="str">
        <f>IF(A1757="","",IF(S1757=0,"Date manquante ou invalide",IF(C1757="","Équipement manquant",IF(ISNA(MATCH(C1757,eq_code,0)),"Équipement inconnu",IF(E1757="","Type manquant",IF(AND(E1757&lt;&gt;"Préventif",E1757&lt;&gt;"Correctif",E1757&lt;&gt;"Amélioratif"),"Type inconnu",IF(I1757="","Statut manquant",IF(AND(I1757&lt;&gt;"Terminée",I1757&lt;&gt;"En cours",I1757&lt;&gt;"À faire",I1757&lt;&gt;"Annulée"),"Statut inconnu",IF(AND(E1757="Préventif",F1757=""),"Plan manquant (préventif)",IF(AND(F1757&lt;&gt;"",ISNA(MATCH(F1757,pl_num,0))),"Plan inconnu",IF(AND(F1757&lt;&gt;"",IFERROR(INDEX(pl_eq,MATCH(F1757,pl_num,0))&amp;"",C1757)&lt;&gt;C1757),"Plan d'un autre équipement",IF(AND(J1757&lt;&gt;"",OR(NOT(ISNUMBER(J1757)),N(J1757)&lt;0)),"Compteur invalide",IF(OR(AND(K1757&lt;&gt;"",OR(NOT(ISNUMBER(K1757)),N(K1757)&lt;0)),AND(L1757&lt;&gt;"",OR(NOT(ISNUMBER(L1757)),N(L1757)&lt;0))),"Durée invalide",IF(OR(AND(N1757&lt;&gt;"",OR(NOT(ISNUMBER(N1757)),N(N1757)&lt;0)),AND(P1757&lt;&gt;"",OR(NOT(ISNUMBER(P1757)),N(P1757)&lt;0))),"Coût invalide",IF(AND(M1757&lt;&gt;"",ISNA(MATCH(M1757,tech_name,0))),"Technicien inconnu",IF(AND(I1757="Terminée",S1757&gt;p_today),"Terminée à une date future",IF(AND(I1757="Terminée",V1757=0),"Durée d'intervention manquante",IF(AND(I1757="Terminée",E1757="Préventif",T1757=0,OR(IFERROR(INDEX(pl_trig,MATCH(F1757,pl_num,0))&amp;"","")="Compteur",IFERROR(INDEX(pl_trig,MATCH(F1757,pl_num,0))&amp;"","")="Au premier des deux")),"Compteur manquant (plan au compteur)","OK"))))))))))))))))))</f>
        <v/>
      </c>
      <c r="S1757" s="67">
        <f>IF(AND(ISNUMBER(B1757),N(B1757)&gt;0),INT(B1757),0)</f>
        <v>0.0</v>
      </c>
      <c r="T1757" s="67">
        <f>IF(AND(ISNUMBER(J1757),N(J1757)&gt;=0),N(J1757),0)</f>
        <v>0.0</v>
      </c>
      <c r="U1757" s="67">
        <f>IF(AND(ISNUMBER(K1757),N(K1757)&gt;0),N(K1757),0)</f>
        <v>0.0</v>
      </c>
      <c r="V1757" s="67">
        <f>IF(AND(ISNUMBER(L1757),N(L1757)&gt;0),N(L1757),0)</f>
        <v>0.0</v>
      </c>
      <c r="W1757" s="67">
        <f>IF(AND(I1757="Terminée",S1757&gt;0,C1757&lt;&gt;"",ISNUMBER(MATCH(C1757,eq_code,0))),1,0)</f>
        <v>0.0</v>
      </c>
      <c r="X1757" s="67">
        <f>IF(AND(W1757=1,E1757="Préventif"),1,0)</f>
        <v>0.0</v>
      </c>
      <c r="Y1757" s="67">
        <f>IF(AND(ISNUMBER(N1757),N(N1757)&gt;0),N(N1757),0)</f>
        <v>0.0</v>
      </c>
      <c r="Z1757" s="67">
        <f>IF(AND(ISNUMBER(P1757),N(P1757)&gt;0),N(P1757),0)</f>
        <v>0.0</v>
      </c>
    </row>
    <row r="1758">
      <c r="A1758" s="79" t="str">
        <f>IF(COUNTA(B1758:C1758,E1758:G1758,I1758)=0,"","BI-"&amp;RIGHT("0000"&amp;(ROW()-5),4))</f>
        <v/>
      </c>
      <c r="B1758" s="72" t="n"/>
      <c r="C1758" s="66" t="n"/>
      <c r="D1758" s="67" t="str">
        <f>IF(C1758="","",IFERROR(INDEX(eq_des,MATCH(C1758,eq_code,0))&amp;"","Équipement inconnu"))</f>
        <v/>
      </c>
      <c r="E1758" s="68" t="n"/>
      <c r="F1758" s="68" t="n"/>
      <c r="G1758" s="66" t="n"/>
      <c r="H1758" s="66" t="n"/>
      <c r="I1758" s="68" t="n"/>
      <c r="J1758" s="73" t="n"/>
      <c r="K1758" s="71" t="n"/>
      <c r="L1758" s="71" t="n"/>
      <c r="M1758" s="66" t="n"/>
      <c r="N1758" s="80" t="n"/>
      <c r="O1758" s="81" t="str">
        <f>IF(A1758="","",ROUND(V1758*IFERROR(N(INDEX(tech_rate,MATCH(M1758,tech_name,0))),0),2))</f>
        <v/>
      </c>
      <c r="P1758" s="80" t="n"/>
      <c r="Q1758" s="81" t="str">
        <f>IF(A1758="","",ROUND(Y1758+O1758+Z1758,2))</f>
        <v/>
      </c>
      <c r="R1758" s="79" t="str">
        <f>IF(A1758="","",IF(S1758=0,"Date manquante ou invalide",IF(C1758="","Équipement manquant",IF(ISNA(MATCH(C1758,eq_code,0)),"Équipement inconnu",IF(E1758="","Type manquant",IF(AND(E1758&lt;&gt;"Préventif",E1758&lt;&gt;"Correctif",E1758&lt;&gt;"Amélioratif"),"Type inconnu",IF(I1758="","Statut manquant",IF(AND(I1758&lt;&gt;"Terminée",I1758&lt;&gt;"En cours",I1758&lt;&gt;"À faire",I1758&lt;&gt;"Annulée"),"Statut inconnu",IF(AND(E1758="Préventif",F1758=""),"Plan manquant (préventif)",IF(AND(F1758&lt;&gt;"",ISNA(MATCH(F1758,pl_num,0))),"Plan inconnu",IF(AND(F1758&lt;&gt;"",IFERROR(INDEX(pl_eq,MATCH(F1758,pl_num,0))&amp;"",C1758)&lt;&gt;C1758),"Plan d'un autre équipement",IF(AND(J1758&lt;&gt;"",OR(NOT(ISNUMBER(J1758)),N(J1758)&lt;0)),"Compteur invalide",IF(OR(AND(K1758&lt;&gt;"",OR(NOT(ISNUMBER(K1758)),N(K1758)&lt;0)),AND(L1758&lt;&gt;"",OR(NOT(ISNUMBER(L1758)),N(L1758)&lt;0))),"Durée invalide",IF(OR(AND(N1758&lt;&gt;"",OR(NOT(ISNUMBER(N1758)),N(N1758)&lt;0)),AND(P1758&lt;&gt;"",OR(NOT(ISNUMBER(P1758)),N(P1758)&lt;0))),"Coût invalide",IF(AND(M1758&lt;&gt;"",ISNA(MATCH(M1758,tech_name,0))),"Technicien inconnu",IF(AND(I1758="Terminée",S1758&gt;p_today),"Terminée à une date future",IF(AND(I1758="Terminée",V1758=0),"Durée d'intervention manquante",IF(AND(I1758="Terminée",E1758="Préventif",T1758=0,OR(IFERROR(INDEX(pl_trig,MATCH(F1758,pl_num,0))&amp;"","")="Compteur",IFERROR(INDEX(pl_trig,MATCH(F1758,pl_num,0))&amp;"","")="Au premier des deux")),"Compteur manquant (plan au compteur)","OK"))))))))))))))))))</f>
        <v/>
      </c>
      <c r="S1758" s="67">
        <f>IF(AND(ISNUMBER(B1758),N(B1758)&gt;0),INT(B1758),0)</f>
        <v>0.0</v>
      </c>
      <c r="T1758" s="67">
        <f>IF(AND(ISNUMBER(J1758),N(J1758)&gt;=0),N(J1758),0)</f>
        <v>0.0</v>
      </c>
      <c r="U1758" s="67">
        <f>IF(AND(ISNUMBER(K1758),N(K1758)&gt;0),N(K1758),0)</f>
        <v>0.0</v>
      </c>
      <c r="V1758" s="67">
        <f>IF(AND(ISNUMBER(L1758),N(L1758)&gt;0),N(L1758),0)</f>
        <v>0.0</v>
      </c>
      <c r="W1758" s="67">
        <f>IF(AND(I1758="Terminée",S1758&gt;0,C1758&lt;&gt;"",ISNUMBER(MATCH(C1758,eq_code,0))),1,0)</f>
        <v>0.0</v>
      </c>
      <c r="X1758" s="67">
        <f>IF(AND(W1758=1,E1758="Préventif"),1,0)</f>
        <v>0.0</v>
      </c>
      <c r="Y1758" s="67">
        <f>IF(AND(ISNUMBER(N1758),N(N1758)&gt;0),N(N1758),0)</f>
        <v>0.0</v>
      </c>
      <c r="Z1758" s="67">
        <f>IF(AND(ISNUMBER(P1758),N(P1758)&gt;0),N(P1758),0)</f>
        <v>0.0</v>
      </c>
    </row>
    <row r="1759">
      <c r="A1759" s="79" t="str">
        <f>IF(COUNTA(B1759:C1759,E1759:G1759,I1759)=0,"","BI-"&amp;RIGHT("0000"&amp;(ROW()-5),4))</f>
        <v/>
      </c>
      <c r="B1759" s="72" t="n"/>
      <c r="C1759" s="66" t="n"/>
      <c r="D1759" s="67" t="str">
        <f>IF(C1759="","",IFERROR(INDEX(eq_des,MATCH(C1759,eq_code,0))&amp;"","Équipement inconnu"))</f>
        <v/>
      </c>
      <c r="E1759" s="68" t="n"/>
      <c r="F1759" s="68" t="n"/>
      <c r="G1759" s="66" t="n"/>
      <c r="H1759" s="66" t="n"/>
      <c r="I1759" s="68" t="n"/>
      <c r="J1759" s="73" t="n"/>
      <c r="K1759" s="71" t="n"/>
      <c r="L1759" s="71" t="n"/>
      <c r="M1759" s="66" t="n"/>
      <c r="N1759" s="80" t="n"/>
      <c r="O1759" s="81" t="str">
        <f>IF(A1759="","",ROUND(V1759*IFERROR(N(INDEX(tech_rate,MATCH(M1759,tech_name,0))),0),2))</f>
        <v/>
      </c>
      <c r="P1759" s="80" t="n"/>
      <c r="Q1759" s="81" t="str">
        <f>IF(A1759="","",ROUND(Y1759+O1759+Z1759,2))</f>
        <v/>
      </c>
      <c r="R1759" s="79" t="str">
        <f>IF(A1759="","",IF(S1759=0,"Date manquante ou invalide",IF(C1759="","Équipement manquant",IF(ISNA(MATCH(C1759,eq_code,0)),"Équipement inconnu",IF(E1759="","Type manquant",IF(AND(E1759&lt;&gt;"Préventif",E1759&lt;&gt;"Correctif",E1759&lt;&gt;"Amélioratif"),"Type inconnu",IF(I1759="","Statut manquant",IF(AND(I1759&lt;&gt;"Terminée",I1759&lt;&gt;"En cours",I1759&lt;&gt;"À faire",I1759&lt;&gt;"Annulée"),"Statut inconnu",IF(AND(E1759="Préventif",F1759=""),"Plan manquant (préventif)",IF(AND(F1759&lt;&gt;"",ISNA(MATCH(F1759,pl_num,0))),"Plan inconnu",IF(AND(F1759&lt;&gt;"",IFERROR(INDEX(pl_eq,MATCH(F1759,pl_num,0))&amp;"",C1759)&lt;&gt;C1759),"Plan d'un autre équipement",IF(AND(J1759&lt;&gt;"",OR(NOT(ISNUMBER(J1759)),N(J1759)&lt;0)),"Compteur invalide",IF(OR(AND(K1759&lt;&gt;"",OR(NOT(ISNUMBER(K1759)),N(K1759)&lt;0)),AND(L1759&lt;&gt;"",OR(NOT(ISNUMBER(L1759)),N(L1759)&lt;0))),"Durée invalide",IF(OR(AND(N1759&lt;&gt;"",OR(NOT(ISNUMBER(N1759)),N(N1759)&lt;0)),AND(P1759&lt;&gt;"",OR(NOT(ISNUMBER(P1759)),N(P1759)&lt;0))),"Coût invalide",IF(AND(M1759&lt;&gt;"",ISNA(MATCH(M1759,tech_name,0))),"Technicien inconnu",IF(AND(I1759="Terminée",S1759&gt;p_today),"Terminée à une date future",IF(AND(I1759="Terminée",V1759=0),"Durée d'intervention manquante",IF(AND(I1759="Terminée",E1759="Préventif",T1759=0,OR(IFERROR(INDEX(pl_trig,MATCH(F1759,pl_num,0))&amp;"","")="Compteur",IFERROR(INDEX(pl_trig,MATCH(F1759,pl_num,0))&amp;"","")="Au premier des deux")),"Compteur manquant (plan au compteur)","OK"))))))))))))))))))</f>
        <v/>
      </c>
      <c r="S1759" s="67">
        <f>IF(AND(ISNUMBER(B1759),N(B1759)&gt;0),INT(B1759),0)</f>
        <v>0.0</v>
      </c>
      <c r="T1759" s="67">
        <f>IF(AND(ISNUMBER(J1759),N(J1759)&gt;=0),N(J1759),0)</f>
        <v>0.0</v>
      </c>
      <c r="U1759" s="67">
        <f>IF(AND(ISNUMBER(K1759),N(K1759)&gt;0),N(K1759),0)</f>
        <v>0.0</v>
      </c>
      <c r="V1759" s="67">
        <f>IF(AND(ISNUMBER(L1759),N(L1759)&gt;0),N(L1759),0)</f>
        <v>0.0</v>
      </c>
      <c r="W1759" s="67">
        <f>IF(AND(I1759="Terminée",S1759&gt;0,C1759&lt;&gt;"",ISNUMBER(MATCH(C1759,eq_code,0))),1,0)</f>
        <v>0.0</v>
      </c>
      <c r="X1759" s="67">
        <f>IF(AND(W1759=1,E1759="Préventif"),1,0)</f>
        <v>0.0</v>
      </c>
      <c r="Y1759" s="67">
        <f>IF(AND(ISNUMBER(N1759),N(N1759)&gt;0),N(N1759),0)</f>
        <v>0.0</v>
      </c>
      <c r="Z1759" s="67">
        <f>IF(AND(ISNUMBER(P1759),N(P1759)&gt;0),N(P1759),0)</f>
        <v>0.0</v>
      </c>
    </row>
    <row r="1760">
      <c r="A1760" s="79" t="str">
        <f>IF(COUNTA(B1760:C1760,E1760:G1760,I1760)=0,"","BI-"&amp;RIGHT("0000"&amp;(ROW()-5),4))</f>
        <v/>
      </c>
      <c r="B1760" s="72" t="n"/>
      <c r="C1760" s="66" t="n"/>
      <c r="D1760" s="67" t="str">
        <f>IF(C1760="","",IFERROR(INDEX(eq_des,MATCH(C1760,eq_code,0))&amp;"","Équipement inconnu"))</f>
        <v/>
      </c>
      <c r="E1760" s="68" t="n"/>
      <c r="F1760" s="68" t="n"/>
      <c r="G1760" s="66" t="n"/>
      <c r="H1760" s="66" t="n"/>
      <c r="I1760" s="68" t="n"/>
      <c r="J1760" s="73" t="n"/>
      <c r="K1760" s="71" t="n"/>
      <c r="L1760" s="71" t="n"/>
      <c r="M1760" s="66" t="n"/>
      <c r="N1760" s="80" t="n"/>
      <c r="O1760" s="81" t="str">
        <f>IF(A1760="","",ROUND(V1760*IFERROR(N(INDEX(tech_rate,MATCH(M1760,tech_name,0))),0),2))</f>
        <v/>
      </c>
      <c r="P1760" s="80" t="n"/>
      <c r="Q1760" s="81" t="str">
        <f>IF(A1760="","",ROUND(Y1760+O1760+Z1760,2))</f>
        <v/>
      </c>
      <c r="R1760" s="79" t="str">
        <f>IF(A1760="","",IF(S1760=0,"Date manquante ou invalide",IF(C1760="","Équipement manquant",IF(ISNA(MATCH(C1760,eq_code,0)),"Équipement inconnu",IF(E1760="","Type manquant",IF(AND(E1760&lt;&gt;"Préventif",E1760&lt;&gt;"Correctif",E1760&lt;&gt;"Amélioratif"),"Type inconnu",IF(I1760="","Statut manquant",IF(AND(I1760&lt;&gt;"Terminée",I1760&lt;&gt;"En cours",I1760&lt;&gt;"À faire",I1760&lt;&gt;"Annulée"),"Statut inconnu",IF(AND(E1760="Préventif",F1760=""),"Plan manquant (préventif)",IF(AND(F1760&lt;&gt;"",ISNA(MATCH(F1760,pl_num,0))),"Plan inconnu",IF(AND(F1760&lt;&gt;"",IFERROR(INDEX(pl_eq,MATCH(F1760,pl_num,0))&amp;"",C1760)&lt;&gt;C1760),"Plan d'un autre équipement",IF(AND(J1760&lt;&gt;"",OR(NOT(ISNUMBER(J1760)),N(J1760)&lt;0)),"Compteur invalide",IF(OR(AND(K1760&lt;&gt;"",OR(NOT(ISNUMBER(K1760)),N(K1760)&lt;0)),AND(L1760&lt;&gt;"",OR(NOT(ISNUMBER(L1760)),N(L1760)&lt;0))),"Durée invalide",IF(OR(AND(N1760&lt;&gt;"",OR(NOT(ISNUMBER(N1760)),N(N1760)&lt;0)),AND(P1760&lt;&gt;"",OR(NOT(ISNUMBER(P1760)),N(P1760)&lt;0))),"Coût invalide",IF(AND(M1760&lt;&gt;"",ISNA(MATCH(M1760,tech_name,0))),"Technicien inconnu",IF(AND(I1760="Terminée",S1760&gt;p_today),"Terminée à une date future",IF(AND(I1760="Terminée",V1760=0),"Durée d'intervention manquante",IF(AND(I1760="Terminée",E1760="Préventif",T1760=0,OR(IFERROR(INDEX(pl_trig,MATCH(F1760,pl_num,0))&amp;"","")="Compteur",IFERROR(INDEX(pl_trig,MATCH(F1760,pl_num,0))&amp;"","")="Au premier des deux")),"Compteur manquant (plan au compteur)","OK"))))))))))))))))))</f>
        <v/>
      </c>
      <c r="S1760" s="67">
        <f>IF(AND(ISNUMBER(B1760),N(B1760)&gt;0),INT(B1760),0)</f>
        <v>0.0</v>
      </c>
      <c r="T1760" s="67">
        <f>IF(AND(ISNUMBER(J1760),N(J1760)&gt;=0),N(J1760),0)</f>
        <v>0.0</v>
      </c>
      <c r="U1760" s="67">
        <f>IF(AND(ISNUMBER(K1760),N(K1760)&gt;0),N(K1760),0)</f>
        <v>0.0</v>
      </c>
      <c r="V1760" s="67">
        <f>IF(AND(ISNUMBER(L1760),N(L1760)&gt;0),N(L1760),0)</f>
        <v>0.0</v>
      </c>
      <c r="W1760" s="67">
        <f>IF(AND(I1760="Terminée",S1760&gt;0,C1760&lt;&gt;"",ISNUMBER(MATCH(C1760,eq_code,0))),1,0)</f>
        <v>0.0</v>
      </c>
      <c r="X1760" s="67">
        <f>IF(AND(W1760=1,E1760="Préventif"),1,0)</f>
        <v>0.0</v>
      </c>
      <c r="Y1760" s="67">
        <f>IF(AND(ISNUMBER(N1760),N(N1760)&gt;0),N(N1760),0)</f>
        <v>0.0</v>
      </c>
      <c r="Z1760" s="67">
        <f>IF(AND(ISNUMBER(P1760),N(P1760)&gt;0),N(P1760),0)</f>
        <v>0.0</v>
      </c>
    </row>
    <row r="1761">
      <c r="A1761" s="79" t="str">
        <f>IF(COUNTA(B1761:C1761,E1761:G1761,I1761)=0,"","BI-"&amp;RIGHT("0000"&amp;(ROW()-5),4))</f>
        <v/>
      </c>
      <c r="B1761" s="72" t="n"/>
      <c r="C1761" s="66" t="n"/>
      <c r="D1761" s="67" t="str">
        <f>IF(C1761="","",IFERROR(INDEX(eq_des,MATCH(C1761,eq_code,0))&amp;"","Équipement inconnu"))</f>
        <v/>
      </c>
      <c r="E1761" s="68" t="n"/>
      <c r="F1761" s="68" t="n"/>
      <c r="G1761" s="66" t="n"/>
      <c r="H1761" s="66" t="n"/>
      <c r="I1761" s="68" t="n"/>
      <c r="J1761" s="73" t="n"/>
      <c r="K1761" s="71" t="n"/>
      <c r="L1761" s="71" t="n"/>
      <c r="M1761" s="66" t="n"/>
      <c r="N1761" s="80" t="n"/>
      <c r="O1761" s="81" t="str">
        <f>IF(A1761="","",ROUND(V1761*IFERROR(N(INDEX(tech_rate,MATCH(M1761,tech_name,0))),0),2))</f>
        <v/>
      </c>
      <c r="P1761" s="80" t="n"/>
      <c r="Q1761" s="81" t="str">
        <f>IF(A1761="","",ROUND(Y1761+O1761+Z1761,2))</f>
        <v/>
      </c>
      <c r="R1761" s="79" t="str">
        <f>IF(A1761="","",IF(S1761=0,"Date manquante ou invalide",IF(C1761="","Équipement manquant",IF(ISNA(MATCH(C1761,eq_code,0)),"Équipement inconnu",IF(E1761="","Type manquant",IF(AND(E1761&lt;&gt;"Préventif",E1761&lt;&gt;"Correctif",E1761&lt;&gt;"Amélioratif"),"Type inconnu",IF(I1761="","Statut manquant",IF(AND(I1761&lt;&gt;"Terminée",I1761&lt;&gt;"En cours",I1761&lt;&gt;"À faire",I1761&lt;&gt;"Annulée"),"Statut inconnu",IF(AND(E1761="Préventif",F1761=""),"Plan manquant (préventif)",IF(AND(F1761&lt;&gt;"",ISNA(MATCH(F1761,pl_num,0))),"Plan inconnu",IF(AND(F1761&lt;&gt;"",IFERROR(INDEX(pl_eq,MATCH(F1761,pl_num,0))&amp;"",C1761)&lt;&gt;C1761),"Plan d'un autre équipement",IF(AND(J1761&lt;&gt;"",OR(NOT(ISNUMBER(J1761)),N(J1761)&lt;0)),"Compteur invalide",IF(OR(AND(K1761&lt;&gt;"",OR(NOT(ISNUMBER(K1761)),N(K1761)&lt;0)),AND(L1761&lt;&gt;"",OR(NOT(ISNUMBER(L1761)),N(L1761)&lt;0))),"Durée invalide",IF(OR(AND(N1761&lt;&gt;"",OR(NOT(ISNUMBER(N1761)),N(N1761)&lt;0)),AND(P1761&lt;&gt;"",OR(NOT(ISNUMBER(P1761)),N(P1761)&lt;0))),"Coût invalide",IF(AND(M1761&lt;&gt;"",ISNA(MATCH(M1761,tech_name,0))),"Technicien inconnu",IF(AND(I1761="Terminée",S1761&gt;p_today),"Terminée à une date future",IF(AND(I1761="Terminée",V1761=0),"Durée d'intervention manquante",IF(AND(I1761="Terminée",E1761="Préventif",T1761=0,OR(IFERROR(INDEX(pl_trig,MATCH(F1761,pl_num,0))&amp;"","")="Compteur",IFERROR(INDEX(pl_trig,MATCH(F1761,pl_num,0))&amp;"","")="Au premier des deux")),"Compteur manquant (plan au compteur)","OK"))))))))))))))))))</f>
        <v/>
      </c>
      <c r="S1761" s="67">
        <f>IF(AND(ISNUMBER(B1761),N(B1761)&gt;0),INT(B1761),0)</f>
        <v>0.0</v>
      </c>
      <c r="T1761" s="67">
        <f>IF(AND(ISNUMBER(J1761),N(J1761)&gt;=0),N(J1761),0)</f>
        <v>0.0</v>
      </c>
      <c r="U1761" s="67">
        <f>IF(AND(ISNUMBER(K1761),N(K1761)&gt;0),N(K1761),0)</f>
        <v>0.0</v>
      </c>
      <c r="V1761" s="67">
        <f>IF(AND(ISNUMBER(L1761),N(L1761)&gt;0),N(L1761),0)</f>
        <v>0.0</v>
      </c>
      <c r="W1761" s="67">
        <f>IF(AND(I1761="Terminée",S1761&gt;0,C1761&lt;&gt;"",ISNUMBER(MATCH(C1761,eq_code,0))),1,0)</f>
        <v>0.0</v>
      </c>
      <c r="X1761" s="67">
        <f>IF(AND(W1761=1,E1761="Préventif"),1,0)</f>
        <v>0.0</v>
      </c>
      <c r="Y1761" s="67">
        <f>IF(AND(ISNUMBER(N1761),N(N1761)&gt;0),N(N1761),0)</f>
        <v>0.0</v>
      </c>
      <c r="Z1761" s="67">
        <f>IF(AND(ISNUMBER(P1761),N(P1761)&gt;0),N(P1761),0)</f>
        <v>0.0</v>
      </c>
    </row>
    <row r="1762">
      <c r="A1762" s="79" t="str">
        <f>IF(COUNTA(B1762:C1762,E1762:G1762,I1762)=0,"","BI-"&amp;RIGHT("0000"&amp;(ROW()-5),4))</f>
        <v/>
      </c>
      <c r="B1762" s="72" t="n"/>
      <c r="C1762" s="66" t="n"/>
      <c r="D1762" s="67" t="str">
        <f>IF(C1762="","",IFERROR(INDEX(eq_des,MATCH(C1762,eq_code,0))&amp;"","Équipement inconnu"))</f>
        <v/>
      </c>
      <c r="E1762" s="68" t="n"/>
      <c r="F1762" s="68" t="n"/>
      <c r="G1762" s="66" t="n"/>
      <c r="H1762" s="66" t="n"/>
      <c r="I1762" s="68" t="n"/>
      <c r="J1762" s="73" t="n"/>
      <c r="K1762" s="71" t="n"/>
      <c r="L1762" s="71" t="n"/>
      <c r="M1762" s="66" t="n"/>
      <c r="N1762" s="80" t="n"/>
      <c r="O1762" s="81" t="str">
        <f>IF(A1762="","",ROUND(V1762*IFERROR(N(INDEX(tech_rate,MATCH(M1762,tech_name,0))),0),2))</f>
        <v/>
      </c>
      <c r="P1762" s="80" t="n"/>
      <c r="Q1762" s="81" t="str">
        <f>IF(A1762="","",ROUND(Y1762+O1762+Z1762,2))</f>
        <v/>
      </c>
      <c r="R1762" s="79" t="str">
        <f>IF(A1762="","",IF(S1762=0,"Date manquante ou invalide",IF(C1762="","Équipement manquant",IF(ISNA(MATCH(C1762,eq_code,0)),"Équipement inconnu",IF(E1762="","Type manquant",IF(AND(E1762&lt;&gt;"Préventif",E1762&lt;&gt;"Correctif",E1762&lt;&gt;"Amélioratif"),"Type inconnu",IF(I1762="","Statut manquant",IF(AND(I1762&lt;&gt;"Terminée",I1762&lt;&gt;"En cours",I1762&lt;&gt;"À faire",I1762&lt;&gt;"Annulée"),"Statut inconnu",IF(AND(E1762="Préventif",F1762=""),"Plan manquant (préventif)",IF(AND(F1762&lt;&gt;"",ISNA(MATCH(F1762,pl_num,0))),"Plan inconnu",IF(AND(F1762&lt;&gt;"",IFERROR(INDEX(pl_eq,MATCH(F1762,pl_num,0))&amp;"",C1762)&lt;&gt;C1762),"Plan d'un autre équipement",IF(AND(J1762&lt;&gt;"",OR(NOT(ISNUMBER(J1762)),N(J1762)&lt;0)),"Compteur invalide",IF(OR(AND(K1762&lt;&gt;"",OR(NOT(ISNUMBER(K1762)),N(K1762)&lt;0)),AND(L1762&lt;&gt;"",OR(NOT(ISNUMBER(L1762)),N(L1762)&lt;0))),"Durée invalide",IF(OR(AND(N1762&lt;&gt;"",OR(NOT(ISNUMBER(N1762)),N(N1762)&lt;0)),AND(P1762&lt;&gt;"",OR(NOT(ISNUMBER(P1762)),N(P1762)&lt;0))),"Coût invalide",IF(AND(M1762&lt;&gt;"",ISNA(MATCH(M1762,tech_name,0))),"Technicien inconnu",IF(AND(I1762="Terminée",S1762&gt;p_today),"Terminée à une date future",IF(AND(I1762="Terminée",V1762=0),"Durée d'intervention manquante",IF(AND(I1762="Terminée",E1762="Préventif",T1762=0,OR(IFERROR(INDEX(pl_trig,MATCH(F1762,pl_num,0))&amp;"","")="Compteur",IFERROR(INDEX(pl_trig,MATCH(F1762,pl_num,0))&amp;"","")="Au premier des deux")),"Compteur manquant (plan au compteur)","OK"))))))))))))))))))</f>
        <v/>
      </c>
      <c r="S1762" s="67">
        <f>IF(AND(ISNUMBER(B1762),N(B1762)&gt;0),INT(B1762),0)</f>
        <v>0.0</v>
      </c>
      <c r="T1762" s="67">
        <f>IF(AND(ISNUMBER(J1762),N(J1762)&gt;=0),N(J1762),0)</f>
        <v>0.0</v>
      </c>
      <c r="U1762" s="67">
        <f>IF(AND(ISNUMBER(K1762),N(K1762)&gt;0),N(K1762),0)</f>
        <v>0.0</v>
      </c>
      <c r="V1762" s="67">
        <f>IF(AND(ISNUMBER(L1762),N(L1762)&gt;0),N(L1762),0)</f>
        <v>0.0</v>
      </c>
      <c r="W1762" s="67">
        <f>IF(AND(I1762="Terminée",S1762&gt;0,C1762&lt;&gt;"",ISNUMBER(MATCH(C1762,eq_code,0))),1,0)</f>
        <v>0.0</v>
      </c>
      <c r="X1762" s="67">
        <f>IF(AND(W1762=1,E1762="Préventif"),1,0)</f>
        <v>0.0</v>
      </c>
      <c r="Y1762" s="67">
        <f>IF(AND(ISNUMBER(N1762),N(N1762)&gt;0),N(N1762),0)</f>
        <v>0.0</v>
      </c>
      <c r="Z1762" s="67">
        <f>IF(AND(ISNUMBER(P1762),N(P1762)&gt;0),N(P1762),0)</f>
        <v>0.0</v>
      </c>
    </row>
    <row r="1763">
      <c r="A1763" s="79" t="str">
        <f>IF(COUNTA(B1763:C1763,E1763:G1763,I1763)=0,"","BI-"&amp;RIGHT("0000"&amp;(ROW()-5),4))</f>
        <v/>
      </c>
      <c r="B1763" s="72" t="n"/>
      <c r="C1763" s="66" t="n"/>
      <c r="D1763" s="67" t="str">
        <f>IF(C1763="","",IFERROR(INDEX(eq_des,MATCH(C1763,eq_code,0))&amp;"","Équipement inconnu"))</f>
        <v/>
      </c>
      <c r="E1763" s="68" t="n"/>
      <c r="F1763" s="68" t="n"/>
      <c r="G1763" s="66" t="n"/>
      <c r="H1763" s="66" t="n"/>
      <c r="I1763" s="68" t="n"/>
      <c r="J1763" s="73" t="n"/>
      <c r="K1763" s="71" t="n"/>
      <c r="L1763" s="71" t="n"/>
      <c r="M1763" s="66" t="n"/>
      <c r="N1763" s="80" t="n"/>
      <c r="O1763" s="81" t="str">
        <f>IF(A1763="","",ROUND(V1763*IFERROR(N(INDEX(tech_rate,MATCH(M1763,tech_name,0))),0),2))</f>
        <v/>
      </c>
      <c r="P1763" s="80" t="n"/>
      <c r="Q1763" s="81" t="str">
        <f>IF(A1763="","",ROUND(Y1763+O1763+Z1763,2))</f>
        <v/>
      </c>
      <c r="R1763" s="79" t="str">
        <f>IF(A1763="","",IF(S1763=0,"Date manquante ou invalide",IF(C1763="","Équipement manquant",IF(ISNA(MATCH(C1763,eq_code,0)),"Équipement inconnu",IF(E1763="","Type manquant",IF(AND(E1763&lt;&gt;"Préventif",E1763&lt;&gt;"Correctif",E1763&lt;&gt;"Amélioratif"),"Type inconnu",IF(I1763="","Statut manquant",IF(AND(I1763&lt;&gt;"Terminée",I1763&lt;&gt;"En cours",I1763&lt;&gt;"À faire",I1763&lt;&gt;"Annulée"),"Statut inconnu",IF(AND(E1763="Préventif",F1763=""),"Plan manquant (préventif)",IF(AND(F1763&lt;&gt;"",ISNA(MATCH(F1763,pl_num,0))),"Plan inconnu",IF(AND(F1763&lt;&gt;"",IFERROR(INDEX(pl_eq,MATCH(F1763,pl_num,0))&amp;"",C1763)&lt;&gt;C1763),"Plan d'un autre équipement",IF(AND(J1763&lt;&gt;"",OR(NOT(ISNUMBER(J1763)),N(J1763)&lt;0)),"Compteur invalide",IF(OR(AND(K1763&lt;&gt;"",OR(NOT(ISNUMBER(K1763)),N(K1763)&lt;0)),AND(L1763&lt;&gt;"",OR(NOT(ISNUMBER(L1763)),N(L1763)&lt;0))),"Durée invalide",IF(OR(AND(N1763&lt;&gt;"",OR(NOT(ISNUMBER(N1763)),N(N1763)&lt;0)),AND(P1763&lt;&gt;"",OR(NOT(ISNUMBER(P1763)),N(P1763)&lt;0))),"Coût invalide",IF(AND(M1763&lt;&gt;"",ISNA(MATCH(M1763,tech_name,0))),"Technicien inconnu",IF(AND(I1763="Terminée",S1763&gt;p_today),"Terminée à une date future",IF(AND(I1763="Terminée",V1763=0),"Durée d'intervention manquante",IF(AND(I1763="Terminée",E1763="Préventif",T1763=0,OR(IFERROR(INDEX(pl_trig,MATCH(F1763,pl_num,0))&amp;"","")="Compteur",IFERROR(INDEX(pl_trig,MATCH(F1763,pl_num,0))&amp;"","")="Au premier des deux")),"Compteur manquant (plan au compteur)","OK"))))))))))))))))))</f>
        <v/>
      </c>
      <c r="S1763" s="67">
        <f>IF(AND(ISNUMBER(B1763),N(B1763)&gt;0),INT(B1763),0)</f>
        <v>0.0</v>
      </c>
      <c r="T1763" s="67">
        <f>IF(AND(ISNUMBER(J1763),N(J1763)&gt;=0),N(J1763),0)</f>
        <v>0.0</v>
      </c>
      <c r="U1763" s="67">
        <f>IF(AND(ISNUMBER(K1763),N(K1763)&gt;0),N(K1763),0)</f>
        <v>0.0</v>
      </c>
      <c r="V1763" s="67">
        <f>IF(AND(ISNUMBER(L1763),N(L1763)&gt;0),N(L1763),0)</f>
        <v>0.0</v>
      </c>
      <c r="W1763" s="67">
        <f>IF(AND(I1763="Terminée",S1763&gt;0,C1763&lt;&gt;"",ISNUMBER(MATCH(C1763,eq_code,0))),1,0)</f>
        <v>0.0</v>
      </c>
      <c r="X1763" s="67">
        <f>IF(AND(W1763=1,E1763="Préventif"),1,0)</f>
        <v>0.0</v>
      </c>
      <c r="Y1763" s="67">
        <f>IF(AND(ISNUMBER(N1763),N(N1763)&gt;0),N(N1763),0)</f>
        <v>0.0</v>
      </c>
      <c r="Z1763" s="67">
        <f>IF(AND(ISNUMBER(P1763),N(P1763)&gt;0),N(P1763),0)</f>
        <v>0.0</v>
      </c>
    </row>
    <row r="1764">
      <c r="A1764" s="79" t="str">
        <f>IF(COUNTA(B1764:C1764,E1764:G1764,I1764)=0,"","BI-"&amp;RIGHT("0000"&amp;(ROW()-5),4))</f>
        <v/>
      </c>
      <c r="B1764" s="72" t="n"/>
      <c r="C1764" s="66" t="n"/>
      <c r="D1764" s="67" t="str">
        <f>IF(C1764="","",IFERROR(INDEX(eq_des,MATCH(C1764,eq_code,0))&amp;"","Équipement inconnu"))</f>
        <v/>
      </c>
      <c r="E1764" s="68" t="n"/>
      <c r="F1764" s="68" t="n"/>
      <c r="G1764" s="66" t="n"/>
      <c r="H1764" s="66" t="n"/>
      <c r="I1764" s="68" t="n"/>
      <c r="J1764" s="73" t="n"/>
      <c r="K1764" s="71" t="n"/>
      <c r="L1764" s="71" t="n"/>
      <c r="M1764" s="66" t="n"/>
      <c r="N1764" s="80" t="n"/>
      <c r="O1764" s="81" t="str">
        <f>IF(A1764="","",ROUND(V1764*IFERROR(N(INDEX(tech_rate,MATCH(M1764,tech_name,0))),0),2))</f>
        <v/>
      </c>
      <c r="P1764" s="80" t="n"/>
      <c r="Q1764" s="81" t="str">
        <f>IF(A1764="","",ROUND(Y1764+O1764+Z1764,2))</f>
        <v/>
      </c>
      <c r="R1764" s="79" t="str">
        <f>IF(A1764="","",IF(S1764=0,"Date manquante ou invalide",IF(C1764="","Équipement manquant",IF(ISNA(MATCH(C1764,eq_code,0)),"Équipement inconnu",IF(E1764="","Type manquant",IF(AND(E1764&lt;&gt;"Préventif",E1764&lt;&gt;"Correctif",E1764&lt;&gt;"Amélioratif"),"Type inconnu",IF(I1764="","Statut manquant",IF(AND(I1764&lt;&gt;"Terminée",I1764&lt;&gt;"En cours",I1764&lt;&gt;"À faire",I1764&lt;&gt;"Annulée"),"Statut inconnu",IF(AND(E1764="Préventif",F1764=""),"Plan manquant (préventif)",IF(AND(F1764&lt;&gt;"",ISNA(MATCH(F1764,pl_num,0))),"Plan inconnu",IF(AND(F1764&lt;&gt;"",IFERROR(INDEX(pl_eq,MATCH(F1764,pl_num,0))&amp;"",C1764)&lt;&gt;C1764),"Plan d'un autre équipement",IF(AND(J1764&lt;&gt;"",OR(NOT(ISNUMBER(J1764)),N(J1764)&lt;0)),"Compteur invalide",IF(OR(AND(K1764&lt;&gt;"",OR(NOT(ISNUMBER(K1764)),N(K1764)&lt;0)),AND(L1764&lt;&gt;"",OR(NOT(ISNUMBER(L1764)),N(L1764)&lt;0))),"Durée invalide",IF(OR(AND(N1764&lt;&gt;"",OR(NOT(ISNUMBER(N1764)),N(N1764)&lt;0)),AND(P1764&lt;&gt;"",OR(NOT(ISNUMBER(P1764)),N(P1764)&lt;0))),"Coût invalide",IF(AND(M1764&lt;&gt;"",ISNA(MATCH(M1764,tech_name,0))),"Technicien inconnu",IF(AND(I1764="Terminée",S1764&gt;p_today),"Terminée à une date future",IF(AND(I1764="Terminée",V1764=0),"Durée d'intervention manquante",IF(AND(I1764="Terminée",E1764="Préventif",T1764=0,OR(IFERROR(INDEX(pl_trig,MATCH(F1764,pl_num,0))&amp;"","")="Compteur",IFERROR(INDEX(pl_trig,MATCH(F1764,pl_num,0))&amp;"","")="Au premier des deux")),"Compteur manquant (plan au compteur)","OK"))))))))))))))))))</f>
        <v/>
      </c>
      <c r="S1764" s="67">
        <f>IF(AND(ISNUMBER(B1764),N(B1764)&gt;0),INT(B1764),0)</f>
        <v>0.0</v>
      </c>
      <c r="T1764" s="67">
        <f>IF(AND(ISNUMBER(J1764),N(J1764)&gt;=0),N(J1764),0)</f>
        <v>0.0</v>
      </c>
      <c r="U1764" s="67">
        <f>IF(AND(ISNUMBER(K1764),N(K1764)&gt;0),N(K1764),0)</f>
        <v>0.0</v>
      </c>
      <c r="V1764" s="67">
        <f>IF(AND(ISNUMBER(L1764),N(L1764)&gt;0),N(L1764),0)</f>
        <v>0.0</v>
      </c>
      <c r="W1764" s="67">
        <f>IF(AND(I1764="Terminée",S1764&gt;0,C1764&lt;&gt;"",ISNUMBER(MATCH(C1764,eq_code,0))),1,0)</f>
        <v>0.0</v>
      </c>
      <c r="X1764" s="67">
        <f>IF(AND(W1764=1,E1764="Préventif"),1,0)</f>
        <v>0.0</v>
      </c>
      <c r="Y1764" s="67">
        <f>IF(AND(ISNUMBER(N1764),N(N1764)&gt;0),N(N1764),0)</f>
        <v>0.0</v>
      </c>
      <c r="Z1764" s="67">
        <f>IF(AND(ISNUMBER(P1764),N(P1764)&gt;0),N(P1764),0)</f>
        <v>0.0</v>
      </c>
    </row>
    <row r="1765">
      <c r="A1765" s="79" t="str">
        <f>IF(COUNTA(B1765:C1765,E1765:G1765,I1765)=0,"","BI-"&amp;RIGHT("0000"&amp;(ROW()-5),4))</f>
        <v/>
      </c>
      <c r="B1765" s="72" t="n"/>
      <c r="C1765" s="66" t="n"/>
      <c r="D1765" s="67" t="str">
        <f>IF(C1765="","",IFERROR(INDEX(eq_des,MATCH(C1765,eq_code,0))&amp;"","Équipement inconnu"))</f>
        <v/>
      </c>
      <c r="E1765" s="68" t="n"/>
      <c r="F1765" s="68" t="n"/>
      <c r="G1765" s="66" t="n"/>
      <c r="H1765" s="66" t="n"/>
      <c r="I1765" s="68" t="n"/>
      <c r="J1765" s="73" t="n"/>
      <c r="K1765" s="71" t="n"/>
      <c r="L1765" s="71" t="n"/>
      <c r="M1765" s="66" t="n"/>
      <c r="N1765" s="80" t="n"/>
      <c r="O1765" s="81" t="str">
        <f>IF(A1765="","",ROUND(V1765*IFERROR(N(INDEX(tech_rate,MATCH(M1765,tech_name,0))),0),2))</f>
        <v/>
      </c>
      <c r="P1765" s="80" t="n"/>
      <c r="Q1765" s="81" t="str">
        <f>IF(A1765="","",ROUND(Y1765+O1765+Z1765,2))</f>
        <v/>
      </c>
      <c r="R1765" s="79" t="str">
        <f>IF(A1765="","",IF(S1765=0,"Date manquante ou invalide",IF(C1765="","Équipement manquant",IF(ISNA(MATCH(C1765,eq_code,0)),"Équipement inconnu",IF(E1765="","Type manquant",IF(AND(E1765&lt;&gt;"Préventif",E1765&lt;&gt;"Correctif",E1765&lt;&gt;"Amélioratif"),"Type inconnu",IF(I1765="","Statut manquant",IF(AND(I1765&lt;&gt;"Terminée",I1765&lt;&gt;"En cours",I1765&lt;&gt;"À faire",I1765&lt;&gt;"Annulée"),"Statut inconnu",IF(AND(E1765="Préventif",F1765=""),"Plan manquant (préventif)",IF(AND(F1765&lt;&gt;"",ISNA(MATCH(F1765,pl_num,0))),"Plan inconnu",IF(AND(F1765&lt;&gt;"",IFERROR(INDEX(pl_eq,MATCH(F1765,pl_num,0))&amp;"",C1765)&lt;&gt;C1765),"Plan d'un autre équipement",IF(AND(J1765&lt;&gt;"",OR(NOT(ISNUMBER(J1765)),N(J1765)&lt;0)),"Compteur invalide",IF(OR(AND(K1765&lt;&gt;"",OR(NOT(ISNUMBER(K1765)),N(K1765)&lt;0)),AND(L1765&lt;&gt;"",OR(NOT(ISNUMBER(L1765)),N(L1765)&lt;0))),"Durée invalide",IF(OR(AND(N1765&lt;&gt;"",OR(NOT(ISNUMBER(N1765)),N(N1765)&lt;0)),AND(P1765&lt;&gt;"",OR(NOT(ISNUMBER(P1765)),N(P1765)&lt;0))),"Coût invalide",IF(AND(M1765&lt;&gt;"",ISNA(MATCH(M1765,tech_name,0))),"Technicien inconnu",IF(AND(I1765="Terminée",S1765&gt;p_today),"Terminée à une date future",IF(AND(I1765="Terminée",V1765=0),"Durée d'intervention manquante",IF(AND(I1765="Terminée",E1765="Préventif",T1765=0,OR(IFERROR(INDEX(pl_trig,MATCH(F1765,pl_num,0))&amp;"","")="Compteur",IFERROR(INDEX(pl_trig,MATCH(F1765,pl_num,0))&amp;"","")="Au premier des deux")),"Compteur manquant (plan au compteur)","OK"))))))))))))))))))</f>
        <v/>
      </c>
      <c r="S1765" s="67">
        <f>IF(AND(ISNUMBER(B1765),N(B1765)&gt;0),INT(B1765),0)</f>
        <v>0.0</v>
      </c>
      <c r="T1765" s="67">
        <f>IF(AND(ISNUMBER(J1765),N(J1765)&gt;=0),N(J1765),0)</f>
        <v>0.0</v>
      </c>
      <c r="U1765" s="67">
        <f>IF(AND(ISNUMBER(K1765),N(K1765)&gt;0),N(K1765),0)</f>
        <v>0.0</v>
      </c>
      <c r="V1765" s="67">
        <f>IF(AND(ISNUMBER(L1765),N(L1765)&gt;0),N(L1765),0)</f>
        <v>0.0</v>
      </c>
      <c r="W1765" s="67">
        <f>IF(AND(I1765="Terminée",S1765&gt;0,C1765&lt;&gt;"",ISNUMBER(MATCH(C1765,eq_code,0))),1,0)</f>
        <v>0.0</v>
      </c>
      <c r="X1765" s="67">
        <f>IF(AND(W1765=1,E1765="Préventif"),1,0)</f>
        <v>0.0</v>
      </c>
      <c r="Y1765" s="67">
        <f>IF(AND(ISNUMBER(N1765),N(N1765)&gt;0),N(N1765),0)</f>
        <v>0.0</v>
      </c>
      <c r="Z1765" s="67">
        <f>IF(AND(ISNUMBER(P1765),N(P1765)&gt;0),N(P1765),0)</f>
        <v>0.0</v>
      </c>
    </row>
    <row r="1766">
      <c r="A1766" s="79" t="str">
        <f>IF(COUNTA(B1766:C1766,E1766:G1766,I1766)=0,"","BI-"&amp;RIGHT("0000"&amp;(ROW()-5),4))</f>
        <v/>
      </c>
      <c r="B1766" s="72" t="n"/>
      <c r="C1766" s="66" t="n"/>
      <c r="D1766" s="67" t="str">
        <f>IF(C1766="","",IFERROR(INDEX(eq_des,MATCH(C1766,eq_code,0))&amp;"","Équipement inconnu"))</f>
        <v/>
      </c>
      <c r="E1766" s="68" t="n"/>
      <c r="F1766" s="68" t="n"/>
      <c r="G1766" s="66" t="n"/>
      <c r="H1766" s="66" t="n"/>
      <c r="I1766" s="68" t="n"/>
      <c r="J1766" s="73" t="n"/>
      <c r="K1766" s="71" t="n"/>
      <c r="L1766" s="71" t="n"/>
      <c r="M1766" s="66" t="n"/>
      <c r="N1766" s="80" t="n"/>
      <c r="O1766" s="81" t="str">
        <f>IF(A1766="","",ROUND(V1766*IFERROR(N(INDEX(tech_rate,MATCH(M1766,tech_name,0))),0),2))</f>
        <v/>
      </c>
      <c r="P1766" s="80" t="n"/>
      <c r="Q1766" s="81" t="str">
        <f>IF(A1766="","",ROUND(Y1766+O1766+Z1766,2))</f>
        <v/>
      </c>
      <c r="R1766" s="79" t="str">
        <f>IF(A1766="","",IF(S1766=0,"Date manquante ou invalide",IF(C1766="","Équipement manquant",IF(ISNA(MATCH(C1766,eq_code,0)),"Équipement inconnu",IF(E1766="","Type manquant",IF(AND(E1766&lt;&gt;"Préventif",E1766&lt;&gt;"Correctif",E1766&lt;&gt;"Amélioratif"),"Type inconnu",IF(I1766="","Statut manquant",IF(AND(I1766&lt;&gt;"Terminée",I1766&lt;&gt;"En cours",I1766&lt;&gt;"À faire",I1766&lt;&gt;"Annulée"),"Statut inconnu",IF(AND(E1766="Préventif",F1766=""),"Plan manquant (préventif)",IF(AND(F1766&lt;&gt;"",ISNA(MATCH(F1766,pl_num,0))),"Plan inconnu",IF(AND(F1766&lt;&gt;"",IFERROR(INDEX(pl_eq,MATCH(F1766,pl_num,0))&amp;"",C1766)&lt;&gt;C1766),"Plan d'un autre équipement",IF(AND(J1766&lt;&gt;"",OR(NOT(ISNUMBER(J1766)),N(J1766)&lt;0)),"Compteur invalide",IF(OR(AND(K1766&lt;&gt;"",OR(NOT(ISNUMBER(K1766)),N(K1766)&lt;0)),AND(L1766&lt;&gt;"",OR(NOT(ISNUMBER(L1766)),N(L1766)&lt;0))),"Durée invalide",IF(OR(AND(N1766&lt;&gt;"",OR(NOT(ISNUMBER(N1766)),N(N1766)&lt;0)),AND(P1766&lt;&gt;"",OR(NOT(ISNUMBER(P1766)),N(P1766)&lt;0))),"Coût invalide",IF(AND(M1766&lt;&gt;"",ISNA(MATCH(M1766,tech_name,0))),"Technicien inconnu",IF(AND(I1766="Terminée",S1766&gt;p_today),"Terminée à une date future",IF(AND(I1766="Terminée",V1766=0),"Durée d'intervention manquante",IF(AND(I1766="Terminée",E1766="Préventif",T1766=0,OR(IFERROR(INDEX(pl_trig,MATCH(F1766,pl_num,0))&amp;"","")="Compteur",IFERROR(INDEX(pl_trig,MATCH(F1766,pl_num,0))&amp;"","")="Au premier des deux")),"Compteur manquant (plan au compteur)","OK"))))))))))))))))))</f>
        <v/>
      </c>
      <c r="S1766" s="67">
        <f>IF(AND(ISNUMBER(B1766),N(B1766)&gt;0),INT(B1766),0)</f>
        <v>0.0</v>
      </c>
      <c r="T1766" s="67">
        <f>IF(AND(ISNUMBER(J1766),N(J1766)&gt;=0),N(J1766),0)</f>
        <v>0.0</v>
      </c>
      <c r="U1766" s="67">
        <f>IF(AND(ISNUMBER(K1766),N(K1766)&gt;0),N(K1766),0)</f>
        <v>0.0</v>
      </c>
      <c r="V1766" s="67">
        <f>IF(AND(ISNUMBER(L1766),N(L1766)&gt;0),N(L1766),0)</f>
        <v>0.0</v>
      </c>
      <c r="W1766" s="67">
        <f>IF(AND(I1766="Terminée",S1766&gt;0,C1766&lt;&gt;"",ISNUMBER(MATCH(C1766,eq_code,0))),1,0)</f>
        <v>0.0</v>
      </c>
      <c r="X1766" s="67">
        <f>IF(AND(W1766=1,E1766="Préventif"),1,0)</f>
        <v>0.0</v>
      </c>
      <c r="Y1766" s="67">
        <f>IF(AND(ISNUMBER(N1766),N(N1766)&gt;0),N(N1766),0)</f>
        <v>0.0</v>
      </c>
      <c r="Z1766" s="67">
        <f>IF(AND(ISNUMBER(P1766),N(P1766)&gt;0),N(P1766),0)</f>
        <v>0.0</v>
      </c>
    </row>
    <row r="1767">
      <c r="A1767" s="79" t="str">
        <f>IF(COUNTA(B1767:C1767,E1767:G1767,I1767)=0,"","BI-"&amp;RIGHT("0000"&amp;(ROW()-5),4))</f>
        <v/>
      </c>
      <c r="B1767" s="72" t="n"/>
      <c r="C1767" s="66" t="n"/>
      <c r="D1767" s="67" t="str">
        <f>IF(C1767="","",IFERROR(INDEX(eq_des,MATCH(C1767,eq_code,0))&amp;"","Équipement inconnu"))</f>
        <v/>
      </c>
      <c r="E1767" s="68" t="n"/>
      <c r="F1767" s="68" t="n"/>
      <c r="G1767" s="66" t="n"/>
      <c r="H1767" s="66" t="n"/>
      <c r="I1767" s="68" t="n"/>
      <c r="J1767" s="73" t="n"/>
      <c r="K1767" s="71" t="n"/>
      <c r="L1767" s="71" t="n"/>
      <c r="M1767" s="66" t="n"/>
      <c r="N1767" s="80" t="n"/>
      <c r="O1767" s="81" t="str">
        <f>IF(A1767="","",ROUND(V1767*IFERROR(N(INDEX(tech_rate,MATCH(M1767,tech_name,0))),0),2))</f>
        <v/>
      </c>
      <c r="P1767" s="80" t="n"/>
      <c r="Q1767" s="81" t="str">
        <f>IF(A1767="","",ROUND(Y1767+O1767+Z1767,2))</f>
        <v/>
      </c>
      <c r="R1767" s="79" t="str">
        <f>IF(A1767="","",IF(S1767=0,"Date manquante ou invalide",IF(C1767="","Équipement manquant",IF(ISNA(MATCH(C1767,eq_code,0)),"Équipement inconnu",IF(E1767="","Type manquant",IF(AND(E1767&lt;&gt;"Préventif",E1767&lt;&gt;"Correctif",E1767&lt;&gt;"Amélioratif"),"Type inconnu",IF(I1767="","Statut manquant",IF(AND(I1767&lt;&gt;"Terminée",I1767&lt;&gt;"En cours",I1767&lt;&gt;"À faire",I1767&lt;&gt;"Annulée"),"Statut inconnu",IF(AND(E1767="Préventif",F1767=""),"Plan manquant (préventif)",IF(AND(F1767&lt;&gt;"",ISNA(MATCH(F1767,pl_num,0))),"Plan inconnu",IF(AND(F1767&lt;&gt;"",IFERROR(INDEX(pl_eq,MATCH(F1767,pl_num,0))&amp;"",C1767)&lt;&gt;C1767),"Plan d'un autre équipement",IF(AND(J1767&lt;&gt;"",OR(NOT(ISNUMBER(J1767)),N(J1767)&lt;0)),"Compteur invalide",IF(OR(AND(K1767&lt;&gt;"",OR(NOT(ISNUMBER(K1767)),N(K1767)&lt;0)),AND(L1767&lt;&gt;"",OR(NOT(ISNUMBER(L1767)),N(L1767)&lt;0))),"Durée invalide",IF(OR(AND(N1767&lt;&gt;"",OR(NOT(ISNUMBER(N1767)),N(N1767)&lt;0)),AND(P1767&lt;&gt;"",OR(NOT(ISNUMBER(P1767)),N(P1767)&lt;0))),"Coût invalide",IF(AND(M1767&lt;&gt;"",ISNA(MATCH(M1767,tech_name,0))),"Technicien inconnu",IF(AND(I1767="Terminée",S1767&gt;p_today),"Terminée à une date future",IF(AND(I1767="Terminée",V1767=0),"Durée d'intervention manquante",IF(AND(I1767="Terminée",E1767="Préventif",T1767=0,OR(IFERROR(INDEX(pl_trig,MATCH(F1767,pl_num,0))&amp;"","")="Compteur",IFERROR(INDEX(pl_trig,MATCH(F1767,pl_num,0))&amp;"","")="Au premier des deux")),"Compteur manquant (plan au compteur)","OK"))))))))))))))))))</f>
        <v/>
      </c>
      <c r="S1767" s="67">
        <f>IF(AND(ISNUMBER(B1767),N(B1767)&gt;0),INT(B1767),0)</f>
        <v>0.0</v>
      </c>
      <c r="T1767" s="67">
        <f>IF(AND(ISNUMBER(J1767),N(J1767)&gt;=0),N(J1767),0)</f>
        <v>0.0</v>
      </c>
      <c r="U1767" s="67">
        <f>IF(AND(ISNUMBER(K1767),N(K1767)&gt;0),N(K1767),0)</f>
        <v>0.0</v>
      </c>
      <c r="V1767" s="67">
        <f>IF(AND(ISNUMBER(L1767),N(L1767)&gt;0),N(L1767),0)</f>
        <v>0.0</v>
      </c>
      <c r="W1767" s="67">
        <f>IF(AND(I1767="Terminée",S1767&gt;0,C1767&lt;&gt;"",ISNUMBER(MATCH(C1767,eq_code,0))),1,0)</f>
        <v>0.0</v>
      </c>
      <c r="X1767" s="67">
        <f>IF(AND(W1767=1,E1767="Préventif"),1,0)</f>
        <v>0.0</v>
      </c>
      <c r="Y1767" s="67">
        <f>IF(AND(ISNUMBER(N1767),N(N1767)&gt;0),N(N1767),0)</f>
        <v>0.0</v>
      </c>
      <c r="Z1767" s="67">
        <f>IF(AND(ISNUMBER(P1767),N(P1767)&gt;0),N(P1767),0)</f>
        <v>0.0</v>
      </c>
    </row>
    <row r="1768">
      <c r="A1768" s="79" t="str">
        <f>IF(COUNTA(B1768:C1768,E1768:G1768,I1768)=0,"","BI-"&amp;RIGHT("0000"&amp;(ROW()-5),4))</f>
        <v/>
      </c>
      <c r="B1768" s="72" t="n"/>
      <c r="C1768" s="66" t="n"/>
      <c r="D1768" s="67" t="str">
        <f>IF(C1768="","",IFERROR(INDEX(eq_des,MATCH(C1768,eq_code,0))&amp;"","Équipement inconnu"))</f>
        <v/>
      </c>
      <c r="E1768" s="68" t="n"/>
      <c r="F1768" s="68" t="n"/>
      <c r="G1768" s="66" t="n"/>
      <c r="H1768" s="66" t="n"/>
      <c r="I1768" s="68" t="n"/>
      <c r="J1768" s="73" t="n"/>
      <c r="K1768" s="71" t="n"/>
      <c r="L1768" s="71" t="n"/>
      <c r="M1768" s="66" t="n"/>
      <c r="N1768" s="80" t="n"/>
      <c r="O1768" s="81" t="str">
        <f>IF(A1768="","",ROUND(V1768*IFERROR(N(INDEX(tech_rate,MATCH(M1768,tech_name,0))),0),2))</f>
        <v/>
      </c>
      <c r="P1768" s="80" t="n"/>
      <c r="Q1768" s="81" t="str">
        <f>IF(A1768="","",ROUND(Y1768+O1768+Z1768,2))</f>
        <v/>
      </c>
      <c r="R1768" s="79" t="str">
        <f>IF(A1768="","",IF(S1768=0,"Date manquante ou invalide",IF(C1768="","Équipement manquant",IF(ISNA(MATCH(C1768,eq_code,0)),"Équipement inconnu",IF(E1768="","Type manquant",IF(AND(E1768&lt;&gt;"Préventif",E1768&lt;&gt;"Correctif",E1768&lt;&gt;"Amélioratif"),"Type inconnu",IF(I1768="","Statut manquant",IF(AND(I1768&lt;&gt;"Terminée",I1768&lt;&gt;"En cours",I1768&lt;&gt;"À faire",I1768&lt;&gt;"Annulée"),"Statut inconnu",IF(AND(E1768="Préventif",F1768=""),"Plan manquant (préventif)",IF(AND(F1768&lt;&gt;"",ISNA(MATCH(F1768,pl_num,0))),"Plan inconnu",IF(AND(F1768&lt;&gt;"",IFERROR(INDEX(pl_eq,MATCH(F1768,pl_num,0))&amp;"",C1768)&lt;&gt;C1768),"Plan d'un autre équipement",IF(AND(J1768&lt;&gt;"",OR(NOT(ISNUMBER(J1768)),N(J1768)&lt;0)),"Compteur invalide",IF(OR(AND(K1768&lt;&gt;"",OR(NOT(ISNUMBER(K1768)),N(K1768)&lt;0)),AND(L1768&lt;&gt;"",OR(NOT(ISNUMBER(L1768)),N(L1768)&lt;0))),"Durée invalide",IF(OR(AND(N1768&lt;&gt;"",OR(NOT(ISNUMBER(N1768)),N(N1768)&lt;0)),AND(P1768&lt;&gt;"",OR(NOT(ISNUMBER(P1768)),N(P1768)&lt;0))),"Coût invalide",IF(AND(M1768&lt;&gt;"",ISNA(MATCH(M1768,tech_name,0))),"Technicien inconnu",IF(AND(I1768="Terminée",S1768&gt;p_today),"Terminée à une date future",IF(AND(I1768="Terminée",V1768=0),"Durée d'intervention manquante",IF(AND(I1768="Terminée",E1768="Préventif",T1768=0,OR(IFERROR(INDEX(pl_trig,MATCH(F1768,pl_num,0))&amp;"","")="Compteur",IFERROR(INDEX(pl_trig,MATCH(F1768,pl_num,0))&amp;"","")="Au premier des deux")),"Compteur manquant (plan au compteur)","OK"))))))))))))))))))</f>
        <v/>
      </c>
      <c r="S1768" s="67">
        <f>IF(AND(ISNUMBER(B1768),N(B1768)&gt;0),INT(B1768),0)</f>
        <v>0.0</v>
      </c>
      <c r="T1768" s="67">
        <f>IF(AND(ISNUMBER(J1768),N(J1768)&gt;=0),N(J1768),0)</f>
        <v>0.0</v>
      </c>
      <c r="U1768" s="67">
        <f>IF(AND(ISNUMBER(K1768),N(K1768)&gt;0),N(K1768),0)</f>
        <v>0.0</v>
      </c>
      <c r="V1768" s="67">
        <f>IF(AND(ISNUMBER(L1768),N(L1768)&gt;0),N(L1768),0)</f>
        <v>0.0</v>
      </c>
      <c r="W1768" s="67">
        <f>IF(AND(I1768="Terminée",S1768&gt;0,C1768&lt;&gt;"",ISNUMBER(MATCH(C1768,eq_code,0))),1,0)</f>
        <v>0.0</v>
      </c>
      <c r="X1768" s="67">
        <f>IF(AND(W1768=1,E1768="Préventif"),1,0)</f>
        <v>0.0</v>
      </c>
      <c r="Y1768" s="67">
        <f>IF(AND(ISNUMBER(N1768),N(N1768)&gt;0),N(N1768),0)</f>
        <v>0.0</v>
      </c>
      <c r="Z1768" s="67">
        <f>IF(AND(ISNUMBER(P1768),N(P1768)&gt;0),N(P1768),0)</f>
        <v>0.0</v>
      </c>
    </row>
    <row r="1769">
      <c r="A1769" s="79" t="str">
        <f>IF(COUNTA(B1769:C1769,E1769:G1769,I1769)=0,"","BI-"&amp;RIGHT("0000"&amp;(ROW()-5),4))</f>
        <v/>
      </c>
      <c r="B1769" s="72" t="n"/>
      <c r="C1769" s="66" t="n"/>
      <c r="D1769" s="67" t="str">
        <f>IF(C1769="","",IFERROR(INDEX(eq_des,MATCH(C1769,eq_code,0))&amp;"","Équipement inconnu"))</f>
        <v/>
      </c>
      <c r="E1769" s="68" t="n"/>
      <c r="F1769" s="68" t="n"/>
      <c r="G1769" s="66" t="n"/>
      <c r="H1769" s="66" t="n"/>
      <c r="I1769" s="68" t="n"/>
      <c r="J1769" s="73" t="n"/>
      <c r="K1769" s="71" t="n"/>
      <c r="L1769" s="71" t="n"/>
      <c r="M1769" s="66" t="n"/>
      <c r="N1769" s="80" t="n"/>
      <c r="O1769" s="81" t="str">
        <f>IF(A1769="","",ROUND(V1769*IFERROR(N(INDEX(tech_rate,MATCH(M1769,tech_name,0))),0),2))</f>
        <v/>
      </c>
      <c r="P1769" s="80" t="n"/>
      <c r="Q1769" s="81" t="str">
        <f>IF(A1769="","",ROUND(Y1769+O1769+Z1769,2))</f>
        <v/>
      </c>
      <c r="R1769" s="79" t="str">
        <f>IF(A1769="","",IF(S1769=0,"Date manquante ou invalide",IF(C1769="","Équipement manquant",IF(ISNA(MATCH(C1769,eq_code,0)),"Équipement inconnu",IF(E1769="","Type manquant",IF(AND(E1769&lt;&gt;"Préventif",E1769&lt;&gt;"Correctif",E1769&lt;&gt;"Amélioratif"),"Type inconnu",IF(I1769="","Statut manquant",IF(AND(I1769&lt;&gt;"Terminée",I1769&lt;&gt;"En cours",I1769&lt;&gt;"À faire",I1769&lt;&gt;"Annulée"),"Statut inconnu",IF(AND(E1769="Préventif",F1769=""),"Plan manquant (préventif)",IF(AND(F1769&lt;&gt;"",ISNA(MATCH(F1769,pl_num,0))),"Plan inconnu",IF(AND(F1769&lt;&gt;"",IFERROR(INDEX(pl_eq,MATCH(F1769,pl_num,0))&amp;"",C1769)&lt;&gt;C1769),"Plan d'un autre équipement",IF(AND(J1769&lt;&gt;"",OR(NOT(ISNUMBER(J1769)),N(J1769)&lt;0)),"Compteur invalide",IF(OR(AND(K1769&lt;&gt;"",OR(NOT(ISNUMBER(K1769)),N(K1769)&lt;0)),AND(L1769&lt;&gt;"",OR(NOT(ISNUMBER(L1769)),N(L1769)&lt;0))),"Durée invalide",IF(OR(AND(N1769&lt;&gt;"",OR(NOT(ISNUMBER(N1769)),N(N1769)&lt;0)),AND(P1769&lt;&gt;"",OR(NOT(ISNUMBER(P1769)),N(P1769)&lt;0))),"Coût invalide",IF(AND(M1769&lt;&gt;"",ISNA(MATCH(M1769,tech_name,0))),"Technicien inconnu",IF(AND(I1769="Terminée",S1769&gt;p_today),"Terminée à une date future",IF(AND(I1769="Terminée",V1769=0),"Durée d'intervention manquante",IF(AND(I1769="Terminée",E1769="Préventif",T1769=0,OR(IFERROR(INDEX(pl_trig,MATCH(F1769,pl_num,0))&amp;"","")="Compteur",IFERROR(INDEX(pl_trig,MATCH(F1769,pl_num,0))&amp;"","")="Au premier des deux")),"Compteur manquant (plan au compteur)","OK"))))))))))))))))))</f>
        <v/>
      </c>
      <c r="S1769" s="67">
        <f>IF(AND(ISNUMBER(B1769),N(B1769)&gt;0),INT(B1769),0)</f>
        <v>0.0</v>
      </c>
      <c r="T1769" s="67">
        <f>IF(AND(ISNUMBER(J1769),N(J1769)&gt;=0),N(J1769),0)</f>
        <v>0.0</v>
      </c>
      <c r="U1769" s="67">
        <f>IF(AND(ISNUMBER(K1769),N(K1769)&gt;0),N(K1769),0)</f>
        <v>0.0</v>
      </c>
      <c r="V1769" s="67">
        <f>IF(AND(ISNUMBER(L1769),N(L1769)&gt;0),N(L1769),0)</f>
        <v>0.0</v>
      </c>
      <c r="W1769" s="67">
        <f>IF(AND(I1769="Terminée",S1769&gt;0,C1769&lt;&gt;"",ISNUMBER(MATCH(C1769,eq_code,0))),1,0)</f>
        <v>0.0</v>
      </c>
      <c r="X1769" s="67">
        <f>IF(AND(W1769=1,E1769="Préventif"),1,0)</f>
        <v>0.0</v>
      </c>
      <c r="Y1769" s="67">
        <f>IF(AND(ISNUMBER(N1769),N(N1769)&gt;0),N(N1769),0)</f>
        <v>0.0</v>
      </c>
      <c r="Z1769" s="67">
        <f>IF(AND(ISNUMBER(P1769),N(P1769)&gt;0),N(P1769),0)</f>
        <v>0.0</v>
      </c>
    </row>
    <row r="1770">
      <c r="A1770" s="79" t="str">
        <f>IF(COUNTA(B1770:C1770,E1770:G1770,I1770)=0,"","BI-"&amp;RIGHT("0000"&amp;(ROW()-5),4))</f>
        <v/>
      </c>
      <c r="B1770" s="72" t="n"/>
      <c r="C1770" s="66" t="n"/>
      <c r="D1770" s="67" t="str">
        <f>IF(C1770="","",IFERROR(INDEX(eq_des,MATCH(C1770,eq_code,0))&amp;"","Équipement inconnu"))</f>
        <v/>
      </c>
      <c r="E1770" s="68" t="n"/>
      <c r="F1770" s="68" t="n"/>
      <c r="G1770" s="66" t="n"/>
      <c r="H1770" s="66" t="n"/>
      <c r="I1770" s="68" t="n"/>
      <c r="J1770" s="73" t="n"/>
      <c r="K1770" s="71" t="n"/>
      <c r="L1770" s="71" t="n"/>
      <c r="M1770" s="66" t="n"/>
      <c r="N1770" s="80" t="n"/>
      <c r="O1770" s="81" t="str">
        <f>IF(A1770="","",ROUND(V1770*IFERROR(N(INDEX(tech_rate,MATCH(M1770,tech_name,0))),0),2))</f>
        <v/>
      </c>
      <c r="P1770" s="80" t="n"/>
      <c r="Q1770" s="81" t="str">
        <f>IF(A1770="","",ROUND(Y1770+O1770+Z1770,2))</f>
        <v/>
      </c>
      <c r="R1770" s="79" t="str">
        <f>IF(A1770="","",IF(S1770=0,"Date manquante ou invalide",IF(C1770="","Équipement manquant",IF(ISNA(MATCH(C1770,eq_code,0)),"Équipement inconnu",IF(E1770="","Type manquant",IF(AND(E1770&lt;&gt;"Préventif",E1770&lt;&gt;"Correctif",E1770&lt;&gt;"Amélioratif"),"Type inconnu",IF(I1770="","Statut manquant",IF(AND(I1770&lt;&gt;"Terminée",I1770&lt;&gt;"En cours",I1770&lt;&gt;"À faire",I1770&lt;&gt;"Annulée"),"Statut inconnu",IF(AND(E1770="Préventif",F1770=""),"Plan manquant (préventif)",IF(AND(F1770&lt;&gt;"",ISNA(MATCH(F1770,pl_num,0))),"Plan inconnu",IF(AND(F1770&lt;&gt;"",IFERROR(INDEX(pl_eq,MATCH(F1770,pl_num,0))&amp;"",C1770)&lt;&gt;C1770),"Plan d'un autre équipement",IF(AND(J1770&lt;&gt;"",OR(NOT(ISNUMBER(J1770)),N(J1770)&lt;0)),"Compteur invalide",IF(OR(AND(K1770&lt;&gt;"",OR(NOT(ISNUMBER(K1770)),N(K1770)&lt;0)),AND(L1770&lt;&gt;"",OR(NOT(ISNUMBER(L1770)),N(L1770)&lt;0))),"Durée invalide",IF(OR(AND(N1770&lt;&gt;"",OR(NOT(ISNUMBER(N1770)),N(N1770)&lt;0)),AND(P1770&lt;&gt;"",OR(NOT(ISNUMBER(P1770)),N(P1770)&lt;0))),"Coût invalide",IF(AND(M1770&lt;&gt;"",ISNA(MATCH(M1770,tech_name,0))),"Technicien inconnu",IF(AND(I1770="Terminée",S1770&gt;p_today),"Terminée à une date future",IF(AND(I1770="Terminée",V1770=0),"Durée d'intervention manquante",IF(AND(I1770="Terminée",E1770="Préventif",T1770=0,OR(IFERROR(INDEX(pl_trig,MATCH(F1770,pl_num,0))&amp;"","")="Compteur",IFERROR(INDEX(pl_trig,MATCH(F1770,pl_num,0))&amp;"","")="Au premier des deux")),"Compteur manquant (plan au compteur)","OK"))))))))))))))))))</f>
        <v/>
      </c>
      <c r="S1770" s="67">
        <f>IF(AND(ISNUMBER(B1770),N(B1770)&gt;0),INT(B1770),0)</f>
        <v>0.0</v>
      </c>
      <c r="T1770" s="67">
        <f>IF(AND(ISNUMBER(J1770),N(J1770)&gt;=0),N(J1770),0)</f>
        <v>0.0</v>
      </c>
      <c r="U1770" s="67">
        <f>IF(AND(ISNUMBER(K1770),N(K1770)&gt;0),N(K1770),0)</f>
        <v>0.0</v>
      </c>
      <c r="V1770" s="67">
        <f>IF(AND(ISNUMBER(L1770),N(L1770)&gt;0),N(L1770),0)</f>
        <v>0.0</v>
      </c>
      <c r="W1770" s="67">
        <f>IF(AND(I1770="Terminée",S1770&gt;0,C1770&lt;&gt;"",ISNUMBER(MATCH(C1770,eq_code,0))),1,0)</f>
        <v>0.0</v>
      </c>
      <c r="X1770" s="67">
        <f>IF(AND(W1770=1,E1770="Préventif"),1,0)</f>
        <v>0.0</v>
      </c>
      <c r="Y1770" s="67">
        <f>IF(AND(ISNUMBER(N1770),N(N1770)&gt;0),N(N1770),0)</f>
        <v>0.0</v>
      </c>
      <c r="Z1770" s="67">
        <f>IF(AND(ISNUMBER(P1770),N(P1770)&gt;0),N(P1770),0)</f>
        <v>0.0</v>
      </c>
    </row>
    <row r="1771">
      <c r="A1771" s="79" t="str">
        <f>IF(COUNTA(B1771:C1771,E1771:G1771,I1771)=0,"","BI-"&amp;RIGHT("0000"&amp;(ROW()-5),4))</f>
        <v/>
      </c>
      <c r="B1771" s="72" t="n"/>
      <c r="C1771" s="66" t="n"/>
      <c r="D1771" s="67" t="str">
        <f>IF(C1771="","",IFERROR(INDEX(eq_des,MATCH(C1771,eq_code,0))&amp;"","Équipement inconnu"))</f>
        <v/>
      </c>
      <c r="E1771" s="68" t="n"/>
      <c r="F1771" s="68" t="n"/>
      <c r="G1771" s="66" t="n"/>
      <c r="H1771" s="66" t="n"/>
      <c r="I1771" s="68" t="n"/>
      <c r="J1771" s="73" t="n"/>
      <c r="K1771" s="71" t="n"/>
      <c r="L1771" s="71" t="n"/>
      <c r="M1771" s="66" t="n"/>
      <c r="N1771" s="80" t="n"/>
      <c r="O1771" s="81" t="str">
        <f>IF(A1771="","",ROUND(V1771*IFERROR(N(INDEX(tech_rate,MATCH(M1771,tech_name,0))),0),2))</f>
        <v/>
      </c>
      <c r="P1771" s="80" t="n"/>
      <c r="Q1771" s="81" t="str">
        <f>IF(A1771="","",ROUND(Y1771+O1771+Z1771,2))</f>
        <v/>
      </c>
      <c r="R1771" s="79" t="str">
        <f>IF(A1771="","",IF(S1771=0,"Date manquante ou invalide",IF(C1771="","Équipement manquant",IF(ISNA(MATCH(C1771,eq_code,0)),"Équipement inconnu",IF(E1771="","Type manquant",IF(AND(E1771&lt;&gt;"Préventif",E1771&lt;&gt;"Correctif",E1771&lt;&gt;"Amélioratif"),"Type inconnu",IF(I1771="","Statut manquant",IF(AND(I1771&lt;&gt;"Terminée",I1771&lt;&gt;"En cours",I1771&lt;&gt;"À faire",I1771&lt;&gt;"Annulée"),"Statut inconnu",IF(AND(E1771="Préventif",F1771=""),"Plan manquant (préventif)",IF(AND(F1771&lt;&gt;"",ISNA(MATCH(F1771,pl_num,0))),"Plan inconnu",IF(AND(F1771&lt;&gt;"",IFERROR(INDEX(pl_eq,MATCH(F1771,pl_num,0))&amp;"",C1771)&lt;&gt;C1771),"Plan d'un autre équipement",IF(AND(J1771&lt;&gt;"",OR(NOT(ISNUMBER(J1771)),N(J1771)&lt;0)),"Compteur invalide",IF(OR(AND(K1771&lt;&gt;"",OR(NOT(ISNUMBER(K1771)),N(K1771)&lt;0)),AND(L1771&lt;&gt;"",OR(NOT(ISNUMBER(L1771)),N(L1771)&lt;0))),"Durée invalide",IF(OR(AND(N1771&lt;&gt;"",OR(NOT(ISNUMBER(N1771)),N(N1771)&lt;0)),AND(P1771&lt;&gt;"",OR(NOT(ISNUMBER(P1771)),N(P1771)&lt;0))),"Coût invalide",IF(AND(M1771&lt;&gt;"",ISNA(MATCH(M1771,tech_name,0))),"Technicien inconnu",IF(AND(I1771="Terminée",S1771&gt;p_today),"Terminée à une date future",IF(AND(I1771="Terminée",V1771=0),"Durée d'intervention manquante",IF(AND(I1771="Terminée",E1771="Préventif",T1771=0,OR(IFERROR(INDEX(pl_trig,MATCH(F1771,pl_num,0))&amp;"","")="Compteur",IFERROR(INDEX(pl_trig,MATCH(F1771,pl_num,0))&amp;"","")="Au premier des deux")),"Compteur manquant (plan au compteur)","OK"))))))))))))))))))</f>
        <v/>
      </c>
      <c r="S1771" s="67">
        <f>IF(AND(ISNUMBER(B1771),N(B1771)&gt;0),INT(B1771),0)</f>
        <v>0.0</v>
      </c>
      <c r="T1771" s="67">
        <f>IF(AND(ISNUMBER(J1771),N(J1771)&gt;=0),N(J1771),0)</f>
        <v>0.0</v>
      </c>
      <c r="U1771" s="67">
        <f>IF(AND(ISNUMBER(K1771),N(K1771)&gt;0),N(K1771),0)</f>
        <v>0.0</v>
      </c>
      <c r="V1771" s="67">
        <f>IF(AND(ISNUMBER(L1771),N(L1771)&gt;0),N(L1771),0)</f>
        <v>0.0</v>
      </c>
      <c r="W1771" s="67">
        <f>IF(AND(I1771="Terminée",S1771&gt;0,C1771&lt;&gt;"",ISNUMBER(MATCH(C1771,eq_code,0))),1,0)</f>
        <v>0.0</v>
      </c>
      <c r="X1771" s="67">
        <f>IF(AND(W1771=1,E1771="Préventif"),1,0)</f>
        <v>0.0</v>
      </c>
      <c r="Y1771" s="67">
        <f>IF(AND(ISNUMBER(N1771),N(N1771)&gt;0),N(N1771),0)</f>
        <v>0.0</v>
      </c>
      <c r="Z1771" s="67">
        <f>IF(AND(ISNUMBER(P1771),N(P1771)&gt;0),N(P1771),0)</f>
        <v>0.0</v>
      </c>
    </row>
    <row r="1772">
      <c r="A1772" s="79" t="str">
        <f>IF(COUNTA(B1772:C1772,E1772:G1772,I1772)=0,"","BI-"&amp;RIGHT("0000"&amp;(ROW()-5),4))</f>
        <v/>
      </c>
      <c r="B1772" s="72" t="n"/>
      <c r="C1772" s="66" t="n"/>
      <c r="D1772" s="67" t="str">
        <f>IF(C1772="","",IFERROR(INDEX(eq_des,MATCH(C1772,eq_code,0))&amp;"","Équipement inconnu"))</f>
        <v/>
      </c>
      <c r="E1772" s="68" t="n"/>
      <c r="F1772" s="68" t="n"/>
      <c r="G1772" s="66" t="n"/>
      <c r="H1772" s="66" t="n"/>
      <c r="I1772" s="68" t="n"/>
      <c r="J1772" s="73" t="n"/>
      <c r="K1772" s="71" t="n"/>
      <c r="L1772" s="71" t="n"/>
      <c r="M1772" s="66" t="n"/>
      <c r="N1772" s="80" t="n"/>
      <c r="O1772" s="81" t="str">
        <f>IF(A1772="","",ROUND(V1772*IFERROR(N(INDEX(tech_rate,MATCH(M1772,tech_name,0))),0),2))</f>
        <v/>
      </c>
      <c r="P1772" s="80" t="n"/>
      <c r="Q1772" s="81" t="str">
        <f>IF(A1772="","",ROUND(Y1772+O1772+Z1772,2))</f>
        <v/>
      </c>
      <c r="R1772" s="79" t="str">
        <f>IF(A1772="","",IF(S1772=0,"Date manquante ou invalide",IF(C1772="","Équipement manquant",IF(ISNA(MATCH(C1772,eq_code,0)),"Équipement inconnu",IF(E1772="","Type manquant",IF(AND(E1772&lt;&gt;"Préventif",E1772&lt;&gt;"Correctif",E1772&lt;&gt;"Amélioratif"),"Type inconnu",IF(I1772="","Statut manquant",IF(AND(I1772&lt;&gt;"Terminée",I1772&lt;&gt;"En cours",I1772&lt;&gt;"À faire",I1772&lt;&gt;"Annulée"),"Statut inconnu",IF(AND(E1772="Préventif",F1772=""),"Plan manquant (préventif)",IF(AND(F1772&lt;&gt;"",ISNA(MATCH(F1772,pl_num,0))),"Plan inconnu",IF(AND(F1772&lt;&gt;"",IFERROR(INDEX(pl_eq,MATCH(F1772,pl_num,0))&amp;"",C1772)&lt;&gt;C1772),"Plan d'un autre équipement",IF(AND(J1772&lt;&gt;"",OR(NOT(ISNUMBER(J1772)),N(J1772)&lt;0)),"Compteur invalide",IF(OR(AND(K1772&lt;&gt;"",OR(NOT(ISNUMBER(K1772)),N(K1772)&lt;0)),AND(L1772&lt;&gt;"",OR(NOT(ISNUMBER(L1772)),N(L1772)&lt;0))),"Durée invalide",IF(OR(AND(N1772&lt;&gt;"",OR(NOT(ISNUMBER(N1772)),N(N1772)&lt;0)),AND(P1772&lt;&gt;"",OR(NOT(ISNUMBER(P1772)),N(P1772)&lt;0))),"Coût invalide",IF(AND(M1772&lt;&gt;"",ISNA(MATCH(M1772,tech_name,0))),"Technicien inconnu",IF(AND(I1772="Terminée",S1772&gt;p_today),"Terminée à une date future",IF(AND(I1772="Terminée",V1772=0),"Durée d'intervention manquante",IF(AND(I1772="Terminée",E1772="Préventif",T1772=0,OR(IFERROR(INDEX(pl_trig,MATCH(F1772,pl_num,0))&amp;"","")="Compteur",IFERROR(INDEX(pl_trig,MATCH(F1772,pl_num,0))&amp;"","")="Au premier des deux")),"Compteur manquant (plan au compteur)","OK"))))))))))))))))))</f>
        <v/>
      </c>
      <c r="S1772" s="67">
        <f>IF(AND(ISNUMBER(B1772),N(B1772)&gt;0),INT(B1772),0)</f>
        <v>0.0</v>
      </c>
      <c r="T1772" s="67">
        <f>IF(AND(ISNUMBER(J1772),N(J1772)&gt;=0),N(J1772),0)</f>
        <v>0.0</v>
      </c>
      <c r="U1772" s="67">
        <f>IF(AND(ISNUMBER(K1772),N(K1772)&gt;0),N(K1772),0)</f>
        <v>0.0</v>
      </c>
      <c r="V1772" s="67">
        <f>IF(AND(ISNUMBER(L1772),N(L1772)&gt;0),N(L1772),0)</f>
        <v>0.0</v>
      </c>
      <c r="W1772" s="67">
        <f>IF(AND(I1772="Terminée",S1772&gt;0,C1772&lt;&gt;"",ISNUMBER(MATCH(C1772,eq_code,0))),1,0)</f>
        <v>0.0</v>
      </c>
      <c r="X1772" s="67">
        <f>IF(AND(W1772=1,E1772="Préventif"),1,0)</f>
        <v>0.0</v>
      </c>
      <c r="Y1772" s="67">
        <f>IF(AND(ISNUMBER(N1772),N(N1772)&gt;0),N(N1772),0)</f>
        <v>0.0</v>
      </c>
      <c r="Z1772" s="67">
        <f>IF(AND(ISNUMBER(P1772),N(P1772)&gt;0),N(P1772),0)</f>
        <v>0.0</v>
      </c>
    </row>
    <row r="1773">
      <c r="A1773" s="79" t="str">
        <f>IF(COUNTA(B1773:C1773,E1773:G1773,I1773)=0,"","BI-"&amp;RIGHT("0000"&amp;(ROW()-5),4))</f>
        <v/>
      </c>
      <c r="B1773" s="72" t="n"/>
      <c r="C1773" s="66" t="n"/>
      <c r="D1773" s="67" t="str">
        <f>IF(C1773="","",IFERROR(INDEX(eq_des,MATCH(C1773,eq_code,0))&amp;"","Équipement inconnu"))</f>
        <v/>
      </c>
      <c r="E1773" s="68" t="n"/>
      <c r="F1773" s="68" t="n"/>
      <c r="G1773" s="66" t="n"/>
      <c r="H1773" s="66" t="n"/>
      <c r="I1773" s="68" t="n"/>
      <c r="J1773" s="73" t="n"/>
      <c r="K1773" s="71" t="n"/>
      <c r="L1773" s="71" t="n"/>
      <c r="M1773" s="66" t="n"/>
      <c r="N1773" s="80" t="n"/>
      <c r="O1773" s="81" t="str">
        <f>IF(A1773="","",ROUND(V1773*IFERROR(N(INDEX(tech_rate,MATCH(M1773,tech_name,0))),0),2))</f>
        <v/>
      </c>
      <c r="P1773" s="80" t="n"/>
      <c r="Q1773" s="81" t="str">
        <f>IF(A1773="","",ROUND(Y1773+O1773+Z1773,2))</f>
        <v/>
      </c>
      <c r="R1773" s="79" t="str">
        <f>IF(A1773="","",IF(S1773=0,"Date manquante ou invalide",IF(C1773="","Équipement manquant",IF(ISNA(MATCH(C1773,eq_code,0)),"Équipement inconnu",IF(E1773="","Type manquant",IF(AND(E1773&lt;&gt;"Préventif",E1773&lt;&gt;"Correctif",E1773&lt;&gt;"Amélioratif"),"Type inconnu",IF(I1773="","Statut manquant",IF(AND(I1773&lt;&gt;"Terminée",I1773&lt;&gt;"En cours",I1773&lt;&gt;"À faire",I1773&lt;&gt;"Annulée"),"Statut inconnu",IF(AND(E1773="Préventif",F1773=""),"Plan manquant (préventif)",IF(AND(F1773&lt;&gt;"",ISNA(MATCH(F1773,pl_num,0))),"Plan inconnu",IF(AND(F1773&lt;&gt;"",IFERROR(INDEX(pl_eq,MATCH(F1773,pl_num,0))&amp;"",C1773)&lt;&gt;C1773),"Plan d'un autre équipement",IF(AND(J1773&lt;&gt;"",OR(NOT(ISNUMBER(J1773)),N(J1773)&lt;0)),"Compteur invalide",IF(OR(AND(K1773&lt;&gt;"",OR(NOT(ISNUMBER(K1773)),N(K1773)&lt;0)),AND(L1773&lt;&gt;"",OR(NOT(ISNUMBER(L1773)),N(L1773)&lt;0))),"Durée invalide",IF(OR(AND(N1773&lt;&gt;"",OR(NOT(ISNUMBER(N1773)),N(N1773)&lt;0)),AND(P1773&lt;&gt;"",OR(NOT(ISNUMBER(P1773)),N(P1773)&lt;0))),"Coût invalide",IF(AND(M1773&lt;&gt;"",ISNA(MATCH(M1773,tech_name,0))),"Technicien inconnu",IF(AND(I1773="Terminée",S1773&gt;p_today),"Terminée à une date future",IF(AND(I1773="Terminée",V1773=0),"Durée d'intervention manquante",IF(AND(I1773="Terminée",E1773="Préventif",T1773=0,OR(IFERROR(INDEX(pl_trig,MATCH(F1773,pl_num,0))&amp;"","")="Compteur",IFERROR(INDEX(pl_trig,MATCH(F1773,pl_num,0))&amp;"","")="Au premier des deux")),"Compteur manquant (plan au compteur)","OK"))))))))))))))))))</f>
        <v/>
      </c>
      <c r="S1773" s="67">
        <f>IF(AND(ISNUMBER(B1773),N(B1773)&gt;0),INT(B1773),0)</f>
        <v>0.0</v>
      </c>
      <c r="T1773" s="67">
        <f>IF(AND(ISNUMBER(J1773),N(J1773)&gt;=0),N(J1773),0)</f>
        <v>0.0</v>
      </c>
      <c r="U1773" s="67">
        <f>IF(AND(ISNUMBER(K1773),N(K1773)&gt;0),N(K1773),0)</f>
        <v>0.0</v>
      </c>
      <c r="V1773" s="67">
        <f>IF(AND(ISNUMBER(L1773),N(L1773)&gt;0),N(L1773),0)</f>
        <v>0.0</v>
      </c>
      <c r="W1773" s="67">
        <f>IF(AND(I1773="Terminée",S1773&gt;0,C1773&lt;&gt;"",ISNUMBER(MATCH(C1773,eq_code,0))),1,0)</f>
        <v>0.0</v>
      </c>
      <c r="X1773" s="67">
        <f>IF(AND(W1773=1,E1773="Préventif"),1,0)</f>
        <v>0.0</v>
      </c>
      <c r="Y1773" s="67">
        <f>IF(AND(ISNUMBER(N1773),N(N1773)&gt;0),N(N1773),0)</f>
        <v>0.0</v>
      </c>
      <c r="Z1773" s="67">
        <f>IF(AND(ISNUMBER(P1773),N(P1773)&gt;0),N(P1773),0)</f>
        <v>0.0</v>
      </c>
    </row>
    <row r="1774">
      <c r="A1774" s="79" t="str">
        <f>IF(COUNTA(B1774:C1774,E1774:G1774,I1774)=0,"","BI-"&amp;RIGHT("0000"&amp;(ROW()-5),4))</f>
        <v/>
      </c>
      <c r="B1774" s="72" t="n"/>
      <c r="C1774" s="66" t="n"/>
      <c r="D1774" s="67" t="str">
        <f>IF(C1774="","",IFERROR(INDEX(eq_des,MATCH(C1774,eq_code,0))&amp;"","Équipement inconnu"))</f>
        <v/>
      </c>
      <c r="E1774" s="68" t="n"/>
      <c r="F1774" s="68" t="n"/>
      <c r="G1774" s="66" t="n"/>
      <c r="H1774" s="66" t="n"/>
      <c r="I1774" s="68" t="n"/>
      <c r="J1774" s="73" t="n"/>
      <c r="K1774" s="71" t="n"/>
      <c r="L1774" s="71" t="n"/>
      <c r="M1774" s="66" t="n"/>
      <c r="N1774" s="80" t="n"/>
      <c r="O1774" s="81" t="str">
        <f>IF(A1774="","",ROUND(V1774*IFERROR(N(INDEX(tech_rate,MATCH(M1774,tech_name,0))),0),2))</f>
        <v/>
      </c>
      <c r="P1774" s="80" t="n"/>
      <c r="Q1774" s="81" t="str">
        <f>IF(A1774="","",ROUND(Y1774+O1774+Z1774,2))</f>
        <v/>
      </c>
      <c r="R1774" s="79" t="str">
        <f>IF(A1774="","",IF(S1774=0,"Date manquante ou invalide",IF(C1774="","Équipement manquant",IF(ISNA(MATCH(C1774,eq_code,0)),"Équipement inconnu",IF(E1774="","Type manquant",IF(AND(E1774&lt;&gt;"Préventif",E1774&lt;&gt;"Correctif",E1774&lt;&gt;"Amélioratif"),"Type inconnu",IF(I1774="","Statut manquant",IF(AND(I1774&lt;&gt;"Terminée",I1774&lt;&gt;"En cours",I1774&lt;&gt;"À faire",I1774&lt;&gt;"Annulée"),"Statut inconnu",IF(AND(E1774="Préventif",F1774=""),"Plan manquant (préventif)",IF(AND(F1774&lt;&gt;"",ISNA(MATCH(F1774,pl_num,0))),"Plan inconnu",IF(AND(F1774&lt;&gt;"",IFERROR(INDEX(pl_eq,MATCH(F1774,pl_num,0))&amp;"",C1774)&lt;&gt;C1774),"Plan d'un autre équipement",IF(AND(J1774&lt;&gt;"",OR(NOT(ISNUMBER(J1774)),N(J1774)&lt;0)),"Compteur invalide",IF(OR(AND(K1774&lt;&gt;"",OR(NOT(ISNUMBER(K1774)),N(K1774)&lt;0)),AND(L1774&lt;&gt;"",OR(NOT(ISNUMBER(L1774)),N(L1774)&lt;0))),"Durée invalide",IF(OR(AND(N1774&lt;&gt;"",OR(NOT(ISNUMBER(N1774)),N(N1774)&lt;0)),AND(P1774&lt;&gt;"",OR(NOT(ISNUMBER(P1774)),N(P1774)&lt;0))),"Coût invalide",IF(AND(M1774&lt;&gt;"",ISNA(MATCH(M1774,tech_name,0))),"Technicien inconnu",IF(AND(I1774="Terminée",S1774&gt;p_today),"Terminée à une date future",IF(AND(I1774="Terminée",V1774=0),"Durée d'intervention manquante",IF(AND(I1774="Terminée",E1774="Préventif",T1774=0,OR(IFERROR(INDEX(pl_trig,MATCH(F1774,pl_num,0))&amp;"","")="Compteur",IFERROR(INDEX(pl_trig,MATCH(F1774,pl_num,0))&amp;"","")="Au premier des deux")),"Compteur manquant (plan au compteur)","OK"))))))))))))))))))</f>
        <v/>
      </c>
      <c r="S1774" s="67">
        <f>IF(AND(ISNUMBER(B1774),N(B1774)&gt;0),INT(B1774),0)</f>
        <v>0.0</v>
      </c>
      <c r="T1774" s="67">
        <f>IF(AND(ISNUMBER(J1774),N(J1774)&gt;=0),N(J1774),0)</f>
        <v>0.0</v>
      </c>
      <c r="U1774" s="67">
        <f>IF(AND(ISNUMBER(K1774),N(K1774)&gt;0),N(K1774),0)</f>
        <v>0.0</v>
      </c>
      <c r="V1774" s="67">
        <f>IF(AND(ISNUMBER(L1774),N(L1774)&gt;0),N(L1774),0)</f>
        <v>0.0</v>
      </c>
      <c r="W1774" s="67">
        <f>IF(AND(I1774="Terminée",S1774&gt;0,C1774&lt;&gt;"",ISNUMBER(MATCH(C1774,eq_code,0))),1,0)</f>
        <v>0.0</v>
      </c>
      <c r="X1774" s="67">
        <f>IF(AND(W1774=1,E1774="Préventif"),1,0)</f>
        <v>0.0</v>
      </c>
      <c r="Y1774" s="67">
        <f>IF(AND(ISNUMBER(N1774),N(N1774)&gt;0),N(N1774),0)</f>
        <v>0.0</v>
      </c>
      <c r="Z1774" s="67">
        <f>IF(AND(ISNUMBER(P1774),N(P1774)&gt;0),N(P1774),0)</f>
        <v>0.0</v>
      </c>
    </row>
    <row r="1775">
      <c r="A1775" s="79" t="str">
        <f>IF(COUNTA(B1775:C1775,E1775:G1775,I1775)=0,"","BI-"&amp;RIGHT("0000"&amp;(ROW()-5),4))</f>
        <v/>
      </c>
      <c r="B1775" s="72" t="n"/>
      <c r="C1775" s="66" t="n"/>
      <c r="D1775" s="67" t="str">
        <f>IF(C1775="","",IFERROR(INDEX(eq_des,MATCH(C1775,eq_code,0))&amp;"","Équipement inconnu"))</f>
        <v/>
      </c>
      <c r="E1775" s="68" t="n"/>
      <c r="F1775" s="68" t="n"/>
      <c r="G1775" s="66" t="n"/>
      <c r="H1775" s="66" t="n"/>
      <c r="I1775" s="68" t="n"/>
      <c r="J1775" s="73" t="n"/>
      <c r="K1775" s="71" t="n"/>
      <c r="L1775" s="71" t="n"/>
      <c r="M1775" s="66" t="n"/>
      <c r="N1775" s="80" t="n"/>
      <c r="O1775" s="81" t="str">
        <f>IF(A1775="","",ROUND(V1775*IFERROR(N(INDEX(tech_rate,MATCH(M1775,tech_name,0))),0),2))</f>
        <v/>
      </c>
      <c r="P1775" s="80" t="n"/>
      <c r="Q1775" s="81" t="str">
        <f>IF(A1775="","",ROUND(Y1775+O1775+Z1775,2))</f>
        <v/>
      </c>
      <c r="R1775" s="79" t="str">
        <f>IF(A1775="","",IF(S1775=0,"Date manquante ou invalide",IF(C1775="","Équipement manquant",IF(ISNA(MATCH(C1775,eq_code,0)),"Équipement inconnu",IF(E1775="","Type manquant",IF(AND(E1775&lt;&gt;"Préventif",E1775&lt;&gt;"Correctif",E1775&lt;&gt;"Amélioratif"),"Type inconnu",IF(I1775="","Statut manquant",IF(AND(I1775&lt;&gt;"Terminée",I1775&lt;&gt;"En cours",I1775&lt;&gt;"À faire",I1775&lt;&gt;"Annulée"),"Statut inconnu",IF(AND(E1775="Préventif",F1775=""),"Plan manquant (préventif)",IF(AND(F1775&lt;&gt;"",ISNA(MATCH(F1775,pl_num,0))),"Plan inconnu",IF(AND(F1775&lt;&gt;"",IFERROR(INDEX(pl_eq,MATCH(F1775,pl_num,0))&amp;"",C1775)&lt;&gt;C1775),"Plan d'un autre équipement",IF(AND(J1775&lt;&gt;"",OR(NOT(ISNUMBER(J1775)),N(J1775)&lt;0)),"Compteur invalide",IF(OR(AND(K1775&lt;&gt;"",OR(NOT(ISNUMBER(K1775)),N(K1775)&lt;0)),AND(L1775&lt;&gt;"",OR(NOT(ISNUMBER(L1775)),N(L1775)&lt;0))),"Durée invalide",IF(OR(AND(N1775&lt;&gt;"",OR(NOT(ISNUMBER(N1775)),N(N1775)&lt;0)),AND(P1775&lt;&gt;"",OR(NOT(ISNUMBER(P1775)),N(P1775)&lt;0))),"Coût invalide",IF(AND(M1775&lt;&gt;"",ISNA(MATCH(M1775,tech_name,0))),"Technicien inconnu",IF(AND(I1775="Terminée",S1775&gt;p_today),"Terminée à une date future",IF(AND(I1775="Terminée",V1775=0),"Durée d'intervention manquante",IF(AND(I1775="Terminée",E1775="Préventif",T1775=0,OR(IFERROR(INDEX(pl_trig,MATCH(F1775,pl_num,0))&amp;"","")="Compteur",IFERROR(INDEX(pl_trig,MATCH(F1775,pl_num,0))&amp;"","")="Au premier des deux")),"Compteur manquant (plan au compteur)","OK"))))))))))))))))))</f>
        <v/>
      </c>
      <c r="S1775" s="67">
        <f>IF(AND(ISNUMBER(B1775),N(B1775)&gt;0),INT(B1775),0)</f>
        <v>0.0</v>
      </c>
      <c r="T1775" s="67">
        <f>IF(AND(ISNUMBER(J1775),N(J1775)&gt;=0),N(J1775),0)</f>
        <v>0.0</v>
      </c>
      <c r="U1775" s="67">
        <f>IF(AND(ISNUMBER(K1775),N(K1775)&gt;0),N(K1775),0)</f>
        <v>0.0</v>
      </c>
      <c r="V1775" s="67">
        <f>IF(AND(ISNUMBER(L1775),N(L1775)&gt;0),N(L1775),0)</f>
        <v>0.0</v>
      </c>
      <c r="W1775" s="67">
        <f>IF(AND(I1775="Terminée",S1775&gt;0,C1775&lt;&gt;"",ISNUMBER(MATCH(C1775,eq_code,0))),1,0)</f>
        <v>0.0</v>
      </c>
      <c r="X1775" s="67">
        <f>IF(AND(W1775=1,E1775="Préventif"),1,0)</f>
        <v>0.0</v>
      </c>
      <c r="Y1775" s="67">
        <f>IF(AND(ISNUMBER(N1775),N(N1775)&gt;0),N(N1775),0)</f>
        <v>0.0</v>
      </c>
      <c r="Z1775" s="67">
        <f>IF(AND(ISNUMBER(P1775),N(P1775)&gt;0),N(P1775),0)</f>
        <v>0.0</v>
      </c>
    </row>
    <row r="1776">
      <c r="A1776" s="79" t="str">
        <f>IF(COUNTA(B1776:C1776,E1776:G1776,I1776)=0,"","BI-"&amp;RIGHT("0000"&amp;(ROW()-5),4))</f>
        <v/>
      </c>
      <c r="B1776" s="72" t="n"/>
      <c r="C1776" s="66" t="n"/>
      <c r="D1776" s="67" t="str">
        <f>IF(C1776="","",IFERROR(INDEX(eq_des,MATCH(C1776,eq_code,0))&amp;"","Équipement inconnu"))</f>
        <v/>
      </c>
      <c r="E1776" s="68" t="n"/>
      <c r="F1776" s="68" t="n"/>
      <c r="G1776" s="66" t="n"/>
      <c r="H1776" s="66" t="n"/>
      <c r="I1776" s="68" t="n"/>
      <c r="J1776" s="73" t="n"/>
      <c r="K1776" s="71" t="n"/>
      <c r="L1776" s="71" t="n"/>
      <c r="M1776" s="66" t="n"/>
      <c r="N1776" s="80" t="n"/>
      <c r="O1776" s="81" t="str">
        <f>IF(A1776="","",ROUND(V1776*IFERROR(N(INDEX(tech_rate,MATCH(M1776,tech_name,0))),0),2))</f>
        <v/>
      </c>
      <c r="P1776" s="80" t="n"/>
      <c r="Q1776" s="81" t="str">
        <f>IF(A1776="","",ROUND(Y1776+O1776+Z1776,2))</f>
        <v/>
      </c>
      <c r="R1776" s="79" t="str">
        <f>IF(A1776="","",IF(S1776=0,"Date manquante ou invalide",IF(C1776="","Équipement manquant",IF(ISNA(MATCH(C1776,eq_code,0)),"Équipement inconnu",IF(E1776="","Type manquant",IF(AND(E1776&lt;&gt;"Préventif",E1776&lt;&gt;"Correctif",E1776&lt;&gt;"Amélioratif"),"Type inconnu",IF(I1776="","Statut manquant",IF(AND(I1776&lt;&gt;"Terminée",I1776&lt;&gt;"En cours",I1776&lt;&gt;"À faire",I1776&lt;&gt;"Annulée"),"Statut inconnu",IF(AND(E1776="Préventif",F1776=""),"Plan manquant (préventif)",IF(AND(F1776&lt;&gt;"",ISNA(MATCH(F1776,pl_num,0))),"Plan inconnu",IF(AND(F1776&lt;&gt;"",IFERROR(INDEX(pl_eq,MATCH(F1776,pl_num,0))&amp;"",C1776)&lt;&gt;C1776),"Plan d'un autre équipement",IF(AND(J1776&lt;&gt;"",OR(NOT(ISNUMBER(J1776)),N(J1776)&lt;0)),"Compteur invalide",IF(OR(AND(K1776&lt;&gt;"",OR(NOT(ISNUMBER(K1776)),N(K1776)&lt;0)),AND(L1776&lt;&gt;"",OR(NOT(ISNUMBER(L1776)),N(L1776)&lt;0))),"Durée invalide",IF(OR(AND(N1776&lt;&gt;"",OR(NOT(ISNUMBER(N1776)),N(N1776)&lt;0)),AND(P1776&lt;&gt;"",OR(NOT(ISNUMBER(P1776)),N(P1776)&lt;0))),"Coût invalide",IF(AND(M1776&lt;&gt;"",ISNA(MATCH(M1776,tech_name,0))),"Technicien inconnu",IF(AND(I1776="Terminée",S1776&gt;p_today),"Terminée à une date future",IF(AND(I1776="Terminée",V1776=0),"Durée d'intervention manquante",IF(AND(I1776="Terminée",E1776="Préventif",T1776=0,OR(IFERROR(INDEX(pl_trig,MATCH(F1776,pl_num,0))&amp;"","")="Compteur",IFERROR(INDEX(pl_trig,MATCH(F1776,pl_num,0))&amp;"","")="Au premier des deux")),"Compteur manquant (plan au compteur)","OK"))))))))))))))))))</f>
        <v/>
      </c>
      <c r="S1776" s="67">
        <f>IF(AND(ISNUMBER(B1776),N(B1776)&gt;0),INT(B1776),0)</f>
        <v>0.0</v>
      </c>
      <c r="T1776" s="67">
        <f>IF(AND(ISNUMBER(J1776),N(J1776)&gt;=0),N(J1776),0)</f>
        <v>0.0</v>
      </c>
      <c r="U1776" s="67">
        <f>IF(AND(ISNUMBER(K1776),N(K1776)&gt;0),N(K1776),0)</f>
        <v>0.0</v>
      </c>
      <c r="V1776" s="67">
        <f>IF(AND(ISNUMBER(L1776),N(L1776)&gt;0),N(L1776),0)</f>
        <v>0.0</v>
      </c>
      <c r="W1776" s="67">
        <f>IF(AND(I1776="Terminée",S1776&gt;0,C1776&lt;&gt;"",ISNUMBER(MATCH(C1776,eq_code,0))),1,0)</f>
        <v>0.0</v>
      </c>
      <c r="X1776" s="67">
        <f>IF(AND(W1776=1,E1776="Préventif"),1,0)</f>
        <v>0.0</v>
      </c>
      <c r="Y1776" s="67">
        <f>IF(AND(ISNUMBER(N1776),N(N1776)&gt;0),N(N1776),0)</f>
        <v>0.0</v>
      </c>
      <c r="Z1776" s="67">
        <f>IF(AND(ISNUMBER(P1776),N(P1776)&gt;0),N(P1776),0)</f>
        <v>0.0</v>
      </c>
    </row>
    <row r="1777">
      <c r="A1777" s="79" t="str">
        <f>IF(COUNTA(B1777:C1777,E1777:G1777,I1777)=0,"","BI-"&amp;RIGHT("0000"&amp;(ROW()-5),4))</f>
        <v/>
      </c>
      <c r="B1777" s="72" t="n"/>
      <c r="C1777" s="66" t="n"/>
      <c r="D1777" s="67" t="str">
        <f>IF(C1777="","",IFERROR(INDEX(eq_des,MATCH(C1777,eq_code,0))&amp;"","Équipement inconnu"))</f>
        <v/>
      </c>
      <c r="E1777" s="68" t="n"/>
      <c r="F1777" s="68" t="n"/>
      <c r="G1777" s="66" t="n"/>
      <c r="H1777" s="66" t="n"/>
      <c r="I1777" s="68" t="n"/>
      <c r="J1777" s="73" t="n"/>
      <c r="K1777" s="71" t="n"/>
      <c r="L1777" s="71" t="n"/>
      <c r="M1777" s="66" t="n"/>
      <c r="N1777" s="80" t="n"/>
      <c r="O1777" s="81" t="str">
        <f>IF(A1777="","",ROUND(V1777*IFERROR(N(INDEX(tech_rate,MATCH(M1777,tech_name,0))),0),2))</f>
        <v/>
      </c>
      <c r="P1777" s="80" t="n"/>
      <c r="Q1777" s="81" t="str">
        <f>IF(A1777="","",ROUND(Y1777+O1777+Z1777,2))</f>
        <v/>
      </c>
      <c r="R1777" s="79" t="str">
        <f>IF(A1777="","",IF(S1777=0,"Date manquante ou invalide",IF(C1777="","Équipement manquant",IF(ISNA(MATCH(C1777,eq_code,0)),"Équipement inconnu",IF(E1777="","Type manquant",IF(AND(E1777&lt;&gt;"Préventif",E1777&lt;&gt;"Correctif",E1777&lt;&gt;"Amélioratif"),"Type inconnu",IF(I1777="","Statut manquant",IF(AND(I1777&lt;&gt;"Terminée",I1777&lt;&gt;"En cours",I1777&lt;&gt;"À faire",I1777&lt;&gt;"Annulée"),"Statut inconnu",IF(AND(E1777="Préventif",F1777=""),"Plan manquant (préventif)",IF(AND(F1777&lt;&gt;"",ISNA(MATCH(F1777,pl_num,0))),"Plan inconnu",IF(AND(F1777&lt;&gt;"",IFERROR(INDEX(pl_eq,MATCH(F1777,pl_num,0))&amp;"",C1777)&lt;&gt;C1777),"Plan d'un autre équipement",IF(AND(J1777&lt;&gt;"",OR(NOT(ISNUMBER(J1777)),N(J1777)&lt;0)),"Compteur invalide",IF(OR(AND(K1777&lt;&gt;"",OR(NOT(ISNUMBER(K1777)),N(K1777)&lt;0)),AND(L1777&lt;&gt;"",OR(NOT(ISNUMBER(L1777)),N(L1777)&lt;0))),"Durée invalide",IF(OR(AND(N1777&lt;&gt;"",OR(NOT(ISNUMBER(N1777)),N(N1777)&lt;0)),AND(P1777&lt;&gt;"",OR(NOT(ISNUMBER(P1777)),N(P1777)&lt;0))),"Coût invalide",IF(AND(M1777&lt;&gt;"",ISNA(MATCH(M1777,tech_name,0))),"Technicien inconnu",IF(AND(I1777="Terminée",S1777&gt;p_today),"Terminée à une date future",IF(AND(I1777="Terminée",V1777=0),"Durée d'intervention manquante",IF(AND(I1777="Terminée",E1777="Préventif",T1777=0,OR(IFERROR(INDEX(pl_trig,MATCH(F1777,pl_num,0))&amp;"","")="Compteur",IFERROR(INDEX(pl_trig,MATCH(F1777,pl_num,0))&amp;"","")="Au premier des deux")),"Compteur manquant (plan au compteur)","OK"))))))))))))))))))</f>
        <v/>
      </c>
      <c r="S1777" s="67">
        <f>IF(AND(ISNUMBER(B1777),N(B1777)&gt;0),INT(B1777),0)</f>
        <v>0.0</v>
      </c>
      <c r="T1777" s="67">
        <f>IF(AND(ISNUMBER(J1777),N(J1777)&gt;=0),N(J1777),0)</f>
        <v>0.0</v>
      </c>
      <c r="U1777" s="67">
        <f>IF(AND(ISNUMBER(K1777),N(K1777)&gt;0),N(K1777),0)</f>
        <v>0.0</v>
      </c>
      <c r="V1777" s="67">
        <f>IF(AND(ISNUMBER(L1777),N(L1777)&gt;0),N(L1777),0)</f>
        <v>0.0</v>
      </c>
      <c r="W1777" s="67">
        <f>IF(AND(I1777="Terminée",S1777&gt;0,C1777&lt;&gt;"",ISNUMBER(MATCH(C1777,eq_code,0))),1,0)</f>
        <v>0.0</v>
      </c>
      <c r="X1777" s="67">
        <f>IF(AND(W1777=1,E1777="Préventif"),1,0)</f>
        <v>0.0</v>
      </c>
      <c r="Y1777" s="67">
        <f>IF(AND(ISNUMBER(N1777),N(N1777)&gt;0),N(N1777),0)</f>
        <v>0.0</v>
      </c>
      <c r="Z1777" s="67">
        <f>IF(AND(ISNUMBER(P1777),N(P1777)&gt;0),N(P1777),0)</f>
        <v>0.0</v>
      </c>
    </row>
    <row r="1778">
      <c r="A1778" s="79" t="str">
        <f>IF(COUNTA(B1778:C1778,E1778:G1778,I1778)=0,"","BI-"&amp;RIGHT("0000"&amp;(ROW()-5),4))</f>
        <v/>
      </c>
      <c r="B1778" s="72" t="n"/>
      <c r="C1778" s="66" t="n"/>
      <c r="D1778" s="67" t="str">
        <f>IF(C1778="","",IFERROR(INDEX(eq_des,MATCH(C1778,eq_code,0))&amp;"","Équipement inconnu"))</f>
        <v/>
      </c>
      <c r="E1778" s="68" t="n"/>
      <c r="F1778" s="68" t="n"/>
      <c r="G1778" s="66" t="n"/>
      <c r="H1778" s="66" t="n"/>
      <c r="I1778" s="68" t="n"/>
      <c r="J1778" s="73" t="n"/>
      <c r="K1778" s="71" t="n"/>
      <c r="L1778" s="71" t="n"/>
      <c r="M1778" s="66" t="n"/>
      <c r="N1778" s="80" t="n"/>
      <c r="O1778" s="81" t="str">
        <f>IF(A1778="","",ROUND(V1778*IFERROR(N(INDEX(tech_rate,MATCH(M1778,tech_name,0))),0),2))</f>
        <v/>
      </c>
      <c r="P1778" s="80" t="n"/>
      <c r="Q1778" s="81" t="str">
        <f>IF(A1778="","",ROUND(Y1778+O1778+Z1778,2))</f>
        <v/>
      </c>
      <c r="R1778" s="79" t="str">
        <f>IF(A1778="","",IF(S1778=0,"Date manquante ou invalide",IF(C1778="","Équipement manquant",IF(ISNA(MATCH(C1778,eq_code,0)),"Équipement inconnu",IF(E1778="","Type manquant",IF(AND(E1778&lt;&gt;"Préventif",E1778&lt;&gt;"Correctif",E1778&lt;&gt;"Amélioratif"),"Type inconnu",IF(I1778="","Statut manquant",IF(AND(I1778&lt;&gt;"Terminée",I1778&lt;&gt;"En cours",I1778&lt;&gt;"À faire",I1778&lt;&gt;"Annulée"),"Statut inconnu",IF(AND(E1778="Préventif",F1778=""),"Plan manquant (préventif)",IF(AND(F1778&lt;&gt;"",ISNA(MATCH(F1778,pl_num,0))),"Plan inconnu",IF(AND(F1778&lt;&gt;"",IFERROR(INDEX(pl_eq,MATCH(F1778,pl_num,0))&amp;"",C1778)&lt;&gt;C1778),"Plan d'un autre équipement",IF(AND(J1778&lt;&gt;"",OR(NOT(ISNUMBER(J1778)),N(J1778)&lt;0)),"Compteur invalide",IF(OR(AND(K1778&lt;&gt;"",OR(NOT(ISNUMBER(K1778)),N(K1778)&lt;0)),AND(L1778&lt;&gt;"",OR(NOT(ISNUMBER(L1778)),N(L1778)&lt;0))),"Durée invalide",IF(OR(AND(N1778&lt;&gt;"",OR(NOT(ISNUMBER(N1778)),N(N1778)&lt;0)),AND(P1778&lt;&gt;"",OR(NOT(ISNUMBER(P1778)),N(P1778)&lt;0))),"Coût invalide",IF(AND(M1778&lt;&gt;"",ISNA(MATCH(M1778,tech_name,0))),"Technicien inconnu",IF(AND(I1778="Terminée",S1778&gt;p_today),"Terminée à une date future",IF(AND(I1778="Terminée",V1778=0),"Durée d'intervention manquante",IF(AND(I1778="Terminée",E1778="Préventif",T1778=0,OR(IFERROR(INDEX(pl_trig,MATCH(F1778,pl_num,0))&amp;"","")="Compteur",IFERROR(INDEX(pl_trig,MATCH(F1778,pl_num,0))&amp;"","")="Au premier des deux")),"Compteur manquant (plan au compteur)","OK"))))))))))))))))))</f>
        <v/>
      </c>
      <c r="S1778" s="67">
        <f>IF(AND(ISNUMBER(B1778),N(B1778)&gt;0),INT(B1778),0)</f>
        <v>0.0</v>
      </c>
      <c r="T1778" s="67">
        <f>IF(AND(ISNUMBER(J1778),N(J1778)&gt;=0),N(J1778),0)</f>
        <v>0.0</v>
      </c>
      <c r="U1778" s="67">
        <f>IF(AND(ISNUMBER(K1778),N(K1778)&gt;0),N(K1778),0)</f>
        <v>0.0</v>
      </c>
      <c r="V1778" s="67">
        <f>IF(AND(ISNUMBER(L1778),N(L1778)&gt;0),N(L1778),0)</f>
        <v>0.0</v>
      </c>
      <c r="W1778" s="67">
        <f>IF(AND(I1778="Terminée",S1778&gt;0,C1778&lt;&gt;"",ISNUMBER(MATCH(C1778,eq_code,0))),1,0)</f>
        <v>0.0</v>
      </c>
      <c r="X1778" s="67">
        <f>IF(AND(W1778=1,E1778="Préventif"),1,0)</f>
        <v>0.0</v>
      </c>
      <c r="Y1778" s="67">
        <f>IF(AND(ISNUMBER(N1778),N(N1778)&gt;0),N(N1778),0)</f>
        <v>0.0</v>
      </c>
      <c r="Z1778" s="67">
        <f>IF(AND(ISNUMBER(P1778),N(P1778)&gt;0),N(P1778),0)</f>
        <v>0.0</v>
      </c>
    </row>
    <row r="1779">
      <c r="A1779" s="79" t="str">
        <f>IF(COUNTA(B1779:C1779,E1779:G1779,I1779)=0,"","BI-"&amp;RIGHT("0000"&amp;(ROW()-5),4))</f>
        <v/>
      </c>
      <c r="B1779" s="72" t="n"/>
      <c r="C1779" s="66" t="n"/>
      <c r="D1779" s="67" t="str">
        <f>IF(C1779="","",IFERROR(INDEX(eq_des,MATCH(C1779,eq_code,0))&amp;"","Équipement inconnu"))</f>
        <v/>
      </c>
      <c r="E1779" s="68" t="n"/>
      <c r="F1779" s="68" t="n"/>
      <c r="G1779" s="66" t="n"/>
      <c r="H1779" s="66" t="n"/>
      <c r="I1779" s="68" t="n"/>
      <c r="J1779" s="73" t="n"/>
      <c r="K1779" s="71" t="n"/>
      <c r="L1779" s="71" t="n"/>
      <c r="M1779" s="66" t="n"/>
      <c r="N1779" s="80" t="n"/>
      <c r="O1779" s="81" t="str">
        <f>IF(A1779="","",ROUND(V1779*IFERROR(N(INDEX(tech_rate,MATCH(M1779,tech_name,0))),0),2))</f>
        <v/>
      </c>
      <c r="P1779" s="80" t="n"/>
      <c r="Q1779" s="81" t="str">
        <f>IF(A1779="","",ROUND(Y1779+O1779+Z1779,2))</f>
        <v/>
      </c>
      <c r="R1779" s="79" t="str">
        <f>IF(A1779="","",IF(S1779=0,"Date manquante ou invalide",IF(C1779="","Équipement manquant",IF(ISNA(MATCH(C1779,eq_code,0)),"Équipement inconnu",IF(E1779="","Type manquant",IF(AND(E1779&lt;&gt;"Préventif",E1779&lt;&gt;"Correctif",E1779&lt;&gt;"Amélioratif"),"Type inconnu",IF(I1779="","Statut manquant",IF(AND(I1779&lt;&gt;"Terminée",I1779&lt;&gt;"En cours",I1779&lt;&gt;"À faire",I1779&lt;&gt;"Annulée"),"Statut inconnu",IF(AND(E1779="Préventif",F1779=""),"Plan manquant (préventif)",IF(AND(F1779&lt;&gt;"",ISNA(MATCH(F1779,pl_num,0))),"Plan inconnu",IF(AND(F1779&lt;&gt;"",IFERROR(INDEX(pl_eq,MATCH(F1779,pl_num,0))&amp;"",C1779)&lt;&gt;C1779),"Plan d'un autre équipement",IF(AND(J1779&lt;&gt;"",OR(NOT(ISNUMBER(J1779)),N(J1779)&lt;0)),"Compteur invalide",IF(OR(AND(K1779&lt;&gt;"",OR(NOT(ISNUMBER(K1779)),N(K1779)&lt;0)),AND(L1779&lt;&gt;"",OR(NOT(ISNUMBER(L1779)),N(L1779)&lt;0))),"Durée invalide",IF(OR(AND(N1779&lt;&gt;"",OR(NOT(ISNUMBER(N1779)),N(N1779)&lt;0)),AND(P1779&lt;&gt;"",OR(NOT(ISNUMBER(P1779)),N(P1779)&lt;0))),"Coût invalide",IF(AND(M1779&lt;&gt;"",ISNA(MATCH(M1779,tech_name,0))),"Technicien inconnu",IF(AND(I1779="Terminée",S1779&gt;p_today),"Terminée à une date future",IF(AND(I1779="Terminée",V1779=0),"Durée d'intervention manquante",IF(AND(I1779="Terminée",E1779="Préventif",T1779=0,OR(IFERROR(INDEX(pl_trig,MATCH(F1779,pl_num,0))&amp;"","")="Compteur",IFERROR(INDEX(pl_trig,MATCH(F1779,pl_num,0))&amp;"","")="Au premier des deux")),"Compteur manquant (plan au compteur)","OK"))))))))))))))))))</f>
        <v/>
      </c>
      <c r="S1779" s="67">
        <f>IF(AND(ISNUMBER(B1779),N(B1779)&gt;0),INT(B1779),0)</f>
        <v>0.0</v>
      </c>
      <c r="T1779" s="67">
        <f>IF(AND(ISNUMBER(J1779),N(J1779)&gt;=0),N(J1779),0)</f>
        <v>0.0</v>
      </c>
      <c r="U1779" s="67">
        <f>IF(AND(ISNUMBER(K1779),N(K1779)&gt;0),N(K1779),0)</f>
        <v>0.0</v>
      </c>
      <c r="V1779" s="67">
        <f>IF(AND(ISNUMBER(L1779),N(L1779)&gt;0),N(L1779),0)</f>
        <v>0.0</v>
      </c>
      <c r="W1779" s="67">
        <f>IF(AND(I1779="Terminée",S1779&gt;0,C1779&lt;&gt;"",ISNUMBER(MATCH(C1779,eq_code,0))),1,0)</f>
        <v>0.0</v>
      </c>
      <c r="X1779" s="67">
        <f>IF(AND(W1779=1,E1779="Préventif"),1,0)</f>
        <v>0.0</v>
      </c>
      <c r="Y1779" s="67">
        <f>IF(AND(ISNUMBER(N1779),N(N1779)&gt;0),N(N1779),0)</f>
        <v>0.0</v>
      </c>
      <c r="Z1779" s="67">
        <f>IF(AND(ISNUMBER(P1779),N(P1779)&gt;0),N(P1779),0)</f>
        <v>0.0</v>
      </c>
    </row>
    <row r="1780">
      <c r="A1780" s="79" t="str">
        <f>IF(COUNTA(B1780:C1780,E1780:G1780,I1780)=0,"","BI-"&amp;RIGHT("0000"&amp;(ROW()-5),4))</f>
        <v/>
      </c>
      <c r="B1780" s="72" t="n"/>
      <c r="C1780" s="66" t="n"/>
      <c r="D1780" s="67" t="str">
        <f>IF(C1780="","",IFERROR(INDEX(eq_des,MATCH(C1780,eq_code,0))&amp;"","Équipement inconnu"))</f>
        <v/>
      </c>
      <c r="E1780" s="68" t="n"/>
      <c r="F1780" s="68" t="n"/>
      <c r="G1780" s="66" t="n"/>
      <c r="H1780" s="66" t="n"/>
      <c r="I1780" s="68" t="n"/>
      <c r="J1780" s="73" t="n"/>
      <c r="K1780" s="71" t="n"/>
      <c r="L1780" s="71" t="n"/>
      <c r="M1780" s="66" t="n"/>
      <c r="N1780" s="80" t="n"/>
      <c r="O1780" s="81" t="str">
        <f>IF(A1780="","",ROUND(V1780*IFERROR(N(INDEX(tech_rate,MATCH(M1780,tech_name,0))),0),2))</f>
        <v/>
      </c>
      <c r="P1780" s="80" t="n"/>
      <c r="Q1780" s="81" t="str">
        <f>IF(A1780="","",ROUND(Y1780+O1780+Z1780,2))</f>
        <v/>
      </c>
      <c r="R1780" s="79" t="str">
        <f>IF(A1780="","",IF(S1780=0,"Date manquante ou invalide",IF(C1780="","Équipement manquant",IF(ISNA(MATCH(C1780,eq_code,0)),"Équipement inconnu",IF(E1780="","Type manquant",IF(AND(E1780&lt;&gt;"Préventif",E1780&lt;&gt;"Correctif",E1780&lt;&gt;"Amélioratif"),"Type inconnu",IF(I1780="","Statut manquant",IF(AND(I1780&lt;&gt;"Terminée",I1780&lt;&gt;"En cours",I1780&lt;&gt;"À faire",I1780&lt;&gt;"Annulée"),"Statut inconnu",IF(AND(E1780="Préventif",F1780=""),"Plan manquant (préventif)",IF(AND(F1780&lt;&gt;"",ISNA(MATCH(F1780,pl_num,0))),"Plan inconnu",IF(AND(F1780&lt;&gt;"",IFERROR(INDEX(pl_eq,MATCH(F1780,pl_num,0))&amp;"",C1780)&lt;&gt;C1780),"Plan d'un autre équipement",IF(AND(J1780&lt;&gt;"",OR(NOT(ISNUMBER(J1780)),N(J1780)&lt;0)),"Compteur invalide",IF(OR(AND(K1780&lt;&gt;"",OR(NOT(ISNUMBER(K1780)),N(K1780)&lt;0)),AND(L1780&lt;&gt;"",OR(NOT(ISNUMBER(L1780)),N(L1780)&lt;0))),"Durée invalide",IF(OR(AND(N1780&lt;&gt;"",OR(NOT(ISNUMBER(N1780)),N(N1780)&lt;0)),AND(P1780&lt;&gt;"",OR(NOT(ISNUMBER(P1780)),N(P1780)&lt;0))),"Coût invalide",IF(AND(M1780&lt;&gt;"",ISNA(MATCH(M1780,tech_name,0))),"Technicien inconnu",IF(AND(I1780="Terminée",S1780&gt;p_today),"Terminée à une date future",IF(AND(I1780="Terminée",V1780=0),"Durée d'intervention manquante",IF(AND(I1780="Terminée",E1780="Préventif",T1780=0,OR(IFERROR(INDEX(pl_trig,MATCH(F1780,pl_num,0))&amp;"","")="Compteur",IFERROR(INDEX(pl_trig,MATCH(F1780,pl_num,0))&amp;"","")="Au premier des deux")),"Compteur manquant (plan au compteur)","OK"))))))))))))))))))</f>
        <v/>
      </c>
      <c r="S1780" s="67">
        <f>IF(AND(ISNUMBER(B1780),N(B1780)&gt;0),INT(B1780),0)</f>
        <v>0.0</v>
      </c>
      <c r="T1780" s="67">
        <f>IF(AND(ISNUMBER(J1780),N(J1780)&gt;=0),N(J1780),0)</f>
        <v>0.0</v>
      </c>
      <c r="U1780" s="67">
        <f>IF(AND(ISNUMBER(K1780),N(K1780)&gt;0),N(K1780),0)</f>
        <v>0.0</v>
      </c>
      <c r="V1780" s="67">
        <f>IF(AND(ISNUMBER(L1780),N(L1780)&gt;0),N(L1780),0)</f>
        <v>0.0</v>
      </c>
      <c r="W1780" s="67">
        <f>IF(AND(I1780="Terminée",S1780&gt;0,C1780&lt;&gt;"",ISNUMBER(MATCH(C1780,eq_code,0))),1,0)</f>
        <v>0.0</v>
      </c>
      <c r="X1780" s="67">
        <f>IF(AND(W1780=1,E1780="Préventif"),1,0)</f>
        <v>0.0</v>
      </c>
      <c r="Y1780" s="67">
        <f>IF(AND(ISNUMBER(N1780),N(N1780)&gt;0),N(N1780),0)</f>
        <v>0.0</v>
      </c>
      <c r="Z1780" s="67">
        <f>IF(AND(ISNUMBER(P1780),N(P1780)&gt;0),N(P1780),0)</f>
        <v>0.0</v>
      </c>
    </row>
    <row r="1781">
      <c r="A1781" s="79" t="str">
        <f>IF(COUNTA(B1781:C1781,E1781:G1781,I1781)=0,"","BI-"&amp;RIGHT("0000"&amp;(ROW()-5),4))</f>
        <v/>
      </c>
      <c r="B1781" s="72" t="n"/>
      <c r="C1781" s="66" t="n"/>
      <c r="D1781" s="67" t="str">
        <f>IF(C1781="","",IFERROR(INDEX(eq_des,MATCH(C1781,eq_code,0))&amp;"","Équipement inconnu"))</f>
        <v/>
      </c>
      <c r="E1781" s="68" t="n"/>
      <c r="F1781" s="68" t="n"/>
      <c r="G1781" s="66" t="n"/>
      <c r="H1781" s="66" t="n"/>
      <c r="I1781" s="68" t="n"/>
      <c r="J1781" s="73" t="n"/>
      <c r="K1781" s="71" t="n"/>
      <c r="L1781" s="71" t="n"/>
      <c r="M1781" s="66" t="n"/>
      <c r="N1781" s="80" t="n"/>
      <c r="O1781" s="81" t="str">
        <f>IF(A1781="","",ROUND(V1781*IFERROR(N(INDEX(tech_rate,MATCH(M1781,tech_name,0))),0),2))</f>
        <v/>
      </c>
      <c r="P1781" s="80" t="n"/>
      <c r="Q1781" s="81" t="str">
        <f>IF(A1781="","",ROUND(Y1781+O1781+Z1781,2))</f>
        <v/>
      </c>
      <c r="R1781" s="79" t="str">
        <f>IF(A1781="","",IF(S1781=0,"Date manquante ou invalide",IF(C1781="","Équipement manquant",IF(ISNA(MATCH(C1781,eq_code,0)),"Équipement inconnu",IF(E1781="","Type manquant",IF(AND(E1781&lt;&gt;"Préventif",E1781&lt;&gt;"Correctif",E1781&lt;&gt;"Amélioratif"),"Type inconnu",IF(I1781="","Statut manquant",IF(AND(I1781&lt;&gt;"Terminée",I1781&lt;&gt;"En cours",I1781&lt;&gt;"À faire",I1781&lt;&gt;"Annulée"),"Statut inconnu",IF(AND(E1781="Préventif",F1781=""),"Plan manquant (préventif)",IF(AND(F1781&lt;&gt;"",ISNA(MATCH(F1781,pl_num,0))),"Plan inconnu",IF(AND(F1781&lt;&gt;"",IFERROR(INDEX(pl_eq,MATCH(F1781,pl_num,0))&amp;"",C1781)&lt;&gt;C1781),"Plan d'un autre équipement",IF(AND(J1781&lt;&gt;"",OR(NOT(ISNUMBER(J1781)),N(J1781)&lt;0)),"Compteur invalide",IF(OR(AND(K1781&lt;&gt;"",OR(NOT(ISNUMBER(K1781)),N(K1781)&lt;0)),AND(L1781&lt;&gt;"",OR(NOT(ISNUMBER(L1781)),N(L1781)&lt;0))),"Durée invalide",IF(OR(AND(N1781&lt;&gt;"",OR(NOT(ISNUMBER(N1781)),N(N1781)&lt;0)),AND(P1781&lt;&gt;"",OR(NOT(ISNUMBER(P1781)),N(P1781)&lt;0))),"Coût invalide",IF(AND(M1781&lt;&gt;"",ISNA(MATCH(M1781,tech_name,0))),"Technicien inconnu",IF(AND(I1781="Terminée",S1781&gt;p_today),"Terminée à une date future",IF(AND(I1781="Terminée",V1781=0),"Durée d'intervention manquante",IF(AND(I1781="Terminée",E1781="Préventif",T1781=0,OR(IFERROR(INDEX(pl_trig,MATCH(F1781,pl_num,0))&amp;"","")="Compteur",IFERROR(INDEX(pl_trig,MATCH(F1781,pl_num,0))&amp;"","")="Au premier des deux")),"Compteur manquant (plan au compteur)","OK"))))))))))))))))))</f>
        <v/>
      </c>
      <c r="S1781" s="67">
        <f>IF(AND(ISNUMBER(B1781),N(B1781)&gt;0),INT(B1781),0)</f>
        <v>0.0</v>
      </c>
      <c r="T1781" s="67">
        <f>IF(AND(ISNUMBER(J1781),N(J1781)&gt;=0),N(J1781),0)</f>
        <v>0.0</v>
      </c>
      <c r="U1781" s="67">
        <f>IF(AND(ISNUMBER(K1781),N(K1781)&gt;0),N(K1781),0)</f>
        <v>0.0</v>
      </c>
      <c r="V1781" s="67">
        <f>IF(AND(ISNUMBER(L1781),N(L1781)&gt;0),N(L1781),0)</f>
        <v>0.0</v>
      </c>
      <c r="W1781" s="67">
        <f>IF(AND(I1781="Terminée",S1781&gt;0,C1781&lt;&gt;"",ISNUMBER(MATCH(C1781,eq_code,0))),1,0)</f>
        <v>0.0</v>
      </c>
      <c r="X1781" s="67">
        <f>IF(AND(W1781=1,E1781="Préventif"),1,0)</f>
        <v>0.0</v>
      </c>
      <c r="Y1781" s="67">
        <f>IF(AND(ISNUMBER(N1781),N(N1781)&gt;0),N(N1781),0)</f>
        <v>0.0</v>
      </c>
      <c r="Z1781" s="67">
        <f>IF(AND(ISNUMBER(P1781),N(P1781)&gt;0),N(P1781),0)</f>
        <v>0.0</v>
      </c>
    </row>
    <row r="1782">
      <c r="A1782" s="79" t="str">
        <f>IF(COUNTA(B1782:C1782,E1782:G1782,I1782)=0,"","BI-"&amp;RIGHT("0000"&amp;(ROW()-5),4))</f>
        <v/>
      </c>
      <c r="B1782" s="72" t="n"/>
      <c r="C1782" s="66" t="n"/>
      <c r="D1782" s="67" t="str">
        <f>IF(C1782="","",IFERROR(INDEX(eq_des,MATCH(C1782,eq_code,0))&amp;"","Équipement inconnu"))</f>
        <v/>
      </c>
      <c r="E1782" s="68" t="n"/>
      <c r="F1782" s="68" t="n"/>
      <c r="G1782" s="66" t="n"/>
      <c r="H1782" s="66" t="n"/>
      <c r="I1782" s="68" t="n"/>
      <c r="J1782" s="73" t="n"/>
      <c r="K1782" s="71" t="n"/>
      <c r="L1782" s="71" t="n"/>
      <c r="M1782" s="66" t="n"/>
      <c r="N1782" s="80" t="n"/>
      <c r="O1782" s="81" t="str">
        <f>IF(A1782="","",ROUND(V1782*IFERROR(N(INDEX(tech_rate,MATCH(M1782,tech_name,0))),0),2))</f>
        <v/>
      </c>
      <c r="P1782" s="80" t="n"/>
      <c r="Q1782" s="81" t="str">
        <f>IF(A1782="","",ROUND(Y1782+O1782+Z1782,2))</f>
        <v/>
      </c>
      <c r="R1782" s="79" t="str">
        <f>IF(A1782="","",IF(S1782=0,"Date manquante ou invalide",IF(C1782="","Équipement manquant",IF(ISNA(MATCH(C1782,eq_code,0)),"Équipement inconnu",IF(E1782="","Type manquant",IF(AND(E1782&lt;&gt;"Préventif",E1782&lt;&gt;"Correctif",E1782&lt;&gt;"Amélioratif"),"Type inconnu",IF(I1782="","Statut manquant",IF(AND(I1782&lt;&gt;"Terminée",I1782&lt;&gt;"En cours",I1782&lt;&gt;"À faire",I1782&lt;&gt;"Annulée"),"Statut inconnu",IF(AND(E1782="Préventif",F1782=""),"Plan manquant (préventif)",IF(AND(F1782&lt;&gt;"",ISNA(MATCH(F1782,pl_num,0))),"Plan inconnu",IF(AND(F1782&lt;&gt;"",IFERROR(INDEX(pl_eq,MATCH(F1782,pl_num,0))&amp;"",C1782)&lt;&gt;C1782),"Plan d'un autre équipement",IF(AND(J1782&lt;&gt;"",OR(NOT(ISNUMBER(J1782)),N(J1782)&lt;0)),"Compteur invalide",IF(OR(AND(K1782&lt;&gt;"",OR(NOT(ISNUMBER(K1782)),N(K1782)&lt;0)),AND(L1782&lt;&gt;"",OR(NOT(ISNUMBER(L1782)),N(L1782)&lt;0))),"Durée invalide",IF(OR(AND(N1782&lt;&gt;"",OR(NOT(ISNUMBER(N1782)),N(N1782)&lt;0)),AND(P1782&lt;&gt;"",OR(NOT(ISNUMBER(P1782)),N(P1782)&lt;0))),"Coût invalide",IF(AND(M1782&lt;&gt;"",ISNA(MATCH(M1782,tech_name,0))),"Technicien inconnu",IF(AND(I1782="Terminée",S1782&gt;p_today),"Terminée à une date future",IF(AND(I1782="Terminée",V1782=0),"Durée d'intervention manquante",IF(AND(I1782="Terminée",E1782="Préventif",T1782=0,OR(IFERROR(INDEX(pl_trig,MATCH(F1782,pl_num,0))&amp;"","")="Compteur",IFERROR(INDEX(pl_trig,MATCH(F1782,pl_num,0))&amp;"","")="Au premier des deux")),"Compteur manquant (plan au compteur)","OK"))))))))))))))))))</f>
        <v/>
      </c>
      <c r="S1782" s="67">
        <f>IF(AND(ISNUMBER(B1782),N(B1782)&gt;0),INT(B1782),0)</f>
        <v>0.0</v>
      </c>
      <c r="T1782" s="67">
        <f>IF(AND(ISNUMBER(J1782),N(J1782)&gt;=0),N(J1782),0)</f>
        <v>0.0</v>
      </c>
      <c r="U1782" s="67">
        <f>IF(AND(ISNUMBER(K1782),N(K1782)&gt;0),N(K1782),0)</f>
        <v>0.0</v>
      </c>
      <c r="V1782" s="67">
        <f>IF(AND(ISNUMBER(L1782),N(L1782)&gt;0),N(L1782),0)</f>
        <v>0.0</v>
      </c>
      <c r="W1782" s="67">
        <f>IF(AND(I1782="Terminée",S1782&gt;0,C1782&lt;&gt;"",ISNUMBER(MATCH(C1782,eq_code,0))),1,0)</f>
        <v>0.0</v>
      </c>
      <c r="X1782" s="67">
        <f>IF(AND(W1782=1,E1782="Préventif"),1,0)</f>
        <v>0.0</v>
      </c>
      <c r="Y1782" s="67">
        <f>IF(AND(ISNUMBER(N1782),N(N1782)&gt;0),N(N1782),0)</f>
        <v>0.0</v>
      </c>
      <c r="Z1782" s="67">
        <f>IF(AND(ISNUMBER(P1782),N(P1782)&gt;0),N(P1782),0)</f>
        <v>0.0</v>
      </c>
    </row>
    <row r="1783">
      <c r="A1783" s="79" t="str">
        <f>IF(COUNTA(B1783:C1783,E1783:G1783,I1783)=0,"","BI-"&amp;RIGHT("0000"&amp;(ROW()-5),4))</f>
        <v/>
      </c>
      <c r="B1783" s="72" t="n"/>
      <c r="C1783" s="66" t="n"/>
      <c r="D1783" s="67" t="str">
        <f>IF(C1783="","",IFERROR(INDEX(eq_des,MATCH(C1783,eq_code,0))&amp;"","Équipement inconnu"))</f>
        <v/>
      </c>
      <c r="E1783" s="68" t="n"/>
      <c r="F1783" s="68" t="n"/>
      <c r="G1783" s="66" t="n"/>
      <c r="H1783" s="66" t="n"/>
      <c r="I1783" s="68" t="n"/>
      <c r="J1783" s="73" t="n"/>
      <c r="K1783" s="71" t="n"/>
      <c r="L1783" s="71" t="n"/>
      <c r="M1783" s="66" t="n"/>
      <c r="N1783" s="80" t="n"/>
      <c r="O1783" s="81" t="str">
        <f>IF(A1783="","",ROUND(V1783*IFERROR(N(INDEX(tech_rate,MATCH(M1783,tech_name,0))),0),2))</f>
        <v/>
      </c>
      <c r="P1783" s="80" t="n"/>
      <c r="Q1783" s="81" t="str">
        <f>IF(A1783="","",ROUND(Y1783+O1783+Z1783,2))</f>
        <v/>
      </c>
      <c r="R1783" s="79" t="str">
        <f>IF(A1783="","",IF(S1783=0,"Date manquante ou invalide",IF(C1783="","Équipement manquant",IF(ISNA(MATCH(C1783,eq_code,0)),"Équipement inconnu",IF(E1783="","Type manquant",IF(AND(E1783&lt;&gt;"Préventif",E1783&lt;&gt;"Correctif",E1783&lt;&gt;"Amélioratif"),"Type inconnu",IF(I1783="","Statut manquant",IF(AND(I1783&lt;&gt;"Terminée",I1783&lt;&gt;"En cours",I1783&lt;&gt;"À faire",I1783&lt;&gt;"Annulée"),"Statut inconnu",IF(AND(E1783="Préventif",F1783=""),"Plan manquant (préventif)",IF(AND(F1783&lt;&gt;"",ISNA(MATCH(F1783,pl_num,0))),"Plan inconnu",IF(AND(F1783&lt;&gt;"",IFERROR(INDEX(pl_eq,MATCH(F1783,pl_num,0))&amp;"",C1783)&lt;&gt;C1783),"Plan d'un autre équipement",IF(AND(J1783&lt;&gt;"",OR(NOT(ISNUMBER(J1783)),N(J1783)&lt;0)),"Compteur invalide",IF(OR(AND(K1783&lt;&gt;"",OR(NOT(ISNUMBER(K1783)),N(K1783)&lt;0)),AND(L1783&lt;&gt;"",OR(NOT(ISNUMBER(L1783)),N(L1783)&lt;0))),"Durée invalide",IF(OR(AND(N1783&lt;&gt;"",OR(NOT(ISNUMBER(N1783)),N(N1783)&lt;0)),AND(P1783&lt;&gt;"",OR(NOT(ISNUMBER(P1783)),N(P1783)&lt;0))),"Coût invalide",IF(AND(M1783&lt;&gt;"",ISNA(MATCH(M1783,tech_name,0))),"Technicien inconnu",IF(AND(I1783="Terminée",S1783&gt;p_today),"Terminée à une date future",IF(AND(I1783="Terminée",V1783=0),"Durée d'intervention manquante",IF(AND(I1783="Terminée",E1783="Préventif",T1783=0,OR(IFERROR(INDEX(pl_trig,MATCH(F1783,pl_num,0))&amp;"","")="Compteur",IFERROR(INDEX(pl_trig,MATCH(F1783,pl_num,0))&amp;"","")="Au premier des deux")),"Compteur manquant (plan au compteur)","OK"))))))))))))))))))</f>
        <v/>
      </c>
      <c r="S1783" s="67">
        <f>IF(AND(ISNUMBER(B1783),N(B1783)&gt;0),INT(B1783),0)</f>
        <v>0.0</v>
      </c>
      <c r="T1783" s="67">
        <f>IF(AND(ISNUMBER(J1783),N(J1783)&gt;=0),N(J1783),0)</f>
        <v>0.0</v>
      </c>
      <c r="U1783" s="67">
        <f>IF(AND(ISNUMBER(K1783),N(K1783)&gt;0),N(K1783),0)</f>
        <v>0.0</v>
      </c>
      <c r="V1783" s="67">
        <f>IF(AND(ISNUMBER(L1783),N(L1783)&gt;0),N(L1783),0)</f>
        <v>0.0</v>
      </c>
      <c r="W1783" s="67">
        <f>IF(AND(I1783="Terminée",S1783&gt;0,C1783&lt;&gt;"",ISNUMBER(MATCH(C1783,eq_code,0))),1,0)</f>
        <v>0.0</v>
      </c>
      <c r="X1783" s="67">
        <f>IF(AND(W1783=1,E1783="Préventif"),1,0)</f>
        <v>0.0</v>
      </c>
      <c r="Y1783" s="67">
        <f>IF(AND(ISNUMBER(N1783),N(N1783)&gt;0),N(N1783),0)</f>
        <v>0.0</v>
      </c>
      <c r="Z1783" s="67">
        <f>IF(AND(ISNUMBER(P1783),N(P1783)&gt;0),N(P1783),0)</f>
        <v>0.0</v>
      </c>
    </row>
    <row r="1784">
      <c r="A1784" s="79" t="str">
        <f>IF(COUNTA(B1784:C1784,E1784:G1784,I1784)=0,"","BI-"&amp;RIGHT("0000"&amp;(ROW()-5),4))</f>
        <v/>
      </c>
      <c r="B1784" s="72" t="n"/>
      <c r="C1784" s="66" t="n"/>
      <c r="D1784" s="67" t="str">
        <f>IF(C1784="","",IFERROR(INDEX(eq_des,MATCH(C1784,eq_code,0))&amp;"","Équipement inconnu"))</f>
        <v/>
      </c>
      <c r="E1784" s="68" t="n"/>
      <c r="F1784" s="68" t="n"/>
      <c r="G1784" s="66" t="n"/>
      <c r="H1784" s="66" t="n"/>
      <c r="I1784" s="68" t="n"/>
      <c r="J1784" s="73" t="n"/>
      <c r="K1784" s="71" t="n"/>
      <c r="L1784" s="71" t="n"/>
      <c r="M1784" s="66" t="n"/>
      <c r="N1784" s="80" t="n"/>
      <c r="O1784" s="81" t="str">
        <f>IF(A1784="","",ROUND(V1784*IFERROR(N(INDEX(tech_rate,MATCH(M1784,tech_name,0))),0),2))</f>
        <v/>
      </c>
      <c r="P1784" s="80" t="n"/>
      <c r="Q1784" s="81" t="str">
        <f>IF(A1784="","",ROUND(Y1784+O1784+Z1784,2))</f>
        <v/>
      </c>
      <c r="R1784" s="79" t="str">
        <f>IF(A1784="","",IF(S1784=0,"Date manquante ou invalide",IF(C1784="","Équipement manquant",IF(ISNA(MATCH(C1784,eq_code,0)),"Équipement inconnu",IF(E1784="","Type manquant",IF(AND(E1784&lt;&gt;"Préventif",E1784&lt;&gt;"Correctif",E1784&lt;&gt;"Amélioratif"),"Type inconnu",IF(I1784="","Statut manquant",IF(AND(I1784&lt;&gt;"Terminée",I1784&lt;&gt;"En cours",I1784&lt;&gt;"À faire",I1784&lt;&gt;"Annulée"),"Statut inconnu",IF(AND(E1784="Préventif",F1784=""),"Plan manquant (préventif)",IF(AND(F1784&lt;&gt;"",ISNA(MATCH(F1784,pl_num,0))),"Plan inconnu",IF(AND(F1784&lt;&gt;"",IFERROR(INDEX(pl_eq,MATCH(F1784,pl_num,0))&amp;"",C1784)&lt;&gt;C1784),"Plan d'un autre équipement",IF(AND(J1784&lt;&gt;"",OR(NOT(ISNUMBER(J1784)),N(J1784)&lt;0)),"Compteur invalide",IF(OR(AND(K1784&lt;&gt;"",OR(NOT(ISNUMBER(K1784)),N(K1784)&lt;0)),AND(L1784&lt;&gt;"",OR(NOT(ISNUMBER(L1784)),N(L1784)&lt;0))),"Durée invalide",IF(OR(AND(N1784&lt;&gt;"",OR(NOT(ISNUMBER(N1784)),N(N1784)&lt;0)),AND(P1784&lt;&gt;"",OR(NOT(ISNUMBER(P1784)),N(P1784)&lt;0))),"Coût invalide",IF(AND(M1784&lt;&gt;"",ISNA(MATCH(M1784,tech_name,0))),"Technicien inconnu",IF(AND(I1784="Terminée",S1784&gt;p_today),"Terminée à une date future",IF(AND(I1784="Terminée",V1784=0),"Durée d'intervention manquante",IF(AND(I1784="Terminée",E1784="Préventif",T1784=0,OR(IFERROR(INDEX(pl_trig,MATCH(F1784,pl_num,0))&amp;"","")="Compteur",IFERROR(INDEX(pl_trig,MATCH(F1784,pl_num,0))&amp;"","")="Au premier des deux")),"Compteur manquant (plan au compteur)","OK"))))))))))))))))))</f>
        <v/>
      </c>
      <c r="S1784" s="67">
        <f>IF(AND(ISNUMBER(B1784),N(B1784)&gt;0),INT(B1784),0)</f>
        <v>0.0</v>
      </c>
      <c r="T1784" s="67">
        <f>IF(AND(ISNUMBER(J1784),N(J1784)&gt;=0),N(J1784),0)</f>
        <v>0.0</v>
      </c>
      <c r="U1784" s="67">
        <f>IF(AND(ISNUMBER(K1784),N(K1784)&gt;0),N(K1784),0)</f>
        <v>0.0</v>
      </c>
      <c r="V1784" s="67">
        <f>IF(AND(ISNUMBER(L1784),N(L1784)&gt;0),N(L1784),0)</f>
        <v>0.0</v>
      </c>
      <c r="W1784" s="67">
        <f>IF(AND(I1784="Terminée",S1784&gt;0,C1784&lt;&gt;"",ISNUMBER(MATCH(C1784,eq_code,0))),1,0)</f>
        <v>0.0</v>
      </c>
      <c r="X1784" s="67">
        <f>IF(AND(W1784=1,E1784="Préventif"),1,0)</f>
        <v>0.0</v>
      </c>
      <c r="Y1784" s="67">
        <f>IF(AND(ISNUMBER(N1784),N(N1784)&gt;0),N(N1784),0)</f>
        <v>0.0</v>
      </c>
      <c r="Z1784" s="67">
        <f>IF(AND(ISNUMBER(P1784),N(P1784)&gt;0),N(P1784),0)</f>
        <v>0.0</v>
      </c>
    </row>
    <row r="1785">
      <c r="A1785" s="79" t="str">
        <f>IF(COUNTA(B1785:C1785,E1785:G1785,I1785)=0,"","BI-"&amp;RIGHT("0000"&amp;(ROW()-5),4))</f>
        <v/>
      </c>
      <c r="B1785" s="72" t="n"/>
      <c r="C1785" s="66" t="n"/>
      <c r="D1785" s="67" t="str">
        <f>IF(C1785="","",IFERROR(INDEX(eq_des,MATCH(C1785,eq_code,0))&amp;"","Équipement inconnu"))</f>
        <v/>
      </c>
      <c r="E1785" s="68" t="n"/>
      <c r="F1785" s="68" t="n"/>
      <c r="G1785" s="66" t="n"/>
      <c r="H1785" s="66" t="n"/>
      <c r="I1785" s="68" t="n"/>
      <c r="J1785" s="73" t="n"/>
      <c r="K1785" s="71" t="n"/>
      <c r="L1785" s="71" t="n"/>
      <c r="M1785" s="66" t="n"/>
      <c r="N1785" s="80" t="n"/>
      <c r="O1785" s="81" t="str">
        <f>IF(A1785="","",ROUND(V1785*IFERROR(N(INDEX(tech_rate,MATCH(M1785,tech_name,0))),0),2))</f>
        <v/>
      </c>
      <c r="P1785" s="80" t="n"/>
      <c r="Q1785" s="81" t="str">
        <f>IF(A1785="","",ROUND(Y1785+O1785+Z1785,2))</f>
        <v/>
      </c>
      <c r="R1785" s="79" t="str">
        <f>IF(A1785="","",IF(S1785=0,"Date manquante ou invalide",IF(C1785="","Équipement manquant",IF(ISNA(MATCH(C1785,eq_code,0)),"Équipement inconnu",IF(E1785="","Type manquant",IF(AND(E1785&lt;&gt;"Préventif",E1785&lt;&gt;"Correctif",E1785&lt;&gt;"Amélioratif"),"Type inconnu",IF(I1785="","Statut manquant",IF(AND(I1785&lt;&gt;"Terminée",I1785&lt;&gt;"En cours",I1785&lt;&gt;"À faire",I1785&lt;&gt;"Annulée"),"Statut inconnu",IF(AND(E1785="Préventif",F1785=""),"Plan manquant (préventif)",IF(AND(F1785&lt;&gt;"",ISNA(MATCH(F1785,pl_num,0))),"Plan inconnu",IF(AND(F1785&lt;&gt;"",IFERROR(INDEX(pl_eq,MATCH(F1785,pl_num,0))&amp;"",C1785)&lt;&gt;C1785),"Plan d'un autre équipement",IF(AND(J1785&lt;&gt;"",OR(NOT(ISNUMBER(J1785)),N(J1785)&lt;0)),"Compteur invalide",IF(OR(AND(K1785&lt;&gt;"",OR(NOT(ISNUMBER(K1785)),N(K1785)&lt;0)),AND(L1785&lt;&gt;"",OR(NOT(ISNUMBER(L1785)),N(L1785)&lt;0))),"Durée invalide",IF(OR(AND(N1785&lt;&gt;"",OR(NOT(ISNUMBER(N1785)),N(N1785)&lt;0)),AND(P1785&lt;&gt;"",OR(NOT(ISNUMBER(P1785)),N(P1785)&lt;0))),"Coût invalide",IF(AND(M1785&lt;&gt;"",ISNA(MATCH(M1785,tech_name,0))),"Technicien inconnu",IF(AND(I1785="Terminée",S1785&gt;p_today),"Terminée à une date future",IF(AND(I1785="Terminée",V1785=0),"Durée d'intervention manquante",IF(AND(I1785="Terminée",E1785="Préventif",T1785=0,OR(IFERROR(INDEX(pl_trig,MATCH(F1785,pl_num,0))&amp;"","")="Compteur",IFERROR(INDEX(pl_trig,MATCH(F1785,pl_num,0))&amp;"","")="Au premier des deux")),"Compteur manquant (plan au compteur)","OK"))))))))))))))))))</f>
        <v/>
      </c>
      <c r="S1785" s="67">
        <f>IF(AND(ISNUMBER(B1785),N(B1785)&gt;0),INT(B1785),0)</f>
        <v>0.0</v>
      </c>
      <c r="T1785" s="67">
        <f>IF(AND(ISNUMBER(J1785),N(J1785)&gt;=0),N(J1785),0)</f>
        <v>0.0</v>
      </c>
      <c r="U1785" s="67">
        <f>IF(AND(ISNUMBER(K1785),N(K1785)&gt;0),N(K1785),0)</f>
        <v>0.0</v>
      </c>
      <c r="V1785" s="67">
        <f>IF(AND(ISNUMBER(L1785),N(L1785)&gt;0),N(L1785),0)</f>
        <v>0.0</v>
      </c>
      <c r="W1785" s="67">
        <f>IF(AND(I1785="Terminée",S1785&gt;0,C1785&lt;&gt;"",ISNUMBER(MATCH(C1785,eq_code,0))),1,0)</f>
        <v>0.0</v>
      </c>
      <c r="X1785" s="67">
        <f>IF(AND(W1785=1,E1785="Préventif"),1,0)</f>
        <v>0.0</v>
      </c>
      <c r="Y1785" s="67">
        <f>IF(AND(ISNUMBER(N1785),N(N1785)&gt;0),N(N1785),0)</f>
        <v>0.0</v>
      </c>
      <c r="Z1785" s="67">
        <f>IF(AND(ISNUMBER(P1785),N(P1785)&gt;0),N(P1785),0)</f>
        <v>0.0</v>
      </c>
    </row>
    <row r="1786">
      <c r="A1786" s="79" t="str">
        <f>IF(COUNTA(B1786:C1786,E1786:G1786,I1786)=0,"","BI-"&amp;RIGHT("0000"&amp;(ROW()-5),4))</f>
        <v/>
      </c>
      <c r="B1786" s="72" t="n"/>
      <c r="C1786" s="66" t="n"/>
      <c r="D1786" s="67" t="str">
        <f>IF(C1786="","",IFERROR(INDEX(eq_des,MATCH(C1786,eq_code,0))&amp;"","Équipement inconnu"))</f>
        <v/>
      </c>
      <c r="E1786" s="68" t="n"/>
      <c r="F1786" s="68" t="n"/>
      <c r="G1786" s="66" t="n"/>
      <c r="H1786" s="66" t="n"/>
      <c r="I1786" s="68" t="n"/>
      <c r="J1786" s="73" t="n"/>
      <c r="K1786" s="71" t="n"/>
      <c r="L1786" s="71" t="n"/>
      <c r="M1786" s="66" t="n"/>
      <c r="N1786" s="80" t="n"/>
      <c r="O1786" s="81" t="str">
        <f>IF(A1786="","",ROUND(V1786*IFERROR(N(INDEX(tech_rate,MATCH(M1786,tech_name,0))),0),2))</f>
        <v/>
      </c>
      <c r="P1786" s="80" t="n"/>
      <c r="Q1786" s="81" t="str">
        <f>IF(A1786="","",ROUND(Y1786+O1786+Z1786,2))</f>
        <v/>
      </c>
      <c r="R1786" s="79" t="str">
        <f>IF(A1786="","",IF(S1786=0,"Date manquante ou invalide",IF(C1786="","Équipement manquant",IF(ISNA(MATCH(C1786,eq_code,0)),"Équipement inconnu",IF(E1786="","Type manquant",IF(AND(E1786&lt;&gt;"Préventif",E1786&lt;&gt;"Correctif",E1786&lt;&gt;"Amélioratif"),"Type inconnu",IF(I1786="","Statut manquant",IF(AND(I1786&lt;&gt;"Terminée",I1786&lt;&gt;"En cours",I1786&lt;&gt;"À faire",I1786&lt;&gt;"Annulée"),"Statut inconnu",IF(AND(E1786="Préventif",F1786=""),"Plan manquant (préventif)",IF(AND(F1786&lt;&gt;"",ISNA(MATCH(F1786,pl_num,0))),"Plan inconnu",IF(AND(F1786&lt;&gt;"",IFERROR(INDEX(pl_eq,MATCH(F1786,pl_num,0))&amp;"",C1786)&lt;&gt;C1786),"Plan d'un autre équipement",IF(AND(J1786&lt;&gt;"",OR(NOT(ISNUMBER(J1786)),N(J1786)&lt;0)),"Compteur invalide",IF(OR(AND(K1786&lt;&gt;"",OR(NOT(ISNUMBER(K1786)),N(K1786)&lt;0)),AND(L1786&lt;&gt;"",OR(NOT(ISNUMBER(L1786)),N(L1786)&lt;0))),"Durée invalide",IF(OR(AND(N1786&lt;&gt;"",OR(NOT(ISNUMBER(N1786)),N(N1786)&lt;0)),AND(P1786&lt;&gt;"",OR(NOT(ISNUMBER(P1786)),N(P1786)&lt;0))),"Coût invalide",IF(AND(M1786&lt;&gt;"",ISNA(MATCH(M1786,tech_name,0))),"Technicien inconnu",IF(AND(I1786="Terminée",S1786&gt;p_today),"Terminée à une date future",IF(AND(I1786="Terminée",V1786=0),"Durée d'intervention manquante",IF(AND(I1786="Terminée",E1786="Préventif",T1786=0,OR(IFERROR(INDEX(pl_trig,MATCH(F1786,pl_num,0))&amp;"","")="Compteur",IFERROR(INDEX(pl_trig,MATCH(F1786,pl_num,0))&amp;"","")="Au premier des deux")),"Compteur manquant (plan au compteur)","OK"))))))))))))))))))</f>
        <v/>
      </c>
      <c r="S1786" s="67">
        <f>IF(AND(ISNUMBER(B1786),N(B1786)&gt;0),INT(B1786),0)</f>
        <v>0.0</v>
      </c>
      <c r="T1786" s="67">
        <f>IF(AND(ISNUMBER(J1786),N(J1786)&gt;=0),N(J1786),0)</f>
        <v>0.0</v>
      </c>
      <c r="U1786" s="67">
        <f>IF(AND(ISNUMBER(K1786),N(K1786)&gt;0),N(K1786),0)</f>
        <v>0.0</v>
      </c>
      <c r="V1786" s="67">
        <f>IF(AND(ISNUMBER(L1786),N(L1786)&gt;0),N(L1786),0)</f>
        <v>0.0</v>
      </c>
      <c r="W1786" s="67">
        <f>IF(AND(I1786="Terminée",S1786&gt;0,C1786&lt;&gt;"",ISNUMBER(MATCH(C1786,eq_code,0))),1,0)</f>
        <v>0.0</v>
      </c>
      <c r="X1786" s="67">
        <f>IF(AND(W1786=1,E1786="Préventif"),1,0)</f>
        <v>0.0</v>
      </c>
      <c r="Y1786" s="67">
        <f>IF(AND(ISNUMBER(N1786),N(N1786)&gt;0),N(N1786),0)</f>
        <v>0.0</v>
      </c>
      <c r="Z1786" s="67">
        <f>IF(AND(ISNUMBER(P1786),N(P1786)&gt;0),N(P1786),0)</f>
        <v>0.0</v>
      </c>
    </row>
    <row r="1787">
      <c r="A1787" s="79" t="str">
        <f>IF(COUNTA(B1787:C1787,E1787:G1787,I1787)=0,"","BI-"&amp;RIGHT("0000"&amp;(ROW()-5),4))</f>
        <v/>
      </c>
      <c r="B1787" s="72" t="n"/>
      <c r="C1787" s="66" t="n"/>
      <c r="D1787" s="67" t="str">
        <f>IF(C1787="","",IFERROR(INDEX(eq_des,MATCH(C1787,eq_code,0))&amp;"","Équipement inconnu"))</f>
        <v/>
      </c>
      <c r="E1787" s="68" t="n"/>
      <c r="F1787" s="68" t="n"/>
      <c r="G1787" s="66" t="n"/>
      <c r="H1787" s="66" t="n"/>
      <c r="I1787" s="68" t="n"/>
      <c r="J1787" s="73" t="n"/>
      <c r="K1787" s="71" t="n"/>
      <c r="L1787" s="71" t="n"/>
      <c r="M1787" s="66" t="n"/>
      <c r="N1787" s="80" t="n"/>
      <c r="O1787" s="81" t="str">
        <f>IF(A1787="","",ROUND(V1787*IFERROR(N(INDEX(tech_rate,MATCH(M1787,tech_name,0))),0),2))</f>
        <v/>
      </c>
      <c r="P1787" s="80" t="n"/>
      <c r="Q1787" s="81" t="str">
        <f>IF(A1787="","",ROUND(Y1787+O1787+Z1787,2))</f>
        <v/>
      </c>
      <c r="R1787" s="79" t="str">
        <f>IF(A1787="","",IF(S1787=0,"Date manquante ou invalide",IF(C1787="","Équipement manquant",IF(ISNA(MATCH(C1787,eq_code,0)),"Équipement inconnu",IF(E1787="","Type manquant",IF(AND(E1787&lt;&gt;"Préventif",E1787&lt;&gt;"Correctif",E1787&lt;&gt;"Amélioratif"),"Type inconnu",IF(I1787="","Statut manquant",IF(AND(I1787&lt;&gt;"Terminée",I1787&lt;&gt;"En cours",I1787&lt;&gt;"À faire",I1787&lt;&gt;"Annulée"),"Statut inconnu",IF(AND(E1787="Préventif",F1787=""),"Plan manquant (préventif)",IF(AND(F1787&lt;&gt;"",ISNA(MATCH(F1787,pl_num,0))),"Plan inconnu",IF(AND(F1787&lt;&gt;"",IFERROR(INDEX(pl_eq,MATCH(F1787,pl_num,0))&amp;"",C1787)&lt;&gt;C1787),"Plan d'un autre équipement",IF(AND(J1787&lt;&gt;"",OR(NOT(ISNUMBER(J1787)),N(J1787)&lt;0)),"Compteur invalide",IF(OR(AND(K1787&lt;&gt;"",OR(NOT(ISNUMBER(K1787)),N(K1787)&lt;0)),AND(L1787&lt;&gt;"",OR(NOT(ISNUMBER(L1787)),N(L1787)&lt;0))),"Durée invalide",IF(OR(AND(N1787&lt;&gt;"",OR(NOT(ISNUMBER(N1787)),N(N1787)&lt;0)),AND(P1787&lt;&gt;"",OR(NOT(ISNUMBER(P1787)),N(P1787)&lt;0))),"Coût invalide",IF(AND(M1787&lt;&gt;"",ISNA(MATCH(M1787,tech_name,0))),"Technicien inconnu",IF(AND(I1787="Terminée",S1787&gt;p_today),"Terminée à une date future",IF(AND(I1787="Terminée",V1787=0),"Durée d'intervention manquante",IF(AND(I1787="Terminée",E1787="Préventif",T1787=0,OR(IFERROR(INDEX(pl_trig,MATCH(F1787,pl_num,0))&amp;"","")="Compteur",IFERROR(INDEX(pl_trig,MATCH(F1787,pl_num,0))&amp;"","")="Au premier des deux")),"Compteur manquant (plan au compteur)","OK"))))))))))))))))))</f>
        <v/>
      </c>
      <c r="S1787" s="67">
        <f>IF(AND(ISNUMBER(B1787),N(B1787)&gt;0),INT(B1787),0)</f>
        <v>0.0</v>
      </c>
      <c r="T1787" s="67">
        <f>IF(AND(ISNUMBER(J1787),N(J1787)&gt;=0),N(J1787),0)</f>
        <v>0.0</v>
      </c>
      <c r="U1787" s="67">
        <f>IF(AND(ISNUMBER(K1787),N(K1787)&gt;0),N(K1787),0)</f>
        <v>0.0</v>
      </c>
      <c r="V1787" s="67">
        <f>IF(AND(ISNUMBER(L1787),N(L1787)&gt;0),N(L1787),0)</f>
        <v>0.0</v>
      </c>
      <c r="W1787" s="67">
        <f>IF(AND(I1787="Terminée",S1787&gt;0,C1787&lt;&gt;"",ISNUMBER(MATCH(C1787,eq_code,0))),1,0)</f>
        <v>0.0</v>
      </c>
      <c r="X1787" s="67">
        <f>IF(AND(W1787=1,E1787="Préventif"),1,0)</f>
        <v>0.0</v>
      </c>
      <c r="Y1787" s="67">
        <f>IF(AND(ISNUMBER(N1787),N(N1787)&gt;0),N(N1787),0)</f>
        <v>0.0</v>
      </c>
      <c r="Z1787" s="67">
        <f>IF(AND(ISNUMBER(P1787),N(P1787)&gt;0),N(P1787),0)</f>
        <v>0.0</v>
      </c>
    </row>
    <row r="1788">
      <c r="A1788" s="79" t="str">
        <f>IF(COUNTA(B1788:C1788,E1788:G1788,I1788)=0,"","BI-"&amp;RIGHT("0000"&amp;(ROW()-5),4))</f>
        <v/>
      </c>
      <c r="B1788" s="72" t="n"/>
      <c r="C1788" s="66" t="n"/>
      <c r="D1788" s="67" t="str">
        <f>IF(C1788="","",IFERROR(INDEX(eq_des,MATCH(C1788,eq_code,0))&amp;"","Équipement inconnu"))</f>
        <v/>
      </c>
      <c r="E1788" s="68" t="n"/>
      <c r="F1788" s="68" t="n"/>
      <c r="G1788" s="66" t="n"/>
      <c r="H1788" s="66" t="n"/>
      <c r="I1788" s="68" t="n"/>
      <c r="J1788" s="73" t="n"/>
      <c r="K1788" s="71" t="n"/>
      <c r="L1788" s="71" t="n"/>
      <c r="M1788" s="66" t="n"/>
      <c r="N1788" s="80" t="n"/>
      <c r="O1788" s="81" t="str">
        <f>IF(A1788="","",ROUND(V1788*IFERROR(N(INDEX(tech_rate,MATCH(M1788,tech_name,0))),0),2))</f>
        <v/>
      </c>
      <c r="P1788" s="80" t="n"/>
      <c r="Q1788" s="81" t="str">
        <f>IF(A1788="","",ROUND(Y1788+O1788+Z1788,2))</f>
        <v/>
      </c>
      <c r="R1788" s="79" t="str">
        <f>IF(A1788="","",IF(S1788=0,"Date manquante ou invalide",IF(C1788="","Équipement manquant",IF(ISNA(MATCH(C1788,eq_code,0)),"Équipement inconnu",IF(E1788="","Type manquant",IF(AND(E1788&lt;&gt;"Préventif",E1788&lt;&gt;"Correctif",E1788&lt;&gt;"Amélioratif"),"Type inconnu",IF(I1788="","Statut manquant",IF(AND(I1788&lt;&gt;"Terminée",I1788&lt;&gt;"En cours",I1788&lt;&gt;"À faire",I1788&lt;&gt;"Annulée"),"Statut inconnu",IF(AND(E1788="Préventif",F1788=""),"Plan manquant (préventif)",IF(AND(F1788&lt;&gt;"",ISNA(MATCH(F1788,pl_num,0))),"Plan inconnu",IF(AND(F1788&lt;&gt;"",IFERROR(INDEX(pl_eq,MATCH(F1788,pl_num,0))&amp;"",C1788)&lt;&gt;C1788),"Plan d'un autre équipement",IF(AND(J1788&lt;&gt;"",OR(NOT(ISNUMBER(J1788)),N(J1788)&lt;0)),"Compteur invalide",IF(OR(AND(K1788&lt;&gt;"",OR(NOT(ISNUMBER(K1788)),N(K1788)&lt;0)),AND(L1788&lt;&gt;"",OR(NOT(ISNUMBER(L1788)),N(L1788)&lt;0))),"Durée invalide",IF(OR(AND(N1788&lt;&gt;"",OR(NOT(ISNUMBER(N1788)),N(N1788)&lt;0)),AND(P1788&lt;&gt;"",OR(NOT(ISNUMBER(P1788)),N(P1788)&lt;0))),"Coût invalide",IF(AND(M1788&lt;&gt;"",ISNA(MATCH(M1788,tech_name,0))),"Technicien inconnu",IF(AND(I1788="Terminée",S1788&gt;p_today),"Terminée à une date future",IF(AND(I1788="Terminée",V1788=0),"Durée d'intervention manquante",IF(AND(I1788="Terminée",E1788="Préventif",T1788=0,OR(IFERROR(INDEX(pl_trig,MATCH(F1788,pl_num,0))&amp;"","")="Compteur",IFERROR(INDEX(pl_trig,MATCH(F1788,pl_num,0))&amp;"","")="Au premier des deux")),"Compteur manquant (plan au compteur)","OK"))))))))))))))))))</f>
        <v/>
      </c>
      <c r="S1788" s="67">
        <f>IF(AND(ISNUMBER(B1788),N(B1788)&gt;0),INT(B1788),0)</f>
        <v>0.0</v>
      </c>
      <c r="T1788" s="67">
        <f>IF(AND(ISNUMBER(J1788),N(J1788)&gt;=0),N(J1788),0)</f>
        <v>0.0</v>
      </c>
      <c r="U1788" s="67">
        <f>IF(AND(ISNUMBER(K1788),N(K1788)&gt;0),N(K1788),0)</f>
        <v>0.0</v>
      </c>
      <c r="V1788" s="67">
        <f>IF(AND(ISNUMBER(L1788),N(L1788)&gt;0),N(L1788),0)</f>
        <v>0.0</v>
      </c>
      <c r="W1788" s="67">
        <f>IF(AND(I1788="Terminée",S1788&gt;0,C1788&lt;&gt;"",ISNUMBER(MATCH(C1788,eq_code,0))),1,0)</f>
        <v>0.0</v>
      </c>
      <c r="X1788" s="67">
        <f>IF(AND(W1788=1,E1788="Préventif"),1,0)</f>
        <v>0.0</v>
      </c>
      <c r="Y1788" s="67">
        <f>IF(AND(ISNUMBER(N1788),N(N1788)&gt;0),N(N1788),0)</f>
        <v>0.0</v>
      </c>
      <c r="Z1788" s="67">
        <f>IF(AND(ISNUMBER(P1788),N(P1788)&gt;0),N(P1788),0)</f>
        <v>0.0</v>
      </c>
    </row>
    <row r="1789">
      <c r="A1789" s="79" t="str">
        <f>IF(COUNTA(B1789:C1789,E1789:G1789,I1789)=0,"","BI-"&amp;RIGHT("0000"&amp;(ROW()-5),4))</f>
        <v/>
      </c>
      <c r="B1789" s="72" t="n"/>
      <c r="C1789" s="66" t="n"/>
      <c r="D1789" s="67" t="str">
        <f>IF(C1789="","",IFERROR(INDEX(eq_des,MATCH(C1789,eq_code,0))&amp;"","Équipement inconnu"))</f>
        <v/>
      </c>
      <c r="E1789" s="68" t="n"/>
      <c r="F1789" s="68" t="n"/>
      <c r="G1789" s="66" t="n"/>
      <c r="H1789" s="66" t="n"/>
      <c r="I1789" s="68" t="n"/>
      <c r="J1789" s="73" t="n"/>
      <c r="K1789" s="71" t="n"/>
      <c r="L1789" s="71" t="n"/>
      <c r="M1789" s="66" t="n"/>
      <c r="N1789" s="80" t="n"/>
      <c r="O1789" s="81" t="str">
        <f>IF(A1789="","",ROUND(V1789*IFERROR(N(INDEX(tech_rate,MATCH(M1789,tech_name,0))),0),2))</f>
        <v/>
      </c>
      <c r="P1789" s="80" t="n"/>
      <c r="Q1789" s="81" t="str">
        <f>IF(A1789="","",ROUND(Y1789+O1789+Z1789,2))</f>
        <v/>
      </c>
      <c r="R1789" s="79" t="str">
        <f>IF(A1789="","",IF(S1789=0,"Date manquante ou invalide",IF(C1789="","Équipement manquant",IF(ISNA(MATCH(C1789,eq_code,0)),"Équipement inconnu",IF(E1789="","Type manquant",IF(AND(E1789&lt;&gt;"Préventif",E1789&lt;&gt;"Correctif",E1789&lt;&gt;"Amélioratif"),"Type inconnu",IF(I1789="","Statut manquant",IF(AND(I1789&lt;&gt;"Terminée",I1789&lt;&gt;"En cours",I1789&lt;&gt;"À faire",I1789&lt;&gt;"Annulée"),"Statut inconnu",IF(AND(E1789="Préventif",F1789=""),"Plan manquant (préventif)",IF(AND(F1789&lt;&gt;"",ISNA(MATCH(F1789,pl_num,0))),"Plan inconnu",IF(AND(F1789&lt;&gt;"",IFERROR(INDEX(pl_eq,MATCH(F1789,pl_num,0))&amp;"",C1789)&lt;&gt;C1789),"Plan d'un autre équipement",IF(AND(J1789&lt;&gt;"",OR(NOT(ISNUMBER(J1789)),N(J1789)&lt;0)),"Compteur invalide",IF(OR(AND(K1789&lt;&gt;"",OR(NOT(ISNUMBER(K1789)),N(K1789)&lt;0)),AND(L1789&lt;&gt;"",OR(NOT(ISNUMBER(L1789)),N(L1789)&lt;0))),"Durée invalide",IF(OR(AND(N1789&lt;&gt;"",OR(NOT(ISNUMBER(N1789)),N(N1789)&lt;0)),AND(P1789&lt;&gt;"",OR(NOT(ISNUMBER(P1789)),N(P1789)&lt;0))),"Coût invalide",IF(AND(M1789&lt;&gt;"",ISNA(MATCH(M1789,tech_name,0))),"Technicien inconnu",IF(AND(I1789="Terminée",S1789&gt;p_today),"Terminée à une date future",IF(AND(I1789="Terminée",V1789=0),"Durée d'intervention manquante",IF(AND(I1789="Terminée",E1789="Préventif",T1789=0,OR(IFERROR(INDEX(pl_trig,MATCH(F1789,pl_num,0))&amp;"","")="Compteur",IFERROR(INDEX(pl_trig,MATCH(F1789,pl_num,0))&amp;"","")="Au premier des deux")),"Compteur manquant (plan au compteur)","OK"))))))))))))))))))</f>
        <v/>
      </c>
      <c r="S1789" s="67">
        <f>IF(AND(ISNUMBER(B1789),N(B1789)&gt;0),INT(B1789),0)</f>
        <v>0.0</v>
      </c>
      <c r="T1789" s="67">
        <f>IF(AND(ISNUMBER(J1789),N(J1789)&gt;=0),N(J1789),0)</f>
        <v>0.0</v>
      </c>
      <c r="U1789" s="67">
        <f>IF(AND(ISNUMBER(K1789),N(K1789)&gt;0),N(K1789),0)</f>
        <v>0.0</v>
      </c>
      <c r="V1789" s="67">
        <f>IF(AND(ISNUMBER(L1789),N(L1789)&gt;0),N(L1789),0)</f>
        <v>0.0</v>
      </c>
      <c r="W1789" s="67">
        <f>IF(AND(I1789="Terminée",S1789&gt;0,C1789&lt;&gt;"",ISNUMBER(MATCH(C1789,eq_code,0))),1,0)</f>
        <v>0.0</v>
      </c>
      <c r="X1789" s="67">
        <f>IF(AND(W1789=1,E1789="Préventif"),1,0)</f>
        <v>0.0</v>
      </c>
      <c r="Y1789" s="67">
        <f>IF(AND(ISNUMBER(N1789),N(N1789)&gt;0),N(N1789),0)</f>
        <v>0.0</v>
      </c>
      <c r="Z1789" s="67">
        <f>IF(AND(ISNUMBER(P1789),N(P1789)&gt;0),N(P1789),0)</f>
        <v>0.0</v>
      </c>
    </row>
    <row r="1790">
      <c r="A1790" s="79" t="str">
        <f>IF(COUNTA(B1790:C1790,E1790:G1790,I1790)=0,"","BI-"&amp;RIGHT("0000"&amp;(ROW()-5),4))</f>
        <v/>
      </c>
      <c r="B1790" s="72" t="n"/>
      <c r="C1790" s="66" t="n"/>
      <c r="D1790" s="67" t="str">
        <f>IF(C1790="","",IFERROR(INDEX(eq_des,MATCH(C1790,eq_code,0))&amp;"","Équipement inconnu"))</f>
        <v/>
      </c>
      <c r="E1790" s="68" t="n"/>
      <c r="F1790" s="68" t="n"/>
      <c r="G1790" s="66" t="n"/>
      <c r="H1790" s="66" t="n"/>
      <c r="I1790" s="68" t="n"/>
      <c r="J1790" s="73" t="n"/>
      <c r="K1790" s="71" t="n"/>
      <c r="L1790" s="71" t="n"/>
      <c r="M1790" s="66" t="n"/>
      <c r="N1790" s="80" t="n"/>
      <c r="O1790" s="81" t="str">
        <f>IF(A1790="","",ROUND(V1790*IFERROR(N(INDEX(tech_rate,MATCH(M1790,tech_name,0))),0),2))</f>
        <v/>
      </c>
      <c r="P1790" s="80" t="n"/>
      <c r="Q1790" s="81" t="str">
        <f>IF(A1790="","",ROUND(Y1790+O1790+Z1790,2))</f>
        <v/>
      </c>
      <c r="R1790" s="79" t="str">
        <f>IF(A1790="","",IF(S1790=0,"Date manquante ou invalide",IF(C1790="","Équipement manquant",IF(ISNA(MATCH(C1790,eq_code,0)),"Équipement inconnu",IF(E1790="","Type manquant",IF(AND(E1790&lt;&gt;"Préventif",E1790&lt;&gt;"Correctif",E1790&lt;&gt;"Amélioratif"),"Type inconnu",IF(I1790="","Statut manquant",IF(AND(I1790&lt;&gt;"Terminée",I1790&lt;&gt;"En cours",I1790&lt;&gt;"À faire",I1790&lt;&gt;"Annulée"),"Statut inconnu",IF(AND(E1790="Préventif",F1790=""),"Plan manquant (préventif)",IF(AND(F1790&lt;&gt;"",ISNA(MATCH(F1790,pl_num,0))),"Plan inconnu",IF(AND(F1790&lt;&gt;"",IFERROR(INDEX(pl_eq,MATCH(F1790,pl_num,0))&amp;"",C1790)&lt;&gt;C1790),"Plan d'un autre équipement",IF(AND(J1790&lt;&gt;"",OR(NOT(ISNUMBER(J1790)),N(J1790)&lt;0)),"Compteur invalide",IF(OR(AND(K1790&lt;&gt;"",OR(NOT(ISNUMBER(K1790)),N(K1790)&lt;0)),AND(L1790&lt;&gt;"",OR(NOT(ISNUMBER(L1790)),N(L1790)&lt;0))),"Durée invalide",IF(OR(AND(N1790&lt;&gt;"",OR(NOT(ISNUMBER(N1790)),N(N1790)&lt;0)),AND(P1790&lt;&gt;"",OR(NOT(ISNUMBER(P1790)),N(P1790)&lt;0))),"Coût invalide",IF(AND(M1790&lt;&gt;"",ISNA(MATCH(M1790,tech_name,0))),"Technicien inconnu",IF(AND(I1790="Terminée",S1790&gt;p_today),"Terminée à une date future",IF(AND(I1790="Terminée",V1790=0),"Durée d'intervention manquante",IF(AND(I1790="Terminée",E1790="Préventif",T1790=0,OR(IFERROR(INDEX(pl_trig,MATCH(F1790,pl_num,0))&amp;"","")="Compteur",IFERROR(INDEX(pl_trig,MATCH(F1790,pl_num,0))&amp;"","")="Au premier des deux")),"Compteur manquant (plan au compteur)","OK"))))))))))))))))))</f>
        <v/>
      </c>
      <c r="S1790" s="67">
        <f>IF(AND(ISNUMBER(B1790),N(B1790)&gt;0),INT(B1790),0)</f>
        <v>0.0</v>
      </c>
      <c r="T1790" s="67">
        <f>IF(AND(ISNUMBER(J1790),N(J1790)&gt;=0),N(J1790),0)</f>
        <v>0.0</v>
      </c>
      <c r="U1790" s="67">
        <f>IF(AND(ISNUMBER(K1790),N(K1790)&gt;0),N(K1790),0)</f>
        <v>0.0</v>
      </c>
      <c r="V1790" s="67">
        <f>IF(AND(ISNUMBER(L1790),N(L1790)&gt;0),N(L1790),0)</f>
        <v>0.0</v>
      </c>
      <c r="W1790" s="67">
        <f>IF(AND(I1790="Terminée",S1790&gt;0,C1790&lt;&gt;"",ISNUMBER(MATCH(C1790,eq_code,0))),1,0)</f>
        <v>0.0</v>
      </c>
      <c r="X1790" s="67">
        <f>IF(AND(W1790=1,E1790="Préventif"),1,0)</f>
        <v>0.0</v>
      </c>
      <c r="Y1790" s="67">
        <f>IF(AND(ISNUMBER(N1790),N(N1790)&gt;0),N(N1790),0)</f>
        <v>0.0</v>
      </c>
      <c r="Z1790" s="67">
        <f>IF(AND(ISNUMBER(P1790),N(P1790)&gt;0),N(P1790),0)</f>
        <v>0.0</v>
      </c>
    </row>
    <row r="1791">
      <c r="A1791" s="79" t="str">
        <f>IF(COUNTA(B1791:C1791,E1791:G1791,I1791)=0,"","BI-"&amp;RIGHT("0000"&amp;(ROW()-5),4))</f>
        <v/>
      </c>
      <c r="B1791" s="72" t="n"/>
      <c r="C1791" s="66" t="n"/>
      <c r="D1791" s="67" t="str">
        <f>IF(C1791="","",IFERROR(INDEX(eq_des,MATCH(C1791,eq_code,0))&amp;"","Équipement inconnu"))</f>
        <v/>
      </c>
      <c r="E1791" s="68" t="n"/>
      <c r="F1791" s="68" t="n"/>
      <c r="G1791" s="66" t="n"/>
      <c r="H1791" s="66" t="n"/>
      <c r="I1791" s="68" t="n"/>
      <c r="J1791" s="73" t="n"/>
      <c r="K1791" s="71" t="n"/>
      <c r="L1791" s="71" t="n"/>
      <c r="M1791" s="66" t="n"/>
      <c r="N1791" s="80" t="n"/>
      <c r="O1791" s="81" t="str">
        <f>IF(A1791="","",ROUND(V1791*IFERROR(N(INDEX(tech_rate,MATCH(M1791,tech_name,0))),0),2))</f>
        <v/>
      </c>
      <c r="P1791" s="80" t="n"/>
      <c r="Q1791" s="81" t="str">
        <f>IF(A1791="","",ROUND(Y1791+O1791+Z1791,2))</f>
        <v/>
      </c>
      <c r="R1791" s="79" t="str">
        <f>IF(A1791="","",IF(S1791=0,"Date manquante ou invalide",IF(C1791="","Équipement manquant",IF(ISNA(MATCH(C1791,eq_code,0)),"Équipement inconnu",IF(E1791="","Type manquant",IF(AND(E1791&lt;&gt;"Préventif",E1791&lt;&gt;"Correctif",E1791&lt;&gt;"Amélioratif"),"Type inconnu",IF(I1791="","Statut manquant",IF(AND(I1791&lt;&gt;"Terminée",I1791&lt;&gt;"En cours",I1791&lt;&gt;"À faire",I1791&lt;&gt;"Annulée"),"Statut inconnu",IF(AND(E1791="Préventif",F1791=""),"Plan manquant (préventif)",IF(AND(F1791&lt;&gt;"",ISNA(MATCH(F1791,pl_num,0))),"Plan inconnu",IF(AND(F1791&lt;&gt;"",IFERROR(INDEX(pl_eq,MATCH(F1791,pl_num,0))&amp;"",C1791)&lt;&gt;C1791),"Plan d'un autre équipement",IF(AND(J1791&lt;&gt;"",OR(NOT(ISNUMBER(J1791)),N(J1791)&lt;0)),"Compteur invalide",IF(OR(AND(K1791&lt;&gt;"",OR(NOT(ISNUMBER(K1791)),N(K1791)&lt;0)),AND(L1791&lt;&gt;"",OR(NOT(ISNUMBER(L1791)),N(L1791)&lt;0))),"Durée invalide",IF(OR(AND(N1791&lt;&gt;"",OR(NOT(ISNUMBER(N1791)),N(N1791)&lt;0)),AND(P1791&lt;&gt;"",OR(NOT(ISNUMBER(P1791)),N(P1791)&lt;0))),"Coût invalide",IF(AND(M1791&lt;&gt;"",ISNA(MATCH(M1791,tech_name,0))),"Technicien inconnu",IF(AND(I1791="Terminée",S1791&gt;p_today),"Terminée à une date future",IF(AND(I1791="Terminée",V1791=0),"Durée d'intervention manquante",IF(AND(I1791="Terminée",E1791="Préventif",T1791=0,OR(IFERROR(INDEX(pl_trig,MATCH(F1791,pl_num,0))&amp;"","")="Compteur",IFERROR(INDEX(pl_trig,MATCH(F1791,pl_num,0))&amp;"","")="Au premier des deux")),"Compteur manquant (plan au compteur)","OK"))))))))))))))))))</f>
        <v/>
      </c>
      <c r="S1791" s="67">
        <f>IF(AND(ISNUMBER(B1791),N(B1791)&gt;0),INT(B1791),0)</f>
        <v>0.0</v>
      </c>
      <c r="T1791" s="67">
        <f>IF(AND(ISNUMBER(J1791),N(J1791)&gt;=0),N(J1791),0)</f>
        <v>0.0</v>
      </c>
      <c r="U1791" s="67">
        <f>IF(AND(ISNUMBER(K1791),N(K1791)&gt;0),N(K1791),0)</f>
        <v>0.0</v>
      </c>
      <c r="V1791" s="67">
        <f>IF(AND(ISNUMBER(L1791),N(L1791)&gt;0),N(L1791),0)</f>
        <v>0.0</v>
      </c>
      <c r="W1791" s="67">
        <f>IF(AND(I1791="Terminée",S1791&gt;0,C1791&lt;&gt;"",ISNUMBER(MATCH(C1791,eq_code,0))),1,0)</f>
        <v>0.0</v>
      </c>
      <c r="X1791" s="67">
        <f>IF(AND(W1791=1,E1791="Préventif"),1,0)</f>
        <v>0.0</v>
      </c>
      <c r="Y1791" s="67">
        <f>IF(AND(ISNUMBER(N1791),N(N1791)&gt;0),N(N1791),0)</f>
        <v>0.0</v>
      </c>
      <c r="Z1791" s="67">
        <f>IF(AND(ISNUMBER(P1791),N(P1791)&gt;0),N(P1791),0)</f>
        <v>0.0</v>
      </c>
    </row>
    <row r="1792">
      <c r="A1792" s="79" t="str">
        <f>IF(COUNTA(B1792:C1792,E1792:G1792,I1792)=0,"","BI-"&amp;RIGHT("0000"&amp;(ROW()-5),4))</f>
        <v/>
      </c>
      <c r="B1792" s="72" t="n"/>
      <c r="C1792" s="66" t="n"/>
      <c r="D1792" s="67" t="str">
        <f>IF(C1792="","",IFERROR(INDEX(eq_des,MATCH(C1792,eq_code,0))&amp;"","Équipement inconnu"))</f>
        <v/>
      </c>
      <c r="E1792" s="68" t="n"/>
      <c r="F1792" s="68" t="n"/>
      <c r="G1792" s="66" t="n"/>
      <c r="H1792" s="66" t="n"/>
      <c r="I1792" s="68" t="n"/>
      <c r="J1792" s="73" t="n"/>
      <c r="K1792" s="71" t="n"/>
      <c r="L1792" s="71" t="n"/>
      <c r="M1792" s="66" t="n"/>
      <c r="N1792" s="80" t="n"/>
      <c r="O1792" s="81" t="str">
        <f>IF(A1792="","",ROUND(V1792*IFERROR(N(INDEX(tech_rate,MATCH(M1792,tech_name,0))),0),2))</f>
        <v/>
      </c>
      <c r="P1792" s="80" t="n"/>
      <c r="Q1792" s="81" t="str">
        <f>IF(A1792="","",ROUND(Y1792+O1792+Z1792,2))</f>
        <v/>
      </c>
      <c r="R1792" s="79" t="str">
        <f>IF(A1792="","",IF(S1792=0,"Date manquante ou invalide",IF(C1792="","Équipement manquant",IF(ISNA(MATCH(C1792,eq_code,0)),"Équipement inconnu",IF(E1792="","Type manquant",IF(AND(E1792&lt;&gt;"Préventif",E1792&lt;&gt;"Correctif",E1792&lt;&gt;"Amélioratif"),"Type inconnu",IF(I1792="","Statut manquant",IF(AND(I1792&lt;&gt;"Terminée",I1792&lt;&gt;"En cours",I1792&lt;&gt;"À faire",I1792&lt;&gt;"Annulée"),"Statut inconnu",IF(AND(E1792="Préventif",F1792=""),"Plan manquant (préventif)",IF(AND(F1792&lt;&gt;"",ISNA(MATCH(F1792,pl_num,0))),"Plan inconnu",IF(AND(F1792&lt;&gt;"",IFERROR(INDEX(pl_eq,MATCH(F1792,pl_num,0))&amp;"",C1792)&lt;&gt;C1792),"Plan d'un autre équipement",IF(AND(J1792&lt;&gt;"",OR(NOT(ISNUMBER(J1792)),N(J1792)&lt;0)),"Compteur invalide",IF(OR(AND(K1792&lt;&gt;"",OR(NOT(ISNUMBER(K1792)),N(K1792)&lt;0)),AND(L1792&lt;&gt;"",OR(NOT(ISNUMBER(L1792)),N(L1792)&lt;0))),"Durée invalide",IF(OR(AND(N1792&lt;&gt;"",OR(NOT(ISNUMBER(N1792)),N(N1792)&lt;0)),AND(P1792&lt;&gt;"",OR(NOT(ISNUMBER(P1792)),N(P1792)&lt;0))),"Coût invalide",IF(AND(M1792&lt;&gt;"",ISNA(MATCH(M1792,tech_name,0))),"Technicien inconnu",IF(AND(I1792="Terminée",S1792&gt;p_today),"Terminée à une date future",IF(AND(I1792="Terminée",V1792=0),"Durée d'intervention manquante",IF(AND(I1792="Terminée",E1792="Préventif",T1792=0,OR(IFERROR(INDEX(pl_trig,MATCH(F1792,pl_num,0))&amp;"","")="Compteur",IFERROR(INDEX(pl_trig,MATCH(F1792,pl_num,0))&amp;"","")="Au premier des deux")),"Compteur manquant (plan au compteur)","OK"))))))))))))))))))</f>
        <v/>
      </c>
      <c r="S1792" s="67">
        <f>IF(AND(ISNUMBER(B1792),N(B1792)&gt;0),INT(B1792),0)</f>
        <v>0.0</v>
      </c>
      <c r="T1792" s="67">
        <f>IF(AND(ISNUMBER(J1792),N(J1792)&gt;=0),N(J1792),0)</f>
        <v>0.0</v>
      </c>
      <c r="U1792" s="67">
        <f>IF(AND(ISNUMBER(K1792),N(K1792)&gt;0),N(K1792),0)</f>
        <v>0.0</v>
      </c>
      <c r="V1792" s="67">
        <f>IF(AND(ISNUMBER(L1792),N(L1792)&gt;0),N(L1792),0)</f>
        <v>0.0</v>
      </c>
      <c r="W1792" s="67">
        <f>IF(AND(I1792="Terminée",S1792&gt;0,C1792&lt;&gt;"",ISNUMBER(MATCH(C1792,eq_code,0))),1,0)</f>
        <v>0.0</v>
      </c>
      <c r="X1792" s="67">
        <f>IF(AND(W1792=1,E1792="Préventif"),1,0)</f>
        <v>0.0</v>
      </c>
      <c r="Y1792" s="67">
        <f>IF(AND(ISNUMBER(N1792),N(N1792)&gt;0),N(N1792),0)</f>
        <v>0.0</v>
      </c>
      <c r="Z1792" s="67">
        <f>IF(AND(ISNUMBER(P1792),N(P1792)&gt;0),N(P1792),0)</f>
        <v>0.0</v>
      </c>
    </row>
    <row r="1793">
      <c r="A1793" s="79" t="str">
        <f>IF(COUNTA(B1793:C1793,E1793:G1793,I1793)=0,"","BI-"&amp;RIGHT("0000"&amp;(ROW()-5),4))</f>
        <v/>
      </c>
      <c r="B1793" s="72" t="n"/>
      <c r="C1793" s="66" t="n"/>
      <c r="D1793" s="67" t="str">
        <f>IF(C1793="","",IFERROR(INDEX(eq_des,MATCH(C1793,eq_code,0))&amp;"","Équipement inconnu"))</f>
        <v/>
      </c>
      <c r="E1793" s="68" t="n"/>
      <c r="F1793" s="68" t="n"/>
      <c r="G1793" s="66" t="n"/>
      <c r="H1793" s="66" t="n"/>
      <c r="I1793" s="68" t="n"/>
      <c r="J1793" s="73" t="n"/>
      <c r="K1793" s="71" t="n"/>
      <c r="L1793" s="71" t="n"/>
      <c r="M1793" s="66" t="n"/>
      <c r="N1793" s="80" t="n"/>
      <c r="O1793" s="81" t="str">
        <f>IF(A1793="","",ROUND(V1793*IFERROR(N(INDEX(tech_rate,MATCH(M1793,tech_name,0))),0),2))</f>
        <v/>
      </c>
      <c r="P1793" s="80" t="n"/>
      <c r="Q1793" s="81" t="str">
        <f>IF(A1793="","",ROUND(Y1793+O1793+Z1793,2))</f>
        <v/>
      </c>
      <c r="R1793" s="79" t="str">
        <f>IF(A1793="","",IF(S1793=0,"Date manquante ou invalide",IF(C1793="","Équipement manquant",IF(ISNA(MATCH(C1793,eq_code,0)),"Équipement inconnu",IF(E1793="","Type manquant",IF(AND(E1793&lt;&gt;"Préventif",E1793&lt;&gt;"Correctif",E1793&lt;&gt;"Amélioratif"),"Type inconnu",IF(I1793="","Statut manquant",IF(AND(I1793&lt;&gt;"Terminée",I1793&lt;&gt;"En cours",I1793&lt;&gt;"À faire",I1793&lt;&gt;"Annulée"),"Statut inconnu",IF(AND(E1793="Préventif",F1793=""),"Plan manquant (préventif)",IF(AND(F1793&lt;&gt;"",ISNA(MATCH(F1793,pl_num,0))),"Plan inconnu",IF(AND(F1793&lt;&gt;"",IFERROR(INDEX(pl_eq,MATCH(F1793,pl_num,0))&amp;"",C1793)&lt;&gt;C1793),"Plan d'un autre équipement",IF(AND(J1793&lt;&gt;"",OR(NOT(ISNUMBER(J1793)),N(J1793)&lt;0)),"Compteur invalide",IF(OR(AND(K1793&lt;&gt;"",OR(NOT(ISNUMBER(K1793)),N(K1793)&lt;0)),AND(L1793&lt;&gt;"",OR(NOT(ISNUMBER(L1793)),N(L1793)&lt;0))),"Durée invalide",IF(OR(AND(N1793&lt;&gt;"",OR(NOT(ISNUMBER(N1793)),N(N1793)&lt;0)),AND(P1793&lt;&gt;"",OR(NOT(ISNUMBER(P1793)),N(P1793)&lt;0))),"Coût invalide",IF(AND(M1793&lt;&gt;"",ISNA(MATCH(M1793,tech_name,0))),"Technicien inconnu",IF(AND(I1793="Terminée",S1793&gt;p_today),"Terminée à une date future",IF(AND(I1793="Terminée",V1793=0),"Durée d'intervention manquante",IF(AND(I1793="Terminée",E1793="Préventif",T1793=0,OR(IFERROR(INDEX(pl_trig,MATCH(F1793,pl_num,0))&amp;"","")="Compteur",IFERROR(INDEX(pl_trig,MATCH(F1793,pl_num,0))&amp;"","")="Au premier des deux")),"Compteur manquant (plan au compteur)","OK"))))))))))))))))))</f>
        <v/>
      </c>
      <c r="S1793" s="67">
        <f>IF(AND(ISNUMBER(B1793),N(B1793)&gt;0),INT(B1793),0)</f>
        <v>0.0</v>
      </c>
      <c r="T1793" s="67">
        <f>IF(AND(ISNUMBER(J1793),N(J1793)&gt;=0),N(J1793),0)</f>
        <v>0.0</v>
      </c>
      <c r="U1793" s="67">
        <f>IF(AND(ISNUMBER(K1793),N(K1793)&gt;0),N(K1793),0)</f>
        <v>0.0</v>
      </c>
      <c r="V1793" s="67">
        <f>IF(AND(ISNUMBER(L1793),N(L1793)&gt;0),N(L1793),0)</f>
        <v>0.0</v>
      </c>
      <c r="W1793" s="67">
        <f>IF(AND(I1793="Terminée",S1793&gt;0,C1793&lt;&gt;"",ISNUMBER(MATCH(C1793,eq_code,0))),1,0)</f>
        <v>0.0</v>
      </c>
      <c r="X1793" s="67">
        <f>IF(AND(W1793=1,E1793="Préventif"),1,0)</f>
        <v>0.0</v>
      </c>
      <c r="Y1793" s="67">
        <f>IF(AND(ISNUMBER(N1793),N(N1793)&gt;0),N(N1793),0)</f>
        <v>0.0</v>
      </c>
      <c r="Z1793" s="67">
        <f>IF(AND(ISNUMBER(P1793),N(P1793)&gt;0),N(P1793),0)</f>
        <v>0.0</v>
      </c>
    </row>
    <row r="1794">
      <c r="A1794" s="79" t="str">
        <f>IF(COUNTA(B1794:C1794,E1794:G1794,I1794)=0,"","BI-"&amp;RIGHT("0000"&amp;(ROW()-5),4))</f>
        <v/>
      </c>
      <c r="B1794" s="72" t="n"/>
      <c r="C1794" s="66" t="n"/>
      <c r="D1794" s="67" t="str">
        <f>IF(C1794="","",IFERROR(INDEX(eq_des,MATCH(C1794,eq_code,0))&amp;"","Équipement inconnu"))</f>
        <v/>
      </c>
      <c r="E1794" s="68" t="n"/>
      <c r="F1794" s="68" t="n"/>
      <c r="G1794" s="66" t="n"/>
      <c r="H1794" s="66" t="n"/>
      <c r="I1794" s="68" t="n"/>
      <c r="J1794" s="73" t="n"/>
      <c r="K1794" s="71" t="n"/>
      <c r="L1794" s="71" t="n"/>
      <c r="M1794" s="66" t="n"/>
      <c r="N1794" s="80" t="n"/>
      <c r="O1794" s="81" t="str">
        <f>IF(A1794="","",ROUND(V1794*IFERROR(N(INDEX(tech_rate,MATCH(M1794,tech_name,0))),0),2))</f>
        <v/>
      </c>
      <c r="P1794" s="80" t="n"/>
      <c r="Q1794" s="81" t="str">
        <f>IF(A1794="","",ROUND(Y1794+O1794+Z1794,2))</f>
        <v/>
      </c>
      <c r="R1794" s="79" t="str">
        <f>IF(A1794="","",IF(S1794=0,"Date manquante ou invalide",IF(C1794="","Équipement manquant",IF(ISNA(MATCH(C1794,eq_code,0)),"Équipement inconnu",IF(E1794="","Type manquant",IF(AND(E1794&lt;&gt;"Préventif",E1794&lt;&gt;"Correctif",E1794&lt;&gt;"Amélioratif"),"Type inconnu",IF(I1794="","Statut manquant",IF(AND(I1794&lt;&gt;"Terminée",I1794&lt;&gt;"En cours",I1794&lt;&gt;"À faire",I1794&lt;&gt;"Annulée"),"Statut inconnu",IF(AND(E1794="Préventif",F1794=""),"Plan manquant (préventif)",IF(AND(F1794&lt;&gt;"",ISNA(MATCH(F1794,pl_num,0))),"Plan inconnu",IF(AND(F1794&lt;&gt;"",IFERROR(INDEX(pl_eq,MATCH(F1794,pl_num,0))&amp;"",C1794)&lt;&gt;C1794),"Plan d'un autre équipement",IF(AND(J1794&lt;&gt;"",OR(NOT(ISNUMBER(J1794)),N(J1794)&lt;0)),"Compteur invalide",IF(OR(AND(K1794&lt;&gt;"",OR(NOT(ISNUMBER(K1794)),N(K1794)&lt;0)),AND(L1794&lt;&gt;"",OR(NOT(ISNUMBER(L1794)),N(L1794)&lt;0))),"Durée invalide",IF(OR(AND(N1794&lt;&gt;"",OR(NOT(ISNUMBER(N1794)),N(N1794)&lt;0)),AND(P1794&lt;&gt;"",OR(NOT(ISNUMBER(P1794)),N(P1794)&lt;0))),"Coût invalide",IF(AND(M1794&lt;&gt;"",ISNA(MATCH(M1794,tech_name,0))),"Technicien inconnu",IF(AND(I1794="Terminée",S1794&gt;p_today),"Terminée à une date future",IF(AND(I1794="Terminée",V1794=0),"Durée d'intervention manquante",IF(AND(I1794="Terminée",E1794="Préventif",T1794=0,OR(IFERROR(INDEX(pl_trig,MATCH(F1794,pl_num,0))&amp;"","")="Compteur",IFERROR(INDEX(pl_trig,MATCH(F1794,pl_num,0))&amp;"","")="Au premier des deux")),"Compteur manquant (plan au compteur)","OK"))))))))))))))))))</f>
        <v/>
      </c>
      <c r="S1794" s="67">
        <f>IF(AND(ISNUMBER(B1794),N(B1794)&gt;0),INT(B1794),0)</f>
        <v>0.0</v>
      </c>
      <c r="T1794" s="67">
        <f>IF(AND(ISNUMBER(J1794),N(J1794)&gt;=0),N(J1794),0)</f>
        <v>0.0</v>
      </c>
      <c r="U1794" s="67">
        <f>IF(AND(ISNUMBER(K1794),N(K1794)&gt;0),N(K1794),0)</f>
        <v>0.0</v>
      </c>
      <c r="V1794" s="67">
        <f>IF(AND(ISNUMBER(L1794),N(L1794)&gt;0),N(L1794),0)</f>
        <v>0.0</v>
      </c>
      <c r="W1794" s="67">
        <f>IF(AND(I1794="Terminée",S1794&gt;0,C1794&lt;&gt;"",ISNUMBER(MATCH(C1794,eq_code,0))),1,0)</f>
        <v>0.0</v>
      </c>
      <c r="X1794" s="67">
        <f>IF(AND(W1794=1,E1794="Préventif"),1,0)</f>
        <v>0.0</v>
      </c>
      <c r="Y1794" s="67">
        <f>IF(AND(ISNUMBER(N1794),N(N1794)&gt;0),N(N1794),0)</f>
        <v>0.0</v>
      </c>
      <c r="Z1794" s="67">
        <f>IF(AND(ISNUMBER(P1794),N(P1794)&gt;0),N(P1794),0)</f>
        <v>0.0</v>
      </c>
    </row>
    <row r="1795">
      <c r="A1795" s="79" t="str">
        <f>IF(COUNTA(B1795:C1795,E1795:G1795,I1795)=0,"","BI-"&amp;RIGHT("0000"&amp;(ROW()-5),4))</f>
        <v/>
      </c>
      <c r="B1795" s="72" t="n"/>
      <c r="C1795" s="66" t="n"/>
      <c r="D1795" s="67" t="str">
        <f>IF(C1795="","",IFERROR(INDEX(eq_des,MATCH(C1795,eq_code,0))&amp;"","Équipement inconnu"))</f>
        <v/>
      </c>
      <c r="E1795" s="68" t="n"/>
      <c r="F1795" s="68" t="n"/>
      <c r="G1795" s="66" t="n"/>
      <c r="H1795" s="66" t="n"/>
      <c r="I1795" s="68" t="n"/>
      <c r="J1795" s="73" t="n"/>
      <c r="K1795" s="71" t="n"/>
      <c r="L1795" s="71" t="n"/>
      <c r="M1795" s="66" t="n"/>
      <c r="N1795" s="80" t="n"/>
      <c r="O1795" s="81" t="str">
        <f>IF(A1795="","",ROUND(V1795*IFERROR(N(INDEX(tech_rate,MATCH(M1795,tech_name,0))),0),2))</f>
        <v/>
      </c>
      <c r="P1795" s="80" t="n"/>
      <c r="Q1795" s="81" t="str">
        <f>IF(A1795="","",ROUND(Y1795+O1795+Z1795,2))</f>
        <v/>
      </c>
      <c r="R1795" s="79" t="str">
        <f>IF(A1795="","",IF(S1795=0,"Date manquante ou invalide",IF(C1795="","Équipement manquant",IF(ISNA(MATCH(C1795,eq_code,0)),"Équipement inconnu",IF(E1795="","Type manquant",IF(AND(E1795&lt;&gt;"Préventif",E1795&lt;&gt;"Correctif",E1795&lt;&gt;"Amélioratif"),"Type inconnu",IF(I1795="","Statut manquant",IF(AND(I1795&lt;&gt;"Terminée",I1795&lt;&gt;"En cours",I1795&lt;&gt;"À faire",I1795&lt;&gt;"Annulée"),"Statut inconnu",IF(AND(E1795="Préventif",F1795=""),"Plan manquant (préventif)",IF(AND(F1795&lt;&gt;"",ISNA(MATCH(F1795,pl_num,0))),"Plan inconnu",IF(AND(F1795&lt;&gt;"",IFERROR(INDEX(pl_eq,MATCH(F1795,pl_num,0))&amp;"",C1795)&lt;&gt;C1795),"Plan d'un autre équipement",IF(AND(J1795&lt;&gt;"",OR(NOT(ISNUMBER(J1795)),N(J1795)&lt;0)),"Compteur invalide",IF(OR(AND(K1795&lt;&gt;"",OR(NOT(ISNUMBER(K1795)),N(K1795)&lt;0)),AND(L1795&lt;&gt;"",OR(NOT(ISNUMBER(L1795)),N(L1795)&lt;0))),"Durée invalide",IF(OR(AND(N1795&lt;&gt;"",OR(NOT(ISNUMBER(N1795)),N(N1795)&lt;0)),AND(P1795&lt;&gt;"",OR(NOT(ISNUMBER(P1795)),N(P1795)&lt;0))),"Coût invalide",IF(AND(M1795&lt;&gt;"",ISNA(MATCH(M1795,tech_name,0))),"Technicien inconnu",IF(AND(I1795="Terminée",S1795&gt;p_today),"Terminée à une date future",IF(AND(I1795="Terminée",V1795=0),"Durée d'intervention manquante",IF(AND(I1795="Terminée",E1795="Préventif",T1795=0,OR(IFERROR(INDEX(pl_trig,MATCH(F1795,pl_num,0))&amp;"","")="Compteur",IFERROR(INDEX(pl_trig,MATCH(F1795,pl_num,0))&amp;"","")="Au premier des deux")),"Compteur manquant (plan au compteur)","OK"))))))))))))))))))</f>
        <v/>
      </c>
      <c r="S1795" s="67">
        <f>IF(AND(ISNUMBER(B1795),N(B1795)&gt;0),INT(B1795),0)</f>
        <v>0.0</v>
      </c>
      <c r="T1795" s="67">
        <f>IF(AND(ISNUMBER(J1795),N(J1795)&gt;=0),N(J1795),0)</f>
        <v>0.0</v>
      </c>
      <c r="U1795" s="67">
        <f>IF(AND(ISNUMBER(K1795),N(K1795)&gt;0),N(K1795),0)</f>
        <v>0.0</v>
      </c>
      <c r="V1795" s="67">
        <f>IF(AND(ISNUMBER(L1795),N(L1795)&gt;0),N(L1795),0)</f>
        <v>0.0</v>
      </c>
      <c r="W1795" s="67">
        <f>IF(AND(I1795="Terminée",S1795&gt;0,C1795&lt;&gt;"",ISNUMBER(MATCH(C1795,eq_code,0))),1,0)</f>
        <v>0.0</v>
      </c>
      <c r="X1795" s="67">
        <f>IF(AND(W1795=1,E1795="Préventif"),1,0)</f>
        <v>0.0</v>
      </c>
      <c r="Y1795" s="67">
        <f>IF(AND(ISNUMBER(N1795),N(N1795)&gt;0),N(N1795),0)</f>
        <v>0.0</v>
      </c>
      <c r="Z1795" s="67">
        <f>IF(AND(ISNUMBER(P1795),N(P1795)&gt;0),N(P1795),0)</f>
        <v>0.0</v>
      </c>
    </row>
    <row r="1796">
      <c r="A1796" s="79" t="str">
        <f>IF(COUNTA(B1796:C1796,E1796:G1796,I1796)=0,"","BI-"&amp;RIGHT("0000"&amp;(ROW()-5),4))</f>
        <v/>
      </c>
      <c r="B1796" s="72" t="n"/>
      <c r="C1796" s="66" t="n"/>
      <c r="D1796" s="67" t="str">
        <f>IF(C1796="","",IFERROR(INDEX(eq_des,MATCH(C1796,eq_code,0))&amp;"","Équipement inconnu"))</f>
        <v/>
      </c>
      <c r="E1796" s="68" t="n"/>
      <c r="F1796" s="68" t="n"/>
      <c r="G1796" s="66" t="n"/>
      <c r="H1796" s="66" t="n"/>
      <c r="I1796" s="68" t="n"/>
      <c r="J1796" s="73" t="n"/>
      <c r="K1796" s="71" t="n"/>
      <c r="L1796" s="71" t="n"/>
      <c r="M1796" s="66" t="n"/>
      <c r="N1796" s="80" t="n"/>
      <c r="O1796" s="81" t="str">
        <f>IF(A1796="","",ROUND(V1796*IFERROR(N(INDEX(tech_rate,MATCH(M1796,tech_name,0))),0),2))</f>
        <v/>
      </c>
      <c r="P1796" s="80" t="n"/>
      <c r="Q1796" s="81" t="str">
        <f>IF(A1796="","",ROUND(Y1796+O1796+Z1796,2))</f>
        <v/>
      </c>
      <c r="R1796" s="79" t="str">
        <f>IF(A1796="","",IF(S1796=0,"Date manquante ou invalide",IF(C1796="","Équipement manquant",IF(ISNA(MATCH(C1796,eq_code,0)),"Équipement inconnu",IF(E1796="","Type manquant",IF(AND(E1796&lt;&gt;"Préventif",E1796&lt;&gt;"Correctif",E1796&lt;&gt;"Amélioratif"),"Type inconnu",IF(I1796="","Statut manquant",IF(AND(I1796&lt;&gt;"Terminée",I1796&lt;&gt;"En cours",I1796&lt;&gt;"À faire",I1796&lt;&gt;"Annulée"),"Statut inconnu",IF(AND(E1796="Préventif",F1796=""),"Plan manquant (préventif)",IF(AND(F1796&lt;&gt;"",ISNA(MATCH(F1796,pl_num,0))),"Plan inconnu",IF(AND(F1796&lt;&gt;"",IFERROR(INDEX(pl_eq,MATCH(F1796,pl_num,0))&amp;"",C1796)&lt;&gt;C1796),"Plan d'un autre équipement",IF(AND(J1796&lt;&gt;"",OR(NOT(ISNUMBER(J1796)),N(J1796)&lt;0)),"Compteur invalide",IF(OR(AND(K1796&lt;&gt;"",OR(NOT(ISNUMBER(K1796)),N(K1796)&lt;0)),AND(L1796&lt;&gt;"",OR(NOT(ISNUMBER(L1796)),N(L1796)&lt;0))),"Durée invalide",IF(OR(AND(N1796&lt;&gt;"",OR(NOT(ISNUMBER(N1796)),N(N1796)&lt;0)),AND(P1796&lt;&gt;"",OR(NOT(ISNUMBER(P1796)),N(P1796)&lt;0))),"Coût invalide",IF(AND(M1796&lt;&gt;"",ISNA(MATCH(M1796,tech_name,0))),"Technicien inconnu",IF(AND(I1796="Terminée",S1796&gt;p_today),"Terminée à une date future",IF(AND(I1796="Terminée",V1796=0),"Durée d'intervention manquante",IF(AND(I1796="Terminée",E1796="Préventif",T1796=0,OR(IFERROR(INDEX(pl_trig,MATCH(F1796,pl_num,0))&amp;"","")="Compteur",IFERROR(INDEX(pl_trig,MATCH(F1796,pl_num,0))&amp;"","")="Au premier des deux")),"Compteur manquant (plan au compteur)","OK"))))))))))))))))))</f>
        <v/>
      </c>
      <c r="S1796" s="67">
        <f>IF(AND(ISNUMBER(B1796),N(B1796)&gt;0),INT(B1796),0)</f>
        <v>0.0</v>
      </c>
      <c r="T1796" s="67">
        <f>IF(AND(ISNUMBER(J1796),N(J1796)&gt;=0),N(J1796),0)</f>
        <v>0.0</v>
      </c>
      <c r="U1796" s="67">
        <f>IF(AND(ISNUMBER(K1796),N(K1796)&gt;0),N(K1796),0)</f>
        <v>0.0</v>
      </c>
      <c r="V1796" s="67">
        <f>IF(AND(ISNUMBER(L1796),N(L1796)&gt;0),N(L1796),0)</f>
        <v>0.0</v>
      </c>
      <c r="W1796" s="67">
        <f>IF(AND(I1796="Terminée",S1796&gt;0,C1796&lt;&gt;"",ISNUMBER(MATCH(C1796,eq_code,0))),1,0)</f>
        <v>0.0</v>
      </c>
      <c r="X1796" s="67">
        <f>IF(AND(W1796=1,E1796="Préventif"),1,0)</f>
        <v>0.0</v>
      </c>
      <c r="Y1796" s="67">
        <f>IF(AND(ISNUMBER(N1796),N(N1796)&gt;0),N(N1796),0)</f>
        <v>0.0</v>
      </c>
      <c r="Z1796" s="67">
        <f>IF(AND(ISNUMBER(P1796),N(P1796)&gt;0),N(P1796),0)</f>
        <v>0.0</v>
      </c>
    </row>
    <row r="1797">
      <c r="A1797" s="79" t="str">
        <f>IF(COUNTA(B1797:C1797,E1797:G1797,I1797)=0,"","BI-"&amp;RIGHT("0000"&amp;(ROW()-5),4))</f>
        <v/>
      </c>
      <c r="B1797" s="72" t="n"/>
      <c r="C1797" s="66" t="n"/>
      <c r="D1797" s="67" t="str">
        <f>IF(C1797="","",IFERROR(INDEX(eq_des,MATCH(C1797,eq_code,0))&amp;"","Équipement inconnu"))</f>
        <v/>
      </c>
      <c r="E1797" s="68" t="n"/>
      <c r="F1797" s="68" t="n"/>
      <c r="G1797" s="66" t="n"/>
      <c r="H1797" s="66" t="n"/>
      <c r="I1797" s="68" t="n"/>
      <c r="J1797" s="73" t="n"/>
      <c r="K1797" s="71" t="n"/>
      <c r="L1797" s="71" t="n"/>
      <c r="M1797" s="66" t="n"/>
      <c r="N1797" s="80" t="n"/>
      <c r="O1797" s="81" t="str">
        <f>IF(A1797="","",ROUND(V1797*IFERROR(N(INDEX(tech_rate,MATCH(M1797,tech_name,0))),0),2))</f>
        <v/>
      </c>
      <c r="P1797" s="80" t="n"/>
      <c r="Q1797" s="81" t="str">
        <f>IF(A1797="","",ROUND(Y1797+O1797+Z1797,2))</f>
        <v/>
      </c>
      <c r="R1797" s="79" t="str">
        <f>IF(A1797="","",IF(S1797=0,"Date manquante ou invalide",IF(C1797="","Équipement manquant",IF(ISNA(MATCH(C1797,eq_code,0)),"Équipement inconnu",IF(E1797="","Type manquant",IF(AND(E1797&lt;&gt;"Préventif",E1797&lt;&gt;"Correctif",E1797&lt;&gt;"Amélioratif"),"Type inconnu",IF(I1797="","Statut manquant",IF(AND(I1797&lt;&gt;"Terminée",I1797&lt;&gt;"En cours",I1797&lt;&gt;"À faire",I1797&lt;&gt;"Annulée"),"Statut inconnu",IF(AND(E1797="Préventif",F1797=""),"Plan manquant (préventif)",IF(AND(F1797&lt;&gt;"",ISNA(MATCH(F1797,pl_num,0))),"Plan inconnu",IF(AND(F1797&lt;&gt;"",IFERROR(INDEX(pl_eq,MATCH(F1797,pl_num,0))&amp;"",C1797)&lt;&gt;C1797),"Plan d'un autre équipement",IF(AND(J1797&lt;&gt;"",OR(NOT(ISNUMBER(J1797)),N(J1797)&lt;0)),"Compteur invalide",IF(OR(AND(K1797&lt;&gt;"",OR(NOT(ISNUMBER(K1797)),N(K1797)&lt;0)),AND(L1797&lt;&gt;"",OR(NOT(ISNUMBER(L1797)),N(L1797)&lt;0))),"Durée invalide",IF(OR(AND(N1797&lt;&gt;"",OR(NOT(ISNUMBER(N1797)),N(N1797)&lt;0)),AND(P1797&lt;&gt;"",OR(NOT(ISNUMBER(P1797)),N(P1797)&lt;0))),"Coût invalide",IF(AND(M1797&lt;&gt;"",ISNA(MATCH(M1797,tech_name,0))),"Technicien inconnu",IF(AND(I1797="Terminée",S1797&gt;p_today),"Terminée à une date future",IF(AND(I1797="Terminée",V1797=0),"Durée d'intervention manquante",IF(AND(I1797="Terminée",E1797="Préventif",T1797=0,OR(IFERROR(INDEX(pl_trig,MATCH(F1797,pl_num,0))&amp;"","")="Compteur",IFERROR(INDEX(pl_trig,MATCH(F1797,pl_num,0))&amp;"","")="Au premier des deux")),"Compteur manquant (plan au compteur)","OK"))))))))))))))))))</f>
        <v/>
      </c>
      <c r="S1797" s="67">
        <f>IF(AND(ISNUMBER(B1797),N(B1797)&gt;0),INT(B1797),0)</f>
        <v>0.0</v>
      </c>
      <c r="T1797" s="67">
        <f>IF(AND(ISNUMBER(J1797),N(J1797)&gt;=0),N(J1797),0)</f>
        <v>0.0</v>
      </c>
      <c r="U1797" s="67">
        <f>IF(AND(ISNUMBER(K1797),N(K1797)&gt;0),N(K1797),0)</f>
        <v>0.0</v>
      </c>
      <c r="V1797" s="67">
        <f>IF(AND(ISNUMBER(L1797),N(L1797)&gt;0),N(L1797),0)</f>
        <v>0.0</v>
      </c>
      <c r="W1797" s="67">
        <f>IF(AND(I1797="Terminée",S1797&gt;0,C1797&lt;&gt;"",ISNUMBER(MATCH(C1797,eq_code,0))),1,0)</f>
        <v>0.0</v>
      </c>
      <c r="X1797" s="67">
        <f>IF(AND(W1797=1,E1797="Préventif"),1,0)</f>
        <v>0.0</v>
      </c>
      <c r="Y1797" s="67">
        <f>IF(AND(ISNUMBER(N1797),N(N1797)&gt;0),N(N1797),0)</f>
        <v>0.0</v>
      </c>
      <c r="Z1797" s="67">
        <f>IF(AND(ISNUMBER(P1797),N(P1797)&gt;0),N(P1797),0)</f>
        <v>0.0</v>
      </c>
    </row>
    <row r="1798">
      <c r="A1798" s="79" t="str">
        <f>IF(COUNTA(B1798:C1798,E1798:G1798,I1798)=0,"","BI-"&amp;RIGHT("0000"&amp;(ROW()-5),4))</f>
        <v/>
      </c>
      <c r="B1798" s="72" t="n"/>
      <c r="C1798" s="66" t="n"/>
      <c r="D1798" s="67" t="str">
        <f>IF(C1798="","",IFERROR(INDEX(eq_des,MATCH(C1798,eq_code,0))&amp;"","Équipement inconnu"))</f>
        <v/>
      </c>
      <c r="E1798" s="68" t="n"/>
      <c r="F1798" s="68" t="n"/>
      <c r="G1798" s="66" t="n"/>
      <c r="H1798" s="66" t="n"/>
      <c r="I1798" s="68" t="n"/>
      <c r="J1798" s="73" t="n"/>
      <c r="K1798" s="71" t="n"/>
      <c r="L1798" s="71" t="n"/>
      <c r="M1798" s="66" t="n"/>
      <c r="N1798" s="80" t="n"/>
      <c r="O1798" s="81" t="str">
        <f>IF(A1798="","",ROUND(V1798*IFERROR(N(INDEX(tech_rate,MATCH(M1798,tech_name,0))),0),2))</f>
        <v/>
      </c>
      <c r="P1798" s="80" t="n"/>
      <c r="Q1798" s="81" t="str">
        <f>IF(A1798="","",ROUND(Y1798+O1798+Z1798,2))</f>
        <v/>
      </c>
      <c r="R1798" s="79" t="str">
        <f>IF(A1798="","",IF(S1798=0,"Date manquante ou invalide",IF(C1798="","Équipement manquant",IF(ISNA(MATCH(C1798,eq_code,0)),"Équipement inconnu",IF(E1798="","Type manquant",IF(AND(E1798&lt;&gt;"Préventif",E1798&lt;&gt;"Correctif",E1798&lt;&gt;"Amélioratif"),"Type inconnu",IF(I1798="","Statut manquant",IF(AND(I1798&lt;&gt;"Terminée",I1798&lt;&gt;"En cours",I1798&lt;&gt;"À faire",I1798&lt;&gt;"Annulée"),"Statut inconnu",IF(AND(E1798="Préventif",F1798=""),"Plan manquant (préventif)",IF(AND(F1798&lt;&gt;"",ISNA(MATCH(F1798,pl_num,0))),"Plan inconnu",IF(AND(F1798&lt;&gt;"",IFERROR(INDEX(pl_eq,MATCH(F1798,pl_num,0))&amp;"",C1798)&lt;&gt;C1798),"Plan d'un autre équipement",IF(AND(J1798&lt;&gt;"",OR(NOT(ISNUMBER(J1798)),N(J1798)&lt;0)),"Compteur invalide",IF(OR(AND(K1798&lt;&gt;"",OR(NOT(ISNUMBER(K1798)),N(K1798)&lt;0)),AND(L1798&lt;&gt;"",OR(NOT(ISNUMBER(L1798)),N(L1798)&lt;0))),"Durée invalide",IF(OR(AND(N1798&lt;&gt;"",OR(NOT(ISNUMBER(N1798)),N(N1798)&lt;0)),AND(P1798&lt;&gt;"",OR(NOT(ISNUMBER(P1798)),N(P1798)&lt;0))),"Coût invalide",IF(AND(M1798&lt;&gt;"",ISNA(MATCH(M1798,tech_name,0))),"Technicien inconnu",IF(AND(I1798="Terminée",S1798&gt;p_today),"Terminée à une date future",IF(AND(I1798="Terminée",V1798=0),"Durée d'intervention manquante",IF(AND(I1798="Terminée",E1798="Préventif",T1798=0,OR(IFERROR(INDEX(pl_trig,MATCH(F1798,pl_num,0))&amp;"","")="Compteur",IFERROR(INDEX(pl_trig,MATCH(F1798,pl_num,0))&amp;"","")="Au premier des deux")),"Compteur manquant (plan au compteur)","OK"))))))))))))))))))</f>
        <v/>
      </c>
      <c r="S1798" s="67">
        <f>IF(AND(ISNUMBER(B1798),N(B1798)&gt;0),INT(B1798),0)</f>
        <v>0.0</v>
      </c>
      <c r="T1798" s="67">
        <f>IF(AND(ISNUMBER(J1798),N(J1798)&gt;=0),N(J1798),0)</f>
        <v>0.0</v>
      </c>
      <c r="U1798" s="67">
        <f>IF(AND(ISNUMBER(K1798),N(K1798)&gt;0),N(K1798),0)</f>
        <v>0.0</v>
      </c>
      <c r="V1798" s="67">
        <f>IF(AND(ISNUMBER(L1798),N(L1798)&gt;0),N(L1798),0)</f>
        <v>0.0</v>
      </c>
      <c r="W1798" s="67">
        <f>IF(AND(I1798="Terminée",S1798&gt;0,C1798&lt;&gt;"",ISNUMBER(MATCH(C1798,eq_code,0))),1,0)</f>
        <v>0.0</v>
      </c>
      <c r="X1798" s="67">
        <f>IF(AND(W1798=1,E1798="Préventif"),1,0)</f>
        <v>0.0</v>
      </c>
      <c r="Y1798" s="67">
        <f>IF(AND(ISNUMBER(N1798),N(N1798)&gt;0),N(N1798),0)</f>
        <v>0.0</v>
      </c>
      <c r="Z1798" s="67">
        <f>IF(AND(ISNUMBER(P1798),N(P1798)&gt;0),N(P1798),0)</f>
        <v>0.0</v>
      </c>
    </row>
    <row r="1799">
      <c r="A1799" s="79" t="str">
        <f>IF(COUNTA(B1799:C1799,E1799:G1799,I1799)=0,"","BI-"&amp;RIGHT("0000"&amp;(ROW()-5),4))</f>
        <v/>
      </c>
      <c r="B1799" s="72" t="n"/>
      <c r="C1799" s="66" t="n"/>
      <c r="D1799" s="67" t="str">
        <f>IF(C1799="","",IFERROR(INDEX(eq_des,MATCH(C1799,eq_code,0))&amp;"","Équipement inconnu"))</f>
        <v/>
      </c>
      <c r="E1799" s="68" t="n"/>
      <c r="F1799" s="68" t="n"/>
      <c r="G1799" s="66" t="n"/>
      <c r="H1799" s="66" t="n"/>
      <c r="I1799" s="68" t="n"/>
      <c r="J1799" s="73" t="n"/>
      <c r="K1799" s="71" t="n"/>
      <c r="L1799" s="71" t="n"/>
      <c r="M1799" s="66" t="n"/>
      <c r="N1799" s="80" t="n"/>
      <c r="O1799" s="81" t="str">
        <f>IF(A1799="","",ROUND(V1799*IFERROR(N(INDEX(tech_rate,MATCH(M1799,tech_name,0))),0),2))</f>
        <v/>
      </c>
      <c r="P1799" s="80" t="n"/>
      <c r="Q1799" s="81" t="str">
        <f>IF(A1799="","",ROUND(Y1799+O1799+Z1799,2))</f>
        <v/>
      </c>
      <c r="R1799" s="79" t="str">
        <f>IF(A1799="","",IF(S1799=0,"Date manquante ou invalide",IF(C1799="","Équipement manquant",IF(ISNA(MATCH(C1799,eq_code,0)),"Équipement inconnu",IF(E1799="","Type manquant",IF(AND(E1799&lt;&gt;"Préventif",E1799&lt;&gt;"Correctif",E1799&lt;&gt;"Amélioratif"),"Type inconnu",IF(I1799="","Statut manquant",IF(AND(I1799&lt;&gt;"Terminée",I1799&lt;&gt;"En cours",I1799&lt;&gt;"À faire",I1799&lt;&gt;"Annulée"),"Statut inconnu",IF(AND(E1799="Préventif",F1799=""),"Plan manquant (préventif)",IF(AND(F1799&lt;&gt;"",ISNA(MATCH(F1799,pl_num,0))),"Plan inconnu",IF(AND(F1799&lt;&gt;"",IFERROR(INDEX(pl_eq,MATCH(F1799,pl_num,0))&amp;"",C1799)&lt;&gt;C1799),"Plan d'un autre équipement",IF(AND(J1799&lt;&gt;"",OR(NOT(ISNUMBER(J1799)),N(J1799)&lt;0)),"Compteur invalide",IF(OR(AND(K1799&lt;&gt;"",OR(NOT(ISNUMBER(K1799)),N(K1799)&lt;0)),AND(L1799&lt;&gt;"",OR(NOT(ISNUMBER(L1799)),N(L1799)&lt;0))),"Durée invalide",IF(OR(AND(N1799&lt;&gt;"",OR(NOT(ISNUMBER(N1799)),N(N1799)&lt;0)),AND(P1799&lt;&gt;"",OR(NOT(ISNUMBER(P1799)),N(P1799)&lt;0))),"Coût invalide",IF(AND(M1799&lt;&gt;"",ISNA(MATCH(M1799,tech_name,0))),"Technicien inconnu",IF(AND(I1799="Terminée",S1799&gt;p_today),"Terminée à une date future",IF(AND(I1799="Terminée",V1799=0),"Durée d'intervention manquante",IF(AND(I1799="Terminée",E1799="Préventif",T1799=0,OR(IFERROR(INDEX(pl_trig,MATCH(F1799,pl_num,0))&amp;"","")="Compteur",IFERROR(INDEX(pl_trig,MATCH(F1799,pl_num,0))&amp;"","")="Au premier des deux")),"Compteur manquant (plan au compteur)","OK"))))))))))))))))))</f>
        <v/>
      </c>
      <c r="S1799" s="67">
        <f>IF(AND(ISNUMBER(B1799),N(B1799)&gt;0),INT(B1799),0)</f>
        <v>0.0</v>
      </c>
      <c r="T1799" s="67">
        <f>IF(AND(ISNUMBER(J1799),N(J1799)&gt;=0),N(J1799),0)</f>
        <v>0.0</v>
      </c>
      <c r="U1799" s="67">
        <f>IF(AND(ISNUMBER(K1799),N(K1799)&gt;0),N(K1799),0)</f>
        <v>0.0</v>
      </c>
      <c r="V1799" s="67">
        <f>IF(AND(ISNUMBER(L1799),N(L1799)&gt;0),N(L1799),0)</f>
        <v>0.0</v>
      </c>
      <c r="W1799" s="67">
        <f>IF(AND(I1799="Terminée",S1799&gt;0,C1799&lt;&gt;"",ISNUMBER(MATCH(C1799,eq_code,0))),1,0)</f>
        <v>0.0</v>
      </c>
      <c r="X1799" s="67">
        <f>IF(AND(W1799=1,E1799="Préventif"),1,0)</f>
        <v>0.0</v>
      </c>
      <c r="Y1799" s="67">
        <f>IF(AND(ISNUMBER(N1799),N(N1799)&gt;0),N(N1799),0)</f>
        <v>0.0</v>
      </c>
      <c r="Z1799" s="67">
        <f>IF(AND(ISNUMBER(P1799),N(P1799)&gt;0),N(P1799),0)</f>
        <v>0.0</v>
      </c>
    </row>
    <row r="1800">
      <c r="A1800" s="79" t="str">
        <f>IF(COUNTA(B1800:C1800,E1800:G1800,I1800)=0,"","BI-"&amp;RIGHT("0000"&amp;(ROW()-5),4))</f>
        <v/>
      </c>
      <c r="B1800" s="72" t="n"/>
      <c r="C1800" s="66" t="n"/>
      <c r="D1800" s="67" t="str">
        <f>IF(C1800="","",IFERROR(INDEX(eq_des,MATCH(C1800,eq_code,0))&amp;"","Équipement inconnu"))</f>
        <v/>
      </c>
      <c r="E1800" s="68" t="n"/>
      <c r="F1800" s="68" t="n"/>
      <c r="G1800" s="66" t="n"/>
      <c r="H1800" s="66" t="n"/>
      <c r="I1800" s="68" t="n"/>
      <c r="J1800" s="73" t="n"/>
      <c r="K1800" s="71" t="n"/>
      <c r="L1800" s="71" t="n"/>
      <c r="M1800" s="66" t="n"/>
      <c r="N1800" s="80" t="n"/>
      <c r="O1800" s="81" t="str">
        <f>IF(A1800="","",ROUND(V1800*IFERROR(N(INDEX(tech_rate,MATCH(M1800,tech_name,0))),0),2))</f>
        <v/>
      </c>
      <c r="P1800" s="80" t="n"/>
      <c r="Q1800" s="81" t="str">
        <f>IF(A1800="","",ROUND(Y1800+O1800+Z1800,2))</f>
        <v/>
      </c>
      <c r="R1800" s="79" t="str">
        <f>IF(A1800="","",IF(S1800=0,"Date manquante ou invalide",IF(C1800="","Équipement manquant",IF(ISNA(MATCH(C1800,eq_code,0)),"Équipement inconnu",IF(E1800="","Type manquant",IF(AND(E1800&lt;&gt;"Préventif",E1800&lt;&gt;"Correctif",E1800&lt;&gt;"Amélioratif"),"Type inconnu",IF(I1800="","Statut manquant",IF(AND(I1800&lt;&gt;"Terminée",I1800&lt;&gt;"En cours",I1800&lt;&gt;"À faire",I1800&lt;&gt;"Annulée"),"Statut inconnu",IF(AND(E1800="Préventif",F1800=""),"Plan manquant (préventif)",IF(AND(F1800&lt;&gt;"",ISNA(MATCH(F1800,pl_num,0))),"Plan inconnu",IF(AND(F1800&lt;&gt;"",IFERROR(INDEX(pl_eq,MATCH(F1800,pl_num,0))&amp;"",C1800)&lt;&gt;C1800),"Plan d'un autre équipement",IF(AND(J1800&lt;&gt;"",OR(NOT(ISNUMBER(J1800)),N(J1800)&lt;0)),"Compteur invalide",IF(OR(AND(K1800&lt;&gt;"",OR(NOT(ISNUMBER(K1800)),N(K1800)&lt;0)),AND(L1800&lt;&gt;"",OR(NOT(ISNUMBER(L1800)),N(L1800)&lt;0))),"Durée invalide",IF(OR(AND(N1800&lt;&gt;"",OR(NOT(ISNUMBER(N1800)),N(N1800)&lt;0)),AND(P1800&lt;&gt;"",OR(NOT(ISNUMBER(P1800)),N(P1800)&lt;0))),"Coût invalide",IF(AND(M1800&lt;&gt;"",ISNA(MATCH(M1800,tech_name,0))),"Technicien inconnu",IF(AND(I1800="Terminée",S1800&gt;p_today),"Terminée à une date future",IF(AND(I1800="Terminée",V1800=0),"Durée d'intervention manquante",IF(AND(I1800="Terminée",E1800="Préventif",T1800=0,OR(IFERROR(INDEX(pl_trig,MATCH(F1800,pl_num,0))&amp;"","")="Compteur",IFERROR(INDEX(pl_trig,MATCH(F1800,pl_num,0))&amp;"","")="Au premier des deux")),"Compteur manquant (plan au compteur)","OK"))))))))))))))))))</f>
        <v/>
      </c>
      <c r="S1800" s="67">
        <f>IF(AND(ISNUMBER(B1800),N(B1800)&gt;0),INT(B1800),0)</f>
        <v>0.0</v>
      </c>
      <c r="T1800" s="67">
        <f>IF(AND(ISNUMBER(J1800),N(J1800)&gt;=0),N(J1800),0)</f>
        <v>0.0</v>
      </c>
      <c r="U1800" s="67">
        <f>IF(AND(ISNUMBER(K1800),N(K1800)&gt;0),N(K1800),0)</f>
        <v>0.0</v>
      </c>
      <c r="V1800" s="67">
        <f>IF(AND(ISNUMBER(L1800),N(L1800)&gt;0),N(L1800),0)</f>
        <v>0.0</v>
      </c>
      <c r="W1800" s="67">
        <f>IF(AND(I1800="Terminée",S1800&gt;0,C1800&lt;&gt;"",ISNUMBER(MATCH(C1800,eq_code,0))),1,0)</f>
        <v>0.0</v>
      </c>
      <c r="X1800" s="67">
        <f>IF(AND(W1800=1,E1800="Préventif"),1,0)</f>
        <v>0.0</v>
      </c>
      <c r="Y1800" s="67">
        <f>IF(AND(ISNUMBER(N1800),N(N1800)&gt;0),N(N1800),0)</f>
        <v>0.0</v>
      </c>
      <c r="Z1800" s="67">
        <f>IF(AND(ISNUMBER(P1800),N(P1800)&gt;0),N(P1800),0)</f>
        <v>0.0</v>
      </c>
    </row>
    <row r="1801">
      <c r="A1801" s="79" t="str">
        <f>IF(COUNTA(B1801:C1801,E1801:G1801,I1801)=0,"","BI-"&amp;RIGHT("0000"&amp;(ROW()-5),4))</f>
        <v/>
      </c>
      <c r="B1801" s="72" t="n"/>
      <c r="C1801" s="66" t="n"/>
      <c r="D1801" s="67" t="str">
        <f>IF(C1801="","",IFERROR(INDEX(eq_des,MATCH(C1801,eq_code,0))&amp;"","Équipement inconnu"))</f>
        <v/>
      </c>
      <c r="E1801" s="68" t="n"/>
      <c r="F1801" s="68" t="n"/>
      <c r="G1801" s="66" t="n"/>
      <c r="H1801" s="66" t="n"/>
      <c r="I1801" s="68" t="n"/>
      <c r="J1801" s="73" t="n"/>
      <c r="K1801" s="71" t="n"/>
      <c r="L1801" s="71" t="n"/>
      <c r="M1801" s="66" t="n"/>
      <c r="N1801" s="80" t="n"/>
      <c r="O1801" s="81" t="str">
        <f>IF(A1801="","",ROUND(V1801*IFERROR(N(INDEX(tech_rate,MATCH(M1801,tech_name,0))),0),2))</f>
        <v/>
      </c>
      <c r="P1801" s="80" t="n"/>
      <c r="Q1801" s="81" t="str">
        <f>IF(A1801="","",ROUND(Y1801+O1801+Z1801,2))</f>
        <v/>
      </c>
      <c r="R1801" s="79" t="str">
        <f>IF(A1801="","",IF(S1801=0,"Date manquante ou invalide",IF(C1801="","Équipement manquant",IF(ISNA(MATCH(C1801,eq_code,0)),"Équipement inconnu",IF(E1801="","Type manquant",IF(AND(E1801&lt;&gt;"Préventif",E1801&lt;&gt;"Correctif",E1801&lt;&gt;"Amélioratif"),"Type inconnu",IF(I1801="","Statut manquant",IF(AND(I1801&lt;&gt;"Terminée",I1801&lt;&gt;"En cours",I1801&lt;&gt;"À faire",I1801&lt;&gt;"Annulée"),"Statut inconnu",IF(AND(E1801="Préventif",F1801=""),"Plan manquant (préventif)",IF(AND(F1801&lt;&gt;"",ISNA(MATCH(F1801,pl_num,0))),"Plan inconnu",IF(AND(F1801&lt;&gt;"",IFERROR(INDEX(pl_eq,MATCH(F1801,pl_num,0))&amp;"",C1801)&lt;&gt;C1801),"Plan d'un autre équipement",IF(AND(J1801&lt;&gt;"",OR(NOT(ISNUMBER(J1801)),N(J1801)&lt;0)),"Compteur invalide",IF(OR(AND(K1801&lt;&gt;"",OR(NOT(ISNUMBER(K1801)),N(K1801)&lt;0)),AND(L1801&lt;&gt;"",OR(NOT(ISNUMBER(L1801)),N(L1801)&lt;0))),"Durée invalide",IF(OR(AND(N1801&lt;&gt;"",OR(NOT(ISNUMBER(N1801)),N(N1801)&lt;0)),AND(P1801&lt;&gt;"",OR(NOT(ISNUMBER(P1801)),N(P1801)&lt;0))),"Coût invalide",IF(AND(M1801&lt;&gt;"",ISNA(MATCH(M1801,tech_name,0))),"Technicien inconnu",IF(AND(I1801="Terminée",S1801&gt;p_today),"Terminée à une date future",IF(AND(I1801="Terminée",V1801=0),"Durée d'intervention manquante",IF(AND(I1801="Terminée",E1801="Préventif",T1801=0,OR(IFERROR(INDEX(pl_trig,MATCH(F1801,pl_num,0))&amp;"","")="Compteur",IFERROR(INDEX(pl_trig,MATCH(F1801,pl_num,0))&amp;"","")="Au premier des deux")),"Compteur manquant (plan au compteur)","OK"))))))))))))))))))</f>
        <v/>
      </c>
      <c r="S1801" s="67">
        <f>IF(AND(ISNUMBER(B1801),N(B1801)&gt;0),INT(B1801),0)</f>
        <v>0.0</v>
      </c>
      <c r="T1801" s="67">
        <f>IF(AND(ISNUMBER(J1801),N(J1801)&gt;=0),N(J1801),0)</f>
        <v>0.0</v>
      </c>
      <c r="U1801" s="67">
        <f>IF(AND(ISNUMBER(K1801),N(K1801)&gt;0),N(K1801),0)</f>
        <v>0.0</v>
      </c>
      <c r="V1801" s="67">
        <f>IF(AND(ISNUMBER(L1801),N(L1801)&gt;0),N(L1801),0)</f>
        <v>0.0</v>
      </c>
      <c r="W1801" s="67">
        <f>IF(AND(I1801="Terminée",S1801&gt;0,C1801&lt;&gt;"",ISNUMBER(MATCH(C1801,eq_code,0))),1,0)</f>
        <v>0.0</v>
      </c>
      <c r="X1801" s="67">
        <f>IF(AND(W1801=1,E1801="Préventif"),1,0)</f>
        <v>0.0</v>
      </c>
      <c r="Y1801" s="67">
        <f>IF(AND(ISNUMBER(N1801),N(N1801)&gt;0),N(N1801),0)</f>
        <v>0.0</v>
      </c>
      <c r="Z1801" s="67">
        <f>IF(AND(ISNUMBER(P1801),N(P1801)&gt;0),N(P1801),0)</f>
        <v>0.0</v>
      </c>
    </row>
    <row r="1802">
      <c r="A1802" s="79" t="str">
        <f>IF(COUNTA(B1802:C1802,E1802:G1802,I1802)=0,"","BI-"&amp;RIGHT("0000"&amp;(ROW()-5),4))</f>
        <v/>
      </c>
      <c r="B1802" s="72" t="n"/>
      <c r="C1802" s="66" t="n"/>
      <c r="D1802" s="67" t="str">
        <f>IF(C1802="","",IFERROR(INDEX(eq_des,MATCH(C1802,eq_code,0))&amp;"","Équipement inconnu"))</f>
        <v/>
      </c>
      <c r="E1802" s="68" t="n"/>
      <c r="F1802" s="68" t="n"/>
      <c r="G1802" s="66" t="n"/>
      <c r="H1802" s="66" t="n"/>
      <c r="I1802" s="68" t="n"/>
      <c r="J1802" s="73" t="n"/>
      <c r="K1802" s="71" t="n"/>
      <c r="L1802" s="71" t="n"/>
      <c r="M1802" s="66" t="n"/>
      <c r="N1802" s="80" t="n"/>
      <c r="O1802" s="81" t="str">
        <f>IF(A1802="","",ROUND(V1802*IFERROR(N(INDEX(tech_rate,MATCH(M1802,tech_name,0))),0),2))</f>
        <v/>
      </c>
      <c r="P1802" s="80" t="n"/>
      <c r="Q1802" s="81" t="str">
        <f>IF(A1802="","",ROUND(Y1802+O1802+Z1802,2))</f>
        <v/>
      </c>
      <c r="R1802" s="79" t="str">
        <f>IF(A1802="","",IF(S1802=0,"Date manquante ou invalide",IF(C1802="","Équipement manquant",IF(ISNA(MATCH(C1802,eq_code,0)),"Équipement inconnu",IF(E1802="","Type manquant",IF(AND(E1802&lt;&gt;"Préventif",E1802&lt;&gt;"Correctif",E1802&lt;&gt;"Amélioratif"),"Type inconnu",IF(I1802="","Statut manquant",IF(AND(I1802&lt;&gt;"Terminée",I1802&lt;&gt;"En cours",I1802&lt;&gt;"À faire",I1802&lt;&gt;"Annulée"),"Statut inconnu",IF(AND(E1802="Préventif",F1802=""),"Plan manquant (préventif)",IF(AND(F1802&lt;&gt;"",ISNA(MATCH(F1802,pl_num,0))),"Plan inconnu",IF(AND(F1802&lt;&gt;"",IFERROR(INDEX(pl_eq,MATCH(F1802,pl_num,0))&amp;"",C1802)&lt;&gt;C1802),"Plan d'un autre équipement",IF(AND(J1802&lt;&gt;"",OR(NOT(ISNUMBER(J1802)),N(J1802)&lt;0)),"Compteur invalide",IF(OR(AND(K1802&lt;&gt;"",OR(NOT(ISNUMBER(K1802)),N(K1802)&lt;0)),AND(L1802&lt;&gt;"",OR(NOT(ISNUMBER(L1802)),N(L1802)&lt;0))),"Durée invalide",IF(OR(AND(N1802&lt;&gt;"",OR(NOT(ISNUMBER(N1802)),N(N1802)&lt;0)),AND(P1802&lt;&gt;"",OR(NOT(ISNUMBER(P1802)),N(P1802)&lt;0))),"Coût invalide",IF(AND(M1802&lt;&gt;"",ISNA(MATCH(M1802,tech_name,0))),"Technicien inconnu",IF(AND(I1802="Terminée",S1802&gt;p_today),"Terminée à une date future",IF(AND(I1802="Terminée",V1802=0),"Durée d'intervention manquante",IF(AND(I1802="Terminée",E1802="Préventif",T1802=0,OR(IFERROR(INDEX(pl_trig,MATCH(F1802,pl_num,0))&amp;"","")="Compteur",IFERROR(INDEX(pl_trig,MATCH(F1802,pl_num,0))&amp;"","")="Au premier des deux")),"Compteur manquant (plan au compteur)","OK"))))))))))))))))))</f>
        <v/>
      </c>
      <c r="S1802" s="67">
        <f>IF(AND(ISNUMBER(B1802),N(B1802)&gt;0),INT(B1802),0)</f>
        <v>0.0</v>
      </c>
      <c r="T1802" s="67">
        <f>IF(AND(ISNUMBER(J1802),N(J1802)&gt;=0),N(J1802),0)</f>
        <v>0.0</v>
      </c>
      <c r="U1802" s="67">
        <f>IF(AND(ISNUMBER(K1802),N(K1802)&gt;0),N(K1802),0)</f>
        <v>0.0</v>
      </c>
      <c r="V1802" s="67">
        <f>IF(AND(ISNUMBER(L1802),N(L1802)&gt;0),N(L1802),0)</f>
        <v>0.0</v>
      </c>
      <c r="W1802" s="67">
        <f>IF(AND(I1802="Terminée",S1802&gt;0,C1802&lt;&gt;"",ISNUMBER(MATCH(C1802,eq_code,0))),1,0)</f>
        <v>0.0</v>
      </c>
      <c r="X1802" s="67">
        <f>IF(AND(W1802=1,E1802="Préventif"),1,0)</f>
        <v>0.0</v>
      </c>
      <c r="Y1802" s="67">
        <f>IF(AND(ISNUMBER(N1802),N(N1802)&gt;0),N(N1802),0)</f>
        <v>0.0</v>
      </c>
      <c r="Z1802" s="67">
        <f>IF(AND(ISNUMBER(P1802),N(P1802)&gt;0),N(P1802),0)</f>
        <v>0.0</v>
      </c>
    </row>
    <row r="1803">
      <c r="A1803" s="79" t="str">
        <f>IF(COUNTA(B1803:C1803,E1803:G1803,I1803)=0,"","BI-"&amp;RIGHT("0000"&amp;(ROW()-5),4))</f>
        <v/>
      </c>
      <c r="B1803" s="72" t="n"/>
      <c r="C1803" s="66" t="n"/>
      <c r="D1803" s="67" t="str">
        <f>IF(C1803="","",IFERROR(INDEX(eq_des,MATCH(C1803,eq_code,0))&amp;"","Équipement inconnu"))</f>
        <v/>
      </c>
      <c r="E1803" s="68" t="n"/>
      <c r="F1803" s="68" t="n"/>
      <c r="G1803" s="66" t="n"/>
      <c r="H1803" s="66" t="n"/>
      <c r="I1803" s="68" t="n"/>
      <c r="J1803" s="73" t="n"/>
      <c r="K1803" s="71" t="n"/>
      <c r="L1803" s="71" t="n"/>
      <c r="M1803" s="66" t="n"/>
      <c r="N1803" s="80" t="n"/>
      <c r="O1803" s="81" t="str">
        <f>IF(A1803="","",ROUND(V1803*IFERROR(N(INDEX(tech_rate,MATCH(M1803,tech_name,0))),0),2))</f>
        <v/>
      </c>
      <c r="P1803" s="80" t="n"/>
      <c r="Q1803" s="81" t="str">
        <f>IF(A1803="","",ROUND(Y1803+O1803+Z1803,2))</f>
        <v/>
      </c>
      <c r="R1803" s="79" t="str">
        <f>IF(A1803="","",IF(S1803=0,"Date manquante ou invalide",IF(C1803="","Équipement manquant",IF(ISNA(MATCH(C1803,eq_code,0)),"Équipement inconnu",IF(E1803="","Type manquant",IF(AND(E1803&lt;&gt;"Préventif",E1803&lt;&gt;"Correctif",E1803&lt;&gt;"Amélioratif"),"Type inconnu",IF(I1803="","Statut manquant",IF(AND(I1803&lt;&gt;"Terminée",I1803&lt;&gt;"En cours",I1803&lt;&gt;"À faire",I1803&lt;&gt;"Annulée"),"Statut inconnu",IF(AND(E1803="Préventif",F1803=""),"Plan manquant (préventif)",IF(AND(F1803&lt;&gt;"",ISNA(MATCH(F1803,pl_num,0))),"Plan inconnu",IF(AND(F1803&lt;&gt;"",IFERROR(INDEX(pl_eq,MATCH(F1803,pl_num,0))&amp;"",C1803)&lt;&gt;C1803),"Plan d'un autre équipement",IF(AND(J1803&lt;&gt;"",OR(NOT(ISNUMBER(J1803)),N(J1803)&lt;0)),"Compteur invalide",IF(OR(AND(K1803&lt;&gt;"",OR(NOT(ISNUMBER(K1803)),N(K1803)&lt;0)),AND(L1803&lt;&gt;"",OR(NOT(ISNUMBER(L1803)),N(L1803)&lt;0))),"Durée invalide",IF(OR(AND(N1803&lt;&gt;"",OR(NOT(ISNUMBER(N1803)),N(N1803)&lt;0)),AND(P1803&lt;&gt;"",OR(NOT(ISNUMBER(P1803)),N(P1803)&lt;0))),"Coût invalide",IF(AND(M1803&lt;&gt;"",ISNA(MATCH(M1803,tech_name,0))),"Technicien inconnu",IF(AND(I1803="Terminée",S1803&gt;p_today),"Terminée à une date future",IF(AND(I1803="Terminée",V1803=0),"Durée d'intervention manquante",IF(AND(I1803="Terminée",E1803="Préventif",T1803=0,OR(IFERROR(INDEX(pl_trig,MATCH(F1803,pl_num,0))&amp;"","")="Compteur",IFERROR(INDEX(pl_trig,MATCH(F1803,pl_num,0))&amp;"","")="Au premier des deux")),"Compteur manquant (plan au compteur)","OK"))))))))))))))))))</f>
        <v/>
      </c>
      <c r="S1803" s="67">
        <f>IF(AND(ISNUMBER(B1803),N(B1803)&gt;0),INT(B1803),0)</f>
        <v>0.0</v>
      </c>
      <c r="T1803" s="67">
        <f>IF(AND(ISNUMBER(J1803),N(J1803)&gt;=0),N(J1803),0)</f>
        <v>0.0</v>
      </c>
      <c r="U1803" s="67">
        <f>IF(AND(ISNUMBER(K1803),N(K1803)&gt;0),N(K1803),0)</f>
        <v>0.0</v>
      </c>
      <c r="V1803" s="67">
        <f>IF(AND(ISNUMBER(L1803),N(L1803)&gt;0),N(L1803),0)</f>
        <v>0.0</v>
      </c>
      <c r="W1803" s="67">
        <f>IF(AND(I1803="Terminée",S1803&gt;0,C1803&lt;&gt;"",ISNUMBER(MATCH(C1803,eq_code,0))),1,0)</f>
        <v>0.0</v>
      </c>
      <c r="X1803" s="67">
        <f>IF(AND(W1803=1,E1803="Préventif"),1,0)</f>
        <v>0.0</v>
      </c>
      <c r="Y1803" s="67">
        <f>IF(AND(ISNUMBER(N1803),N(N1803)&gt;0),N(N1803),0)</f>
        <v>0.0</v>
      </c>
      <c r="Z1803" s="67">
        <f>IF(AND(ISNUMBER(P1803),N(P1803)&gt;0),N(P1803),0)</f>
        <v>0.0</v>
      </c>
    </row>
    <row r="1804">
      <c r="A1804" s="79" t="str">
        <f>IF(COUNTA(B1804:C1804,E1804:G1804,I1804)=0,"","BI-"&amp;RIGHT("0000"&amp;(ROW()-5),4))</f>
        <v/>
      </c>
      <c r="B1804" s="72" t="n"/>
      <c r="C1804" s="66" t="n"/>
      <c r="D1804" s="67" t="str">
        <f>IF(C1804="","",IFERROR(INDEX(eq_des,MATCH(C1804,eq_code,0))&amp;"","Équipement inconnu"))</f>
        <v/>
      </c>
      <c r="E1804" s="68" t="n"/>
      <c r="F1804" s="68" t="n"/>
      <c r="G1804" s="66" t="n"/>
      <c r="H1804" s="66" t="n"/>
      <c r="I1804" s="68" t="n"/>
      <c r="J1804" s="73" t="n"/>
      <c r="K1804" s="71" t="n"/>
      <c r="L1804" s="71" t="n"/>
      <c r="M1804" s="66" t="n"/>
      <c r="N1804" s="80" t="n"/>
      <c r="O1804" s="81" t="str">
        <f>IF(A1804="","",ROUND(V1804*IFERROR(N(INDEX(tech_rate,MATCH(M1804,tech_name,0))),0),2))</f>
        <v/>
      </c>
      <c r="P1804" s="80" t="n"/>
      <c r="Q1804" s="81" t="str">
        <f>IF(A1804="","",ROUND(Y1804+O1804+Z1804,2))</f>
        <v/>
      </c>
      <c r="R1804" s="79" t="str">
        <f>IF(A1804="","",IF(S1804=0,"Date manquante ou invalide",IF(C1804="","Équipement manquant",IF(ISNA(MATCH(C1804,eq_code,0)),"Équipement inconnu",IF(E1804="","Type manquant",IF(AND(E1804&lt;&gt;"Préventif",E1804&lt;&gt;"Correctif",E1804&lt;&gt;"Amélioratif"),"Type inconnu",IF(I1804="","Statut manquant",IF(AND(I1804&lt;&gt;"Terminée",I1804&lt;&gt;"En cours",I1804&lt;&gt;"À faire",I1804&lt;&gt;"Annulée"),"Statut inconnu",IF(AND(E1804="Préventif",F1804=""),"Plan manquant (préventif)",IF(AND(F1804&lt;&gt;"",ISNA(MATCH(F1804,pl_num,0))),"Plan inconnu",IF(AND(F1804&lt;&gt;"",IFERROR(INDEX(pl_eq,MATCH(F1804,pl_num,0))&amp;"",C1804)&lt;&gt;C1804),"Plan d'un autre équipement",IF(AND(J1804&lt;&gt;"",OR(NOT(ISNUMBER(J1804)),N(J1804)&lt;0)),"Compteur invalide",IF(OR(AND(K1804&lt;&gt;"",OR(NOT(ISNUMBER(K1804)),N(K1804)&lt;0)),AND(L1804&lt;&gt;"",OR(NOT(ISNUMBER(L1804)),N(L1804)&lt;0))),"Durée invalide",IF(OR(AND(N1804&lt;&gt;"",OR(NOT(ISNUMBER(N1804)),N(N1804)&lt;0)),AND(P1804&lt;&gt;"",OR(NOT(ISNUMBER(P1804)),N(P1804)&lt;0))),"Coût invalide",IF(AND(M1804&lt;&gt;"",ISNA(MATCH(M1804,tech_name,0))),"Technicien inconnu",IF(AND(I1804="Terminée",S1804&gt;p_today),"Terminée à une date future",IF(AND(I1804="Terminée",V1804=0),"Durée d'intervention manquante",IF(AND(I1804="Terminée",E1804="Préventif",T1804=0,OR(IFERROR(INDEX(pl_trig,MATCH(F1804,pl_num,0))&amp;"","")="Compteur",IFERROR(INDEX(pl_trig,MATCH(F1804,pl_num,0))&amp;"","")="Au premier des deux")),"Compteur manquant (plan au compteur)","OK"))))))))))))))))))</f>
        <v/>
      </c>
      <c r="S1804" s="67">
        <f>IF(AND(ISNUMBER(B1804),N(B1804)&gt;0),INT(B1804),0)</f>
        <v>0.0</v>
      </c>
      <c r="T1804" s="67">
        <f>IF(AND(ISNUMBER(J1804),N(J1804)&gt;=0),N(J1804),0)</f>
        <v>0.0</v>
      </c>
      <c r="U1804" s="67">
        <f>IF(AND(ISNUMBER(K1804),N(K1804)&gt;0),N(K1804),0)</f>
        <v>0.0</v>
      </c>
      <c r="V1804" s="67">
        <f>IF(AND(ISNUMBER(L1804),N(L1804)&gt;0),N(L1804),0)</f>
        <v>0.0</v>
      </c>
      <c r="W1804" s="67">
        <f>IF(AND(I1804="Terminée",S1804&gt;0,C1804&lt;&gt;"",ISNUMBER(MATCH(C1804,eq_code,0))),1,0)</f>
        <v>0.0</v>
      </c>
      <c r="X1804" s="67">
        <f>IF(AND(W1804=1,E1804="Préventif"),1,0)</f>
        <v>0.0</v>
      </c>
      <c r="Y1804" s="67">
        <f>IF(AND(ISNUMBER(N1804),N(N1804)&gt;0),N(N1804),0)</f>
        <v>0.0</v>
      </c>
      <c r="Z1804" s="67">
        <f>IF(AND(ISNUMBER(P1804),N(P1804)&gt;0),N(P1804),0)</f>
        <v>0.0</v>
      </c>
    </row>
    <row r="1805">
      <c r="A1805" s="79" t="str">
        <f>IF(COUNTA(B1805:C1805,E1805:G1805,I1805)=0,"","BI-"&amp;RIGHT("0000"&amp;(ROW()-5),4))</f>
        <v/>
      </c>
      <c r="B1805" s="72" t="n"/>
      <c r="C1805" s="66" t="n"/>
      <c r="D1805" s="67" t="str">
        <f>IF(C1805="","",IFERROR(INDEX(eq_des,MATCH(C1805,eq_code,0))&amp;"","Équipement inconnu"))</f>
        <v/>
      </c>
      <c r="E1805" s="68" t="n"/>
      <c r="F1805" s="68" t="n"/>
      <c r="G1805" s="66" t="n"/>
      <c r="H1805" s="66" t="n"/>
      <c r="I1805" s="68" t="n"/>
      <c r="J1805" s="73" t="n"/>
      <c r="K1805" s="71" t="n"/>
      <c r="L1805" s="71" t="n"/>
      <c r="M1805" s="66" t="n"/>
      <c r="N1805" s="80" t="n"/>
      <c r="O1805" s="81" t="str">
        <f>IF(A1805="","",ROUND(V1805*IFERROR(N(INDEX(tech_rate,MATCH(M1805,tech_name,0))),0),2))</f>
        <v/>
      </c>
      <c r="P1805" s="80" t="n"/>
      <c r="Q1805" s="81" t="str">
        <f>IF(A1805="","",ROUND(Y1805+O1805+Z1805,2))</f>
        <v/>
      </c>
      <c r="R1805" s="79" t="str">
        <f>IF(A1805="","",IF(S1805=0,"Date manquante ou invalide",IF(C1805="","Équipement manquant",IF(ISNA(MATCH(C1805,eq_code,0)),"Équipement inconnu",IF(E1805="","Type manquant",IF(AND(E1805&lt;&gt;"Préventif",E1805&lt;&gt;"Correctif",E1805&lt;&gt;"Amélioratif"),"Type inconnu",IF(I1805="","Statut manquant",IF(AND(I1805&lt;&gt;"Terminée",I1805&lt;&gt;"En cours",I1805&lt;&gt;"À faire",I1805&lt;&gt;"Annulée"),"Statut inconnu",IF(AND(E1805="Préventif",F1805=""),"Plan manquant (préventif)",IF(AND(F1805&lt;&gt;"",ISNA(MATCH(F1805,pl_num,0))),"Plan inconnu",IF(AND(F1805&lt;&gt;"",IFERROR(INDEX(pl_eq,MATCH(F1805,pl_num,0))&amp;"",C1805)&lt;&gt;C1805),"Plan d'un autre équipement",IF(AND(J1805&lt;&gt;"",OR(NOT(ISNUMBER(J1805)),N(J1805)&lt;0)),"Compteur invalide",IF(OR(AND(K1805&lt;&gt;"",OR(NOT(ISNUMBER(K1805)),N(K1805)&lt;0)),AND(L1805&lt;&gt;"",OR(NOT(ISNUMBER(L1805)),N(L1805)&lt;0))),"Durée invalide",IF(OR(AND(N1805&lt;&gt;"",OR(NOT(ISNUMBER(N1805)),N(N1805)&lt;0)),AND(P1805&lt;&gt;"",OR(NOT(ISNUMBER(P1805)),N(P1805)&lt;0))),"Coût invalide",IF(AND(M1805&lt;&gt;"",ISNA(MATCH(M1805,tech_name,0))),"Technicien inconnu",IF(AND(I1805="Terminée",S1805&gt;p_today),"Terminée à une date future",IF(AND(I1805="Terminée",V1805=0),"Durée d'intervention manquante",IF(AND(I1805="Terminée",E1805="Préventif",T1805=0,OR(IFERROR(INDEX(pl_trig,MATCH(F1805,pl_num,0))&amp;"","")="Compteur",IFERROR(INDEX(pl_trig,MATCH(F1805,pl_num,0))&amp;"","")="Au premier des deux")),"Compteur manquant (plan au compteur)","OK"))))))))))))))))))</f>
        <v/>
      </c>
      <c r="S1805" s="67">
        <f>IF(AND(ISNUMBER(B1805),N(B1805)&gt;0),INT(B1805),0)</f>
        <v>0.0</v>
      </c>
      <c r="T1805" s="67">
        <f>IF(AND(ISNUMBER(J1805),N(J1805)&gt;=0),N(J1805),0)</f>
        <v>0.0</v>
      </c>
      <c r="U1805" s="67">
        <f>IF(AND(ISNUMBER(K1805),N(K1805)&gt;0),N(K1805),0)</f>
        <v>0.0</v>
      </c>
      <c r="V1805" s="67">
        <f>IF(AND(ISNUMBER(L1805),N(L1805)&gt;0),N(L1805),0)</f>
        <v>0.0</v>
      </c>
      <c r="W1805" s="67">
        <f>IF(AND(I1805="Terminée",S1805&gt;0,C1805&lt;&gt;"",ISNUMBER(MATCH(C1805,eq_code,0))),1,0)</f>
        <v>0.0</v>
      </c>
      <c r="X1805" s="67">
        <f>IF(AND(W1805=1,E1805="Préventif"),1,0)</f>
        <v>0.0</v>
      </c>
      <c r="Y1805" s="67">
        <f>IF(AND(ISNUMBER(N1805),N(N1805)&gt;0),N(N1805),0)</f>
        <v>0.0</v>
      </c>
      <c r="Z1805" s="67">
        <f>IF(AND(ISNUMBER(P1805),N(P1805)&gt;0),N(P1805),0)</f>
        <v>0.0</v>
      </c>
    </row>
    <row r="1806">
      <c r="A1806" s="79" t="str">
        <f>IF(COUNTA(B1806:C1806,E1806:G1806,I1806)=0,"","BI-"&amp;RIGHT("0000"&amp;(ROW()-5),4))</f>
        <v/>
      </c>
      <c r="B1806" s="72" t="n"/>
      <c r="C1806" s="66" t="n"/>
      <c r="D1806" s="67" t="str">
        <f>IF(C1806="","",IFERROR(INDEX(eq_des,MATCH(C1806,eq_code,0))&amp;"","Équipement inconnu"))</f>
        <v/>
      </c>
      <c r="E1806" s="68" t="n"/>
      <c r="F1806" s="68" t="n"/>
      <c r="G1806" s="66" t="n"/>
      <c r="H1806" s="66" t="n"/>
      <c r="I1806" s="68" t="n"/>
      <c r="J1806" s="73" t="n"/>
      <c r="K1806" s="71" t="n"/>
      <c r="L1806" s="71" t="n"/>
      <c r="M1806" s="66" t="n"/>
      <c r="N1806" s="80" t="n"/>
      <c r="O1806" s="81" t="str">
        <f>IF(A1806="","",ROUND(V1806*IFERROR(N(INDEX(tech_rate,MATCH(M1806,tech_name,0))),0),2))</f>
        <v/>
      </c>
      <c r="P1806" s="80" t="n"/>
      <c r="Q1806" s="81" t="str">
        <f>IF(A1806="","",ROUND(Y1806+O1806+Z1806,2))</f>
        <v/>
      </c>
      <c r="R1806" s="79" t="str">
        <f>IF(A1806="","",IF(S1806=0,"Date manquante ou invalide",IF(C1806="","Équipement manquant",IF(ISNA(MATCH(C1806,eq_code,0)),"Équipement inconnu",IF(E1806="","Type manquant",IF(AND(E1806&lt;&gt;"Préventif",E1806&lt;&gt;"Correctif",E1806&lt;&gt;"Amélioratif"),"Type inconnu",IF(I1806="","Statut manquant",IF(AND(I1806&lt;&gt;"Terminée",I1806&lt;&gt;"En cours",I1806&lt;&gt;"À faire",I1806&lt;&gt;"Annulée"),"Statut inconnu",IF(AND(E1806="Préventif",F1806=""),"Plan manquant (préventif)",IF(AND(F1806&lt;&gt;"",ISNA(MATCH(F1806,pl_num,0))),"Plan inconnu",IF(AND(F1806&lt;&gt;"",IFERROR(INDEX(pl_eq,MATCH(F1806,pl_num,0))&amp;"",C1806)&lt;&gt;C1806),"Plan d'un autre équipement",IF(AND(J1806&lt;&gt;"",OR(NOT(ISNUMBER(J1806)),N(J1806)&lt;0)),"Compteur invalide",IF(OR(AND(K1806&lt;&gt;"",OR(NOT(ISNUMBER(K1806)),N(K1806)&lt;0)),AND(L1806&lt;&gt;"",OR(NOT(ISNUMBER(L1806)),N(L1806)&lt;0))),"Durée invalide",IF(OR(AND(N1806&lt;&gt;"",OR(NOT(ISNUMBER(N1806)),N(N1806)&lt;0)),AND(P1806&lt;&gt;"",OR(NOT(ISNUMBER(P1806)),N(P1806)&lt;0))),"Coût invalide",IF(AND(M1806&lt;&gt;"",ISNA(MATCH(M1806,tech_name,0))),"Technicien inconnu",IF(AND(I1806="Terminée",S1806&gt;p_today),"Terminée à une date future",IF(AND(I1806="Terminée",V1806=0),"Durée d'intervention manquante",IF(AND(I1806="Terminée",E1806="Préventif",T1806=0,OR(IFERROR(INDEX(pl_trig,MATCH(F1806,pl_num,0))&amp;"","")="Compteur",IFERROR(INDEX(pl_trig,MATCH(F1806,pl_num,0))&amp;"","")="Au premier des deux")),"Compteur manquant (plan au compteur)","OK"))))))))))))))))))</f>
        <v/>
      </c>
      <c r="S1806" s="67">
        <f>IF(AND(ISNUMBER(B1806),N(B1806)&gt;0),INT(B1806),0)</f>
        <v>0.0</v>
      </c>
      <c r="T1806" s="67">
        <f>IF(AND(ISNUMBER(J1806),N(J1806)&gt;=0),N(J1806),0)</f>
        <v>0.0</v>
      </c>
      <c r="U1806" s="67">
        <f>IF(AND(ISNUMBER(K1806),N(K1806)&gt;0),N(K1806),0)</f>
        <v>0.0</v>
      </c>
      <c r="V1806" s="67">
        <f>IF(AND(ISNUMBER(L1806),N(L1806)&gt;0),N(L1806),0)</f>
        <v>0.0</v>
      </c>
      <c r="W1806" s="67">
        <f>IF(AND(I1806="Terminée",S1806&gt;0,C1806&lt;&gt;"",ISNUMBER(MATCH(C1806,eq_code,0))),1,0)</f>
        <v>0.0</v>
      </c>
      <c r="X1806" s="67">
        <f>IF(AND(W1806=1,E1806="Préventif"),1,0)</f>
        <v>0.0</v>
      </c>
      <c r="Y1806" s="67">
        <f>IF(AND(ISNUMBER(N1806),N(N1806)&gt;0),N(N1806),0)</f>
        <v>0.0</v>
      </c>
      <c r="Z1806" s="67">
        <f>IF(AND(ISNUMBER(P1806),N(P1806)&gt;0),N(P1806),0)</f>
        <v>0.0</v>
      </c>
    </row>
    <row r="1807">
      <c r="A1807" s="79" t="str">
        <f>IF(COUNTA(B1807:C1807,E1807:G1807,I1807)=0,"","BI-"&amp;RIGHT("0000"&amp;(ROW()-5),4))</f>
        <v/>
      </c>
      <c r="B1807" s="72" t="n"/>
      <c r="C1807" s="66" t="n"/>
      <c r="D1807" s="67" t="str">
        <f>IF(C1807="","",IFERROR(INDEX(eq_des,MATCH(C1807,eq_code,0))&amp;"","Équipement inconnu"))</f>
        <v/>
      </c>
      <c r="E1807" s="68" t="n"/>
      <c r="F1807" s="68" t="n"/>
      <c r="G1807" s="66" t="n"/>
      <c r="H1807" s="66" t="n"/>
      <c r="I1807" s="68" t="n"/>
      <c r="J1807" s="73" t="n"/>
      <c r="K1807" s="71" t="n"/>
      <c r="L1807" s="71" t="n"/>
      <c r="M1807" s="66" t="n"/>
      <c r="N1807" s="80" t="n"/>
      <c r="O1807" s="81" t="str">
        <f>IF(A1807="","",ROUND(V1807*IFERROR(N(INDEX(tech_rate,MATCH(M1807,tech_name,0))),0),2))</f>
        <v/>
      </c>
      <c r="P1807" s="80" t="n"/>
      <c r="Q1807" s="81" t="str">
        <f>IF(A1807="","",ROUND(Y1807+O1807+Z1807,2))</f>
        <v/>
      </c>
      <c r="R1807" s="79" t="str">
        <f>IF(A1807="","",IF(S1807=0,"Date manquante ou invalide",IF(C1807="","Équipement manquant",IF(ISNA(MATCH(C1807,eq_code,0)),"Équipement inconnu",IF(E1807="","Type manquant",IF(AND(E1807&lt;&gt;"Préventif",E1807&lt;&gt;"Correctif",E1807&lt;&gt;"Amélioratif"),"Type inconnu",IF(I1807="","Statut manquant",IF(AND(I1807&lt;&gt;"Terminée",I1807&lt;&gt;"En cours",I1807&lt;&gt;"À faire",I1807&lt;&gt;"Annulée"),"Statut inconnu",IF(AND(E1807="Préventif",F1807=""),"Plan manquant (préventif)",IF(AND(F1807&lt;&gt;"",ISNA(MATCH(F1807,pl_num,0))),"Plan inconnu",IF(AND(F1807&lt;&gt;"",IFERROR(INDEX(pl_eq,MATCH(F1807,pl_num,0))&amp;"",C1807)&lt;&gt;C1807),"Plan d'un autre équipement",IF(AND(J1807&lt;&gt;"",OR(NOT(ISNUMBER(J1807)),N(J1807)&lt;0)),"Compteur invalide",IF(OR(AND(K1807&lt;&gt;"",OR(NOT(ISNUMBER(K1807)),N(K1807)&lt;0)),AND(L1807&lt;&gt;"",OR(NOT(ISNUMBER(L1807)),N(L1807)&lt;0))),"Durée invalide",IF(OR(AND(N1807&lt;&gt;"",OR(NOT(ISNUMBER(N1807)),N(N1807)&lt;0)),AND(P1807&lt;&gt;"",OR(NOT(ISNUMBER(P1807)),N(P1807)&lt;0))),"Coût invalide",IF(AND(M1807&lt;&gt;"",ISNA(MATCH(M1807,tech_name,0))),"Technicien inconnu",IF(AND(I1807="Terminée",S1807&gt;p_today),"Terminée à une date future",IF(AND(I1807="Terminée",V1807=0),"Durée d'intervention manquante",IF(AND(I1807="Terminée",E1807="Préventif",T1807=0,OR(IFERROR(INDEX(pl_trig,MATCH(F1807,pl_num,0))&amp;"","")="Compteur",IFERROR(INDEX(pl_trig,MATCH(F1807,pl_num,0))&amp;"","")="Au premier des deux")),"Compteur manquant (plan au compteur)","OK"))))))))))))))))))</f>
        <v/>
      </c>
      <c r="S1807" s="67">
        <f>IF(AND(ISNUMBER(B1807),N(B1807)&gt;0),INT(B1807),0)</f>
        <v>0.0</v>
      </c>
      <c r="T1807" s="67">
        <f>IF(AND(ISNUMBER(J1807),N(J1807)&gt;=0),N(J1807),0)</f>
        <v>0.0</v>
      </c>
      <c r="U1807" s="67">
        <f>IF(AND(ISNUMBER(K1807),N(K1807)&gt;0),N(K1807),0)</f>
        <v>0.0</v>
      </c>
      <c r="V1807" s="67">
        <f>IF(AND(ISNUMBER(L1807),N(L1807)&gt;0),N(L1807),0)</f>
        <v>0.0</v>
      </c>
      <c r="W1807" s="67">
        <f>IF(AND(I1807="Terminée",S1807&gt;0,C1807&lt;&gt;"",ISNUMBER(MATCH(C1807,eq_code,0))),1,0)</f>
        <v>0.0</v>
      </c>
      <c r="X1807" s="67">
        <f>IF(AND(W1807=1,E1807="Préventif"),1,0)</f>
        <v>0.0</v>
      </c>
      <c r="Y1807" s="67">
        <f>IF(AND(ISNUMBER(N1807),N(N1807)&gt;0),N(N1807),0)</f>
        <v>0.0</v>
      </c>
      <c r="Z1807" s="67">
        <f>IF(AND(ISNUMBER(P1807),N(P1807)&gt;0),N(P1807),0)</f>
        <v>0.0</v>
      </c>
    </row>
    <row r="1808">
      <c r="A1808" s="79" t="str">
        <f>IF(COUNTA(B1808:C1808,E1808:G1808,I1808)=0,"","BI-"&amp;RIGHT("0000"&amp;(ROW()-5),4))</f>
        <v/>
      </c>
      <c r="B1808" s="72" t="n"/>
      <c r="C1808" s="66" t="n"/>
      <c r="D1808" s="67" t="str">
        <f>IF(C1808="","",IFERROR(INDEX(eq_des,MATCH(C1808,eq_code,0))&amp;"","Équipement inconnu"))</f>
        <v/>
      </c>
      <c r="E1808" s="68" t="n"/>
      <c r="F1808" s="68" t="n"/>
      <c r="G1808" s="66" t="n"/>
      <c r="H1808" s="66" t="n"/>
      <c r="I1808" s="68" t="n"/>
      <c r="J1808" s="73" t="n"/>
      <c r="K1808" s="71" t="n"/>
      <c r="L1808" s="71" t="n"/>
      <c r="M1808" s="66" t="n"/>
      <c r="N1808" s="80" t="n"/>
      <c r="O1808" s="81" t="str">
        <f>IF(A1808="","",ROUND(V1808*IFERROR(N(INDEX(tech_rate,MATCH(M1808,tech_name,0))),0),2))</f>
        <v/>
      </c>
      <c r="P1808" s="80" t="n"/>
      <c r="Q1808" s="81" t="str">
        <f>IF(A1808="","",ROUND(Y1808+O1808+Z1808,2))</f>
        <v/>
      </c>
      <c r="R1808" s="79" t="str">
        <f>IF(A1808="","",IF(S1808=0,"Date manquante ou invalide",IF(C1808="","Équipement manquant",IF(ISNA(MATCH(C1808,eq_code,0)),"Équipement inconnu",IF(E1808="","Type manquant",IF(AND(E1808&lt;&gt;"Préventif",E1808&lt;&gt;"Correctif",E1808&lt;&gt;"Amélioratif"),"Type inconnu",IF(I1808="","Statut manquant",IF(AND(I1808&lt;&gt;"Terminée",I1808&lt;&gt;"En cours",I1808&lt;&gt;"À faire",I1808&lt;&gt;"Annulée"),"Statut inconnu",IF(AND(E1808="Préventif",F1808=""),"Plan manquant (préventif)",IF(AND(F1808&lt;&gt;"",ISNA(MATCH(F1808,pl_num,0))),"Plan inconnu",IF(AND(F1808&lt;&gt;"",IFERROR(INDEX(pl_eq,MATCH(F1808,pl_num,0))&amp;"",C1808)&lt;&gt;C1808),"Plan d'un autre équipement",IF(AND(J1808&lt;&gt;"",OR(NOT(ISNUMBER(J1808)),N(J1808)&lt;0)),"Compteur invalide",IF(OR(AND(K1808&lt;&gt;"",OR(NOT(ISNUMBER(K1808)),N(K1808)&lt;0)),AND(L1808&lt;&gt;"",OR(NOT(ISNUMBER(L1808)),N(L1808)&lt;0))),"Durée invalide",IF(OR(AND(N1808&lt;&gt;"",OR(NOT(ISNUMBER(N1808)),N(N1808)&lt;0)),AND(P1808&lt;&gt;"",OR(NOT(ISNUMBER(P1808)),N(P1808)&lt;0))),"Coût invalide",IF(AND(M1808&lt;&gt;"",ISNA(MATCH(M1808,tech_name,0))),"Technicien inconnu",IF(AND(I1808="Terminée",S1808&gt;p_today),"Terminée à une date future",IF(AND(I1808="Terminée",V1808=0),"Durée d'intervention manquante",IF(AND(I1808="Terminée",E1808="Préventif",T1808=0,OR(IFERROR(INDEX(pl_trig,MATCH(F1808,pl_num,0))&amp;"","")="Compteur",IFERROR(INDEX(pl_trig,MATCH(F1808,pl_num,0))&amp;"","")="Au premier des deux")),"Compteur manquant (plan au compteur)","OK"))))))))))))))))))</f>
        <v/>
      </c>
      <c r="S1808" s="67">
        <f>IF(AND(ISNUMBER(B1808),N(B1808)&gt;0),INT(B1808),0)</f>
        <v>0.0</v>
      </c>
      <c r="T1808" s="67">
        <f>IF(AND(ISNUMBER(J1808),N(J1808)&gt;=0),N(J1808),0)</f>
        <v>0.0</v>
      </c>
      <c r="U1808" s="67">
        <f>IF(AND(ISNUMBER(K1808),N(K1808)&gt;0),N(K1808),0)</f>
        <v>0.0</v>
      </c>
      <c r="V1808" s="67">
        <f>IF(AND(ISNUMBER(L1808),N(L1808)&gt;0),N(L1808),0)</f>
        <v>0.0</v>
      </c>
      <c r="W1808" s="67">
        <f>IF(AND(I1808="Terminée",S1808&gt;0,C1808&lt;&gt;"",ISNUMBER(MATCH(C1808,eq_code,0))),1,0)</f>
        <v>0.0</v>
      </c>
      <c r="X1808" s="67">
        <f>IF(AND(W1808=1,E1808="Préventif"),1,0)</f>
        <v>0.0</v>
      </c>
      <c r="Y1808" s="67">
        <f>IF(AND(ISNUMBER(N1808),N(N1808)&gt;0),N(N1808),0)</f>
        <v>0.0</v>
      </c>
      <c r="Z1808" s="67">
        <f>IF(AND(ISNUMBER(P1808),N(P1808)&gt;0),N(P1808),0)</f>
        <v>0.0</v>
      </c>
    </row>
    <row r="1809">
      <c r="A1809" s="79" t="str">
        <f>IF(COUNTA(B1809:C1809,E1809:G1809,I1809)=0,"","BI-"&amp;RIGHT("0000"&amp;(ROW()-5),4))</f>
        <v/>
      </c>
      <c r="B1809" s="72" t="n"/>
      <c r="C1809" s="66" t="n"/>
      <c r="D1809" s="67" t="str">
        <f>IF(C1809="","",IFERROR(INDEX(eq_des,MATCH(C1809,eq_code,0))&amp;"","Équipement inconnu"))</f>
        <v/>
      </c>
      <c r="E1809" s="68" t="n"/>
      <c r="F1809" s="68" t="n"/>
      <c r="G1809" s="66" t="n"/>
      <c r="H1809" s="66" t="n"/>
      <c r="I1809" s="68" t="n"/>
      <c r="J1809" s="73" t="n"/>
      <c r="K1809" s="71" t="n"/>
      <c r="L1809" s="71" t="n"/>
      <c r="M1809" s="66" t="n"/>
      <c r="N1809" s="80" t="n"/>
      <c r="O1809" s="81" t="str">
        <f>IF(A1809="","",ROUND(V1809*IFERROR(N(INDEX(tech_rate,MATCH(M1809,tech_name,0))),0),2))</f>
        <v/>
      </c>
      <c r="P1809" s="80" t="n"/>
      <c r="Q1809" s="81" t="str">
        <f>IF(A1809="","",ROUND(Y1809+O1809+Z1809,2))</f>
        <v/>
      </c>
      <c r="R1809" s="79" t="str">
        <f>IF(A1809="","",IF(S1809=0,"Date manquante ou invalide",IF(C1809="","Équipement manquant",IF(ISNA(MATCH(C1809,eq_code,0)),"Équipement inconnu",IF(E1809="","Type manquant",IF(AND(E1809&lt;&gt;"Préventif",E1809&lt;&gt;"Correctif",E1809&lt;&gt;"Amélioratif"),"Type inconnu",IF(I1809="","Statut manquant",IF(AND(I1809&lt;&gt;"Terminée",I1809&lt;&gt;"En cours",I1809&lt;&gt;"À faire",I1809&lt;&gt;"Annulée"),"Statut inconnu",IF(AND(E1809="Préventif",F1809=""),"Plan manquant (préventif)",IF(AND(F1809&lt;&gt;"",ISNA(MATCH(F1809,pl_num,0))),"Plan inconnu",IF(AND(F1809&lt;&gt;"",IFERROR(INDEX(pl_eq,MATCH(F1809,pl_num,0))&amp;"",C1809)&lt;&gt;C1809),"Plan d'un autre équipement",IF(AND(J1809&lt;&gt;"",OR(NOT(ISNUMBER(J1809)),N(J1809)&lt;0)),"Compteur invalide",IF(OR(AND(K1809&lt;&gt;"",OR(NOT(ISNUMBER(K1809)),N(K1809)&lt;0)),AND(L1809&lt;&gt;"",OR(NOT(ISNUMBER(L1809)),N(L1809)&lt;0))),"Durée invalide",IF(OR(AND(N1809&lt;&gt;"",OR(NOT(ISNUMBER(N1809)),N(N1809)&lt;0)),AND(P1809&lt;&gt;"",OR(NOT(ISNUMBER(P1809)),N(P1809)&lt;0))),"Coût invalide",IF(AND(M1809&lt;&gt;"",ISNA(MATCH(M1809,tech_name,0))),"Technicien inconnu",IF(AND(I1809="Terminée",S1809&gt;p_today),"Terminée à une date future",IF(AND(I1809="Terminée",V1809=0),"Durée d'intervention manquante",IF(AND(I1809="Terminée",E1809="Préventif",T1809=0,OR(IFERROR(INDEX(pl_trig,MATCH(F1809,pl_num,0))&amp;"","")="Compteur",IFERROR(INDEX(pl_trig,MATCH(F1809,pl_num,0))&amp;"","")="Au premier des deux")),"Compteur manquant (plan au compteur)","OK"))))))))))))))))))</f>
        <v/>
      </c>
      <c r="S1809" s="67">
        <f>IF(AND(ISNUMBER(B1809),N(B1809)&gt;0),INT(B1809),0)</f>
        <v>0.0</v>
      </c>
      <c r="T1809" s="67">
        <f>IF(AND(ISNUMBER(J1809),N(J1809)&gt;=0),N(J1809),0)</f>
        <v>0.0</v>
      </c>
      <c r="U1809" s="67">
        <f>IF(AND(ISNUMBER(K1809),N(K1809)&gt;0),N(K1809),0)</f>
        <v>0.0</v>
      </c>
      <c r="V1809" s="67">
        <f>IF(AND(ISNUMBER(L1809),N(L1809)&gt;0),N(L1809),0)</f>
        <v>0.0</v>
      </c>
      <c r="W1809" s="67">
        <f>IF(AND(I1809="Terminée",S1809&gt;0,C1809&lt;&gt;"",ISNUMBER(MATCH(C1809,eq_code,0))),1,0)</f>
        <v>0.0</v>
      </c>
      <c r="X1809" s="67">
        <f>IF(AND(W1809=1,E1809="Préventif"),1,0)</f>
        <v>0.0</v>
      </c>
      <c r="Y1809" s="67">
        <f>IF(AND(ISNUMBER(N1809),N(N1809)&gt;0),N(N1809),0)</f>
        <v>0.0</v>
      </c>
      <c r="Z1809" s="67">
        <f>IF(AND(ISNUMBER(P1809),N(P1809)&gt;0),N(P1809),0)</f>
        <v>0.0</v>
      </c>
    </row>
    <row r="1810">
      <c r="A1810" s="79" t="str">
        <f>IF(COUNTA(B1810:C1810,E1810:G1810,I1810)=0,"","BI-"&amp;RIGHT("0000"&amp;(ROW()-5),4))</f>
        <v/>
      </c>
      <c r="B1810" s="72" t="n"/>
      <c r="C1810" s="66" t="n"/>
      <c r="D1810" s="67" t="str">
        <f>IF(C1810="","",IFERROR(INDEX(eq_des,MATCH(C1810,eq_code,0))&amp;"","Équipement inconnu"))</f>
        <v/>
      </c>
      <c r="E1810" s="68" t="n"/>
      <c r="F1810" s="68" t="n"/>
      <c r="G1810" s="66" t="n"/>
      <c r="H1810" s="66" t="n"/>
      <c r="I1810" s="68" t="n"/>
      <c r="J1810" s="73" t="n"/>
      <c r="K1810" s="71" t="n"/>
      <c r="L1810" s="71" t="n"/>
      <c r="M1810" s="66" t="n"/>
      <c r="N1810" s="80" t="n"/>
      <c r="O1810" s="81" t="str">
        <f>IF(A1810="","",ROUND(V1810*IFERROR(N(INDEX(tech_rate,MATCH(M1810,tech_name,0))),0),2))</f>
        <v/>
      </c>
      <c r="P1810" s="80" t="n"/>
      <c r="Q1810" s="81" t="str">
        <f>IF(A1810="","",ROUND(Y1810+O1810+Z1810,2))</f>
        <v/>
      </c>
      <c r="R1810" s="79" t="str">
        <f>IF(A1810="","",IF(S1810=0,"Date manquante ou invalide",IF(C1810="","Équipement manquant",IF(ISNA(MATCH(C1810,eq_code,0)),"Équipement inconnu",IF(E1810="","Type manquant",IF(AND(E1810&lt;&gt;"Préventif",E1810&lt;&gt;"Correctif",E1810&lt;&gt;"Amélioratif"),"Type inconnu",IF(I1810="","Statut manquant",IF(AND(I1810&lt;&gt;"Terminée",I1810&lt;&gt;"En cours",I1810&lt;&gt;"À faire",I1810&lt;&gt;"Annulée"),"Statut inconnu",IF(AND(E1810="Préventif",F1810=""),"Plan manquant (préventif)",IF(AND(F1810&lt;&gt;"",ISNA(MATCH(F1810,pl_num,0))),"Plan inconnu",IF(AND(F1810&lt;&gt;"",IFERROR(INDEX(pl_eq,MATCH(F1810,pl_num,0))&amp;"",C1810)&lt;&gt;C1810),"Plan d'un autre équipement",IF(AND(J1810&lt;&gt;"",OR(NOT(ISNUMBER(J1810)),N(J1810)&lt;0)),"Compteur invalide",IF(OR(AND(K1810&lt;&gt;"",OR(NOT(ISNUMBER(K1810)),N(K1810)&lt;0)),AND(L1810&lt;&gt;"",OR(NOT(ISNUMBER(L1810)),N(L1810)&lt;0))),"Durée invalide",IF(OR(AND(N1810&lt;&gt;"",OR(NOT(ISNUMBER(N1810)),N(N1810)&lt;0)),AND(P1810&lt;&gt;"",OR(NOT(ISNUMBER(P1810)),N(P1810)&lt;0))),"Coût invalide",IF(AND(M1810&lt;&gt;"",ISNA(MATCH(M1810,tech_name,0))),"Technicien inconnu",IF(AND(I1810="Terminée",S1810&gt;p_today),"Terminée à une date future",IF(AND(I1810="Terminée",V1810=0),"Durée d'intervention manquante",IF(AND(I1810="Terminée",E1810="Préventif",T1810=0,OR(IFERROR(INDEX(pl_trig,MATCH(F1810,pl_num,0))&amp;"","")="Compteur",IFERROR(INDEX(pl_trig,MATCH(F1810,pl_num,0))&amp;"","")="Au premier des deux")),"Compteur manquant (plan au compteur)","OK"))))))))))))))))))</f>
        <v/>
      </c>
      <c r="S1810" s="67">
        <f>IF(AND(ISNUMBER(B1810),N(B1810)&gt;0),INT(B1810),0)</f>
        <v>0.0</v>
      </c>
      <c r="T1810" s="67">
        <f>IF(AND(ISNUMBER(J1810),N(J1810)&gt;=0),N(J1810),0)</f>
        <v>0.0</v>
      </c>
      <c r="U1810" s="67">
        <f>IF(AND(ISNUMBER(K1810),N(K1810)&gt;0),N(K1810),0)</f>
        <v>0.0</v>
      </c>
      <c r="V1810" s="67">
        <f>IF(AND(ISNUMBER(L1810),N(L1810)&gt;0),N(L1810),0)</f>
        <v>0.0</v>
      </c>
      <c r="W1810" s="67">
        <f>IF(AND(I1810="Terminée",S1810&gt;0,C1810&lt;&gt;"",ISNUMBER(MATCH(C1810,eq_code,0))),1,0)</f>
        <v>0.0</v>
      </c>
      <c r="X1810" s="67">
        <f>IF(AND(W1810=1,E1810="Préventif"),1,0)</f>
        <v>0.0</v>
      </c>
      <c r="Y1810" s="67">
        <f>IF(AND(ISNUMBER(N1810),N(N1810)&gt;0),N(N1810),0)</f>
        <v>0.0</v>
      </c>
      <c r="Z1810" s="67">
        <f>IF(AND(ISNUMBER(P1810),N(P1810)&gt;0),N(P1810),0)</f>
        <v>0.0</v>
      </c>
    </row>
    <row r="1811">
      <c r="A1811" s="79" t="str">
        <f>IF(COUNTA(B1811:C1811,E1811:G1811,I1811)=0,"","BI-"&amp;RIGHT("0000"&amp;(ROW()-5),4))</f>
        <v/>
      </c>
      <c r="B1811" s="72" t="n"/>
      <c r="C1811" s="66" t="n"/>
      <c r="D1811" s="67" t="str">
        <f>IF(C1811="","",IFERROR(INDEX(eq_des,MATCH(C1811,eq_code,0))&amp;"","Équipement inconnu"))</f>
        <v/>
      </c>
      <c r="E1811" s="68" t="n"/>
      <c r="F1811" s="68" t="n"/>
      <c r="G1811" s="66" t="n"/>
      <c r="H1811" s="66" t="n"/>
      <c r="I1811" s="68" t="n"/>
      <c r="J1811" s="73" t="n"/>
      <c r="K1811" s="71" t="n"/>
      <c r="L1811" s="71" t="n"/>
      <c r="M1811" s="66" t="n"/>
      <c r="N1811" s="80" t="n"/>
      <c r="O1811" s="81" t="str">
        <f>IF(A1811="","",ROUND(V1811*IFERROR(N(INDEX(tech_rate,MATCH(M1811,tech_name,0))),0),2))</f>
        <v/>
      </c>
      <c r="P1811" s="80" t="n"/>
      <c r="Q1811" s="81" t="str">
        <f>IF(A1811="","",ROUND(Y1811+O1811+Z1811,2))</f>
        <v/>
      </c>
      <c r="R1811" s="79" t="str">
        <f>IF(A1811="","",IF(S1811=0,"Date manquante ou invalide",IF(C1811="","Équipement manquant",IF(ISNA(MATCH(C1811,eq_code,0)),"Équipement inconnu",IF(E1811="","Type manquant",IF(AND(E1811&lt;&gt;"Préventif",E1811&lt;&gt;"Correctif",E1811&lt;&gt;"Amélioratif"),"Type inconnu",IF(I1811="","Statut manquant",IF(AND(I1811&lt;&gt;"Terminée",I1811&lt;&gt;"En cours",I1811&lt;&gt;"À faire",I1811&lt;&gt;"Annulée"),"Statut inconnu",IF(AND(E1811="Préventif",F1811=""),"Plan manquant (préventif)",IF(AND(F1811&lt;&gt;"",ISNA(MATCH(F1811,pl_num,0))),"Plan inconnu",IF(AND(F1811&lt;&gt;"",IFERROR(INDEX(pl_eq,MATCH(F1811,pl_num,0))&amp;"",C1811)&lt;&gt;C1811),"Plan d'un autre équipement",IF(AND(J1811&lt;&gt;"",OR(NOT(ISNUMBER(J1811)),N(J1811)&lt;0)),"Compteur invalide",IF(OR(AND(K1811&lt;&gt;"",OR(NOT(ISNUMBER(K1811)),N(K1811)&lt;0)),AND(L1811&lt;&gt;"",OR(NOT(ISNUMBER(L1811)),N(L1811)&lt;0))),"Durée invalide",IF(OR(AND(N1811&lt;&gt;"",OR(NOT(ISNUMBER(N1811)),N(N1811)&lt;0)),AND(P1811&lt;&gt;"",OR(NOT(ISNUMBER(P1811)),N(P1811)&lt;0))),"Coût invalide",IF(AND(M1811&lt;&gt;"",ISNA(MATCH(M1811,tech_name,0))),"Technicien inconnu",IF(AND(I1811="Terminée",S1811&gt;p_today),"Terminée à une date future",IF(AND(I1811="Terminée",V1811=0),"Durée d'intervention manquante",IF(AND(I1811="Terminée",E1811="Préventif",T1811=0,OR(IFERROR(INDEX(pl_trig,MATCH(F1811,pl_num,0))&amp;"","")="Compteur",IFERROR(INDEX(pl_trig,MATCH(F1811,pl_num,0))&amp;"","")="Au premier des deux")),"Compteur manquant (plan au compteur)","OK"))))))))))))))))))</f>
        <v/>
      </c>
      <c r="S1811" s="67">
        <f>IF(AND(ISNUMBER(B1811),N(B1811)&gt;0),INT(B1811),0)</f>
        <v>0.0</v>
      </c>
      <c r="T1811" s="67">
        <f>IF(AND(ISNUMBER(J1811),N(J1811)&gt;=0),N(J1811),0)</f>
        <v>0.0</v>
      </c>
      <c r="U1811" s="67">
        <f>IF(AND(ISNUMBER(K1811),N(K1811)&gt;0),N(K1811),0)</f>
        <v>0.0</v>
      </c>
      <c r="V1811" s="67">
        <f>IF(AND(ISNUMBER(L1811),N(L1811)&gt;0),N(L1811),0)</f>
        <v>0.0</v>
      </c>
      <c r="W1811" s="67">
        <f>IF(AND(I1811="Terminée",S1811&gt;0,C1811&lt;&gt;"",ISNUMBER(MATCH(C1811,eq_code,0))),1,0)</f>
        <v>0.0</v>
      </c>
      <c r="X1811" s="67">
        <f>IF(AND(W1811=1,E1811="Préventif"),1,0)</f>
        <v>0.0</v>
      </c>
      <c r="Y1811" s="67">
        <f>IF(AND(ISNUMBER(N1811),N(N1811)&gt;0),N(N1811),0)</f>
        <v>0.0</v>
      </c>
      <c r="Z1811" s="67">
        <f>IF(AND(ISNUMBER(P1811),N(P1811)&gt;0),N(P1811),0)</f>
        <v>0.0</v>
      </c>
    </row>
    <row r="1812">
      <c r="A1812" s="79" t="str">
        <f>IF(COUNTA(B1812:C1812,E1812:G1812,I1812)=0,"","BI-"&amp;RIGHT("0000"&amp;(ROW()-5),4))</f>
        <v/>
      </c>
      <c r="B1812" s="72" t="n"/>
      <c r="C1812" s="66" t="n"/>
      <c r="D1812" s="67" t="str">
        <f>IF(C1812="","",IFERROR(INDEX(eq_des,MATCH(C1812,eq_code,0))&amp;"","Équipement inconnu"))</f>
        <v/>
      </c>
      <c r="E1812" s="68" t="n"/>
      <c r="F1812" s="68" t="n"/>
      <c r="G1812" s="66" t="n"/>
      <c r="H1812" s="66" t="n"/>
      <c r="I1812" s="68" t="n"/>
      <c r="J1812" s="73" t="n"/>
      <c r="K1812" s="71" t="n"/>
      <c r="L1812" s="71" t="n"/>
      <c r="M1812" s="66" t="n"/>
      <c r="N1812" s="80" t="n"/>
      <c r="O1812" s="81" t="str">
        <f>IF(A1812="","",ROUND(V1812*IFERROR(N(INDEX(tech_rate,MATCH(M1812,tech_name,0))),0),2))</f>
        <v/>
      </c>
      <c r="P1812" s="80" t="n"/>
      <c r="Q1812" s="81" t="str">
        <f>IF(A1812="","",ROUND(Y1812+O1812+Z1812,2))</f>
        <v/>
      </c>
      <c r="R1812" s="79" t="str">
        <f>IF(A1812="","",IF(S1812=0,"Date manquante ou invalide",IF(C1812="","Équipement manquant",IF(ISNA(MATCH(C1812,eq_code,0)),"Équipement inconnu",IF(E1812="","Type manquant",IF(AND(E1812&lt;&gt;"Préventif",E1812&lt;&gt;"Correctif",E1812&lt;&gt;"Amélioratif"),"Type inconnu",IF(I1812="","Statut manquant",IF(AND(I1812&lt;&gt;"Terminée",I1812&lt;&gt;"En cours",I1812&lt;&gt;"À faire",I1812&lt;&gt;"Annulée"),"Statut inconnu",IF(AND(E1812="Préventif",F1812=""),"Plan manquant (préventif)",IF(AND(F1812&lt;&gt;"",ISNA(MATCH(F1812,pl_num,0))),"Plan inconnu",IF(AND(F1812&lt;&gt;"",IFERROR(INDEX(pl_eq,MATCH(F1812,pl_num,0))&amp;"",C1812)&lt;&gt;C1812),"Plan d'un autre équipement",IF(AND(J1812&lt;&gt;"",OR(NOT(ISNUMBER(J1812)),N(J1812)&lt;0)),"Compteur invalide",IF(OR(AND(K1812&lt;&gt;"",OR(NOT(ISNUMBER(K1812)),N(K1812)&lt;0)),AND(L1812&lt;&gt;"",OR(NOT(ISNUMBER(L1812)),N(L1812)&lt;0))),"Durée invalide",IF(OR(AND(N1812&lt;&gt;"",OR(NOT(ISNUMBER(N1812)),N(N1812)&lt;0)),AND(P1812&lt;&gt;"",OR(NOT(ISNUMBER(P1812)),N(P1812)&lt;0))),"Coût invalide",IF(AND(M1812&lt;&gt;"",ISNA(MATCH(M1812,tech_name,0))),"Technicien inconnu",IF(AND(I1812="Terminée",S1812&gt;p_today),"Terminée à une date future",IF(AND(I1812="Terminée",V1812=0),"Durée d'intervention manquante",IF(AND(I1812="Terminée",E1812="Préventif",T1812=0,OR(IFERROR(INDEX(pl_trig,MATCH(F1812,pl_num,0))&amp;"","")="Compteur",IFERROR(INDEX(pl_trig,MATCH(F1812,pl_num,0))&amp;"","")="Au premier des deux")),"Compteur manquant (plan au compteur)","OK"))))))))))))))))))</f>
        <v/>
      </c>
      <c r="S1812" s="67">
        <f>IF(AND(ISNUMBER(B1812),N(B1812)&gt;0),INT(B1812),0)</f>
        <v>0.0</v>
      </c>
      <c r="T1812" s="67">
        <f>IF(AND(ISNUMBER(J1812),N(J1812)&gt;=0),N(J1812),0)</f>
        <v>0.0</v>
      </c>
      <c r="U1812" s="67">
        <f>IF(AND(ISNUMBER(K1812),N(K1812)&gt;0),N(K1812),0)</f>
        <v>0.0</v>
      </c>
      <c r="V1812" s="67">
        <f>IF(AND(ISNUMBER(L1812),N(L1812)&gt;0),N(L1812),0)</f>
        <v>0.0</v>
      </c>
      <c r="W1812" s="67">
        <f>IF(AND(I1812="Terminée",S1812&gt;0,C1812&lt;&gt;"",ISNUMBER(MATCH(C1812,eq_code,0))),1,0)</f>
        <v>0.0</v>
      </c>
      <c r="X1812" s="67">
        <f>IF(AND(W1812=1,E1812="Préventif"),1,0)</f>
        <v>0.0</v>
      </c>
      <c r="Y1812" s="67">
        <f>IF(AND(ISNUMBER(N1812),N(N1812)&gt;0),N(N1812),0)</f>
        <v>0.0</v>
      </c>
      <c r="Z1812" s="67">
        <f>IF(AND(ISNUMBER(P1812),N(P1812)&gt;0),N(P1812),0)</f>
        <v>0.0</v>
      </c>
    </row>
    <row r="1813">
      <c r="A1813" s="79" t="str">
        <f>IF(COUNTA(B1813:C1813,E1813:G1813,I1813)=0,"","BI-"&amp;RIGHT("0000"&amp;(ROW()-5),4))</f>
        <v/>
      </c>
      <c r="B1813" s="72" t="n"/>
      <c r="C1813" s="66" t="n"/>
      <c r="D1813" s="67" t="str">
        <f>IF(C1813="","",IFERROR(INDEX(eq_des,MATCH(C1813,eq_code,0))&amp;"","Équipement inconnu"))</f>
        <v/>
      </c>
      <c r="E1813" s="68" t="n"/>
      <c r="F1813" s="68" t="n"/>
      <c r="G1813" s="66" t="n"/>
      <c r="H1813" s="66" t="n"/>
      <c r="I1813" s="68" t="n"/>
      <c r="J1813" s="73" t="n"/>
      <c r="K1813" s="71" t="n"/>
      <c r="L1813" s="71" t="n"/>
      <c r="M1813" s="66" t="n"/>
      <c r="N1813" s="80" t="n"/>
      <c r="O1813" s="81" t="str">
        <f>IF(A1813="","",ROUND(V1813*IFERROR(N(INDEX(tech_rate,MATCH(M1813,tech_name,0))),0),2))</f>
        <v/>
      </c>
      <c r="P1813" s="80" t="n"/>
      <c r="Q1813" s="81" t="str">
        <f>IF(A1813="","",ROUND(Y1813+O1813+Z1813,2))</f>
        <v/>
      </c>
      <c r="R1813" s="79" t="str">
        <f>IF(A1813="","",IF(S1813=0,"Date manquante ou invalide",IF(C1813="","Équipement manquant",IF(ISNA(MATCH(C1813,eq_code,0)),"Équipement inconnu",IF(E1813="","Type manquant",IF(AND(E1813&lt;&gt;"Préventif",E1813&lt;&gt;"Correctif",E1813&lt;&gt;"Amélioratif"),"Type inconnu",IF(I1813="","Statut manquant",IF(AND(I1813&lt;&gt;"Terminée",I1813&lt;&gt;"En cours",I1813&lt;&gt;"À faire",I1813&lt;&gt;"Annulée"),"Statut inconnu",IF(AND(E1813="Préventif",F1813=""),"Plan manquant (préventif)",IF(AND(F1813&lt;&gt;"",ISNA(MATCH(F1813,pl_num,0))),"Plan inconnu",IF(AND(F1813&lt;&gt;"",IFERROR(INDEX(pl_eq,MATCH(F1813,pl_num,0))&amp;"",C1813)&lt;&gt;C1813),"Plan d'un autre équipement",IF(AND(J1813&lt;&gt;"",OR(NOT(ISNUMBER(J1813)),N(J1813)&lt;0)),"Compteur invalide",IF(OR(AND(K1813&lt;&gt;"",OR(NOT(ISNUMBER(K1813)),N(K1813)&lt;0)),AND(L1813&lt;&gt;"",OR(NOT(ISNUMBER(L1813)),N(L1813)&lt;0))),"Durée invalide",IF(OR(AND(N1813&lt;&gt;"",OR(NOT(ISNUMBER(N1813)),N(N1813)&lt;0)),AND(P1813&lt;&gt;"",OR(NOT(ISNUMBER(P1813)),N(P1813)&lt;0))),"Coût invalide",IF(AND(M1813&lt;&gt;"",ISNA(MATCH(M1813,tech_name,0))),"Technicien inconnu",IF(AND(I1813="Terminée",S1813&gt;p_today),"Terminée à une date future",IF(AND(I1813="Terminée",V1813=0),"Durée d'intervention manquante",IF(AND(I1813="Terminée",E1813="Préventif",T1813=0,OR(IFERROR(INDEX(pl_trig,MATCH(F1813,pl_num,0))&amp;"","")="Compteur",IFERROR(INDEX(pl_trig,MATCH(F1813,pl_num,0))&amp;"","")="Au premier des deux")),"Compteur manquant (plan au compteur)","OK"))))))))))))))))))</f>
        <v/>
      </c>
      <c r="S1813" s="67">
        <f>IF(AND(ISNUMBER(B1813),N(B1813)&gt;0),INT(B1813),0)</f>
        <v>0.0</v>
      </c>
      <c r="T1813" s="67">
        <f>IF(AND(ISNUMBER(J1813),N(J1813)&gt;=0),N(J1813),0)</f>
        <v>0.0</v>
      </c>
      <c r="U1813" s="67">
        <f>IF(AND(ISNUMBER(K1813),N(K1813)&gt;0),N(K1813),0)</f>
        <v>0.0</v>
      </c>
      <c r="V1813" s="67">
        <f>IF(AND(ISNUMBER(L1813),N(L1813)&gt;0),N(L1813),0)</f>
        <v>0.0</v>
      </c>
      <c r="W1813" s="67">
        <f>IF(AND(I1813="Terminée",S1813&gt;0,C1813&lt;&gt;"",ISNUMBER(MATCH(C1813,eq_code,0))),1,0)</f>
        <v>0.0</v>
      </c>
      <c r="X1813" s="67">
        <f>IF(AND(W1813=1,E1813="Préventif"),1,0)</f>
        <v>0.0</v>
      </c>
      <c r="Y1813" s="67">
        <f>IF(AND(ISNUMBER(N1813),N(N1813)&gt;0),N(N1813),0)</f>
        <v>0.0</v>
      </c>
      <c r="Z1813" s="67">
        <f>IF(AND(ISNUMBER(P1813),N(P1813)&gt;0),N(P1813),0)</f>
        <v>0.0</v>
      </c>
    </row>
    <row r="1814">
      <c r="A1814" s="79" t="str">
        <f>IF(COUNTA(B1814:C1814,E1814:G1814,I1814)=0,"","BI-"&amp;RIGHT("0000"&amp;(ROW()-5),4))</f>
        <v/>
      </c>
      <c r="B1814" s="72" t="n"/>
      <c r="C1814" s="66" t="n"/>
      <c r="D1814" s="67" t="str">
        <f>IF(C1814="","",IFERROR(INDEX(eq_des,MATCH(C1814,eq_code,0))&amp;"","Équipement inconnu"))</f>
        <v/>
      </c>
      <c r="E1814" s="68" t="n"/>
      <c r="F1814" s="68" t="n"/>
      <c r="G1814" s="66" t="n"/>
      <c r="H1814" s="66" t="n"/>
      <c r="I1814" s="68" t="n"/>
      <c r="J1814" s="73" t="n"/>
      <c r="K1814" s="71" t="n"/>
      <c r="L1814" s="71" t="n"/>
      <c r="M1814" s="66" t="n"/>
      <c r="N1814" s="80" t="n"/>
      <c r="O1814" s="81" t="str">
        <f>IF(A1814="","",ROUND(V1814*IFERROR(N(INDEX(tech_rate,MATCH(M1814,tech_name,0))),0),2))</f>
        <v/>
      </c>
      <c r="P1814" s="80" t="n"/>
      <c r="Q1814" s="81" t="str">
        <f>IF(A1814="","",ROUND(Y1814+O1814+Z1814,2))</f>
        <v/>
      </c>
      <c r="R1814" s="79" t="str">
        <f>IF(A1814="","",IF(S1814=0,"Date manquante ou invalide",IF(C1814="","Équipement manquant",IF(ISNA(MATCH(C1814,eq_code,0)),"Équipement inconnu",IF(E1814="","Type manquant",IF(AND(E1814&lt;&gt;"Préventif",E1814&lt;&gt;"Correctif",E1814&lt;&gt;"Amélioratif"),"Type inconnu",IF(I1814="","Statut manquant",IF(AND(I1814&lt;&gt;"Terminée",I1814&lt;&gt;"En cours",I1814&lt;&gt;"À faire",I1814&lt;&gt;"Annulée"),"Statut inconnu",IF(AND(E1814="Préventif",F1814=""),"Plan manquant (préventif)",IF(AND(F1814&lt;&gt;"",ISNA(MATCH(F1814,pl_num,0))),"Plan inconnu",IF(AND(F1814&lt;&gt;"",IFERROR(INDEX(pl_eq,MATCH(F1814,pl_num,0))&amp;"",C1814)&lt;&gt;C1814),"Plan d'un autre équipement",IF(AND(J1814&lt;&gt;"",OR(NOT(ISNUMBER(J1814)),N(J1814)&lt;0)),"Compteur invalide",IF(OR(AND(K1814&lt;&gt;"",OR(NOT(ISNUMBER(K1814)),N(K1814)&lt;0)),AND(L1814&lt;&gt;"",OR(NOT(ISNUMBER(L1814)),N(L1814)&lt;0))),"Durée invalide",IF(OR(AND(N1814&lt;&gt;"",OR(NOT(ISNUMBER(N1814)),N(N1814)&lt;0)),AND(P1814&lt;&gt;"",OR(NOT(ISNUMBER(P1814)),N(P1814)&lt;0))),"Coût invalide",IF(AND(M1814&lt;&gt;"",ISNA(MATCH(M1814,tech_name,0))),"Technicien inconnu",IF(AND(I1814="Terminée",S1814&gt;p_today),"Terminée à une date future",IF(AND(I1814="Terminée",V1814=0),"Durée d'intervention manquante",IF(AND(I1814="Terminée",E1814="Préventif",T1814=0,OR(IFERROR(INDEX(pl_trig,MATCH(F1814,pl_num,0))&amp;"","")="Compteur",IFERROR(INDEX(pl_trig,MATCH(F1814,pl_num,0))&amp;"","")="Au premier des deux")),"Compteur manquant (plan au compteur)","OK"))))))))))))))))))</f>
        <v/>
      </c>
      <c r="S1814" s="67">
        <f>IF(AND(ISNUMBER(B1814),N(B1814)&gt;0),INT(B1814),0)</f>
        <v>0.0</v>
      </c>
      <c r="T1814" s="67">
        <f>IF(AND(ISNUMBER(J1814),N(J1814)&gt;=0),N(J1814),0)</f>
        <v>0.0</v>
      </c>
      <c r="U1814" s="67">
        <f>IF(AND(ISNUMBER(K1814),N(K1814)&gt;0),N(K1814),0)</f>
        <v>0.0</v>
      </c>
      <c r="V1814" s="67">
        <f>IF(AND(ISNUMBER(L1814),N(L1814)&gt;0),N(L1814),0)</f>
        <v>0.0</v>
      </c>
      <c r="W1814" s="67">
        <f>IF(AND(I1814="Terminée",S1814&gt;0,C1814&lt;&gt;"",ISNUMBER(MATCH(C1814,eq_code,0))),1,0)</f>
        <v>0.0</v>
      </c>
      <c r="X1814" s="67">
        <f>IF(AND(W1814=1,E1814="Préventif"),1,0)</f>
        <v>0.0</v>
      </c>
      <c r="Y1814" s="67">
        <f>IF(AND(ISNUMBER(N1814),N(N1814)&gt;0),N(N1814),0)</f>
        <v>0.0</v>
      </c>
      <c r="Z1814" s="67">
        <f>IF(AND(ISNUMBER(P1814),N(P1814)&gt;0),N(P1814),0)</f>
        <v>0.0</v>
      </c>
    </row>
    <row r="1815">
      <c r="A1815" s="79" t="str">
        <f>IF(COUNTA(B1815:C1815,E1815:G1815,I1815)=0,"","BI-"&amp;RIGHT("0000"&amp;(ROW()-5),4))</f>
        <v/>
      </c>
      <c r="B1815" s="72" t="n"/>
      <c r="C1815" s="66" t="n"/>
      <c r="D1815" s="67" t="str">
        <f>IF(C1815="","",IFERROR(INDEX(eq_des,MATCH(C1815,eq_code,0))&amp;"","Équipement inconnu"))</f>
        <v/>
      </c>
      <c r="E1815" s="68" t="n"/>
      <c r="F1815" s="68" t="n"/>
      <c r="G1815" s="66" t="n"/>
      <c r="H1815" s="66" t="n"/>
      <c r="I1815" s="68" t="n"/>
      <c r="J1815" s="73" t="n"/>
      <c r="K1815" s="71" t="n"/>
      <c r="L1815" s="71" t="n"/>
      <c r="M1815" s="66" t="n"/>
      <c r="N1815" s="80" t="n"/>
      <c r="O1815" s="81" t="str">
        <f>IF(A1815="","",ROUND(V1815*IFERROR(N(INDEX(tech_rate,MATCH(M1815,tech_name,0))),0),2))</f>
        <v/>
      </c>
      <c r="P1815" s="80" t="n"/>
      <c r="Q1815" s="81" t="str">
        <f>IF(A1815="","",ROUND(Y1815+O1815+Z1815,2))</f>
        <v/>
      </c>
      <c r="R1815" s="79" t="str">
        <f>IF(A1815="","",IF(S1815=0,"Date manquante ou invalide",IF(C1815="","Équipement manquant",IF(ISNA(MATCH(C1815,eq_code,0)),"Équipement inconnu",IF(E1815="","Type manquant",IF(AND(E1815&lt;&gt;"Préventif",E1815&lt;&gt;"Correctif",E1815&lt;&gt;"Amélioratif"),"Type inconnu",IF(I1815="","Statut manquant",IF(AND(I1815&lt;&gt;"Terminée",I1815&lt;&gt;"En cours",I1815&lt;&gt;"À faire",I1815&lt;&gt;"Annulée"),"Statut inconnu",IF(AND(E1815="Préventif",F1815=""),"Plan manquant (préventif)",IF(AND(F1815&lt;&gt;"",ISNA(MATCH(F1815,pl_num,0))),"Plan inconnu",IF(AND(F1815&lt;&gt;"",IFERROR(INDEX(pl_eq,MATCH(F1815,pl_num,0))&amp;"",C1815)&lt;&gt;C1815),"Plan d'un autre équipement",IF(AND(J1815&lt;&gt;"",OR(NOT(ISNUMBER(J1815)),N(J1815)&lt;0)),"Compteur invalide",IF(OR(AND(K1815&lt;&gt;"",OR(NOT(ISNUMBER(K1815)),N(K1815)&lt;0)),AND(L1815&lt;&gt;"",OR(NOT(ISNUMBER(L1815)),N(L1815)&lt;0))),"Durée invalide",IF(OR(AND(N1815&lt;&gt;"",OR(NOT(ISNUMBER(N1815)),N(N1815)&lt;0)),AND(P1815&lt;&gt;"",OR(NOT(ISNUMBER(P1815)),N(P1815)&lt;0))),"Coût invalide",IF(AND(M1815&lt;&gt;"",ISNA(MATCH(M1815,tech_name,0))),"Technicien inconnu",IF(AND(I1815="Terminée",S1815&gt;p_today),"Terminée à une date future",IF(AND(I1815="Terminée",V1815=0),"Durée d'intervention manquante",IF(AND(I1815="Terminée",E1815="Préventif",T1815=0,OR(IFERROR(INDEX(pl_trig,MATCH(F1815,pl_num,0))&amp;"","")="Compteur",IFERROR(INDEX(pl_trig,MATCH(F1815,pl_num,0))&amp;"","")="Au premier des deux")),"Compteur manquant (plan au compteur)","OK"))))))))))))))))))</f>
        <v/>
      </c>
      <c r="S1815" s="67">
        <f>IF(AND(ISNUMBER(B1815),N(B1815)&gt;0),INT(B1815),0)</f>
        <v>0.0</v>
      </c>
      <c r="T1815" s="67">
        <f>IF(AND(ISNUMBER(J1815),N(J1815)&gt;=0),N(J1815),0)</f>
        <v>0.0</v>
      </c>
      <c r="U1815" s="67">
        <f>IF(AND(ISNUMBER(K1815),N(K1815)&gt;0),N(K1815),0)</f>
        <v>0.0</v>
      </c>
      <c r="V1815" s="67">
        <f>IF(AND(ISNUMBER(L1815),N(L1815)&gt;0),N(L1815),0)</f>
        <v>0.0</v>
      </c>
      <c r="W1815" s="67">
        <f>IF(AND(I1815="Terminée",S1815&gt;0,C1815&lt;&gt;"",ISNUMBER(MATCH(C1815,eq_code,0))),1,0)</f>
        <v>0.0</v>
      </c>
      <c r="X1815" s="67">
        <f>IF(AND(W1815=1,E1815="Préventif"),1,0)</f>
        <v>0.0</v>
      </c>
      <c r="Y1815" s="67">
        <f>IF(AND(ISNUMBER(N1815),N(N1815)&gt;0),N(N1815),0)</f>
        <v>0.0</v>
      </c>
      <c r="Z1815" s="67">
        <f>IF(AND(ISNUMBER(P1815),N(P1815)&gt;0),N(P1815),0)</f>
        <v>0.0</v>
      </c>
    </row>
    <row r="1816">
      <c r="A1816" s="79" t="str">
        <f>IF(COUNTA(B1816:C1816,E1816:G1816,I1816)=0,"","BI-"&amp;RIGHT("0000"&amp;(ROW()-5),4))</f>
        <v/>
      </c>
      <c r="B1816" s="72" t="n"/>
      <c r="C1816" s="66" t="n"/>
      <c r="D1816" s="67" t="str">
        <f>IF(C1816="","",IFERROR(INDEX(eq_des,MATCH(C1816,eq_code,0))&amp;"","Équipement inconnu"))</f>
        <v/>
      </c>
      <c r="E1816" s="68" t="n"/>
      <c r="F1816" s="68" t="n"/>
      <c r="G1816" s="66" t="n"/>
      <c r="H1816" s="66" t="n"/>
      <c r="I1816" s="68" t="n"/>
      <c r="J1816" s="73" t="n"/>
      <c r="K1816" s="71" t="n"/>
      <c r="L1816" s="71" t="n"/>
      <c r="M1816" s="66" t="n"/>
      <c r="N1816" s="80" t="n"/>
      <c r="O1816" s="81" t="str">
        <f>IF(A1816="","",ROUND(V1816*IFERROR(N(INDEX(tech_rate,MATCH(M1816,tech_name,0))),0),2))</f>
        <v/>
      </c>
      <c r="P1816" s="80" t="n"/>
      <c r="Q1816" s="81" t="str">
        <f>IF(A1816="","",ROUND(Y1816+O1816+Z1816,2))</f>
        <v/>
      </c>
      <c r="R1816" s="79" t="str">
        <f>IF(A1816="","",IF(S1816=0,"Date manquante ou invalide",IF(C1816="","Équipement manquant",IF(ISNA(MATCH(C1816,eq_code,0)),"Équipement inconnu",IF(E1816="","Type manquant",IF(AND(E1816&lt;&gt;"Préventif",E1816&lt;&gt;"Correctif",E1816&lt;&gt;"Amélioratif"),"Type inconnu",IF(I1816="","Statut manquant",IF(AND(I1816&lt;&gt;"Terminée",I1816&lt;&gt;"En cours",I1816&lt;&gt;"À faire",I1816&lt;&gt;"Annulée"),"Statut inconnu",IF(AND(E1816="Préventif",F1816=""),"Plan manquant (préventif)",IF(AND(F1816&lt;&gt;"",ISNA(MATCH(F1816,pl_num,0))),"Plan inconnu",IF(AND(F1816&lt;&gt;"",IFERROR(INDEX(pl_eq,MATCH(F1816,pl_num,0))&amp;"",C1816)&lt;&gt;C1816),"Plan d'un autre équipement",IF(AND(J1816&lt;&gt;"",OR(NOT(ISNUMBER(J1816)),N(J1816)&lt;0)),"Compteur invalide",IF(OR(AND(K1816&lt;&gt;"",OR(NOT(ISNUMBER(K1816)),N(K1816)&lt;0)),AND(L1816&lt;&gt;"",OR(NOT(ISNUMBER(L1816)),N(L1816)&lt;0))),"Durée invalide",IF(OR(AND(N1816&lt;&gt;"",OR(NOT(ISNUMBER(N1816)),N(N1816)&lt;0)),AND(P1816&lt;&gt;"",OR(NOT(ISNUMBER(P1816)),N(P1816)&lt;0))),"Coût invalide",IF(AND(M1816&lt;&gt;"",ISNA(MATCH(M1816,tech_name,0))),"Technicien inconnu",IF(AND(I1816="Terminée",S1816&gt;p_today),"Terminée à une date future",IF(AND(I1816="Terminée",V1816=0),"Durée d'intervention manquante",IF(AND(I1816="Terminée",E1816="Préventif",T1816=0,OR(IFERROR(INDEX(pl_trig,MATCH(F1816,pl_num,0))&amp;"","")="Compteur",IFERROR(INDEX(pl_trig,MATCH(F1816,pl_num,0))&amp;"","")="Au premier des deux")),"Compteur manquant (plan au compteur)","OK"))))))))))))))))))</f>
        <v/>
      </c>
      <c r="S1816" s="67">
        <f>IF(AND(ISNUMBER(B1816),N(B1816)&gt;0),INT(B1816),0)</f>
        <v>0.0</v>
      </c>
      <c r="T1816" s="67">
        <f>IF(AND(ISNUMBER(J1816),N(J1816)&gt;=0),N(J1816),0)</f>
        <v>0.0</v>
      </c>
      <c r="U1816" s="67">
        <f>IF(AND(ISNUMBER(K1816),N(K1816)&gt;0),N(K1816),0)</f>
        <v>0.0</v>
      </c>
      <c r="V1816" s="67">
        <f>IF(AND(ISNUMBER(L1816),N(L1816)&gt;0),N(L1816),0)</f>
        <v>0.0</v>
      </c>
      <c r="W1816" s="67">
        <f>IF(AND(I1816="Terminée",S1816&gt;0,C1816&lt;&gt;"",ISNUMBER(MATCH(C1816,eq_code,0))),1,0)</f>
        <v>0.0</v>
      </c>
      <c r="X1816" s="67">
        <f>IF(AND(W1816=1,E1816="Préventif"),1,0)</f>
        <v>0.0</v>
      </c>
      <c r="Y1816" s="67">
        <f>IF(AND(ISNUMBER(N1816),N(N1816)&gt;0),N(N1816),0)</f>
        <v>0.0</v>
      </c>
      <c r="Z1816" s="67">
        <f>IF(AND(ISNUMBER(P1816),N(P1816)&gt;0),N(P1816),0)</f>
        <v>0.0</v>
      </c>
    </row>
    <row r="1817">
      <c r="A1817" s="79" t="str">
        <f>IF(COUNTA(B1817:C1817,E1817:G1817,I1817)=0,"","BI-"&amp;RIGHT("0000"&amp;(ROW()-5),4))</f>
        <v/>
      </c>
      <c r="B1817" s="72" t="n"/>
      <c r="C1817" s="66" t="n"/>
      <c r="D1817" s="67" t="str">
        <f>IF(C1817="","",IFERROR(INDEX(eq_des,MATCH(C1817,eq_code,0))&amp;"","Équipement inconnu"))</f>
        <v/>
      </c>
      <c r="E1817" s="68" t="n"/>
      <c r="F1817" s="68" t="n"/>
      <c r="G1817" s="66" t="n"/>
      <c r="H1817" s="66" t="n"/>
      <c r="I1817" s="68" t="n"/>
      <c r="J1817" s="73" t="n"/>
      <c r="K1817" s="71" t="n"/>
      <c r="L1817" s="71" t="n"/>
      <c r="M1817" s="66" t="n"/>
      <c r="N1817" s="80" t="n"/>
      <c r="O1817" s="81" t="str">
        <f>IF(A1817="","",ROUND(V1817*IFERROR(N(INDEX(tech_rate,MATCH(M1817,tech_name,0))),0),2))</f>
        <v/>
      </c>
      <c r="P1817" s="80" t="n"/>
      <c r="Q1817" s="81" t="str">
        <f>IF(A1817="","",ROUND(Y1817+O1817+Z1817,2))</f>
        <v/>
      </c>
      <c r="R1817" s="79" t="str">
        <f>IF(A1817="","",IF(S1817=0,"Date manquante ou invalide",IF(C1817="","Équipement manquant",IF(ISNA(MATCH(C1817,eq_code,0)),"Équipement inconnu",IF(E1817="","Type manquant",IF(AND(E1817&lt;&gt;"Préventif",E1817&lt;&gt;"Correctif",E1817&lt;&gt;"Amélioratif"),"Type inconnu",IF(I1817="","Statut manquant",IF(AND(I1817&lt;&gt;"Terminée",I1817&lt;&gt;"En cours",I1817&lt;&gt;"À faire",I1817&lt;&gt;"Annulée"),"Statut inconnu",IF(AND(E1817="Préventif",F1817=""),"Plan manquant (préventif)",IF(AND(F1817&lt;&gt;"",ISNA(MATCH(F1817,pl_num,0))),"Plan inconnu",IF(AND(F1817&lt;&gt;"",IFERROR(INDEX(pl_eq,MATCH(F1817,pl_num,0))&amp;"",C1817)&lt;&gt;C1817),"Plan d'un autre équipement",IF(AND(J1817&lt;&gt;"",OR(NOT(ISNUMBER(J1817)),N(J1817)&lt;0)),"Compteur invalide",IF(OR(AND(K1817&lt;&gt;"",OR(NOT(ISNUMBER(K1817)),N(K1817)&lt;0)),AND(L1817&lt;&gt;"",OR(NOT(ISNUMBER(L1817)),N(L1817)&lt;0))),"Durée invalide",IF(OR(AND(N1817&lt;&gt;"",OR(NOT(ISNUMBER(N1817)),N(N1817)&lt;0)),AND(P1817&lt;&gt;"",OR(NOT(ISNUMBER(P1817)),N(P1817)&lt;0))),"Coût invalide",IF(AND(M1817&lt;&gt;"",ISNA(MATCH(M1817,tech_name,0))),"Technicien inconnu",IF(AND(I1817="Terminée",S1817&gt;p_today),"Terminée à une date future",IF(AND(I1817="Terminée",V1817=0),"Durée d'intervention manquante",IF(AND(I1817="Terminée",E1817="Préventif",T1817=0,OR(IFERROR(INDEX(pl_trig,MATCH(F1817,pl_num,0))&amp;"","")="Compteur",IFERROR(INDEX(pl_trig,MATCH(F1817,pl_num,0))&amp;"","")="Au premier des deux")),"Compteur manquant (plan au compteur)","OK"))))))))))))))))))</f>
        <v/>
      </c>
      <c r="S1817" s="67">
        <f>IF(AND(ISNUMBER(B1817),N(B1817)&gt;0),INT(B1817),0)</f>
        <v>0.0</v>
      </c>
      <c r="T1817" s="67">
        <f>IF(AND(ISNUMBER(J1817),N(J1817)&gt;=0),N(J1817),0)</f>
        <v>0.0</v>
      </c>
      <c r="U1817" s="67">
        <f>IF(AND(ISNUMBER(K1817),N(K1817)&gt;0),N(K1817),0)</f>
        <v>0.0</v>
      </c>
      <c r="V1817" s="67">
        <f>IF(AND(ISNUMBER(L1817),N(L1817)&gt;0),N(L1817),0)</f>
        <v>0.0</v>
      </c>
      <c r="W1817" s="67">
        <f>IF(AND(I1817="Terminée",S1817&gt;0,C1817&lt;&gt;"",ISNUMBER(MATCH(C1817,eq_code,0))),1,0)</f>
        <v>0.0</v>
      </c>
      <c r="X1817" s="67">
        <f>IF(AND(W1817=1,E1817="Préventif"),1,0)</f>
        <v>0.0</v>
      </c>
      <c r="Y1817" s="67">
        <f>IF(AND(ISNUMBER(N1817),N(N1817)&gt;0),N(N1817),0)</f>
        <v>0.0</v>
      </c>
      <c r="Z1817" s="67">
        <f>IF(AND(ISNUMBER(P1817),N(P1817)&gt;0),N(P1817),0)</f>
        <v>0.0</v>
      </c>
    </row>
    <row r="1818">
      <c r="A1818" s="79" t="str">
        <f>IF(COUNTA(B1818:C1818,E1818:G1818,I1818)=0,"","BI-"&amp;RIGHT("0000"&amp;(ROW()-5),4))</f>
        <v/>
      </c>
      <c r="B1818" s="72" t="n"/>
      <c r="C1818" s="66" t="n"/>
      <c r="D1818" s="67" t="str">
        <f>IF(C1818="","",IFERROR(INDEX(eq_des,MATCH(C1818,eq_code,0))&amp;"","Équipement inconnu"))</f>
        <v/>
      </c>
      <c r="E1818" s="68" t="n"/>
      <c r="F1818" s="68" t="n"/>
      <c r="G1818" s="66" t="n"/>
      <c r="H1818" s="66" t="n"/>
      <c r="I1818" s="68" t="n"/>
      <c r="J1818" s="73" t="n"/>
      <c r="K1818" s="71" t="n"/>
      <c r="L1818" s="71" t="n"/>
      <c r="M1818" s="66" t="n"/>
      <c r="N1818" s="80" t="n"/>
      <c r="O1818" s="81" t="str">
        <f>IF(A1818="","",ROUND(V1818*IFERROR(N(INDEX(tech_rate,MATCH(M1818,tech_name,0))),0),2))</f>
        <v/>
      </c>
      <c r="P1818" s="80" t="n"/>
      <c r="Q1818" s="81" t="str">
        <f>IF(A1818="","",ROUND(Y1818+O1818+Z1818,2))</f>
        <v/>
      </c>
      <c r="R1818" s="79" t="str">
        <f>IF(A1818="","",IF(S1818=0,"Date manquante ou invalide",IF(C1818="","Équipement manquant",IF(ISNA(MATCH(C1818,eq_code,0)),"Équipement inconnu",IF(E1818="","Type manquant",IF(AND(E1818&lt;&gt;"Préventif",E1818&lt;&gt;"Correctif",E1818&lt;&gt;"Amélioratif"),"Type inconnu",IF(I1818="","Statut manquant",IF(AND(I1818&lt;&gt;"Terminée",I1818&lt;&gt;"En cours",I1818&lt;&gt;"À faire",I1818&lt;&gt;"Annulée"),"Statut inconnu",IF(AND(E1818="Préventif",F1818=""),"Plan manquant (préventif)",IF(AND(F1818&lt;&gt;"",ISNA(MATCH(F1818,pl_num,0))),"Plan inconnu",IF(AND(F1818&lt;&gt;"",IFERROR(INDEX(pl_eq,MATCH(F1818,pl_num,0))&amp;"",C1818)&lt;&gt;C1818),"Plan d'un autre équipement",IF(AND(J1818&lt;&gt;"",OR(NOT(ISNUMBER(J1818)),N(J1818)&lt;0)),"Compteur invalide",IF(OR(AND(K1818&lt;&gt;"",OR(NOT(ISNUMBER(K1818)),N(K1818)&lt;0)),AND(L1818&lt;&gt;"",OR(NOT(ISNUMBER(L1818)),N(L1818)&lt;0))),"Durée invalide",IF(OR(AND(N1818&lt;&gt;"",OR(NOT(ISNUMBER(N1818)),N(N1818)&lt;0)),AND(P1818&lt;&gt;"",OR(NOT(ISNUMBER(P1818)),N(P1818)&lt;0))),"Coût invalide",IF(AND(M1818&lt;&gt;"",ISNA(MATCH(M1818,tech_name,0))),"Technicien inconnu",IF(AND(I1818="Terminée",S1818&gt;p_today),"Terminée à une date future",IF(AND(I1818="Terminée",V1818=0),"Durée d'intervention manquante",IF(AND(I1818="Terminée",E1818="Préventif",T1818=0,OR(IFERROR(INDEX(pl_trig,MATCH(F1818,pl_num,0))&amp;"","")="Compteur",IFERROR(INDEX(pl_trig,MATCH(F1818,pl_num,0))&amp;"","")="Au premier des deux")),"Compteur manquant (plan au compteur)","OK"))))))))))))))))))</f>
        <v/>
      </c>
      <c r="S1818" s="67">
        <f>IF(AND(ISNUMBER(B1818),N(B1818)&gt;0),INT(B1818),0)</f>
        <v>0.0</v>
      </c>
      <c r="T1818" s="67">
        <f>IF(AND(ISNUMBER(J1818),N(J1818)&gt;=0),N(J1818),0)</f>
        <v>0.0</v>
      </c>
      <c r="U1818" s="67">
        <f>IF(AND(ISNUMBER(K1818),N(K1818)&gt;0),N(K1818),0)</f>
        <v>0.0</v>
      </c>
      <c r="V1818" s="67">
        <f>IF(AND(ISNUMBER(L1818),N(L1818)&gt;0),N(L1818),0)</f>
        <v>0.0</v>
      </c>
      <c r="W1818" s="67">
        <f>IF(AND(I1818="Terminée",S1818&gt;0,C1818&lt;&gt;"",ISNUMBER(MATCH(C1818,eq_code,0))),1,0)</f>
        <v>0.0</v>
      </c>
      <c r="X1818" s="67">
        <f>IF(AND(W1818=1,E1818="Préventif"),1,0)</f>
        <v>0.0</v>
      </c>
      <c r="Y1818" s="67">
        <f>IF(AND(ISNUMBER(N1818),N(N1818)&gt;0),N(N1818),0)</f>
        <v>0.0</v>
      </c>
      <c r="Z1818" s="67">
        <f>IF(AND(ISNUMBER(P1818),N(P1818)&gt;0),N(P1818),0)</f>
        <v>0.0</v>
      </c>
    </row>
    <row r="1819">
      <c r="A1819" s="79" t="str">
        <f>IF(COUNTA(B1819:C1819,E1819:G1819,I1819)=0,"","BI-"&amp;RIGHT("0000"&amp;(ROW()-5),4))</f>
        <v/>
      </c>
      <c r="B1819" s="72" t="n"/>
      <c r="C1819" s="66" t="n"/>
      <c r="D1819" s="67" t="str">
        <f>IF(C1819="","",IFERROR(INDEX(eq_des,MATCH(C1819,eq_code,0))&amp;"","Équipement inconnu"))</f>
        <v/>
      </c>
      <c r="E1819" s="68" t="n"/>
      <c r="F1819" s="68" t="n"/>
      <c r="G1819" s="66" t="n"/>
      <c r="H1819" s="66" t="n"/>
      <c r="I1819" s="68" t="n"/>
      <c r="J1819" s="73" t="n"/>
      <c r="K1819" s="71" t="n"/>
      <c r="L1819" s="71" t="n"/>
      <c r="M1819" s="66" t="n"/>
      <c r="N1819" s="80" t="n"/>
      <c r="O1819" s="81" t="str">
        <f>IF(A1819="","",ROUND(V1819*IFERROR(N(INDEX(tech_rate,MATCH(M1819,tech_name,0))),0),2))</f>
        <v/>
      </c>
      <c r="P1819" s="80" t="n"/>
      <c r="Q1819" s="81" t="str">
        <f>IF(A1819="","",ROUND(Y1819+O1819+Z1819,2))</f>
        <v/>
      </c>
      <c r="R1819" s="79" t="str">
        <f>IF(A1819="","",IF(S1819=0,"Date manquante ou invalide",IF(C1819="","Équipement manquant",IF(ISNA(MATCH(C1819,eq_code,0)),"Équipement inconnu",IF(E1819="","Type manquant",IF(AND(E1819&lt;&gt;"Préventif",E1819&lt;&gt;"Correctif",E1819&lt;&gt;"Amélioratif"),"Type inconnu",IF(I1819="","Statut manquant",IF(AND(I1819&lt;&gt;"Terminée",I1819&lt;&gt;"En cours",I1819&lt;&gt;"À faire",I1819&lt;&gt;"Annulée"),"Statut inconnu",IF(AND(E1819="Préventif",F1819=""),"Plan manquant (préventif)",IF(AND(F1819&lt;&gt;"",ISNA(MATCH(F1819,pl_num,0))),"Plan inconnu",IF(AND(F1819&lt;&gt;"",IFERROR(INDEX(pl_eq,MATCH(F1819,pl_num,0))&amp;"",C1819)&lt;&gt;C1819),"Plan d'un autre équipement",IF(AND(J1819&lt;&gt;"",OR(NOT(ISNUMBER(J1819)),N(J1819)&lt;0)),"Compteur invalide",IF(OR(AND(K1819&lt;&gt;"",OR(NOT(ISNUMBER(K1819)),N(K1819)&lt;0)),AND(L1819&lt;&gt;"",OR(NOT(ISNUMBER(L1819)),N(L1819)&lt;0))),"Durée invalide",IF(OR(AND(N1819&lt;&gt;"",OR(NOT(ISNUMBER(N1819)),N(N1819)&lt;0)),AND(P1819&lt;&gt;"",OR(NOT(ISNUMBER(P1819)),N(P1819)&lt;0))),"Coût invalide",IF(AND(M1819&lt;&gt;"",ISNA(MATCH(M1819,tech_name,0))),"Technicien inconnu",IF(AND(I1819="Terminée",S1819&gt;p_today),"Terminée à une date future",IF(AND(I1819="Terminée",V1819=0),"Durée d'intervention manquante",IF(AND(I1819="Terminée",E1819="Préventif",T1819=0,OR(IFERROR(INDEX(pl_trig,MATCH(F1819,pl_num,0))&amp;"","")="Compteur",IFERROR(INDEX(pl_trig,MATCH(F1819,pl_num,0))&amp;"","")="Au premier des deux")),"Compteur manquant (plan au compteur)","OK"))))))))))))))))))</f>
        <v/>
      </c>
      <c r="S1819" s="67">
        <f>IF(AND(ISNUMBER(B1819),N(B1819)&gt;0),INT(B1819),0)</f>
        <v>0.0</v>
      </c>
      <c r="T1819" s="67">
        <f>IF(AND(ISNUMBER(J1819),N(J1819)&gt;=0),N(J1819),0)</f>
        <v>0.0</v>
      </c>
      <c r="U1819" s="67">
        <f>IF(AND(ISNUMBER(K1819),N(K1819)&gt;0),N(K1819),0)</f>
        <v>0.0</v>
      </c>
      <c r="V1819" s="67">
        <f>IF(AND(ISNUMBER(L1819),N(L1819)&gt;0),N(L1819),0)</f>
        <v>0.0</v>
      </c>
      <c r="W1819" s="67">
        <f>IF(AND(I1819="Terminée",S1819&gt;0,C1819&lt;&gt;"",ISNUMBER(MATCH(C1819,eq_code,0))),1,0)</f>
        <v>0.0</v>
      </c>
      <c r="X1819" s="67">
        <f>IF(AND(W1819=1,E1819="Préventif"),1,0)</f>
        <v>0.0</v>
      </c>
      <c r="Y1819" s="67">
        <f>IF(AND(ISNUMBER(N1819),N(N1819)&gt;0),N(N1819),0)</f>
        <v>0.0</v>
      </c>
      <c r="Z1819" s="67">
        <f>IF(AND(ISNUMBER(P1819),N(P1819)&gt;0),N(P1819),0)</f>
        <v>0.0</v>
      </c>
    </row>
    <row r="1820">
      <c r="A1820" s="79" t="str">
        <f>IF(COUNTA(B1820:C1820,E1820:G1820,I1820)=0,"","BI-"&amp;RIGHT("0000"&amp;(ROW()-5),4))</f>
        <v/>
      </c>
      <c r="B1820" s="72" t="n"/>
      <c r="C1820" s="66" t="n"/>
      <c r="D1820" s="67" t="str">
        <f>IF(C1820="","",IFERROR(INDEX(eq_des,MATCH(C1820,eq_code,0))&amp;"","Équipement inconnu"))</f>
        <v/>
      </c>
      <c r="E1820" s="68" t="n"/>
      <c r="F1820" s="68" t="n"/>
      <c r="G1820" s="66" t="n"/>
      <c r="H1820" s="66" t="n"/>
      <c r="I1820" s="68" t="n"/>
      <c r="J1820" s="73" t="n"/>
      <c r="K1820" s="71" t="n"/>
      <c r="L1820" s="71" t="n"/>
      <c r="M1820" s="66" t="n"/>
      <c r="N1820" s="80" t="n"/>
      <c r="O1820" s="81" t="str">
        <f>IF(A1820="","",ROUND(V1820*IFERROR(N(INDEX(tech_rate,MATCH(M1820,tech_name,0))),0),2))</f>
        <v/>
      </c>
      <c r="P1820" s="80" t="n"/>
      <c r="Q1820" s="81" t="str">
        <f>IF(A1820="","",ROUND(Y1820+O1820+Z1820,2))</f>
        <v/>
      </c>
      <c r="R1820" s="79" t="str">
        <f>IF(A1820="","",IF(S1820=0,"Date manquante ou invalide",IF(C1820="","Équipement manquant",IF(ISNA(MATCH(C1820,eq_code,0)),"Équipement inconnu",IF(E1820="","Type manquant",IF(AND(E1820&lt;&gt;"Préventif",E1820&lt;&gt;"Correctif",E1820&lt;&gt;"Amélioratif"),"Type inconnu",IF(I1820="","Statut manquant",IF(AND(I1820&lt;&gt;"Terminée",I1820&lt;&gt;"En cours",I1820&lt;&gt;"À faire",I1820&lt;&gt;"Annulée"),"Statut inconnu",IF(AND(E1820="Préventif",F1820=""),"Plan manquant (préventif)",IF(AND(F1820&lt;&gt;"",ISNA(MATCH(F1820,pl_num,0))),"Plan inconnu",IF(AND(F1820&lt;&gt;"",IFERROR(INDEX(pl_eq,MATCH(F1820,pl_num,0))&amp;"",C1820)&lt;&gt;C1820),"Plan d'un autre équipement",IF(AND(J1820&lt;&gt;"",OR(NOT(ISNUMBER(J1820)),N(J1820)&lt;0)),"Compteur invalide",IF(OR(AND(K1820&lt;&gt;"",OR(NOT(ISNUMBER(K1820)),N(K1820)&lt;0)),AND(L1820&lt;&gt;"",OR(NOT(ISNUMBER(L1820)),N(L1820)&lt;0))),"Durée invalide",IF(OR(AND(N1820&lt;&gt;"",OR(NOT(ISNUMBER(N1820)),N(N1820)&lt;0)),AND(P1820&lt;&gt;"",OR(NOT(ISNUMBER(P1820)),N(P1820)&lt;0))),"Coût invalide",IF(AND(M1820&lt;&gt;"",ISNA(MATCH(M1820,tech_name,0))),"Technicien inconnu",IF(AND(I1820="Terminée",S1820&gt;p_today),"Terminée à une date future",IF(AND(I1820="Terminée",V1820=0),"Durée d'intervention manquante",IF(AND(I1820="Terminée",E1820="Préventif",T1820=0,OR(IFERROR(INDEX(pl_trig,MATCH(F1820,pl_num,0))&amp;"","")="Compteur",IFERROR(INDEX(pl_trig,MATCH(F1820,pl_num,0))&amp;"","")="Au premier des deux")),"Compteur manquant (plan au compteur)","OK"))))))))))))))))))</f>
        <v/>
      </c>
      <c r="S1820" s="67">
        <f>IF(AND(ISNUMBER(B1820),N(B1820)&gt;0),INT(B1820),0)</f>
        <v>0.0</v>
      </c>
      <c r="T1820" s="67">
        <f>IF(AND(ISNUMBER(J1820),N(J1820)&gt;=0),N(J1820),0)</f>
        <v>0.0</v>
      </c>
      <c r="U1820" s="67">
        <f>IF(AND(ISNUMBER(K1820),N(K1820)&gt;0),N(K1820),0)</f>
        <v>0.0</v>
      </c>
      <c r="V1820" s="67">
        <f>IF(AND(ISNUMBER(L1820),N(L1820)&gt;0),N(L1820),0)</f>
        <v>0.0</v>
      </c>
      <c r="W1820" s="67">
        <f>IF(AND(I1820="Terminée",S1820&gt;0,C1820&lt;&gt;"",ISNUMBER(MATCH(C1820,eq_code,0))),1,0)</f>
        <v>0.0</v>
      </c>
      <c r="X1820" s="67">
        <f>IF(AND(W1820=1,E1820="Préventif"),1,0)</f>
        <v>0.0</v>
      </c>
      <c r="Y1820" s="67">
        <f>IF(AND(ISNUMBER(N1820),N(N1820)&gt;0),N(N1820),0)</f>
        <v>0.0</v>
      </c>
      <c r="Z1820" s="67">
        <f>IF(AND(ISNUMBER(P1820),N(P1820)&gt;0),N(P1820),0)</f>
        <v>0.0</v>
      </c>
    </row>
    <row r="1821">
      <c r="A1821" s="79" t="str">
        <f>IF(COUNTA(B1821:C1821,E1821:G1821,I1821)=0,"","BI-"&amp;RIGHT("0000"&amp;(ROW()-5),4))</f>
        <v/>
      </c>
      <c r="B1821" s="72" t="n"/>
      <c r="C1821" s="66" t="n"/>
      <c r="D1821" s="67" t="str">
        <f>IF(C1821="","",IFERROR(INDEX(eq_des,MATCH(C1821,eq_code,0))&amp;"","Équipement inconnu"))</f>
        <v/>
      </c>
      <c r="E1821" s="68" t="n"/>
      <c r="F1821" s="68" t="n"/>
      <c r="G1821" s="66" t="n"/>
      <c r="H1821" s="66" t="n"/>
      <c r="I1821" s="68" t="n"/>
      <c r="J1821" s="73" t="n"/>
      <c r="K1821" s="71" t="n"/>
      <c r="L1821" s="71" t="n"/>
      <c r="M1821" s="66" t="n"/>
      <c r="N1821" s="80" t="n"/>
      <c r="O1821" s="81" t="str">
        <f>IF(A1821="","",ROUND(V1821*IFERROR(N(INDEX(tech_rate,MATCH(M1821,tech_name,0))),0),2))</f>
        <v/>
      </c>
      <c r="P1821" s="80" t="n"/>
      <c r="Q1821" s="81" t="str">
        <f>IF(A1821="","",ROUND(Y1821+O1821+Z1821,2))</f>
        <v/>
      </c>
      <c r="R1821" s="79" t="str">
        <f>IF(A1821="","",IF(S1821=0,"Date manquante ou invalide",IF(C1821="","Équipement manquant",IF(ISNA(MATCH(C1821,eq_code,0)),"Équipement inconnu",IF(E1821="","Type manquant",IF(AND(E1821&lt;&gt;"Préventif",E1821&lt;&gt;"Correctif",E1821&lt;&gt;"Amélioratif"),"Type inconnu",IF(I1821="","Statut manquant",IF(AND(I1821&lt;&gt;"Terminée",I1821&lt;&gt;"En cours",I1821&lt;&gt;"À faire",I1821&lt;&gt;"Annulée"),"Statut inconnu",IF(AND(E1821="Préventif",F1821=""),"Plan manquant (préventif)",IF(AND(F1821&lt;&gt;"",ISNA(MATCH(F1821,pl_num,0))),"Plan inconnu",IF(AND(F1821&lt;&gt;"",IFERROR(INDEX(pl_eq,MATCH(F1821,pl_num,0))&amp;"",C1821)&lt;&gt;C1821),"Plan d'un autre équipement",IF(AND(J1821&lt;&gt;"",OR(NOT(ISNUMBER(J1821)),N(J1821)&lt;0)),"Compteur invalide",IF(OR(AND(K1821&lt;&gt;"",OR(NOT(ISNUMBER(K1821)),N(K1821)&lt;0)),AND(L1821&lt;&gt;"",OR(NOT(ISNUMBER(L1821)),N(L1821)&lt;0))),"Durée invalide",IF(OR(AND(N1821&lt;&gt;"",OR(NOT(ISNUMBER(N1821)),N(N1821)&lt;0)),AND(P1821&lt;&gt;"",OR(NOT(ISNUMBER(P1821)),N(P1821)&lt;0))),"Coût invalide",IF(AND(M1821&lt;&gt;"",ISNA(MATCH(M1821,tech_name,0))),"Technicien inconnu",IF(AND(I1821="Terminée",S1821&gt;p_today),"Terminée à une date future",IF(AND(I1821="Terminée",V1821=0),"Durée d'intervention manquante",IF(AND(I1821="Terminée",E1821="Préventif",T1821=0,OR(IFERROR(INDEX(pl_trig,MATCH(F1821,pl_num,0))&amp;"","")="Compteur",IFERROR(INDEX(pl_trig,MATCH(F1821,pl_num,0))&amp;"","")="Au premier des deux")),"Compteur manquant (plan au compteur)","OK"))))))))))))))))))</f>
        <v/>
      </c>
      <c r="S1821" s="67">
        <f>IF(AND(ISNUMBER(B1821),N(B1821)&gt;0),INT(B1821),0)</f>
        <v>0.0</v>
      </c>
      <c r="T1821" s="67">
        <f>IF(AND(ISNUMBER(J1821),N(J1821)&gt;=0),N(J1821),0)</f>
        <v>0.0</v>
      </c>
      <c r="U1821" s="67">
        <f>IF(AND(ISNUMBER(K1821),N(K1821)&gt;0),N(K1821),0)</f>
        <v>0.0</v>
      </c>
      <c r="V1821" s="67">
        <f>IF(AND(ISNUMBER(L1821),N(L1821)&gt;0),N(L1821),0)</f>
        <v>0.0</v>
      </c>
      <c r="W1821" s="67">
        <f>IF(AND(I1821="Terminée",S1821&gt;0,C1821&lt;&gt;"",ISNUMBER(MATCH(C1821,eq_code,0))),1,0)</f>
        <v>0.0</v>
      </c>
      <c r="X1821" s="67">
        <f>IF(AND(W1821=1,E1821="Préventif"),1,0)</f>
        <v>0.0</v>
      </c>
      <c r="Y1821" s="67">
        <f>IF(AND(ISNUMBER(N1821),N(N1821)&gt;0),N(N1821),0)</f>
        <v>0.0</v>
      </c>
      <c r="Z1821" s="67">
        <f>IF(AND(ISNUMBER(P1821),N(P1821)&gt;0),N(P1821),0)</f>
        <v>0.0</v>
      </c>
    </row>
    <row r="1822">
      <c r="A1822" s="79" t="str">
        <f>IF(COUNTA(B1822:C1822,E1822:G1822,I1822)=0,"","BI-"&amp;RIGHT("0000"&amp;(ROW()-5),4))</f>
        <v/>
      </c>
      <c r="B1822" s="72" t="n"/>
      <c r="C1822" s="66" t="n"/>
      <c r="D1822" s="67" t="str">
        <f>IF(C1822="","",IFERROR(INDEX(eq_des,MATCH(C1822,eq_code,0))&amp;"","Équipement inconnu"))</f>
        <v/>
      </c>
      <c r="E1822" s="68" t="n"/>
      <c r="F1822" s="68" t="n"/>
      <c r="G1822" s="66" t="n"/>
      <c r="H1822" s="66" t="n"/>
      <c r="I1822" s="68" t="n"/>
      <c r="J1822" s="73" t="n"/>
      <c r="K1822" s="71" t="n"/>
      <c r="L1822" s="71" t="n"/>
      <c r="M1822" s="66" t="n"/>
      <c r="N1822" s="80" t="n"/>
      <c r="O1822" s="81" t="str">
        <f>IF(A1822="","",ROUND(V1822*IFERROR(N(INDEX(tech_rate,MATCH(M1822,tech_name,0))),0),2))</f>
        <v/>
      </c>
      <c r="P1822" s="80" t="n"/>
      <c r="Q1822" s="81" t="str">
        <f>IF(A1822="","",ROUND(Y1822+O1822+Z1822,2))</f>
        <v/>
      </c>
      <c r="R1822" s="79" t="str">
        <f>IF(A1822="","",IF(S1822=0,"Date manquante ou invalide",IF(C1822="","Équipement manquant",IF(ISNA(MATCH(C1822,eq_code,0)),"Équipement inconnu",IF(E1822="","Type manquant",IF(AND(E1822&lt;&gt;"Préventif",E1822&lt;&gt;"Correctif",E1822&lt;&gt;"Amélioratif"),"Type inconnu",IF(I1822="","Statut manquant",IF(AND(I1822&lt;&gt;"Terminée",I1822&lt;&gt;"En cours",I1822&lt;&gt;"À faire",I1822&lt;&gt;"Annulée"),"Statut inconnu",IF(AND(E1822="Préventif",F1822=""),"Plan manquant (préventif)",IF(AND(F1822&lt;&gt;"",ISNA(MATCH(F1822,pl_num,0))),"Plan inconnu",IF(AND(F1822&lt;&gt;"",IFERROR(INDEX(pl_eq,MATCH(F1822,pl_num,0))&amp;"",C1822)&lt;&gt;C1822),"Plan d'un autre équipement",IF(AND(J1822&lt;&gt;"",OR(NOT(ISNUMBER(J1822)),N(J1822)&lt;0)),"Compteur invalide",IF(OR(AND(K1822&lt;&gt;"",OR(NOT(ISNUMBER(K1822)),N(K1822)&lt;0)),AND(L1822&lt;&gt;"",OR(NOT(ISNUMBER(L1822)),N(L1822)&lt;0))),"Durée invalide",IF(OR(AND(N1822&lt;&gt;"",OR(NOT(ISNUMBER(N1822)),N(N1822)&lt;0)),AND(P1822&lt;&gt;"",OR(NOT(ISNUMBER(P1822)),N(P1822)&lt;0))),"Coût invalide",IF(AND(M1822&lt;&gt;"",ISNA(MATCH(M1822,tech_name,0))),"Technicien inconnu",IF(AND(I1822="Terminée",S1822&gt;p_today),"Terminée à une date future",IF(AND(I1822="Terminée",V1822=0),"Durée d'intervention manquante",IF(AND(I1822="Terminée",E1822="Préventif",T1822=0,OR(IFERROR(INDEX(pl_trig,MATCH(F1822,pl_num,0))&amp;"","")="Compteur",IFERROR(INDEX(pl_trig,MATCH(F1822,pl_num,0))&amp;"","")="Au premier des deux")),"Compteur manquant (plan au compteur)","OK"))))))))))))))))))</f>
        <v/>
      </c>
      <c r="S1822" s="67">
        <f>IF(AND(ISNUMBER(B1822),N(B1822)&gt;0),INT(B1822),0)</f>
        <v>0.0</v>
      </c>
      <c r="T1822" s="67">
        <f>IF(AND(ISNUMBER(J1822),N(J1822)&gt;=0),N(J1822),0)</f>
        <v>0.0</v>
      </c>
      <c r="U1822" s="67">
        <f>IF(AND(ISNUMBER(K1822),N(K1822)&gt;0),N(K1822),0)</f>
        <v>0.0</v>
      </c>
      <c r="V1822" s="67">
        <f>IF(AND(ISNUMBER(L1822),N(L1822)&gt;0),N(L1822),0)</f>
        <v>0.0</v>
      </c>
      <c r="W1822" s="67">
        <f>IF(AND(I1822="Terminée",S1822&gt;0,C1822&lt;&gt;"",ISNUMBER(MATCH(C1822,eq_code,0))),1,0)</f>
        <v>0.0</v>
      </c>
      <c r="X1822" s="67">
        <f>IF(AND(W1822=1,E1822="Préventif"),1,0)</f>
        <v>0.0</v>
      </c>
      <c r="Y1822" s="67">
        <f>IF(AND(ISNUMBER(N1822),N(N1822)&gt;0),N(N1822),0)</f>
        <v>0.0</v>
      </c>
      <c r="Z1822" s="67">
        <f>IF(AND(ISNUMBER(P1822),N(P1822)&gt;0),N(P1822),0)</f>
        <v>0.0</v>
      </c>
    </row>
    <row r="1823">
      <c r="A1823" s="79" t="str">
        <f>IF(COUNTA(B1823:C1823,E1823:G1823,I1823)=0,"","BI-"&amp;RIGHT("0000"&amp;(ROW()-5),4))</f>
        <v/>
      </c>
      <c r="B1823" s="72" t="n"/>
      <c r="C1823" s="66" t="n"/>
      <c r="D1823" s="67" t="str">
        <f>IF(C1823="","",IFERROR(INDEX(eq_des,MATCH(C1823,eq_code,0))&amp;"","Équipement inconnu"))</f>
        <v/>
      </c>
      <c r="E1823" s="68" t="n"/>
      <c r="F1823" s="68" t="n"/>
      <c r="G1823" s="66" t="n"/>
      <c r="H1823" s="66" t="n"/>
      <c r="I1823" s="68" t="n"/>
      <c r="J1823" s="73" t="n"/>
      <c r="K1823" s="71" t="n"/>
      <c r="L1823" s="71" t="n"/>
      <c r="M1823" s="66" t="n"/>
      <c r="N1823" s="80" t="n"/>
      <c r="O1823" s="81" t="str">
        <f>IF(A1823="","",ROUND(V1823*IFERROR(N(INDEX(tech_rate,MATCH(M1823,tech_name,0))),0),2))</f>
        <v/>
      </c>
      <c r="P1823" s="80" t="n"/>
      <c r="Q1823" s="81" t="str">
        <f>IF(A1823="","",ROUND(Y1823+O1823+Z1823,2))</f>
        <v/>
      </c>
      <c r="R1823" s="79" t="str">
        <f>IF(A1823="","",IF(S1823=0,"Date manquante ou invalide",IF(C1823="","Équipement manquant",IF(ISNA(MATCH(C1823,eq_code,0)),"Équipement inconnu",IF(E1823="","Type manquant",IF(AND(E1823&lt;&gt;"Préventif",E1823&lt;&gt;"Correctif",E1823&lt;&gt;"Amélioratif"),"Type inconnu",IF(I1823="","Statut manquant",IF(AND(I1823&lt;&gt;"Terminée",I1823&lt;&gt;"En cours",I1823&lt;&gt;"À faire",I1823&lt;&gt;"Annulée"),"Statut inconnu",IF(AND(E1823="Préventif",F1823=""),"Plan manquant (préventif)",IF(AND(F1823&lt;&gt;"",ISNA(MATCH(F1823,pl_num,0))),"Plan inconnu",IF(AND(F1823&lt;&gt;"",IFERROR(INDEX(pl_eq,MATCH(F1823,pl_num,0))&amp;"",C1823)&lt;&gt;C1823),"Plan d'un autre équipement",IF(AND(J1823&lt;&gt;"",OR(NOT(ISNUMBER(J1823)),N(J1823)&lt;0)),"Compteur invalide",IF(OR(AND(K1823&lt;&gt;"",OR(NOT(ISNUMBER(K1823)),N(K1823)&lt;0)),AND(L1823&lt;&gt;"",OR(NOT(ISNUMBER(L1823)),N(L1823)&lt;0))),"Durée invalide",IF(OR(AND(N1823&lt;&gt;"",OR(NOT(ISNUMBER(N1823)),N(N1823)&lt;0)),AND(P1823&lt;&gt;"",OR(NOT(ISNUMBER(P1823)),N(P1823)&lt;0))),"Coût invalide",IF(AND(M1823&lt;&gt;"",ISNA(MATCH(M1823,tech_name,0))),"Technicien inconnu",IF(AND(I1823="Terminée",S1823&gt;p_today),"Terminée à une date future",IF(AND(I1823="Terminée",V1823=0),"Durée d'intervention manquante",IF(AND(I1823="Terminée",E1823="Préventif",T1823=0,OR(IFERROR(INDEX(pl_trig,MATCH(F1823,pl_num,0))&amp;"","")="Compteur",IFERROR(INDEX(pl_trig,MATCH(F1823,pl_num,0))&amp;"","")="Au premier des deux")),"Compteur manquant (plan au compteur)","OK"))))))))))))))))))</f>
        <v/>
      </c>
      <c r="S1823" s="67">
        <f>IF(AND(ISNUMBER(B1823),N(B1823)&gt;0),INT(B1823),0)</f>
        <v>0.0</v>
      </c>
      <c r="T1823" s="67">
        <f>IF(AND(ISNUMBER(J1823),N(J1823)&gt;=0),N(J1823),0)</f>
        <v>0.0</v>
      </c>
      <c r="U1823" s="67">
        <f>IF(AND(ISNUMBER(K1823),N(K1823)&gt;0),N(K1823),0)</f>
        <v>0.0</v>
      </c>
      <c r="V1823" s="67">
        <f>IF(AND(ISNUMBER(L1823),N(L1823)&gt;0),N(L1823),0)</f>
        <v>0.0</v>
      </c>
      <c r="W1823" s="67">
        <f>IF(AND(I1823="Terminée",S1823&gt;0,C1823&lt;&gt;"",ISNUMBER(MATCH(C1823,eq_code,0))),1,0)</f>
        <v>0.0</v>
      </c>
      <c r="X1823" s="67">
        <f>IF(AND(W1823=1,E1823="Préventif"),1,0)</f>
        <v>0.0</v>
      </c>
      <c r="Y1823" s="67">
        <f>IF(AND(ISNUMBER(N1823),N(N1823)&gt;0),N(N1823),0)</f>
        <v>0.0</v>
      </c>
      <c r="Z1823" s="67">
        <f>IF(AND(ISNUMBER(P1823),N(P1823)&gt;0),N(P1823),0)</f>
        <v>0.0</v>
      </c>
    </row>
    <row r="1824">
      <c r="A1824" s="79" t="str">
        <f>IF(COUNTA(B1824:C1824,E1824:G1824,I1824)=0,"","BI-"&amp;RIGHT("0000"&amp;(ROW()-5),4))</f>
        <v/>
      </c>
      <c r="B1824" s="72" t="n"/>
      <c r="C1824" s="66" t="n"/>
      <c r="D1824" s="67" t="str">
        <f>IF(C1824="","",IFERROR(INDEX(eq_des,MATCH(C1824,eq_code,0))&amp;"","Équipement inconnu"))</f>
        <v/>
      </c>
      <c r="E1824" s="68" t="n"/>
      <c r="F1824" s="68" t="n"/>
      <c r="G1824" s="66" t="n"/>
      <c r="H1824" s="66" t="n"/>
      <c r="I1824" s="68" t="n"/>
      <c r="J1824" s="73" t="n"/>
      <c r="K1824" s="71" t="n"/>
      <c r="L1824" s="71" t="n"/>
      <c r="M1824" s="66" t="n"/>
      <c r="N1824" s="80" t="n"/>
      <c r="O1824" s="81" t="str">
        <f>IF(A1824="","",ROUND(V1824*IFERROR(N(INDEX(tech_rate,MATCH(M1824,tech_name,0))),0),2))</f>
        <v/>
      </c>
      <c r="P1824" s="80" t="n"/>
      <c r="Q1824" s="81" t="str">
        <f>IF(A1824="","",ROUND(Y1824+O1824+Z1824,2))</f>
        <v/>
      </c>
      <c r="R1824" s="79" t="str">
        <f>IF(A1824="","",IF(S1824=0,"Date manquante ou invalide",IF(C1824="","Équipement manquant",IF(ISNA(MATCH(C1824,eq_code,0)),"Équipement inconnu",IF(E1824="","Type manquant",IF(AND(E1824&lt;&gt;"Préventif",E1824&lt;&gt;"Correctif",E1824&lt;&gt;"Amélioratif"),"Type inconnu",IF(I1824="","Statut manquant",IF(AND(I1824&lt;&gt;"Terminée",I1824&lt;&gt;"En cours",I1824&lt;&gt;"À faire",I1824&lt;&gt;"Annulée"),"Statut inconnu",IF(AND(E1824="Préventif",F1824=""),"Plan manquant (préventif)",IF(AND(F1824&lt;&gt;"",ISNA(MATCH(F1824,pl_num,0))),"Plan inconnu",IF(AND(F1824&lt;&gt;"",IFERROR(INDEX(pl_eq,MATCH(F1824,pl_num,0))&amp;"",C1824)&lt;&gt;C1824),"Plan d'un autre équipement",IF(AND(J1824&lt;&gt;"",OR(NOT(ISNUMBER(J1824)),N(J1824)&lt;0)),"Compteur invalide",IF(OR(AND(K1824&lt;&gt;"",OR(NOT(ISNUMBER(K1824)),N(K1824)&lt;0)),AND(L1824&lt;&gt;"",OR(NOT(ISNUMBER(L1824)),N(L1824)&lt;0))),"Durée invalide",IF(OR(AND(N1824&lt;&gt;"",OR(NOT(ISNUMBER(N1824)),N(N1824)&lt;0)),AND(P1824&lt;&gt;"",OR(NOT(ISNUMBER(P1824)),N(P1824)&lt;0))),"Coût invalide",IF(AND(M1824&lt;&gt;"",ISNA(MATCH(M1824,tech_name,0))),"Technicien inconnu",IF(AND(I1824="Terminée",S1824&gt;p_today),"Terminée à une date future",IF(AND(I1824="Terminée",V1824=0),"Durée d'intervention manquante",IF(AND(I1824="Terminée",E1824="Préventif",T1824=0,OR(IFERROR(INDEX(pl_trig,MATCH(F1824,pl_num,0))&amp;"","")="Compteur",IFERROR(INDEX(pl_trig,MATCH(F1824,pl_num,0))&amp;"","")="Au premier des deux")),"Compteur manquant (plan au compteur)","OK"))))))))))))))))))</f>
        <v/>
      </c>
      <c r="S1824" s="67">
        <f>IF(AND(ISNUMBER(B1824),N(B1824)&gt;0),INT(B1824),0)</f>
        <v>0.0</v>
      </c>
      <c r="T1824" s="67">
        <f>IF(AND(ISNUMBER(J1824),N(J1824)&gt;=0),N(J1824),0)</f>
        <v>0.0</v>
      </c>
      <c r="U1824" s="67">
        <f>IF(AND(ISNUMBER(K1824),N(K1824)&gt;0),N(K1824),0)</f>
        <v>0.0</v>
      </c>
      <c r="V1824" s="67">
        <f>IF(AND(ISNUMBER(L1824),N(L1824)&gt;0),N(L1824),0)</f>
        <v>0.0</v>
      </c>
      <c r="W1824" s="67">
        <f>IF(AND(I1824="Terminée",S1824&gt;0,C1824&lt;&gt;"",ISNUMBER(MATCH(C1824,eq_code,0))),1,0)</f>
        <v>0.0</v>
      </c>
      <c r="X1824" s="67">
        <f>IF(AND(W1824=1,E1824="Préventif"),1,0)</f>
        <v>0.0</v>
      </c>
      <c r="Y1824" s="67">
        <f>IF(AND(ISNUMBER(N1824),N(N1824)&gt;0),N(N1824),0)</f>
        <v>0.0</v>
      </c>
      <c r="Z1824" s="67">
        <f>IF(AND(ISNUMBER(P1824),N(P1824)&gt;0),N(P1824),0)</f>
        <v>0.0</v>
      </c>
    </row>
    <row r="1825">
      <c r="A1825" s="79" t="str">
        <f>IF(COUNTA(B1825:C1825,E1825:G1825,I1825)=0,"","BI-"&amp;RIGHT("0000"&amp;(ROW()-5),4))</f>
        <v/>
      </c>
      <c r="B1825" s="72" t="n"/>
      <c r="C1825" s="66" t="n"/>
      <c r="D1825" s="67" t="str">
        <f>IF(C1825="","",IFERROR(INDEX(eq_des,MATCH(C1825,eq_code,0))&amp;"","Équipement inconnu"))</f>
        <v/>
      </c>
      <c r="E1825" s="68" t="n"/>
      <c r="F1825" s="68" t="n"/>
      <c r="G1825" s="66" t="n"/>
      <c r="H1825" s="66" t="n"/>
      <c r="I1825" s="68" t="n"/>
      <c r="J1825" s="73" t="n"/>
      <c r="K1825" s="71" t="n"/>
      <c r="L1825" s="71" t="n"/>
      <c r="M1825" s="66" t="n"/>
      <c r="N1825" s="80" t="n"/>
      <c r="O1825" s="81" t="str">
        <f>IF(A1825="","",ROUND(V1825*IFERROR(N(INDEX(tech_rate,MATCH(M1825,tech_name,0))),0),2))</f>
        <v/>
      </c>
      <c r="P1825" s="80" t="n"/>
      <c r="Q1825" s="81" t="str">
        <f>IF(A1825="","",ROUND(Y1825+O1825+Z1825,2))</f>
        <v/>
      </c>
      <c r="R1825" s="79" t="str">
        <f>IF(A1825="","",IF(S1825=0,"Date manquante ou invalide",IF(C1825="","Équipement manquant",IF(ISNA(MATCH(C1825,eq_code,0)),"Équipement inconnu",IF(E1825="","Type manquant",IF(AND(E1825&lt;&gt;"Préventif",E1825&lt;&gt;"Correctif",E1825&lt;&gt;"Amélioratif"),"Type inconnu",IF(I1825="","Statut manquant",IF(AND(I1825&lt;&gt;"Terminée",I1825&lt;&gt;"En cours",I1825&lt;&gt;"À faire",I1825&lt;&gt;"Annulée"),"Statut inconnu",IF(AND(E1825="Préventif",F1825=""),"Plan manquant (préventif)",IF(AND(F1825&lt;&gt;"",ISNA(MATCH(F1825,pl_num,0))),"Plan inconnu",IF(AND(F1825&lt;&gt;"",IFERROR(INDEX(pl_eq,MATCH(F1825,pl_num,0))&amp;"",C1825)&lt;&gt;C1825),"Plan d'un autre équipement",IF(AND(J1825&lt;&gt;"",OR(NOT(ISNUMBER(J1825)),N(J1825)&lt;0)),"Compteur invalide",IF(OR(AND(K1825&lt;&gt;"",OR(NOT(ISNUMBER(K1825)),N(K1825)&lt;0)),AND(L1825&lt;&gt;"",OR(NOT(ISNUMBER(L1825)),N(L1825)&lt;0))),"Durée invalide",IF(OR(AND(N1825&lt;&gt;"",OR(NOT(ISNUMBER(N1825)),N(N1825)&lt;0)),AND(P1825&lt;&gt;"",OR(NOT(ISNUMBER(P1825)),N(P1825)&lt;0))),"Coût invalide",IF(AND(M1825&lt;&gt;"",ISNA(MATCH(M1825,tech_name,0))),"Technicien inconnu",IF(AND(I1825="Terminée",S1825&gt;p_today),"Terminée à une date future",IF(AND(I1825="Terminée",V1825=0),"Durée d'intervention manquante",IF(AND(I1825="Terminée",E1825="Préventif",T1825=0,OR(IFERROR(INDEX(pl_trig,MATCH(F1825,pl_num,0))&amp;"","")="Compteur",IFERROR(INDEX(pl_trig,MATCH(F1825,pl_num,0))&amp;"","")="Au premier des deux")),"Compteur manquant (plan au compteur)","OK"))))))))))))))))))</f>
        <v/>
      </c>
      <c r="S1825" s="67">
        <f>IF(AND(ISNUMBER(B1825),N(B1825)&gt;0),INT(B1825),0)</f>
        <v>0.0</v>
      </c>
      <c r="T1825" s="67">
        <f>IF(AND(ISNUMBER(J1825),N(J1825)&gt;=0),N(J1825),0)</f>
        <v>0.0</v>
      </c>
      <c r="U1825" s="67">
        <f>IF(AND(ISNUMBER(K1825),N(K1825)&gt;0),N(K1825),0)</f>
        <v>0.0</v>
      </c>
      <c r="V1825" s="67">
        <f>IF(AND(ISNUMBER(L1825),N(L1825)&gt;0),N(L1825),0)</f>
        <v>0.0</v>
      </c>
      <c r="W1825" s="67">
        <f>IF(AND(I1825="Terminée",S1825&gt;0,C1825&lt;&gt;"",ISNUMBER(MATCH(C1825,eq_code,0))),1,0)</f>
        <v>0.0</v>
      </c>
      <c r="X1825" s="67">
        <f>IF(AND(W1825=1,E1825="Préventif"),1,0)</f>
        <v>0.0</v>
      </c>
      <c r="Y1825" s="67">
        <f>IF(AND(ISNUMBER(N1825),N(N1825)&gt;0),N(N1825),0)</f>
        <v>0.0</v>
      </c>
      <c r="Z1825" s="67">
        <f>IF(AND(ISNUMBER(P1825),N(P1825)&gt;0),N(P1825),0)</f>
        <v>0.0</v>
      </c>
    </row>
    <row r="1826">
      <c r="A1826" s="79" t="str">
        <f>IF(COUNTA(B1826:C1826,E1826:G1826,I1826)=0,"","BI-"&amp;RIGHT("0000"&amp;(ROW()-5),4))</f>
        <v/>
      </c>
      <c r="B1826" s="72" t="n"/>
      <c r="C1826" s="66" t="n"/>
      <c r="D1826" s="67" t="str">
        <f>IF(C1826="","",IFERROR(INDEX(eq_des,MATCH(C1826,eq_code,0))&amp;"","Équipement inconnu"))</f>
        <v/>
      </c>
      <c r="E1826" s="68" t="n"/>
      <c r="F1826" s="68" t="n"/>
      <c r="G1826" s="66" t="n"/>
      <c r="H1826" s="66" t="n"/>
      <c r="I1826" s="68" t="n"/>
      <c r="J1826" s="73" t="n"/>
      <c r="K1826" s="71" t="n"/>
      <c r="L1826" s="71" t="n"/>
      <c r="M1826" s="66" t="n"/>
      <c r="N1826" s="80" t="n"/>
      <c r="O1826" s="81" t="str">
        <f>IF(A1826="","",ROUND(V1826*IFERROR(N(INDEX(tech_rate,MATCH(M1826,tech_name,0))),0),2))</f>
        <v/>
      </c>
      <c r="P1826" s="80" t="n"/>
      <c r="Q1826" s="81" t="str">
        <f>IF(A1826="","",ROUND(Y1826+O1826+Z1826,2))</f>
        <v/>
      </c>
      <c r="R1826" s="79" t="str">
        <f>IF(A1826="","",IF(S1826=0,"Date manquante ou invalide",IF(C1826="","Équipement manquant",IF(ISNA(MATCH(C1826,eq_code,0)),"Équipement inconnu",IF(E1826="","Type manquant",IF(AND(E1826&lt;&gt;"Préventif",E1826&lt;&gt;"Correctif",E1826&lt;&gt;"Amélioratif"),"Type inconnu",IF(I1826="","Statut manquant",IF(AND(I1826&lt;&gt;"Terminée",I1826&lt;&gt;"En cours",I1826&lt;&gt;"À faire",I1826&lt;&gt;"Annulée"),"Statut inconnu",IF(AND(E1826="Préventif",F1826=""),"Plan manquant (préventif)",IF(AND(F1826&lt;&gt;"",ISNA(MATCH(F1826,pl_num,0))),"Plan inconnu",IF(AND(F1826&lt;&gt;"",IFERROR(INDEX(pl_eq,MATCH(F1826,pl_num,0))&amp;"",C1826)&lt;&gt;C1826),"Plan d'un autre équipement",IF(AND(J1826&lt;&gt;"",OR(NOT(ISNUMBER(J1826)),N(J1826)&lt;0)),"Compteur invalide",IF(OR(AND(K1826&lt;&gt;"",OR(NOT(ISNUMBER(K1826)),N(K1826)&lt;0)),AND(L1826&lt;&gt;"",OR(NOT(ISNUMBER(L1826)),N(L1826)&lt;0))),"Durée invalide",IF(OR(AND(N1826&lt;&gt;"",OR(NOT(ISNUMBER(N1826)),N(N1826)&lt;0)),AND(P1826&lt;&gt;"",OR(NOT(ISNUMBER(P1826)),N(P1826)&lt;0))),"Coût invalide",IF(AND(M1826&lt;&gt;"",ISNA(MATCH(M1826,tech_name,0))),"Technicien inconnu",IF(AND(I1826="Terminée",S1826&gt;p_today),"Terminée à une date future",IF(AND(I1826="Terminée",V1826=0),"Durée d'intervention manquante",IF(AND(I1826="Terminée",E1826="Préventif",T1826=0,OR(IFERROR(INDEX(pl_trig,MATCH(F1826,pl_num,0))&amp;"","")="Compteur",IFERROR(INDEX(pl_trig,MATCH(F1826,pl_num,0))&amp;"","")="Au premier des deux")),"Compteur manquant (plan au compteur)","OK"))))))))))))))))))</f>
        <v/>
      </c>
      <c r="S1826" s="67">
        <f>IF(AND(ISNUMBER(B1826),N(B1826)&gt;0),INT(B1826),0)</f>
        <v>0.0</v>
      </c>
      <c r="T1826" s="67">
        <f>IF(AND(ISNUMBER(J1826),N(J1826)&gt;=0),N(J1826),0)</f>
        <v>0.0</v>
      </c>
      <c r="U1826" s="67">
        <f>IF(AND(ISNUMBER(K1826),N(K1826)&gt;0),N(K1826),0)</f>
        <v>0.0</v>
      </c>
      <c r="V1826" s="67">
        <f>IF(AND(ISNUMBER(L1826),N(L1826)&gt;0),N(L1826),0)</f>
        <v>0.0</v>
      </c>
      <c r="W1826" s="67">
        <f>IF(AND(I1826="Terminée",S1826&gt;0,C1826&lt;&gt;"",ISNUMBER(MATCH(C1826,eq_code,0))),1,0)</f>
        <v>0.0</v>
      </c>
      <c r="X1826" s="67">
        <f>IF(AND(W1826=1,E1826="Préventif"),1,0)</f>
        <v>0.0</v>
      </c>
      <c r="Y1826" s="67">
        <f>IF(AND(ISNUMBER(N1826),N(N1826)&gt;0),N(N1826),0)</f>
        <v>0.0</v>
      </c>
      <c r="Z1826" s="67">
        <f>IF(AND(ISNUMBER(P1826),N(P1826)&gt;0),N(P1826),0)</f>
        <v>0.0</v>
      </c>
    </row>
    <row r="1827">
      <c r="A1827" s="79" t="str">
        <f>IF(COUNTA(B1827:C1827,E1827:G1827,I1827)=0,"","BI-"&amp;RIGHT("0000"&amp;(ROW()-5),4))</f>
        <v/>
      </c>
      <c r="B1827" s="72" t="n"/>
      <c r="C1827" s="66" t="n"/>
      <c r="D1827" s="67" t="str">
        <f>IF(C1827="","",IFERROR(INDEX(eq_des,MATCH(C1827,eq_code,0))&amp;"","Équipement inconnu"))</f>
        <v/>
      </c>
      <c r="E1827" s="68" t="n"/>
      <c r="F1827" s="68" t="n"/>
      <c r="G1827" s="66" t="n"/>
      <c r="H1827" s="66" t="n"/>
      <c r="I1827" s="68" t="n"/>
      <c r="J1827" s="73" t="n"/>
      <c r="K1827" s="71" t="n"/>
      <c r="L1827" s="71" t="n"/>
      <c r="M1827" s="66" t="n"/>
      <c r="N1827" s="80" t="n"/>
      <c r="O1827" s="81" t="str">
        <f>IF(A1827="","",ROUND(V1827*IFERROR(N(INDEX(tech_rate,MATCH(M1827,tech_name,0))),0),2))</f>
        <v/>
      </c>
      <c r="P1827" s="80" t="n"/>
      <c r="Q1827" s="81" t="str">
        <f>IF(A1827="","",ROUND(Y1827+O1827+Z1827,2))</f>
        <v/>
      </c>
      <c r="R1827" s="79" t="str">
        <f>IF(A1827="","",IF(S1827=0,"Date manquante ou invalide",IF(C1827="","Équipement manquant",IF(ISNA(MATCH(C1827,eq_code,0)),"Équipement inconnu",IF(E1827="","Type manquant",IF(AND(E1827&lt;&gt;"Préventif",E1827&lt;&gt;"Correctif",E1827&lt;&gt;"Amélioratif"),"Type inconnu",IF(I1827="","Statut manquant",IF(AND(I1827&lt;&gt;"Terminée",I1827&lt;&gt;"En cours",I1827&lt;&gt;"À faire",I1827&lt;&gt;"Annulée"),"Statut inconnu",IF(AND(E1827="Préventif",F1827=""),"Plan manquant (préventif)",IF(AND(F1827&lt;&gt;"",ISNA(MATCH(F1827,pl_num,0))),"Plan inconnu",IF(AND(F1827&lt;&gt;"",IFERROR(INDEX(pl_eq,MATCH(F1827,pl_num,0))&amp;"",C1827)&lt;&gt;C1827),"Plan d'un autre équipement",IF(AND(J1827&lt;&gt;"",OR(NOT(ISNUMBER(J1827)),N(J1827)&lt;0)),"Compteur invalide",IF(OR(AND(K1827&lt;&gt;"",OR(NOT(ISNUMBER(K1827)),N(K1827)&lt;0)),AND(L1827&lt;&gt;"",OR(NOT(ISNUMBER(L1827)),N(L1827)&lt;0))),"Durée invalide",IF(OR(AND(N1827&lt;&gt;"",OR(NOT(ISNUMBER(N1827)),N(N1827)&lt;0)),AND(P1827&lt;&gt;"",OR(NOT(ISNUMBER(P1827)),N(P1827)&lt;0))),"Coût invalide",IF(AND(M1827&lt;&gt;"",ISNA(MATCH(M1827,tech_name,0))),"Technicien inconnu",IF(AND(I1827="Terminée",S1827&gt;p_today),"Terminée à une date future",IF(AND(I1827="Terminée",V1827=0),"Durée d'intervention manquante",IF(AND(I1827="Terminée",E1827="Préventif",T1827=0,OR(IFERROR(INDEX(pl_trig,MATCH(F1827,pl_num,0))&amp;"","")="Compteur",IFERROR(INDEX(pl_trig,MATCH(F1827,pl_num,0))&amp;"","")="Au premier des deux")),"Compteur manquant (plan au compteur)","OK"))))))))))))))))))</f>
        <v/>
      </c>
      <c r="S1827" s="67">
        <f>IF(AND(ISNUMBER(B1827),N(B1827)&gt;0),INT(B1827),0)</f>
        <v>0.0</v>
      </c>
      <c r="T1827" s="67">
        <f>IF(AND(ISNUMBER(J1827),N(J1827)&gt;=0),N(J1827),0)</f>
        <v>0.0</v>
      </c>
      <c r="U1827" s="67">
        <f>IF(AND(ISNUMBER(K1827),N(K1827)&gt;0),N(K1827),0)</f>
        <v>0.0</v>
      </c>
      <c r="V1827" s="67">
        <f>IF(AND(ISNUMBER(L1827),N(L1827)&gt;0),N(L1827),0)</f>
        <v>0.0</v>
      </c>
      <c r="W1827" s="67">
        <f>IF(AND(I1827="Terminée",S1827&gt;0,C1827&lt;&gt;"",ISNUMBER(MATCH(C1827,eq_code,0))),1,0)</f>
        <v>0.0</v>
      </c>
      <c r="X1827" s="67">
        <f>IF(AND(W1827=1,E1827="Préventif"),1,0)</f>
        <v>0.0</v>
      </c>
      <c r="Y1827" s="67">
        <f>IF(AND(ISNUMBER(N1827),N(N1827)&gt;0),N(N1827),0)</f>
        <v>0.0</v>
      </c>
      <c r="Z1827" s="67">
        <f>IF(AND(ISNUMBER(P1827),N(P1827)&gt;0),N(P1827),0)</f>
        <v>0.0</v>
      </c>
    </row>
    <row r="1828">
      <c r="A1828" s="79" t="str">
        <f>IF(COUNTA(B1828:C1828,E1828:G1828,I1828)=0,"","BI-"&amp;RIGHT("0000"&amp;(ROW()-5),4))</f>
        <v/>
      </c>
      <c r="B1828" s="72" t="n"/>
      <c r="C1828" s="66" t="n"/>
      <c r="D1828" s="67" t="str">
        <f>IF(C1828="","",IFERROR(INDEX(eq_des,MATCH(C1828,eq_code,0))&amp;"","Équipement inconnu"))</f>
        <v/>
      </c>
      <c r="E1828" s="68" t="n"/>
      <c r="F1828" s="68" t="n"/>
      <c r="G1828" s="66" t="n"/>
      <c r="H1828" s="66" t="n"/>
      <c r="I1828" s="68" t="n"/>
      <c r="J1828" s="73" t="n"/>
      <c r="K1828" s="71" t="n"/>
      <c r="L1828" s="71" t="n"/>
      <c r="M1828" s="66" t="n"/>
      <c r="N1828" s="80" t="n"/>
      <c r="O1828" s="81" t="str">
        <f>IF(A1828="","",ROUND(V1828*IFERROR(N(INDEX(tech_rate,MATCH(M1828,tech_name,0))),0),2))</f>
        <v/>
      </c>
      <c r="P1828" s="80" t="n"/>
      <c r="Q1828" s="81" t="str">
        <f>IF(A1828="","",ROUND(Y1828+O1828+Z1828,2))</f>
        <v/>
      </c>
      <c r="R1828" s="79" t="str">
        <f>IF(A1828="","",IF(S1828=0,"Date manquante ou invalide",IF(C1828="","Équipement manquant",IF(ISNA(MATCH(C1828,eq_code,0)),"Équipement inconnu",IF(E1828="","Type manquant",IF(AND(E1828&lt;&gt;"Préventif",E1828&lt;&gt;"Correctif",E1828&lt;&gt;"Amélioratif"),"Type inconnu",IF(I1828="","Statut manquant",IF(AND(I1828&lt;&gt;"Terminée",I1828&lt;&gt;"En cours",I1828&lt;&gt;"À faire",I1828&lt;&gt;"Annulée"),"Statut inconnu",IF(AND(E1828="Préventif",F1828=""),"Plan manquant (préventif)",IF(AND(F1828&lt;&gt;"",ISNA(MATCH(F1828,pl_num,0))),"Plan inconnu",IF(AND(F1828&lt;&gt;"",IFERROR(INDEX(pl_eq,MATCH(F1828,pl_num,0))&amp;"",C1828)&lt;&gt;C1828),"Plan d'un autre équipement",IF(AND(J1828&lt;&gt;"",OR(NOT(ISNUMBER(J1828)),N(J1828)&lt;0)),"Compteur invalide",IF(OR(AND(K1828&lt;&gt;"",OR(NOT(ISNUMBER(K1828)),N(K1828)&lt;0)),AND(L1828&lt;&gt;"",OR(NOT(ISNUMBER(L1828)),N(L1828)&lt;0))),"Durée invalide",IF(OR(AND(N1828&lt;&gt;"",OR(NOT(ISNUMBER(N1828)),N(N1828)&lt;0)),AND(P1828&lt;&gt;"",OR(NOT(ISNUMBER(P1828)),N(P1828)&lt;0))),"Coût invalide",IF(AND(M1828&lt;&gt;"",ISNA(MATCH(M1828,tech_name,0))),"Technicien inconnu",IF(AND(I1828="Terminée",S1828&gt;p_today),"Terminée à une date future",IF(AND(I1828="Terminée",V1828=0),"Durée d'intervention manquante",IF(AND(I1828="Terminée",E1828="Préventif",T1828=0,OR(IFERROR(INDEX(pl_trig,MATCH(F1828,pl_num,0))&amp;"","")="Compteur",IFERROR(INDEX(pl_trig,MATCH(F1828,pl_num,0))&amp;"","")="Au premier des deux")),"Compteur manquant (plan au compteur)","OK"))))))))))))))))))</f>
        <v/>
      </c>
      <c r="S1828" s="67">
        <f>IF(AND(ISNUMBER(B1828),N(B1828)&gt;0),INT(B1828),0)</f>
        <v>0.0</v>
      </c>
      <c r="T1828" s="67">
        <f>IF(AND(ISNUMBER(J1828),N(J1828)&gt;=0),N(J1828),0)</f>
        <v>0.0</v>
      </c>
      <c r="U1828" s="67">
        <f>IF(AND(ISNUMBER(K1828),N(K1828)&gt;0),N(K1828),0)</f>
        <v>0.0</v>
      </c>
      <c r="V1828" s="67">
        <f>IF(AND(ISNUMBER(L1828),N(L1828)&gt;0),N(L1828),0)</f>
        <v>0.0</v>
      </c>
      <c r="W1828" s="67">
        <f>IF(AND(I1828="Terminée",S1828&gt;0,C1828&lt;&gt;"",ISNUMBER(MATCH(C1828,eq_code,0))),1,0)</f>
        <v>0.0</v>
      </c>
      <c r="X1828" s="67">
        <f>IF(AND(W1828=1,E1828="Préventif"),1,0)</f>
        <v>0.0</v>
      </c>
      <c r="Y1828" s="67">
        <f>IF(AND(ISNUMBER(N1828),N(N1828)&gt;0),N(N1828),0)</f>
        <v>0.0</v>
      </c>
      <c r="Z1828" s="67">
        <f>IF(AND(ISNUMBER(P1828),N(P1828)&gt;0),N(P1828),0)</f>
        <v>0.0</v>
      </c>
    </row>
    <row r="1829">
      <c r="A1829" s="79" t="str">
        <f>IF(COUNTA(B1829:C1829,E1829:G1829,I1829)=0,"","BI-"&amp;RIGHT("0000"&amp;(ROW()-5),4))</f>
        <v/>
      </c>
      <c r="B1829" s="72" t="n"/>
      <c r="C1829" s="66" t="n"/>
      <c r="D1829" s="67" t="str">
        <f>IF(C1829="","",IFERROR(INDEX(eq_des,MATCH(C1829,eq_code,0))&amp;"","Équipement inconnu"))</f>
        <v/>
      </c>
      <c r="E1829" s="68" t="n"/>
      <c r="F1829" s="68" t="n"/>
      <c r="G1829" s="66" t="n"/>
      <c r="H1829" s="66" t="n"/>
      <c r="I1829" s="68" t="n"/>
      <c r="J1829" s="73" t="n"/>
      <c r="K1829" s="71" t="n"/>
      <c r="L1829" s="71" t="n"/>
      <c r="M1829" s="66" t="n"/>
      <c r="N1829" s="80" t="n"/>
      <c r="O1829" s="81" t="str">
        <f>IF(A1829="","",ROUND(V1829*IFERROR(N(INDEX(tech_rate,MATCH(M1829,tech_name,0))),0),2))</f>
        <v/>
      </c>
      <c r="P1829" s="80" t="n"/>
      <c r="Q1829" s="81" t="str">
        <f>IF(A1829="","",ROUND(Y1829+O1829+Z1829,2))</f>
        <v/>
      </c>
      <c r="R1829" s="79" t="str">
        <f>IF(A1829="","",IF(S1829=0,"Date manquante ou invalide",IF(C1829="","Équipement manquant",IF(ISNA(MATCH(C1829,eq_code,0)),"Équipement inconnu",IF(E1829="","Type manquant",IF(AND(E1829&lt;&gt;"Préventif",E1829&lt;&gt;"Correctif",E1829&lt;&gt;"Amélioratif"),"Type inconnu",IF(I1829="","Statut manquant",IF(AND(I1829&lt;&gt;"Terminée",I1829&lt;&gt;"En cours",I1829&lt;&gt;"À faire",I1829&lt;&gt;"Annulée"),"Statut inconnu",IF(AND(E1829="Préventif",F1829=""),"Plan manquant (préventif)",IF(AND(F1829&lt;&gt;"",ISNA(MATCH(F1829,pl_num,0))),"Plan inconnu",IF(AND(F1829&lt;&gt;"",IFERROR(INDEX(pl_eq,MATCH(F1829,pl_num,0))&amp;"",C1829)&lt;&gt;C1829),"Plan d'un autre équipement",IF(AND(J1829&lt;&gt;"",OR(NOT(ISNUMBER(J1829)),N(J1829)&lt;0)),"Compteur invalide",IF(OR(AND(K1829&lt;&gt;"",OR(NOT(ISNUMBER(K1829)),N(K1829)&lt;0)),AND(L1829&lt;&gt;"",OR(NOT(ISNUMBER(L1829)),N(L1829)&lt;0))),"Durée invalide",IF(OR(AND(N1829&lt;&gt;"",OR(NOT(ISNUMBER(N1829)),N(N1829)&lt;0)),AND(P1829&lt;&gt;"",OR(NOT(ISNUMBER(P1829)),N(P1829)&lt;0))),"Coût invalide",IF(AND(M1829&lt;&gt;"",ISNA(MATCH(M1829,tech_name,0))),"Technicien inconnu",IF(AND(I1829="Terminée",S1829&gt;p_today),"Terminée à une date future",IF(AND(I1829="Terminée",V1829=0),"Durée d'intervention manquante",IF(AND(I1829="Terminée",E1829="Préventif",T1829=0,OR(IFERROR(INDEX(pl_trig,MATCH(F1829,pl_num,0))&amp;"","")="Compteur",IFERROR(INDEX(pl_trig,MATCH(F1829,pl_num,0))&amp;"","")="Au premier des deux")),"Compteur manquant (plan au compteur)","OK"))))))))))))))))))</f>
        <v/>
      </c>
      <c r="S1829" s="67">
        <f>IF(AND(ISNUMBER(B1829),N(B1829)&gt;0),INT(B1829),0)</f>
        <v>0.0</v>
      </c>
      <c r="T1829" s="67">
        <f>IF(AND(ISNUMBER(J1829),N(J1829)&gt;=0),N(J1829),0)</f>
        <v>0.0</v>
      </c>
      <c r="U1829" s="67">
        <f>IF(AND(ISNUMBER(K1829),N(K1829)&gt;0),N(K1829),0)</f>
        <v>0.0</v>
      </c>
      <c r="V1829" s="67">
        <f>IF(AND(ISNUMBER(L1829),N(L1829)&gt;0),N(L1829),0)</f>
        <v>0.0</v>
      </c>
      <c r="W1829" s="67">
        <f>IF(AND(I1829="Terminée",S1829&gt;0,C1829&lt;&gt;"",ISNUMBER(MATCH(C1829,eq_code,0))),1,0)</f>
        <v>0.0</v>
      </c>
      <c r="X1829" s="67">
        <f>IF(AND(W1829=1,E1829="Préventif"),1,0)</f>
        <v>0.0</v>
      </c>
      <c r="Y1829" s="67">
        <f>IF(AND(ISNUMBER(N1829),N(N1829)&gt;0),N(N1829),0)</f>
        <v>0.0</v>
      </c>
      <c r="Z1829" s="67">
        <f>IF(AND(ISNUMBER(P1829),N(P1829)&gt;0),N(P1829),0)</f>
        <v>0.0</v>
      </c>
    </row>
    <row r="1830">
      <c r="A1830" s="79" t="str">
        <f>IF(COUNTA(B1830:C1830,E1830:G1830,I1830)=0,"","BI-"&amp;RIGHT("0000"&amp;(ROW()-5),4))</f>
        <v/>
      </c>
      <c r="B1830" s="72" t="n"/>
      <c r="C1830" s="66" t="n"/>
      <c r="D1830" s="67" t="str">
        <f>IF(C1830="","",IFERROR(INDEX(eq_des,MATCH(C1830,eq_code,0))&amp;"","Équipement inconnu"))</f>
        <v/>
      </c>
      <c r="E1830" s="68" t="n"/>
      <c r="F1830" s="68" t="n"/>
      <c r="G1830" s="66" t="n"/>
      <c r="H1830" s="66" t="n"/>
      <c r="I1830" s="68" t="n"/>
      <c r="J1830" s="73" t="n"/>
      <c r="K1830" s="71" t="n"/>
      <c r="L1830" s="71" t="n"/>
      <c r="M1830" s="66" t="n"/>
      <c r="N1830" s="80" t="n"/>
      <c r="O1830" s="81" t="str">
        <f>IF(A1830="","",ROUND(V1830*IFERROR(N(INDEX(tech_rate,MATCH(M1830,tech_name,0))),0),2))</f>
        <v/>
      </c>
      <c r="P1830" s="80" t="n"/>
      <c r="Q1830" s="81" t="str">
        <f>IF(A1830="","",ROUND(Y1830+O1830+Z1830,2))</f>
        <v/>
      </c>
      <c r="R1830" s="79" t="str">
        <f>IF(A1830="","",IF(S1830=0,"Date manquante ou invalide",IF(C1830="","Équipement manquant",IF(ISNA(MATCH(C1830,eq_code,0)),"Équipement inconnu",IF(E1830="","Type manquant",IF(AND(E1830&lt;&gt;"Préventif",E1830&lt;&gt;"Correctif",E1830&lt;&gt;"Amélioratif"),"Type inconnu",IF(I1830="","Statut manquant",IF(AND(I1830&lt;&gt;"Terminée",I1830&lt;&gt;"En cours",I1830&lt;&gt;"À faire",I1830&lt;&gt;"Annulée"),"Statut inconnu",IF(AND(E1830="Préventif",F1830=""),"Plan manquant (préventif)",IF(AND(F1830&lt;&gt;"",ISNA(MATCH(F1830,pl_num,0))),"Plan inconnu",IF(AND(F1830&lt;&gt;"",IFERROR(INDEX(pl_eq,MATCH(F1830,pl_num,0))&amp;"",C1830)&lt;&gt;C1830),"Plan d'un autre équipement",IF(AND(J1830&lt;&gt;"",OR(NOT(ISNUMBER(J1830)),N(J1830)&lt;0)),"Compteur invalide",IF(OR(AND(K1830&lt;&gt;"",OR(NOT(ISNUMBER(K1830)),N(K1830)&lt;0)),AND(L1830&lt;&gt;"",OR(NOT(ISNUMBER(L1830)),N(L1830)&lt;0))),"Durée invalide",IF(OR(AND(N1830&lt;&gt;"",OR(NOT(ISNUMBER(N1830)),N(N1830)&lt;0)),AND(P1830&lt;&gt;"",OR(NOT(ISNUMBER(P1830)),N(P1830)&lt;0))),"Coût invalide",IF(AND(M1830&lt;&gt;"",ISNA(MATCH(M1830,tech_name,0))),"Technicien inconnu",IF(AND(I1830="Terminée",S1830&gt;p_today),"Terminée à une date future",IF(AND(I1830="Terminée",V1830=0),"Durée d'intervention manquante",IF(AND(I1830="Terminée",E1830="Préventif",T1830=0,OR(IFERROR(INDEX(pl_trig,MATCH(F1830,pl_num,0))&amp;"","")="Compteur",IFERROR(INDEX(pl_trig,MATCH(F1830,pl_num,0))&amp;"","")="Au premier des deux")),"Compteur manquant (plan au compteur)","OK"))))))))))))))))))</f>
        <v/>
      </c>
      <c r="S1830" s="67">
        <f>IF(AND(ISNUMBER(B1830),N(B1830)&gt;0),INT(B1830),0)</f>
        <v>0.0</v>
      </c>
      <c r="T1830" s="67">
        <f>IF(AND(ISNUMBER(J1830),N(J1830)&gt;=0),N(J1830),0)</f>
        <v>0.0</v>
      </c>
      <c r="U1830" s="67">
        <f>IF(AND(ISNUMBER(K1830),N(K1830)&gt;0),N(K1830),0)</f>
        <v>0.0</v>
      </c>
      <c r="V1830" s="67">
        <f>IF(AND(ISNUMBER(L1830),N(L1830)&gt;0),N(L1830),0)</f>
        <v>0.0</v>
      </c>
      <c r="W1830" s="67">
        <f>IF(AND(I1830="Terminée",S1830&gt;0,C1830&lt;&gt;"",ISNUMBER(MATCH(C1830,eq_code,0))),1,0)</f>
        <v>0.0</v>
      </c>
      <c r="X1830" s="67">
        <f>IF(AND(W1830=1,E1830="Préventif"),1,0)</f>
        <v>0.0</v>
      </c>
      <c r="Y1830" s="67">
        <f>IF(AND(ISNUMBER(N1830),N(N1830)&gt;0),N(N1830),0)</f>
        <v>0.0</v>
      </c>
      <c r="Z1830" s="67">
        <f>IF(AND(ISNUMBER(P1830),N(P1830)&gt;0),N(P1830),0)</f>
        <v>0.0</v>
      </c>
    </row>
    <row r="1831">
      <c r="A1831" s="79" t="str">
        <f>IF(COUNTA(B1831:C1831,E1831:G1831,I1831)=0,"","BI-"&amp;RIGHT("0000"&amp;(ROW()-5),4))</f>
        <v/>
      </c>
      <c r="B1831" s="72" t="n"/>
      <c r="C1831" s="66" t="n"/>
      <c r="D1831" s="67" t="str">
        <f>IF(C1831="","",IFERROR(INDEX(eq_des,MATCH(C1831,eq_code,0))&amp;"","Équipement inconnu"))</f>
        <v/>
      </c>
      <c r="E1831" s="68" t="n"/>
      <c r="F1831" s="68" t="n"/>
      <c r="G1831" s="66" t="n"/>
      <c r="H1831" s="66" t="n"/>
      <c r="I1831" s="68" t="n"/>
      <c r="J1831" s="73" t="n"/>
      <c r="K1831" s="71" t="n"/>
      <c r="L1831" s="71" t="n"/>
      <c r="M1831" s="66" t="n"/>
      <c r="N1831" s="80" t="n"/>
      <c r="O1831" s="81" t="str">
        <f>IF(A1831="","",ROUND(V1831*IFERROR(N(INDEX(tech_rate,MATCH(M1831,tech_name,0))),0),2))</f>
        <v/>
      </c>
      <c r="P1831" s="80" t="n"/>
      <c r="Q1831" s="81" t="str">
        <f>IF(A1831="","",ROUND(Y1831+O1831+Z1831,2))</f>
        <v/>
      </c>
      <c r="R1831" s="79" t="str">
        <f>IF(A1831="","",IF(S1831=0,"Date manquante ou invalide",IF(C1831="","Équipement manquant",IF(ISNA(MATCH(C1831,eq_code,0)),"Équipement inconnu",IF(E1831="","Type manquant",IF(AND(E1831&lt;&gt;"Préventif",E1831&lt;&gt;"Correctif",E1831&lt;&gt;"Amélioratif"),"Type inconnu",IF(I1831="","Statut manquant",IF(AND(I1831&lt;&gt;"Terminée",I1831&lt;&gt;"En cours",I1831&lt;&gt;"À faire",I1831&lt;&gt;"Annulée"),"Statut inconnu",IF(AND(E1831="Préventif",F1831=""),"Plan manquant (préventif)",IF(AND(F1831&lt;&gt;"",ISNA(MATCH(F1831,pl_num,0))),"Plan inconnu",IF(AND(F1831&lt;&gt;"",IFERROR(INDEX(pl_eq,MATCH(F1831,pl_num,0))&amp;"",C1831)&lt;&gt;C1831),"Plan d'un autre équipement",IF(AND(J1831&lt;&gt;"",OR(NOT(ISNUMBER(J1831)),N(J1831)&lt;0)),"Compteur invalide",IF(OR(AND(K1831&lt;&gt;"",OR(NOT(ISNUMBER(K1831)),N(K1831)&lt;0)),AND(L1831&lt;&gt;"",OR(NOT(ISNUMBER(L1831)),N(L1831)&lt;0))),"Durée invalide",IF(OR(AND(N1831&lt;&gt;"",OR(NOT(ISNUMBER(N1831)),N(N1831)&lt;0)),AND(P1831&lt;&gt;"",OR(NOT(ISNUMBER(P1831)),N(P1831)&lt;0))),"Coût invalide",IF(AND(M1831&lt;&gt;"",ISNA(MATCH(M1831,tech_name,0))),"Technicien inconnu",IF(AND(I1831="Terminée",S1831&gt;p_today),"Terminée à une date future",IF(AND(I1831="Terminée",V1831=0),"Durée d'intervention manquante",IF(AND(I1831="Terminée",E1831="Préventif",T1831=0,OR(IFERROR(INDEX(pl_trig,MATCH(F1831,pl_num,0))&amp;"","")="Compteur",IFERROR(INDEX(pl_trig,MATCH(F1831,pl_num,0))&amp;"","")="Au premier des deux")),"Compteur manquant (plan au compteur)","OK"))))))))))))))))))</f>
        <v/>
      </c>
      <c r="S1831" s="67">
        <f>IF(AND(ISNUMBER(B1831),N(B1831)&gt;0),INT(B1831),0)</f>
        <v>0.0</v>
      </c>
      <c r="T1831" s="67">
        <f>IF(AND(ISNUMBER(J1831),N(J1831)&gt;=0),N(J1831),0)</f>
        <v>0.0</v>
      </c>
      <c r="U1831" s="67">
        <f>IF(AND(ISNUMBER(K1831),N(K1831)&gt;0),N(K1831),0)</f>
        <v>0.0</v>
      </c>
      <c r="V1831" s="67">
        <f>IF(AND(ISNUMBER(L1831),N(L1831)&gt;0),N(L1831),0)</f>
        <v>0.0</v>
      </c>
      <c r="W1831" s="67">
        <f>IF(AND(I1831="Terminée",S1831&gt;0,C1831&lt;&gt;"",ISNUMBER(MATCH(C1831,eq_code,0))),1,0)</f>
        <v>0.0</v>
      </c>
      <c r="X1831" s="67">
        <f>IF(AND(W1831=1,E1831="Préventif"),1,0)</f>
        <v>0.0</v>
      </c>
      <c r="Y1831" s="67">
        <f>IF(AND(ISNUMBER(N1831),N(N1831)&gt;0),N(N1831),0)</f>
        <v>0.0</v>
      </c>
      <c r="Z1831" s="67">
        <f>IF(AND(ISNUMBER(P1831),N(P1831)&gt;0),N(P1831),0)</f>
        <v>0.0</v>
      </c>
    </row>
    <row r="1832">
      <c r="A1832" s="79" t="str">
        <f>IF(COUNTA(B1832:C1832,E1832:G1832,I1832)=0,"","BI-"&amp;RIGHT("0000"&amp;(ROW()-5),4))</f>
        <v/>
      </c>
      <c r="B1832" s="72" t="n"/>
      <c r="C1832" s="66" t="n"/>
      <c r="D1832" s="67" t="str">
        <f>IF(C1832="","",IFERROR(INDEX(eq_des,MATCH(C1832,eq_code,0))&amp;"","Équipement inconnu"))</f>
        <v/>
      </c>
      <c r="E1832" s="68" t="n"/>
      <c r="F1832" s="68" t="n"/>
      <c r="G1832" s="66" t="n"/>
      <c r="H1832" s="66" t="n"/>
      <c r="I1832" s="68" t="n"/>
      <c r="J1832" s="73" t="n"/>
      <c r="K1832" s="71" t="n"/>
      <c r="L1832" s="71" t="n"/>
      <c r="M1832" s="66" t="n"/>
      <c r="N1832" s="80" t="n"/>
      <c r="O1832" s="81" t="str">
        <f>IF(A1832="","",ROUND(V1832*IFERROR(N(INDEX(tech_rate,MATCH(M1832,tech_name,0))),0),2))</f>
        <v/>
      </c>
      <c r="P1832" s="80" t="n"/>
      <c r="Q1832" s="81" t="str">
        <f>IF(A1832="","",ROUND(Y1832+O1832+Z1832,2))</f>
        <v/>
      </c>
      <c r="R1832" s="79" t="str">
        <f>IF(A1832="","",IF(S1832=0,"Date manquante ou invalide",IF(C1832="","Équipement manquant",IF(ISNA(MATCH(C1832,eq_code,0)),"Équipement inconnu",IF(E1832="","Type manquant",IF(AND(E1832&lt;&gt;"Préventif",E1832&lt;&gt;"Correctif",E1832&lt;&gt;"Amélioratif"),"Type inconnu",IF(I1832="","Statut manquant",IF(AND(I1832&lt;&gt;"Terminée",I1832&lt;&gt;"En cours",I1832&lt;&gt;"À faire",I1832&lt;&gt;"Annulée"),"Statut inconnu",IF(AND(E1832="Préventif",F1832=""),"Plan manquant (préventif)",IF(AND(F1832&lt;&gt;"",ISNA(MATCH(F1832,pl_num,0))),"Plan inconnu",IF(AND(F1832&lt;&gt;"",IFERROR(INDEX(pl_eq,MATCH(F1832,pl_num,0))&amp;"",C1832)&lt;&gt;C1832),"Plan d'un autre équipement",IF(AND(J1832&lt;&gt;"",OR(NOT(ISNUMBER(J1832)),N(J1832)&lt;0)),"Compteur invalide",IF(OR(AND(K1832&lt;&gt;"",OR(NOT(ISNUMBER(K1832)),N(K1832)&lt;0)),AND(L1832&lt;&gt;"",OR(NOT(ISNUMBER(L1832)),N(L1832)&lt;0))),"Durée invalide",IF(OR(AND(N1832&lt;&gt;"",OR(NOT(ISNUMBER(N1832)),N(N1832)&lt;0)),AND(P1832&lt;&gt;"",OR(NOT(ISNUMBER(P1832)),N(P1832)&lt;0))),"Coût invalide",IF(AND(M1832&lt;&gt;"",ISNA(MATCH(M1832,tech_name,0))),"Technicien inconnu",IF(AND(I1832="Terminée",S1832&gt;p_today),"Terminée à une date future",IF(AND(I1832="Terminée",V1832=0),"Durée d'intervention manquante",IF(AND(I1832="Terminée",E1832="Préventif",T1832=0,OR(IFERROR(INDEX(pl_trig,MATCH(F1832,pl_num,0))&amp;"","")="Compteur",IFERROR(INDEX(pl_trig,MATCH(F1832,pl_num,0))&amp;"","")="Au premier des deux")),"Compteur manquant (plan au compteur)","OK"))))))))))))))))))</f>
        <v/>
      </c>
      <c r="S1832" s="67">
        <f>IF(AND(ISNUMBER(B1832),N(B1832)&gt;0),INT(B1832),0)</f>
        <v>0.0</v>
      </c>
      <c r="T1832" s="67">
        <f>IF(AND(ISNUMBER(J1832),N(J1832)&gt;=0),N(J1832),0)</f>
        <v>0.0</v>
      </c>
      <c r="U1832" s="67">
        <f>IF(AND(ISNUMBER(K1832),N(K1832)&gt;0),N(K1832),0)</f>
        <v>0.0</v>
      </c>
      <c r="V1832" s="67">
        <f>IF(AND(ISNUMBER(L1832),N(L1832)&gt;0),N(L1832),0)</f>
        <v>0.0</v>
      </c>
      <c r="W1832" s="67">
        <f>IF(AND(I1832="Terminée",S1832&gt;0,C1832&lt;&gt;"",ISNUMBER(MATCH(C1832,eq_code,0))),1,0)</f>
        <v>0.0</v>
      </c>
      <c r="X1832" s="67">
        <f>IF(AND(W1832=1,E1832="Préventif"),1,0)</f>
        <v>0.0</v>
      </c>
      <c r="Y1832" s="67">
        <f>IF(AND(ISNUMBER(N1832),N(N1832)&gt;0),N(N1832),0)</f>
        <v>0.0</v>
      </c>
      <c r="Z1832" s="67">
        <f>IF(AND(ISNUMBER(P1832),N(P1832)&gt;0),N(P1832),0)</f>
        <v>0.0</v>
      </c>
    </row>
    <row r="1833">
      <c r="A1833" s="79" t="str">
        <f>IF(COUNTA(B1833:C1833,E1833:G1833,I1833)=0,"","BI-"&amp;RIGHT("0000"&amp;(ROW()-5),4))</f>
        <v/>
      </c>
      <c r="B1833" s="72" t="n"/>
      <c r="C1833" s="66" t="n"/>
      <c r="D1833" s="67" t="str">
        <f>IF(C1833="","",IFERROR(INDEX(eq_des,MATCH(C1833,eq_code,0))&amp;"","Équipement inconnu"))</f>
        <v/>
      </c>
      <c r="E1833" s="68" t="n"/>
      <c r="F1833" s="68" t="n"/>
      <c r="G1833" s="66" t="n"/>
      <c r="H1833" s="66" t="n"/>
      <c r="I1833" s="68" t="n"/>
      <c r="J1833" s="73" t="n"/>
      <c r="K1833" s="71" t="n"/>
      <c r="L1833" s="71" t="n"/>
      <c r="M1833" s="66" t="n"/>
      <c r="N1833" s="80" t="n"/>
      <c r="O1833" s="81" t="str">
        <f>IF(A1833="","",ROUND(V1833*IFERROR(N(INDEX(tech_rate,MATCH(M1833,tech_name,0))),0),2))</f>
        <v/>
      </c>
      <c r="P1833" s="80" t="n"/>
      <c r="Q1833" s="81" t="str">
        <f>IF(A1833="","",ROUND(Y1833+O1833+Z1833,2))</f>
        <v/>
      </c>
      <c r="R1833" s="79" t="str">
        <f>IF(A1833="","",IF(S1833=0,"Date manquante ou invalide",IF(C1833="","Équipement manquant",IF(ISNA(MATCH(C1833,eq_code,0)),"Équipement inconnu",IF(E1833="","Type manquant",IF(AND(E1833&lt;&gt;"Préventif",E1833&lt;&gt;"Correctif",E1833&lt;&gt;"Amélioratif"),"Type inconnu",IF(I1833="","Statut manquant",IF(AND(I1833&lt;&gt;"Terminée",I1833&lt;&gt;"En cours",I1833&lt;&gt;"À faire",I1833&lt;&gt;"Annulée"),"Statut inconnu",IF(AND(E1833="Préventif",F1833=""),"Plan manquant (préventif)",IF(AND(F1833&lt;&gt;"",ISNA(MATCH(F1833,pl_num,0))),"Plan inconnu",IF(AND(F1833&lt;&gt;"",IFERROR(INDEX(pl_eq,MATCH(F1833,pl_num,0))&amp;"",C1833)&lt;&gt;C1833),"Plan d'un autre équipement",IF(AND(J1833&lt;&gt;"",OR(NOT(ISNUMBER(J1833)),N(J1833)&lt;0)),"Compteur invalide",IF(OR(AND(K1833&lt;&gt;"",OR(NOT(ISNUMBER(K1833)),N(K1833)&lt;0)),AND(L1833&lt;&gt;"",OR(NOT(ISNUMBER(L1833)),N(L1833)&lt;0))),"Durée invalide",IF(OR(AND(N1833&lt;&gt;"",OR(NOT(ISNUMBER(N1833)),N(N1833)&lt;0)),AND(P1833&lt;&gt;"",OR(NOT(ISNUMBER(P1833)),N(P1833)&lt;0))),"Coût invalide",IF(AND(M1833&lt;&gt;"",ISNA(MATCH(M1833,tech_name,0))),"Technicien inconnu",IF(AND(I1833="Terminée",S1833&gt;p_today),"Terminée à une date future",IF(AND(I1833="Terminée",V1833=0),"Durée d'intervention manquante",IF(AND(I1833="Terminée",E1833="Préventif",T1833=0,OR(IFERROR(INDEX(pl_trig,MATCH(F1833,pl_num,0))&amp;"","")="Compteur",IFERROR(INDEX(pl_trig,MATCH(F1833,pl_num,0))&amp;"","")="Au premier des deux")),"Compteur manquant (plan au compteur)","OK"))))))))))))))))))</f>
        <v/>
      </c>
      <c r="S1833" s="67">
        <f>IF(AND(ISNUMBER(B1833),N(B1833)&gt;0),INT(B1833),0)</f>
        <v>0.0</v>
      </c>
      <c r="T1833" s="67">
        <f>IF(AND(ISNUMBER(J1833),N(J1833)&gt;=0),N(J1833),0)</f>
        <v>0.0</v>
      </c>
      <c r="U1833" s="67">
        <f>IF(AND(ISNUMBER(K1833),N(K1833)&gt;0),N(K1833),0)</f>
        <v>0.0</v>
      </c>
      <c r="V1833" s="67">
        <f>IF(AND(ISNUMBER(L1833),N(L1833)&gt;0),N(L1833),0)</f>
        <v>0.0</v>
      </c>
      <c r="W1833" s="67">
        <f>IF(AND(I1833="Terminée",S1833&gt;0,C1833&lt;&gt;"",ISNUMBER(MATCH(C1833,eq_code,0))),1,0)</f>
        <v>0.0</v>
      </c>
      <c r="X1833" s="67">
        <f>IF(AND(W1833=1,E1833="Préventif"),1,0)</f>
        <v>0.0</v>
      </c>
      <c r="Y1833" s="67">
        <f>IF(AND(ISNUMBER(N1833),N(N1833)&gt;0),N(N1833),0)</f>
        <v>0.0</v>
      </c>
      <c r="Z1833" s="67">
        <f>IF(AND(ISNUMBER(P1833),N(P1833)&gt;0),N(P1833),0)</f>
        <v>0.0</v>
      </c>
    </row>
    <row r="1834">
      <c r="A1834" s="79" t="str">
        <f>IF(COUNTA(B1834:C1834,E1834:G1834,I1834)=0,"","BI-"&amp;RIGHT("0000"&amp;(ROW()-5),4))</f>
        <v/>
      </c>
      <c r="B1834" s="72" t="n"/>
      <c r="C1834" s="66" t="n"/>
      <c r="D1834" s="67" t="str">
        <f>IF(C1834="","",IFERROR(INDEX(eq_des,MATCH(C1834,eq_code,0))&amp;"","Équipement inconnu"))</f>
        <v/>
      </c>
      <c r="E1834" s="68" t="n"/>
      <c r="F1834" s="68" t="n"/>
      <c r="G1834" s="66" t="n"/>
      <c r="H1834" s="66" t="n"/>
      <c r="I1834" s="68" t="n"/>
      <c r="J1834" s="73" t="n"/>
      <c r="K1834" s="71" t="n"/>
      <c r="L1834" s="71" t="n"/>
      <c r="M1834" s="66" t="n"/>
      <c r="N1834" s="80" t="n"/>
      <c r="O1834" s="81" t="str">
        <f>IF(A1834="","",ROUND(V1834*IFERROR(N(INDEX(tech_rate,MATCH(M1834,tech_name,0))),0),2))</f>
        <v/>
      </c>
      <c r="P1834" s="80" t="n"/>
      <c r="Q1834" s="81" t="str">
        <f>IF(A1834="","",ROUND(Y1834+O1834+Z1834,2))</f>
        <v/>
      </c>
      <c r="R1834" s="79" t="str">
        <f>IF(A1834="","",IF(S1834=0,"Date manquante ou invalide",IF(C1834="","Équipement manquant",IF(ISNA(MATCH(C1834,eq_code,0)),"Équipement inconnu",IF(E1834="","Type manquant",IF(AND(E1834&lt;&gt;"Préventif",E1834&lt;&gt;"Correctif",E1834&lt;&gt;"Amélioratif"),"Type inconnu",IF(I1834="","Statut manquant",IF(AND(I1834&lt;&gt;"Terminée",I1834&lt;&gt;"En cours",I1834&lt;&gt;"À faire",I1834&lt;&gt;"Annulée"),"Statut inconnu",IF(AND(E1834="Préventif",F1834=""),"Plan manquant (préventif)",IF(AND(F1834&lt;&gt;"",ISNA(MATCH(F1834,pl_num,0))),"Plan inconnu",IF(AND(F1834&lt;&gt;"",IFERROR(INDEX(pl_eq,MATCH(F1834,pl_num,0))&amp;"",C1834)&lt;&gt;C1834),"Plan d'un autre équipement",IF(AND(J1834&lt;&gt;"",OR(NOT(ISNUMBER(J1834)),N(J1834)&lt;0)),"Compteur invalide",IF(OR(AND(K1834&lt;&gt;"",OR(NOT(ISNUMBER(K1834)),N(K1834)&lt;0)),AND(L1834&lt;&gt;"",OR(NOT(ISNUMBER(L1834)),N(L1834)&lt;0))),"Durée invalide",IF(OR(AND(N1834&lt;&gt;"",OR(NOT(ISNUMBER(N1834)),N(N1834)&lt;0)),AND(P1834&lt;&gt;"",OR(NOT(ISNUMBER(P1834)),N(P1834)&lt;0))),"Coût invalide",IF(AND(M1834&lt;&gt;"",ISNA(MATCH(M1834,tech_name,0))),"Technicien inconnu",IF(AND(I1834="Terminée",S1834&gt;p_today),"Terminée à une date future",IF(AND(I1834="Terminée",V1834=0),"Durée d'intervention manquante",IF(AND(I1834="Terminée",E1834="Préventif",T1834=0,OR(IFERROR(INDEX(pl_trig,MATCH(F1834,pl_num,0))&amp;"","")="Compteur",IFERROR(INDEX(pl_trig,MATCH(F1834,pl_num,0))&amp;"","")="Au premier des deux")),"Compteur manquant (plan au compteur)","OK"))))))))))))))))))</f>
        <v/>
      </c>
      <c r="S1834" s="67">
        <f>IF(AND(ISNUMBER(B1834),N(B1834)&gt;0),INT(B1834),0)</f>
        <v>0.0</v>
      </c>
      <c r="T1834" s="67">
        <f>IF(AND(ISNUMBER(J1834),N(J1834)&gt;=0),N(J1834),0)</f>
        <v>0.0</v>
      </c>
      <c r="U1834" s="67">
        <f>IF(AND(ISNUMBER(K1834),N(K1834)&gt;0),N(K1834),0)</f>
        <v>0.0</v>
      </c>
      <c r="V1834" s="67">
        <f>IF(AND(ISNUMBER(L1834),N(L1834)&gt;0),N(L1834),0)</f>
        <v>0.0</v>
      </c>
      <c r="W1834" s="67">
        <f>IF(AND(I1834="Terminée",S1834&gt;0,C1834&lt;&gt;"",ISNUMBER(MATCH(C1834,eq_code,0))),1,0)</f>
        <v>0.0</v>
      </c>
      <c r="X1834" s="67">
        <f>IF(AND(W1834=1,E1834="Préventif"),1,0)</f>
        <v>0.0</v>
      </c>
      <c r="Y1834" s="67">
        <f>IF(AND(ISNUMBER(N1834),N(N1834)&gt;0),N(N1834),0)</f>
        <v>0.0</v>
      </c>
      <c r="Z1834" s="67">
        <f>IF(AND(ISNUMBER(P1834),N(P1834)&gt;0),N(P1834),0)</f>
        <v>0.0</v>
      </c>
    </row>
    <row r="1835">
      <c r="A1835" s="79" t="str">
        <f>IF(COUNTA(B1835:C1835,E1835:G1835,I1835)=0,"","BI-"&amp;RIGHT("0000"&amp;(ROW()-5),4))</f>
        <v/>
      </c>
      <c r="B1835" s="72" t="n"/>
      <c r="C1835" s="66" t="n"/>
      <c r="D1835" s="67" t="str">
        <f>IF(C1835="","",IFERROR(INDEX(eq_des,MATCH(C1835,eq_code,0))&amp;"","Équipement inconnu"))</f>
        <v/>
      </c>
      <c r="E1835" s="68" t="n"/>
      <c r="F1835" s="68" t="n"/>
      <c r="G1835" s="66" t="n"/>
      <c r="H1835" s="66" t="n"/>
      <c r="I1835" s="68" t="n"/>
      <c r="J1835" s="73" t="n"/>
      <c r="K1835" s="71" t="n"/>
      <c r="L1835" s="71" t="n"/>
      <c r="M1835" s="66" t="n"/>
      <c r="N1835" s="80" t="n"/>
      <c r="O1835" s="81" t="str">
        <f>IF(A1835="","",ROUND(V1835*IFERROR(N(INDEX(tech_rate,MATCH(M1835,tech_name,0))),0),2))</f>
        <v/>
      </c>
      <c r="P1835" s="80" t="n"/>
      <c r="Q1835" s="81" t="str">
        <f>IF(A1835="","",ROUND(Y1835+O1835+Z1835,2))</f>
        <v/>
      </c>
      <c r="R1835" s="79" t="str">
        <f>IF(A1835="","",IF(S1835=0,"Date manquante ou invalide",IF(C1835="","Équipement manquant",IF(ISNA(MATCH(C1835,eq_code,0)),"Équipement inconnu",IF(E1835="","Type manquant",IF(AND(E1835&lt;&gt;"Préventif",E1835&lt;&gt;"Correctif",E1835&lt;&gt;"Amélioratif"),"Type inconnu",IF(I1835="","Statut manquant",IF(AND(I1835&lt;&gt;"Terminée",I1835&lt;&gt;"En cours",I1835&lt;&gt;"À faire",I1835&lt;&gt;"Annulée"),"Statut inconnu",IF(AND(E1835="Préventif",F1835=""),"Plan manquant (préventif)",IF(AND(F1835&lt;&gt;"",ISNA(MATCH(F1835,pl_num,0))),"Plan inconnu",IF(AND(F1835&lt;&gt;"",IFERROR(INDEX(pl_eq,MATCH(F1835,pl_num,0))&amp;"",C1835)&lt;&gt;C1835),"Plan d'un autre équipement",IF(AND(J1835&lt;&gt;"",OR(NOT(ISNUMBER(J1835)),N(J1835)&lt;0)),"Compteur invalide",IF(OR(AND(K1835&lt;&gt;"",OR(NOT(ISNUMBER(K1835)),N(K1835)&lt;0)),AND(L1835&lt;&gt;"",OR(NOT(ISNUMBER(L1835)),N(L1835)&lt;0))),"Durée invalide",IF(OR(AND(N1835&lt;&gt;"",OR(NOT(ISNUMBER(N1835)),N(N1835)&lt;0)),AND(P1835&lt;&gt;"",OR(NOT(ISNUMBER(P1835)),N(P1835)&lt;0))),"Coût invalide",IF(AND(M1835&lt;&gt;"",ISNA(MATCH(M1835,tech_name,0))),"Technicien inconnu",IF(AND(I1835="Terminée",S1835&gt;p_today),"Terminée à une date future",IF(AND(I1835="Terminée",V1835=0),"Durée d'intervention manquante",IF(AND(I1835="Terminée",E1835="Préventif",T1835=0,OR(IFERROR(INDEX(pl_trig,MATCH(F1835,pl_num,0))&amp;"","")="Compteur",IFERROR(INDEX(pl_trig,MATCH(F1835,pl_num,0))&amp;"","")="Au premier des deux")),"Compteur manquant (plan au compteur)","OK"))))))))))))))))))</f>
        <v/>
      </c>
      <c r="S1835" s="67">
        <f>IF(AND(ISNUMBER(B1835),N(B1835)&gt;0),INT(B1835),0)</f>
        <v>0.0</v>
      </c>
      <c r="T1835" s="67">
        <f>IF(AND(ISNUMBER(J1835),N(J1835)&gt;=0),N(J1835),0)</f>
        <v>0.0</v>
      </c>
      <c r="U1835" s="67">
        <f>IF(AND(ISNUMBER(K1835),N(K1835)&gt;0),N(K1835),0)</f>
        <v>0.0</v>
      </c>
      <c r="V1835" s="67">
        <f>IF(AND(ISNUMBER(L1835),N(L1835)&gt;0),N(L1835),0)</f>
        <v>0.0</v>
      </c>
      <c r="W1835" s="67">
        <f>IF(AND(I1835="Terminée",S1835&gt;0,C1835&lt;&gt;"",ISNUMBER(MATCH(C1835,eq_code,0))),1,0)</f>
        <v>0.0</v>
      </c>
      <c r="X1835" s="67">
        <f>IF(AND(W1835=1,E1835="Préventif"),1,0)</f>
        <v>0.0</v>
      </c>
      <c r="Y1835" s="67">
        <f>IF(AND(ISNUMBER(N1835),N(N1835)&gt;0),N(N1835),0)</f>
        <v>0.0</v>
      </c>
      <c r="Z1835" s="67">
        <f>IF(AND(ISNUMBER(P1835),N(P1835)&gt;0),N(P1835),0)</f>
        <v>0.0</v>
      </c>
    </row>
    <row r="1836">
      <c r="A1836" s="79" t="str">
        <f>IF(COUNTA(B1836:C1836,E1836:G1836,I1836)=0,"","BI-"&amp;RIGHT("0000"&amp;(ROW()-5),4))</f>
        <v/>
      </c>
      <c r="B1836" s="72" t="n"/>
      <c r="C1836" s="66" t="n"/>
      <c r="D1836" s="67" t="str">
        <f>IF(C1836="","",IFERROR(INDEX(eq_des,MATCH(C1836,eq_code,0))&amp;"","Équipement inconnu"))</f>
        <v/>
      </c>
      <c r="E1836" s="68" t="n"/>
      <c r="F1836" s="68" t="n"/>
      <c r="G1836" s="66" t="n"/>
      <c r="H1836" s="66" t="n"/>
      <c r="I1836" s="68" t="n"/>
      <c r="J1836" s="73" t="n"/>
      <c r="K1836" s="71" t="n"/>
      <c r="L1836" s="71" t="n"/>
      <c r="M1836" s="66" t="n"/>
      <c r="N1836" s="80" t="n"/>
      <c r="O1836" s="81" t="str">
        <f>IF(A1836="","",ROUND(V1836*IFERROR(N(INDEX(tech_rate,MATCH(M1836,tech_name,0))),0),2))</f>
        <v/>
      </c>
      <c r="P1836" s="80" t="n"/>
      <c r="Q1836" s="81" t="str">
        <f>IF(A1836="","",ROUND(Y1836+O1836+Z1836,2))</f>
        <v/>
      </c>
      <c r="R1836" s="79" t="str">
        <f>IF(A1836="","",IF(S1836=0,"Date manquante ou invalide",IF(C1836="","Équipement manquant",IF(ISNA(MATCH(C1836,eq_code,0)),"Équipement inconnu",IF(E1836="","Type manquant",IF(AND(E1836&lt;&gt;"Préventif",E1836&lt;&gt;"Correctif",E1836&lt;&gt;"Amélioratif"),"Type inconnu",IF(I1836="","Statut manquant",IF(AND(I1836&lt;&gt;"Terminée",I1836&lt;&gt;"En cours",I1836&lt;&gt;"À faire",I1836&lt;&gt;"Annulée"),"Statut inconnu",IF(AND(E1836="Préventif",F1836=""),"Plan manquant (préventif)",IF(AND(F1836&lt;&gt;"",ISNA(MATCH(F1836,pl_num,0))),"Plan inconnu",IF(AND(F1836&lt;&gt;"",IFERROR(INDEX(pl_eq,MATCH(F1836,pl_num,0))&amp;"",C1836)&lt;&gt;C1836),"Plan d'un autre équipement",IF(AND(J1836&lt;&gt;"",OR(NOT(ISNUMBER(J1836)),N(J1836)&lt;0)),"Compteur invalide",IF(OR(AND(K1836&lt;&gt;"",OR(NOT(ISNUMBER(K1836)),N(K1836)&lt;0)),AND(L1836&lt;&gt;"",OR(NOT(ISNUMBER(L1836)),N(L1836)&lt;0))),"Durée invalide",IF(OR(AND(N1836&lt;&gt;"",OR(NOT(ISNUMBER(N1836)),N(N1836)&lt;0)),AND(P1836&lt;&gt;"",OR(NOT(ISNUMBER(P1836)),N(P1836)&lt;0))),"Coût invalide",IF(AND(M1836&lt;&gt;"",ISNA(MATCH(M1836,tech_name,0))),"Technicien inconnu",IF(AND(I1836="Terminée",S1836&gt;p_today),"Terminée à une date future",IF(AND(I1836="Terminée",V1836=0),"Durée d'intervention manquante",IF(AND(I1836="Terminée",E1836="Préventif",T1836=0,OR(IFERROR(INDEX(pl_trig,MATCH(F1836,pl_num,0))&amp;"","")="Compteur",IFERROR(INDEX(pl_trig,MATCH(F1836,pl_num,0))&amp;"","")="Au premier des deux")),"Compteur manquant (plan au compteur)","OK"))))))))))))))))))</f>
        <v/>
      </c>
      <c r="S1836" s="67">
        <f>IF(AND(ISNUMBER(B1836),N(B1836)&gt;0),INT(B1836),0)</f>
        <v>0.0</v>
      </c>
      <c r="T1836" s="67">
        <f>IF(AND(ISNUMBER(J1836),N(J1836)&gt;=0),N(J1836),0)</f>
        <v>0.0</v>
      </c>
      <c r="U1836" s="67">
        <f>IF(AND(ISNUMBER(K1836),N(K1836)&gt;0),N(K1836),0)</f>
        <v>0.0</v>
      </c>
      <c r="V1836" s="67">
        <f>IF(AND(ISNUMBER(L1836),N(L1836)&gt;0),N(L1836),0)</f>
        <v>0.0</v>
      </c>
      <c r="W1836" s="67">
        <f>IF(AND(I1836="Terminée",S1836&gt;0,C1836&lt;&gt;"",ISNUMBER(MATCH(C1836,eq_code,0))),1,0)</f>
        <v>0.0</v>
      </c>
      <c r="X1836" s="67">
        <f>IF(AND(W1836=1,E1836="Préventif"),1,0)</f>
        <v>0.0</v>
      </c>
      <c r="Y1836" s="67">
        <f>IF(AND(ISNUMBER(N1836),N(N1836)&gt;0),N(N1836),0)</f>
        <v>0.0</v>
      </c>
      <c r="Z1836" s="67">
        <f>IF(AND(ISNUMBER(P1836),N(P1836)&gt;0),N(P1836),0)</f>
        <v>0.0</v>
      </c>
    </row>
    <row r="1837">
      <c r="A1837" s="79" t="str">
        <f>IF(COUNTA(B1837:C1837,E1837:G1837,I1837)=0,"","BI-"&amp;RIGHT("0000"&amp;(ROW()-5),4))</f>
        <v/>
      </c>
      <c r="B1837" s="72" t="n"/>
      <c r="C1837" s="66" t="n"/>
      <c r="D1837" s="67" t="str">
        <f>IF(C1837="","",IFERROR(INDEX(eq_des,MATCH(C1837,eq_code,0))&amp;"","Équipement inconnu"))</f>
        <v/>
      </c>
      <c r="E1837" s="68" t="n"/>
      <c r="F1837" s="68" t="n"/>
      <c r="G1837" s="66" t="n"/>
      <c r="H1837" s="66" t="n"/>
      <c r="I1837" s="68" t="n"/>
      <c r="J1837" s="73" t="n"/>
      <c r="K1837" s="71" t="n"/>
      <c r="L1837" s="71" t="n"/>
      <c r="M1837" s="66" t="n"/>
      <c r="N1837" s="80" t="n"/>
      <c r="O1837" s="81" t="str">
        <f>IF(A1837="","",ROUND(V1837*IFERROR(N(INDEX(tech_rate,MATCH(M1837,tech_name,0))),0),2))</f>
        <v/>
      </c>
      <c r="P1837" s="80" t="n"/>
      <c r="Q1837" s="81" t="str">
        <f>IF(A1837="","",ROUND(Y1837+O1837+Z1837,2))</f>
        <v/>
      </c>
      <c r="R1837" s="79" t="str">
        <f>IF(A1837="","",IF(S1837=0,"Date manquante ou invalide",IF(C1837="","Équipement manquant",IF(ISNA(MATCH(C1837,eq_code,0)),"Équipement inconnu",IF(E1837="","Type manquant",IF(AND(E1837&lt;&gt;"Préventif",E1837&lt;&gt;"Correctif",E1837&lt;&gt;"Amélioratif"),"Type inconnu",IF(I1837="","Statut manquant",IF(AND(I1837&lt;&gt;"Terminée",I1837&lt;&gt;"En cours",I1837&lt;&gt;"À faire",I1837&lt;&gt;"Annulée"),"Statut inconnu",IF(AND(E1837="Préventif",F1837=""),"Plan manquant (préventif)",IF(AND(F1837&lt;&gt;"",ISNA(MATCH(F1837,pl_num,0))),"Plan inconnu",IF(AND(F1837&lt;&gt;"",IFERROR(INDEX(pl_eq,MATCH(F1837,pl_num,0))&amp;"",C1837)&lt;&gt;C1837),"Plan d'un autre équipement",IF(AND(J1837&lt;&gt;"",OR(NOT(ISNUMBER(J1837)),N(J1837)&lt;0)),"Compteur invalide",IF(OR(AND(K1837&lt;&gt;"",OR(NOT(ISNUMBER(K1837)),N(K1837)&lt;0)),AND(L1837&lt;&gt;"",OR(NOT(ISNUMBER(L1837)),N(L1837)&lt;0))),"Durée invalide",IF(OR(AND(N1837&lt;&gt;"",OR(NOT(ISNUMBER(N1837)),N(N1837)&lt;0)),AND(P1837&lt;&gt;"",OR(NOT(ISNUMBER(P1837)),N(P1837)&lt;0))),"Coût invalide",IF(AND(M1837&lt;&gt;"",ISNA(MATCH(M1837,tech_name,0))),"Technicien inconnu",IF(AND(I1837="Terminée",S1837&gt;p_today),"Terminée à une date future",IF(AND(I1837="Terminée",V1837=0),"Durée d'intervention manquante",IF(AND(I1837="Terminée",E1837="Préventif",T1837=0,OR(IFERROR(INDEX(pl_trig,MATCH(F1837,pl_num,0))&amp;"","")="Compteur",IFERROR(INDEX(pl_trig,MATCH(F1837,pl_num,0))&amp;"","")="Au premier des deux")),"Compteur manquant (plan au compteur)","OK"))))))))))))))))))</f>
        <v/>
      </c>
      <c r="S1837" s="67">
        <f>IF(AND(ISNUMBER(B1837),N(B1837)&gt;0),INT(B1837),0)</f>
        <v>0.0</v>
      </c>
      <c r="T1837" s="67">
        <f>IF(AND(ISNUMBER(J1837),N(J1837)&gt;=0),N(J1837),0)</f>
        <v>0.0</v>
      </c>
      <c r="U1837" s="67">
        <f>IF(AND(ISNUMBER(K1837),N(K1837)&gt;0),N(K1837),0)</f>
        <v>0.0</v>
      </c>
      <c r="V1837" s="67">
        <f>IF(AND(ISNUMBER(L1837),N(L1837)&gt;0),N(L1837),0)</f>
        <v>0.0</v>
      </c>
      <c r="W1837" s="67">
        <f>IF(AND(I1837="Terminée",S1837&gt;0,C1837&lt;&gt;"",ISNUMBER(MATCH(C1837,eq_code,0))),1,0)</f>
        <v>0.0</v>
      </c>
      <c r="X1837" s="67">
        <f>IF(AND(W1837=1,E1837="Préventif"),1,0)</f>
        <v>0.0</v>
      </c>
      <c r="Y1837" s="67">
        <f>IF(AND(ISNUMBER(N1837),N(N1837)&gt;0),N(N1837),0)</f>
        <v>0.0</v>
      </c>
      <c r="Z1837" s="67">
        <f>IF(AND(ISNUMBER(P1837),N(P1837)&gt;0),N(P1837),0)</f>
        <v>0.0</v>
      </c>
    </row>
    <row r="1838">
      <c r="A1838" s="79" t="str">
        <f>IF(COUNTA(B1838:C1838,E1838:G1838,I1838)=0,"","BI-"&amp;RIGHT("0000"&amp;(ROW()-5),4))</f>
        <v/>
      </c>
      <c r="B1838" s="72" t="n"/>
      <c r="C1838" s="66" t="n"/>
      <c r="D1838" s="67" t="str">
        <f>IF(C1838="","",IFERROR(INDEX(eq_des,MATCH(C1838,eq_code,0))&amp;"","Équipement inconnu"))</f>
        <v/>
      </c>
      <c r="E1838" s="68" t="n"/>
      <c r="F1838" s="68" t="n"/>
      <c r="G1838" s="66" t="n"/>
      <c r="H1838" s="66" t="n"/>
      <c r="I1838" s="68" t="n"/>
      <c r="J1838" s="73" t="n"/>
      <c r="K1838" s="71" t="n"/>
      <c r="L1838" s="71" t="n"/>
      <c r="M1838" s="66" t="n"/>
      <c r="N1838" s="80" t="n"/>
      <c r="O1838" s="81" t="str">
        <f>IF(A1838="","",ROUND(V1838*IFERROR(N(INDEX(tech_rate,MATCH(M1838,tech_name,0))),0),2))</f>
        <v/>
      </c>
      <c r="P1838" s="80" t="n"/>
      <c r="Q1838" s="81" t="str">
        <f>IF(A1838="","",ROUND(Y1838+O1838+Z1838,2))</f>
        <v/>
      </c>
      <c r="R1838" s="79" t="str">
        <f>IF(A1838="","",IF(S1838=0,"Date manquante ou invalide",IF(C1838="","Équipement manquant",IF(ISNA(MATCH(C1838,eq_code,0)),"Équipement inconnu",IF(E1838="","Type manquant",IF(AND(E1838&lt;&gt;"Préventif",E1838&lt;&gt;"Correctif",E1838&lt;&gt;"Amélioratif"),"Type inconnu",IF(I1838="","Statut manquant",IF(AND(I1838&lt;&gt;"Terminée",I1838&lt;&gt;"En cours",I1838&lt;&gt;"À faire",I1838&lt;&gt;"Annulée"),"Statut inconnu",IF(AND(E1838="Préventif",F1838=""),"Plan manquant (préventif)",IF(AND(F1838&lt;&gt;"",ISNA(MATCH(F1838,pl_num,0))),"Plan inconnu",IF(AND(F1838&lt;&gt;"",IFERROR(INDEX(pl_eq,MATCH(F1838,pl_num,0))&amp;"",C1838)&lt;&gt;C1838),"Plan d'un autre équipement",IF(AND(J1838&lt;&gt;"",OR(NOT(ISNUMBER(J1838)),N(J1838)&lt;0)),"Compteur invalide",IF(OR(AND(K1838&lt;&gt;"",OR(NOT(ISNUMBER(K1838)),N(K1838)&lt;0)),AND(L1838&lt;&gt;"",OR(NOT(ISNUMBER(L1838)),N(L1838)&lt;0))),"Durée invalide",IF(OR(AND(N1838&lt;&gt;"",OR(NOT(ISNUMBER(N1838)),N(N1838)&lt;0)),AND(P1838&lt;&gt;"",OR(NOT(ISNUMBER(P1838)),N(P1838)&lt;0))),"Coût invalide",IF(AND(M1838&lt;&gt;"",ISNA(MATCH(M1838,tech_name,0))),"Technicien inconnu",IF(AND(I1838="Terminée",S1838&gt;p_today),"Terminée à une date future",IF(AND(I1838="Terminée",V1838=0),"Durée d'intervention manquante",IF(AND(I1838="Terminée",E1838="Préventif",T1838=0,OR(IFERROR(INDEX(pl_trig,MATCH(F1838,pl_num,0))&amp;"","")="Compteur",IFERROR(INDEX(pl_trig,MATCH(F1838,pl_num,0))&amp;"","")="Au premier des deux")),"Compteur manquant (plan au compteur)","OK"))))))))))))))))))</f>
        <v/>
      </c>
      <c r="S1838" s="67">
        <f>IF(AND(ISNUMBER(B1838),N(B1838)&gt;0),INT(B1838),0)</f>
        <v>0.0</v>
      </c>
      <c r="T1838" s="67">
        <f>IF(AND(ISNUMBER(J1838),N(J1838)&gt;=0),N(J1838),0)</f>
        <v>0.0</v>
      </c>
      <c r="U1838" s="67">
        <f>IF(AND(ISNUMBER(K1838),N(K1838)&gt;0),N(K1838),0)</f>
        <v>0.0</v>
      </c>
      <c r="V1838" s="67">
        <f>IF(AND(ISNUMBER(L1838),N(L1838)&gt;0),N(L1838),0)</f>
        <v>0.0</v>
      </c>
      <c r="W1838" s="67">
        <f>IF(AND(I1838="Terminée",S1838&gt;0,C1838&lt;&gt;"",ISNUMBER(MATCH(C1838,eq_code,0))),1,0)</f>
        <v>0.0</v>
      </c>
      <c r="X1838" s="67">
        <f>IF(AND(W1838=1,E1838="Préventif"),1,0)</f>
        <v>0.0</v>
      </c>
      <c r="Y1838" s="67">
        <f>IF(AND(ISNUMBER(N1838),N(N1838)&gt;0),N(N1838),0)</f>
        <v>0.0</v>
      </c>
      <c r="Z1838" s="67">
        <f>IF(AND(ISNUMBER(P1838),N(P1838)&gt;0),N(P1838),0)</f>
        <v>0.0</v>
      </c>
    </row>
    <row r="1839">
      <c r="A1839" s="79" t="str">
        <f>IF(COUNTA(B1839:C1839,E1839:G1839,I1839)=0,"","BI-"&amp;RIGHT("0000"&amp;(ROW()-5),4))</f>
        <v/>
      </c>
      <c r="B1839" s="72" t="n"/>
      <c r="C1839" s="66" t="n"/>
      <c r="D1839" s="67" t="str">
        <f>IF(C1839="","",IFERROR(INDEX(eq_des,MATCH(C1839,eq_code,0))&amp;"","Équipement inconnu"))</f>
        <v/>
      </c>
      <c r="E1839" s="68" t="n"/>
      <c r="F1839" s="68" t="n"/>
      <c r="G1839" s="66" t="n"/>
      <c r="H1839" s="66" t="n"/>
      <c r="I1839" s="68" t="n"/>
      <c r="J1839" s="73" t="n"/>
      <c r="K1839" s="71" t="n"/>
      <c r="L1839" s="71" t="n"/>
      <c r="M1839" s="66" t="n"/>
      <c r="N1839" s="80" t="n"/>
      <c r="O1839" s="81" t="str">
        <f>IF(A1839="","",ROUND(V1839*IFERROR(N(INDEX(tech_rate,MATCH(M1839,tech_name,0))),0),2))</f>
        <v/>
      </c>
      <c r="P1839" s="80" t="n"/>
      <c r="Q1839" s="81" t="str">
        <f>IF(A1839="","",ROUND(Y1839+O1839+Z1839,2))</f>
        <v/>
      </c>
      <c r="R1839" s="79" t="str">
        <f>IF(A1839="","",IF(S1839=0,"Date manquante ou invalide",IF(C1839="","Équipement manquant",IF(ISNA(MATCH(C1839,eq_code,0)),"Équipement inconnu",IF(E1839="","Type manquant",IF(AND(E1839&lt;&gt;"Préventif",E1839&lt;&gt;"Correctif",E1839&lt;&gt;"Amélioratif"),"Type inconnu",IF(I1839="","Statut manquant",IF(AND(I1839&lt;&gt;"Terminée",I1839&lt;&gt;"En cours",I1839&lt;&gt;"À faire",I1839&lt;&gt;"Annulée"),"Statut inconnu",IF(AND(E1839="Préventif",F1839=""),"Plan manquant (préventif)",IF(AND(F1839&lt;&gt;"",ISNA(MATCH(F1839,pl_num,0))),"Plan inconnu",IF(AND(F1839&lt;&gt;"",IFERROR(INDEX(pl_eq,MATCH(F1839,pl_num,0))&amp;"",C1839)&lt;&gt;C1839),"Plan d'un autre équipement",IF(AND(J1839&lt;&gt;"",OR(NOT(ISNUMBER(J1839)),N(J1839)&lt;0)),"Compteur invalide",IF(OR(AND(K1839&lt;&gt;"",OR(NOT(ISNUMBER(K1839)),N(K1839)&lt;0)),AND(L1839&lt;&gt;"",OR(NOT(ISNUMBER(L1839)),N(L1839)&lt;0))),"Durée invalide",IF(OR(AND(N1839&lt;&gt;"",OR(NOT(ISNUMBER(N1839)),N(N1839)&lt;0)),AND(P1839&lt;&gt;"",OR(NOT(ISNUMBER(P1839)),N(P1839)&lt;0))),"Coût invalide",IF(AND(M1839&lt;&gt;"",ISNA(MATCH(M1839,tech_name,0))),"Technicien inconnu",IF(AND(I1839="Terminée",S1839&gt;p_today),"Terminée à une date future",IF(AND(I1839="Terminée",V1839=0),"Durée d'intervention manquante",IF(AND(I1839="Terminée",E1839="Préventif",T1839=0,OR(IFERROR(INDEX(pl_trig,MATCH(F1839,pl_num,0))&amp;"","")="Compteur",IFERROR(INDEX(pl_trig,MATCH(F1839,pl_num,0))&amp;"","")="Au premier des deux")),"Compteur manquant (plan au compteur)","OK"))))))))))))))))))</f>
        <v/>
      </c>
      <c r="S1839" s="67">
        <f>IF(AND(ISNUMBER(B1839),N(B1839)&gt;0),INT(B1839),0)</f>
        <v>0.0</v>
      </c>
      <c r="T1839" s="67">
        <f>IF(AND(ISNUMBER(J1839),N(J1839)&gt;=0),N(J1839),0)</f>
        <v>0.0</v>
      </c>
      <c r="U1839" s="67">
        <f>IF(AND(ISNUMBER(K1839),N(K1839)&gt;0),N(K1839),0)</f>
        <v>0.0</v>
      </c>
      <c r="V1839" s="67">
        <f>IF(AND(ISNUMBER(L1839),N(L1839)&gt;0),N(L1839),0)</f>
        <v>0.0</v>
      </c>
      <c r="W1839" s="67">
        <f>IF(AND(I1839="Terminée",S1839&gt;0,C1839&lt;&gt;"",ISNUMBER(MATCH(C1839,eq_code,0))),1,0)</f>
        <v>0.0</v>
      </c>
      <c r="X1839" s="67">
        <f>IF(AND(W1839=1,E1839="Préventif"),1,0)</f>
        <v>0.0</v>
      </c>
      <c r="Y1839" s="67">
        <f>IF(AND(ISNUMBER(N1839),N(N1839)&gt;0),N(N1839),0)</f>
        <v>0.0</v>
      </c>
      <c r="Z1839" s="67">
        <f>IF(AND(ISNUMBER(P1839),N(P1839)&gt;0),N(P1839),0)</f>
        <v>0.0</v>
      </c>
    </row>
    <row r="1840">
      <c r="A1840" s="79" t="str">
        <f>IF(COUNTA(B1840:C1840,E1840:G1840,I1840)=0,"","BI-"&amp;RIGHT("0000"&amp;(ROW()-5),4))</f>
        <v/>
      </c>
      <c r="B1840" s="72" t="n"/>
      <c r="C1840" s="66" t="n"/>
      <c r="D1840" s="67" t="str">
        <f>IF(C1840="","",IFERROR(INDEX(eq_des,MATCH(C1840,eq_code,0))&amp;"","Équipement inconnu"))</f>
        <v/>
      </c>
      <c r="E1840" s="68" t="n"/>
      <c r="F1840" s="68" t="n"/>
      <c r="G1840" s="66" t="n"/>
      <c r="H1840" s="66" t="n"/>
      <c r="I1840" s="68" t="n"/>
      <c r="J1840" s="73" t="n"/>
      <c r="K1840" s="71" t="n"/>
      <c r="L1840" s="71" t="n"/>
      <c r="M1840" s="66" t="n"/>
      <c r="N1840" s="80" t="n"/>
      <c r="O1840" s="81" t="str">
        <f>IF(A1840="","",ROUND(V1840*IFERROR(N(INDEX(tech_rate,MATCH(M1840,tech_name,0))),0),2))</f>
        <v/>
      </c>
      <c r="P1840" s="80" t="n"/>
      <c r="Q1840" s="81" t="str">
        <f>IF(A1840="","",ROUND(Y1840+O1840+Z1840,2))</f>
        <v/>
      </c>
      <c r="R1840" s="79" t="str">
        <f>IF(A1840="","",IF(S1840=0,"Date manquante ou invalide",IF(C1840="","Équipement manquant",IF(ISNA(MATCH(C1840,eq_code,0)),"Équipement inconnu",IF(E1840="","Type manquant",IF(AND(E1840&lt;&gt;"Préventif",E1840&lt;&gt;"Correctif",E1840&lt;&gt;"Amélioratif"),"Type inconnu",IF(I1840="","Statut manquant",IF(AND(I1840&lt;&gt;"Terminée",I1840&lt;&gt;"En cours",I1840&lt;&gt;"À faire",I1840&lt;&gt;"Annulée"),"Statut inconnu",IF(AND(E1840="Préventif",F1840=""),"Plan manquant (préventif)",IF(AND(F1840&lt;&gt;"",ISNA(MATCH(F1840,pl_num,0))),"Plan inconnu",IF(AND(F1840&lt;&gt;"",IFERROR(INDEX(pl_eq,MATCH(F1840,pl_num,0))&amp;"",C1840)&lt;&gt;C1840),"Plan d'un autre équipement",IF(AND(J1840&lt;&gt;"",OR(NOT(ISNUMBER(J1840)),N(J1840)&lt;0)),"Compteur invalide",IF(OR(AND(K1840&lt;&gt;"",OR(NOT(ISNUMBER(K1840)),N(K1840)&lt;0)),AND(L1840&lt;&gt;"",OR(NOT(ISNUMBER(L1840)),N(L1840)&lt;0))),"Durée invalide",IF(OR(AND(N1840&lt;&gt;"",OR(NOT(ISNUMBER(N1840)),N(N1840)&lt;0)),AND(P1840&lt;&gt;"",OR(NOT(ISNUMBER(P1840)),N(P1840)&lt;0))),"Coût invalide",IF(AND(M1840&lt;&gt;"",ISNA(MATCH(M1840,tech_name,0))),"Technicien inconnu",IF(AND(I1840="Terminée",S1840&gt;p_today),"Terminée à une date future",IF(AND(I1840="Terminée",V1840=0),"Durée d'intervention manquante",IF(AND(I1840="Terminée",E1840="Préventif",T1840=0,OR(IFERROR(INDEX(pl_trig,MATCH(F1840,pl_num,0))&amp;"","")="Compteur",IFERROR(INDEX(pl_trig,MATCH(F1840,pl_num,0))&amp;"","")="Au premier des deux")),"Compteur manquant (plan au compteur)","OK"))))))))))))))))))</f>
        <v/>
      </c>
      <c r="S1840" s="67">
        <f>IF(AND(ISNUMBER(B1840),N(B1840)&gt;0),INT(B1840),0)</f>
        <v>0.0</v>
      </c>
      <c r="T1840" s="67">
        <f>IF(AND(ISNUMBER(J1840),N(J1840)&gt;=0),N(J1840),0)</f>
        <v>0.0</v>
      </c>
      <c r="U1840" s="67">
        <f>IF(AND(ISNUMBER(K1840),N(K1840)&gt;0),N(K1840),0)</f>
        <v>0.0</v>
      </c>
      <c r="V1840" s="67">
        <f>IF(AND(ISNUMBER(L1840),N(L1840)&gt;0),N(L1840),0)</f>
        <v>0.0</v>
      </c>
      <c r="W1840" s="67">
        <f>IF(AND(I1840="Terminée",S1840&gt;0,C1840&lt;&gt;"",ISNUMBER(MATCH(C1840,eq_code,0))),1,0)</f>
        <v>0.0</v>
      </c>
      <c r="X1840" s="67">
        <f>IF(AND(W1840=1,E1840="Préventif"),1,0)</f>
        <v>0.0</v>
      </c>
      <c r="Y1840" s="67">
        <f>IF(AND(ISNUMBER(N1840),N(N1840)&gt;0),N(N1840),0)</f>
        <v>0.0</v>
      </c>
      <c r="Z1840" s="67">
        <f>IF(AND(ISNUMBER(P1840),N(P1840)&gt;0),N(P1840),0)</f>
        <v>0.0</v>
      </c>
    </row>
    <row r="1841">
      <c r="A1841" s="79" t="str">
        <f>IF(COUNTA(B1841:C1841,E1841:G1841,I1841)=0,"","BI-"&amp;RIGHT("0000"&amp;(ROW()-5),4))</f>
        <v/>
      </c>
      <c r="B1841" s="72" t="n"/>
      <c r="C1841" s="66" t="n"/>
      <c r="D1841" s="67" t="str">
        <f>IF(C1841="","",IFERROR(INDEX(eq_des,MATCH(C1841,eq_code,0))&amp;"","Équipement inconnu"))</f>
        <v/>
      </c>
      <c r="E1841" s="68" t="n"/>
      <c r="F1841" s="68" t="n"/>
      <c r="G1841" s="66" t="n"/>
      <c r="H1841" s="66" t="n"/>
      <c r="I1841" s="68" t="n"/>
      <c r="J1841" s="73" t="n"/>
      <c r="K1841" s="71" t="n"/>
      <c r="L1841" s="71" t="n"/>
      <c r="M1841" s="66" t="n"/>
      <c r="N1841" s="80" t="n"/>
      <c r="O1841" s="81" t="str">
        <f>IF(A1841="","",ROUND(V1841*IFERROR(N(INDEX(tech_rate,MATCH(M1841,tech_name,0))),0),2))</f>
        <v/>
      </c>
      <c r="P1841" s="80" t="n"/>
      <c r="Q1841" s="81" t="str">
        <f>IF(A1841="","",ROUND(Y1841+O1841+Z1841,2))</f>
        <v/>
      </c>
      <c r="R1841" s="79" t="str">
        <f>IF(A1841="","",IF(S1841=0,"Date manquante ou invalide",IF(C1841="","Équipement manquant",IF(ISNA(MATCH(C1841,eq_code,0)),"Équipement inconnu",IF(E1841="","Type manquant",IF(AND(E1841&lt;&gt;"Préventif",E1841&lt;&gt;"Correctif",E1841&lt;&gt;"Amélioratif"),"Type inconnu",IF(I1841="","Statut manquant",IF(AND(I1841&lt;&gt;"Terminée",I1841&lt;&gt;"En cours",I1841&lt;&gt;"À faire",I1841&lt;&gt;"Annulée"),"Statut inconnu",IF(AND(E1841="Préventif",F1841=""),"Plan manquant (préventif)",IF(AND(F1841&lt;&gt;"",ISNA(MATCH(F1841,pl_num,0))),"Plan inconnu",IF(AND(F1841&lt;&gt;"",IFERROR(INDEX(pl_eq,MATCH(F1841,pl_num,0))&amp;"",C1841)&lt;&gt;C1841),"Plan d'un autre équipement",IF(AND(J1841&lt;&gt;"",OR(NOT(ISNUMBER(J1841)),N(J1841)&lt;0)),"Compteur invalide",IF(OR(AND(K1841&lt;&gt;"",OR(NOT(ISNUMBER(K1841)),N(K1841)&lt;0)),AND(L1841&lt;&gt;"",OR(NOT(ISNUMBER(L1841)),N(L1841)&lt;0))),"Durée invalide",IF(OR(AND(N1841&lt;&gt;"",OR(NOT(ISNUMBER(N1841)),N(N1841)&lt;0)),AND(P1841&lt;&gt;"",OR(NOT(ISNUMBER(P1841)),N(P1841)&lt;0))),"Coût invalide",IF(AND(M1841&lt;&gt;"",ISNA(MATCH(M1841,tech_name,0))),"Technicien inconnu",IF(AND(I1841="Terminée",S1841&gt;p_today),"Terminée à une date future",IF(AND(I1841="Terminée",V1841=0),"Durée d'intervention manquante",IF(AND(I1841="Terminée",E1841="Préventif",T1841=0,OR(IFERROR(INDEX(pl_trig,MATCH(F1841,pl_num,0))&amp;"","")="Compteur",IFERROR(INDEX(pl_trig,MATCH(F1841,pl_num,0))&amp;"","")="Au premier des deux")),"Compteur manquant (plan au compteur)","OK"))))))))))))))))))</f>
        <v/>
      </c>
      <c r="S1841" s="67">
        <f>IF(AND(ISNUMBER(B1841),N(B1841)&gt;0),INT(B1841),0)</f>
        <v>0.0</v>
      </c>
      <c r="T1841" s="67">
        <f>IF(AND(ISNUMBER(J1841),N(J1841)&gt;=0),N(J1841),0)</f>
        <v>0.0</v>
      </c>
      <c r="U1841" s="67">
        <f>IF(AND(ISNUMBER(K1841),N(K1841)&gt;0),N(K1841),0)</f>
        <v>0.0</v>
      </c>
      <c r="V1841" s="67">
        <f>IF(AND(ISNUMBER(L1841),N(L1841)&gt;0),N(L1841),0)</f>
        <v>0.0</v>
      </c>
      <c r="W1841" s="67">
        <f>IF(AND(I1841="Terminée",S1841&gt;0,C1841&lt;&gt;"",ISNUMBER(MATCH(C1841,eq_code,0))),1,0)</f>
        <v>0.0</v>
      </c>
      <c r="X1841" s="67">
        <f>IF(AND(W1841=1,E1841="Préventif"),1,0)</f>
        <v>0.0</v>
      </c>
      <c r="Y1841" s="67">
        <f>IF(AND(ISNUMBER(N1841),N(N1841)&gt;0),N(N1841),0)</f>
        <v>0.0</v>
      </c>
      <c r="Z1841" s="67">
        <f>IF(AND(ISNUMBER(P1841),N(P1841)&gt;0),N(P1841),0)</f>
        <v>0.0</v>
      </c>
    </row>
    <row r="1842">
      <c r="A1842" s="79" t="str">
        <f>IF(COUNTA(B1842:C1842,E1842:G1842,I1842)=0,"","BI-"&amp;RIGHT("0000"&amp;(ROW()-5),4))</f>
        <v/>
      </c>
      <c r="B1842" s="72" t="n"/>
      <c r="C1842" s="66" t="n"/>
      <c r="D1842" s="67" t="str">
        <f>IF(C1842="","",IFERROR(INDEX(eq_des,MATCH(C1842,eq_code,0))&amp;"","Équipement inconnu"))</f>
        <v/>
      </c>
      <c r="E1842" s="68" t="n"/>
      <c r="F1842" s="68" t="n"/>
      <c r="G1842" s="66" t="n"/>
      <c r="H1842" s="66" t="n"/>
      <c r="I1842" s="68" t="n"/>
      <c r="J1842" s="73" t="n"/>
      <c r="K1842" s="71" t="n"/>
      <c r="L1842" s="71" t="n"/>
      <c r="M1842" s="66" t="n"/>
      <c r="N1842" s="80" t="n"/>
      <c r="O1842" s="81" t="str">
        <f>IF(A1842="","",ROUND(V1842*IFERROR(N(INDEX(tech_rate,MATCH(M1842,tech_name,0))),0),2))</f>
        <v/>
      </c>
      <c r="P1842" s="80" t="n"/>
      <c r="Q1842" s="81" t="str">
        <f>IF(A1842="","",ROUND(Y1842+O1842+Z1842,2))</f>
        <v/>
      </c>
      <c r="R1842" s="79" t="str">
        <f>IF(A1842="","",IF(S1842=0,"Date manquante ou invalide",IF(C1842="","Équipement manquant",IF(ISNA(MATCH(C1842,eq_code,0)),"Équipement inconnu",IF(E1842="","Type manquant",IF(AND(E1842&lt;&gt;"Préventif",E1842&lt;&gt;"Correctif",E1842&lt;&gt;"Amélioratif"),"Type inconnu",IF(I1842="","Statut manquant",IF(AND(I1842&lt;&gt;"Terminée",I1842&lt;&gt;"En cours",I1842&lt;&gt;"À faire",I1842&lt;&gt;"Annulée"),"Statut inconnu",IF(AND(E1842="Préventif",F1842=""),"Plan manquant (préventif)",IF(AND(F1842&lt;&gt;"",ISNA(MATCH(F1842,pl_num,0))),"Plan inconnu",IF(AND(F1842&lt;&gt;"",IFERROR(INDEX(pl_eq,MATCH(F1842,pl_num,0))&amp;"",C1842)&lt;&gt;C1842),"Plan d'un autre équipement",IF(AND(J1842&lt;&gt;"",OR(NOT(ISNUMBER(J1842)),N(J1842)&lt;0)),"Compteur invalide",IF(OR(AND(K1842&lt;&gt;"",OR(NOT(ISNUMBER(K1842)),N(K1842)&lt;0)),AND(L1842&lt;&gt;"",OR(NOT(ISNUMBER(L1842)),N(L1842)&lt;0))),"Durée invalide",IF(OR(AND(N1842&lt;&gt;"",OR(NOT(ISNUMBER(N1842)),N(N1842)&lt;0)),AND(P1842&lt;&gt;"",OR(NOT(ISNUMBER(P1842)),N(P1842)&lt;0))),"Coût invalide",IF(AND(M1842&lt;&gt;"",ISNA(MATCH(M1842,tech_name,0))),"Technicien inconnu",IF(AND(I1842="Terminée",S1842&gt;p_today),"Terminée à une date future",IF(AND(I1842="Terminée",V1842=0),"Durée d'intervention manquante",IF(AND(I1842="Terminée",E1842="Préventif",T1842=0,OR(IFERROR(INDEX(pl_trig,MATCH(F1842,pl_num,0))&amp;"","")="Compteur",IFERROR(INDEX(pl_trig,MATCH(F1842,pl_num,0))&amp;"","")="Au premier des deux")),"Compteur manquant (plan au compteur)","OK"))))))))))))))))))</f>
        <v/>
      </c>
      <c r="S1842" s="67">
        <f>IF(AND(ISNUMBER(B1842),N(B1842)&gt;0),INT(B1842),0)</f>
        <v>0.0</v>
      </c>
      <c r="T1842" s="67">
        <f>IF(AND(ISNUMBER(J1842),N(J1842)&gt;=0),N(J1842),0)</f>
        <v>0.0</v>
      </c>
      <c r="U1842" s="67">
        <f>IF(AND(ISNUMBER(K1842),N(K1842)&gt;0),N(K1842),0)</f>
        <v>0.0</v>
      </c>
      <c r="V1842" s="67">
        <f>IF(AND(ISNUMBER(L1842),N(L1842)&gt;0),N(L1842),0)</f>
        <v>0.0</v>
      </c>
      <c r="W1842" s="67">
        <f>IF(AND(I1842="Terminée",S1842&gt;0,C1842&lt;&gt;"",ISNUMBER(MATCH(C1842,eq_code,0))),1,0)</f>
        <v>0.0</v>
      </c>
      <c r="X1842" s="67">
        <f>IF(AND(W1842=1,E1842="Préventif"),1,0)</f>
        <v>0.0</v>
      </c>
      <c r="Y1842" s="67">
        <f>IF(AND(ISNUMBER(N1842),N(N1842)&gt;0),N(N1842),0)</f>
        <v>0.0</v>
      </c>
      <c r="Z1842" s="67">
        <f>IF(AND(ISNUMBER(P1842),N(P1842)&gt;0),N(P1842),0)</f>
        <v>0.0</v>
      </c>
    </row>
    <row r="1843">
      <c r="A1843" s="79" t="str">
        <f>IF(COUNTA(B1843:C1843,E1843:G1843,I1843)=0,"","BI-"&amp;RIGHT("0000"&amp;(ROW()-5),4))</f>
        <v/>
      </c>
      <c r="B1843" s="72" t="n"/>
      <c r="C1843" s="66" t="n"/>
      <c r="D1843" s="67" t="str">
        <f>IF(C1843="","",IFERROR(INDEX(eq_des,MATCH(C1843,eq_code,0))&amp;"","Équipement inconnu"))</f>
        <v/>
      </c>
      <c r="E1843" s="68" t="n"/>
      <c r="F1843" s="68" t="n"/>
      <c r="G1843" s="66" t="n"/>
      <c r="H1843" s="66" t="n"/>
      <c r="I1843" s="68" t="n"/>
      <c r="J1843" s="73" t="n"/>
      <c r="K1843" s="71" t="n"/>
      <c r="L1843" s="71" t="n"/>
      <c r="M1843" s="66" t="n"/>
      <c r="N1843" s="80" t="n"/>
      <c r="O1843" s="81" t="str">
        <f>IF(A1843="","",ROUND(V1843*IFERROR(N(INDEX(tech_rate,MATCH(M1843,tech_name,0))),0),2))</f>
        <v/>
      </c>
      <c r="P1843" s="80" t="n"/>
      <c r="Q1843" s="81" t="str">
        <f>IF(A1843="","",ROUND(Y1843+O1843+Z1843,2))</f>
        <v/>
      </c>
      <c r="R1843" s="79" t="str">
        <f>IF(A1843="","",IF(S1843=0,"Date manquante ou invalide",IF(C1843="","Équipement manquant",IF(ISNA(MATCH(C1843,eq_code,0)),"Équipement inconnu",IF(E1843="","Type manquant",IF(AND(E1843&lt;&gt;"Préventif",E1843&lt;&gt;"Correctif",E1843&lt;&gt;"Amélioratif"),"Type inconnu",IF(I1843="","Statut manquant",IF(AND(I1843&lt;&gt;"Terminée",I1843&lt;&gt;"En cours",I1843&lt;&gt;"À faire",I1843&lt;&gt;"Annulée"),"Statut inconnu",IF(AND(E1843="Préventif",F1843=""),"Plan manquant (préventif)",IF(AND(F1843&lt;&gt;"",ISNA(MATCH(F1843,pl_num,0))),"Plan inconnu",IF(AND(F1843&lt;&gt;"",IFERROR(INDEX(pl_eq,MATCH(F1843,pl_num,0))&amp;"",C1843)&lt;&gt;C1843),"Plan d'un autre équipement",IF(AND(J1843&lt;&gt;"",OR(NOT(ISNUMBER(J1843)),N(J1843)&lt;0)),"Compteur invalide",IF(OR(AND(K1843&lt;&gt;"",OR(NOT(ISNUMBER(K1843)),N(K1843)&lt;0)),AND(L1843&lt;&gt;"",OR(NOT(ISNUMBER(L1843)),N(L1843)&lt;0))),"Durée invalide",IF(OR(AND(N1843&lt;&gt;"",OR(NOT(ISNUMBER(N1843)),N(N1843)&lt;0)),AND(P1843&lt;&gt;"",OR(NOT(ISNUMBER(P1843)),N(P1843)&lt;0))),"Coût invalide",IF(AND(M1843&lt;&gt;"",ISNA(MATCH(M1843,tech_name,0))),"Technicien inconnu",IF(AND(I1843="Terminée",S1843&gt;p_today),"Terminée à une date future",IF(AND(I1843="Terminée",V1843=0),"Durée d'intervention manquante",IF(AND(I1843="Terminée",E1843="Préventif",T1843=0,OR(IFERROR(INDEX(pl_trig,MATCH(F1843,pl_num,0))&amp;"","")="Compteur",IFERROR(INDEX(pl_trig,MATCH(F1843,pl_num,0))&amp;"","")="Au premier des deux")),"Compteur manquant (plan au compteur)","OK"))))))))))))))))))</f>
        <v/>
      </c>
      <c r="S1843" s="67">
        <f>IF(AND(ISNUMBER(B1843),N(B1843)&gt;0),INT(B1843),0)</f>
        <v>0.0</v>
      </c>
      <c r="T1843" s="67">
        <f>IF(AND(ISNUMBER(J1843),N(J1843)&gt;=0),N(J1843),0)</f>
        <v>0.0</v>
      </c>
      <c r="U1843" s="67">
        <f>IF(AND(ISNUMBER(K1843),N(K1843)&gt;0),N(K1843),0)</f>
        <v>0.0</v>
      </c>
      <c r="V1843" s="67">
        <f>IF(AND(ISNUMBER(L1843),N(L1843)&gt;0),N(L1843),0)</f>
        <v>0.0</v>
      </c>
      <c r="W1843" s="67">
        <f>IF(AND(I1843="Terminée",S1843&gt;0,C1843&lt;&gt;"",ISNUMBER(MATCH(C1843,eq_code,0))),1,0)</f>
        <v>0.0</v>
      </c>
      <c r="X1843" s="67">
        <f>IF(AND(W1843=1,E1843="Préventif"),1,0)</f>
        <v>0.0</v>
      </c>
      <c r="Y1843" s="67">
        <f>IF(AND(ISNUMBER(N1843),N(N1843)&gt;0),N(N1843),0)</f>
        <v>0.0</v>
      </c>
      <c r="Z1843" s="67">
        <f>IF(AND(ISNUMBER(P1843),N(P1843)&gt;0),N(P1843),0)</f>
        <v>0.0</v>
      </c>
    </row>
    <row r="1844">
      <c r="A1844" s="79" t="str">
        <f>IF(COUNTA(B1844:C1844,E1844:G1844,I1844)=0,"","BI-"&amp;RIGHT("0000"&amp;(ROW()-5),4))</f>
        <v/>
      </c>
      <c r="B1844" s="72" t="n"/>
      <c r="C1844" s="66" t="n"/>
      <c r="D1844" s="67" t="str">
        <f>IF(C1844="","",IFERROR(INDEX(eq_des,MATCH(C1844,eq_code,0))&amp;"","Équipement inconnu"))</f>
        <v/>
      </c>
      <c r="E1844" s="68" t="n"/>
      <c r="F1844" s="68" t="n"/>
      <c r="G1844" s="66" t="n"/>
      <c r="H1844" s="66" t="n"/>
      <c r="I1844" s="68" t="n"/>
      <c r="J1844" s="73" t="n"/>
      <c r="K1844" s="71" t="n"/>
      <c r="L1844" s="71" t="n"/>
      <c r="M1844" s="66" t="n"/>
      <c r="N1844" s="80" t="n"/>
      <c r="O1844" s="81" t="str">
        <f>IF(A1844="","",ROUND(V1844*IFERROR(N(INDEX(tech_rate,MATCH(M1844,tech_name,0))),0),2))</f>
        <v/>
      </c>
      <c r="P1844" s="80" t="n"/>
      <c r="Q1844" s="81" t="str">
        <f>IF(A1844="","",ROUND(Y1844+O1844+Z1844,2))</f>
        <v/>
      </c>
      <c r="R1844" s="79" t="str">
        <f>IF(A1844="","",IF(S1844=0,"Date manquante ou invalide",IF(C1844="","Équipement manquant",IF(ISNA(MATCH(C1844,eq_code,0)),"Équipement inconnu",IF(E1844="","Type manquant",IF(AND(E1844&lt;&gt;"Préventif",E1844&lt;&gt;"Correctif",E1844&lt;&gt;"Amélioratif"),"Type inconnu",IF(I1844="","Statut manquant",IF(AND(I1844&lt;&gt;"Terminée",I1844&lt;&gt;"En cours",I1844&lt;&gt;"À faire",I1844&lt;&gt;"Annulée"),"Statut inconnu",IF(AND(E1844="Préventif",F1844=""),"Plan manquant (préventif)",IF(AND(F1844&lt;&gt;"",ISNA(MATCH(F1844,pl_num,0))),"Plan inconnu",IF(AND(F1844&lt;&gt;"",IFERROR(INDEX(pl_eq,MATCH(F1844,pl_num,0))&amp;"",C1844)&lt;&gt;C1844),"Plan d'un autre équipement",IF(AND(J1844&lt;&gt;"",OR(NOT(ISNUMBER(J1844)),N(J1844)&lt;0)),"Compteur invalide",IF(OR(AND(K1844&lt;&gt;"",OR(NOT(ISNUMBER(K1844)),N(K1844)&lt;0)),AND(L1844&lt;&gt;"",OR(NOT(ISNUMBER(L1844)),N(L1844)&lt;0))),"Durée invalide",IF(OR(AND(N1844&lt;&gt;"",OR(NOT(ISNUMBER(N1844)),N(N1844)&lt;0)),AND(P1844&lt;&gt;"",OR(NOT(ISNUMBER(P1844)),N(P1844)&lt;0))),"Coût invalide",IF(AND(M1844&lt;&gt;"",ISNA(MATCH(M1844,tech_name,0))),"Technicien inconnu",IF(AND(I1844="Terminée",S1844&gt;p_today),"Terminée à une date future",IF(AND(I1844="Terminée",V1844=0),"Durée d'intervention manquante",IF(AND(I1844="Terminée",E1844="Préventif",T1844=0,OR(IFERROR(INDEX(pl_trig,MATCH(F1844,pl_num,0))&amp;"","")="Compteur",IFERROR(INDEX(pl_trig,MATCH(F1844,pl_num,0))&amp;"","")="Au premier des deux")),"Compteur manquant (plan au compteur)","OK"))))))))))))))))))</f>
        <v/>
      </c>
      <c r="S1844" s="67">
        <f>IF(AND(ISNUMBER(B1844),N(B1844)&gt;0),INT(B1844),0)</f>
        <v>0.0</v>
      </c>
      <c r="T1844" s="67">
        <f>IF(AND(ISNUMBER(J1844),N(J1844)&gt;=0),N(J1844),0)</f>
        <v>0.0</v>
      </c>
      <c r="U1844" s="67">
        <f>IF(AND(ISNUMBER(K1844),N(K1844)&gt;0),N(K1844),0)</f>
        <v>0.0</v>
      </c>
      <c r="V1844" s="67">
        <f>IF(AND(ISNUMBER(L1844),N(L1844)&gt;0),N(L1844),0)</f>
        <v>0.0</v>
      </c>
      <c r="W1844" s="67">
        <f>IF(AND(I1844="Terminée",S1844&gt;0,C1844&lt;&gt;"",ISNUMBER(MATCH(C1844,eq_code,0))),1,0)</f>
        <v>0.0</v>
      </c>
      <c r="X1844" s="67">
        <f>IF(AND(W1844=1,E1844="Préventif"),1,0)</f>
        <v>0.0</v>
      </c>
      <c r="Y1844" s="67">
        <f>IF(AND(ISNUMBER(N1844),N(N1844)&gt;0),N(N1844),0)</f>
        <v>0.0</v>
      </c>
      <c r="Z1844" s="67">
        <f>IF(AND(ISNUMBER(P1844),N(P1844)&gt;0),N(P1844),0)</f>
        <v>0.0</v>
      </c>
    </row>
    <row r="1845">
      <c r="A1845" s="79" t="str">
        <f>IF(COUNTA(B1845:C1845,E1845:G1845,I1845)=0,"","BI-"&amp;RIGHT("0000"&amp;(ROW()-5),4))</f>
        <v/>
      </c>
      <c r="B1845" s="72" t="n"/>
      <c r="C1845" s="66" t="n"/>
      <c r="D1845" s="67" t="str">
        <f>IF(C1845="","",IFERROR(INDEX(eq_des,MATCH(C1845,eq_code,0))&amp;"","Équipement inconnu"))</f>
        <v/>
      </c>
      <c r="E1845" s="68" t="n"/>
      <c r="F1845" s="68" t="n"/>
      <c r="G1845" s="66" t="n"/>
      <c r="H1845" s="66" t="n"/>
      <c r="I1845" s="68" t="n"/>
      <c r="J1845" s="73" t="n"/>
      <c r="K1845" s="71" t="n"/>
      <c r="L1845" s="71" t="n"/>
      <c r="M1845" s="66" t="n"/>
      <c r="N1845" s="80" t="n"/>
      <c r="O1845" s="81" t="str">
        <f>IF(A1845="","",ROUND(V1845*IFERROR(N(INDEX(tech_rate,MATCH(M1845,tech_name,0))),0),2))</f>
        <v/>
      </c>
      <c r="P1845" s="80" t="n"/>
      <c r="Q1845" s="81" t="str">
        <f>IF(A1845="","",ROUND(Y1845+O1845+Z1845,2))</f>
        <v/>
      </c>
      <c r="R1845" s="79" t="str">
        <f>IF(A1845="","",IF(S1845=0,"Date manquante ou invalide",IF(C1845="","Équipement manquant",IF(ISNA(MATCH(C1845,eq_code,0)),"Équipement inconnu",IF(E1845="","Type manquant",IF(AND(E1845&lt;&gt;"Préventif",E1845&lt;&gt;"Correctif",E1845&lt;&gt;"Amélioratif"),"Type inconnu",IF(I1845="","Statut manquant",IF(AND(I1845&lt;&gt;"Terminée",I1845&lt;&gt;"En cours",I1845&lt;&gt;"À faire",I1845&lt;&gt;"Annulée"),"Statut inconnu",IF(AND(E1845="Préventif",F1845=""),"Plan manquant (préventif)",IF(AND(F1845&lt;&gt;"",ISNA(MATCH(F1845,pl_num,0))),"Plan inconnu",IF(AND(F1845&lt;&gt;"",IFERROR(INDEX(pl_eq,MATCH(F1845,pl_num,0))&amp;"",C1845)&lt;&gt;C1845),"Plan d'un autre équipement",IF(AND(J1845&lt;&gt;"",OR(NOT(ISNUMBER(J1845)),N(J1845)&lt;0)),"Compteur invalide",IF(OR(AND(K1845&lt;&gt;"",OR(NOT(ISNUMBER(K1845)),N(K1845)&lt;0)),AND(L1845&lt;&gt;"",OR(NOT(ISNUMBER(L1845)),N(L1845)&lt;0))),"Durée invalide",IF(OR(AND(N1845&lt;&gt;"",OR(NOT(ISNUMBER(N1845)),N(N1845)&lt;0)),AND(P1845&lt;&gt;"",OR(NOT(ISNUMBER(P1845)),N(P1845)&lt;0))),"Coût invalide",IF(AND(M1845&lt;&gt;"",ISNA(MATCH(M1845,tech_name,0))),"Technicien inconnu",IF(AND(I1845="Terminée",S1845&gt;p_today),"Terminée à une date future",IF(AND(I1845="Terminée",V1845=0),"Durée d'intervention manquante",IF(AND(I1845="Terminée",E1845="Préventif",T1845=0,OR(IFERROR(INDEX(pl_trig,MATCH(F1845,pl_num,0))&amp;"","")="Compteur",IFERROR(INDEX(pl_trig,MATCH(F1845,pl_num,0))&amp;"","")="Au premier des deux")),"Compteur manquant (plan au compteur)","OK"))))))))))))))))))</f>
        <v/>
      </c>
      <c r="S1845" s="67">
        <f>IF(AND(ISNUMBER(B1845),N(B1845)&gt;0),INT(B1845),0)</f>
        <v>0.0</v>
      </c>
      <c r="T1845" s="67">
        <f>IF(AND(ISNUMBER(J1845),N(J1845)&gt;=0),N(J1845),0)</f>
        <v>0.0</v>
      </c>
      <c r="U1845" s="67">
        <f>IF(AND(ISNUMBER(K1845),N(K1845)&gt;0),N(K1845),0)</f>
        <v>0.0</v>
      </c>
      <c r="V1845" s="67">
        <f>IF(AND(ISNUMBER(L1845),N(L1845)&gt;0),N(L1845),0)</f>
        <v>0.0</v>
      </c>
      <c r="W1845" s="67">
        <f>IF(AND(I1845="Terminée",S1845&gt;0,C1845&lt;&gt;"",ISNUMBER(MATCH(C1845,eq_code,0))),1,0)</f>
        <v>0.0</v>
      </c>
      <c r="X1845" s="67">
        <f>IF(AND(W1845=1,E1845="Préventif"),1,0)</f>
        <v>0.0</v>
      </c>
      <c r="Y1845" s="67">
        <f>IF(AND(ISNUMBER(N1845),N(N1845)&gt;0),N(N1845),0)</f>
        <v>0.0</v>
      </c>
      <c r="Z1845" s="67">
        <f>IF(AND(ISNUMBER(P1845),N(P1845)&gt;0),N(P1845),0)</f>
        <v>0.0</v>
      </c>
    </row>
    <row r="1846">
      <c r="A1846" s="79" t="str">
        <f>IF(COUNTA(B1846:C1846,E1846:G1846,I1846)=0,"","BI-"&amp;RIGHT("0000"&amp;(ROW()-5),4))</f>
        <v/>
      </c>
      <c r="B1846" s="72" t="n"/>
      <c r="C1846" s="66" t="n"/>
      <c r="D1846" s="67" t="str">
        <f>IF(C1846="","",IFERROR(INDEX(eq_des,MATCH(C1846,eq_code,0))&amp;"","Équipement inconnu"))</f>
        <v/>
      </c>
      <c r="E1846" s="68" t="n"/>
      <c r="F1846" s="68" t="n"/>
      <c r="G1846" s="66" t="n"/>
      <c r="H1846" s="66" t="n"/>
      <c r="I1846" s="68" t="n"/>
      <c r="J1846" s="73" t="n"/>
      <c r="K1846" s="71" t="n"/>
      <c r="L1846" s="71" t="n"/>
      <c r="M1846" s="66" t="n"/>
      <c r="N1846" s="80" t="n"/>
      <c r="O1846" s="81" t="str">
        <f>IF(A1846="","",ROUND(V1846*IFERROR(N(INDEX(tech_rate,MATCH(M1846,tech_name,0))),0),2))</f>
        <v/>
      </c>
      <c r="P1846" s="80" t="n"/>
      <c r="Q1846" s="81" t="str">
        <f>IF(A1846="","",ROUND(Y1846+O1846+Z1846,2))</f>
        <v/>
      </c>
      <c r="R1846" s="79" t="str">
        <f>IF(A1846="","",IF(S1846=0,"Date manquante ou invalide",IF(C1846="","Équipement manquant",IF(ISNA(MATCH(C1846,eq_code,0)),"Équipement inconnu",IF(E1846="","Type manquant",IF(AND(E1846&lt;&gt;"Préventif",E1846&lt;&gt;"Correctif",E1846&lt;&gt;"Amélioratif"),"Type inconnu",IF(I1846="","Statut manquant",IF(AND(I1846&lt;&gt;"Terminée",I1846&lt;&gt;"En cours",I1846&lt;&gt;"À faire",I1846&lt;&gt;"Annulée"),"Statut inconnu",IF(AND(E1846="Préventif",F1846=""),"Plan manquant (préventif)",IF(AND(F1846&lt;&gt;"",ISNA(MATCH(F1846,pl_num,0))),"Plan inconnu",IF(AND(F1846&lt;&gt;"",IFERROR(INDEX(pl_eq,MATCH(F1846,pl_num,0))&amp;"",C1846)&lt;&gt;C1846),"Plan d'un autre équipement",IF(AND(J1846&lt;&gt;"",OR(NOT(ISNUMBER(J1846)),N(J1846)&lt;0)),"Compteur invalide",IF(OR(AND(K1846&lt;&gt;"",OR(NOT(ISNUMBER(K1846)),N(K1846)&lt;0)),AND(L1846&lt;&gt;"",OR(NOT(ISNUMBER(L1846)),N(L1846)&lt;0))),"Durée invalide",IF(OR(AND(N1846&lt;&gt;"",OR(NOT(ISNUMBER(N1846)),N(N1846)&lt;0)),AND(P1846&lt;&gt;"",OR(NOT(ISNUMBER(P1846)),N(P1846)&lt;0))),"Coût invalide",IF(AND(M1846&lt;&gt;"",ISNA(MATCH(M1846,tech_name,0))),"Technicien inconnu",IF(AND(I1846="Terminée",S1846&gt;p_today),"Terminée à une date future",IF(AND(I1846="Terminée",V1846=0),"Durée d'intervention manquante",IF(AND(I1846="Terminée",E1846="Préventif",T1846=0,OR(IFERROR(INDEX(pl_trig,MATCH(F1846,pl_num,0))&amp;"","")="Compteur",IFERROR(INDEX(pl_trig,MATCH(F1846,pl_num,0))&amp;"","")="Au premier des deux")),"Compteur manquant (plan au compteur)","OK"))))))))))))))))))</f>
        <v/>
      </c>
      <c r="S1846" s="67">
        <f>IF(AND(ISNUMBER(B1846),N(B1846)&gt;0),INT(B1846),0)</f>
        <v>0.0</v>
      </c>
      <c r="T1846" s="67">
        <f>IF(AND(ISNUMBER(J1846),N(J1846)&gt;=0),N(J1846),0)</f>
        <v>0.0</v>
      </c>
      <c r="U1846" s="67">
        <f>IF(AND(ISNUMBER(K1846),N(K1846)&gt;0),N(K1846),0)</f>
        <v>0.0</v>
      </c>
      <c r="V1846" s="67">
        <f>IF(AND(ISNUMBER(L1846),N(L1846)&gt;0),N(L1846),0)</f>
        <v>0.0</v>
      </c>
      <c r="W1846" s="67">
        <f>IF(AND(I1846="Terminée",S1846&gt;0,C1846&lt;&gt;"",ISNUMBER(MATCH(C1846,eq_code,0))),1,0)</f>
        <v>0.0</v>
      </c>
      <c r="X1846" s="67">
        <f>IF(AND(W1846=1,E1846="Préventif"),1,0)</f>
        <v>0.0</v>
      </c>
      <c r="Y1846" s="67">
        <f>IF(AND(ISNUMBER(N1846),N(N1846)&gt;0),N(N1846),0)</f>
        <v>0.0</v>
      </c>
      <c r="Z1846" s="67">
        <f>IF(AND(ISNUMBER(P1846),N(P1846)&gt;0),N(P1846),0)</f>
        <v>0.0</v>
      </c>
    </row>
    <row r="1847">
      <c r="A1847" s="79" t="str">
        <f>IF(COUNTA(B1847:C1847,E1847:G1847,I1847)=0,"","BI-"&amp;RIGHT("0000"&amp;(ROW()-5),4))</f>
        <v/>
      </c>
      <c r="B1847" s="72" t="n"/>
      <c r="C1847" s="66" t="n"/>
      <c r="D1847" s="67" t="str">
        <f>IF(C1847="","",IFERROR(INDEX(eq_des,MATCH(C1847,eq_code,0))&amp;"","Équipement inconnu"))</f>
        <v/>
      </c>
      <c r="E1847" s="68" t="n"/>
      <c r="F1847" s="68" t="n"/>
      <c r="G1847" s="66" t="n"/>
      <c r="H1847" s="66" t="n"/>
      <c r="I1847" s="68" t="n"/>
      <c r="J1847" s="73" t="n"/>
      <c r="K1847" s="71" t="n"/>
      <c r="L1847" s="71" t="n"/>
      <c r="M1847" s="66" t="n"/>
      <c r="N1847" s="80" t="n"/>
      <c r="O1847" s="81" t="str">
        <f>IF(A1847="","",ROUND(V1847*IFERROR(N(INDEX(tech_rate,MATCH(M1847,tech_name,0))),0),2))</f>
        <v/>
      </c>
      <c r="P1847" s="80" t="n"/>
      <c r="Q1847" s="81" t="str">
        <f>IF(A1847="","",ROUND(Y1847+O1847+Z1847,2))</f>
        <v/>
      </c>
      <c r="R1847" s="79" t="str">
        <f>IF(A1847="","",IF(S1847=0,"Date manquante ou invalide",IF(C1847="","Équipement manquant",IF(ISNA(MATCH(C1847,eq_code,0)),"Équipement inconnu",IF(E1847="","Type manquant",IF(AND(E1847&lt;&gt;"Préventif",E1847&lt;&gt;"Correctif",E1847&lt;&gt;"Amélioratif"),"Type inconnu",IF(I1847="","Statut manquant",IF(AND(I1847&lt;&gt;"Terminée",I1847&lt;&gt;"En cours",I1847&lt;&gt;"À faire",I1847&lt;&gt;"Annulée"),"Statut inconnu",IF(AND(E1847="Préventif",F1847=""),"Plan manquant (préventif)",IF(AND(F1847&lt;&gt;"",ISNA(MATCH(F1847,pl_num,0))),"Plan inconnu",IF(AND(F1847&lt;&gt;"",IFERROR(INDEX(pl_eq,MATCH(F1847,pl_num,0))&amp;"",C1847)&lt;&gt;C1847),"Plan d'un autre équipement",IF(AND(J1847&lt;&gt;"",OR(NOT(ISNUMBER(J1847)),N(J1847)&lt;0)),"Compteur invalide",IF(OR(AND(K1847&lt;&gt;"",OR(NOT(ISNUMBER(K1847)),N(K1847)&lt;0)),AND(L1847&lt;&gt;"",OR(NOT(ISNUMBER(L1847)),N(L1847)&lt;0))),"Durée invalide",IF(OR(AND(N1847&lt;&gt;"",OR(NOT(ISNUMBER(N1847)),N(N1847)&lt;0)),AND(P1847&lt;&gt;"",OR(NOT(ISNUMBER(P1847)),N(P1847)&lt;0))),"Coût invalide",IF(AND(M1847&lt;&gt;"",ISNA(MATCH(M1847,tech_name,0))),"Technicien inconnu",IF(AND(I1847="Terminée",S1847&gt;p_today),"Terminée à une date future",IF(AND(I1847="Terminée",V1847=0),"Durée d'intervention manquante",IF(AND(I1847="Terminée",E1847="Préventif",T1847=0,OR(IFERROR(INDEX(pl_trig,MATCH(F1847,pl_num,0))&amp;"","")="Compteur",IFERROR(INDEX(pl_trig,MATCH(F1847,pl_num,0))&amp;"","")="Au premier des deux")),"Compteur manquant (plan au compteur)","OK"))))))))))))))))))</f>
        <v/>
      </c>
      <c r="S1847" s="67">
        <f>IF(AND(ISNUMBER(B1847),N(B1847)&gt;0),INT(B1847),0)</f>
        <v>0.0</v>
      </c>
      <c r="T1847" s="67">
        <f>IF(AND(ISNUMBER(J1847),N(J1847)&gt;=0),N(J1847),0)</f>
        <v>0.0</v>
      </c>
      <c r="U1847" s="67">
        <f>IF(AND(ISNUMBER(K1847),N(K1847)&gt;0),N(K1847),0)</f>
        <v>0.0</v>
      </c>
      <c r="V1847" s="67">
        <f>IF(AND(ISNUMBER(L1847),N(L1847)&gt;0),N(L1847),0)</f>
        <v>0.0</v>
      </c>
      <c r="W1847" s="67">
        <f>IF(AND(I1847="Terminée",S1847&gt;0,C1847&lt;&gt;"",ISNUMBER(MATCH(C1847,eq_code,0))),1,0)</f>
        <v>0.0</v>
      </c>
      <c r="X1847" s="67">
        <f>IF(AND(W1847=1,E1847="Préventif"),1,0)</f>
        <v>0.0</v>
      </c>
      <c r="Y1847" s="67">
        <f>IF(AND(ISNUMBER(N1847),N(N1847)&gt;0),N(N1847),0)</f>
        <v>0.0</v>
      </c>
      <c r="Z1847" s="67">
        <f>IF(AND(ISNUMBER(P1847),N(P1847)&gt;0),N(P1847),0)</f>
        <v>0.0</v>
      </c>
    </row>
    <row r="1848">
      <c r="A1848" s="79" t="str">
        <f>IF(COUNTA(B1848:C1848,E1848:G1848,I1848)=0,"","BI-"&amp;RIGHT("0000"&amp;(ROW()-5),4))</f>
        <v/>
      </c>
      <c r="B1848" s="72" t="n"/>
      <c r="C1848" s="66" t="n"/>
      <c r="D1848" s="67" t="str">
        <f>IF(C1848="","",IFERROR(INDEX(eq_des,MATCH(C1848,eq_code,0))&amp;"","Équipement inconnu"))</f>
        <v/>
      </c>
      <c r="E1848" s="68" t="n"/>
      <c r="F1848" s="68" t="n"/>
      <c r="G1848" s="66" t="n"/>
      <c r="H1848" s="66" t="n"/>
      <c r="I1848" s="68" t="n"/>
      <c r="J1848" s="73" t="n"/>
      <c r="K1848" s="71" t="n"/>
      <c r="L1848" s="71" t="n"/>
      <c r="M1848" s="66" t="n"/>
      <c r="N1848" s="80" t="n"/>
      <c r="O1848" s="81" t="str">
        <f>IF(A1848="","",ROUND(V1848*IFERROR(N(INDEX(tech_rate,MATCH(M1848,tech_name,0))),0),2))</f>
        <v/>
      </c>
      <c r="P1848" s="80" t="n"/>
      <c r="Q1848" s="81" t="str">
        <f>IF(A1848="","",ROUND(Y1848+O1848+Z1848,2))</f>
        <v/>
      </c>
      <c r="R1848" s="79" t="str">
        <f>IF(A1848="","",IF(S1848=0,"Date manquante ou invalide",IF(C1848="","Équipement manquant",IF(ISNA(MATCH(C1848,eq_code,0)),"Équipement inconnu",IF(E1848="","Type manquant",IF(AND(E1848&lt;&gt;"Préventif",E1848&lt;&gt;"Correctif",E1848&lt;&gt;"Amélioratif"),"Type inconnu",IF(I1848="","Statut manquant",IF(AND(I1848&lt;&gt;"Terminée",I1848&lt;&gt;"En cours",I1848&lt;&gt;"À faire",I1848&lt;&gt;"Annulée"),"Statut inconnu",IF(AND(E1848="Préventif",F1848=""),"Plan manquant (préventif)",IF(AND(F1848&lt;&gt;"",ISNA(MATCH(F1848,pl_num,0))),"Plan inconnu",IF(AND(F1848&lt;&gt;"",IFERROR(INDEX(pl_eq,MATCH(F1848,pl_num,0))&amp;"",C1848)&lt;&gt;C1848),"Plan d'un autre équipement",IF(AND(J1848&lt;&gt;"",OR(NOT(ISNUMBER(J1848)),N(J1848)&lt;0)),"Compteur invalide",IF(OR(AND(K1848&lt;&gt;"",OR(NOT(ISNUMBER(K1848)),N(K1848)&lt;0)),AND(L1848&lt;&gt;"",OR(NOT(ISNUMBER(L1848)),N(L1848)&lt;0))),"Durée invalide",IF(OR(AND(N1848&lt;&gt;"",OR(NOT(ISNUMBER(N1848)),N(N1848)&lt;0)),AND(P1848&lt;&gt;"",OR(NOT(ISNUMBER(P1848)),N(P1848)&lt;0))),"Coût invalide",IF(AND(M1848&lt;&gt;"",ISNA(MATCH(M1848,tech_name,0))),"Technicien inconnu",IF(AND(I1848="Terminée",S1848&gt;p_today),"Terminée à une date future",IF(AND(I1848="Terminée",V1848=0),"Durée d'intervention manquante",IF(AND(I1848="Terminée",E1848="Préventif",T1848=0,OR(IFERROR(INDEX(pl_trig,MATCH(F1848,pl_num,0))&amp;"","")="Compteur",IFERROR(INDEX(pl_trig,MATCH(F1848,pl_num,0))&amp;"","")="Au premier des deux")),"Compteur manquant (plan au compteur)","OK"))))))))))))))))))</f>
        <v/>
      </c>
      <c r="S1848" s="67">
        <f>IF(AND(ISNUMBER(B1848),N(B1848)&gt;0),INT(B1848),0)</f>
        <v>0.0</v>
      </c>
      <c r="T1848" s="67">
        <f>IF(AND(ISNUMBER(J1848),N(J1848)&gt;=0),N(J1848),0)</f>
        <v>0.0</v>
      </c>
      <c r="U1848" s="67">
        <f>IF(AND(ISNUMBER(K1848),N(K1848)&gt;0),N(K1848),0)</f>
        <v>0.0</v>
      </c>
      <c r="V1848" s="67">
        <f>IF(AND(ISNUMBER(L1848),N(L1848)&gt;0),N(L1848),0)</f>
        <v>0.0</v>
      </c>
      <c r="W1848" s="67">
        <f>IF(AND(I1848="Terminée",S1848&gt;0,C1848&lt;&gt;"",ISNUMBER(MATCH(C1848,eq_code,0))),1,0)</f>
        <v>0.0</v>
      </c>
      <c r="X1848" s="67">
        <f>IF(AND(W1848=1,E1848="Préventif"),1,0)</f>
        <v>0.0</v>
      </c>
      <c r="Y1848" s="67">
        <f>IF(AND(ISNUMBER(N1848),N(N1848)&gt;0),N(N1848),0)</f>
        <v>0.0</v>
      </c>
      <c r="Z1848" s="67">
        <f>IF(AND(ISNUMBER(P1848),N(P1848)&gt;0),N(P1848),0)</f>
        <v>0.0</v>
      </c>
    </row>
    <row r="1849">
      <c r="A1849" s="79" t="str">
        <f>IF(COUNTA(B1849:C1849,E1849:G1849,I1849)=0,"","BI-"&amp;RIGHT("0000"&amp;(ROW()-5),4))</f>
        <v/>
      </c>
      <c r="B1849" s="72" t="n"/>
      <c r="C1849" s="66" t="n"/>
      <c r="D1849" s="67" t="str">
        <f>IF(C1849="","",IFERROR(INDEX(eq_des,MATCH(C1849,eq_code,0))&amp;"","Équipement inconnu"))</f>
        <v/>
      </c>
      <c r="E1849" s="68" t="n"/>
      <c r="F1849" s="68" t="n"/>
      <c r="G1849" s="66" t="n"/>
      <c r="H1849" s="66" t="n"/>
      <c r="I1849" s="68" t="n"/>
      <c r="J1849" s="73" t="n"/>
      <c r="K1849" s="71" t="n"/>
      <c r="L1849" s="71" t="n"/>
      <c r="M1849" s="66" t="n"/>
      <c r="N1849" s="80" t="n"/>
      <c r="O1849" s="81" t="str">
        <f>IF(A1849="","",ROUND(V1849*IFERROR(N(INDEX(tech_rate,MATCH(M1849,tech_name,0))),0),2))</f>
        <v/>
      </c>
      <c r="P1849" s="80" t="n"/>
      <c r="Q1849" s="81" t="str">
        <f>IF(A1849="","",ROUND(Y1849+O1849+Z1849,2))</f>
        <v/>
      </c>
      <c r="R1849" s="79" t="str">
        <f>IF(A1849="","",IF(S1849=0,"Date manquante ou invalide",IF(C1849="","Équipement manquant",IF(ISNA(MATCH(C1849,eq_code,0)),"Équipement inconnu",IF(E1849="","Type manquant",IF(AND(E1849&lt;&gt;"Préventif",E1849&lt;&gt;"Correctif",E1849&lt;&gt;"Amélioratif"),"Type inconnu",IF(I1849="","Statut manquant",IF(AND(I1849&lt;&gt;"Terminée",I1849&lt;&gt;"En cours",I1849&lt;&gt;"À faire",I1849&lt;&gt;"Annulée"),"Statut inconnu",IF(AND(E1849="Préventif",F1849=""),"Plan manquant (préventif)",IF(AND(F1849&lt;&gt;"",ISNA(MATCH(F1849,pl_num,0))),"Plan inconnu",IF(AND(F1849&lt;&gt;"",IFERROR(INDEX(pl_eq,MATCH(F1849,pl_num,0))&amp;"",C1849)&lt;&gt;C1849),"Plan d'un autre équipement",IF(AND(J1849&lt;&gt;"",OR(NOT(ISNUMBER(J1849)),N(J1849)&lt;0)),"Compteur invalide",IF(OR(AND(K1849&lt;&gt;"",OR(NOT(ISNUMBER(K1849)),N(K1849)&lt;0)),AND(L1849&lt;&gt;"",OR(NOT(ISNUMBER(L1849)),N(L1849)&lt;0))),"Durée invalide",IF(OR(AND(N1849&lt;&gt;"",OR(NOT(ISNUMBER(N1849)),N(N1849)&lt;0)),AND(P1849&lt;&gt;"",OR(NOT(ISNUMBER(P1849)),N(P1849)&lt;0))),"Coût invalide",IF(AND(M1849&lt;&gt;"",ISNA(MATCH(M1849,tech_name,0))),"Technicien inconnu",IF(AND(I1849="Terminée",S1849&gt;p_today),"Terminée à une date future",IF(AND(I1849="Terminée",V1849=0),"Durée d'intervention manquante",IF(AND(I1849="Terminée",E1849="Préventif",T1849=0,OR(IFERROR(INDEX(pl_trig,MATCH(F1849,pl_num,0))&amp;"","")="Compteur",IFERROR(INDEX(pl_trig,MATCH(F1849,pl_num,0))&amp;"","")="Au premier des deux")),"Compteur manquant (plan au compteur)","OK"))))))))))))))))))</f>
        <v/>
      </c>
      <c r="S1849" s="67">
        <f>IF(AND(ISNUMBER(B1849),N(B1849)&gt;0),INT(B1849),0)</f>
        <v>0.0</v>
      </c>
      <c r="T1849" s="67">
        <f>IF(AND(ISNUMBER(J1849),N(J1849)&gt;=0),N(J1849),0)</f>
        <v>0.0</v>
      </c>
      <c r="U1849" s="67">
        <f>IF(AND(ISNUMBER(K1849),N(K1849)&gt;0),N(K1849),0)</f>
        <v>0.0</v>
      </c>
      <c r="V1849" s="67">
        <f>IF(AND(ISNUMBER(L1849),N(L1849)&gt;0),N(L1849),0)</f>
        <v>0.0</v>
      </c>
      <c r="W1849" s="67">
        <f>IF(AND(I1849="Terminée",S1849&gt;0,C1849&lt;&gt;"",ISNUMBER(MATCH(C1849,eq_code,0))),1,0)</f>
        <v>0.0</v>
      </c>
      <c r="X1849" s="67">
        <f>IF(AND(W1849=1,E1849="Préventif"),1,0)</f>
        <v>0.0</v>
      </c>
      <c r="Y1849" s="67">
        <f>IF(AND(ISNUMBER(N1849),N(N1849)&gt;0),N(N1849),0)</f>
        <v>0.0</v>
      </c>
      <c r="Z1849" s="67">
        <f>IF(AND(ISNUMBER(P1849),N(P1849)&gt;0),N(P1849),0)</f>
        <v>0.0</v>
      </c>
    </row>
    <row r="1850">
      <c r="A1850" s="79" t="str">
        <f>IF(COUNTA(B1850:C1850,E1850:G1850,I1850)=0,"","BI-"&amp;RIGHT("0000"&amp;(ROW()-5),4))</f>
        <v/>
      </c>
      <c r="B1850" s="72" t="n"/>
      <c r="C1850" s="66" t="n"/>
      <c r="D1850" s="67" t="str">
        <f>IF(C1850="","",IFERROR(INDEX(eq_des,MATCH(C1850,eq_code,0))&amp;"","Équipement inconnu"))</f>
        <v/>
      </c>
      <c r="E1850" s="68" t="n"/>
      <c r="F1850" s="68" t="n"/>
      <c r="G1850" s="66" t="n"/>
      <c r="H1850" s="66" t="n"/>
      <c r="I1850" s="68" t="n"/>
      <c r="J1850" s="73" t="n"/>
      <c r="K1850" s="71" t="n"/>
      <c r="L1850" s="71" t="n"/>
      <c r="M1850" s="66" t="n"/>
      <c r="N1850" s="80" t="n"/>
      <c r="O1850" s="81" t="str">
        <f>IF(A1850="","",ROUND(V1850*IFERROR(N(INDEX(tech_rate,MATCH(M1850,tech_name,0))),0),2))</f>
        <v/>
      </c>
      <c r="P1850" s="80" t="n"/>
      <c r="Q1850" s="81" t="str">
        <f>IF(A1850="","",ROUND(Y1850+O1850+Z1850,2))</f>
        <v/>
      </c>
      <c r="R1850" s="79" t="str">
        <f>IF(A1850="","",IF(S1850=0,"Date manquante ou invalide",IF(C1850="","Équipement manquant",IF(ISNA(MATCH(C1850,eq_code,0)),"Équipement inconnu",IF(E1850="","Type manquant",IF(AND(E1850&lt;&gt;"Préventif",E1850&lt;&gt;"Correctif",E1850&lt;&gt;"Amélioratif"),"Type inconnu",IF(I1850="","Statut manquant",IF(AND(I1850&lt;&gt;"Terminée",I1850&lt;&gt;"En cours",I1850&lt;&gt;"À faire",I1850&lt;&gt;"Annulée"),"Statut inconnu",IF(AND(E1850="Préventif",F1850=""),"Plan manquant (préventif)",IF(AND(F1850&lt;&gt;"",ISNA(MATCH(F1850,pl_num,0))),"Plan inconnu",IF(AND(F1850&lt;&gt;"",IFERROR(INDEX(pl_eq,MATCH(F1850,pl_num,0))&amp;"",C1850)&lt;&gt;C1850),"Plan d'un autre équipement",IF(AND(J1850&lt;&gt;"",OR(NOT(ISNUMBER(J1850)),N(J1850)&lt;0)),"Compteur invalide",IF(OR(AND(K1850&lt;&gt;"",OR(NOT(ISNUMBER(K1850)),N(K1850)&lt;0)),AND(L1850&lt;&gt;"",OR(NOT(ISNUMBER(L1850)),N(L1850)&lt;0))),"Durée invalide",IF(OR(AND(N1850&lt;&gt;"",OR(NOT(ISNUMBER(N1850)),N(N1850)&lt;0)),AND(P1850&lt;&gt;"",OR(NOT(ISNUMBER(P1850)),N(P1850)&lt;0))),"Coût invalide",IF(AND(M1850&lt;&gt;"",ISNA(MATCH(M1850,tech_name,0))),"Technicien inconnu",IF(AND(I1850="Terminée",S1850&gt;p_today),"Terminée à une date future",IF(AND(I1850="Terminée",V1850=0),"Durée d'intervention manquante",IF(AND(I1850="Terminée",E1850="Préventif",T1850=0,OR(IFERROR(INDEX(pl_trig,MATCH(F1850,pl_num,0))&amp;"","")="Compteur",IFERROR(INDEX(pl_trig,MATCH(F1850,pl_num,0))&amp;"","")="Au premier des deux")),"Compteur manquant (plan au compteur)","OK"))))))))))))))))))</f>
        <v/>
      </c>
      <c r="S1850" s="67">
        <f>IF(AND(ISNUMBER(B1850),N(B1850)&gt;0),INT(B1850),0)</f>
        <v>0.0</v>
      </c>
      <c r="T1850" s="67">
        <f>IF(AND(ISNUMBER(J1850),N(J1850)&gt;=0),N(J1850),0)</f>
        <v>0.0</v>
      </c>
      <c r="U1850" s="67">
        <f>IF(AND(ISNUMBER(K1850),N(K1850)&gt;0),N(K1850),0)</f>
        <v>0.0</v>
      </c>
      <c r="V1850" s="67">
        <f>IF(AND(ISNUMBER(L1850),N(L1850)&gt;0),N(L1850),0)</f>
        <v>0.0</v>
      </c>
      <c r="W1850" s="67">
        <f>IF(AND(I1850="Terminée",S1850&gt;0,C1850&lt;&gt;"",ISNUMBER(MATCH(C1850,eq_code,0))),1,0)</f>
        <v>0.0</v>
      </c>
      <c r="X1850" s="67">
        <f>IF(AND(W1850=1,E1850="Préventif"),1,0)</f>
        <v>0.0</v>
      </c>
      <c r="Y1850" s="67">
        <f>IF(AND(ISNUMBER(N1850),N(N1850)&gt;0),N(N1850),0)</f>
        <v>0.0</v>
      </c>
      <c r="Z1850" s="67">
        <f>IF(AND(ISNUMBER(P1850),N(P1850)&gt;0),N(P1850),0)</f>
        <v>0.0</v>
      </c>
    </row>
    <row r="1851">
      <c r="A1851" s="79" t="str">
        <f>IF(COUNTA(B1851:C1851,E1851:G1851,I1851)=0,"","BI-"&amp;RIGHT("0000"&amp;(ROW()-5),4))</f>
        <v/>
      </c>
      <c r="B1851" s="72" t="n"/>
      <c r="C1851" s="66" t="n"/>
      <c r="D1851" s="67" t="str">
        <f>IF(C1851="","",IFERROR(INDEX(eq_des,MATCH(C1851,eq_code,0))&amp;"","Équipement inconnu"))</f>
        <v/>
      </c>
      <c r="E1851" s="68" t="n"/>
      <c r="F1851" s="68" t="n"/>
      <c r="G1851" s="66" t="n"/>
      <c r="H1851" s="66" t="n"/>
      <c r="I1851" s="68" t="n"/>
      <c r="J1851" s="73" t="n"/>
      <c r="K1851" s="71" t="n"/>
      <c r="L1851" s="71" t="n"/>
      <c r="M1851" s="66" t="n"/>
      <c r="N1851" s="80" t="n"/>
      <c r="O1851" s="81" t="str">
        <f>IF(A1851="","",ROUND(V1851*IFERROR(N(INDEX(tech_rate,MATCH(M1851,tech_name,0))),0),2))</f>
        <v/>
      </c>
      <c r="P1851" s="80" t="n"/>
      <c r="Q1851" s="81" t="str">
        <f>IF(A1851="","",ROUND(Y1851+O1851+Z1851,2))</f>
        <v/>
      </c>
      <c r="R1851" s="79" t="str">
        <f>IF(A1851="","",IF(S1851=0,"Date manquante ou invalide",IF(C1851="","Équipement manquant",IF(ISNA(MATCH(C1851,eq_code,0)),"Équipement inconnu",IF(E1851="","Type manquant",IF(AND(E1851&lt;&gt;"Préventif",E1851&lt;&gt;"Correctif",E1851&lt;&gt;"Amélioratif"),"Type inconnu",IF(I1851="","Statut manquant",IF(AND(I1851&lt;&gt;"Terminée",I1851&lt;&gt;"En cours",I1851&lt;&gt;"À faire",I1851&lt;&gt;"Annulée"),"Statut inconnu",IF(AND(E1851="Préventif",F1851=""),"Plan manquant (préventif)",IF(AND(F1851&lt;&gt;"",ISNA(MATCH(F1851,pl_num,0))),"Plan inconnu",IF(AND(F1851&lt;&gt;"",IFERROR(INDEX(pl_eq,MATCH(F1851,pl_num,0))&amp;"",C1851)&lt;&gt;C1851),"Plan d'un autre équipement",IF(AND(J1851&lt;&gt;"",OR(NOT(ISNUMBER(J1851)),N(J1851)&lt;0)),"Compteur invalide",IF(OR(AND(K1851&lt;&gt;"",OR(NOT(ISNUMBER(K1851)),N(K1851)&lt;0)),AND(L1851&lt;&gt;"",OR(NOT(ISNUMBER(L1851)),N(L1851)&lt;0))),"Durée invalide",IF(OR(AND(N1851&lt;&gt;"",OR(NOT(ISNUMBER(N1851)),N(N1851)&lt;0)),AND(P1851&lt;&gt;"",OR(NOT(ISNUMBER(P1851)),N(P1851)&lt;0))),"Coût invalide",IF(AND(M1851&lt;&gt;"",ISNA(MATCH(M1851,tech_name,0))),"Technicien inconnu",IF(AND(I1851="Terminée",S1851&gt;p_today),"Terminée à une date future",IF(AND(I1851="Terminée",V1851=0),"Durée d'intervention manquante",IF(AND(I1851="Terminée",E1851="Préventif",T1851=0,OR(IFERROR(INDEX(pl_trig,MATCH(F1851,pl_num,0))&amp;"","")="Compteur",IFERROR(INDEX(pl_trig,MATCH(F1851,pl_num,0))&amp;"","")="Au premier des deux")),"Compteur manquant (plan au compteur)","OK"))))))))))))))))))</f>
        <v/>
      </c>
      <c r="S1851" s="67">
        <f>IF(AND(ISNUMBER(B1851),N(B1851)&gt;0),INT(B1851),0)</f>
        <v>0.0</v>
      </c>
      <c r="T1851" s="67">
        <f>IF(AND(ISNUMBER(J1851),N(J1851)&gt;=0),N(J1851),0)</f>
        <v>0.0</v>
      </c>
      <c r="U1851" s="67">
        <f>IF(AND(ISNUMBER(K1851),N(K1851)&gt;0),N(K1851),0)</f>
        <v>0.0</v>
      </c>
      <c r="V1851" s="67">
        <f>IF(AND(ISNUMBER(L1851),N(L1851)&gt;0),N(L1851),0)</f>
        <v>0.0</v>
      </c>
      <c r="W1851" s="67">
        <f>IF(AND(I1851="Terminée",S1851&gt;0,C1851&lt;&gt;"",ISNUMBER(MATCH(C1851,eq_code,0))),1,0)</f>
        <v>0.0</v>
      </c>
      <c r="X1851" s="67">
        <f>IF(AND(W1851=1,E1851="Préventif"),1,0)</f>
        <v>0.0</v>
      </c>
      <c r="Y1851" s="67">
        <f>IF(AND(ISNUMBER(N1851),N(N1851)&gt;0),N(N1851),0)</f>
        <v>0.0</v>
      </c>
      <c r="Z1851" s="67">
        <f>IF(AND(ISNUMBER(P1851),N(P1851)&gt;0),N(P1851),0)</f>
        <v>0.0</v>
      </c>
    </row>
    <row r="1852">
      <c r="A1852" s="79" t="str">
        <f>IF(COUNTA(B1852:C1852,E1852:G1852,I1852)=0,"","BI-"&amp;RIGHT("0000"&amp;(ROW()-5),4))</f>
        <v/>
      </c>
      <c r="B1852" s="72" t="n"/>
      <c r="C1852" s="66" t="n"/>
      <c r="D1852" s="67" t="str">
        <f>IF(C1852="","",IFERROR(INDEX(eq_des,MATCH(C1852,eq_code,0))&amp;"","Équipement inconnu"))</f>
        <v/>
      </c>
      <c r="E1852" s="68" t="n"/>
      <c r="F1852" s="68" t="n"/>
      <c r="G1852" s="66" t="n"/>
      <c r="H1852" s="66" t="n"/>
      <c r="I1852" s="68" t="n"/>
      <c r="J1852" s="73" t="n"/>
      <c r="K1852" s="71" t="n"/>
      <c r="L1852" s="71" t="n"/>
      <c r="M1852" s="66" t="n"/>
      <c r="N1852" s="80" t="n"/>
      <c r="O1852" s="81" t="str">
        <f>IF(A1852="","",ROUND(V1852*IFERROR(N(INDEX(tech_rate,MATCH(M1852,tech_name,0))),0),2))</f>
        <v/>
      </c>
      <c r="P1852" s="80" t="n"/>
      <c r="Q1852" s="81" t="str">
        <f>IF(A1852="","",ROUND(Y1852+O1852+Z1852,2))</f>
        <v/>
      </c>
      <c r="R1852" s="79" t="str">
        <f>IF(A1852="","",IF(S1852=0,"Date manquante ou invalide",IF(C1852="","Équipement manquant",IF(ISNA(MATCH(C1852,eq_code,0)),"Équipement inconnu",IF(E1852="","Type manquant",IF(AND(E1852&lt;&gt;"Préventif",E1852&lt;&gt;"Correctif",E1852&lt;&gt;"Amélioratif"),"Type inconnu",IF(I1852="","Statut manquant",IF(AND(I1852&lt;&gt;"Terminée",I1852&lt;&gt;"En cours",I1852&lt;&gt;"À faire",I1852&lt;&gt;"Annulée"),"Statut inconnu",IF(AND(E1852="Préventif",F1852=""),"Plan manquant (préventif)",IF(AND(F1852&lt;&gt;"",ISNA(MATCH(F1852,pl_num,0))),"Plan inconnu",IF(AND(F1852&lt;&gt;"",IFERROR(INDEX(pl_eq,MATCH(F1852,pl_num,0))&amp;"",C1852)&lt;&gt;C1852),"Plan d'un autre équipement",IF(AND(J1852&lt;&gt;"",OR(NOT(ISNUMBER(J1852)),N(J1852)&lt;0)),"Compteur invalide",IF(OR(AND(K1852&lt;&gt;"",OR(NOT(ISNUMBER(K1852)),N(K1852)&lt;0)),AND(L1852&lt;&gt;"",OR(NOT(ISNUMBER(L1852)),N(L1852)&lt;0))),"Durée invalide",IF(OR(AND(N1852&lt;&gt;"",OR(NOT(ISNUMBER(N1852)),N(N1852)&lt;0)),AND(P1852&lt;&gt;"",OR(NOT(ISNUMBER(P1852)),N(P1852)&lt;0))),"Coût invalide",IF(AND(M1852&lt;&gt;"",ISNA(MATCH(M1852,tech_name,0))),"Technicien inconnu",IF(AND(I1852="Terminée",S1852&gt;p_today),"Terminée à une date future",IF(AND(I1852="Terminée",V1852=0),"Durée d'intervention manquante",IF(AND(I1852="Terminée",E1852="Préventif",T1852=0,OR(IFERROR(INDEX(pl_trig,MATCH(F1852,pl_num,0))&amp;"","")="Compteur",IFERROR(INDEX(pl_trig,MATCH(F1852,pl_num,0))&amp;"","")="Au premier des deux")),"Compteur manquant (plan au compteur)","OK"))))))))))))))))))</f>
        <v/>
      </c>
      <c r="S1852" s="67">
        <f>IF(AND(ISNUMBER(B1852),N(B1852)&gt;0),INT(B1852),0)</f>
        <v>0.0</v>
      </c>
      <c r="T1852" s="67">
        <f>IF(AND(ISNUMBER(J1852),N(J1852)&gt;=0),N(J1852),0)</f>
        <v>0.0</v>
      </c>
      <c r="U1852" s="67">
        <f>IF(AND(ISNUMBER(K1852),N(K1852)&gt;0),N(K1852),0)</f>
        <v>0.0</v>
      </c>
      <c r="V1852" s="67">
        <f>IF(AND(ISNUMBER(L1852),N(L1852)&gt;0),N(L1852),0)</f>
        <v>0.0</v>
      </c>
      <c r="W1852" s="67">
        <f>IF(AND(I1852="Terminée",S1852&gt;0,C1852&lt;&gt;"",ISNUMBER(MATCH(C1852,eq_code,0))),1,0)</f>
        <v>0.0</v>
      </c>
      <c r="X1852" s="67">
        <f>IF(AND(W1852=1,E1852="Préventif"),1,0)</f>
        <v>0.0</v>
      </c>
      <c r="Y1852" s="67">
        <f>IF(AND(ISNUMBER(N1852),N(N1852)&gt;0),N(N1852),0)</f>
        <v>0.0</v>
      </c>
      <c r="Z1852" s="67">
        <f>IF(AND(ISNUMBER(P1852),N(P1852)&gt;0),N(P1852),0)</f>
        <v>0.0</v>
      </c>
    </row>
    <row r="1853">
      <c r="A1853" s="79" t="str">
        <f>IF(COUNTA(B1853:C1853,E1853:G1853,I1853)=0,"","BI-"&amp;RIGHT("0000"&amp;(ROW()-5),4))</f>
        <v/>
      </c>
      <c r="B1853" s="72" t="n"/>
      <c r="C1853" s="66" t="n"/>
      <c r="D1853" s="67" t="str">
        <f>IF(C1853="","",IFERROR(INDEX(eq_des,MATCH(C1853,eq_code,0))&amp;"","Équipement inconnu"))</f>
        <v/>
      </c>
      <c r="E1853" s="68" t="n"/>
      <c r="F1853" s="68" t="n"/>
      <c r="G1853" s="66" t="n"/>
      <c r="H1853" s="66" t="n"/>
      <c r="I1853" s="68" t="n"/>
      <c r="J1853" s="73" t="n"/>
      <c r="K1853" s="71" t="n"/>
      <c r="L1853" s="71" t="n"/>
      <c r="M1853" s="66" t="n"/>
      <c r="N1853" s="80" t="n"/>
      <c r="O1853" s="81" t="str">
        <f>IF(A1853="","",ROUND(V1853*IFERROR(N(INDEX(tech_rate,MATCH(M1853,tech_name,0))),0),2))</f>
        <v/>
      </c>
      <c r="P1853" s="80" t="n"/>
      <c r="Q1853" s="81" t="str">
        <f>IF(A1853="","",ROUND(Y1853+O1853+Z1853,2))</f>
        <v/>
      </c>
      <c r="R1853" s="79" t="str">
        <f>IF(A1853="","",IF(S1853=0,"Date manquante ou invalide",IF(C1853="","Équipement manquant",IF(ISNA(MATCH(C1853,eq_code,0)),"Équipement inconnu",IF(E1853="","Type manquant",IF(AND(E1853&lt;&gt;"Préventif",E1853&lt;&gt;"Correctif",E1853&lt;&gt;"Amélioratif"),"Type inconnu",IF(I1853="","Statut manquant",IF(AND(I1853&lt;&gt;"Terminée",I1853&lt;&gt;"En cours",I1853&lt;&gt;"À faire",I1853&lt;&gt;"Annulée"),"Statut inconnu",IF(AND(E1853="Préventif",F1853=""),"Plan manquant (préventif)",IF(AND(F1853&lt;&gt;"",ISNA(MATCH(F1853,pl_num,0))),"Plan inconnu",IF(AND(F1853&lt;&gt;"",IFERROR(INDEX(pl_eq,MATCH(F1853,pl_num,0))&amp;"",C1853)&lt;&gt;C1853),"Plan d'un autre équipement",IF(AND(J1853&lt;&gt;"",OR(NOT(ISNUMBER(J1853)),N(J1853)&lt;0)),"Compteur invalide",IF(OR(AND(K1853&lt;&gt;"",OR(NOT(ISNUMBER(K1853)),N(K1853)&lt;0)),AND(L1853&lt;&gt;"",OR(NOT(ISNUMBER(L1853)),N(L1853)&lt;0))),"Durée invalide",IF(OR(AND(N1853&lt;&gt;"",OR(NOT(ISNUMBER(N1853)),N(N1853)&lt;0)),AND(P1853&lt;&gt;"",OR(NOT(ISNUMBER(P1853)),N(P1853)&lt;0))),"Coût invalide",IF(AND(M1853&lt;&gt;"",ISNA(MATCH(M1853,tech_name,0))),"Technicien inconnu",IF(AND(I1853="Terminée",S1853&gt;p_today),"Terminée à une date future",IF(AND(I1853="Terminée",V1853=0),"Durée d'intervention manquante",IF(AND(I1853="Terminée",E1853="Préventif",T1853=0,OR(IFERROR(INDEX(pl_trig,MATCH(F1853,pl_num,0))&amp;"","")="Compteur",IFERROR(INDEX(pl_trig,MATCH(F1853,pl_num,0))&amp;"","")="Au premier des deux")),"Compteur manquant (plan au compteur)","OK"))))))))))))))))))</f>
        <v/>
      </c>
      <c r="S1853" s="67">
        <f>IF(AND(ISNUMBER(B1853),N(B1853)&gt;0),INT(B1853),0)</f>
        <v>0.0</v>
      </c>
      <c r="T1853" s="67">
        <f>IF(AND(ISNUMBER(J1853),N(J1853)&gt;=0),N(J1853),0)</f>
        <v>0.0</v>
      </c>
      <c r="U1853" s="67">
        <f>IF(AND(ISNUMBER(K1853),N(K1853)&gt;0),N(K1853),0)</f>
        <v>0.0</v>
      </c>
      <c r="V1853" s="67">
        <f>IF(AND(ISNUMBER(L1853),N(L1853)&gt;0),N(L1853),0)</f>
        <v>0.0</v>
      </c>
      <c r="W1853" s="67">
        <f>IF(AND(I1853="Terminée",S1853&gt;0,C1853&lt;&gt;"",ISNUMBER(MATCH(C1853,eq_code,0))),1,0)</f>
        <v>0.0</v>
      </c>
      <c r="X1853" s="67">
        <f>IF(AND(W1853=1,E1853="Préventif"),1,0)</f>
        <v>0.0</v>
      </c>
      <c r="Y1853" s="67">
        <f>IF(AND(ISNUMBER(N1853),N(N1853)&gt;0),N(N1853),0)</f>
        <v>0.0</v>
      </c>
      <c r="Z1853" s="67">
        <f>IF(AND(ISNUMBER(P1853),N(P1853)&gt;0),N(P1853),0)</f>
        <v>0.0</v>
      </c>
    </row>
    <row r="1854">
      <c r="A1854" s="79" t="str">
        <f>IF(COUNTA(B1854:C1854,E1854:G1854,I1854)=0,"","BI-"&amp;RIGHT("0000"&amp;(ROW()-5),4))</f>
        <v/>
      </c>
      <c r="B1854" s="72" t="n"/>
      <c r="C1854" s="66" t="n"/>
      <c r="D1854" s="67" t="str">
        <f>IF(C1854="","",IFERROR(INDEX(eq_des,MATCH(C1854,eq_code,0))&amp;"","Équipement inconnu"))</f>
        <v/>
      </c>
      <c r="E1854" s="68" t="n"/>
      <c r="F1854" s="68" t="n"/>
      <c r="G1854" s="66" t="n"/>
      <c r="H1854" s="66" t="n"/>
      <c r="I1854" s="68" t="n"/>
      <c r="J1854" s="73" t="n"/>
      <c r="K1854" s="71" t="n"/>
      <c r="L1854" s="71" t="n"/>
      <c r="M1854" s="66" t="n"/>
      <c r="N1854" s="80" t="n"/>
      <c r="O1854" s="81" t="str">
        <f>IF(A1854="","",ROUND(V1854*IFERROR(N(INDEX(tech_rate,MATCH(M1854,tech_name,0))),0),2))</f>
        <v/>
      </c>
      <c r="P1854" s="80" t="n"/>
      <c r="Q1854" s="81" t="str">
        <f>IF(A1854="","",ROUND(Y1854+O1854+Z1854,2))</f>
        <v/>
      </c>
      <c r="R1854" s="79" t="str">
        <f>IF(A1854="","",IF(S1854=0,"Date manquante ou invalide",IF(C1854="","Équipement manquant",IF(ISNA(MATCH(C1854,eq_code,0)),"Équipement inconnu",IF(E1854="","Type manquant",IF(AND(E1854&lt;&gt;"Préventif",E1854&lt;&gt;"Correctif",E1854&lt;&gt;"Amélioratif"),"Type inconnu",IF(I1854="","Statut manquant",IF(AND(I1854&lt;&gt;"Terminée",I1854&lt;&gt;"En cours",I1854&lt;&gt;"À faire",I1854&lt;&gt;"Annulée"),"Statut inconnu",IF(AND(E1854="Préventif",F1854=""),"Plan manquant (préventif)",IF(AND(F1854&lt;&gt;"",ISNA(MATCH(F1854,pl_num,0))),"Plan inconnu",IF(AND(F1854&lt;&gt;"",IFERROR(INDEX(pl_eq,MATCH(F1854,pl_num,0))&amp;"",C1854)&lt;&gt;C1854),"Plan d'un autre équipement",IF(AND(J1854&lt;&gt;"",OR(NOT(ISNUMBER(J1854)),N(J1854)&lt;0)),"Compteur invalide",IF(OR(AND(K1854&lt;&gt;"",OR(NOT(ISNUMBER(K1854)),N(K1854)&lt;0)),AND(L1854&lt;&gt;"",OR(NOT(ISNUMBER(L1854)),N(L1854)&lt;0))),"Durée invalide",IF(OR(AND(N1854&lt;&gt;"",OR(NOT(ISNUMBER(N1854)),N(N1854)&lt;0)),AND(P1854&lt;&gt;"",OR(NOT(ISNUMBER(P1854)),N(P1854)&lt;0))),"Coût invalide",IF(AND(M1854&lt;&gt;"",ISNA(MATCH(M1854,tech_name,0))),"Technicien inconnu",IF(AND(I1854="Terminée",S1854&gt;p_today),"Terminée à une date future",IF(AND(I1854="Terminée",V1854=0),"Durée d'intervention manquante",IF(AND(I1854="Terminée",E1854="Préventif",T1854=0,OR(IFERROR(INDEX(pl_trig,MATCH(F1854,pl_num,0))&amp;"","")="Compteur",IFERROR(INDEX(pl_trig,MATCH(F1854,pl_num,0))&amp;"","")="Au premier des deux")),"Compteur manquant (plan au compteur)","OK"))))))))))))))))))</f>
        <v/>
      </c>
      <c r="S1854" s="67">
        <f>IF(AND(ISNUMBER(B1854),N(B1854)&gt;0),INT(B1854),0)</f>
        <v>0.0</v>
      </c>
      <c r="T1854" s="67">
        <f>IF(AND(ISNUMBER(J1854),N(J1854)&gt;=0),N(J1854),0)</f>
        <v>0.0</v>
      </c>
      <c r="U1854" s="67">
        <f>IF(AND(ISNUMBER(K1854),N(K1854)&gt;0),N(K1854),0)</f>
        <v>0.0</v>
      </c>
      <c r="V1854" s="67">
        <f>IF(AND(ISNUMBER(L1854),N(L1854)&gt;0),N(L1854),0)</f>
        <v>0.0</v>
      </c>
      <c r="W1854" s="67">
        <f>IF(AND(I1854="Terminée",S1854&gt;0,C1854&lt;&gt;"",ISNUMBER(MATCH(C1854,eq_code,0))),1,0)</f>
        <v>0.0</v>
      </c>
      <c r="X1854" s="67">
        <f>IF(AND(W1854=1,E1854="Préventif"),1,0)</f>
        <v>0.0</v>
      </c>
      <c r="Y1854" s="67">
        <f>IF(AND(ISNUMBER(N1854),N(N1854)&gt;0),N(N1854),0)</f>
        <v>0.0</v>
      </c>
      <c r="Z1854" s="67">
        <f>IF(AND(ISNUMBER(P1854),N(P1854)&gt;0),N(P1854),0)</f>
        <v>0.0</v>
      </c>
    </row>
    <row r="1855">
      <c r="A1855" s="79" t="str">
        <f>IF(COUNTA(B1855:C1855,E1855:G1855,I1855)=0,"","BI-"&amp;RIGHT("0000"&amp;(ROW()-5),4))</f>
        <v/>
      </c>
      <c r="B1855" s="72" t="n"/>
      <c r="C1855" s="66" t="n"/>
      <c r="D1855" s="67" t="str">
        <f>IF(C1855="","",IFERROR(INDEX(eq_des,MATCH(C1855,eq_code,0))&amp;"","Équipement inconnu"))</f>
        <v/>
      </c>
      <c r="E1855" s="68" t="n"/>
      <c r="F1855" s="68" t="n"/>
      <c r="G1855" s="66" t="n"/>
      <c r="H1855" s="66" t="n"/>
      <c r="I1855" s="68" t="n"/>
      <c r="J1855" s="73" t="n"/>
      <c r="K1855" s="71" t="n"/>
      <c r="L1855" s="71" t="n"/>
      <c r="M1855" s="66" t="n"/>
      <c r="N1855" s="80" t="n"/>
      <c r="O1855" s="81" t="str">
        <f>IF(A1855="","",ROUND(V1855*IFERROR(N(INDEX(tech_rate,MATCH(M1855,tech_name,0))),0),2))</f>
        <v/>
      </c>
      <c r="P1855" s="80" t="n"/>
      <c r="Q1855" s="81" t="str">
        <f>IF(A1855="","",ROUND(Y1855+O1855+Z1855,2))</f>
        <v/>
      </c>
      <c r="R1855" s="79" t="str">
        <f>IF(A1855="","",IF(S1855=0,"Date manquante ou invalide",IF(C1855="","Équipement manquant",IF(ISNA(MATCH(C1855,eq_code,0)),"Équipement inconnu",IF(E1855="","Type manquant",IF(AND(E1855&lt;&gt;"Préventif",E1855&lt;&gt;"Correctif",E1855&lt;&gt;"Amélioratif"),"Type inconnu",IF(I1855="","Statut manquant",IF(AND(I1855&lt;&gt;"Terminée",I1855&lt;&gt;"En cours",I1855&lt;&gt;"À faire",I1855&lt;&gt;"Annulée"),"Statut inconnu",IF(AND(E1855="Préventif",F1855=""),"Plan manquant (préventif)",IF(AND(F1855&lt;&gt;"",ISNA(MATCH(F1855,pl_num,0))),"Plan inconnu",IF(AND(F1855&lt;&gt;"",IFERROR(INDEX(pl_eq,MATCH(F1855,pl_num,0))&amp;"",C1855)&lt;&gt;C1855),"Plan d'un autre équipement",IF(AND(J1855&lt;&gt;"",OR(NOT(ISNUMBER(J1855)),N(J1855)&lt;0)),"Compteur invalide",IF(OR(AND(K1855&lt;&gt;"",OR(NOT(ISNUMBER(K1855)),N(K1855)&lt;0)),AND(L1855&lt;&gt;"",OR(NOT(ISNUMBER(L1855)),N(L1855)&lt;0))),"Durée invalide",IF(OR(AND(N1855&lt;&gt;"",OR(NOT(ISNUMBER(N1855)),N(N1855)&lt;0)),AND(P1855&lt;&gt;"",OR(NOT(ISNUMBER(P1855)),N(P1855)&lt;0))),"Coût invalide",IF(AND(M1855&lt;&gt;"",ISNA(MATCH(M1855,tech_name,0))),"Technicien inconnu",IF(AND(I1855="Terminée",S1855&gt;p_today),"Terminée à une date future",IF(AND(I1855="Terminée",V1855=0),"Durée d'intervention manquante",IF(AND(I1855="Terminée",E1855="Préventif",T1855=0,OR(IFERROR(INDEX(pl_trig,MATCH(F1855,pl_num,0))&amp;"","")="Compteur",IFERROR(INDEX(pl_trig,MATCH(F1855,pl_num,0))&amp;"","")="Au premier des deux")),"Compteur manquant (plan au compteur)","OK"))))))))))))))))))</f>
        <v/>
      </c>
      <c r="S1855" s="67">
        <f>IF(AND(ISNUMBER(B1855),N(B1855)&gt;0),INT(B1855),0)</f>
        <v>0.0</v>
      </c>
      <c r="T1855" s="67">
        <f>IF(AND(ISNUMBER(J1855),N(J1855)&gt;=0),N(J1855),0)</f>
        <v>0.0</v>
      </c>
      <c r="U1855" s="67">
        <f>IF(AND(ISNUMBER(K1855),N(K1855)&gt;0),N(K1855),0)</f>
        <v>0.0</v>
      </c>
      <c r="V1855" s="67">
        <f>IF(AND(ISNUMBER(L1855),N(L1855)&gt;0),N(L1855),0)</f>
        <v>0.0</v>
      </c>
      <c r="W1855" s="67">
        <f>IF(AND(I1855="Terminée",S1855&gt;0,C1855&lt;&gt;"",ISNUMBER(MATCH(C1855,eq_code,0))),1,0)</f>
        <v>0.0</v>
      </c>
      <c r="X1855" s="67">
        <f>IF(AND(W1855=1,E1855="Préventif"),1,0)</f>
        <v>0.0</v>
      </c>
      <c r="Y1855" s="67">
        <f>IF(AND(ISNUMBER(N1855),N(N1855)&gt;0),N(N1855),0)</f>
        <v>0.0</v>
      </c>
      <c r="Z1855" s="67">
        <f>IF(AND(ISNUMBER(P1855),N(P1855)&gt;0),N(P1855),0)</f>
        <v>0.0</v>
      </c>
    </row>
    <row r="1856">
      <c r="A1856" s="79" t="str">
        <f>IF(COUNTA(B1856:C1856,E1856:G1856,I1856)=0,"","BI-"&amp;RIGHT("0000"&amp;(ROW()-5),4))</f>
        <v/>
      </c>
      <c r="B1856" s="72" t="n"/>
      <c r="C1856" s="66" t="n"/>
      <c r="D1856" s="67" t="str">
        <f>IF(C1856="","",IFERROR(INDEX(eq_des,MATCH(C1856,eq_code,0))&amp;"","Équipement inconnu"))</f>
        <v/>
      </c>
      <c r="E1856" s="68" t="n"/>
      <c r="F1856" s="68" t="n"/>
      <c r="G1856" s="66" t="n"/>
      <c r="H1856" s="66" t="n"/>
      <c r="I1856" s="68" t="n"/>
      <c r="J1856" s="73" t="n"/>
      <c r="K1856" s="71" t="n"/>
      <c r="L1856" s="71" t="n"/>
      <c r="M1856" s="66" t="n"/>
      <c r="N1856" s="80" t="n"/>
      <c r="O1856" s="81" t="str">
        <f>IF(A1856="","",ROUND(V1856*IFERROR(N(INDEX(tech_rate,MATCH(M1856,tech_name,0))),0),2))</f>
        <v/>
      </c>
      <c r="P1856" s="80" t="n"/>
      <c r="Q1856" s="81" t="str">
        <f>IF(A1856="","",ROUND(Y1856+O1856+Z1856,2))</f>
        <v/>
      </c>
      <c r="R1856" s="79" t="str">
        <f>IF(A1856="","",IF(S1856=0,"Date manquante ou invalide",IF(C1856="","Équipement manquant",IF(ISNA(MATCH(C1856,eq_code,0)),"Équipement inconnu",IF(E1856="","Type manquant",IF(AND(E1856&lt;&gt;"Préventif",E1856&lt;&gt;"Correctif",E1856&lt;&gt;"Amélioratif"),"Type inconnu",IF(I1856="","Statut manquant",IF(AND(I1856&lt;&gt;"Terminée",I1856&lt;&gt;"En cours",I1856&lt;&gt;"À faire",I1856&lt;&gt;"Annulée"),"Statut inconnu",IF(AND(E1856="Préventif",F1856=""),"Plan manquant (préventif)",IF(AND(F1856&lt;&gt;"",ISNA(MATCH(F1856,pl_num,0))),"Plan inconnu",IF(AND(F1856&lt;&gt;"",IFERROR(INDEX(pl_eq,MATCH(F1856,pl_num,0))&amp;"",C1856)&lt;&gt;C1856),"Plan d'un autre équipement",IF(AND(J1856&lt;&gt;"",OR(NOT(ISNUMBER(J1856)),N(J1856)&lt;0)),"Compteur invalide",IF(OR(AND(K1856&lt;&gt;"",OR(NOT(ISNUMBER(K1856)),N(K1856)&lt;0)),AND(L1856&lt;&gt;"",OR(NOT(ISNUMBER(L1856)),N(L1856)&lt;0))),"Durée invalide",IF(OR(AND(N1856&lt;&gt;"",OR(NOT(ISNUMBER(N1856)),N(N1856)&lt;0)),AND(P1856&lt;&gt;"",OR(NOT(ISNUMBER(P1856)),N(P1856)&lt;0))),"Coût invalide",IF(AND(M1856&lt;&gt;"",ISNA(MATCH(M1856,tech_name,0))),"Technicien inconnu",IF(AND(I1856="Terminée",S1856&gt;p_today),"Terminée à une date future",IF(AND(I1856="Terminée",V1856=0),"Durée d'intervention manquante",IF(AND(I1856="Terminée",E1856="Préventif",T1856=0,OR(IFERROR(INDEX(pl_trig,MATCH(F1856,pl_num,0))&amp;"","")="Compteur",IFERROR(INDEX(pl_trig,MATCH(F1856,pl_num,0))&amp;"","")="Au premier des deux")),"Compteur manquant (plan au compteur)","OK"))))))))))))))))))</f>
        <v/>
      </c>
      <c r="S1856" s="67">
        <f>IF(AND(ISNUMBER(B1856),N(B1856)&gt;0),INT(B1856),0)</f>
        <v>0.0</v>
      </c>
      <c r="T1856" s="67">
        <f>IF(AND(ISNUMBER(J1856),N(J1856)&gt;=0),N(J1856),0)</f>
        <v>0.0</v>
      </c>
      <c r="U1856" s="67">
        <f>IF(AND(ISNUMBER(K1856),N(K1856)&gt;0),N(K1856),0)</f>
        <v>0.0</v>
      </c>
      <c r="V1856" s="67">
        <f>IF(AND(ISNUMBER(L1856),N(L1856)&gt;0),N(L1856),0)</f>
        <v>0.0</v>
      </c>
      <c r="W1856" s="67">
        <f>IF(AND(I1856="Terminée",S1856&gt;0,C1856&lt;&gt;"",ISNUMBER(MATCH(C1856,eq_code,0))),1,0)</f>
        <v>0.0</v>
      </c>
      <c r="X1856" s="67">
        <f>IF(AND(W1856=1,E1856="Préventif"),1,0)</f>
        <v>0.0</v>
      </c>
      <c r="Y1856" s="67">
        <f>IF(AND(ISNUMBER(N1856),N(N1856)&gt;0),N(N1856),0)</f>
        <v>0.0</v>
      </c>
      <c r="Z1856" s="67">
        <f>IF(AND(ISNUMBER(P1856),N(P1856)&gt;0),N(P1856),0)</f>
        <v>0.0</v>
      </c>
    </row>
    <row r="1857">
      <c r="A1857" s="79" t="str">
        <f>IF(COUNTA(B1857:C1857,E1857:G1857,I1857)=0,"","BI-"&amp;RIGHT("0000"&amp;(ROW()-5),4))</f>
        <v/>
      </c>
      <c r="B1857" s="72" t="n"/>
      <c r="C1857" s="66" t="n"/>
      <c r="D1857" s="67" t="str">
        <f>IF(C1857="","",IFERROR(INDEX(eq_des,MATCH(C1857,eq_code,0))&amp;"","Équipement inconnu"))</f>
        <v/>
      </c>
      <c r="E1857" s="68" t="n"/>
      <c r="F1857" s="68" t="n"/>
      <c r="G1857" s="66" t="n"/>
      <c r="H1857" s="66" t="n"/>
      <c r="I1857" s="68" t="n"/>
      <c r="J1857" s="73" t="n"/>
      <c r="K1857" s="71" t="n"/>
      <c r="L1857" s="71" t="n"/>
      <c r="M1857" s="66" t="n"/>
      <c r="N1857" s="80" t="n"/>
      <c r="O1857" s="81" t="str">
        <f>IF(A1857="","",ROUND(V1857*IFERROR(N(INDEX(tech_rate,MATCH(M1857,tech_name,0))),0),2))</f>
        <v/>
      </c>
      <c r="P1857" s="80" t="n"/>
      <c r="Q1857" s="81" t="str">
        <f>IF(A1857="","",ROUND(Y1857+O1857+Z1857,2))</f>
        <v/>
      </c>
      <c r="R1857" s="79" t="str">
        <f>IF(A1857="","",IF(S1857=0,"Date manquante ou invalide",IF(C1857="","Équipement manquant",IF(ISNA(MATCH(C1857,eq_code,0)),"Équipement inconnu",IF(E1857="","Type manquant",IF(AND(E1857&lt;&gt;"Préventif",E1857&lt;&gt;"Correctif",E1857&lt;&gt;"Amélioratif"),"Type inconnu",IF(I1857="","Statut manquant",IF(AND(I1857&lt;&gt;"Terminée",I1857&lt;&gt;"En cours",I1857&lt;&gt;"À faire",I1857&lt;&gt;"Annulée"),"Statut inconnu",IF(AND(E1857="Préventif",F1857=""),"Plan manquant (préventif)",IF(AND(F1857&lt;&gt;"",ISNA(MATCH(F1857,pl_num,0))),"Plan inconnu",IF(AND(F1857&lt;&gt;"",IFERROR(INDEX(pl_eq,MATCH(F1857,pl_num,0))&amp;"",C1857)&lt;&gt;C1857),"Plan d'un autre équipement",IF(AND(J1857&lt;&gt;"",OR(NOT(ISNUMBER(J1857)),N(J1857)&lt;0)),"Compteur invalide",IF(OR(AND(K1857&lt;&gt;"",OR(NOT(ISNUMBER(K1857)),N(K1857)&lt;0)),AND(L1857&lt;&gt;"",OR(NOT(ISNUMBER(L1857)),N(L1857)&lt;0))),"Durée invalide",IF(OR(AND(N1857&lt;&gt;"",OR(NOT(ISNUMBER(N1857)),N(N1857)&lt;0)),AND(P1857&lt;&gt;"",OR(NOT(ISNUMBER(P1857)),N(P1857)&lt;0))),"Coût invalide",IF(AND(M1857&lt;&gt;"",ISNA(MATCH(M1857,tech_name,0))),"Technicien inconnu",IF(AND(I1857="Terminée",S1857&gt;p_today),"Terminée à une date future",IF(AND(I1857="Terminée",V1857=0),"Durée d'intervention manquante",IF(AND(I1857="Terminée",E1857="Préventif",T1857=0,OR(IFERROR(INDEX(pl_trig,MATCH(F1857,pl_num,0))&amp;"","")="Compteur",IFERROR(INDEX(pl_trig,MATCH(F1857,pl_num,0))&amp;"","")="Au premier des deux")),"Compteur manquant (plan au compteur)","OK"))))))))))))))))))</f>
        <v/>
      </c>
      <c r="S1857" s="67">
        <f>IF(AND(ISNUMBER(B1857),N(B1857)&gt;0),INT(B1857),0)</f>
        <v>0.0</v>
      </c>
      <c r="T1857" s="67">
        <f>IF(AND(ISNUMBER(J1857),N(J1857)&gt;=0),N(J1857),0)</f>
        <v>0.0</v>
      </c>
      <c r="U1857" s="67">
        <f>IF(AND(ISNUMBER(K1857),N(K1857)&gt;0),N(K1857),0)</f>
        <v>0.0</v>
      </c>
      <c r="V1857" s="67">
        <f>IF(AND(ISNUMBER(L1857),N(L1857)&gt;0),N(L1857),0)</f>
        <v>0.0</v>
      </c>
      <c r="W1857" s="67">
        <f>IF(AND(I1857="Terminée",S1857&gt;0,C1857&lt;&gt;"",ISNUMBER(MATCH(C1857,eq_code,0))),1,0)</f>
        <v>0.0</v>
      </c>
      <c r="X1857" s="67">
        <f>IF(AND(W1857=1,E1857="Préventif"),1,0)</f>
        <v>0.0</v>
      </c>
      <c r="Y1857" s="67">
        <f>IF(AND(ISNUMBER(N1857),N(N1857)&gt;0),N(N1857),0)</f>
        <v>0.0</v>
      </c>
      <c r="Z1857" s="67">
        <f>IF(AND(ISNUMBER(P1857),N(P1857)&gt;0),N(P1857),0)</f>
        <v>0.0</v>
      </c>
    </row>
    <row r="1858">
      <c r="A1858" s="79" t="str">
        <f>IF(COUNTA(B1858:C1858,E1858:G1858,I1858)=0,"","BI-"&amp;RIGHT("0000"&amp;(ROW()-5),4))</f>
        <v/>
      </c>
      <c r="B1858" s="72" t="n"/>
      <c r="C1858" s="66" t="n"/>
      <c r="D1858" s="67" t="str">
        <f>IF(C1858="","",IFERROR(INDEX(eq_des,MATCH(C1858,eq_code,0))&amp;"","Équipement inconnu"))</f>
        <v/>
      </c>
      <c r="E1858" s="68" t="n"/>
      <c r="F1858" s="68" t="n"/>
      <c r="G1858" s="66" t="n"/>
      <c r="H1858" s="66" t="n"/>
      <c r="I1858" s="68" t="n"/>
      <c r="J1858" s="73" t="n"/>
      <c r="K1858" s="71" t="n"/>
      <c r="L1858" s="71" t="n"/>
      <c r="M1858" s="66" t="n"/>
      <c r="N1858" s="80" t="n"/>
      <c r="O1858" s="81" t="str">
        <f>IF(A1858="","",ROUND(V1858*IFERROR(N(INDEX(tech_rate,MATCH(M1858,tech_name,0))),0),2))</f>
        <v/>
      </c>
      <c r="P1858" s="80" t="n"/>
      <c r="Q1858" s="81" t="str">
        <f>IF(A1858="","",ROUND(Y1858+O1858+Z1858,2))</f>
        <v/>
      </c>
      <c r="R1858" s="79" t="str">
        <f>IF(A1858="","",IF(S1858=0,"Date manquante ou invalide",IF(C1858="","Équipement manquant",IF(ISNA(MATCH(C1858,eq_code,0)),"Équipement inconnu",IF(E1858="","Type manquant",IF(AND(E1858&lt;&gt;"Préventif",E1858&lt;&gt;"Correctif",E1858&lt;&gt;"Amélioratif"),"Type inconnu",IF(I1858="","Statut manquant",IF(AND(I1858&lt;&gt;"Terminée",I1858&lt;&gt;"En cours",I1858&lt;&gt;"À faire",I1858&lt;&gt;"Annulée"),"Statut inconnu",IF(AND(E1858="Préventif",F1858=""),"Plan manquant (préventif)",IF(AND(F1858&lt;&gt;"",ISNA(MATCH(F1858,pl_num,0))),"Plan inconnu",IF(AND(F1858&lt;&gt;"",IFERROR(INDEX(pl_eq,MATCH(F1858,pl_num,0))&amp;"",C1858)&lt;&gt;C1858),"Plan d'un autre équipement",IF(AND(J1858&lt;&gt;"",OR(NOT(ISNUMBER(J1858)),N(J1858)&lt;0)),"Compteur invalide",IF(OR(AND(K1858&lt;&gt;"",OR(NOT(ISNUMBER(K1858)),N(K1858)&lt;0)),AND(L1858&lt;&gt;"",OR(NOT(ISNUMBER(L1858)),N(L1858)&lt;0))),"Durée invalide",IF(OR(AND(N1858&lt;&gt;"",OR(NOT(ISNUMBER(N1858)),N(N1858)&lt;0)),AND(P1858&lt;&gt;"",OR(NOT(ISNUMBER(P1858)),N(P1858)&lt;0))),"Coût invalide",IF(AND(M1858&lt;&gt;"",ISNA(MATCH(M1858,tech_name,0))),"Technicien inconnu",IF(AND(I1858="Terminée",S1858&gt;p_today),"Terminée à une date future",IF(AND(I1858="Terminée",V1858=0),"Durée d'intervention manquante",IF(AND(I1858="Terminée",E1858="Préventif",T1858=0,OR(IFERROR(INDEX(pl_trig,MATCH(F1858,pl_num,0))&amp;"","")="Compteur",IFERROR(INDEX(pl_trig,MATCH(F1858,pl_num,0))&amp;"","")="Au premier des deux")),"Compteur manquant (plan au compteur)","OK"))))))))))))))))))</f>
        <v/>
      </c>
      <c r="S1858" s="67">
        <f>IF(AND(ISNUMBER(B1858),N(B1858)&gt;0),INT(B1858),0)</f>
        <v>0.0</v>
      </c>
      <c r="T1858" s="67">
        <f>IF(AND(ISNUMBER(J1858),N(J1858)&gt;=0),N(J1858),0)</f>
        <v>0.0</v>
      </c>
      <c r="U1858" s="67">
        <f>IF(AND(ISNUMBER(K1858),N(K1858)&gt;0),N(K1858),0)</f>
        <v>0.0</v>
      </c>
      <c r="V1858" s="67">
        <f>IF(AND(ISNUMBER(L1858),N(L1858)&gt;0),N(L1858),0)</f>
        <v>0.0</v>
      </c>
      <c r="W1858" s="67">
        <f>IF(AND(I1858="Terminée",S1858&gt;0,C1858&lt;&gt;"",ISNUMBER(MATCH(C1858,eq_code,0))),1,0)</f>
        <v>0.0</v>
      </c>
      <c r="X1858" s="67">
        <f>IF(AND(W1858=1,E1858="Préventif"),1,0)</f>
        <v>0.0</v>
      </c>
      <c r="Y1858" s="67">
        <f>IF(AND(ISNUMBER(N1858),N(N1858)&gt;0),N(N1858),0)</f>
        <v>0.0</v>
      </c>
      <c r="Z1858" s="67">
        <f>IF(AND(ISNUMBER(P1858),N(P1858)&gt;0),N(P1858),0)</f>
        <v>0.0</v>
      </c>
    </row>
    <row r="1859">
      <c r="A1859" s="79" t="str">
        <f>IF(COUNTA(B1859:C1859,E1859:G1859,I1859)=0,"","BI-"&amp;RIGHT("0000"&amp;(ROW()-5),4))</f>
        <v/>
      </c>
      <c r="B1859" s="72" t="n"/>
      <c r="C1859" s="66" t="n"/>
      <c r="D1859" s="67" t="str">
        <f>IF(C1859="","",IFERROR(INDEX(eq_des,MATCH(C1859,eq_code,0))&amp;"","Équipement inconnu"))</f>
        <v/>
      </c>
      <c r="E1859" s="68" t="n"/>
      <c r="F1859" s="68" t="n"/>
      <c r="G1859" s="66" t="n"/>
      <c r="H1859" s="66" t="n"/>
      <c r="I1859" s="68" t="n"/>
      <c r="J1859" s="73" t="n"/>
      <c r="K1859" s="71" t="n"/>
      <c r="L1859" s="71" t="n"/>
      <c r="M1859" s="66" t="n"/>
      <c r="N1859" s="80" t="n"/>
      <c r="O1859" s="81" t="str">
        <f>IF(A1859="","",ROUND(V1859*IFERROR(N(INDEX(tech_rate,MATCH(M1859,tech_name,0))),0),2))</f>
        <v/>
      </c>
      <c r="P1859" s="80" t="n"/>
      <c r="Q1859" s="81" t="str">
        <f>IF(A1859="","",ROUND(Y1859+O1859+Z1859,2))</f>
        <v/>
      </c>
      <c r="R1859" s="79" t="str">
        <f>IF(A1859="","",IF(S1859=0,"Date manquante ou invalide",IF(C1859="","Équipement manquant",IF(ISNA(MATCH(C1859,eq_code,0)),"Équipement inconnu",IF(E1859="","Type manquant",IF(AND(E1859&lt;&gt;"Préventif",E1859&lt;&gt;"Correctif",E1859&lt;&gt;"Amélioratif"),"Type inconnu",IF(I1859="","Statut manquant",IF(AND(I1859&lt;&gt;"Terminée",I1859&lt;&gt;"En cours",I1859&lt;&gt;"À faire",I1859&lt;&gt;"Annulée"),"Statut inconnu",IF(AND(E1859="Préventif",F1859=""),"Plan manquant (préventif)",IF(AND(F1859&lt;&gt;"",ISNA(MATCH(F1859,pl_num,0))),"Plan inconnu",IF(AND(F1859&lt;&gt;"",IFERROR(INDEX(pl_eq,MATCH(F1859,pl_num,0))&amp;"",C1859)&lt;&gt;C1859),"Plan d'un autre équipement",IF(AND(J1859&lt;&gt;"",OR(NOT(ISNUMBER(J1859)),N(J1859)&lt;0)),"Compteur invalide",IF(OR(AND(K1859&lt;&gt;"",OR(NOT(ISNUMBER(K1859)),N(K1859)&lt;0)),AND(L1859&lt;&gt;"",OR(NOT(ISNUMBER(L1859)),N(L1859)&lt;0))),"Durée invalide",IF(OR(AND(N1859&lt;&gt;"",OR(NOT(ISNUMBER(N1859)),N(N1859)&lt;0)),AND(P1859&lt;&gt;"",OR(NOT(ISNUMBER(P1859)),N(P1859)&lt;0))),"Coût invalide",IF(AND(M1859&lt;&gt;"",ISNA(MATCH(M1859,tech_name,0))),"Technicien inconnu",IF(AND(I1859="Terminée",S1859&gt;p_today),"Terminée à une date future",IF(AND(I1859="Terminée",V1859=0),"Durée d'intervention manquante",IF(AND(I1859="Terminée",E1859="Préventif",T1859=0,OR(IFERROR(INDEX(pl_trig,MATCH(F1859,pl_num,0))&amp;"","")="Compteur",IFERROR(INDEX(pl_trig,MATCH(F1859,pl_num,0))&amp;"","")="Au premier des deux")),"Compteur manquant (plan au compteur)","OK"))))))))))))))))))</f>
        <v/>
      </c>
      <c r="S1859" s="67">
        <f>IF(AND(ISNUMBER(B1859),N(B1859)&gt;0),INT(B1859),0)</f>
        <v>0.0</v>
      </c>
      <c r="T1859" s="67">
        <f>IF(AND(ISNUMBER(J1859),N(J1859)&gt;=0),N(J1859),0)</f>
        <v>0.0</v>
      </c>
      <c r="U1859" s="67">
        <f>IF(AND(ISNUMBER(K1859),N(K1859)&gt;0),N(K1859),0)</f>
        <v>0.0</v>
      </c>
      <c r="V1859" s="67">
        <f>IF(AND(ISNUMBER(L1859),N(L1859)&gt;0),N(L1859),0)</f>
        <v>0.0</v>
      </c>
      <c r="W1859" s="67">
        <f>IF(AND(I1859="Terminée",S1859&gt;0,C1859&lt;&gt;"",ISNUMBER(MATCH(C1859,eq_code,0))),1,0)</f>
        <v>0.0</v>
      </c>
      <c r="X1859" s="67">
        <f>IF(AND(W1859=1,E1859="Préventif"),1,0)</f>
        <v>0.0</v>
      </c>
      <c r="Y1859" s="67">
        <f>IF(AND(ISNUMBER(N1859),N(N1859)&gt;0),N(N1859),0)</f>
        <v>0.0</v>
      </c>
      <c r="Z1859" s="67">
        <f>IF(AND(ISNUMBER(P1859),N(P1859)&gt;0),N(P1859),0)</f>
        <v>0.0</v>
      </c>
    </row>
    <row r="1860">
      <c r="A1860" s="79" t="str">
        <f>IF(COUNTA(B1860:C1860,E1860:G1860,I1860)=0,"","BI-"&amp;RIGHT("0000"&amp;(ROW()-5),4))</f>
        <v/>
      </c>
      <c r="B1860" s="72" t="n"/>
      <c r="C1860" s="66" t="n"/>
      <c r="D1860" s="67" t="str">
        <f>IF(C1860="","",IFERROR(INDEX(eq_des,MATCH(C1860,eq_code,0))&amp;"","Équipement inconnu"))</f>
        <v/>
      </c>
      <c r="E1860" s="68" t="n"/>
      <c r="F1860" s="68" t="n"/>
      <c r="G1860" s="66" t="n"/>
      <c r="H1860" s="66" t="n"/>
      <c r="I1860" s="68" t="n"/>
      <c r="J1860" s="73" t="n"/>
      <c r="K1860" s="71" t="n"/>
      <c r="L1860" s="71" t="n"/>
      <c r="M1860" s="66" t="n"/>
      <c r="N1860" s="80" t="n"/>
      <c r="O1860" s="81" t="str">
        <f>IF(A1860="","",ROUND(V1860*IFERROR(N(INDEX(tech_rate,MATCH(M1860,tech_name,0))),0),2))</f>
        <v/>
      </c>
      <c r="P1860" s="80" t="n"/>
      <c r="Q1860" s="81" t="str">
        <f>IF(A1860="","",ROUND(Y1860+O1860+Z1860,2))</f>
        <v/>
      </c>
      <c r="R1860" s="79" t="str">
        <f>IF(A1860="","",IF(S1860=0,"Date manquante ou invalide",IF(C1860="","Équipement manquant",IF(ISNA(MATCH(C1860,eq_code,0)),"Équipement inconnu",IF(E1860="","Type manquant",IF(AND(E1860&lt;&gt;"Préventif",E1860&lt;&gt;"Correctif",E1860&lt;&gt;"Amélioratif"),"Type inconnu",IF(I1860="","Statut manquant",IF(AND(I1860&lt;&gt;"Terminée",I1860&lt;&gt;"En cours",I1860&lt;&gt;"À faire",I1860&lt;&gt;"Annulée"),"Statut inconnu",IF(AND(E1860="Préventif",F1860=""),"Plan manquant (préventif)",IF(AND(F1860&lt;&gt;"",ISNA(MATCH(F1860,pl_num,0))),"Plan inconnu",IF(AND(F1860&lt;&gt;"",IFERROR(INDEX(pl_eq,MATCH(F1860,pl_num,0))&amp;"",C1860)&lt;&gt;C1860),"Plan d'un autre équipement",IF(AND(J1860&lt;&gt;"",OR(NOT(ISNUMBER(J1860)),N(J1860)&lt;0)),"Compteur invalide",IF(OR(AND(K1860&lt;&gt;"",OR(NOT(ISNUMBER(K1860)),N(K1860)&lt;0)),AND(L1860&lt;&gt;"",OR(NOT(ISNUMBER(L1860)),N(L1860)&lt;0))),"Durée invalide",IF(OR(AND(N1860&lt;&gt;"",OR(NOT(ISNUMBER(N1860)),N(N1860)&lt;0)),AND(P1860&lt;&gt;"",OR(NOT(ISNUMBER(P1860)),N(P1860)&lt;0))),"Coût invalide",IF(AND(M1860&lt;&gt;"",ISNA(MATCH(M1860,tech_name,0))),"Technicien inconnu",IF(AND(I1860="Terminée",S1860&gt;p_today),"Terminée à une date future",IF(AND(I1860="Terminée",V1860=0),"Durée d'intervention manquante",IF(AND(I1860="Terminée",E1860="Préventif",T1860=0,OR(IFERROR(INDEX(pl_trig,MATCH(F1860,pl_num,0))&amp;"","")="Compteur",IFERROR(INDEX(pl_trig,MATCH(F1860,pl_num,0))&amp;"","")="Au premier des deux")),"Compteur manquant (plan au compteur)","OK"))))))))))))))))))</f>
        <v/>
      </c>
      <c r="S1860" s="67">
        <f>IF(AND(ISNUMBER(B1860),N(B1860)&gt;0),INT(B1860),0)</f>
        <v>0.0</v>
      </c>
      <c r="T1860" s="67">
        <f>IF(AND(ISNUMBER(J1860),N(J1860)&gt;=0),N(J1860),0)</f>
        <v>0.0</v>
      </c>
      <c r="U1860" s="67">
        <f>IF(AND(ISNUMBER(K1860),N(K1860)&gt;0),N(K1860),0)</f>
        <v>0.0</v>
      </c>
      <c r="V1860" s="67">
        <f>IF(AND(ISNUMBER(L1860),N(L1860)&gt;0),N(L1860),0)</f>
        <v>0.0</v>
      </c>
      <c r="W1860" s="67">
        <f>IF(AND(I1860="Terminée",S1860&gt;0,C1860&lt;&gt;"",ISNUMBER(MATCH(C1860,eq_code,0))),1,0)</f>
        <v>0.0</v>
      </c>
      <c r="X1860" s="67">
        <f>IF(AND(W1860=1,E1860="Préventif"),1,0)</f>
        <v>0.0</v>
      </c>
      <c r="Y1860" s="67">
        <f>IF(AND(ISNUMBER(N1860),N(N1860)&gt;0),N(N1860),0)</f>
        <v>0.0</v>
      </c>
      <c r="Z1860" s="67">
        <f>IF(AND(ISNUMBER(P1860),N(P1860)&gt;0),N(P1860),0)</f>
        <v>0.0</v>
      </c>
    </row>
    <row r="1861">
      <c r="A1861" s="79" t="str">
        <f>IF(COUNTA(B1861:C1861,E1861:G1861,I1861)=0,"","BI-"&amp;RIGHT("0000"&amp;(ROW()-5),4))</f>
        <v/>
      </c>
      <c r="B1861" s="72" t="n"/>
      <c r="C1861" s="66" t="n"/>
      <c r="D1861" s="67" t="str">
        <f>IF(C1861="","",IFERROR(INDEX(eq_des,MATCH(C1861,eq_code,0))&amp;"","Équipement inconnu"))</f>
        <v/>
      </c>
      <c r="E1861" s="68" t="n"/>
      <c r="F1861" s="68" t="n"/>
      <c r="G1861" s="66" t="n"/>
      <c r="H1861" s="66" t="n"/>
      <c r="I1861" s="68" t="n"/>
      <c r="J1861" s="73" t="n"/>
      <c r="K1861" s="71" t="n"/>
      <c r="L1861" s="71" t="n"/>
      <c r="M1861" s="66" t="n"/>
      <c r="N1861" s="80" t="n"/>
      <c r="O1861" s="81" t="str">
        <f>IF(A1861="","",ROUND(V1861*IFERROR(N(INDEX(tech_rate,MATCH(M1861,tech_name,0))),0),2))</f>
        <v/>
      </c>
      <c r="P1861" s="80" t="n"/>
      <c r="Q1861" s="81" t="str">
        <f>IF(A1861="","",ROUND(Y1861+O1861+Z1861,2))</f>
        <v/>
      </c>
      <c r="R1861" s="79" t="str">
        <f>IF(A1861="","",IF(S1861=0,"Date manquante ou invalide",IF(C1861="","Équipement manquant",IF(ISNA(MATCH(C1861,eq_code,0)),"Équipement inconnu",IF(E1861="","Type manquant",IF(AND(E1861&lt;&gt;"Préventif",E1861&lt;&gt;"Correctif",E1861&lt;&gt;"Amélioratif"),"Type inconnu",IF(I1861="","Statut manquant",IF(AND(I1861&lt;&gt;"Terminée",I1861&lt;&gt;"En cours",I1861&lt;&gt;"À faire",I1861&lt;&gt;"Annulée"),"Statut inconnu",IF(AND(E1861="Préventif",F1861=""),"Plan manquant (préventif)",IF(AND(F1861&lt;&gt;"",ISNA(MATCH(F1861,pl_num,0))),"Plan inconnu",IF(AND(F1861&lt;&gt;"",IFERROR(INDEX(pl_eq,MATCH(F1861,pl_num,0))&amp;"",C1861)&lt;&gt;C1861),"Plan d'un autre équipement",IF(AND(J1861&lt;&gt;"",OR(NOT(ISNUMBER(J1861)),N(J1861)&lt;0)),"Compteur invalide",IF(OR(AND(K1861&lt;&gt;"",OR(NOT(ISNUMBER(K1861)),N(K1861)&lt;0)),AND(L1861&lt;&gt;"",OR(NOT(ISNUMBER(L1861)),N(L1861)&lt;0))),"Durée invalide",IF(OR(AND(N1861&lt;&gt;"",OR(NOT(ISNUMBER(N1861)),N(N1861)&lt;0)),AND(P1861&lt;&gt;"",OR(NOT(ISNUMBER(P1861)),N(P1861)&lt;0))),"Coût invalide",IF(AND(M1861&lt;&gt;"",ISNA(MATCH(M1861,tech_name,0))),"Technicien inconnu",IF(AND(I1861="Terminée",S1861&gt;p_today),"Terminée à une date future",IF(AND(I1861="Terminée",V1861=0),"Durée d'intervention manquante",IF(AND(I1861="Terminée",E1861="Préventif",T1861=0,OR(IFERROR(INDEX(pl_trig,MATCH(F1861,pl_num,0))&amp;"","")="Compteur",IFERROR(INDEX(pl_trig,MATCH(F1861,pl_num,0))&amp;"","")="Au premier des deux")),"Compteur manquant (plan au compteur)","OK"))))))))))))))))))</f>
        <v/>
      </c>
      <c r="S1861" s="67">
        <f>IF(AND(ISNUMBER(B1861),N(B1861)&gt;0),INT(B1861),0)</f>
        <v>0.0</v>
      </c>
      <c r="T1861" s="67">
        <f>IF(AND(ISNUMBER(J1861),N(J1861)&gt;=0),N(J1861),0)</f>
        <v>0.0</v>
      </c>
      <c r="U1861" s="67">
        <f>IF(AND(ISNUMBER(K1861),N(K1861)&gt;0),N(K1861),0)</f>
        <v>0.0</v>
      </c>
      <c r="V1861" s="67">
        <f>IF(AND(ISNUMBER(L1861),N(L1861)&gt;0),N(L1861),0)</f>
        <v>0.0</v>
      </c>
      <c r="W1861" s="67">
        <f>IF(AND(I1861="Terminée",S1861&gt;0,C1861&lt;&gt;"",ISNUMBER(MATCH(C1861,eq_code,0))),1,0)</f>
        <v>0.0</v>
      </c>
      <c r="X1861" s="67">
        <f>IF(AND(W1861=1,E1861="Préventif"),1,0)</f>
        <v>0.0</v>
      </c>
      <c r="Y1861" s="67">
        <f>IF(AND(ISNUMBER(N1861),N(N1861)&gt;0),N(N1861),0)</f>
        <v>0.0</v>
      </c>
      <c r="Z1861" s="67">
        <f>IF(AND(ISNUMBER(P1861),N(P1861)&gt;0),N(P1861),0)</f>
        <v>0.0</v>
      </c>
    </row>
    <row r="1862">
      <c r="A1862" s="79" t="str">
        <f>IF(COUNTA(B1862:C1862,E1862:G1862,I1862)=0,"","BI-"&amp;RIGHT("0000"&amp;(ROW()-5),4))</f>
        <v/>
      </c>
      <c r="B1862" s="72" t="n"/>
      <c r="C1862" s="66" t="n"/>
      <c r="D1862" s="67" t="str">
        <f>IF(C1862="","",IFERROR(INDEX(eq_des,MATCH(C1862,eq_code,0))&amp;"","Équipement inconnu"))</f>
        <v/>
      </c>
      <c r="E1862" s="68" t="n"/>
      <c r="F1862" s="68" t="n"/>
      <c r="G1862" s="66" t="n"/>
      <c r="H1862" s="66" t="n"/>
      <c r="I1862" s="68" t="n"/>
      <c r="J1862" s="73" t="n"/>
      <c r="K1862" s="71" t="n"/>
      <c r="L1862" s="71" t="n"/>
      <c r="M1862" s="66" t="n"/>
      <c r="N1862" s="80" t="n"/>
      <c r="O1862" s="81" t="str">
        <f>IF(A1862="","",ROUND(V1862*IFERROR(N(INDEX(tech_rate,MATCH(M1862,tech_name,0))),0),2))</f>
        <v/>
      </c>
      <c r="P1862" s="80" t="n"/>
      <c r="Q1862" s="81" t="str">
        <f>IF(A1862="","",ROUND(Y1862+O1862+Z1862,2))</f>
        <v/>
      </c>
      <c r="R1862" s="79" t="str">
        <f>IF(A1862="","",IF(S1862=0,"Date manquante ou invalide",IF(C1862="","Équipement manquant",IF(ISNA(MATCH(C1862,eq_code,0)),"Équipement inconnu",IF(E1862="","Type manquant",IF(AND(E1862&lt;&gt;"Préventif",E1862&lt;&gt;"Correctif",E1862&lt;&gt;"Amélioratif"),"Type inconnu",IF(I1862="","Statut manquant",IF(AND(I1862&lt;&gt;"Terminée",I1862&lt;&gt;"En cours",I1862&lt;&gt;"À faire",I1862&lt;&gt;"Annulée"),"Statut inconnu",IF(AND(E1862="Préventif",F1862=""),"Plan manquant (préventif)",IF(AND(F1862&lt;&gt;"",ISNA(MATCH(F1862,pl_num,0))),"Plan inconnu",IF(AND(F1862&lt;&gt;"",IFERROR(INDEX(pl_eq,MATCH(F1862,pl_num,0))&amp;"",C1862)&lt;&gt;C1862),"Plan d'un autre équipement",IF(AND(J1862&lt;&gt;"",OR(NOT(ISNUMBER(J1862)),N(J1862)&lt;0)),"Compteur invalide",IF(OR(AND(K1862&lt;&gt;"",OR(NOT(ISNUMBER(K1862)),N(K1862)&lt;0)),AND(L1862&lt;&gt;"",OR(NOT(ISNUMBER(L1862)),N(L1862)&lt;0))),"Durée invalide",IF(OR(AND(N1862&lt;&gt;"",OR(NOT(ISNUMBER(N1862)),N(N1862)&lt;0)),AND(P1862&lt;&gt;"",OR(NOT(ISNUMBER(P1862)),N(P1862)&lt;0))),"Coût invalide",IF(AND(M1862&lt;&gt;"",ISNA(MATCH(M1862,tech_name,0))),"Technicien inconnu",IF(AND(I1862="Terminée",S1862&gt;p_today),"Terminée à une date future",IF(AND(I1862="Terminée",V1862=0),"Durée d'intervention manquante",IF(AND(I1862="Terminée",E1862="Préventif",T1862=0,OR(IFERROR(INDEX(pl_trig,MATCH(F1862,pl_num,0))&amp;"","")="Compteur",IFERROR(INDEX(pl_trig,MATCH(F1862,pl_num,0))&amp;"","")="Au premier des deux")),"Compteur manquant (plan au compteur)","OK"))))))))))))))))))</f>
        <v/>
      </c>
      <c r="S1862" s="67">
        <f>IF(AND(ISNUMBER(B1862),N(B1862)&gt;0),INT(B1862),0)</f>
        <v>0.0</v>
      </c>
      <c r="T1862" s="67">
        <f>IF(AND(ISNUMBER(J1862),N(J1862)&gt;=0),N(J1862),0)</f>
        <v>0.0</v>
      </c>
      <c r="U1862" s="67">
        <f>IF(AND(ISNUMBER(K1862),N(K1862)&gt;0),N(K1862),0)</f>
        <v>0.0</v>
      </c>
      <c r="V1862" s="67">
        <f>IF(AND(ISNUMBER(L1862),N(L1862)&gt;0),N(L1862),0)</f>
        <v>0.0</v>
      </c>
      <c r="W1862" s="67">
        <f>IF(AND(I1862="Terminée",S1862&gt;0,C1862&lt;&gt;"",ISNUMBER(MATCH(C1862,eq_code,0))),1,0)</f>
        <v>0.0</v>
      </c>
      <c r="X1862" s="67">
        <f>IF(AND(W1862=1,E1862="Préventif"),1,0)</f>
        <v>0.0</v>
      </c>
      <c r="Y1862" s="67">
        <f>IF(AND(ISNUMBER(N1862),N(N1862)&gt;0),N(N1862),0)</f>
        <v>0.0</v>
      </c>
      <c r="Z1862" s="67">
        <f>IF(AND(ISNUMBER(P1862),N(P1862)&gt;0),N(P1862),0)</f>
        <v>0.0</v>
      </c>
    </row>
    <row r="1863">
      <c r="A1863" s="79" t="str">
        <f>IF(COUNTA(B1863:C1863,E1863:G1863,I1863)=0,"","BI-"&amp;RIGHT("0000"&amp;(ROW()-5),4))</f>
        <v/>
      </c>
      <c r="B1863" s="72" t="n"/>
      <c r="C1863" s="66" t="n"/>
      <c r="D1863" s="67" t="str">
        <f>IF(C1863="","",IFERROR(INDEX(eq_des,MATCH(C1863,eq_code,0))&amp;"","Équipement inconnu"))</f>
        <v/>
      </c>
      <c r="E1863" s="68" t="n"/>
      <c r="F1863" s="68" t="n"/>
      <c r="G1863" s="66" t="n"/>
      <c r="H1863" s="66" t="n"/>
      <c r="I1863" s="68" t="n"/>
      <c r="J1863" s="73" t="n"/>
      <c r="K1863" s="71" t="n"/>
      <c r="L1863" s="71" t="n"/>
      <c r="M1863" s="66" t="n"/>
      <c r="N1863" s="80" t="n"/>
      <c r="O1863" s="81" t="str">
        <f>IF(A1863="","",ROUND(V1863*IFERROR(N(INDEX(tech_rate,MATCH(M1863,tech_name,0))),0),2))</f>
        <v/>
      </c>
      <c r="P1863" s="80" t="n"/>
      <c r="Q1863" s="81" t="str">
        <f>IF(A1863="","",ROUND(Y1863+O1863+Z1863,2))</f>
        <v/>
      </c>
      <c r="R1863" s="79" t="str">
        <f>IF(A1863="","",IF(S1863=0,"Date manquante ou invalide",IF(C1863="","Équipement manquant",IF(ISNA(MATCH(C1863,eq_code,0)),"Équipement inconnu",IF(E1863="","Type manquant",IF(AND(E1863&lt;&gt;"Préventif",E1863&lt;&gt;"Correctif",E1863&lt;&gt;"Amélioratif"),"Type inconnu",IF(I1863="","Statut manquant",IF(AND(I1863&lt;&gt;"Terminée",I1863&lt;&gt;"En cours",I1863&lt;&gt;"À faire",I1863&lt;&gt;"Annulée"),"Statut inconnu",IF(AND(E1863="Préventif",F1863=""),"Plan manquant (préventif)",IF(AND(F1863&lt;&gt;"",ISNA(MATCH(F1863,pl_num,0))),"Plan inconnu",IF(AND(F1863&lt;&gt;"",IFERROR(INDEX(pl_eq,MATCH(F1863,pl_num,0))&amp;"",C1863)&lt;&gt;C1863),"Plan d'un autre équipement",IF(AND(J1863&lt;&gt;"",OR(NOT(ISNUMBER(J1863)),N(J1863)&lt;0)),"Compteur invalide",IF(OR(AND(K1863&lt;&gt;"",OR(NOT(ISNUMBER(K1863)),N(K1863)&lt;0)),AND(L1863&lt;&gt;"",OR(NOT(ISNUMBER(L1863)),N(L1863)&lt;0))),"Durée invalide",IF(OR(AND(N1863&lt;&gt;"",OR(NOT(ISNUMBER(N1863)),N(N1863)&lt;0)),AND(P1863&lt;&gt;"",OR(NOT(ISNUMBER(P1863)),N(P1863)&lt;0))),"Coût invalide",IF(AND(M1863&lt;&gt;"",ISNA(MATCH(M1863,tech_name,0))),"Technicien inconnu",IF(AND(I1863="Terminée",S1863&gt;p_today),"Terminée à une date future",IF(AND(I1863="Terminée",V1863=0),"Durée d'intervention manquante",IF(AND(I1863="Terminée",E1863="Préventif",T1863=0,OR(IFERROR(INDEX(pl_trig,MATCH(F1863,pl_num,0))&amp;"","")="Compteur",IFERROR(INDEX(pl_trig,MATCH(F1863,pl_num,0))&amp;"","")="Au premier des deux")),"Compteur manquant (plan au compteur)","OK"))))))))))))))))))</f>
        <v/>
      </c>
      <c r="S1863" s="67">
        <f>IF(AND(ISNUMBER(B1863),N(B1863)&gt;0),INT(B1863),0)</f>
        <v>0.0</v>
      </c>
      <c r="T1863" s="67">
        <f>IF(AND(ISNUMBER(J1863),N(J1863)&gt;=0),N(J1863),0)</f>
        <v>0.0</v>
      </c>
      <c r="U1863" s="67">
        <f>IF(AND(ISNUMBER(K1863),N(K1863)&gt;0),N(K1863),0)</f>
        <v>0.0</v>
      </c>
      <c r="V1863" s="67">
        <f>IF(AND(ISNUMBER(L1863),N(L1863)&gt;0),N(L1863),0)</f>
        <v>0.0</v>
      </c>
      <c r="W1863" s="67">
        <f>IF(AND(I1863="Terminée",S1863&gt;0,C1863&lt;&gt;"",ISNUMBER(MATCH(C1863,eq_code,0))),1,0)</f>
        <v>0.0</v>
      </c>
      <c r="X1863" s="67">
        <f>IF(AND(W1863=1,E1863="Préventif"),1,0)</f>
        <v>0.0</v>
      </c>
      <c r="Y1863" s="67">
        <f>IF(AND(ISNUMBER(N1863),N(N1863)&gt;0),N(N1863),0)</f>
        <v>0.0</v>
      </c>
      <c r="Z1863" s="67">
        <f>IF(AND(ISNUMBER(P1863),N(P1863)&gt;0),N(P1863),0)</f>
        <v>0.0</v>
      </c>
    </row>
    <row r="1864">
      <c r="A1864" s="79" t="str">
        <f>IF(COUNTA(B1864:C1864,E1864:G1864,I1864)=0,"","BI-"&amp;RIGHT("0000"&amp;(ROW()-5),4))</f>
        <v/>
      </c>
      <c r="B1864" s="72" t="n"/>
      <c r="C1864" s="66" t="n"/>
      <c r="D1864" s="67" t="str">
        <f>IF(C1864="","",IFERROR(INDEX(eq_des,MATCH(C1864,eq_code,0))&amp;"","Équipement inconnu"))</f>
        <v/>
      </c>
      <c r="E1864" s="68" t="n"/>
      <c r="F1864" s="68" t="n"/>
      <c r="G1864" s="66" t="n"/>
      <c r="H1864" s="66" t="n"/>
      <c r="I1864" s="68" t="n"/>
      <c r="J1864" s="73" t="n"/>
      <c r="K1864" s="71" t="n"/>
      <c r="L1864" s="71" t="n"/>
      <c r="M1864" s="66" t="n"/>
      <c r="N1864" s="80" t="n"/>
      <c r="O1864" s="81" t="str">
        <f>IF(A1864="","",ROUND(V1864*IFERROR(N(INDEX(tech_rate,MATCH(M1864,tech_name,0))),0),2))</f>
        <v/>
      </c>
      <c r="P1864" s="80" t="n"/>
      <c r="Q1864" s="81" t="str">
        <f>IF(A1864="","",ROUND(Y1864+O1864+Z1864,2))</f>
        <v/>
      </c>
      <c r="R1864" s="79" t="str">
        <f>IF(A1864="","",IF(S1864=0,"Date manquante ou invalide",IF(C1864="","Équipement manquant",IF(ISNA(MATCH(C1864,eq_code,0)),"Équipement inconnu",IF(E1864="","Type manquant",IF(AND(E1864&lt;&gt;"Préventif",E1864&lt;&gt;"Correctif",E1864&lt;&gt;"Amélioratif"),"Type inconnu",IF(I1864="","Statut manquant",IF(AND(I1864&lt;&gt;"Terminée",I1864&lt;&gt;"En cours",I1864&lt;&gt;"À faire",I1864&lt;&gt;"Annulée"),"Statut inconnu",IF(AND(E1864="Préventif",F1864=""),"Plan manquant (préventif)",IF(AND(F1864&lt;&gt;"",ISNA(MATCH(F1864,pl_num,0))),"Plan inconnu",IF(AND(F1864&lt;&gt;"",IFERROR(INDEX(pl_eq,MATCH(F1864,pl_num,0))&amp;"",C1864)&lt;&gt;C1864),"Plan d'un autre équipement",IF(AND(J1864&lt;&gt;"",OR(NOT(ISNUMBER(J1864)),N(J1864)&lt;0)),"Compteur invalide",IF(OR(AND(K1864&lt;&gt;"",OR(NOT(ISNUMBER(K1864)),N(K1864)&lt;0)),AND(L1864&lt;&gt;"",OR(NOT(ISNUMBER(L1864)),N(L1864)&lt;0))),"Durée invalide",IF(OR(AND(N1864&lt;&gt;"",OR(NOT(ISNUMBER(N1864)),N(N1864)&lt;0)),AND(P1864&lt;&gt;"",OR(NOT(ISNUMBER(P1864)),N(P1864)&lt;0))),"Coût invalide",IF(AND(M1864&lt;&gt;"",ISNA(MATCH(M1864,tech_name,0))),"Technicien inconnu",IF(AND(I1864="Terminée",S1864&gt;p_today),"Terminée à une date future",IF(AND(I1864="Terminée",V1864=0),"Durée d'intervention manquante",IF(AND(I1864="Terminée",E1864="Préventif",T1864=0,OR(IFERROR(INDEX(pl_trig,MATCH(F1864,pl_num,0))&amp;"","")="Compteur",IFERROR(INDEX(pl_trig,MATCH(F1864,pl_num,0))&amp;"","")="Au premier des deux")),"Compteur manquant (plan au compteur)","OK"))))))))))))))))))</f>
        <v/>
      </c>
      <c r="S1864" s="67">
        <f>IF(AND(ISNUMBER(B1864),N(B1864)&gt;0),INT(B1864),0)</f>
        <v>0.0</v>
      </c>
      <c r="T1864" s="67">
        <f>IF(AND(ISNUMBER(J1864),N(J1864)&gt;=0),N(J1864),0)</f>
        <v>0.0</v>
      </c>
      <c r="U1864" s="67">
        <f>IF(AND(ISNUMBER(K1864),N(K1864)&gt;0),N(K1864),0)</f>
        <v>0.0</v>
      </c>
      <c r="V1864" s="67">
        <f>IF(AND(ISNUMBER(L1864),N(L1864)&gt;0),N(L1864),0)</f>
        <v>0.0</v>
      </c>
      <c r="W1864" s="67">
        <f>IF(AND(I1864="Terminée",S1864&gt;0,C1864&lt;&gt;"",ISNUMBER(MATCH(C1864,eq_code,0))),1,0)</f>
        <v>0.0</v>
      </c>
      <c r="X1864" s="67">
        <f>IF(AND(W1864=1,E1864="Préventif"),1,0)</f>
        <v>0.0</v>
      </c>
      <c r="Y1864" s="67">
        <f>IF(AND(ISNUMBER(N1864),N(N1864)&gt;0),N(N1864),0)</f>
        <v>0.0</v>
      </c>
      <c r="Z1864" s="67">
        <f>IF(AND(ISNUMBER(P1864),N(P1864)&gt;0),N(P1864),0)</f>
        <v>0.0</v>
      </c>
    </row>
    <row r="1865">
      <c r="A1865" s="79" t="str">
        <f>IF(COUNTA(B1865:C1865,E1865:G1865,I1865)=0,"","BI-"&amp;RIGHT("0000"&amp;(ROW()-5),4))</f>
        <v/>
      </c>
      <c r="B1865" s="72" t="n"/>
      <c r="C1865" s="66" t="n"/>
      <c r="D1865" s="67" t="str">
        <f>IF(C1865="","",IFERROR(INDEX(eq_des,MATCH(C1865,eq_code,0))&amp;"","Équipement inconnu"))</f>
        <v/>
      </c>
      <c r="E1865" s="68" t="n"/>
      <c r="F1865" s="68" t="n"/>
      <c r="G1865" s="66" t="n"/>
      <c r="H1865" s="66" t="n"/>
      <c r="I1865" s="68" t="n"/>
      <c r="J1865" s="73" t="n"/>
      <c r="K1865" s="71" t="n"/>
      <c r="L1865" s="71" t="n"/>
      <c r="M1865" s="66" t="n"/>
      <c r="N1865" s="80" t="n"/>
      <c r="O1865" s="81" t="str">
        <f>IF(A1865="","",ROUND(V1865*IFERROR(N(INDEX(tech_rate,MATCH(M1865,tech_name,0))),0),2))</f>
        <v/>
      </c>
      <c r="P1865" s="80" t="n"/>
      <c r="Q1865" s="81" t="str">
        <f>IF(A1865="","",ROUND(Y1865+O1865+Z1865,2))</f>
        <v/>
      </c>
      <c r="R1865" s="79" t="str">
        <f>IF(A1865="","",IF(S1865=0,"Date manquante ou invalide",IF(C1865="","Équipement manquant",IF(ISNA(MATCH(C1865,eq_code,0)),"Équipement inconnu",IF(E1865="","Type manquant",IF(AND(E1865&lt;&gt;"Préventif",E1865&lt;&gt;"Correctif",E1865&lt;&gt;"Amélioratif"),"Type inconnu",IF(I1865="","Statut manquant",IF(AND(I1865&lt;&gt;"Terminée",I1865&lt;&gt;"En cours",I1865&lt;&gt;"À faire",I1865&lt;&gt;"Annulée"),"Statut inconnu",IF(AND(E1865="Préventif",F1865=""),"Plan manquant (préventif)",IF(AND(F1865&lt;&gt;"",ISNA(MATCH(F1865,pl_num,0))),"Plan inconnu",IF(AND(F1865&lt;&gt;"",IFERROR(INDEX(pl_eq,MATCH(F1865,pl_num,0))&amp;"",C1865)&lt;&gt;C1865),"Plan d'un autre équipement",IF(AND(J1865&lt;&gt;"",OR(NOT(ISNUMBER(J1865)),N(J1865)&lt;0)),"Compteur invalide",IF(OR(AND(K1865&lt;&gt;"",OR(NOT(ISNUMBER(K1865)),N(K1865)&lt;0)),AND(L1865&lt;&gt;"",OR(NOT(ISNUMBER(L1865)),N(L1865)&lt;0))),"Durée invalide",IF(OR(AND(N1865&lt;&gt;"",OR(NOT(ISNUMBER(N1865)),N(N1865)&lt;0)),AND(P1865&lt;&gt;"",OR(NOT(ISNUMBER(P1865)),N(P1865)&lt;0))),"Coût invalide",IF(AND(M1865&lt;&gt;"",ISNA(MATCH(M1865,tech_name,0))),"Technicien inconnu",IF(AND(I1865="Terminée",S1865&gt;p_today),"Terminée à une date future",IF(AND(I1865="Terminée",V1865=0),"Durée d'intervention manquante",IF(AND(I1865="Terminée",E1865="Préventif",T1865=0,OR(IFERROR(INDEX(pl_trig,MATCH(F1865,pl_num,0))&amp;"","")="Compteur",IFERROR(INDEX(pl_trig,MATCH(F1865,pl_num,0))&amp;"","")="Au premier des deux")),"Compteur manquant (plan au compteur)","OK"))))))))))))))))))</f>
        <v/>
      </c>
      <c r="S1865" s="67">
        <f>IF(AND(ISNUMBER(B1865),N(B1865)&gt;0),INT(B1865),0)</f>
        <v>0.0</v>
      </c>
      <c r="T1865" s="67">
        <f>IF(AND(ISNUMBER(J1865),N(J1865)&gt;=0),N(J1865),0)</f>
        <v>0.0</v>
      </c>
      <c r="U1865" s="67">
        <f>IF(AND(ISNUMBER(K1865),N(K1865)&gt;0),N(K1865),0)</f>
        <v>0.0</v>
      </c>
      <c r="V1865" s="67">
        <f>IF(AND(ISNUMBER(L1865),N(L1865)&gt;0),N(L1865),0)</f>
        <v>0.0</v>
      </c>
      <c r="W1865" s="67">
        <f>IF(AND(I1865="Terminée",S1865&gt;0,C1865&lt;&gt;"",ISNUMBER(MATCH(C1865,eq_code,0))),1,0)</f>
        <v>0.0</v>
      </c>
      <c r="X1865" s="67">
        <f>IF(AND(W1865=1,E1865="Préventif"),1,0)</f>
        <v>0.0</v>
      </c>
      <c r="Y1865" s="67">
        <f>IF(AND(ISNUMBER(N1865),N(N1865)&gt;0),N(N1865),0)</f>
        <v>0.0</v>
      </c>
      <c r="Z1865" s="67">
        <f>IF(AND(ISNUMBER(P1865),N(P1865)&gt;0),N(P1865),0)</f>
        <v>0.0</v>
      </c>
    </row>
    <row r="1866">
      <c r="A1866" s="79" t="str">
        <f>IF(COUNTA(B1866:C1866,E1866:G1866,I1866)=0,"","BI-"&amp;RIGHT("0000"&amp;(ROW()-5),4))</f>
        <v/>
      </c>
      <c r="B1866" s="72" t="n"/>
      <c r="C1866" s="66" t="n"/>
      <c r="D1866" s="67" t="str">
        <f>IF(C1866="","",IFERROR(INDEX(eq_des,MATCH(C1866,eq_code,0))&amp;"","Équipement inconnu"))</f>
        <v/>
      </c>
      <c r="E1866" s="68" t="n"/>
      <c r="F1866" s="68" t="n"/>
      <c r="G1866" s="66" t="n"/>
      <c r="H1866" s="66" t="n"/>
      <c r="I1866" s="68" t="n"/>
      <c r="J1866" s="73" t="n"/>
      <c r="K1866" s="71" t="n"/>
      <c r="L1866" s="71" t="n"/>
      <c r="M1866" s="66" t="n"/>
      <c r="N1866" s="80" t="n"/>
      <c r="O1866" s="81" t="str">
        <f>IF(A1866="","",ROUND(V1866*IFERROR(N(INDEX(tech_rate,MATCH(M1866,tech_name,0))),0),2))</f>
        <v/>
      </c>
      <c r="P1866" s="80" t="n"/>
      <c r="Q1866" s="81" t="str">
        <f>IF(A1866="","",ROUND(Y1866+O1866+Z1866,2))</f>
        <v/>
      </c>
      <c r="R1866" s="79" t="str">
        <f>IF(A1866="","",IF(S1866=0,"Date manquante ou invalide",IF(C1866="","Équipement manquant",IF(ISNA(MATCH(C1866,eq_code,0)),"Équipement inconnu",IF(E1866="","Type manquant",IF(AND(E1866&lt;&gt;"Préventif",E1866&lt;&gt;"Correctif",E1866&lt;&gt;"Amélioratif"),"Type inconnu",IF(I1866="","Statut manquant",IF(AND(I1866&lt;&gt;"Terminée",I1866&lt;&gt;"En cours",I1866&lt;&gt;"À faire",I1866&lt;&gt;"Annulée"),"Statut inconnu",IF(AND(E1866="Préventif",F1866=""),"Plan manquant (préventif)",IF(AND(F1866&lt;&gt;"",ISNA(MATCH(F1866,pl_num,0))),"Plan inconnu",IF(AND(F1866&lt;&gt;"",IFERROR(INDEX(pl_eq,MATCH(F1866,pl_num,0))&amp;"",C1866)&lt;&gt;C1866),"Plan d'un autre équipement",IF(AND(J1866&lt;&gt;"",OR(NOT(ISNUMBER(J1866)),N(J1866)&lt;0)),"Compteur invalide",IF(OR(AND(K1866&lt;&gt;"",OR(NOT(ISNUMBER(K1866)),N(K1866)&lt;0)),AND(L1866&lt;&gt;"",OR(NOT(ISNUMBER(L1866)),N(L1866)&lt;0))),"Durée invalide",IF(OR(AND(N1866&lt;&gt;"",OR(NOT(ISNUMBER(N1866)),N(N1866)&lt;0)),AND(P1866&lt;&gt;"",OR(NOT(ISNUMBER(P1866)),N(P1866)&lt;0))),"Coût invalide",IF(AND(M1866&lt;&gt;"",ISNA(MATCH(M1866,tech_name,0))),"Technicien inconnu",IF(AND(I1866="Terminée",S1866&gt;p_today),"Terminée à une date future",IF(AND(I1866="Terminée",V1866=0),"Durée d'intervention manquante",IF(AND(I1866="Terminée",E1866="Préventif",T1866=0,OR(IFERROR(INDEX(pl_trig,MATCH(F1866,pl_num,0))&amp;"","")="Compteur",IFERROR(INDEX(pl_trig,MATCH(F1866,pl_num,0))&amp;"","")="Au premier des deux")),"Compteur manquant (plan au compteur)","OK"))))))))))))))))))</f>
        <v/>
      </c>
      <c r="S1866" s="67">
        <f>IF(AND(ISNUMBER(B1866),N(B1866)&gt;0),INT(B1866),0)</f>
        <v>0.0</v>
      </c>
      <c r="T1866" s="67">
        <f>IF(AND(ISNUMBER(J1866),N(J1866)&gt;=0),N(J1866),0)</f>
        <v>0.0</v>
      </c>
      <c r="U1866" s="67">
        <f>IF(AND(ISNUMBER(K1866),N(K1866)&gt;0),N(K1866),0)</f>
        <v>0.0</v>
      </c>
      <c r="V1866" s="67">
        <f>IF(AND(ISNUMBER(L1866),N(L1866)&gt;0),N(L1866),0)</f>
        <v>0.0</v>
      </c>
      <c r="W1866" s="67">
        <f>IF(AND(I1866="Terminée",S1866&gt;0,C1866&lt;&gt;"",ISNUMBER(MATCH(C1866,eq_code,0))),1,0)</f>
        <v>0.0</v>
      </c>
      <c r="X1866" s="67">
        <f>IF(AND(W1866=1,E1866="Préventif"),1,0)</f>
        <v>0.0</v>
      </c>
      <c r="Y1866" s="67">
        <f>IF(AND(ISNUMBER(N1866),N(N1866)&gt;0),N(N1866),0)</f>
        <v>0.0</v>
      </c>
      <c r="Z1866" s="67">
        <f>IF(AND(ISNUMBER(P1866),N(P1866)&gt;0),N(P1866),0)</f>
        <v>0.0</v>
      </c>
    </row>
    <row r="1867">
      <c r="A1867" s="79" t="str">
        <f>IF(COUNTA(B1867:C1867,E1867:G1867,I1867)=0,"","BI-"&amp;RIGHT("0000"&amp;(ROW()-5),4))</f>
        <v/>
      </c>
      <c r="B1867" s="72" t="n"/>
      <c r="C1867" s="66" t="n"/>
      <c r="D1867" s="67" t="str">
        <f>IF(C1867="","",IFERROR(INDEX(eq_des,MATCH(C1867,eq_code,0))&amp;"","Équipement inconnu"))</f>
        <v/>
      </c>
      <c r="E1867" s="68" t="n"/>
      <c r="F1867" s="68" t="n"/>
      <c r="G1867" s="66" t="n"/>
      <c r="H1867" s="66" t="n"/>
      <c r="I1867" s="68" t="n"/>
      <c r="J1867" s="73" t="n"/>
      <c r="K1867" s="71" t="n"/>
      <c r="L1867" s="71" t="n"/>
      <c r="M1867" s="66" t="n"/>
      <c r="N1867" s="80" t="n"/>
      <c r="O1867" s="81" t="str">
        <f>IF(A1867="","",ROUND(V1867*IFERROR(N(INDEX(tech_rate,MATCH(M1867,tech_name,0))),0),2))</f>
        <v/>
      </c>
      <c r="P1867" s="80" t="n"/>
      <c r="Q1867" s="81" t="str">
        <f>IF(A1867="","",ROUND(Y1867+O1867+Z1867,2))</f>
        <v/>
      </c>
      <c r="R1867" s="79" t="str">
        <f>IF(A1867="","",IF(S1867=0,"Date manquante ou invalide",IF(C1867="","Équipement manquant",IF(ISNA(MATCH(C1867,eq_code,0)),"Équipement inconnu",IF(E1867="","Type manquant",IF(AND(E1867&lt;&gt;"Préventif",E1867&lt;&gt;"Correctif",E1867&lt;&gt;"Amélioratif"),"Type inconnu",IF(I1867="","Statut manquant",IF(AND(I1867&lt;&gt;"Terminée",I1867&lt;&gt;"En cours",I1867&lt;&gt;"À faire",I1867&lt;&gt;"Annulée"),"Statut inconnu",IF(AND(E1867="Préventif",F1867=""),"Plan manquant (préventif)",IF(AND(F1867&lt;&gt;"",ISNA(MATCH(F1867,pl_num,0))),"Plan inconnu",IF(AND(F1867&lt;&gt;"",IFERROR(INDEX(pl_eq,MATCH(F1867,pl_num,0))&amp;"",C1867)&lt;&gt;C1867),"Plan d'un autre équipement",IF(AND(J1867&lt;&gt;"",OR(NOT(ISNUMBER(J1867)),N(J1867)&lt;0)),"Compteur invalide",IF(OR(AND(K1867&lt;&gt;"",OR(NOT(ISNUMBER(K1867)),N(K1867)&lt;0)),AND(L1867&lt;&gt;"",OR(NOT(ISNUMBER(L1867)),N(L1867)&lt;0))),"Durée invalide",IF(OR(AND(N1867&lt;&gt;"",OR(NOT(ISNUMBER(N1867)),N(N1867)&lt;0)),AND(P1867&lt;&gt;"",OR(NOT(ISNUMBER(P1867)),N(P1867)&lt;0))),"Coût invalide",IF(AND(M1867&lt;&gt;"",ISNA(MATCH(M1867,tech_name,0))),"Technicien inconnu",IF(AND(I1867="Terminée",S1867&gt;p_today),"Terminée à une date future",IF(AND(I1867="Terminée",V1867=0),"Durée d'intervention manquante",IF(AND(I1867="Terminée",E1867="Préventif",T1867=0,OR(IFERROR(INDEX(pl_trig,MATCH(F1867,pl_num,0))&amp;"","")="Compteur",IFERROR(INDEX(pl_trig,MATCH(F1867,pl_num,0))&amp;"","")="Au premier des deux")),"Compteur manquant (plan au compteur)","OK"))))))))))))))))))</f>
        <v/>
      </c>
      <c r="S1867" s="67">
        <f>IF(AND(ISNUMBER(B1867),N(B1867)&gt;0),INT(B1867),0)</f>
        <v>0.0</v>
      </c>
      <c r="T1867" s="67">
        <f>IF(AND(ISNUMBER(J1867),N(J1867)&gt;=0),N(J1867),0)</f>
        <v>0.0</v>
      </c>
      <c r="U1867" s="67">
        <f>IF(AND(ISNUMBER(K1867),N(K1867)&gt;0),N(K1867),0)</f>
        <v>0.0</v>
      </c>
      <c r="V1867" s="67">
        <f>IF(AND(ISNUMBER(L1867),N(L1867)&gt;0),N(L1867),0)</f>
        <v>0.0</v>
      </c>
      <c r="W1867" s="67">
        <f>IF(AND(I1867="Terminée",S1867&gt;0,C1867&lt;&gt;"",ISNUMBER(MATCH(C1867,eq_code,0))),1,0)</f>
        <v>0.0</v>
      </c>
      <c r="X1867" s="67">
        <f>IF(AND(W1867=1,E1867="Préventif"),1,0)</f>
        <v>0.0</v>
      </c>
      <c r="Y1867" s="67">
        <f>IF(AND(ISNUMBER(N1867),N(N1867)&gt;0),N(N1867),0)</f>
        <v>0.0</v>
      </c>
      <c r="Z1867" s="67">
        <f>IF(AND(ISNUMBER(P1867),N(P1867)&gt;0),N(P1867),0)</f>
        <v>0.0</v>
      </c>
    </row>
    <row r="1868">
      <c r="A1868" s="79" t="str">
        <f>IF(COUNTA(B1868:C1868,E1868:G1868,I1868)=0,"","BI-"&amp;RIGHT("0000"&amp;(ROW()-5),4))</f>
        <v/>
      </c>
      <c r="B1868" s="72" t="n"/>
      <c r="C1868" s="66" t="n"/>
      <c r="D1868" s="67" t="str">
        <f>IF(C1868="","",IFERROR(INDEX(eq_des,MATCH(C1868,eq_code,0))&amp;"","Équipement inconnu"))</f>
        <v/>
      </c>
      <c r="E1868" s="68" t="n"/>
      <c r="F1868" s="68" t="n"/>
      <c r="G1868" s="66" t="n"/>
      <c r="H1868" s="66" t="n"/>
      <c r="I1868" s="68" t="n"/>
      <c r="J1868" s="73" t="n"/>
      <c r="K1868" s="71" t="n"/>
      <c r="L1868" s="71" t="n"/>
      <c r="M1868" s="66" t="n"/>
      <c r="N1868" s="80" t="n"/>
      <c r="O1868" s="81" t="str">
        <f>IF(A1868="","",ROUND(V1868*IFERROR(N(INDEX(tech_rate,MATCH(M1868,tech_name,0))),0),2))</f>
        <v/>
      </c>
      <c r="P1868" s="80" t="n"/>
      <c r="Q1868" s="81" t="str">
        <f>IF(A1868="","",ROUND(Y1868+O1868+Z1868,2))</f>
        <v/>
      </c>
      <c r="R1868" s="79" t="str">
        <f>IF(A1868="","",IF(S1868=0,"Date manquante ou invalide",IF(C1868="","Équipement manquant",IF(ISNA(MATCH(C1868,eq_code,0)),"Équipement inconnu",IF(E1868="","Type manquant",IF(AND(E1868&lt;&gt;"Préventif",E1868&lt;&gt;"Correctif",E1868&lt;&gt;"Amélioratif"),"Type inconnu",IF(I1868="","Statut manquant",IF(AND(I1868&lt;&gt;"Terminée",I1868&lt;&gt;"En cours",I1868&lt;&gt;"À faire",I1868&lt;&gt;"Annulée"),"Statut inconnu",IF(AND(E1868="Préventif",F1868=""),"Plan manquant (préventif)",IF(AND(F1868&lt;&gt;"",ISNA(MATCH(F1868,pl_num,0))),"Plan inconnu",IF(AND(F1868&lt;&gt;"",IFERROR(INDEX(pl_eq,MATCH(F1868,pl_num,0))&amp;"",C1868)&lt;&gt;C1868),"Plan d'un autre équipement",IF(AND(J1868&lt;&gt;"",OR(NOT(ISNUMBER(J1868)),N(J1868)&lt;0)),"Compteur invalide",IF(OR(AND(K1868&lt;&gt;"",OR(NOT(ISNUMBER(K1868)),N(K1868)&lt;0)),AND(L1868&lt;&gt;"",OR(NOT(ISNUMBER(L1868)),N(L1868)&lt;0))),"Durée invalide",IF(OR(AND(N1868&lt;&gt;"",OR(NOT(ISNUMBER(N1868)),N(N1868)&lt;0)),AND(P1868&lt;&gt;"",OR(NOT(ISNUMBER(P1868)),N(P1868)&lt;0))),"Coût invalide",IF(AND(M1868&lt;&gt;"",ISNA(MATCH(M1868,tech_name,0))),"Technicien inconnu",IF(AND(I1868="Terminée",S1868&gt;p_today),"Terminée à une date future",IF(AND(I1868="Terminée",V1868=0),"Durée d'intervention manquante",IF(AND(I1868="Terminée",E1868="Préventif",T1868=0,OR(IFERROR(INDEX(pl_trig,MATCH(F1868,pl_num,0))&amp;"","")="Compteur",IFERROR(INDEX(pl_trig,MATCH(F1868,pl_num,0))&amp;"","")="Au premier des deux")),"Compteur manquant (plan au compteur)","OK"))))))))))))))))))</f>
        <v/>
      </c>
      <c r="S1868" s="67">
        <f>IF(AND(ISNUMBER(B1868),N(B1868)&gt;0),INT(B1868),0)</f>
        <v>0.0</v>
      </c>
      <c r="T1868" s="67">
        <f>IF(AND(ISNUMBER(J1868),N(J1868)&gt;=0),N(J1868),0)</f>
        <v>0.0</v>
      </c>
      <c r="U1868" s="67">
        <f>IF(AND(ISNUMBER(K1868),N(K1868)&gt;0),N(K1868),0)</f>
        <v>0.0</v>
      </c>
      <c r="V1868" s="67">
        <f>IF(AND(ISNUMBER(L1868),N(L1868)&gt;0),N(L1868),0)</f>
        <v>0.0</v>
      </c>
      <c r="W1868" s="67">
        <f>IF(AND(I1868="Terminée",S1868&gt;0,C1868&lt;&gt;"",ISNUMBER(MATCH(C1868,eq_code,0))),1,0)</f>
        <v>0.0</v>
      </c>
      <c r="X1868" s="67">
        <f>IF(AND(W1868=1,E1868="Préventif"),1,0)</f>
        <v>0.0</v>
      </c>
      <c r="Y1868" s="67">
        <f>IF(AND(ISNUMBER(N1868),N(N1868)&gt;0),N(N1868),0)</f>
        <v>0.0</v>
      </c>
      <c r="Z1868" s="67">
        <f>IF(AND(ISNUMBER(P1868),N(P1868)&gt;0),N(P1868),0)</f>
        <v>0.0</v>
      </c>
    </row>
    <row r="1869">
      <c r="A1869" s="79" t="str">
        <f>IF(COUNTA(B1869:C1869,E1869:G1869,I1869)=0,"","BI-"&amp;RIGHT("0000"&amp;(ROW()-5),4))</f>
        <v/>
      </c>
      <c r="B1869" s="72" t="n"/>
      <c r="C1869" s="66" t="n"/>
      <c r="D1869" s="67" t="str">
        <f>IF(C1869="","",IFERROR(INDEX(eq_des,MATCH(C1869,eq_code,0))&amp;"","Équipement inconnu"))</f>
        <v/>
      </c>
      <c r="E1869" s="68" t="n"/>
      <c r="F1869" s="68" t="n"/>
      <c r="G1869" s="66" t="n"/>
      <c r="H1869" s="66" t="n"/>
      <c r="I1869" s="68" t="n"/>
      <c r="J1869" s="73" t="n"/>
      <c r="K1869" s="71" t="n"/>
      <c r="L1869" s="71" t="n"/>
      <c r="M1869" s="66" t="n"/>
      <c r="N1869" s="80" t="n"/>
      <c r="O1869" s="81" t="str">
        <f>IF(A1869="","",ROUND(V1869*IFERROR(N(INDEX(tech_rate,MATCH(M1869,tech_name,0))),0),2))</f>
        <v/>
      </c>
      <c r="P1869" s="80" t="n"/>
      <c r="Q1869" s="81" t="str">
        <f>IF(A1869="","",ROUND(Y1869+O1869+Z1869,2))</f>
        <v/>
      </c>
      <c r="R1869" s="79" t="str">
        <f>IF(A1869="","",IF(S1869=0,"Date manquante ou invalide",IF(C1869="","Équipement manquant",IF(ISNA(MATCH(C1869,eq_code,0)),"Équipement inconnu",IF(E1869="","Type manquant",IF(AND(E1869&lt;&gt;"Préventif",E1869&lt;&gt;"Correctif",E1869&lt;&gt;"Amélioratif"),"Type inconnu",IF(I1869="","Statut manquant",IF(AND(I1869&lt;&gt;"Terminée",I1869&lt;&gt;"En cours",I1869&lt;&gt;"À faire",I1869&lt;&gt;"Annulée"),"Statut inconnu",IF(AND(E1869="Préventif",F1869=""),"Plan manquant (préventif)",IF(AND(F1869&lt;&gt;"",ISNA(MATCH(F1869,pl_num,0))),"Plan inconnu",IF(AND(F1869&lt;&gt;"",IFERROR(INDEX(pl_eq,MATCH(F1869,pl_num,0))&amp;"",C1869)&lt;&gt;C1869),"Plan d'un autre équipement",IF(AND(J1869&lt;&gt;"",OR(NOT(ISNUMBER(J1869)),N(J1869)&lt;0)),"Compteur invalide",IF(OR(AND(K1869&lt;&gt;"",OR(NOT(ISNUMBER(K1869)),N(K1869)&lt;0)),AND(L1869&lt;&gt;"",OR(NOT(ISNUMBER(L1869)),N(L1869)&lt;0))),"Durée invalide",IF(OR(AND(N1869&lt;&gt;"",OR(NOT(ISNUMBER(N1869)),N(N1869)&lt;0)),AND(P1869&lt;&gt;"",OR(NOT(ISNUMBER(P1869)),N(P1869)&lt;0))),"Coût invalide",IF(AND(M1869&lt;&gt;"",ISNA(MATCH(M1869,tech_name,0))),"Technicien inconnu",IF(AND(I1869="Terminée",S1869&gt;p_today),"Terminée à une date future",IF(AND(I1869="Terminée",V1869=0),"Durée d'intervention manquante",IF(AND(I1869="Terminée",E1869="Préventif",T1869=0,OR(IFERROR(INDEX(pl_trig,MATCH(F1869,pl_num,0))&amp;"","")="Compteur",IFERROR(INDEX(pl_trig,MATCH(F1869,pl_num,0))&amp;"","")="Au premier des deux")),"Compteur manquant (plan au compteur)","OK"))))))))))))))))))</f>
        <v/>
      </c>
      <c r="S1869" s="67">
        <f>IF(AND(ISNUMBER(B1869),N(B1869)&gt;0),INT(B1869),0)</f>
        <v>0.0</v>
      </c>
      <c r="T1869" s="67">
        <f>IF(AND(ISNUMBER(J1869),N(J1869)&gt;=0),N(J1869),0)</f>
        <v>0.0</v>
      </c>
      <c r="U1869" s="67">
        <f>IF(AND(ISNUMBER(K1869),N(K1869)&gt;0),N(K1869),0)</f>
        <v>0.0</v>
      </c>
      <c r="V1869" s="67">
        <f>IF(AND(ISNUMBER(L1869),N(L1869)&gt;0),N(L1869),0)</f>
        <v>0.0</v>
      </c>
      <c r="W1869" s="67">
        <f>IF(AND(I1869="Terminée",S1869&gt;0,C1869&lt;&gt;"",ISNUMBER(MATCH(C1869,eq_code,0))),1,0)</f>
        <v>0.0</v>
      </c>
      <c r="X1869" s="67">
        <f>IF(AND(W1869=1,E1869="Préventif"),1,0)</f>
        <v>0.0</v>
      </c>
      <c r="Y1869" s="67">
        <f>IF(AND(ISNUMBER(N1869),N(N1869)&gt;0),N(N1869),0)</f>
        <v>0.0</v>
      </c>
      <c r="Z1869" s="67">
        <f>IF(AND(ISNUMBER(P1869),N(P1869)&gt;0),N(P1869),0)</f>
        <v>0.0</v>
      </c>
    </row>
    <row r="1870">
      <c r="A1870" s="79" t="str">
        <f>IF(COUNTA(B1870:C1870,E1870:G1870,I1870)=0,"","BI-"&amp;RIGHT("0000"&amp;(ROW()-5),4))</f>
        <v/>
      </c>
      <c r="B1870" s="72" t="n"/>
      <c r="C1870" s="66" t="n"/>
      <c r="D1870" s="67" t="str">
        <f>IF(C1870="","",IFERROR(INDEX(eq_des,MATCH(C1870,eq_code,0))&amp;"","Équipement inconnu"))</f>
        <v/>
      </c>
      <c r="E1870" s="68" t="n"/>
      <c r="F1870" s="68" t="n"/>
      <c r="G1870" s="66" t="n"/>
      <c r="H1870" s="66" t="n"/>
      <c r="I1870" s="68" t="n"/>
      <c r="J1870" s="73" t="n"/>
      <c r="K1870" s="71" t="n"/>
      <c r="L1870" s="71" t="n"/>
      <c r="M1870" s="66" t="n"/>
      <c r="N1870" s="80" t="n"/>
      <c r="O1870" s="81" t="str">
        <f>IF(A1870="","",ROUND(V1870*IFERROR(N(INDEX(tech_rate,MATCH(M1870,tech_name,0))),0),2))</f>
        <v/>
      </c>
      <c r="P1870" s="80" t="n"/>
      <c r="Q1870" s="81" t="str">
        <f>IF(A1870="","",ROUND(Y1870+O1870+Z1870,2))</f>
        <v/>
      </c>
      <c r="R1870" s="79" t="str">
        <f>IF(A1870="","",IF(S1870=0,"Date manquante ou invalide",IF(C1870="","Équipement manquant",IF(ISNA(MATCH(C1870,eq_code,0)),"Équipement inconnu",IF(E1870="","Type manquant",IF(AND(E1870&lt;&gt;"Préventif",E1870&lt;&gt;"Correctif",E1870&lt;&gt;"Amélioratif"),"Type inconnu",IF(I1870="","Statut manquant",IF(AND(I1870&lt;&gt;"Terminée",I1870&lt;&gt;"En cours",I1870&lt;&gt;"À faire",I1870&lt;&gt;"Annulée"),"Statut inconnu",IF(AND(E1870="Préventif",F1870=""),"Plan manquant (préventif)",IF(AND(F1870&lt;&gt;"",ISNA(MATCH(F1870,pl_num,0))),"Plan inconnu",IF(AND(F1870&lt;&gt;"",IFERROR(INDEX(pl_eq,MATCH(F1870,pl_num,0))&amp;"",C1870)&lt;&gt;C1870),"Plan d'un autre équipement",IF(AND(J1870&lt;&gt;"",OR(NOT(ISNUMBER(J1870)),N(J1870)&lt;0)),"Compteur invalide",IF(OR(AND(K1870&lt;&gt;"",OR(NOT(ISNUMBER(K1870)),N(K1870)&lt;0)),AND(L1870&lt;&gt;"",OR(NOT(ISNUMBER(L1870)),N(L1870)&lt;0))),"Durée invalide",IF(OR(AND(N1870&lt;&gt;"",OR(NOT(ISNUMBER(N1870)),N(N1870)&lt;0)),AND(P1870&lt;&gt;"",OR(NOT(ISNUMBER(P1870)),N(P1870)&lt;0))),"Coût invalide",IF(AND(M1870&lt;&gt;"",ISNA(MATCH(M1870,tech_name,0))),"Technicien inconnu",IF(AND(I1870="Terminée",S1870&gt;p_today),"Terminée à une date future",IF(AND(I1870="Terminée",V1870=0),"Durée d'intervention manquante",IF(AND(I1870="Terminée",E1870="Préventif",T1870=0,OR(IFERROR(INDEX(pl_trig,MATCH(F1870,pl_num,0))&amp;"","")="Compteur",IFERROR(INDEX(pl_trig,MATCH(F1870,pl_num,0))&amp;"","")="Au premier des deux")),"Compteur manquant (plan au compteur)","OK"))))))))))))))))))</f>
        <v/>
      </c>
      <c r="S1870" s="67">
        <f>IF(AND(ISNUMBER(B1870),N(B1870)&gt;0),INT(B1870),0)</f>
        <v>0.0</v>
      </c>
      <c r="T1870" s="67">
        <f>IF(AND(ISNUMBER(J1870),N(J1870)&gt;=0),N(J1870),0)</f>
        <v>0.0</v>
      </c>
      <c r="U1870" s="67">
        <f>IF(AND(ISNUMBER(K1870),N(K1870)&gt;0),N(K1870),0)</f>
        <v>0.0</v>
      </c>
      <c r="V1870" s="67">
        <f>IF(AND(ISNUMBER(L1870),N(L1870)&gt;0),N(L1870),0)</f>
        <v>0.0</v>
      </c>
      <c r="W1870" s="67">
        <f>IF(AND(I1870="Terminée",S1870&gt;0,C1870&lt;&gt;"",ISNUMBER(MATCH(C1870,eq_code,0))),1,0)</f>
        <v>0.0</v>
      </c>
      <c r="X1870" s="67">
        <f>IF(AND(W1870=1,E1870="Préventif"),1,0)</f>
        <v>0.0</v>
      </c>
      <c r="Y1870" s="67">
        <f>IF(AND(ISNUMBER(N1870),N(N1870)&gt;0),N(N1870),0)</f>
        <v>0.0</v>
      </c>
      <c r="Z1870" s="67">
        <f>IF(AND(ISNUMBER(P1870),N(P1870)&gt;0),N(P1870),0)</f>
        <v>0.0</v>
      </c>
    </row>
    <row r="1871">
      <c r="A1871" s="79" t="str">
        <f>IF(COUNTA(B1871:C1871,E1871:G1871,I1871)=0,"","BI-"&amp;RIGHT("0000"&amp;(ROW()-5),4))</f>
        <v/>
      </c>
      <c r="B1871" s="72" t="n"/>
      <c r="C1871" s="66" t="n"/>
      <c r="D1871" s="67" t="str">
        <f>IF(C1871="","",IFERROR(INDEX(eq_des,MATCH(C1871,eq_code,0))&amp;"","Équipement inconnu"))</f>
        <v/>
      </c>
      <c r="E1871" s="68" t="n"/>
      <c r="F1871" s="68" t="n"/>
      <c r="G1871" s="66" t="n"/>
      <c r="H1871" s="66" t="n"/>
      <c r="I1871" s="68" t="n"/>
      <c r="J1871" s="73" t="n"/>
      <c r="K1871" s="71" t="n"/>
      <c r="L1871" s="71" t="n"/>
      <c r="M1871" s="66" t="n"/>
      <c r="N1871" s="80" t="n"/>
      <c r="O1871" s="81" t="str">
        <f>IF(A1871="","",ROUND(V1871*IFERROR(N(INDEX(tech_rate,MATCH(M1871,tech_name,0))),0),2))</f>
        <v/>
      </c>
      <c r="P1871" s="80" t="n"/>
      <c r="Q1871" s="81" t="str">
        <f>IF(A1871="","",ROUND(Y1871+O1871+Z1871,2))</f>
        <v/>
      </c>
      <c r="R1871" s="79" t="str">
        <f>IF(A1871="","",IF(S1871=0,"Date manquante ou invalide",IF(C1871="","Équipement manquant",IF(ISNA(MATCH(C1871,eq_code,0)),"Équipement inconnu",IF(E1871="","Type manquant",IF(AND(E1871&lt;&gt;"Préventif",E1871&lt;&gt;"Correctif",E1871&lt;&gt;"Amélioratif"),"Type inconnu",IF(I1871="","Statut manquant",IF(AND(I1871&lt;&gt;"Terminée",I1871&lt;&gt;"En cours",I1871&lt;&gt;"À faire",I1871&lt;&gt;"Annulée"),"Statut inconnu",IF(AND(E1871="Préventif",F1871=""),"Plan manquant (préventif)",IF(AND(F1871&lt;&gt;"",ISNA(MATCH(F1871,pl_num,0))),"Plan inconnu",IF(AND(F1871&lt;&gt;"",IFERROR(INDEX(pl_eq,MATCH(F1871,pl_num,0))&amp;"",C1871)&lt;&gt;C1871),"Plan d'un autre équipement",IF(AND(J1871&lt;&gt;"",OR(NOT(ISNUMBER(J1871)),N(J1871)&lt;0)),"Compteur invalide",IF(OR(AND(K1871&lt;&gt;"",OR(NOT(ISNUMBER(K1871)),N(K1871)&lt;0)),AND(L1871&lt;&gt;"",OR(NOT(ISNUMBER(L1871)),N(L1871)&lt;0))),"Durée invalide",IF(OR(AND(N1871&lt;&gt;"",OR(NOT(ISNUMBER(N1871)),N(N1871)&lt;0)),AND(P1871&lt;&gt;"",OR(NOT(ISNUMBER(P1871)),N(P1871)&lt;0))),"Coût invalide",IF(AND(M1871&lt;&gt;"",ISNA(MATCH(M1871,tech_name,0))),"Technicien inconnu",IF(AND(I1871="Terminée",S1871&gt;p_today),"Terminée à une date future",IF(AND(I1871="Terminée",V1871=0),"Durée d'intervention manquante",IF(AND(I1871="Terminée",E1871="Préventif",T1871=0,OR(IFERROR(INDEX(pl_trig,MATCH(F1871,pl_num,0))&amp;"","")="Compteur",IFERROR(INDEX(pl_trig,MATCH(F1871,pl_num,0))&amp;"","")="Au premier des deux")),"Compteur manquant (plan au compteur)","OK"))))))))))))))))))</f>
        <v/>
      </c>
      <c r="S1871" s="67">
        <f>IF(AND(ISNUMBER(B1871),N(B1871)&gt;0),INT(B1871),0)</f>
        <v>0.0</v>
      </c>
      <c r="T1871" s="67">
        <f>IF(AND(ISNUMBER(J1871),N(J1871)&gt;=0),N(J1871),0)</f>
        <v>0.0</v>
      </c>
      <c r="U1871" s="67">
        <f>IF(AND(ISNUMBER(K1871),N(K1871)&gt;0),N(K1871),0)</f>
        <v>0.0</v>
      </c>
      <c r="V1871" s="67">
        <f>IF(AND(ISNUMBER(L1871),N(L1871)&gt;0),N(L1871),0)</f>
        <v>0.0</v>
      </c>
      <c r="W1871" s="67">
        <f>IF(AND(I1871="Terminée",S1871&gt;0,C1871&lt;&gt;"",ISNUMBER(MATCH(C1871,eq_code,0))),1,0)</f>
        <v>0.0</v>
      </c>
      <c r="X1871" s="67">
        <f>IF(AND(W1871=1,E1871="Préventif"),1,0)</f>
        <v>0.0</v>
      </c>
      <c r="Y1871" s="67">
        <f>IF(AND(ISNUMBER(N1871),N(N1871)&gt;0),N(N1871),0)</f>
        <v>0.0</v>
      </c>
      <c r="Z1871" s="67">
        <f>IF(AND(ISNUMBER(P1871),N(P1871)&gt;0),N(P1871),0)</f>
        <v>0.0</v>
      </c>
    </row>
    <row r="1872">
      <c r="A1872" s="79" t="str">
        <f>IF(COUNTA(B1872:C1872,E1872:G1872,I1872)=0,"","BI-"&amp;RIGHT("0000"&amp;(ROW()-5),4))</f>
        <v/>
      </c>
      <c r="B1872" s="72" t="n"/>
      <c r="C1872" s="66" t="n"/>
      <c r="D1872" s="67" t="str">
        <f>IF(C1872="","",IFERROR(INDEX(eq_des,MATCH(C1872,eq_code,0))&amp;"","Équipement inconnu"))</f>
        <v/>
      </c>
      <c r="E1872" s="68" t="n"/>
      <c r="F1872" s="68" t="n"/>
      <c r="G1872" s="66" t="n"/>
      <c r="H1872" s="66" t="n"/>
      <c r="I1872" s="68" t="n"/>
      <c r="J1872" s="73" t="n"/>
      <c r="K1872" s="71" t="n"/>
      <c r="L1872" s="71" t="n"/>
      <c r="M1872" s="66" t="n"/>
      <c r="N1872" s="80" t="n"/>
      <c r="O1872" s="81" t="str">
        <f>IF(A1872="","",ROUND(V1872*IFERROR(N(INDEX(tech_rate,MATCH(M1872,tech_name,0))),0),2))</f>
        <v/>
      </c>
      <c r="P1872" s="80" t="n"/>
      <c r="Q1872" s="81" t="str">
        <f>IF(A1872="","",ROUND(Y1872+O1872+Z1872,2))</f>
        <v/>
      </c>
      <c r="R1872" s="79" t="str">
        <f>IF(A1872="","",IF(S1872=0,"Date manquante ou invalide",IF(C1872="","Équipement manquant",IF(ISNA(MATCH(C1872,eq_code,0)),"Équipement inconnu",IF(E1872="","Type manquant",IF(AND(E1872&lt;&gt;"Préventif",E1872&lt;&gt;"Correctif",E1872&lt;&gt;"Amélioratif"),"Type inconnu",IF(I1872="","Statut manquant",IF(AND(I1872&lt;&gt;"Terminée",I1872&lt;&gt;"En cours",I1872&lt;&gt;"À faire",I1872&lt;&gt;"Annulée"),"Statut inconnu",IF(AND(E1872="Préventif",F1872=""),"Plan manquant (préventif)",IF(AND(F1872&lt;&gt;"",ISNA(MATCH(F1872,pl_num,0))),"Plan inconnu",IF(AND(F1872&lt;&gt;"",IFERROR(INDEX(pl_eq,MATCH(F1872,pl_num,0))&amp;"",C1872)&lt;&gt;C1872),"Plan d'un autre équipement",IF(AND(J1872&lt;&gt;"",OR(NOT(ISNUMBER(J1872)),N(J1872)&lt;0)),"Compteur invalide",IF(OR(AND(K1872&lt;&gt;"",OR(NOT(ISNUMBER(K1872)),N(K1872)&lt;0)),AND(L1872&lt;&gt;"",OR(NOT(ISNUMBER(L1872)),N(L1872)&lt;0))),"Durée invalide",IF(OR(AND(N1872&lt;&gt;"",OR(NOT(ISNUMBER(N1872)),N(N1872)&lt;0)),AND(P1872&lt;&gt;"",OR(NOT(ISNUMBER(P1872)),N(P1872)&lt;0))),"Coût invalide",IF(AND(M1872&lt;&gt;"",ISNA(MATCH(M1872,tech_name,0))),"Technicien inconnu",IF(AND(I1872="Terminée",S1872&gt;p_today),"Terminée à une date future",IF(AND(I1872="Terminée",V1872=0),"Durée d'intervention manquante",IF(AND(I1872="Terminée",E1872="Préventif",T1872=0,OR(IFERROR(INDEX(pl_trig,MATCH(F1872,pl_num,0))&amp;"","")="Compteur",IFERROR(INDEX(pl_trig,MATCH(F1872,pl_num,0))&amp;"","")="Au premier des deux")),"Compteur manquant (plan au compteur)","OK"))))))))))))))))))</f>
        <v/>
      </c>
      <c r="S1872" s="67">
        <f>IF(AND(ISNUMBER(B1872),N(B1872)&gt;0),INT(B1872),0)</f>
        <v>0.0</v>
      </c>
      <c r="T1872" s="67">
        <f>IF(AND(ISNUMBER(J1872),N(J1872)&gt;=0),N(J1872),0)</f>
        <v>0.0</v>
      </c>
      <c r="U1872" s="67">
        <f>IF(AND(ISNUMBER(K1872),N(K1872)&gt;0),N(K1872),0)</f>
        <v>0.0</v>
      </c>
      <c r="V1872" s="67">
        <f>IF(AND(ISNUMBER(L1872),N(L1872)&gt;0),N(L1872),0)</f>
        <v>0.0</v>
      </c>
      <c r="W1872" s="67">
        <f>IF(AND(I1872="Terminée",S1872&gt;0,C1872&lt;&gt;"",ISNUMBER(MATCH(C1872,eq_code,0))),1,0)</f>
        <v>0.0</v>
      </c>
      <c r="X1872" s="67">
        <f>IF(AND(W1872=1,E1872="Préventif"),1,0)</f>
        <v>0.0</v>
      </c>
      <c r="Y1872" s="67">
        <f>IF(AND(ISNUMBER(N1872),N(N1872)&gt;0),N(N1872),0)</f>
        <v>0.0</v>
      </c>
      <c r="Z1872" s="67">
        <f>IF(AND(ISNUMBER(P1872),N(P1872)&gt;0),N(P1872),0)</f>
        <v>0.0</v>
      </c>
    </row>
    <row r="1873">
      <c r="A1873" s="79" t="str">
        <f>IF(COUNTA(B1873:C1873,E1873:G1873,I1873)=0,"","BI-"&amp;RIGHT("0000"&amp;(ROW()-5),4))</f>
        <v/>
      </c>
      <c r="B1873" s="72" t="n"/>
      <c r="C1873" s="66" t="n"/>
      <c r="D1873" s="67" t="str">
        <f>IF(C1873="","",IFERROR(INDEX(eq_des,MATCH(C1873,eq_code,0))&amp;"","Équipement inconnu"))</f>
        <v/>
      </c>
      <c r="E1873" s="68" t="n"/>
      <c r="F1873" s="68" t="n"/>
      <c r="G1873" s="66" t="n"/>
      <c r="H1873" s="66" t="n"/>
      <c r="I1873" s="68" t="n"/>
      <c r="J1873" s="73" t="n"/>
      <c r="K1873" s="71" t="n"/>
      <c r="L1873" s="71" t="n"/>
      <c r="M1873" s="66" t="n"/>
      <c r="N1873" s="80" t="n"/>
      <c r="O1873" s="81" t="str">
        <f>IF(A1873="","",ROUND(V1873*IFERROR(N(INDEX(tech_rate,MATCH(M1873,tech_name,0))),0),2))</f>
        <v/>
      </c>
      <c r="P1873" s="80" t="n"/>
      <c r="Q1873" s="81" t="str">
        <f>IF(A1873="","",ROUND(Y1873+O1873+Z1873,2))</f>
        <v/>
      </c>
      <c r="R1873" s="79" t="str">
        <f>IF(A1873="","",IF(S1873=0,"Date manquante ou invalide",IF(C1873="","Équipement manquant",IF(ISNA(MATCH(C1873,eq_code,0)),"Équipement inconnu",IF(E1873="","Type manquant",IF(AND(E1873&lt;&gt;"Préventif",E1873&lt;&gt;"Correctif",E1873&lt;&gt;"Amélioratif"),"Type inconnu",IF(I1873="","Statut manquant",IF(AND(I1873&lt;&gt;"Terminée",I1873&lt;&gt;"En cours",I1873&lt;&gt;"À faire",I1873&lt;&gt;"Annulée"),"Statut inconnu",IF(AND(E1873="Préventif",F1873=""),"Plan manquant (préventif)",IF(AND(F1873&lt;&gt;"",ISNA(MATCH(F1873,pl_num,0))),"Plan inconnu",IF(AND(F1873&lt;&gt;"",IFERROR(INDEX(pl_eq,MATCH(F1873,pl_num,0))&amp;"",C1873)&lt;&gt;C1873),"Plan d'un autre équipement",IF(AND(J1873&lt;&gt;"",OR(NOT(ISNUMBER(J1873)),N(J1873)&lt;0)),"Compteur invalide",IF(OR(AND(K1873&lt;&gt;"",OR(NOT(ISNUMBER(K1873)),N(K1873)&lt;0)),AND(L1873&lt;&gt;"",OR(NOT(ISNUMBER(L1873)),N(L1873)&lt;0))),"Durée invalide",IF(OR(AND(N1873&lt;&gt;"",OR(NOT(ISNUMBER(N1873)),N(N1873)&lt;0)),AND(P1873&lt;&gt;"",OR(NOT(ISNUMBER(P1873)),N(P1873)&lt;0))),"Coût invalide",IF(AND(M1873&lt;&gt;"",ISNA(MATCH(M1873,tech_name,0))),"Technicien inconnu",IF(AND(I1873="Terminée",S1873&gt;p_today),"Terminée à une date future",IF(AND(I1873="Terminée",V1873=0),"Durée d'intervention manquante",IF(AND(I1873="Terminée",E1873="Préventif",T1873=0,OR(IFERROR(INDEX(pl_trig,MATCH(F1873,pl_num,0))&amp;"","")="Compteur",IFERROR(INDEX(pl_trig,MATCH(F1873,pl_num,0))&amp;"","")="Au premier des deux")),"Compteur manquant (plan au compteur)","OK"))))))))))))))))))</f>
        <v/>
      </c>
      <c r="S1873" s="67">
        <f>IF(AND(ISNUMBER(B1873),N(B1873)&gt;0),INT(B1873),0)</f>
        <v>0.0</v>
      </c>
      <c r="T1873" s="67">
        <f>IF(AND(ISNUMBER(J1873),N(J1873)&gt;=0),N(J1873),0)</f>
        <v>0.0</v>
      </c>
      <c r="U1873" s="67">
        <f>IF(AND(ISNUMBER(K1873),N(K1873)&gt;0),N(K1873),0)</f>
        <v>0.0</v>
      </c>
      <c r="V1873" s="67">
        <f>IF(AND(ISNUMBER(L1873),N(L1873)&gt;0),N(L1873),0)</f>
        <v>0.0</v>
      </c>
      <c r="W1873" s="67">
        <f>IF(AND(I1873="Terminée",S1873&gt;0,C1873&lt;&gt;"",ISNUMBER(MATCH(C1873,eq_code,0))),1,0)</f>
        <v>0.0</v>
      </c>
      <c r="X1873" s="67">
        <f>IF(AND(W1873=1,E1873="Préventif"),1,0)</f>
        <v>0.0</v>
      </c>
      <c r="Y1873" s="67">
        <f>IF(AND(ISNUMBER(N1873),N(N1873)&gt;0),N(N1873),0)</f>
        <v>0.0</v>
      </c>
      <c r="Z1873" s="67">
        <f>IF(AND(ISNUMBER(P1873),N(P1873)&gt;0),N(P1873),0)</f>
        <v>0.0</v>
      </c>
    </row>
    <row r="1874">
      <c r="A1874" s="79" t="str">
        <f>IF(COUNTA(B1874:C1874,E1874:G1874,I1874)=0,"","BI-"&amp;RIGHT("0000"&amp;(ROW()-5),4))</f>
        <v/>
      </c>
      <c r="B1874" s="72" t="n"/>
      <c r="C1874" s="66" t="n"/>
      <c r="D1874" s="67" t="str">
        <f>IF(C1874="","",IFERROR(INDEX(eq_des,MATCH(C1874,eq_code,0))&amp;"","Équipement inconnu"))</f>
        <v/>
      </c>
      <c r="E1874" s="68" t="n"/>
      <c r="F1874" s="68" t="n"/>
      <c r="G1874" s="66" t="n"/>
      <c r="H1874" s="66" t="n"/>
      <c r="I1874" s="68" t="n"/>
      <c r="J1874" s="73" t="n"/>
      <c r="K1874" s="71" t="n"/>
      <c r="L1874" s="71" t="n"/>
      <c r="M1874" s="66" t="n"/>
      <c r="N1874" s="80" t="n"/>
      <c r="O1874" s="81" t="str">
        <f>IF(A1874="","",ROUND(V1874*IFERROR(N(INDEX(tech_rate,MATCH(M1874,tech_name,0))),0),2))</f>
        <v/>
      </c>
      <c r="P1874" s="80" t="n"/>
      <c r="Q1874" s="81" t="str">
        <f>IF(A1874="","",ROUND(Y1874+O1874+Z1874,2))</f>
        <v/>
      </c>
      <c r="R1874" s="79" t="str">
        <f>IF(A1874="","",IF(S1874=0,"Date manquante ou invalide",IF(C1874="","Équipement manquant",IF(ISNA(MATCH(C1874,eq_code,0)),"Équipement inconnu",IF(E1874="","Type manquant",IF(AND(E1874&lt;&gt;"Préventif",E1874&lt;&gt;"Correctif",E1874&lt;&gt;"Amélioratif"),"Type inconnu",IF(I1874="","Statut manquant",IF(AND(I1874&lt;&gt;"Terminée",I1874&lt;&gt;"En cours",I1874&lt;&gt;"À faire",I1874&lt;&gt;"Annulée"),"Statut inconnu",IF(AND(E1874="Préventif",F1874=""),"Plan manquant (préventif)",IF(AND(F1874&lt;&gt;"",ISNA(MATCH(F1874,pl_num,0))),"Plan inconnu",IF(AND(F1874&lt;&gt;"",IFERROR(INDEX(pl_eq,MATCH(F1874,pl_num,0))&amp;"",C1874)&lt;&gt;C1874),"Plan d'un autre équipement",IF(AND(J1874&lt;&gt;"",OR(NOT(ISNUMBER(J1874)),N(J1874)&lt;0)),"Compteur invalide",IF(OR(AND(K1874&lt;&gt;"",OR(NOT(ISNUMBER(K1874)),N(K1874)&lt;0)),AND(L1874&lt;&gt;"",OR(NOT(ISNUMBER(L1874)),N(L1874)&lt;0))),"Durée invalide",IF(OR(AND(N1874&lt;&gt;"",OR(NOT(ISNUMBER(N1874)),N(N1874)&lt;0)),AND(P1874&lt;&gt;"",OR(NOT(ISNUMBER(P1874)),N(P1874)&lt;0))),"Coût invalide",IF(AND(M1874&lt;&gt;"",ISNA(MATCH(M1874,tech_name,0))),"Technicien inconnu",IF(AND(I1874="Terminée",S1874&gt;p_today),"Terminée à une date future",IF(AND(I1874="Terminée",V1874=0),"Durée d'intervention manquante",IF(AND(I1874="Terminée",E1874="Préventif",T1874=0,OR(IFERROR(INDEX(pl_trig,MATCH(F1874,pl_num,0))&amp;"","")="Compteur",IFERROR(INDEX(pl_trig,MATCH(F1874,pl_num,0))&amp;"","")="Au premier des deux")),"Compteur manquant (plan au compteur)","OK"))))))))))))))))))</f>
        <v/>
      </c>
      <c r="S1874" s="67">
        <f>IF(AND(ISNUMBER(B1874),N(B1874)&gt;0),INT(B1874),0)</f>
        <v>0.0</v>
      </c>
      <c r="T1874" s="67">
        <f>IF(AND(ISNUMBER(J1874),N(J1874)&gt;=0),N(J1874),0)</f>
        <v>0.0</v>
      </c>
      <c r="U1874" s="67">
        <f>IF(AND(ISNUMBER(K1874),N(K1874)&gt;0),N(K1874),0)</f>
        <v>0.0</v>
      </c>
      <c r="V1874" s="67">
        <f>IF(AND(ISNUMBER(L1874),N(L1874)&gt;0),N(L1874),0)</f>
        <v>0.0</v>
      </c>
      <c r="W1874" s="67">
        <f>IF(AND(I1874="Terminée",S1874&gt;0,C1874&lt;&gt;"",ISNUMBER(MATCH(C1874,eq_code,0))),1,0)</f>
        <v>0.0</v>
      </c>
      <c r="X1874" s="67">
        <f>IF(AND(W1874=1,E1874="Préventif"),1,0)</f>
        <v>0.0</v>
      </c>
      <c r="Y1874" s="67">
        <f>IF(AND(ISNUMBER(N1874),N(N1874)&gt;0),N(N1874),0)</f>
        <v>0.0</v>
      </c>
      <c r="Z1874" s="67">
        <f>IF(AND(ISNUMBER(P1874),N(P1874)&gt;0),N(P1874),0)</f>
        <v>0.0</v>
      </c>
    </row>
    <row r="1875">
      <c r="A1875" s="79" t="str">
        <f>IF(COUNTA(B1875:C1875,E1875:G1875,I1875)=0,"","BI-"&amp;RIGHT("0000"&amp;(ROW()-5),4))</f>
        <v/>
      </c>
      <c r="B1875" s="72" t="n"/>
      <c r="C1875" s="66" t="n"/>
      <c r="D1875" s="67" t="str">
        <f>IF(C1875="","",IFERROR(INDEX(eq_des,MATCH(C1875,eq_code,0))&amp;"","Équipement inconnu"))</f>
        <v/>
      </c>
      <c r="E1875" s="68" t="n"/>
      <c r="F1875" s="68" t="n"/>
      <c r="G1875" s="66" t="n"/>
      <c r="H1875" s="66" t="n"/>
      <c r="I1875" s="68" t="n"/>
      <c r="J1875" s="73" t="n"/>
      <c r="K1875" s="71" t="n"/>
      <c r="L1875" s="71" t="n"/>
      <c r="M1875" s="66" t="n"/>
      <c r="N1875" s="80" t="n"/>
      <c r="O1875" s="81" t="str">
        <f>IF(A1875="","",ROUND(V1875*IFERROR(N(INDEX(tech_rate,MATCH(M1875,tech_name,0))),0),2))</f>
        <v/>
      </c>
      <c r="P1875" s="80" t="n"/>
      <c r="Q1875" s="81" t="str">
        <f>IF(A1875="","",ROUND(Y1875+O1875+Z1875,2))</f>
        <v/>
      </c>
      <c r="R1875" s="79" t="str">
        <f>IF(A1875="","",IF(S1875=0,"Date manquante ou invalide",IF(C1875="","Équipement manquant",IF(ISNA(MATCH(C1875,eq_code,0)),"Équipement inconnu",IF(E1875="","Type manquant",IF(AND(E1875&lt;&gt;"Préventif",E1875&lt;&gt;"Correctif",E1875&lt;&gt;"Amélioratif"),"Type inconnu",IF(I1875="","Statut manquant",IF(AND(I1875&lt;&gt;"Terminée",I1875&lt;&gt;"En cours",I1875&lt;&gt;"À faire",I1875&lt;&gt;"Annulée"),"Statut inconnu",IF(AND(E1875="Préventif",F1875=""),"Plan manquant (préventif)",IF(AND(F1875&lt;&gt;"",ISNA(MATCH(F1875,pl_num,0))),"Plan inconnu",IF(AND(F1875&lt;&gt;"",IFERROR(INDEX(pl_eq,MATCH(F1875,pl_num,0))&amp;"",C1875)&lt;&gt;C1875),"Plan d'un autre équipement",IF(AND(J1875&lt;&gt;"",OR(NOT(ISNUMBER(J1875)),N(J1875)&lt;0)),"Compteur invalide",IF(OR(AND(K1875&lt;&gt;"",OR(NOT(ISNUMBER(K1875)),N(K1875)&lt;0)),AND(L1875&lt;&gt;"",OR(NOT(ISNUMBER(L1875)),N(L1875)&lt;0))),"Durée invalide",IF(OR(AND(N1875&lt;&gt;"",OR(NOT(ISNUMBER(N1875)),N(N1875)&lt;0)),AND(P1875&lt;&gt;"",OR(NOT(ISNUMBER(P1875)),N(P1875)&lt;0))),"Coût invalide",IF(AND(M1875&lt;&gt;"",ISNA(MATCH(M1875,tech_name,0))),"Technicien inconnu",IF(AND(I1875="Terminée",S1875&gt;p_today),"Terminée à une date future",IF(AND(I1875="Terminée",V1875=0),"Durée d'intervention manquante",IF(AND(I1875="Terminée",E1875="Préventif",T1875=0,OR(IFERROR(INDEX(pl_trig,MATCH(F1875,pl_num,0))&amp;"","")="Compteur",IFERROR(INDEX(pl_trig,MATCH(F1875,pl_num,0))&amp;"","")="Au premier des deux")),"Compteur manquant (plan au compteur)","OK"))))))))))))))))))</f>
        <v/>
      </c>
      <c r="S1875" s="67">
        <f>IF(AND(ISNUMBER(B1875),N(B1875)&gt;0),INT(B1875),0)</f>
        <v>0.0</v>
      </c>
      <c r="T1875" s="67">
        <f>IF(AND(ISNUMBER(J1875),N(J1875)&gt;=0),N(J1875),0)</f>
        <v>0.0</v>
      </c>
      <c r="U1875" s="67">
        <f>IF(AND(ISNUMBER(K1875),N(K1875)&gt;0),N(K1875),0)</f>
        <v>0.0</v>
      </c>
      <c r="V1875" s="67">
        <f>IF(AND(ISNUMBER(L1875),N(L1875)&gt;0),N(L1875),0)</f>
        <v>0.0</v>
      </c>
      <c r="W1875" s="67">
        <f>IF(AND(I1875="Terminée",S1875&gt;0,C1875&lt;&gt;"",ISNUMBER(MATCH(C1875,eq_code,0))),1,0)</f>
        <v>0.0</v>
      </c>
      <c r="X1875" s="67">
        <f>IF(AND(W1875=1,E1875="Préventif"),1,0)</f>
        <v>0.0</v>
      </c>
      <c r="Y1875" s="67">
        <f>IF(AND(ISNUMBER(N1875),N(N1875)&gt;0),N(N1875),0)</f>
        <v>0.0</v>
      </c>
      <c r="Z1875" s="67">
        <f>IF(AND(ISNUMBER(P1875),N(P1875)&gt;0),N(P1875),0)</f>
        <v>0.0</v>
      </c>
    </row>
    <row r="1876">
      <c r="A1876" s="79" t="str">
        <f>IF(COUNTA(B1876:C1876,E1876:G1876,I1876)=0,"","BI-"&amp;RIGHT("0000"&amp;(ROW()-5),4))</f>
        <v/>
      </c>
      <c r="B1876" s="72" t="n"/>
      <c r="C1876" s="66" t="n"/>
      <c r="D1876" s="67" t="str">
        <f>IF(C1876="","",IFERROR(INDEX(eq_des,MATCH(C1876,eq_code,0))&amp;"","Équipement inconnu"))</f>
        <v/>
      </c>
      <c r="E1876" s="68" t="n"/>
      <c r="F1876" s="68" t="n"/>
      <c r="G1876" s="66" t="n"/>
      <c r="H1876" s="66" t="n"/>
      <c r="I1876" s="68" t="n"/>
      <c r="J1876" s="73" t="n"/>
      <c r="K1876" s="71" t="n"/>
      <c r="L1876" s="71" t="n"/>
      <c r="M1876" s="66" t="n"/>
      <c r="N1876" s="80" t="n"/>
      <c r="O1876" s="81" t="str">
        <f>IF(A1876="","",ROUND(V1876*IFERROR(N(INDEX(tech_rate,MATCH(M1876,tech_name,0))),0),2))</f>
        <v/>
      </c>
      <c r="P1876" s="80" t="n"/>
      <c r="Q1876" s="81" t="str">
        <f>IF(A1876="","",ROUND(Y1876+O1876+Z1876,2))</f>
        <v/>
      </c>
      <c r="R1876" s="79" t="str">
        <f>IF(A1876="","",IF(S1876=0,"Date manquante ou invalide",IF(C1876="","Équipement manquant",IF(ISNA(MATCH(C1876,eq_code,0)),"Équipement inconnu",IF(E1876="","Type manquant",IF(AND(E1876&lt;&gt;"Préventif",E1876&lt;&gt;"Correctif",E1876&lt;&gt;"Amélioratif"),"Type inconnu",IF(I1876="","Statut manquant",IF(AND(I1876&lt;&gt;"Terminée",I1876&lt;&gt;"En cours",I1876&lt;&gt;"À faire",I1876&lt;&gt;"Annulée"),"Statut inconnu",IF(AND(E1876="Préventif",F1876=""),"Plan manquant (préventif)",IF(AND(F1876&lt;&gt;"",ISNA(MATCH(F1876,pl_num,0))),"Plan inconnu",IF(AND(F1876&lt;&gt;"",IFERROR(INDEX(pl_eq,MATCH(F1876,pl_num,0))&amp;"",C1876)&lt;&gt;C1876),"Plan d'un autre équipement",IF(AND(J1876&lt;&gt;"",OR(NOT(ISNUMBER(J1876)),N(J1876)&lt;0)),"Compteur invalide",IF(OR(AND(K1876&lt;&gt;"",OR(NOT(ISNUMBER(K1876)),N(K1876)&lt;0)),AND(L1876&lt;&gt;"",OR(NOT(ISNUMBER(L1876)),N(L1876)&lt;0))),"Durée invalide",IF(OR(AND(N1876&lt;&gt;"",OR(NOT(ISNUMBER(N1876)),N(N1876)&lt;0)),AND(P1876&lt;&gt;"",OR(NOT(ISNUMBER(P1876)),N(P1876)&lt;0))),"Coût invalide",IF(AND(M1876&lt;&gt;"",ISNA(MATCH(M1876,tech_name,0))),"Technicien inconnu",IF(AND(I1876="Terminée",S1876&gt;p_today),"Terminée à une date future",IF(AND(I1876="Terminée",V1876=0),"Durée d'intervention manquante",IF(AND(I1876="Terminée",E1876="Préventif",T1876=0,OR(IFERROR(INDEX(pl_trig,MATCH(F1876,pl_num,0))&amp;"","")="Compteur",IFERROR(INDEX(pl_trig,MATCH(F1876,pl_num,0))&amp;"","")="Au premier des deux")),"Compteur manquant (plan au compteur)","OK"))))))))))))))))))</f>
        <v/>
      </c>
      <c r="S1876" s="67">
        <f>IF(AND(ISNUMBER(B1876),N(B1876)&gt;0),INT(B1876),0)</f>
        <v>0.0</v>
      </c>
      <c r="T1876" s="67">
        <f>IF(AND(ISNUMBER(J1876),N(J1876)&gt;=0),N(J1876),0)</f>
        <v>0.0</v>
      </c>
      <c r="U1876" s="67">
        <f>IF(AND(ISNUMBER(K1876),N(K1876)&gt;0),N(K1876),0)</f>
        <v>0.0</v>
      </c>
      <c r="V1876" s="67">
        <f>IF(AND(ISNUMBER(L1876),N(L1876)&gt;0),N(L1876),0)</f>
        <v>0.0</v>
      </c>
      <c r="W1876" s="67">
        <f>IF(AND(I1876="Terminée",S1876&gt;0,C1876&lt;&gt;"",ISNUMBER(MATCH(C1876,eq_code,0))),1,0)</f>
        <v>0.0</v>
      </c>
      <c r="X1876" s="67">
        <f>IF(AND(W1876=1,E1876="Préventif"),1,0)</f>
        <v>0.0</v>
      </c>
      <c r="Y1876" s="67">
        <f>IF(AND(ISNUMBER(N1876),N(N1876)&gt;0),N(N1876),0)</f>
        <v>0.0</v>
      </c>
      <c r="Z1876" s="67">
        <f>IF(AND(ISNUMBER(P1876),N(P1876)&gt;0),N(P1876),0)</f>
        <v>0.0</v>
      </c>
    </row>
    <row r="1877">
      <c r="A1877" s="79" t="str">
        <f>IF(COUNTA(B1877:C1877,E1877:G1877,I1877)=0,"","BI-"&amp;RIGHT("0000"&amp;(ROW()-5),4))</f>
        <v/>
      </c>
      <c r="B1877" s="72" t="n"/>
      <c r="C1877" s="66" t="n"/>
      <c r="D1877" s="67" t="str">
        <f>IF(C1877="","",IFERROR(INDEX(eq_des,MATCH(C1877,eq_code,0))&amp;"","Équipement inconnu"))</f>
        <v/>
      </c>
      <c r="E1877" s="68" t="n"/>
      <c r="F1877" s="68" t="n"/>
      <c r="G1877" s="66" t="n"/>
      <c r="H1877" s="66" t="n"/>
      <c r="I1877" s="68" t="n"/>
      <c r="J1877" s="73" t="n"/>
      <c r="K1877" s="71" t="n"/>
      <c r="L1877" s="71" t="n"/>
      <c r="M1877" s="66" t="n"/>
      <c r="N1877" s="80" t="n"/>
      <c r="O1877" s="81" t="str">
        <f>IF(A1877="","",ROUND(V1877*IFERROR(N(INDEX(tech_rate,MATCH(M1877,tech_name,0))),0),2))</f>
        <v/>
      </c>
      <c r="P1877" s="80" t="n"/>
      <c r="Q1877" s="81" t="str">
        <f>IF(A1877="","",ROUND(Y1877+O1877+Z1877,2))</f>
        <v/>
      </c>
      <c r="R1877" s="79" t="str">
        <f>IF(A1877="","",IF(S1877=0,"Date manquante ou invalide",IF(C1877="","Équipement manquant",IF(ISNA(MATCH(C1877,eq_code,0)),"Équipement inconnu",IF(E1877="","Type manquant",IF(AND(E1877&lt;&gt;"Préventif",E1877&lt;&gt;"Correctif",E1877&lt;&gt;"Amélioratif"),"Type inconnu",IF(I1877="","Statut manquant",IF(AND(I1877&lt;&gt;"Terminée",I1877&lt;&gt;"En cours",I1877&lt;&gt;"À faire",I1877&lt;&gt;"Annulée"),"Statut inconnu",IF(AND(E1877="Préventif",F1877=""),"Plan manquant (préventif)",IF(AND(F1877&lt;&gt;"",ISNA(MATCH(F1877,pl_num,0))),"Plan inconnu",IF(AND(F1877&lt;&gt;"",IFERROR(INDEX(pl_eq,MATCH(F1877,pl_num,0))&amp;"",C1877)&lt;&gt;C1877),"Plan d'un autre équipement",IF(AND(J1877&lt;&gt;"",OR(NOT(ISNUMBER(J1877)),N(J1877)&lt;0)),"Compteur invalide",IF(OR(AND(K1877&lt;&gt;"",OR(NOT(ISNUMBER(K1877)),N(K1877)&lt;0)),AND(L1877&lt;&gt;"",OR(NOT(ISNUMBER(L1877)),N(L1877)&lt;0))),"Durée invalide",IF(OR(AND(N1877&lt;&gt;"",OR(NOT(ISNUMBER(N1877)),N(N1877)&lt;0)),AND(P1877&lt;&gt;"",OR(NOT(ISNUMBER(P1877)),N(P1877)&lt;0))),"Coût invalide",IF(AND(M1877&lt;&gt;"",ISNA(MATCH(M1877,tech_name,0))),"Technicien inconnu",IF(AND(I1877="Terminée",S1877&gt;p_today),"Terminée à une date future",IF(AND(I1877="Terminée",V1877=0),"Durée d'intervention manquante",IF(AND(I1877="Terminée",E1877="Préventif",T1877=0,OR(IFERROR(INDEX(pl_trig,MATCH(F1877,pl_num,0))&amp;"","")="Compteur",IFERROR(INDEX(pl_trig,MATCH(F1877,pl_num,0))&amp;"","")="Au premier des deux")),"Compteur manquant (plan au compteur)","OK"))))))))))))))))))</f>
        <v/>
      </c>
      <c r="S1877" s="67">
        <f>IF(AND(ISNUMBER(B1877),N(B1877)&gt;0),INT(B1877),0)</f>
        <v>0.0</v>
      </c>
      <c r="T1877" s="67">
        <f>IF(AND(ISNUMBER(J1877),N(J1877)&gt;=0),N(J1877),0)</f>
        <v>0.0</v>
      </c>
      <c r="U1877" s="67">
        <f>IF(AND(ISNUMBER(K1877),N(K1877)&gt;0),N(K1877),0)</f>
        <v>0.0</v>
      </c>
      <c r="V1877" s="67">
        <f>IF(AND(ISNUMBER(L1877),N(L1877)&gt;0),N(L1877),0)</f>
        <v>0.0</v>
      </c>
      <c r="W1877" s="67">
        <f>IF(AND(I1877="Terminée",S1877&gt;0,C1877&lt;&gt;"",ISNUMBER(MATCH(C1877,eq_code,0))),1,0)</f>
        <v>0.0</v>
      </c>
      <c r="X1877" s="67">
        <f>IF(AND(W1877=1,E1877="Préventif"),1,0)</f>
        <v>0.0</v>
      </c>
      <c r="Y1877" s="67">
        <f>IF(AND(ISNUMBER(N1877),N(N1877)&gt;0),N(N1877),0)</f>
        <v>0.0</v>
      </c>
      <c r="Z1877" s="67">
        <f>IF(AND(ISNUMBER(P1877),N(P1877)&gt;0),N(P1877),0)</f>
        <v>0.0</v>
      </c>
    </row>
    <row r="1878">
      <c r="A1878" s="79" t="str">
        <f>IF(COUNTA(B1878:C1878,E1878:G1878,I1878)=0,"","BI-"&amp;RIGHT("0000"&amp;(ROW()-5),4))</f>
        <v/>
      </c>
      <c r="B1878" s="72" t="n"/>
      <c r="C1878" s="66" t="n"/>
      <c r="D1878" s="67" t="str">
        <f>IF(C1878="","",IFERROR(INDEX(eq_des,MATCH(C1878,eq_code,0))&amp;"","Équipement inconnu"))</f>
        <v/>
      </c>
      <c r="E1878" s="68" t="n"/>
      <c r="F1878" s="68" t="n"/>
      <c r="G1878" s="66" t="n"/>
      <c r="H1878" s="66" t="n"/>
      <c r="I1878" s="68" t="n"/>
      <c r="J1878" s="73" t="n"/>
      <c r="K1878" s="71" t="n"/>
      <c r="L1878" s="71" t="n"/>
      <c r="M1878" s="66" t="n"/>
      <c r="N1878" s="80" t="n"/>
      <c r="O1878" s="81" t="str">
        <f>IF(A1878="","",ROUND(V1878*IFERROR(N(INDEX(tech_rate,MATCH(M1878,tech_name,0))),0),2))</f>
        <v/>
      </c>
      <c r="P1878" s="80" t="n"/>
      <c r="Q1878" s="81" t="str">
        <f>IF(A1878="","",ROUND(Y1878+O1878+Z1878,2))</f>
        <v/>
      </c>
      <c r="R1878" s="79" t="str">
        <f>IF(A1878="","",IF(S1878=0,"Date manquante ou invalide",IF(C1878="","Équipement manquant",IF(ISNA(MATCH(C1878,eq_code,0)),"Équipement inconnu",IF(E1878="","Type manquant",IF(AND(E1878&lt;&gt;"Préventif",E1878&lt;&gt;"Correctif",E1878&lt;&gt;"Amélioratif"),"Type inconnu",IF(I1878="","Statut manquant",IF(AND(I1878&lt;&gt;"Terminée",I1878&lt;&gt;"En cours",I1878&lt;&gt;"À faire",I1878&lt;&gt;"Annulée"),"Statut inconnu",IF(AND(E1878="Préventif",F1878=""),"Plan manquant (préventif)",IF(AND(F1878&lt;&gt;"",ISNA(MATCH(F1878,pl_num,0))),"Plan inconnu",IF(AND(F1878&lt;&gt;"",IFERROR(INDEX(pl_eq,MATCH(F1878,pl_num,0))&amp;"",C1878)&lt;&gt;C1878),"Plan d'un autre équipement",IF(AND(J1878&lt;&gt;"",OR(NOT(ISNUMBER(J1878)),N(J1878)&lt;0)),"Compteur invalide",IF(OR(AND(K1878&lt;&gt;"",OR(NOT(ISNUMBER(K1878)),N(K1878)&lt;0)),AND(L1878&lt;&gt;"",OR(NOT(ISNUMBER(L1878)),N(L1878)&lt;0))),"Durée invalide",IF(OR(AND(N1878&lt;&gt;"",OR(NOT(ISNUMBER(N1878)),N(N1878)&lt;0)),AND(P1878&lt;&gt;"",OR(NOT(ISNUMBER(P1878)),N(P1878)&lt;0))),"Coût invalide",IF(AND(M1878&lt;&gt;"",ISNA(MATCH(M1878,tech_name,0))),"Technicien inconnu",IF(AND(I1878="Terminée",S1878&gt;p_today),"Terminée à une date future",IF(AND(I1878="Terminée",V1878=0),"Durée d'intervention manquante",IF(AND(I1878="Terminée",E1878="Préventif",T1878=0,OR(IFERROR(INDEX(pl_trig,MATCH(F1878,pl_num,0))&amp;"","")="Compteur",IFERROR(INDEX(pl_trig,MATCH(F1878,pl_num,0))&amp;"","")="Au premier des deux")),"Compteur manquant (plan au compteur)","OK"))))))))))))))))))</f>
        <v/>
      </c>
      <c r="S1878" s="67">
        <f>IF(AND(ISNUMBER(B1878),N(B1878)&gt;0),INT(B1878),0)</f>
        <v>0.0</v>
      </c>
      <c r="T1878" s="67">
        <f>IF(AND(ISNUMBER(J1878),N(J1878)&gt;=0),N(J1878),0)</f>
        <v>0.0</v>
      </c>
      <c r="U1878" s="67">
        <f>IF(AND(ISNUMBER(K1878),N(K1878)&gt;0),N(K1878),0)</f>
        <v>0.0</v>
      </c>
      <c r="V1878" s="67">
        <f>IF(AND(ISNUMBER(L1878),N(L1878)&gt;0),N(L1878),0)</f>
        <v>0.0</v>
      </c>
      <c r="W1878" s="67">
        <f>IF(AND(I1878="Terminée",S1878&gt;0,C1878&lt;&gt;"",ISNUMBER(MATCH(C1878,eq_code,0))),1,0)</f>
        <v>0.0</v>
      </c>
      <c r="X1878" s="67">
        <f>IF(AND(W1878=1,E1878="Préventif"),1,0)</f>
        <v>0.0</v>
      </c>
      <c r="Y1878" s="67">
        <f>IF(AND(ISNUMBER(N1878),N(N1878)&gt;0),N(N1878),0)</f>
        <v>0.0</v>
      </c>
      <c r="Z1878" s="67">
        <f>IF(AND(ISNUMBER(P1878),N(P1878)&gt;0),N(P1878),0)</f>
        <v>0.0</v>
      </c>
    </row>
    <row r="1879">
      <c r="A1879" s="79" t="str">
        <f>IF(COUNTA(B1879:C1879,E1879:G1879,I1879)=0,"","BI-"&amp;RIGHT("0000"&amp;(ROW()-5),4))</f>
        <v/>
      </c>
      <c r="B1879" s="72" t="n"/>
      <c r="C1879" s="66" t="n"/>
      <c r="D1879" s="67" t="str">
        <f>IF(C1879="","",IFERROR(INDEX(eq_des,MATCH(C1879,eq_code,0))&amp;"","Équipement inconnu"))</f>
        <v/>
      </c>
      <c r="E1879" s="68" t="n"/>
      <c r="F1879" s="68" t="n"/>
      <c r="G1879" s="66" t="n"/>
      <c r="H1879" s="66" t="n"/>
      <c r="I1879" s="68" t="n"/>
      <c r="J1879" s="73" t="n"/>
      <c r="K1879" s="71" t="n"/>
      <c r="L1879" s="71" t="n"/>
      <c r="M1879" s="66" t="n"/>
      <c r="N1879" s="80" t="n"/>
      <c r="O1879" s="81" t="str">
        <f>IF(A1879="","",ROUND(V1879*IFERROR(N(INDEX(tech_rate,MATCH(M1879,tech_name,0))),0),2))</f>
        <v/>
      </c>
      <c r="P1879" s="80" t="n"/>
      <c r="Q1879" s="81" t="str">
        <f>IF(A1879="","",ROUND(Y1879+O1879+Z1879,2))</f>
        <v/>
      </c>
      <c r="R1879" s="79" t="str">
        <f>IF(A1879="","",IF(S1879=0,"Date manquante ou invalide",IF(C1879="","Équipement manquant",IF(ISNA(MATCH(C1879,eq_code,0)),"Équipement inconnu",IF(E1879="","Type manquant",IF(AND(E1879&lt;&gt;"Préventif",E1879&lt;&gt;"Correctif",E1879&lt;&gt;"Amélioratif"),"Type inconnu",IF(I1879="","Statut manquant",IF(AND(I1879&lt;&gt;"Terminée",I1879&lt;&gt;"En cours",I1879&lt;&gt;"À faire",I1879&lt;&gt;"Annulée"),"Statut inconnu",IF(AND(E1879="Préventif",F1879=""),"Plan manquant (préventif)",IF(AND(F1879&lt;&gt;"",ISNA(MATCH(F1879,pl_num,0))),"Plan inconnu",IF(AND(F1879&lt;&gt;"",IFERROR(INDEX(pl_eq,MATCH(F1879,pl_num,0))&amp;"",C1879)&lt;&gt;C1879),"Plan d'un autre équipement",IF(AND(J1879&lt;&gt;"",OR(NOT(ISNUMBER(J1879)),N(J1879)&lt;0)),"Compteur invalide",IF(OR(AND(K1879&lt;&gt;"",OR(NOT(ISNUMBER(K1879)),N(K1879)&lt;0)),AND(L1879&lt;&gt;"",OR(NOT(ISNUMBER(L1879)),N(L1879)&lt;0))),"Durée invalide",IF(OR(AND(N1879&lt;&gt;"",OR(NOT(ISNUMBER(N1879)),N(N1879)&lt;0)),AND(P1879&lt;&gt;"",OR(NOT(ISNUMBER(P1879)),N(P1879)&lt;0))),"Coût invalide",IF(AND(M1879&lt;&gt;"",ISNA(MATCH(M1879,tech_name,0))),"Technicien inconnu",IF(AND(I1879="Terminée",S1879&gt;p_today),"Terminée à une date future",IF(AND(I1879="Terminée",V1879=0),"Durée d'intervention manquante",IF(AND(I1879="Terminée",E1879="Préventif",T1879=0,OR(IFERROR(INDEX(pl_trig,MATCH(F1879,pl_num,0))&amp;"","")="Compteur",IFERROR(INDEX(pl_trig,MATCH(F1879,pl_num,0))&amp;"","")="Au premier des deux")),"Compteur manquant (plan au compteur)","OK"))))))))))))))))))</f>
        <v/>
      </c>
      <c r="S1879" s="67">
        <f>IF(AND(ISNUMBER(B1879),N(B1879)&gt;0),INT(B1879),0)</f>
        <v>0.0</v>
      </c>
      <c r="T1879" s="67">
        <f>IF(AND(ISNUMBER(J1879),N(J1879)&gt;=0),N(J1879),0)</f>
        <v>0.0</v>
      </c>
      <c r="U1879" s="67">
        <f>IF(AND(ISNUMBER(K1879),N(K1879)&gt;0),N(K1879),0)</f>
        <v>0.0</v>
      </c>
      <c r="V1879" s="67">
        <f>IF(AND(ISNUMBER(L1879),N(L1879)&gt;0),N(L1879),0)</f>
        <v>0.0</v>
      </c>
      <c r="W1879" s="67">
        <f>IF(AND(I1879="Terminée",S1879&gt;0,C1879&lt;&gt;"",ISNUMBER(MATCH(C1879,eq_code,0))),1,0)</f>
        <v>0.0</v>
      </c>
      <c r="X1879" s="67">
        <f>IF(AND(W1879=1,E1879="Préventif"),1,0)</f>
        <v>0.0</v>
      </c>
      <c r="Y1879" s="67">
        <f>IF(AND(ISNUMBER(N1879),N(N1879)&gt;0),N(N1879),0)</f>
        <v>0.0</v>
      </c>
      <c r="Z1879" s="67">
        <f>IF(AND(ISNUMBER(P1879),N(P1879)&gt;0),N(P1879),0)</f>
        <v>0.0</v>
      </c>
    </row>
    <row r="1880">
      <c r="A1880" s="79" t="str">
        <f>IF(COUNTA(B1880:C1880,E1880:G1880,I1880)=0,"","BI-"&amp;RIGHT("0000"&amp;(ROW()-5),4))</f>
        <v/>
      </c>
      <c r="B1880" s="72" t="n"/>
      <c r="C1880" s="66" t="n"/>
      <c r="D1880" s="67" t="str">
        <f>IF(C1880="","",IFERROR(INDEX(eq_des,MATCH(C1880,eq_code,0))&amp;"","Équipement inconnu"))</f>
        <v/>
      </c>
      <c r="E1880" s="68" t="n"/>
      <c r="F1880" s="68" t="n"/>
      <c r="G1880" s="66" t="n"/>
      <c r="H1880" s="66" t="n"/>
      <c r="I1880" s="68" t="n"/>
      <c r="J1880" s="73" t="n"/>
      <c r="K1880" s="71" t="n"/>
      <c r="L1880" s="71" t="n"/>
      <c r="M1880" s="66" t="n"/>
      <c r="N1880" s="80" t="n"/>
      <c r="O1880" s="81" t="str">
        <f>IF(A1880="","",ROUND(V1880*IFERROR(N(INDEX(tech_rate,MATCH(M1880,tech_name,0))),0),2))</f>
        <v/>
      </c>
      <c r="P1880" s="80" t="n"/>
      <c r="Q1880" s="81" t="str">
        <f>IF(A1880="","",ROUND(Y1880+O1880+Z1880,2))</f>
        <v/>
      </c>
      <c r="R1880" s="79" t="str">
        <f>IF(A1880="","",IF(S1880=0,"Date manquante ou invalide",IF(C1880="","Équipement manquant",IF(ISNA(MATCH(C1880,eq_code,0)),"Équipement inconnu",IF(E1880="","Type manquant",IF(AND(E1880&lt;&gt;"Préventif",E1880&lt;&gt;"Correctif",E1880&lt;&gt;"Amélioratif"),"Type inconnu",IF(I1880="","Statut manquant",IF(AND(I1880&lt;&gt;"Terminée",I1880&lt;&gt;"En cours",I1880&lt;&gt;"À faire",I1880&lt;&gt;"Annulée"),"Statut inconnu",IF(AND(E1880="Préventif",F1880=""),"Plan manquant (préventif)",IF(AND(F1880&lt;&gt;"",ISNA(MATCH(F1880,pl_num,0))),"Plan inconnu",IF(AND(F1880&lt;&gt;"",IFERROR(INDEX(pl_eq,MATCH(F1880,pl_num,0))&amp;"",C1880)&lt;&gt;C1880),"Plan d'un autre équipement",IF(AND(J1880&lt;&gt;"",OR(NOT(ISNUMBER(J1880)),N(J1880)&lt;0)),"Compteur invalide",IF(OR(AND(K1880&lt;&gt;"",OR(NOT(ISNUMBER(K1880)),N(K1880)&lt;0)),AND(L1880&lt;&gt;"",OR(NOT(ISNUMBER(L1880)),N(L1880)&lt;0))),"Durée invalide",IF(OR(AND(N1880&lt;&gt;"",OR(NOT(ISNUMBER(N1880)),N(N1880)&lt;0)),AND(P1880&lt;&gt;"",OR(NOT(ISNUMBER(P1880)),N(P1880)&lt;0))),"Coût invalide",IF(AND(M1880&lt;&gt;"",ISNA(MATCH(M1880,tech_name,0))),"Technicien inconnu",IF(AND(I1880="Terminée",S1880&gt;p_today),"Terminée à une date future",IF(AND(I1880="Terminée",V1880=0),"Durée d'intervention manquante",IF(AND(I1880="Terminée",E1880="Préventif",T1880=0,OR(IFERROR(INDEX(pl_trig,MATCH(F1880,pl_num,0))&amp;"","")="Compteur",IFERROR(INDEX(pl_trig,MATCH(F1880,pl_num,0))&amp;"","")="Au premier des deux")),"Compteur manquant (plan au compteur)","OK"))))))))))))))))))</f>
        <v/>
      </c>
      <c r="S1880" s="67">
        <f>IF(AND(ISNUMBER(B1880),N(B1880)&gt;0),INT(B1880),0)</f>
        <v>0.0</v>
      </c>
      <c r="T1880" s="67">
        <f>IF(AND(ISNUMBER(J1880),N(J1880)&gt;=0),N(J1880),0)</f>
        <v>0.0</v>
      </c>
      <c r="U1880" s="67">
        <f>IF(AND(ISNUMBER(K1880),N(K1880)&gt;0),N(K1880),0)</f>
        <v>0.0</v>
      </c>
      <c r="V1880" s="67">
        <f>IF(AND(ISNUMBER(L1880),N(L1880)&gt;0),N(L1880),0)</f>
        <v>0.0</v>
      </c>
      <c r="W1880" s="67">
        <f>IF(AND(I1880="Terminée",S1880&gt;0,C1880&lt;&gt;"",ISNUMBER(MATCH(C1880,eq_code,0))),1,0)</f>
        <v>0.0</v>
      </c>
      <c r="X1880" s="67">
        <f>IF(AND(W1880=1,E1880="Préventif"),1,0)</f>
        <v>0.0</v>
      </c>
      <c r="Y1880" s="67">
        <f>IF(AND(ISNUMBER(N1880),N(N1880)&gt;0),N(N1880),0)</f>
        <v>0.0</v>
      </c>
      <c r="Z1880" s="67">
        <f>IF(AND(ISNUMBER(P1880),N(P1880)&gt;0),N(P1880),0)</f>
        <v>0.0</v>
      </c>
    </row>
    <row r="1881">
      <c r="A1881" s="79" t="str">
        <f>IF(COUNTA(B1881:C1881,E1881:G1881,I1881)=0,"","BI-"&amp;RIGHT("0000"&amp;(ROW()-5),4))</f>
        <v/>
      </c>
      <c r="B1881" s="72" t="n"/>
      <c r="C1881" s="66" t="n"/>
      <c r="D1881" s="67" t="str">
        <f>IF(C1881="","",IFERROR(INDEX(eq_des,MATCH(C1881,eq_code,0))&amp;"","Équipement inconnu"))</f>
        <v/>
      </c>
      <c r="E1881" s="68" t="n"/>
      <c r="F1881" s="68" t="n"/>
      <c r="G1881" s="66" t="n"/>
      <c r="H1881" s="66" t="n"/>
      <c r="I1881" s="68" t="n"/>
      <c r="J1881" s="73" t="n"/>
      <c r="K1881" s="71" t="n"/>
      <c r="L1881" s="71" t="n"/>
      <c r="M1881" s="66" t="n"/>
      <c r="N1881" s="80" t="n"/>
      <c r="O1881" s="81" t="str">
        <f>IF(A1881="","",ROUND(V1881*IFERROR(N(INDEX(tech_rate,MATCH(M1881,tech_name,0))),0),2))</f>
        <v/>
      </c>
      <c r="P1881" s="80" t="n"/>
      <c r="Q1881" s="81" t="str">
        <f>IF(A1881="","",ROUND(Y1881+O1881+Z1881,2))</f>
        <v/>
      </c>
      <c r="R1881" s="79" t="str">
        <f>IF(A1881="","",IF(S1881=0,"Date manquante ou invalide",IF(C1881="","Équipement manquant",IF(ISNA(MATCH(C1881,eq_code,0)),"Équipement inconnu",IF(E1881="","Type manquant",IF(AND(E1881&lt;&gt;"Préventif",E1881&lt;&gt;"Correctif",E1881&lt;&gt;"Amélioratif"),"Type inconnu",IF(I1881="","Statut manquant",IF(AND(I1881&lt;&gt;"Terminée",I1881&lt;&gt;"En cours",I1881&lt;&gt;"À faire",I1881&lt;&gt;"Annulée"),"Statut inconnu",IF(AND(E1881="Préventif",F1881=""),"Plan manquant (préventif)",IF(AND(F1881&lt;&gt;"",ISNA(MATCH(F1881,pl_num,0))),"Plan inconnu",IF(AND(F1881&lt;&gt;"",IFERROR(INDEX(pl_eq,MATCH(F1881,pl_num,0))&amp;"",C1881)&lt;&gt;C1881),"Plan d'un autre équipement",IF(AND(J1881&lt;&gt;"",OR(NOT(ISNUMBER(J1881)),N(J1881)&lt;0)),"Compteur invalide",IF(OR(AND(K1881&lt;&gt;"",OR(NOT(ISNUMBER(K1881)),N(K1881)&lt;0)),AND(L1881&lt;&gt;"",OR(NOT(ISNUMBER(L1881)),N(L1881)&lt;0))),"Durée invalide",IF(OR(AND(N1881&lt;&gt;"",OR(NOT(ISNUMBER(N1881)),N(N1881)&lt;0)),AND(P1881&lt;&gt;"",OR(NOT(ISNUMBER(P1881)),N(P1881)&lt;0))),"Coût invalide",IF(AND(M1881&lt;&gt;"",ISNA(MATCH(M1881,tech_name,0))),"Technicien inconnu",IF(AND(I1881="Terminée",S1881&gt;p_today),"Terminée à une date future",IF(AND(I1881="Terminée",V1881=0),"Durée d'intervention manquante",IF(AND(I1881="Terminée",E1881="Préventif",T1881=0,OR(IFERROR(INDEX(pl_trig,MATCH(F1881,pl_num,0))&amp;"","")="Compteur",IFERROR(INDEX(pl_trig,MATCH(F1881,pl_num,0))&amp;"","")="Au premier des deux")),"Compteur manquant (plan au compteur)","OK"))))))))))))))))))</f>
        <v/>
      </c>
      <c r="S1881" s="67">
        <f>IF(AND(ISNUMBER(B1881),N(B1881)&gt;0),INT(B1881),0)</f>
        <v>0.0</v>
      </c>
      <c r="T1881" s="67">
        <f>IF(AND(ISNUMBER(J1881),N(J1881)&gt;=0),N(J1881),0)</f>
        <v>0.0</v>
      </c>
      <c r="U1881" s="67">
        <f>IF(AND(ISNUMBER(K1881),N(K1881)&gt;0),N(K1881),0)</f>
        <v>0.0</v>
      </c>
      <c r="V1881" s="67">
        <f>IF(AND(ISNUMBER(L1881),N(L1881)&gt;0),N(L1881),0)</f>
        <v>0.0</v>
      </c>
      <c r="W1881" s="67">
        <f>IF(AND(I1881="Terminée",S1881&gt;0,C1881&lt;&gt;"",ISNUMBER(MATCH(C1881,eq_code,0))),1,0)</f>
        <v>0.0</v>
      </c>
      <c r="X1881" s="67">
        <f>IF(AND(W1881=1,E1881="Préventif"),1,0)</f>
        <v>0.0</v>
      </c>
      <c r="Y1881" s="67">
        <f>IF(AND(ISNUMBER(N1881),N(N1881)&gt;0),N(N1881),0)</f>
        <v>0.0</v>
      </c>
      <c r="Z1881" s="67">
        <f>IF(AND(ISNUMBER(P1881),N(P1881)&gt;0),N(P1881),0)</f>
        <v>0.0</v>
      </c>
    </row>
    <row r="1882">
      <c r="A1882" s="79" t="str">
        <f>IF(COUNTA(B1882:C1882,E1882:G1882,I1882)=0,"","BI-"&amp;RIGHT("0000"&amp;(ROW()-5),4))</f>
        <v/>
      </c>
      <c r="B1882" s="72" t="n"/>
      <c r="C1882" s="66" t="n"/>
      <c r="D1882" s="67" t="str">
        <f>IF(C1882="","",IFERROR(INDEX(eq_des,MATCH(C1882,eq_code,0))&amp;"","Équipement inconnu"))</f>
        <v/>
      </c>
      <c r="E1882" s="68" t="n"/>
      <c r="F1882" s="68" t="n"/>
      <c r="G1882" s="66" t="n"/>
      <c r="H1882" s="66" t="n"/>
      <c r="I1882" s="68" t="n"/>
      <c r="J1882" s="73" t="n"/>
      <c r="K1882" s="71" t="n"/>
      <c r="L1882" s="71" t="n"/>
      <c r="M1882" s="66" t="n"/>
      <c r="N1882" s="80" t="n"/>
      <c r="O1882" s="81" t="str">
        <f>IF(A1882="","",ROUND(V1882*IFERROR(N(INDEX(tech_rate,MATCH(M1882,tech_name,0))),0),2))</f>
        <v/>
      </c>
      <c r="P1882" s="80" t="n"/>
      <c r="Q1882" s="81" t="str">
        <f>IF(A1882="","",ROUND(Y1882+O1882+Z1882,2))</f>
        <v/>
      </c>
      <c r="R1882" s="79" t="str">
        <f>IF(A1882="","",IF(S1882=0,"Date manquante ou invalide",IF(C1882="","Équipement manquant",IF(ISNA(MATCH(C1882,eq_code,0)),"Équipement inconnu",IF(E1882="","Type manquant",IF(AND(E1882&lt;&gt;"Préventif",E1882&lt;&gt;"Correctif",E1882&lt;&gt;"Amélioratif"),"Type inconnu",IF(I1882="","Statut manquant",IF(AND(I1882&lt;&gt;"Terminée",I1882&lt;&gt;"En cours",I1882&lt;&gt;"À faire",I1882&lt;&gt;"Annulée"),"Statut inconnu",IF(AND(E1882="Préventif",F1882=""),"Plan manquant (préventif)",IF(AND(F1882&lt;&gt;"",ISNA(MATCH(F1882,pl_num,0))),"Plan inconnu",IF(AND(F1882&lt;&gt;"",IFERROR(INDEX(pl_eq,MATCH(F1882,pl_num,0))&amp;"",C1882)&lt;&gt;C1882),"Plan d'un autre équipement",IF(AND(J1882&lt;&gt;"",OR(NOT(ISNUMBER(J1882)),N(J1882)&lt;0)),"Compteur invalide",IF(OR(AND(K1882&lt;&gt;"",OR(NOT(ISNUMBER(K1882)),N(K1882)&lt;0)),AND(L1882&lt;&gt;"",OR(NOT(ISNUMBER(L1882)),N(L1882)&lt;0))),"Durée invalide",IF(OR(AND(N1882&lt;&gt;"",OR(NOT(ISNUMBER(N1882)),N(N1882)&lt;0)),AND(P1882&lt;&gt;"",OR(NOT(ISNUMBER(P1882)),N(P1882)&lt;0))),"Coût invalide",IF(AND(M1882&lt;&gt;"",ISNA(MATCH(M1882,tech_name,0))),"Technicien inconnu",IF(AND(I1882="Terminée",S1882&gt;p_today),"Terminée à une date future",IF(AND(I1882="Terminée",V1882=0),"Durée d'intervention manquante",IF(AND(I1882="Terminée",E1882="Préventif",T1882=0,OR(IFERROR(INDEX(pl_trig,MATCH(F1882,pl_num,0))&amp;"","")="Compteur",IFERROR(INDEX(pl_trig,MATCH(F1882,pl_num,0))&amp;"","")="Au premier des deux")),"Compteur manquant (plan au compteur)","OK"))))))))))))))))))</f>
        <v/>
      </c>
      <c r="S1882" s="67">
        <f>IF(AND(ISNUMBER(B1882),N(B1882)&gt;0),INT(B1882),0)</f>
        <v>0.0</v>
      </c>
      <c r="T1882" s="67">
        <f>IF(AND(ISNUMBER(J1882),N(J1882)&gt;=0),N(J1882),0)</f>
        <v>0.0</v>
      </c>
      <c r="U1882" s="67">
        <f>IF(AND(ISNUMBER(K1882),N(K1882)&gt;0),N(K1882),0)</f>
        <v>0.0</v>
      </c>
      <c r="V1882" s="67">
        <f>IF(AND(ISNUMBER(L1882),N(L1882)&gt;0),N(L1882),0)</f>
        <v>0.0</v>
      </c>
      <c r="W1882" s="67">
        <f>IF(AND(I1882="Terminée",S1882&gt;0,C1882&lt;&gt;"",ISNUMBER(MATCH(C1882,eq_code,0))),1,0)</f>
        <v>0.0</v>
      </c>
      <c r="X1882" s="67">
        <f>IF(AND(W1882=1,E1882="Préventif"),1,0)</f>
        <v>0.0</v>
      </c>
      <c r="Y1882" s="67">
        <f>IF(AND(ISNUMBER(N1882),N(N1882)&gt;0),N(N1882),0)</f>
        <v>0.0</v>
      </c>
      <c r="Z1882" s="67">
        <f>IF(AND(ISNUMBER(P1882),N(P1882)&gt;0),N(P1882),0)</f>
        <v>0.0</v>
      </c>
    </row>
    <row r="1883">
      <c r="A1883" s="79" t="str">
        <f>IF(COUNTA(B1883:C1883,E1883:G1883,I1883)=0,"","BI-"&amp;RIGHT("0000"&amp;(ROW()-5),4))</f>
        <v/>
      </c>
      <c r="B1883" s="72" t="n"/>
      <c r="C1883" s="66" t="n"/>
      <c r="D1883" s="67" t="str">
        <f>IF(C1883="","",IFERROR(INDEX(eq_des,MATCH(C1883,eq_code,0))&amp;"","Équipement inconnu"))</f>
        <v/>
      </c>
      <c r="E1883" s="68" t="n"/>
      <c r="F1883" s="68" t="n"/>
      <c r="G1883" s="66" t="n"/>
      <c r="H1883" s="66" t="n"/>
      <c r="I1883" s="68" t="n"/>
      <c r="J1883" s="73" t="n"/>
      <c r="K1883" s="71" t="n"/>
      <c r="L1883" s="71" t="n"/>
      <c r="M1883" s="66" t="n"/>
      <c r="N1883" s="80" t="n"/>
      <c r="O1883" s="81" t="str">
        <f>IF(A1883="","",ROUND(V1883*IFERROR(N(INDEX(tech_rate,MATCH(M1883,tech_name,0))),0),2))</f>
        <v/>
      </c>
      <c r="P1883" s="80" t="n"/>
      <c r="Q1883" s="81" t="str">
        <f>IF(A1883="","",ROUND(Y1883+O1883+Z1883,2))</f>
        <v/>
      </c>
      <c r="R1883" s="79" t="str">
        <f>IF(A1883="","",IF(S1883=0,"Date manquante ou invalide",IF(C1883="","Équipement manquant",IF(ISNA(MATCH(C1883,eq_code,0)),"Équipement inconnu",IF(E1883="","Type manquant",IF(AND(E1883&lt;&gt;"Préventif",E1883&lt;&gt;"Correctif",E1883&lt;&gt;"Amélioratif"),"Type inconnu",IF(I1883="","Statut manquant",IF(AND(I1883&lt;&gt;"Terminée",I1883&lt;&gt;"En cours",I1883&lt;&gt;"À faire",I1883&lt;&gt;"Annulée"),"Statut inconnu",IF(AND(E1883="Préventif",F1883=""),"Plan manquant (préventif)",IF(AND(F1883&lt;&gt;"",ISNA(MATCH(F1883,pl_num,0))),"Plan inconnu",IF(AND(F1883&lt;&gt;"",IFERROR(INDEX(pl_eq,MATCH(F1883,pl_num,0))&amp;"",C1883)&lt;&gt;C1883),"Plan d'un autre équipement",IF(AND(J1883&lt;&gt;"",OR(NOT(ISNUMBER(J1883)),N(J1883)&lt;0)),"Compteur invalide",IF(OR(AND(K1883&lt;&gt;"",OR(NOT(ISNUMBER(K1883)),N(K1883)&lt;0)),AND(L1883&lt;&gt;"",OR(NOT(ISNUMBER(L1883)),N(L1883)&lt;0))),"Durée invalide",IF(OR(AND(N1883&lt;&gt;"",OR(NOT(ISNUMBER(N1883)),N(N1883)&lt;0)),AND(P1883&lt;&gt;"",OR(NOT(ISNUMBER(P1883)),N(P1883)&lt;0))),"Coût invalide",IF(AND(M1883&lt;&gt;"",ISNA(MATCH(M1883,tech_name,0))),"Technicien inconnu",IF(AND(I1883="Terminée",S1883&gt;p_today),"Terminée à une date future",IF(AND(I1883="Terminée",V1883=0),"Durée d'intervention manquante",IF(AND(I1883="Terminée",E1883="Préventif",T1883=0,OR(IFERROR(INDEX(pl_trig,MATCH(F1883,pl_num,0))&amp;"","")="Compteur",IFERROR(INDEX(pl_trig,MATCH(F1883,pl_num,0))&amp;"","")="Au premier des deux")),"Compteur manquant (plan au compteur)","OK"))))))))))))))))))</f>
        <v/>
      </c>
      <c r="S1883" s="67">
        <f>IF(AND(ISNUMBER(B1883),N(B1883)&gt;0),INT(B1883),0)</f>
        <v>0.0</v>
      </c>
      <c r="T1883" s="67">
        <f>IF(AND(ISNUMBER(J1883),N(J1883)&gt;=0),N(J1883),0)</f>
        <v>0.0</v>
      </c>
      <c r="U1883" s="67">
        <f>IF(AND(ISNUMBER(K1883),N(K1883)&gt;0),N(K1883),0)</f>
        <v>0.0</v>
      </c>
      <c r="V1883" s="67">
        <f>IF(AND(ISNUMBER(L1883),N(L1883)&gt;0),N(L1883),0)</f>
        <v>0.0</v>
      </c>
      <c r="W1883" s="67">
        <f>IF(AND(I1883="Terminée",S1883&gt;0,C1883&lt;&gt;"",ISNUMBER(MATCH(C1883,eq_code,0))),1,0)</f>
        <v>0.0</v>
      </c>
      <c r="X1883" s="67">
        <f>IF(AND(W1883=1,E1883="Préventif"),1,0)</f>
        <v>0.0</v>
      </c>
      <c r="Y1883" s="67">
        <f>IF(AND(ISNUMBER(N1883),N(N1883)&gt;0),N(N1883),0)</f>
        <v>0.0</v>
      </c>
      <c r="Z1883" s="67">
        <f>IF(AND(ISNUMBER(P1883),N(P1883)&gt;0),N(P1883),0)</f>
        <v>0.0</v>
      </c>
    </row>
    <row r="1884">
      <c r="A1884" s="79" t="str">
        <f>IF(COUNTA(B1884:C1884,E1884:G1884,I1884)=0,"","BI-"&amp;RIGHT("0000"&amp;(ROW()-5),4))</f>
        <v/>
      </c>
      <c r="B1884" s="72" t="n"/>
      <c r="C1884" s="66" t="n"/>
      <c r="D1884" s="67" t="str">
        <f>IF(C1884="","",IFERROR(INDEX(eq_des,MATCH(C1884,eq_code,0))&amp;"","Équipement inconnu"))</f>
        <v/>
      </c>
      <c r="E1884" s="68" t="n"/>
      <c r="F1884" s="68" t="n"/>
      <c r="G1884" s="66" t="n"/>
      <c r="H1884" s="66" t="n"/>
      <c r="I1884" s="68" t="n"/>
      <c r="J1884" s="73" t="n"/>
      <c r="K1884" s="71" t="n"/>
      <c r="L1884" s="71" t="n"/>
      <c r="M1884" s="66" t="n"/>
      <c r="N1884" s="80" t="n"/>
      <c r="O1884" s="81" t="str">
        <f>IF(A1884="","",ROUND(V1884*IFERROR(N(INDEX(tech_rate,MATCH(M1884,tech_name,0))),0),2))</f>
        <v/>
      </c>
      <c r="P1884" s="80" t="n"/>
      <c r="Q1884" s="81" t="str">
        <f>IF(A1884="","",ROUND(Y1884+O1884+Z1884,2))</f>
        <v/>
      </c>
      <c r="R1884" s="79" t="str">
        <f>IF(A1884="","",IF(S1884=0,"Date manquante ou invalide",IF(C1884="","Équipement manquant",IF(ISNA(MATCH(C1884,eq_code,0)),"Équipement inconnu",IF(E1884="","Type manquant",IF(AND(E1884&lt;&gt;"Préventif",E1884&lt;&gt;"Correctif",E1884&lt;&gt;"Amélioratif"),"Type inconnu",IF(I1884="","Statut manquant",IF(AND(I1884&lt;&gt;"Terminée",I1884&lt;&gt;"En cours",I1884&lt;&gt;"À faire",I1884&lt;&gt;"Annulée"),"Statut inconnu",IF(AND(E1884="Préventif",F1884=""),"Plan manquant (préventif)",IF(AND(F1884&lt;&gt;"",ISNA(MATCH(F1884,pl_num,0))),"Plan inconnu",IF(AND(F1884&lt;&gt;"",IFERROR(INDEX(pl_eq,MATCH(F1884,pl_num,0))&amp;"",C1884)&lt;&gt;C1884),"Plan d'un autre équipement",IF(AND(J1884&lt;&gt;"",OR(NOT(ISNUMBER(J1884)),N(J1884)&lt;0)),"Compteur invalide",IF(OR(AND(K1884&lt;&gt;"",OR(NOT(ISNUMBER(K1884)),N(K1884)&lt;0)),AND(L1884&lt;&gt;"",OR(NOT(ISNUMBER(L1884)),N(L1884)&lt;0))),"Durée invalide",IF(OR(AND(N1884&lt;&gt;"",OR(NOT(ISNUMBER(N1884)),N(N1884)&lt;0)),AND(P1884&lt;&gt;"",OR(NOT(ISNUMBER(P1884)),N(P1884)&lt;0))),"Coût invalide",IF(AND(M1884&lt;&gt;"",ISNA(MATCH(M1884,tech_name,0))),"Technicien inconnu",IF(AND(I1884="Terminée",S1884&gt;p_today),"Terminée à une date future",IF(AND(I1884="Terminée",V1884=0),"Durée d'intervention manquante",IF(AND(I1884="Terminée",E1884="Préventif",T1884=0,OR(IFERROR(INDEX(pl_trig,MATCH(F1884,pl_num,0))&amp;"","")="Compteur",IFERROR(INDEX(pl_trig,MATCH(F1884,pl_num,0))&amp;"","")="Au premier des deux")),"Compteur manquant (plan au compteur)","OK"))))))))))))))))))</f>
        <v/>
      </c>
      <c r="S1884" s="67">
        <f>IF(AND(ISNUMBER(B1884),N(B1884)&gt;0),INT(B1884),0)</f>
        <v>0.0</v>
      </c>
      <c r="T1884" s="67">
        <f>IF(AND(ISNUMBER(J1884),N(J1884)&gt;=0),N(J1884),0)</f>
        <v>0.0</v>
      </c>
      <c r="U1884" s="67">
        <f>IF(AND(ISNUMBER(K1884),N(K1884)&gt;0),N(K1884),0)</f>
        <v>0.0</v>
      </c>
      <c r="V1884" s="67">
        <f>IF(AND(ISNUMBER(L1884),N(L1884)&gt;0),N(L1884),0)</f>
        <v>0.0</v>
      </c>
      <c r="W1884" s="67">
        <f>IF(AND(I1884="Terminée",S1884&gt;0,C1884&lt;&gt;"",ISNUMBER(MATCH(C1884,eq_code,0))),1,0)</f>
        <v>0.0</v>
      </c>
      <c r="X1884" s="67">
        <f>IF(AND(W1884=1,E1884="Préventif"),1,0)</f>
        <v>0.0</v>
      </c>
      <c r="Y1884" s="67">
        <f>IF(AND(ISNUMBER(N1884),N(N1884)&gt;0),N(N1884),0)</f>
        <v>0.0</v>
      </c>
      <c r="Z1884" s="67">
        <f>IF(AND(ISNUMBER(P1884),N(P1884)&gt;0),N(P1884),0)</f>
        <v>0.0</v>
      </c>
    </row>
    <row r="1885">
      <c r="A1885" s="79" t="str">
        <f>IF(COUNTA(B1885:C1885,E1885:G1885,I1885)=0,"","BI-"&amp;RIGHT("0000"&amp;(ROW()-5),4))</f>
        <v/>
      </c>
      <c r="B1885" s="72" t="n"/>
      <c r="C1885" s="66" t="n"/>
      <c r="D1885" s="67" t="str">
        <f>IF(C1885="","",IFERROR(INDEX(eq_des,MATCH(C1885,eq_code,0))&amp;"","Équipement inconnu"))</f>
        <v/>
      </c>
      <c r="E1885" s="68" t="n"/>
      <c r="F1885" s="68" t="n"/>
      <c r="G1885" s="66" t="n"/>
      <c r="H1885" s="66" t="n"/>
      <c r="I1885" s="68" t="n"/>
      <c r="J1885" s="73" t="n"/>
      <c r="K1885" s="71" t="n"/>
      <c r="L1885" s="71" t="n"/>
      <c r="M1885" s="66" t="n"/>
      <c r="N1885" s="80" t="n"/>
      <c r="O1885" s="81" t="str">
        <f>IF(A1885="","",ROUND(V1885*IFERROR(N(INDEX(tech_rate,MATCH(M1885,tech_name,0))),0),2))</f>
        <v/>
      </c>
      <c r="P1885" s="80" t="n"/>
      <c r="Q1885" s="81" t="str">
        <f>IF(A1885="","",ROUND(Y1885+O1885+Z1885,2))</f>
        <v/>
      </c>
      <c r="R1885" s="79" t="str">
        <f>IF(A1885="","",IF(S1885=0,"Date manquante ou invalide",IF(C1885="","Équipement manquant",IF(ISNA(MATCH(C1885,eq_code,0)),"Équipement inconnu",IF(E1885="","Type manquant",IF(AND(E1885&lt;&gt;"Préventif",E1885&lt;&gt;"Correctif",E1885&lt;&gt;"Amélioratif"),"Type inconnu",IF(I1885="","Statut manquant",IF(AND(I1885&lt;&gt;"Terminée",I1885&lt;&gt;"En cours",I1885&lt;&gt;"À faire",I1885&lt;&gt;"Annulée"),"Statut inconnu",IF(AND(E1885="Préventif",F1885=""),"Plan manquant (préventif)",IF(AND(F1885&lt;&gt;"",ISNA(MATCH(F1885,pl_num,0))),"Plan inconnu",IF(AND(F1885&lt;&gt;"",IFERROR(INDEX(pl_eq,MATCH(F1885,pl_num,0))&amp;"",C1885)&lt;&gt;C1885),"Plan d'un autre équipement",IF(AND(J1885&lt;&gt;"",OR(NOT(ISNUMBER(J1885)),N(J1885)&lt;0)),"Compteur invalide",IF(OR(AND(K1885&lt;&gt;"",OR(NOT(ISNUMBER(K1885)),N(K1885)&lt;0)),AND(L1885&lt;&gt;"",OR(NOT(ISNUMBER(L1885)),N(L1885)&lt;0))),"Durée invalide",IF(OR(AND(N1885&lt;&gt;"",OR(NOT(ISNUMBER(N1885)),N(N1885)&lt;0)),AND(P1885&lt;&gt;"",OR(NOT(ISNUMBER(P1885)),N(P1885)&lt;0))),"Coût invalide",IF(AND(M1885&lt;&gt;"",ISNA(MATCH(M1885,tech_name,0))),"Technicien inconnu",IF(AND(I1885="Terminée",S1885&gt;p_today),"Terminée à une date future",IF(AND(I1885="Terminée",V1885=0),"Durée d'intervention manquante",IF(AND(I1885="Terminée",E1885="Préventif",T1885=0,OR(IFERROR(INDEX(pl_trig,MATCH(F1885,pl_num,0))&amp;"","")="Compteur",IFERROR(INDEX(pl_trig,MATCH(F1885,pl_num,0))&amp;"","")="Au premier des deux")),"Compteur manquant (plan au compteur)","OK"))))))))))))))))))</f>
        <v/>
      </c>
      <c r="S1885" s="67">
        <f>IF(AND(ISNUMBER(B1885),N(B1885)&gt;0),INT(B1885),0)</f>
        <v>0.0</v>
      </c>
      <c r="T1885" s="67">
        <f>IF(AND(ISNUMBER(J1885),N(J1885)&gt;=0),N(J1885),0)</f>
        <v>0.0</v>
      </c>
      <c r="U1885" s="67">
        <f>IF(AND(ISNUMBER(K1885),N(K1885)&gt;0),N(K1885),0)</f>
        <v>0.0</v>
      </c>
      <c r="V1885" s="67">
        <f>IF(AND(ISNUMBER(L1885),N(L1885)&gt;0),N(L1885),0)</f>
        <v>0.0</v>
      </c>
      <c r="W1885" s="67">
        <f>IF(AND(I1885="Terminée",S1885&gt;0,C1885&lt;&gt;"",ISNUMBER(MATCH(C1885,eq_code,0))),1,0)</f>
        <v>0.0</v>
      </c>
      <c r="X1885" s="67">
        <f>IF(AND(W1885=1,E1885="Préventif"),1,0)</f>
        <v>0.0</v>
      </c>
      <c r="Y1885" s="67">
        <f>IF(AND(ISNUMBER(N1885),N(N1885)&gt;0),N(N1885),0)</f>
        <v>0.0</v>
      </c>
      <c r="Z1885" s="67">
        <f>IF(AND(ISNUMBER(P1885),N(P1885)&gt;0),N(P1885),0)</f>
        <v>0.0</v>
      </c>
    </row>
    <row r="1886">
      <c r="A1886" s="79" t="str">
        <f>IF(COUNTA(B1886:C1886,E1886:G1886,I1886)=0,"","BI-"&amp;RIGHT("0000"&amp;(ROW()-5),4))</f>
        <v/>
      </c>
      <c r="B1886" s="72" t="n"/>
      <c r="C1886" s="66" t="n"/>
      <c r="D1886" s="67" t="str">
        <f>IF(C1886="","",IFERROR(INDEX(eq_des,MATCH(C1886,eq_code,0))&amp;"","Équipement inconnu"))</f>
        <v/>
      </c>
      <c r="E1886" s="68" t="n"/>
      <c r="F1886" s="68" t="n"/>
      <c r="G1886" s="66" t="n"/>
      <c r="H1886" s="66" t="n"/>
      <c r="I1886" s="68" t="n"/>
      <c r="J1886" s="73" t="n"/>
      <c r="K1886" s="71" t="n"/>
      <c r="L1886" s="71" t="n"/>
      <c r="M1886" s="66" t="n"/>
      <c r="N1886" s="80" t="n"/>
      <c r="O1886" s="81" t="str">
        <f>IF(A1886="","",ROUND(V1886*IFERROR(N(INDEX(tech_rate,MATCH(M1886,tech_name,0))),0),2))</f>
        <v/>
      </c>
      <c r="P1886" s="80" t="n"/>
      <c r="Q1886" s="81" t="str">
        <f>IF(A1886="","",ROUND(Y1886+O1886+Z1886,2))</f>
        <v/>
      </c>
      <c r="R1886" s="79" t="str">
        <f>IF(A1886="","",IF(S1886=0,"Date manquante ou invalide",IF(C1886="","Équipement manquant",IF(ISNA(MATCH(C1886,eq_code,0)),"Équipement inconnu",IF(E1886="","Type manquant",IF(AND(E1886&lt;&gt;"Préventif",E1886&lt;&gt;"Correctif",E1886&lt;&gt;"Amélioratif"),"Type inconnu",IF(I1886="","Statut manquant",IF(AND(I1886&lt;&gt;"Terminée",I1886&lt;&gt;"En cours",I1886&lt;&gt;"À faire",I1886&lt;&gt;"Annulée"),"Statut inconnu",IF(AND(E1886="Préventif",F1886=""),"Plan manquant (préventif)",IF(AND(F1886&lt;&gt;"",ISNA(MATCH(F1886,pl_num,0))),"Plan inconnu",IF(AND(F1886&lt;&gt;"",IFERROR(INDEX(pl_eq,MATCH(F1886,pl_num,0))&amp;"",C1886)&lt;&gt;C1886),"Plan d'un autre équipement",IF(AND(J1886&lt;&gt;"",OR(NOT(ISNUMBER(J1886)),N(J1886)&lt;0)),"Compteur invalide",IF(OR(AND(K1886&lt;&gt;"",OR(NOT(ISNUMBER(K1886)),N(K1886)&lt;0)),AND(L1886&lt;&gt;"",OR(NOT(ISNUMBER(L1886)),N(L1886)&lt;0))),"Durée invalide",IF(OR(AND(N1886&lt;&gt;"",OR(NOT(ISNUMBER(N1886)),N(N1886)&lt;0)),AND(P1886&lt;&gt;"",OR(NOT(ISNUMBER(P1886)),N(P1886)&lt;0))),"Coût invalide",IF(AND(M1886&lt;&gt;"",ISNA(MATCH(M1886,tech_name,0))),"Technicien inconnu",IF(AND(I1886="Terminée",S1886&gt;p_today),"Terminée à une date future",IF(AND(I1886="Terminée",V1886=0),"Durée d'intervention manquante",IF(AND(I1886="Terminée",E1886="Préventif",T1886=0,OR(IFERROR(INDEX(pl_trig,MATCH(F1886,pl_num,0))&amp;"","")="Compteur",IFERROR(INDEX(pl_trig,MATCH(F1886,pl_num,0))&amp;"","")="Au premier des deux")),"Compteur manquant (plan au compteur)","OK"))))))))))))))))))</f>
        <v/>
      </c>
      <c r="S1886" s="67">
        <f>IF(AND(ISNUMBER(B1886),N(B1886)&gt;0),INT(B1886),0)</f>
        <v>0.0</v>
      </c>
      <c r="T1886" s="67">
        <f>IF(AND(ISNUMBER(J1886),N(J1886)&gt;=0),N(J1886),0)</f>
        <v>0.0</v>
      </c>
      <c r="U1886" s="67">
        <f>IF(AND(ISNUMBER(K1886),N(K1886)&gt;0),N(K1886),0)</f>
        <v>0.0</v>
      </c>
      <c r="V1886" s="67">
        <f>IF(AND(ISNUMBER(L1886),N(L1886)&gt;0),N(L1886),0)</f>
        <v>0.0</v>
      </c>
      <c r="W1886" s="67">
        <f>IF(AND(I1886="Terminée",S1886&gt;0,C1886&lt;&gt;"",ISNUMBER(MATCH(C1886,eq_code,0))),1,0)</f>
        <v>0.0</v>
      </c>
      <c r="X1886" s="67">
        <f>IF(AND(W1886=1,E1886="Préventif"),1,0)</f>
        <v>0.0</v>
      </c>
      <c r="Y1886" s="67">
        <f>IF(AND(ISNUMBER(N1886),N(N1886)&gt;0),N(N1886),0)</f>
        <v>0.0</v>
      </c>
      <c r="Z1886" s="67">
        <f>IF(AND(ISNUMBER(P1886),N(P1886)&gt;0),N(P1886),0)</f>
        <v>0.0</v>
      </c>
    </row>
    <row r="1887">
      <c r="A1887" s="79" t="str">
        <f>IF(COUNTA(B1887:C1887,E1887:G1887,I1887)=0,"","BI-"&amp;RIGHT("0000"&amp;(ROW()-5),4))</f>
        <v/>
      </c>
      <c r="B1887" s="72" t="n"/>
      <c r="C1887" s="66" t="n"/>
      <c r="D1887" s="67" t="str">
        <f>IF(C1887="","",IFERROR(INDEX(eq_des,MATCH(C1887,eq_code,0))&amp;"","Équipement inconnu"))</f>
        <v/>
      </c>
      <c r="E1887" s="68" t="n"/>
      <c r="F1887" s="68" t="n"/>
      <c r="G1887" s="66" t="n"/>
      <c r="H1887" s="66" t="n"/>
      <c r="I1887" s="68" t="n"/>
      <c r="J1887" s="73" t="n"/>
      <c r="K1887" s="71" t="n"/>
      <c r="L1887" s="71" t="n"/>
      <c r="M1887" s="66" t="n"/>
      <c r="N1887" s="80" t="n"/>
      <c r="O1887" s="81" t="str">
        <f>IF(A1887="","",ROUND(V1887*IFERROR(N(INDEX(tech_rate,MATCH(M1887,tech_name,0))),0),2))</f>
        <v/>
      </c>
      <c r="P1887" s="80" t="n"/>
      <c r="Q1887" s="81" t="str">
        <f>IF(A1887="","",ROUND(Y1887+O1887+Z1887,2))</f>
        <v/>
      </c>
      <c r="R1887" s="79" t="str">
        <f>IF(A1887="","",IF(S1887=0,"Date manquante ou invalide",IF(C1887="","Équipement manquant",IF(ISNA(MATCH(C1887,eq_code,0)),"Équipement inconnu",IF(E1887="","Type manquant",IF(AND(E1887&lt;&gt;"Préventif",E1887&lt;&gt;"Correctif",E1887&lt;&gt;"Amélioratif"),"Type inconnu",IF(I1887="","Statut manquant",IF(AND(I1887&lt;&gt;"Terminée",I1887&lt;&gt;"En cours",I1887&lt;&gt;"À faire",I1887&lt;&gt;"Annulée"),"Statut inconnu",IF(AND(E1887="Préventif",F1887=""),"Plan manquant (préventif)",IF(AND(F1887&lt;&gt;"",ISNA(MATCH(F1887,pl_num,0))),"Plan inconnu",IF(AND(F1887&lt;&gt;"",IFERROR(INDEX(pl_eq,MATCH(F1887,pl_num,0))&amp;"",C1887)&lt;&gt;C1887),"Plan d'un autre équipement",IF(AND(J1887&lt;&gt;"",OR(NOT(ISNUMBER(J1887)),N(J1887)&lt;0)),"Compteur invalide",IF(OR(AND(K1887&lt;&gt;"",OR(NOT(ISNUMBER(K1887)),N(K1887)&lt;0)),AND(L1887&lt;&gt;"",OR(NOT(ISNUMBER(L1887)),N(L1887)&lt;0))),"Durée invalide",IF(OR(AND(N1887&lt;&gt;"",OR(NOT(ISNUMBER(N1887)),N(N1887)&lt;0)),AND(P1887&lt;&gt;"",OR(NOT(ISNUMBER(P1887)),N(P1887)&lt;0))),"Coût invalide",IF(AND(M1887&lt;&gt;"",ISNA(MATCH(M1887,tech_name,0))),"Technicien inconnu",IF(AND(I1887="Terminée",S1887&gt;p_today),"Terminée à une date future",IF(AND(I1887="Terminée",V1887=0),"Durée d'intervention manquante",IF(AND(I1887="Terminée",E1887="Préventif",T1887=0,OR(IFERROR(INDEX(pl_trig,MATCH(F1887,pl_num,0))&amp;"","")="Compteur",IFERROR(INDEX(pl_trig,MATCH(F1887,pl_num,0))&amp;"","")="Au premier des deux")),"Compteur manquant (plan au compteur)","OK"))))))))))))))))))</f>
        <v/>
      </c>
      <c r="S1887" s="67">
        <f>IF(AND(ISNUMBER(B1887),N(B1887)&gt;0),INT(B1887),0)</f>
        <v>0.0</v>
      </c>
      <c r="T1887" s="67">
        <f>IF(AND(ISNUMBER(J1887),N(J1887)&gt;=0),N(J1887),0)</f>
        <v>0.0</v>
      </c>
      <c r="U1887" s="67">
        <f>IF(AND(ISNUMBER(K1887),N(K1887)&gt;0),N(K1887),0)</f>
        <v>0.0</v>
      </c>
      <c r="V1887" s="67">
        <f>IF(AND(ISNUMBER(L1887),N(L1887)&gt;0),N(L1887),0)</f>
        <v>0.0</v>
      </c>
      <c r="W1887" s="67">
        <f>IF(AND(I1887="Terminée",S1887&gt;0,C1887&lt;&gt;"",ISNUMBER(MATCH(C1887,eq_code,0))),1,0)</f>
        <v>0.0</v>
      </c>
      <c r="X1887" s="67">
        <f>IF(AND(W1887=1,E1887="Préventif"),1,0)</f>
        <v>0.0</v>
      </c>
      <c r="Y1887" s="67">
        <f>IF(AND(ISNUMBER(N1887),N(N1887)&gt;0),N(N1887),0)</f>
        <v>0.0</v>
      </c>
      <c r="Z1887" s="67">
        <f>IF(AND(ISNUMBER(P1887),N(P1887)&gt;0),N(P1887),0)</f>
        <v>0.0</v>
      </c>
    </row>
    <row r="1888">
      <c r="A1888" s="79" t="str">
        <f>IF(COUNTA(B1888:C1888,E1888:G1888,I1888)=0,"","BI-"&amp;RIGHT("0000"&amp;(ROW()-5),4))</f>
        <v/>
      </c>
      <c r="B1888" s="72" t="n"/>
      <c r="C1888" s="66" t="n"/>
      <c r="D1888" s="67" t="str">
        <f>IF(C1888="","",IFERROR(INDEX(eq_des,MATCH(C1888,eq_code,0))&amp;"","Équipement inconnu"))</f>
        <v/>
      </c>
      <c r="E1888" s="68" t="n"/>
      <c r="F1888" s="68" t="n"/>
      <c r="G1888" s="66" t="n"/>
      <c r="H1888" s="66" t="n"/>
      <c r="I1888" s="68" t="n"/>
      <c r="J1888" s="73" t="n"/>
      <c r="K1888" s="71" t="n"/>
      <c r="L1888" s="71" t="n"/>
      <c r="M1888" s="66" t="n"/>
      <c r="N1888" s="80" t="n"/>
      <c r="O1888" s="81" t="str">
        <f>IF(A1888="","",ROUND(V1888*IFERROR(N(INDEX(tech_rate,MATCH(M1888,tech_name,0))),0),2))</f>
        <v/>
      </c>
      <c r="P1888" s="80" t="n"/>
      <c r="Q1888" s="81" t="str">
        <f>IF(A1888="","",ROUND(Y1888+O1888+Z1888,2))</f>
        <v/>
      </c>
      <c r="R1888" s="79" t="str">
        <f>IF(A1888="","",IF(S1888=0,"Date manquante ou invalide",IF(C1888="","Équipement manquant",IF(ISNA(MATCH(C1888,eq_code,0)),"Équipement inconnu",IF(E1888="","Type manquant",IF(AND(E1888&lt;&gt;"Préventif",E1888&lt;&gt;"Correctif",E1888&lt;&gt;"Amélioratif"),"Type inconnu",IF(I1888="","Statut manquant",IF(AND(I1888&lt;&gt;"Terminée",I1888&lt;&gt;"En cours",I1888&lt;&gt;"À faire",I1888&lt;&gt;"Annulée"),"Statut inconnu",IF(AND(E1888="Préventif",F1888=""),"Plan manquant (préventif)",IF(AND(F1888&lt;&gt;"",ISNA(MATCH(F1888,pl_num,0))),"Plan inconnu",IF(AND(F1888&lt;&gt;"",IFERROR(INDEX(pl_eq,MATCH(F1888,pl_num,0))&amp;"",C1888)&lt;&gt;C1888),"Plan d'un autre équipement",IF(AND(J1888&lt;&gt;"",OR(NOT(ISNUMBER(J1888)),N(J1888)&lt;0)),"Compteur invalide",IF(OR(AND(K1888&lt;&gt;"",OR(NOT(ISNUMBER(K1888)),N(K1888)&lt;0)),AND(L1888&lt;&gt;"",OR(NOT(ISNUMBER(L1888)),N(L1888)&lt;0))),"Durée invalide",IF(OR(AND(N1888&lt;&gt;"",OR(NOT(ISNUMBER(N1888)),N(N1888)&lt;0)),AND(P1888&lt;&gt;"",OR(NOT(ISNUMBER(P1888)),N(P1888)&lt;0))),"Coût invalide",IF(AND(M1888&lt;&gt;"",ISNA(MATCH(M1888,tech_name,0))),"Technicien inconnu",IF(AND(I1888="Terminée",S1888&gt;p_today),"Terminée à une date future",IF(AND(I1888="Terminée",V1888=0),"Durée d'intervention manquante",IF(AND(I1888="Terminée",E1888="Préventif",T1888=0,OR(IFERROR(INDEX(pl_trig,MATCH(F1888,pl_num,0))&amp;"","")="Compteur",IFERROR(INDEX(pl_trig,MATCH(F1888,pl_num,0))&amp;"","")="Au premier des deux")),"Compteur manquant (plan au compteur)","OK"))))))))))))))))))</f>
        <v/>
      </c>
      <c r="S1888" s="67">
        <f>IF(AND(ISNUMBER(B1888),N(B1888)&gt;0),INT(B1888),0)</f>
        <v>0.0</v>
      </c>
      <c r="T1888" s="67">
        <f>IF(AND(ISNUMBER(J1888),N(J1888)&gt;=0),N(J1888),0)</f>
        <v>0.0</v>
      </c>
      <c r="U1888" s="67">
        <f>IF(AND(ISNUMBER(K1888),N(K1888)&gt;0),N(K1888),0)</f>
        <v>0.0</v>
      </c>
      <c r="V1888" s="67">
        <f>IF(AND(ISNUMBER(L1888),N(L1888)&gt;0),N(L1888),0)</f>
        <v>0.0</v>
      </c>
      <c r="W1888" s="67">
        <f>IF(AND(I1888="Terminée",S1888&gt;0,C1888&lt;&gt;"",ISNUMBER(MATCH(C1888,eq_code,0))),1,0)</f>
        <v>0.0</v>
      </c>
      <c r="X1888" s="67">
        <f>IF(AND(W1888=1,E1888="Préventif"),1,0)</f>
        <v>0.0</v>
      </c>
      <c r="Y1888" s="67">
        <f>IF(AND(ISNUMBER(N1888),N(N1888)&gt;0),N(N1888),0)</f>
        <v>0.0</v>
      </c>
      <c r="Z1888" s="67">
        <f>IF(AND(ISNUMBER(P1888),N(P1888)&gt;0),N(P1888),0)</f>
        <v>0.0</v>
      </c>
    </row>
    <row r="1889">
      <c r="A1889" s="79" t="str">
        <f>IF(COUNTA(B1889:C1889,E1889:G1889,I1889)=0,"","BI-"&amp;RIGHT("0000"&amp;(ROW()-5),4))</f>
        <v/>
      </c>
      <c r="B1889" s="72" t="n"/>
      <c r="C1889" s="66" t="n"/>
      <c r="D1889" s="67" t="str">
        <f>IF(C1889="","",IFERROR(INDEX(eq_des,MATCH(C1889,eq_code,0))&amp;"","Équipement inconnu"))</f>
        <v/>
      </c>
      <c r="E1889" s="68" t="n"/>
      <c r="F1889" s="68" t="n"/>
      <c r="G1889" s="66" t="n"/>
      <c r="H1889" s="66" t="n"/>
      <c r="I1889" s="68" t="n"/>
      <c r="J1889" s="73" t="n"/>
      <c r="K1889" s="71" t="n"/>
      <c r="L1889" s="71" t="n"/>
      <c r="M1889" s="66" t="n"/>
      <c r="N1889" s="80" t="n"/>
      <c r="O1889" s="81" t="str">
        <f>IF(A1889="","",ROUND(V1889*IFERROR(N(INDEX(tech_rate,MATCH(M1889,tech_name,0))),0),2))</f>
        <v/>
      </c>
      <c r="P1889" s="80" t="n"/>
      <c r="Q1889" s="81" t="str">
        <f>IF(A1889="","",ROUND(Y1889+O1889+Z1889,2))</f>
        <v/>
      </c>
      <c r="R1889" s="79" t="str">
        <f>IF(A1889="","",IF(S1889=0,"Date manquante ou invalide",IF(C1889="","Équipement manquant",IF(ISNA(MATCH(C1889,eq_code,0)),"Équipement inconnu",IF(E1889="","Type manquant",IF(AND(E1889&lt;&gt;"Préventif",E1889&lt;&gt;"Correctif",E1889&lt;&gt;"Amélioratif"),"Type inconnu",IF(I1889="","Statut manquant",IF(AND(I1889&lt;&gt;"Terminée",I1889&lt;&gt;"En cours",I1889&lt;&gt;"À faire",I1889&lt;&gt;"Annulée"),"Statut inconnu",IF(AND(E1889="Préventif",F1889=""),"Plan manquant (préventif)",IF(AND(F1889&lt;&gt;"",ISNA(MATCH(F1889,pl_num,0))),"Plan inconnu",IF(AND(F1889&lt;&gt;"",IFERROR(INDEX(pl_eq,MATCH(F1889,pl_num,0))&amp;"",C1889)&lt;&gt;C1889),"Plan d'un autre équipement",IF(AND(J1889&lt;&gt;"",OR(NOT(ISNUMBER(J1889)),N(J1889)&lt;0)),"Compteur invalide",IF(OR(AND(K1889&lt;&gt;"",OR(NOT(ISNUMBER(K1889)),N(K1889)&lt;0)),AND(L1889&lt;&gt;"",OR(NOT(ISNUMBER(L1889)),N(L1889)&lt;0))),"Durée invalide",IF(OR(AND(N1889&lt;&gt;"",OR(NOT(ISNUMBER(N1889)),N(N1889)&lt;0)),AND(P1889&lt;&gt;"",OR(NOT(ISNUMBER(P1889)),N(P1889)&lt;0))),"Coût invalide",IF(AND(M1889&lt;&gt;"",ISNA(MATCH(M1889,tech_name,0))),"Technicien inconnu",IF(AND(I1889="Terminée",S1889&gt;p_today),"Terminée à une date future",IF(AND(I1889="Terminée",V1889=0),"Durée d'intervention manquante",IF(AND(I1889="Terminée",E1889="Préventif",T1889=0,OR(IFERROR(INDEX(pl_trig,MATCH(F1889,pl_num,0))&amp;"","")="Compteur",IFERROR(INDEX(pl_trig,MATCH(F1889,pl_num,0))&amp;"","")="Au premier des deux")),"Compteur manquant (plan au compteur)","OK"))))))))))))))))))</f>
        <v/>
      </c>
      <c r="S1889" s="67">
        <f>IF(AND(ISNUMBER(B1889),N(B1889)&gt;0),INT(B1889),0)</f>
        <v>0.0</v>
      </c>
      <c r="T1889" s="67">
        <f>IF(AND(ISNUMBER(J1889),N(J1889)&gt;=0),N(J1889),0)</f>
        <v>0.0</v>
      </c>
      <c r="U1889" s="67">
        <f>IF(AND(ISNUMBER(K1889),N(K1889)&gt;0),N(K1889),0)</f>
        <v>0.0</v>
      </c>
      <c r="V1889" s="67">
        <f>IF(AND(ISNUMBER(L1889),N(L1889)&gt;0),N(L1889),0)</f>
        <v>0.0</v>
      </c>
      <c r="W1889" s="67">
        <f>IF(AND(I1889="Terminée",S1889&gt;0,C1889&lt;&gt;"",ISNUMBER(MATCH(C1889,eq_code,0))),1,0)</f>
        <v>0.0</v>
      </c>
      <c r="X1889" s="67">
        <f>IF(AND(W1889=1,E1889="Préventif"),1,0)</f>
        <v>0.0</v>
      </c>
      <c r="Y1889" s="67">
        <f>IF(AND(ISNUMBER(N1889),N(N1889)&gt;0),N(N1889),0)</f>
        <v>0.0</v>
      </c>
      <c r="Z1889" s="67">
        <f>IF(AND(ISNUMBER(P1889),N(P1889)&gt;0),N(P1889),0)</f>
        <v>0.0</v>
      </c>
    </row>
    <row r="1890">
      <c r="A1890" s="79" t="str">
        <f>IF(COUNTA(B1890:C1890,E1890:G1890,I1890)=0,"","BI-"&amp;RIGHT("0000"&amp;(ROW()-5),4))</f>
        <v/>
      </c>
      <c r="B1890" s="72" t="n"/>
      <c r="C1890" s="66" t="n"/>
      <c r="D1890" s="67" t="str">
        <f>IF(C1890="","",IFERROR(INDEX(eq_des,MATCH(C1890,eq_code,0))&amp;"","Équipement inconnu"))</f>
        <v/>
      </c>
      <c r="E1890" s="68" t="n"/>
      <c r="F1890" s="68" t="n"/>
      <c r="G1890" s="66" t="n"/>
      <c r="H1890" s="66" t="n"/>
      <c r="I1890" s="68" t="n"/>
      <c r="J1890" s="73" t="n"/>
      <c r="K1890" s="71" t="n"/>
      <c r="L1890" s="71" t="n"/>
      <c r="M1890" s="66" t="n"/>
      <c r="N1890" s="80" t="n"/>
      <c r="O1890" s="81" t="str">
        <f>IF(A1890="","",ROUND(V1890*IFERROR(N(INDEX(tech_rate,MATCH(M1890,tech_name,0))),0),2))</f>
        <v/>
      </c>
      <c r="P1890" s="80" t="n"/>
      <c r="Q1890" s="81" t="str">
        <f>IF(A1890="","",ROUND(Y1890+O1890+Z1890,2))</f>
        <v/>
      </c>
      <c r="R1890" s="79" t="str">
        <f>IF(A1890="","",IF(S1890=0,"Date manquante ou invalide",IF(C1890="","Équipement manquant",IF(ISNA(MATCH(C1890,eq_code,0)),"Équipement inconnu",IF(E1890="","Type manquant",IF(AND(E1890&lt;&gt;"Préventif",E1890&lt;&gt;"Correctif",E1890&lt;&gt;"Amélioratif"),"Type inconnu",IF(I1890="","Statut manquant",IF(AND(I1890&lt;&gt;"Terminée",I1890&lt;&gt;"En cours",I1890&lt;&gt;"À faire",I1890&lt;&gt;"Annulée"),"Statut inconnu",IF(AND(E1890="Préventif",F1890=""),"Plan manquant (préventif)",IF(AND(F1890&lt;&gt;"",ISNA(MATCH(F1890,pl_num,0))),"Plan inconnu",IF(AND(F1890&lt;&gt;"",IFERROR(INDEX(pl_eq,MATCH(F1890,pl_num,0))&amp;"",C1890)&lt;&gt;C1890),"Plan d'un autre équipement",IF(AND(J1890&lt;&gt;"",OR(NOT(ISNUMBER(J1890)),N(J1890)&lt;0)),"Compteur invalide",IF(OR(AND(K1890&lt;&gt;"",OR(NOT(ISNUMBER(K1890)),N(K1890)&lt;0)),AND(L1890&lt;&gt;"",OR(NOT(ISNUMBER(L1890)),N(L1890)&lt;0))),"Durée invalide",IF(OR(AND(N1890&lt;&gt;"",OR(NOT(ISNUMBER(N1890)),N(N1890)&lt;0)),AND(P1890&lt;&gt;"",OR(NOT(ISNUMBER(P1890)),N(P1890)&lt;0))),"Coût invalide",IF(AND(M1890&lt;&gt;"",ISNA(MATCH(M1890,tech_name,0))),"Technicien inconnu",IF(AND(I1890="Terminée",S1890&gt;p_today),"Terminée à une date future",IF(AND(I1890="Terminée",V1890=0),"Durée d'intervention manquante",IF(AND(I1890="Terminée",E1890="Préventif",T1890=0,OR(IFERROR(INDEX(pl_trig,MATCH(F1890,pl_num,0))&amp;"","")="Compteur",IFERROR(INDEX(pl_trig,MATCH(F1890,pl_num,0))&amp;"","")="Au premier des deux")),"Compteur manquant (plan au compteur)","OK"))))))))))))))))))</f>
        <v/>
      </c>
      <c r="S1890" s="67">
        <f>IF(AND(ISNUMBER(B1890),N(B1890)&gt;0),INT(B1890),0)</f>
        <v>0.0</v>
      </c>
      <c r="T1890" s="67">
        <f>IF(AND(ISNUMBER(J1890),N(J1890)&gt;=0),N(J1890),0)</f>
        <v>0.0</v>
      </c>
      <c r="U1890" s="67">
        <f>IF(AND(ISNUMBER(K1890),N(K1890)&gt;0),N(K1890),0)</f>
        <v>0.0</v>
      </c>
      <c r="V1890" s="67">
        <f>IF(AND(ISNUMBER(L1890),N(L1890)&gt;0),N(L1890),0)</f>
        <v>0.0</v>
      </c>
      <c r="W1890" s="67">
        <f>IF(AND(I1890="Terminée",S1890&gt;0,C1890&lt;&gt;"",ISNUMBER(MATCH(C1890,eq_code,0))),1,0)</f>
        <v>0.0</v>
      </c>
      <c r="X1890" s="67">
        <f>IF(AND(W1890=1,E1890="Préventif"),1,0)</f>
        <v>0.0</v>
      </c>
      <c r="Y1890" s="67">
        <f>IF(AND(ISNUMBER(N1890),N(N1890)&gt;0),N(N1890),0)</f>
        <v>0.0</v>
      </c>
      <c r="Z1890" s="67">
        <f>IF(AND(ISNUMBER(P1890),N(P1890)&gt;0),N(P1890),0)</f>
        <v>0.0</v>
      </c>
    </row>
    <row r="1891">
      <c r="A1891" s="79" t="str">
        <f>IF(COUNTA(B1891:C1891,E1891:G1891,I1891)=0,"","BI-"&amp;RIGHT("0000"&amp;(ROW()-5),4))</f>
        <v/>
      </c>
      <c r="B1891" s="72" t="n"/>
      <c r="C1891" s="66" t="n"/>
      <c r="D1891" s="67" t="str">
        <f>IF(C1891="","",IFERROR(INDEX(eq_des,MATCH(C1891,eq_code,0))&amp;"","Équipement inconnu"))</f>
        <v/>
      </c>
      <c r="E1891" s="68" t="n"/>
      <c r="F1891" s="68" t="n"/>
      <c r="G1891" s="66" t="n"/>
      <c r="H1891" s="66" t="n"/>
      <c r="I1891" s="68" t="n"/>
      <c r="J1891" s="73" t="n"/>
      <c r="K1891" s="71" t="n"/>
      <c r="L1891" s="71" t="n"/>
      <c r="M1891" s="66" t="n"/>
      <c r="N1891" s="80" t="n"/>
      <c r="O1891" s="81" t="str">
        <f>IF(A1891="","",ROUND(V1891*IFERROR(N(INDEX(tech_rate,MATCH(M1891,tech_name,0))),0),2))</f>
        <v/>
      </c>
      <c r="P1891" s="80" t="n"/>
      <c r="Q1891" s="81" t="str">
        <f>IF(A1891="","",ROUND(Y1891+O1891+Z1891,2))</f>
        <v/>
      </c>
      <c r="R1891" s="79" t="str">
        <f>IF(A1891="","",IF(S1891=0,"Date manquante ou invalide",IF(C1891="","Équipement manquant",IF(ISNA(MATCH(C1891,eq_code,0)),"Équipement inconnu",IF(E1891="","Type manquant",IF(AND(E1891&lt;&gt;"Préventif",E1891&lt;&gt;"Correctif",E1891&lt;&gt;"Amélioratif"),"Type inconnu",IF(I1891="","Statut manquant",IF(AND(I1891&lt;&gt;"Terminée",I1891&lt;&gt;"En cours",I1891&lt;&gt;"À faire",I1891&lt;&gt;"Annulée"),"Statut inconnu",IF(AND(E1891="Préventif",F1891=""),"Plan manquant (préventif)",IF(AND(F1891&lt;&gt;"",ISNA(MATCH(F1891,pl_num,0))),"Plan inconnu",IF(AND(F1891&lt;&gt;"",IFERROR(INDEX(pl_eq,MATCH(F1891,pl_num,0))&amp;"",C1891)&lt;&gt;C1891),"Plan d'un autre équipement",IF(AND(J1891&lt;&gt;"",OR(NOT(ISNUMBER(J1891)),N(J1891)&lt;0)),"Compteur invalide",IF(OR(AND(K1891&lt;&gt;"",OR(NOT(ISNUMBER(K1891)),N(K1891)&lt;0)),AND(L1891&lt;&gt;"",OR(NOT(ISNUMBER(L1891)),N(L1891)&lt;0))),"Durée invalide",IF(OR(AND(N1891&lt;&gt;"",OR(NOT(ISNUMBER(N1891)),N(N1891)&lt;0)),AND(P1891&lt;&gt;"",OR(NOT(ISNUMBER(P1891)),N(P1891)&lt;0))),"Coût invalide",IF(AND(M1891&lt;&gt;"",ISNA(MATCH(M1891,tech_name,0))),"Technicien inconnu",IF(AND(I1891="Terminée",S1891&gt;p_today),"Terminée à une date future",IF(AND(I1891="Terminée",V1891=0),"Durée d'intervention manquante",IF(AND(I1891="Terminée",E1891="Préventif",T1891=0,OR(IFERROR(INDEX(pl_trig,MATCH(F1891,pl_num,0))&amp;"","")="Compteur",IFERROR(INDEX(pl_trig,MATCH(F1891,pl_num,0))&amp;"","")="Au premier des deux")),"Compteur manquant (plan au compteur)","OK"))))))))))))))))))</f>
        <v/>
      </c>
      <c r="S1891" s="67">
        <f>IF(AND(ISNUMBER(B1891),N(B1891)&gt;0),INT(B1891),0)</f>
        <v>0.0</v>
      </c>
      <c r="T1891" s="67">
        <f>IF(AND(ISNUMBER(J1891),N(J1891)&gt;=0),N(J1891),0)</f>
        <v>0.0</v>
      </c>
      <c r="U1891" s="67">
        <f>IF(AND(ISNUMBER(K1891),N(K1891)&gt;0),N(K1891),0)</f>
        <v>0.0</v>
      </c>
      <c r="V1891" s="67">
        <f>IF(AND(ISNUMBER(L1891),N(L1891)&gt;0),N(L1891),0)</f>
        <v>0.0</v>
      </c>
      <c r="W1891" s="67">
        <f>IF(AND(I1891="Terminée",S1891&gt;0,C1891&lt;&gt;"",ISNUMBER(MATCH(C1891,eq_code,0))),1,0)</f>
        <v>0.0</v>
      </c>
      <c r="X1891" s="67">
        <f>IF(AND(W1891=1,E1891="Préventif"),1,0)</f>
        <v>0.0</v>
      </c>
      <c r="Y1891" s="67">
        <f>IF(AND(ISNUMBER(N1891),N(N1891)&gt;0),N(N1891),0)</f>
        <v>0.0</v>
      </c>
      <c r="Z1891" s="67">
        <f>IF(AND(ISNUMBER(P1891),N(P1891)&gt;0),N(P1891),0)</f>
        <v>0.0</v>
      </c>
    </row>
    <row r="1892">
      <c r="A1892" s="79" t="str">
        <f>IF(COUNTA(B1892:C1892,E1892:G1892,I1892)=0,"","BI-"&amp;RIGHT("0000"&amp;(ROW()-5),4))</f>
        <v/>
      </c>
      <c r="B1892" s="72" t="n"/>
      <c r="C1892" s="66" t="n"/>
      <c r="D1892" s="67" t="str">
        <f>IF(C1892="","",IFERROR(INDEX(eq_des,MATCH(C1892,eq_code,0))&amp;"","Équipement inconnu"))</f>
        <v/>
      </c>
      <c r="E1892" s="68" t="n"/>
      <c r="F1892" s="68" t="n"/>
      <c r="G1892" s="66" t="n"/>
      <c r="H1892" s="66" t="n"/>
      <c r="I1892" s="68" t="n"/>
      <c r="J1892" s="73" t="n"/>
      <c r="K1892" s="71" t="n"/>
      <c r="L1892" s="71" t="n"/>
      <c r="M1892" s="66" t="n"/>
      <c r="N1892" s="80" t="n"/>
      <c r="O1892" s="81" t="str">
        <f>IF(A1892="","",ROUND(V1892*IFERROR(N(INDEX(tech_rate,MATCH(M1892,tech_name,0))),0),2))</f>
        <v/>
      </c>
      <c r="P1892" s="80" t="n"/>
      <c r="Q1892" s="81" t="str">
        <f>IF(A1892="","",ROUND(Y1892+O1892+Z1892,2))</f>
        <v/>
      </c>
      <c r="R1892" s="79" t="str">
        <f>IF(A1892="","",IF(S1892=0,"Date manquante ou invalide",IF(C1892="","Équipement manquant",IF(ISNA(MATCH(C1892,eq_code,0)),"Équipement inconnu",IF(E1892="","Type manquant",IF(AND(E1892&lt;&gt;"Préventif",E1892&lt;&gt;"Correctif",E1892&lt;&gt;"Amélioratif"),"Type inconnu",IF(I1892="","Statut manquant",IF(AND(I1892&lt;&gt;"Terminée",I1892&lt;&gt;"En cours",I1892&lt;&gt;"À faire",I1892&lt;&gt;"Annulée"),"Statut inconnu",IF(AND(E1892="Préventif",F1892=""),"Plan manquant (préventif)",IF(AND(F1892&lt;&gt;"",ISNA(MATCH(F1892,pl_num,0))),"Plan inconnu",IF(AND(F1892&lt;&gt;"",IFERROR(INDEX(pl_eq,MATCH(F1892,pl_num,0))&amp;"",C1892)&lt;&gt;C1892),"Plan d'un autre équipement",IF(AND(J1892&lt;&gt;"",OR(NOT(ISNUMBER(J1892)),N(J1892)&lt;0)),"Compteur invalide",IF(OR(AND(K1892&lt;&gt;"",OR(NOT(ISNUMBER(K1892)),N(K1892)&lt;0)),AND(L1892&lt;&gt;"",OR(NOT(ISNUMBER(L1892)),N(L1892)&lt;0))),"Durée invalide",IF(OR(AND(N1892&lt;&gt;"",OR(NOT(ISNUMBER(N1892)),N(N1892)&lt;0)),AND(P1892&lt;&gt;"",OR(NOT(ISNUMBER(P1892)),N(P1892)&lt;0))),"Coût invalide",IF(AND(M1892&lt;&gt;"",ISNA(MATCH(M1892,tech_name,0))),"Technicien inconnu",IF(AND(I1892="Terminée",S1892&gt;p_today),"Terminée à une date future",IF(AND(I1892="Terminée",V1892=0),"Durée d'intervention manquante",IF(AND(I1892="Terminée",E1892="Préventif",T1892=0,OR(IFERROR(INDEX(pl_trig,MATCH(F1892,pl_num,0))&amp;"","")="Compteur",IFERROR(INDEX(pl_trig,MATCH(F1892,pl_num,0))&amp;"","")="Au premier des deux")),"Compteur manquant (plan au compteur)","OK"))))))))))))))))))</f>
        <v/>
      </c>
      <c r="S1892" s="67">
        <f>IF(AND(ISNUMBER(B1892),N(B1892)&gt;0),INT(B1892),0)</f>
        <v>0.0</v>
      </c>
      <c r="T1892" s="67">
        <f>IF(AND(ISNUMBER(J1892),N(J1892)&gt;=0),N(J1892),0)</f>
        <v>0.0</v>
      </c>
      <c r="U1892" s="67">
        <f>IF(AND(ISNUMBER(K1892),N(K1892)&gt;0),N(K1892),0)</f>
        <v>0.0</v>
      </c>
      <c r="V1892" s="67">
        <f>IF(AND(ISNUMBER(L1892),N(L1892)&gt;0),N(L1892),0)</f>
        <v>0.0</v>
      </c>
      <c r="W1892" s="67">
        <f>IF(AND(I1892="Terminée",S1892&gt;0,C1892&lt;&gt;"",ISNUMBER(MATCH(C1892,eq_code,0))),1,0)</f>
        <v>0.0</v>
      </c>
      <c r="X1892" s="67">
        <f>IF(AND(W1892=1,E1892="Préventif"),1,0)</f>
        <v>0.0</v>
      </c>
      <c r="Y1892" s="67">
        <f>IF(AND(ISNUMBER(N1892),N(N1892)&gt;0),N(N1892),0)</f>
        <v>0.0</v>
      </c>
      <c r="Z1892" s="67">
        <f>IF(AND(ISNUMBER(P1892),N(P1892)&gt;0),N(P1892),0)</f>
        <v>0.0</v>
      </c>
    </row>
    <row r="1893">
      <c r="A1893" s="79" t="str">
        <f>IF(COUNTA(B1893:C1893,E1893:G1893,I1893)=0,"","BI-"&amp;RIGHT("0000"&amp;(ROW()-5),4))</f>
        <v/>
      </c>
      <c r="B1893" s="72" t="n"/>
      <c r="C1893" s="66" t="n"/>
      <c r="D1893" s="67" t="str">
        <f>IF(C1893="","",IFERROR(INDEX(eq_des,MATCH(C1893,eq_code,0))&amp;"","Équipement inconnu"))</f>
        <v/>
      </c>
      <c r="E1893" s="68" t="n"/>
      <c r="F1893" s="68" t="n"/>
      <c r="G1893" s="66" t="n"/>
      <c r="H1893" s="66" t="n"/>
      <c r="I1893" s="68" t="n"/>
      <c r="J1893" s="73" t="n"/>
      <c r="K1893" s="71" t="n"/>
      <c r="L1893" s="71" t="n"/>
      <c r="M1893" s="66" t="n"/>
      <c r="N1893" s="80" t="n"/>
      <c r="O1893" s="81" t="str">
        <f>IF(A1893="","",ROUND(V1893*IFERROR(N(INDEX(tech_rate,MATCH(M1893,tech_name,0))),0),2))</f>
        <v/>
      </c>
      <c r="P1893" s="80" t="n"/>
      <c r="Q1893" s="81" t="str">
        <f>IF(A1893="","",ROUND(Y1893+O1893+Z1893,2))</f>
        <v/>
      </c>
      <c r="R1893" s="79" t="str">
        <f>IF(A1893="","",IF(S1893=0,"Date manquante ou invalide",IF(C1893="","Équipement manquant",IF(ISNA(MATCH(C1893,eq_code,0)),"Équipement inconnu",IF(E1893="","Type manquant",IF(AND(E1893&lt;&gt;"Préventif",E1893&lt;&gt;"Correctif",E1893&lt;&gt;"Amélioratif"),"Type inconnu",IF(I1893="","Statut manquant",IF(AND(I1893&lt;&gt;"Terminée",I1893&lt;&gt;"En cours",I1893&lt;&gt;"À faire",I1893&lt;&gt;"Annulée"),"Statut inconnu",IF(AND(E1893="Préventif",F1893=""),"Plan manquant (préventif)",IF(AND(F1893&lt;&gt;"",ISNA(MATCH(F1893,pl_num,0))),"Plan inconnu",IF(AND(F1893&lt;&gt;"",IFERROR(INDEX(pl_eq,MATCH(F1893,pl_num,0))&amp;"",C1893)&lt;&gt;C1893),"Plan d'un autre équipement",IF(AND(J1893&lt;&gt;"",OR(NOT(ISNUMBER(J1893)),N(J1893)&lt;0)),"Compteur invalide",IF(OR(AND(K1893&lt;&gt;"",OR(NOT(ISNUMBER(K1893)),N(K1893)&lt;0)),AND(L1893&lt;&gt;"",OR(NOT(ISNUMBER(L1893)),N(L1893)&lt;0))),"Durée invalide",IF(OR(AND(N1893&lt;&gt;"",OR(NOT(ISNUMBER(N1893)),N(N1893)&lt;0)),AND(P1893&lt;&gt;"",OR(NOT(ISNUMBER(P1893)),N(P1893)&lt;0))),"Coût invalide",IF(AND(M1893&lt;&gt;"",ISNA(MATCH(M1893,tech_name,0))),"Technicien inconnu",IF(AND(I1893="Terminée",S1893&gt;p_today),"Terminée à une date future",IF(AND(I1893="Terminée",V1893=0),"Durée d'intervention manquante",IF(AND(I1893="Terminée",E1893="Préventif",T1893=0,OR(IFERROR(INDEX(pl_trig,MATCH(F1893,pl_num,0))&amp;"","")="Compteur",IFERROR(INDEX(pl_trig,MATCH(F1893,pl_num,0))&amp;"","")="Au premier des deux")),"Compteur manquant (plan au compteur)","OK"))))))))))))))))))</f>
        <v/>
      </c>
      <c r="S1893" s="67">
        <f>IF(AND(ISNUMBER(B1893),N(B1893)&gt;0),INT(B1893),0)</f>
        <v>0.0</v>
      </c>
      <c r="T1893" s="67">
        <f>IF(AND(ISNUMBER(J1893),N(J1893)&gt;=0),N(J1893),0)</f>
        <v>0.0</v>
      </c>
      <c r="U1893" s="67">
        <f>IF(AND(ISNUMBER(K1893),N(K1893)&gt;0),N(K1893),0)</f>
        <v>0.0</v>
      </c>
      <c r="V1893" s="67">
        <f>IF(AND(ISNUMBER(L1893),N(L1893)&gt;0),N(L1893),0)</f>
        <v>0.0</v>
      </c>
      <c r="W1893" s="67">
        <f>IF(AND(I1893="Terminée",S1893&gt;0,C1893&lt;&gt;"",ISNUMBER(MATCH(C1893,eq_code,0))),1,0)</f>
        <v>0.0</v>
      </c>
      <c r="X1893" s="67">
        <f>IF(AND(W1893=1,E1893="Préventif"),1,0)</f>
        <v>0.0</v>
      </c>
      <c r="Y1893" s="67">
        <f>IF(AND(ISNUMBER(N1893),N(N1893)&gt;0),N(N1893),0)</f>
        <v>0.0</v>
      </c>
      <c r="Z1893" s="67">
        <f>IF(AND(ISNUMBER(P1893),N(P1893)&gt;0),N(P1893),0)</f>
        <v>0.0</v>
      </c>
    </row>
    <row r="1894">
      <c r="A1894" s="79" t="str">
        <f>IF(COUNTA(B1894:C1894,E1894:G1894,I1894)=0,"","BI-"&amp;RIGHT("0000"&amp;(ROW()-5),4))</f>
        <v/>
      </c>
      <c r="B1894" s="72" t="n"/>
      <c r="C1894" s="66" t="n"/>
      <c r="D1894" s="67" t="str">
        <f>IF(C1894="","",IFERROR(INDEX(eq_des,MATCH(C1894,eq_code,0))&amp;"","Équipement inconnu"))</f>
        <v/>
      </c>
      <c r="E1894" s="68" t="n"/>
      <c r="F1894" s="68" t="n"/>
      <c r="G1894" s="66" t="n"/>
      <c r="H1894" s="66" t="n"/>
      <c r="I1894" s="68" t="n"/>
      <c r="J1894" s="73" t="n"/>
      <c r="K1894" s="71" t="n"/>
      <c r="L1894" s="71" t="n"/>
      <c r="M1894" s="66" t="n"/>
      <c r="N1894" s="80" t="n"/>
      <c r="O1894" s="81" t="str">
        <f>IF(A1894="","",ROUND(V1894*IFERROR(N(INDEX(tech_rate,MATCH(M1894,tech_name,0))),0),2))</f>
        <v/>
      </c>
      <c r="P1894" s="80" t="n"/>
      <c r="Q1894" s="81" t="str">
        <f>IF(A1894="","",ROUND(Y1894+O1894+Z1894,2))</f>
        <v/>
      </c>
      <c r="R1894" s="79" t="str">
        <f>IF(A1894="","",IF(S1894=0,"Date manquante ou invalide",IF(C1894="","Équipement manquant",IF(ISNA(MATCH(C1894,eq_code,0)),"Équipement inconnu",IF(E1894="","Type manquant",IF(AND(E1894&lt;&gt;"Préventif",E1894&lt;&gt;"Correctif",E1894&lt;&gt;"Amélioratif"),"Type inconnu",IF(I1894="","Statut manquant",IF(AND(I1894&lt;&gt;"Terminée",I1894&lt;&gt;"En cours",I1894&lt;&gt;"À faire",I1894&lt;&gt;"Annulée"),"Statut inconnu",IF(AND(E1894="Préventif",F1894=""),"Plan manquant (préventif)",IF(AND(F1894&lt;&gt;"",ISNA(MATCH(F1894,pl_num,0))),"Plan inconnu",IF(AND(F1894&lt;&gt;"",IFERROR(INDEX(pl_eq,MATCH(F1894,pl_num,0))&amp;"",C1894)&lt;&gt;C1894),"Plan d'un autre équipement",IF(AND(J1894&lt;&gt;"",OR(NOT(ISNUMBER(J1894)),N(J1894)&lt;0)),"Compteur invalide",IF(OR(AND(K1894&lt;&gt;"",OR(NOT(ISNUMBER(K1894)),N(K1894)&lt;0)),AND(L1894&lt;&gt;"",OR(NOT(ISNUMBER(L1894)),N(L1894)&lt;0))),"Durée invalide",IF(OR(AND(N1894&lt;&gt;"",OR(NOT(ISNUMBER(N1894)),N(N1894)&lt;0)),AND(P1894&lt;&gt;"",OR(NOT(ISNUMBER(P1894)),N(P1894)&lt;0))),"Coût invalide",IF(AND(M1894&lt;&gt;"",ISNA(MATCH(M1894,tech_name,0))),"Technicien inconnu",IF(AND(I1894="Terminée",S1894&gt;p_today),"Terminée à une date future",IF(AND(I1894="Terminée",V1894=0),"Durée d'intervention manquante",IF(AND(I1894="Terminée",E1894="Préventif",T1894=0,OR(IFERROR(INDEX(pl_trig,MATCH(F1894,pl_num,0))&amp;"","")="Compteur",IFERROR(INDEX(pl_trig,MATCH(F1894,pl_num,0))&amp;"","")="Au premier des deux")),"Compteur manquant (plan au compteur)","OK"))))))))))))))))))</f>
        <v/>
      </c>
      <c r="S1894" s="67">
        <f>IF(AND(ISNUMBER(B1894),N(B1894)&gt;0),INT(B1894),0)</f>
        <v>0.0</v>
      </c>
      <c r="T1894" s="67">
        <f>IF(AND(ISNUMBER(J1894),N(J1894)&gt;=0),N(J1894),0)</f>
        <v>0.0</v>
      </c>
      <c r="U1894" s="67">
        <f>IF(AND(ISNUMBER(K1894),N(K1894)&gt;0),N(K1894),0)</f>
        <v>0.0</v>
      </c>
      <c r="V1894" s="67">
        <f>IF(AND(ISNUMBER(L1894),N(L1894)&gt;0),N(L1894),0)</f>
        <v>0.0</v>
      </c>
      <c r="W1894" s="67">
        <f>IF(AND(I1894="Terminée",S1894&gt;0,C1894&lt;&gt;"",ISNUMBER(MATCH(C1894,eq_code,0))),1,0)</f>
        <v>0.0</v>
      </c>
      <c r="X1894" s="67">
        <f>IF(AND(W1894=1,E1894="Préventif"),1,0)</f>
        <v>0.0</v>
      </c>
      <c r="Y1894" s="67">
        <f>IF(AND(ISNUMBER(N1894),N(N1894)&gt;0),N(N1894),0)</f>
        <v>0.0</v>
      </c>
      <c r="Z1894" s="67">
        <f>IF(AND(ISNUMBER(P1894),N(P1894)&gt;0),N(P1894),0)</f>
        <v>0.0</v>
      </c>
    </row>
    <row r="1895">
      <c r="A1895" s="79" t="str">
        <f>IF(COUNTA(B1895:C1895,E1895:G1895,I1895)=0,"","BI-"&amp;RIGHT("0000"&amp;(ROW()-5),4))</f>
        <v/>
      </c>
      <c r="B1895" s="72" t="n"/>
      <c r="C1895" s="66" t="n"/>
      <c r="D1895" s="67" t="str">
        <f>IF(C1895="","",IFERROR(INDEX(eq_des,MATCH(C1895,eq_code,0))&amp;"","Équipement inconnu"))</f>
        <v/>
      </c>
      <c r="E1895" s="68" t="n"/>
      <c r="F1895" s="68" t="n"/>
      <c r="G1895" s="66" t="n"/>
      <c r="H1895" s="66" t="n"/>
      <c r="I1895" s="68" t="n"/>
      <c r="J1895" s="73" t="n"/>
      <c r="K1895" s="71" t="n"/>
      <c r="L1895" s="71" t="n"/>
      <c r="M1895" s="66" t="n"/>
      <c r="N1895" s="80" t="n"/>
      <c r="O1895" s="81" t="str">
        <f>IF(A1895="","",ROUND(V1895*IFERROR(N(INDEX(tech_rate,MATCH(M1895,tech_name,0))),0),2))</f>
        <v/>
      </c>
      <c r="P1895" s="80" t="n"/>
      <c r="Q1895" s="81" t="str">
        <f>IF(A1895="","",ROUND(Y1895+O1895+Z1895,2))</f>
        <v/>
      </c>
      <c r="R1895" s="79" t="str">
        <f>IF(A1895="","",IF(S1895=0,"Date manquante ou invalide",IF(C1895="","Équipement manquant",IF(ISNA(MATCH(C1895,eq_code,0)),"Équipement inconnu",IF(E1895="","Type manquant",IF(AND(E1895&lt;&gt;"Préventif",E1895&lt;&gt;"Correctif",E1895&lt;&gt;"Amélioratif"),"Type inconnu",IF(I1895="","Statut manquant",IF(AND(I1895&lt;&gt;"Terminée",I1895&lt;&gt;"En cours",I1895&lt;&gt;"À faire",I1895&lt;&gt;"Annulée"),"Statut inconnu",IF(AND(E1895="Préventif",F1895=""),"Plan manquant (préventif)",IF(AND(F1895&lt;&gt;"",ISNA(MATCH(F1895,pl_num,0))),"Plan inconnu",IF(AND(F1895&lt;&gt;"",IFERROR(INDEX(pl_eq,MATCH(F1895,pl_num,0))&amp;"",C1895)&lt;&gt;C1895),"Plan d'un autre équipement",IF(AND(J1895&lt;&gt;"",OR(NOT(ISNUMBER(J1895)),N(J1895)&lt;0)),"Compteur invalide",IF(OR(AND(K1895&lt;&gt;"",OR(NOT(ISNUMBER(K1895)),N(K1895)&lt;0)),AND(L1895&lt;&gt;"",OR(NOT(ISNUMBER(L1895)),N(L1895)&lt;0))),"Durée invalide",IF(OR(AND(N1895&lt;&gt;"",OR(NOT(ISNUMBER(N1895)),N(N1895)&lt;0)),AND(P1895&lt;&gt;"",OR(NOT(ISNUMBER(P1895)),N(P1895)&lt;0))),"Coût invalide",IF(AND(M1895&lt;&gt;"",ISNA(MATCH(M1895,tech_name,0))),"Technicien inconnu",IF(AND(I1895="Terminée",S1895&gt;p_today),"Terminée à une date future",IF(AND(I1895="Terminée",V1895=0),"Durée d'intervention manquante",IF(AND(I1895="Terminée",E1895="Préventif",T1895=0,OR(IFERROR(INDEX(pl_trig,MATCH(F1895,pl_num,0))&amp;"","")="Compteur",IFERROR(INDEX(pl_trig,MATCH(F1895,pl_num,0))&amp;"","")="Au premier des deux")),"Compteur manquant (plan au compteur)","OK"))))))))))))))))))</f>
        <v/>
      </c>
      <c r="S1895" s="67">
        <f>IF(AND(ISNUMBER(B1895),N(B1895)&gt;0),INT(B1895),0)</f>
        <v>0.0</v>
      </c>
      <c r="T1895" s="67">
        <f>IF(AND(ISNUMBER(J1895),N(J1895)&gt;=0),N(J1895),0)</f>
        <v>0.0</v>
      </c>
      <c r="U1895" s="67">
        <f>IF(AND(ISNUMBER(K1895),N(K1895)&gt;0),N(K1895),0)</f>
        <v>0.0</v>
      </c>
      <c r="V1895" s="67">
        <f>IF(AND(ISNUMBER(L1895),N(L1895)&gt;0),N(L1895),0)</f>
        <v>0.0</v>
      </c>
      <c r="W1895" s="67">
        <f>IF(AND(I1895="Terminée",S1895&gt;0,C1895&lt;&gt;"",ISNUMBER(MATCH(C1895,eq_code,0))),1,0)</f>
        <v>0.0</v>
      </c>
      <c r="X1895" s="67">
        <f>IF(AND(W1895=1,E1895="Préventif"),1,0)</f>
        <v>0.0</v>
      </c>
      <c r="Y1895" s="67">
        <f>IF(AND(ISNUMBER(N1895),N(N1895)&gt;0),N(N1895),0)</f>
        <v>0.0</v>
      </c>
      <c r="Z1895" s="67">
        <f>IF(AND(ISNUMBER(P1895),N(P1895)&gt;0),N(P1895),0)</f>
        <v>0.0</v>
      </c>
    </row>
    <row r="1896">
      <c r="A1896" s="79" t="str">
        <f>IF(COUNTA(B1896:C1896,E1896:G1896,I1896)=0,"","BI-"&amp;RIGHT("0000"&amp;(ROW()-5),4))</f>
        <v/>
      </c>
      <c r="B1896" s="72" t="n"/>
      <c r="C1896" s="66" t="n"/>
      <c r="D1896" s="67" t="str">
        <f>IF(C1896="","",IFERROR(INDEX(eq_des,MATCH(C1896,eq_code,0))&amp;"","Équipement inconnu"))</f>
        <v/>
      </c>
      <c r="E1896" s="68" t="n"/>
      <c r="F1896" s="68" t="n"/>
      <c r="G1896" s="66" t="n"/>
      <c r="H1896" s="66" t="n"/>
      <c r="I1896" s="68" t="n"/>
      <c r="J1896" s="73" t="n"/>
      <c r="K1896" s="71" t="n"/>
      <c r="L1896" s="71" t="n"/>
      <c r="M1896" s="66" t="n"/>
      <c r="N1896" s="80" t="n"/>
      <c r="O1896" s="81" t="str">
        <f>IF(A1896="","",ROUND(V1896*IFERROR(N(INDEX(tech_rate,MATCH(M1896,tech_name,0))),0),2))</f>
        <v/>
      </c>
      <c r="P1896" s="80" t="n"/>
      <c r="Q1896" s="81" t="str">
        <f>IF(A1896="","",ROUND(Y1896+O1896+Z1896,2))</f>
        <v/>
      </c>
      <c r="R1896" s="79" t="str">
        <f>IF(A1896="","",IF(S1896=0,"Date manquante ou invalide",IF(C1896="","Équipement manquant",IF(ISNA(MATCH(C1896,eq_code,0)),"Équipement inconnu",IF(E1896="","Type manquant",IF(AND(E1896&lt;&gt;"Préventif",E1896&lt;&gt;"Correctif",E1896&lt;&gt;"Amélioratif"),"Type inconnu",IF(I1896="","Statut manquant",IF(AND(I1896&lt;&gt;"Terminée",I1896&lt;&gt;"En cours",I1896&lt;&gt;"À faire",I1896&lt;&gt;"Annulée"),"Statut inconnu",IF(AND(E1896="Préventif",F1896=""),"Plan manquant (préventif)",IF(AND(F1896&lt;&gt;"",ISNA(MATCH(F1896,pl_num,0))),"Plan inconnu",IF(AND(F1896&lt;&gt;"",IFERROR(INDEX(pl_eq,MATCH(F1896,pl_num,0))&amp;"",C1896)&lt;&gt;C1896),"Plan d'un autre équipement",IF(AND(J1896&lt;&gt;"",OR(NOT(ISNUMBER(J1896)),N(J1896)&lt;0)),"Compteur invalide",IF(OR(AND(K1896&lt;&gt;"",OR(NOT(ISNUMBER(K1896)),N(K1896)&lt;0)),AND(L1896&lt;&gt;"",OR(NOT(ISNUMBER(L1896)),N(L1896)&lt;0))),"Durée invalide",IF(OR(AND(N1896&lt;&gt;"",OR(NOT(ISNUMBER(N1896)),N(N1896)&lt;0)),AND(P1896&lt;&gt;"",OR(NOT(ISNUMBER(P1896)),N(P1896)&lt;0))),"Coût invalide",IF(AND(M1896&lt;&gt;"",ISNA(MATCH(M1896,tech_name,0))),"Technicien inconnu",IF(AND(I1896="Terminée",S1896&gt;p_today),"Terminée à une date future",IF(AND(I1896="Terminée",V1896=0),"Durée d'intervention manquante",IF(AND(I1896="Terminée",E1896="Préventif",T1896=0,OR(IFERROR(INDEX(pl_trig,MATCH(F1896,pl_num,0))&amp;"","")="Compteur",IFERROR(INDEX(pl_trig,MATCH(F1896,pl_num,0))&amp;"","")="Au premier des deux")),"Compteur manquant (plan au compteur)","OK"))))))))))))))))))</f>
        <v/>
      </c>
      <c r="S1896" s="67">
        <f>IF(AND(ISNUMBER(B1896),N(B1896)&gt;0),INT(B1896),0)</f>
        <v>0.0</v>
      </c>
      <c r="T1896" s="67">
        <f>IF(AND(ISNUMBER(J1896),N(J1896)&gt;=0),N(J1896),0)</f>
        <v>0.0</v>
      </c>
      <c r="U1896" s="67">
        <f>IF(AND(ISNUMBER(K1896),N(K1896)&gt;0),N(K1896),0)</f>
        <v>0.0</v>
      </c>
      <c r="V1896" s="67">
        <f>IF(AND(ISNUMBER(L1896),N(L1896)&gt;0),N(L1896),0)</f>
        <v>0.0</v>
      </c>
      <c r="W1896" s="67">
        <f>IF(AND(I1896="Terminée",S1896&gt;0,C1896&lt;&gt;"",ISNUMBER(MATCH(C1896,eq_code,0))),1,0)</f>
        <v>0.0</v>
      </c>
      <c r="X1896" s="67">
        <f>IF(AND(W1896=1,E1896="Préventif"),1,0)</f>
        <v>0.0</v>
      </c>
      <c r="Y1896" s="67">
        <f>IF(AND(ISNUMBER(N1896),N(N1896)&gt;0),N(N1896),0)</f>
        <v>0.0</v>
      </c>
      <c r="Z1896" s="67">
        <f>IF(AND(ISNUMBER(P1896),N(P1896)&gt;0),N(P1896),0)</f>
        <v>0.0</v>
      </c>
    </row>
    <row r="1897">
      <c r="A1897" s="79" t="str">
        <f>IF(COUNTA(B1897:C1897,E1897:G1897,I1897)=0,"","BI-"&amp;RIGHT("0000"&amp;(ROW()-5),4))</f>
        <v/>
      </c>
      <c r="B1897" s="72" t="n"/>
      <c r="C1897" s="66" t="n"/>
      <c r="D1897" s="67" t="str">
        <f>IF(C1897="","",IFERROR(INDEX(eq_des,MATCH(C1897,eq_code,0))&amp;"","Équipement inconnu"))</f>
        <v/>
      </c>
      <c r="E1897" s="68" t="n"/>
      <c r="F1897" s="68" t="n"/>
      <c r="G1897" s="66" t="n"/>
      <c r="H1897" s="66" t="n"/>
      <c r="I1897" s="68" t="n"/>
      <c r="J1897" s="73" t="n"/>
      <c r="K1897" s="71" t="n"/>
      <c r="L1897" s="71" t="n"/>
      <c r="M1897" s="66" t="n"/>
      <c r="N1897" s="80" t="n"/>
      <c r="O1897" s="81" t="str">
        <f>IF(A1897="","",ROUND(V1897*IFERROR(N(INDEX(tech_rate,MATCH(M1897,tech_name,0))),0),2))</f>
        <v/>
      </c>
      <c r="P1897" s="80" t="n"/>
      <c r="Q1897" s="81" t="str">
        <f>IF(A1897="","",ROUND(Y1897+O1897+Z1897,2))</f>
        <v/>
      </c>
      <c r="R1897" s="79" t="str">
        <f>IF(A1897="","",IF(S1897=0,"Date manquante ou invalide",IF(C1897="","Équipement manquant",IF(ISNA(MATCH(C1897,eq_code,0)),"Équipement inconnu",IF(E1897="","Type manquant",IF(AND(E1897&lt;&gt;"Préventif",E1897&lt;&gt;"Correctif",E1897&lt;&gt;"Amélioratif"),"Type inconnu",IF(I1897="","Statut manquant",IF(AND(I1897&lt;&gt;"Terminée",I1897&lt;&gt;"En cours",I1897&lt;&gt;"À faire",I1897&lt;&gt;"Annulée"),"Statut inconnu",IF(AND(E1897="Préventif",F1897=""),"Plan manquant (préventif)",IF(AND(F1897&lt;&gt;"",ISNA(MATCH(F1897,pl_num,0))),"Plan inconnu",IF(AND(F1897&lt;&gt;"",IFERROR(INDEX(pl_eq,MATCH(F1897,pl_num,0))&amp;"",C1897)&lt;&gt;C1897),"Plan d'un autre équipement",IF(AND(J1897&lt;&gt;"",OR(NOT(ISNUMBER(J1897)),N(J1897)&lt;0)),"Compteur invalide",IF(OR(AND(K1897&lt;&gt;"",OR(NOT(ISNUMBER(K1897)),N(K1897)&lt;0)),AND(L1897&lt;&gt;"",OR(NOT(ISNUMBER(L1897)),N(L1897)&lt;0))),"Durée invalide",IF(OR(AND(N1897&lt;&gt;"",OR(NOT(ISNUMBER(N1897)),N(N1897)&lt;0)),AND(P1897&lt;&gt;"",OR(NOT(ISNUMBER(P1897)),N(P1897)&lt;0))),"Coût invalide",IF(AND(M1897&lt;&gt;"",ISNA(MATCH(M1897,tech_name,0))),"Technicien inconnu",IF(AND(I1897="Terminée",S1897&gt;p_today),"Terminée à une date future",IF(AND(I1897="Terminée",V1897=0),"Durée d'intervention manquante",IF(AND(I1897="Terminée",E1897="Préventif",T1897=0,OR(IFERROR(INDEX(pl_trig,MATCH(F1897,pl_num,0))&amp;"","")="Compteur",IFERROR(INDEX(pl_trig,MATCH(F1897,pl_num,0))&amp;"","")="Au premier des deux")),"Compteur manquant (plan au compteur)","OK"))))))))))))))))))</f>
        <v/>
      </c>
      <c r="S1897" s="67">
        <f>IF(AND(ISNUMBER(B1897),N(B1897)&gt;0),INT(B1897),0)</f>
        <v>0.0</v>
      </c>
      <c r="T1897" s="67">
        <f>IF(AND(ISNUMBER(J1897),N(J1897)&gt;=0),N(J1897),0)</f>
        <v>0.0</v>
      </c>
      <c r="U1897" s="67">
        <f>IF(AND(ISNUMBER(K1897),N(K1897)&gt;0),N(K1897),0)</f>
        <v>0.0</v>
      </c>
      <c r="V1897" s="67">
        <f>IF(AND(ISNUMBER(L1897),N(L1897)&gt;0),N(L1897),0)</f>
        <v>0.0</v>
      </c>
      <c r="W1897" s="67">
        <f>IF(AND(I1897="Terminée",S1897&gt;0,C1897&lt;&gt;"",ISNUMBER(MATCH(C1897,eq_code,0))),1,0)</f>
        <v>0.0</v>
      </c>
      <c r="X1897" s="67">
        <f>IF(AND(W1897=1,E1897="Préventif"),1,0)</f>
        <v>0.0</v>
      </c>
      <c r="Y1897" s="67">
        <f>IF(AND(ISNUMBER(N1897),N(N1897)&gt;0),N(N1897),0)</f>
        <v>0.0</v>
      </c>
      <c r="Z1897" s="67">
        <f>IF(AND(ISNUMBER(P1897),N(P1897)&gt;0),N(P1897),0)</f>
        <v>0.0</v>
      </c>
    </row>
    <row r="1898">
      <c r="A1898" s="79" t="str">
        <f>IF(COUNTA(B1898:C1898,E1898:G1898,I1898)=0,"","BI-"&amp;RIGHT("0000"&amp;(ROW()-5),4))</f>
        <v/>
      </c>
      <c r="B1898" s="72" t="n"/>
      <c r="C1898" s="66" t="n"/>
      <c r="D1898" s="67" t="str">
        <f>IF(C1898="","",IFERROR(INDEX(eq_des,MATCH(C1898,eq_code,0))&amp;"","Équipement inconnu"))</f>
        <v/>
      </c>
      <c r="E1898" s="68" t="n"/>
      <c r="F1898" s="68" t="n"/>
      <c r="G1898" s="66" t="n"/>
      <c r="H1898" s="66" t="n"/>
      <c r="I1898" s="68" t="n"/>
      <c r="J1898" s="73" t="n"/>
      <c r="K1898" s="71" t="n"/>
      <c r="L1898" s="71" t="n"/>
      <c r="M1898" s="66" t="n"/>
      <c r="N1898" s="80" t="n"/>
      <c r="O1898" s="81" t="str">
        <f>IF(A1898="","",ROUND(V1898*IFERROR(N(INDEX(tech_rate,MATCH(M1898,tech_name,0))),0),2))</f>
        <v/>
      </c>
      <c r="P1898" s="80" t="n"/>
      <c r="Q1898" s="81" t="str">
        <f>IF(A1898="","",ROUND(Y1898+O1898+Z1898,2))</f>
        <v/>
      </c>
      <c r="R1898" s="79" t="str">
        <f>IF(A1898="","",IF(S1898=0,"Date manquante ou invalide",IF(C1898="","Équipement manquant",IF(ISNA(MATCH(C1898,eq_code,0)),"Équipement inconnu",IF(E1898="","Type manquant",IF(AND(E1898&lt;&gt;"Préventif",E1898&lt;&gt;"Correctif",E1898&lt;&gt;"Amélioratif"),"Type inconnu",IF(I1898="","Statut manquant",IF(AND(I1898&lt;&gt;"Terminée",I1898&lt;&gt;"En cours",I1898&lt;&gt;"À faire",I1898&lt;&gt;"Annulée"),"Statut inconnu",IF(AND(E1898="Préventif",F1898=""),"Plan manquant (préventif)",IF(AND(F1898&lt;&gt;"",ISNA(MATCH(F1898,pl_num,0))),"Plan inconnu",IF(AND(F1898&lt;&gt;"",IFERROR(INDEX(pl_eq,MATCH(F1898,pl_num,0))&amp;"",C1898)&lt;&gt;C1898),"Plan d'un autre équipement",IF(AND(J1898&lt;&gt;"",OR(NOT(ISNUMBER(J1898)),N(J1898)&lt;0)),"Compteur invalide",IF(OR(AND(K1898&lt;&gt;"",OR(NOT(ISNUMBER(K1898)),N(K1898)&lt;0)),AND(L1898&lt;&gt;"",OR(NOT(ISNUMBER(L1898)),N(L1898)&lt;0))),"Durée invalide",IF(OR(AND(N1898&lt;&gt;"",OR(NOT(ISNUMBER(N1898)),N(N1898)&lt;0)),AND(P1898&lt;&gt;"",OR(NOT(ISNUMBER(P1898)),N(P1898)&lt;0))),"Coût invalide",IF(AND(M1898&lt;&gt;"",ISNA(MATCH(M1898,tech_name,0))),"Technicien inconnu",IF(AND(I1898="Terminée",S1898&gt;p_today),"Terminée à une date future",IF(AND(I1898="Terminée",V1898=0),"Durée d'intervention manquante",IF(AND(I1898="Terminée",E1898="Préventif",T1898=0,OR(IFERROR(INDEX(pl_trig,MATCH(F1898,pl_num,0))&amp;"","")="Compteur",IFERROR(INDEX(pl_trig,MATCH(F1898,pl_num,0))&amp;"","")="Au premier des deux")),"Compteur manquant (plan au compteur)","OK"))))))))))))))))))</f>
        <v/>
      </c>
      <c r="S1898" s="67">
        <f>IF(AND(ISNUMBER(B1898),N(B1898)&gt;0),INT(B1898),0)</f>
        <v>0.0</v>
      </c>
      <c r="T1898" s="67">
        <f>IF(AND(ISNUMBER(J1898),N(J1898)&gt;=0),N(J1898),0)</f>
        <v>0.0</v>
      </c>
      <c r="U1898" s="67">
        <f>IF(AND(ISNUMBER(K1898),N(K1898)&gt;0),N(K1898),0)</f>
        <v>0.0</v>
      </c>
      <c r="V1898" s="67">
        <f>IF(AND(ISNUMBER(L1898),N(L1898)&gt;0),N(L1898),0)</f>
        <v>0.0</v>
      </c>
      <c r="W1898" s="67">
        <f>IF(AND(I1898="Terminée",S1898&gt;0,C1898&lt;&gt;"",ISNUMBER(MATCH(C1898,eq_code,0))),1,0)</f>
        <v>0.0</v>
      </c>
      <c r="X1898" s="67">
        <f>IF(AND(W1898=1,E1898="Préventif"),1,0)</f>
        <v>0.0</v>
      </c>
      <c r="Y1898" s="67">
        <f>IF(AND(ISNUMBER(N1898),N(N1898)&gt;0),N(N1898),0)</f>
        <v>0.0</v>
      </c>
      <c r="Z1898" s="67">
        <f>IF(AND(ISNUMBER(P1898),N(P1898)&gt;0),N(P1898),0)</f>
        <v>0.0</v>
      </c>
    </row>
    <row r="1899">
      <c r="A1899" s="79" t="str">
        <f>IF(COUNTA(B1899:C1899,E1899:G1899,I1899)=0,"","BI-"&amp;RIGHT("0000"&amp;(ROW()-5),4))</f>
        <v/>
      </c>
      <c r="B1899" s="72" t="n"/>
      <c r="C1899" s="66" t="n"/>
      <c r="D1899" s="67" t="str">
        <f>IF(C1899="","",IFERROR(INDEX(eq_des,MATCH(C1899,eq_code,0))&amp;"","Équipement inconnu"))</f>
        <v/>
      </c>
      <c r="E1899" s="68" t="n"/>
      <c r="F1899" s="68" t="n"/>
      <c r="G1899" s="66" t="n"/>
      <c r="H1899" s="66" t="n"/>
      <c r="I1899" s="68" t="n"/>
      <c r="J1899" s="73" t="n"/>
      <c r="K1899" s="71" t="n"/>
      <c r="L1899" s="71" t="n"/>
      <c r="M1899" s="66" t="n"/>
      <c r="N1899" s="80" t="n"/>
      <c r="O1899" s="81" t="str">
        <f>IF(A1899="","",ROUND(V1899*IFERROR(N(INDEX(tech_rate,MATCH(M1899,tech_name,0))),0),2))</f>
        <v/>
      </c>
      <c r="P1899" s="80" t="n"/>
      <c r="Q1899" s="81" t="str">
        <f>IF(A1899="","",ROUND(Y1899+O1899+Z1899,2))</f>
        <v/>
      </c>
      <c r="R1899" s="79" t="str">
        <f>IF(A1899="","",IF(S1899=0,"Date manquante ou invalide",IF(C1899="","Équipement manquant",IF(ISNA(MATCH(C1899,eq_code,0)),"Équipement inconnu",IF(E1899="","Type manquant",IF(AND(E1899&lt;&gt;"Préventif",E1899&lt;&gt;"Correctif",E1899&lt;&gt;"Amélioratif"),"Type inconnu",IF(I1899="","Statut manquant",IF(AND(I1899&lt;&gt;"Terminée",I1899&lt;&gt;"En cours",I1899&lt;&gt;"À faire",I1899&lt;&gt;"Annulée"),"Statut inconnu",IF(AND(E1899="Préventif",F1899=""),"Plan manquant (préventif)",IF(AND(F1899&lt;&gt;"",ISNA(MATCH(F1899,pl_num,0))),"Plan inconnu",IF(AND(F1899&lt;&gt;"",IFERROR(INDEX(pl_eq,MATCH(F1899,pl_num,0))&amp;"",C1899)&lt;&gt;C1899),"Plan d'un autre équipement",IF(AND(J1899&lt;&gt;"",OR(NOT(ISNUMBER(J1899)),N(J1899)&lt;0)),"Compteur invalide",IF(OR(AND(K1899&lt;&gt;"",OR(NOT(ISNUMBER(K1899)),N(K1899)&lt;0)),AND(L1899&lt;&gt;"",OR(NOT(ISNUMBER(L1899)),N(L1899)&lt;0))),"Durée invalide",IF(OR(AND(N1899&lt;&gt;"",OR(NOT(ISNUMBER(N1899)),N(N1899)&lt;0)),AND(P1899&lt;&gt;"",OR(NOT(ISNUMBER(P1899)),N(P1899)&lt;0))),"Coût invalide",IF(AND(M1899&lt;&gt;"",ISNA(MATCH(M1899,tech_name,0))),"Technicien inconnu",IF(AND(I1899="Terminée",S1899&gt;p_today),"Terminée à une date future",IF(AND(I1899="Terminée",V1899=0),"Durée d'intervention manquante",IF(AND(I1899="Terminée",E1899="Préventif",T1899=0,OR(IFERROR(INDEX(pl_trig,MATCH(F1899,pl_num,0))&amp;"","")="Compteur",IFERROR(INDEX(pl_trig,MATCH(F1899,pl_num,0))&amp;"","")="Au premier des deux")),"Compteur manquant (plan au compteur)","OK"))))))))))))))))))</f>
        <v/>
      </c>
      <c r="S1899" s="67">
        <f>IF(AND(ISNUMBER(B1899),N(B1899)&gt;0),INT(B1899),0)</f>
        <v>0.0</v>
      </c>
      <c r="T1899" s="67">
        <f>IF(AND(ISNUMBER(J1899),N(J1899)&gt;=0),N(J1899),0)</f>
        <v>0.0</v>
      </c>
      <c r="U1899" s="67">
        <f>IF(AND(ISNUMBER(K1899),N(K1899)&gt;0),N(K1899),0)</f>
        <v>0.0</v>
      </c>
      <c r="V1899" s="67">
        <f>IF(AND(ISNUMBER(L1899),N(L1899)&gt;0),N(L1899),0)</f>
        <v>0.0</v>
      </c>
      <c r="W1899" s="67">
        <f>IF(AND(I1899="Terminée",S1899&gt;0,C1899&lt;&gt;"",ISNUMBER(MATCH(C1899,eq_code,0))),1,0)</f>
        <v>0.0</v>
      </c>
      <c r="X1899" s="67">
        <f>IF(AND(W1899=1,E1899="Préventif"),1,0)</f>
        <v>0.0</v>
      </c>
      <c r="Y1899" s="67">
        <f>IF(AND(ISNUMBER(N1899),N(N1899)&gt;0),N(N1899),0)</f>
        <v>0.0</v>
      </c>
      <c r="Z1899" s="67">
        <f>IF(AND(ISNUMBER(P1899),N(P1899)&gt;0),N(P1899),0)</f>
        <v>0.0</v>
      </c>
    </row>
    <row r="1900">
      <c r="A1900" s="79" t="str">
        <f>IF(COUNTA(B1900:C1900,E1900:G1900,I1900)=0,"","BI-"&amp;RIGHT("0000"&amp;(ROW()-5),4))</f>
        <v/>
      </c>
      <c r="B1900" s="72" t="n"/>
      <c r="C1900" s="66" t="n"/>
      <c r="D1900" s="67" t="str">
        <f>IF(C1900="","",IFERROR(INDEX(eq_des,MATCH(C1900,eq_code,0))&amp;"","Équipement inconnu"))</f>
        <v/>
      </c>
      <c r="E1900" s="68" t="n"/>
      <c r="F1900" s="68" t="n"/>
      <c r="G1900" s="66" t="n"/>
      <c r="H1900" s="66" t="n"/>
      <c r="I1900" s="68" t="n"/>
      <c r="J1900" s="73" t="n"/>
      <c r="K1900" s="71" t="n"/>
      <c r="L1900" s="71" t="n"/>
      <c r="M1900" s="66" t="n"/>
      <c r="N1900" s="80" t="n"/>
      <c r="O1900" s="81" t="str">
        <f>IF(A1900="","",ROUND(V1900*IFERROR(N(INDEX(tech_rate,MATCH(M1900,tech_name,0))),0),2))</f>
        <v/>
      </c>
      <c r="P1900" s="80" t="n"/>
      <c r="Q1900" s="81" t="str">
        <f>IF(A1900="","",ROUND(Y1900+O1900+Z1900,2))</f>
        <v/>
      </c>
      <c r="R1900" s="79" t="str">
        <f>IF(A1900="","",IF(S1900=0,"Date manquante ou invalide",IF(C1900="","Équipement manquant",IF(ISNA(MATCH(C1900,eq_code,0)),"Équipement inconnu",IF(E1900="","Type manquant",IF(AND(E1900&lt;&gt;"Préventif",E1900&lt;&gt;"Correctif",E1900&lt;&gt;"Amélioratif"),"Type inconnu",IF(I1900="","Statut manquant",IF(AND(I1900&lt;&gt;"Terminée",I1900&lt;&gt;"En cours",I1900&lt;&gt;"À faire",I1900&lt;&gt;"Annulée"),"Statut inconnu",IF(AND(E1900="Préventif",F1900=""),"Plan manquant (préventif)",IF(AND(F1900&lt;&gt;"",ISNA(MATCH(F1900,pl_num,0))),"Plan inconnu",IF(AND(F1900&lt;&gt;"",IFERROR(INDEX(pl_eq,MATCH(F1900,pl_num,0))&amp;"",C1900)&lt;&gt;C1900),"Plan d'un autre équipement",IF(AND(J1900&lt;&gt;"",OR(NOT(ISNUMBER(J1900)),N(J1900)&lt;0)),"Compteur invalide",IF(OR(AND(K1900&lt;&gt;"",OR(NOT(ISNUMBER(K1900)),N(K1900)&lt;0)),AND(L1900&lt;&gt;"",OR(NOT(ISNUMBER(L1900)),N(L1900)&lt;0))),"Durée invalide",IF(OR(AND(N1900&lt;&gt;"",OR(NOT(ISNUMBER(N1900)),N(N1900)&lt;0)),AND(P1900&lt;&gt;"",OR(NOT(ISNUMBER(P1900)),N(P1900)&lt;0))),"Coût invalide",IF(AND(M1900&lt;&gt;"",ISNA(MATCH(M1900,tech_name,0))),"Technicien inconnu",IF(AND(I1900="Terminée",S1900&gt;p_today),"Terminée à une date future",IF(AND(I1900="Terminée",V1900=0),"Durée d'intervention manquante",IF(AND(I1900="Terminée",E1900="Préventif",T1900=0,OR(IFERROR(INDEX(pl_trig,MATCH(F1900,pl_num,0))&amp;"","")="Compteur",IFERROR(INDEX(pl_trig,MATCH(F1900,pl_num,0))&amp;"","")="Au premier des deux")),"Compteur manquant (plan au compteur)","OK"))))))))))))))))))</f>
        <v/>
      </c>
      <c r="S1900" s="67">
        <f>IF(AND(ISNUMBER(B1900),N(B1900)&gt;0),INT(B1900),0)</f>
        <v>0.0</v>
      </c>
      <c r="T1900" s="67">
        <f>IF(AND(ISNUMBER(J1900),N(J1900)&gt;=0),N(J1900),0)</f>
        <v>0.0</v>
      </c>
      <c r="U1900" s="67">
        <f>IF(AND(ISNUMBER(K1900),N(K1900)&gt;0),N(K1900),0)</f>
        <v>0.0</v>
      </c>
      <c r="V1900" s="67">
        <f>IF(AND(ISNUMBER(L1900),N(L1900)&gt;0),N(L1900),0)</f>
        <v>0.0</v>
      </c>
      <c r="W1900" s="67">
        <f>IF(AND(I1900="Terminée",S1900&gt;0,C1900&lt;&gt;"",ISNUMBER(MATCH(C1900,eq_code,0))),1,0)</f>
        <v>0.0</v>
      </c>
      <c r="X1900" s="67">
        <f>IF(AND(W1900=1,E1900="Préventif"),1,0)</f>
        <v>0.0</v>
      </c>
      <c r="Y1900" s="67">
        <f>IF(AND(ISNUMBER(N1900),N(N1900)&gt;0),N(N1900),0)</f>
        <v>0.0</v>
      </c>
      <c r="Z1900" s="67">
        <f>IF(AND(ISNUMBER(P1900),N(P1900)&gt;0),N(P1900),0)</f>
        <v>0.0</v>
      </c>
    </row>
    <row r="1901">
      <c r="A1901" s="79" t="str">
        <f>IF(COUNTA(B1901:C1901,E1901:G1901,I1901)=0,"","BI-"&amp;RIGHT("0000"&amp;(ROW()-5),4))</f>
        <v/>
      </c>
      <c r="B1901" s="72" t="n"/>
      <c r="C1901" s="66" t="n"/>
      <c r="D1901" s="67" t="str">
        <f>IF(C1901="","",IFERROR(INDEX(eq_des,MATCH(C1901,eq_code,0))&amp;"","Équipement inconnu"))</f>
        <v/>
      </c>
      <c r="E1901" s="68" t="n"/>
      <c r="F1901" s="68" t="n"/>
      <c r="G1901" s="66" t="n"/>
      <c r="H1901" s="66" t="n"/>
      <c r="I1901" s="68" t="n"/>
      <c r="J1901" s="73" t="n"/>
      <c r="K1901" s="71" t="n"/>
      <c r="L1901" s="71" t="n"/>
      <c r="M1901" s="66" t="n"/>
      <c r="N1901" s="80" t="n"/>
      <c r="O1901" s="81" t="str">
        <f>IF(A1901="","",ROUND(V1901*IFERROR(N(INDEX(tech_rate,MATCH(M1901,tech_name,0))),0),2))</f>
        <v/>
      </c>
      <c r="P1901" s="80" t="n"/>
      <c r="Q1901" s="81" t="str">
        <f>IF(A1901="","",ROUND(Y1901+O1901+Z1901,2))</f>
        <v/>
      </c>
      <c r="R1901" s="79" t="str">
        <f>IF(A1901="","",IF(S1901=0,"Date manquante ou invalide",IF(C1901="","Équipement manquant",IF(ISNA(MATCH(C1901,eq_code,0)),"Équipement inconnu",IF(E1901="","Type manquant",IF(AND(E1901&lt;&gt;"Préventif",E1901&lt;&gt;"Correctif",E1901&lt;&gt;"Amélioratif"),"Type inconnu",IF(I1901="","Statut manquant",IF(AND(I1901&lt;&gt;"Terminée",I1901&lt;&gt;"En cours",I1901&lt;&gt;"À faire",I1901&lt;&gt;"Annulée"),"Statut inconnu",IF(AND(E1901="Préventif",F1901=""),"Plan manquant (préventif)",IF(AND(F1901&lt;&gt;"",ISNA(MATCH(F1901,pl_num,0))),"Plan inconnu",IF(AND(F1901&lt;&gt;"",IFERROR(INDEX(pl_eq,MATCH(F1901,pl_num,0))&amp;"",C1901)&lt;&gt;C1901),"Plan d'un autre équipement",IF(AND(J1901&lt;&gt;"",OR(NOT(ISNUMBER(J1901)),N(J1901)&lt;0)),"Compteur invalide",IF(OR(AND(K1901&lt;&gt;"",OR(NOT(ISNUMBER(K1901)),N(K1901)&lt;0)),AND(L1901&lt;&gt;"",OR(NOT(ISNUMBER(L1901)),N(L1901)&lt;0))),"Durée invalide",IF(OR(AND(N1901&lt;&gt;"",OR(NOT(ISNUMBER(N1901)),N(N1901)&lt;0)),AND(P1901&lt;&gt;"",OR(NOT(ISNUMBER(P1901)),N(P1901)&lt;0))),"Coût invalide",IF(AND(M1901&lt;&gt;"",ISNA(MATCH(M1901,tech_name,0))),"Technicien inconnu",IF(AND(I1901="Terminée",S1901&gt;p_today),"Terminée à une date future",IF(AND(I1901="Terminée",V1901=0),"Durée d'intervention manquante",IF(AND(I1901="Terminée",E1901="Préventif",T1901=0,OR(IFERROR(INDEX(pl_trig,MATCH(F1901,pl_num,0))&amp;"","")="Compteur",IFERROR(INDEX(pl_trig,MATCH(F1901,pl_num,0))&amp;"","")="Au premier des deux")),"Compteur manquant (plan au compteur)","OK"))))))))))))))))))</f>
        <v/>
      </c>
      <c r="S1901" s="67">
        <f>IF(AND(ISNUMBER(B1901),N(B1901)&gt;0),INT(B1901),0)</f>
        <v>0.0</v>
      </c>
      <c r="T1901" s="67">
        <f>IF(AND(ISNUMBER(J1901),N(J1901)&gt;=0),N(J1901),0)</f>
        <v>0.0</v>
      </c>
      <c r="U1901" s="67">
        <f>IF(AND(ISNUMBER(K1901),N(K1901)&gt;0),N(K1901),0)</f>
        <v>0.0</v>
      </c>
      <c r="V1901" s="67">
        <f>IF(AND(ISNUMBER(L1901),N(L1901)&gt;0),N(L1901),0)</f>
        <v>0.0</v>
      </c>
      <c r="W1901" s="67">
        <f>IF(AND(I1901="Terminée",S1901&gt;0,C1901&lt;&gt;"",ISNUMBER(MATCH(C1901,eq_code,0))),1,0)</f>
        <v>0.0</v>
      </c>
      <c r="X1901" s="67">
        <f>IF(AND(W1901=1,E1901="Préventif"),1,0)</f>
        <v>0.0</v>
      </c>
      <c r="Y1901" s="67">
        <f>IF(AND(ISNUMBER(N1901),N(N1901)&gt;0),N(N1901),0)</f>
        <v>0.0</v>
      </c>
      <c r="Z1901" s="67">
        <f>IF(AND(ISNUMBER(P1901),N(P1901)&gt;0),N(P1901),0)</f>
        <v>0.0</v>
      </c>
    </row>
    <row r="1902">
      <c r="A1902" s="79" t="str">
        <f>IF(COUNTA(B1902:C1902,E1902:G1902,I1902)=0,"","BI-"&amp;RIGHT("0000"&amp;(ROW()-5),4))</f>
        <v/>
      </c>
      <c r="B1902" s="72" t="n"/>
      <c r="C1902" s="66" t="n"/>
      <c r="D1902" s="67" t="str">
        <f>IF(C1902="","",IFERROR(INDEX(eq_des,MATCH(C1902,eq_code,0))&amp;"","Équipement inconnu"))</f>
        <v/>
      </c>
      <c r="E1902" s="68" t="n"/>
      <c r="F1902" s="68" t="n"/>
      <c r="G1902" s="66" t="n"/>
      <c r="H1902" s="66" t="n"/>
      <c r="I1902" s="68" t="n"/>
      <c r="J1902" s="73" t="n"/>
      <c r="K1902" s="71" t="n"/>
      <c r="L1902" s="71" t="n"/>
      <c r="M1902" s="66" t="n"/>
      <c r="N1902" s="80" t="n"/>
      <c r="O1902" s="81" t="str">
        <f>IF(A1902="","",ROUND(V1902*IFERROR(N(INDEX(tech_rate,MATCH(M1902,tech_name,0))),0),2))</f>
        <v/>
      </c>
      <c r="P1902" s="80" t="n"/>
      <c r="Q1902" s="81" t="str">
        <f>IF(A1902="","",ROUND(Y1902+O1902+Z1902,2))</f>
        <v/>
      </c>
      <c r="R1902" s="79" t="str">
        <f>IF(A1902="","",IF(S1902=0,"Date manquante ou invalide",IF(C1902="","Équipement manquant",IF(ISNA(MATCH(C1902,eq_code,0)),"Équipement inconnu",IF(E1902="","Type manquant",IF(AND(E1902&lt;&gt;"Préventif",E1902&lt;&gt;"Correctif",E1902&lt;&gt;"Amélioratif"),"Type inconnu",IF(I1902="","Statut manquant",IF(AND(I1902&lt;&gt;"Terminée",I1902&lt;&gt;"En cours",I1902&lt;&gt;"À faire",I1902&lt;&gt;"Annulée"),"Statut inconnu",IF(AND(E1902="Préventif",F1902=""),"Plan manquant (préventif)",IF(AND(F1902&lt;&gt;"",ISNA(MATCH(F1902,pl_num,0))),"Plan inconnu",IF(AND(F1902&lt;&gt;"",IFERROR(INDEX(pl_eq,MATCH(F1902,pl_num,0))&amp;"",C1902)&lt;&gt;C1902),"Plan d'un autre équipement",IF(AND(J1902&lt;&gt;"",OR(NOT(ISNUMBER(J1902)),N(J1902)&lt;0)),"Compteur invalide",IF(OR(AND(K1902&lt;&gt;"",OR(NOT(ISNUMBER(K1902)),N(K1902)&lt;0)),AND(L1902&lt;&gt;"",OR(NOT(ISNUMBER(L1902)),N(L1902)&lt;0))),"Durée invalide",IF(OR(AND(N1902&lt;&gt;"",OR(NOT(ISNUMBER(N1902)),N(N1902)&lt;0)),AND(P1902&lt;&gt;"",OR(NOT(ISNUMBER(P1902)),N(P1902)&lt;0))),"Coût invalide",IF(AND(M1902&lt;&gt;"",ISNA(MATCH(M1902,tech_name,0))),"Technicien inconnu",IF(AND(I1902="Terminée",S1902&gt;p_today),"Terminée à une date future",IF(AND(I1902="Terminée",V1902=0),"Durée d'intervention manquante",IF(AND(I1902="Terminée",E1902="Préventif",T1902=0,OR(IFERROR(INDEX(pl_trig,MATCH(F1902,pl_num,0))&amp;"","")="Compteur",IFERROR(INDEX(pl_trig,MATCH(F1902,pl_num,0))&amp;"","")="Au premier des deux")),"Compteur manquant (plan au compteur)","OK"))))))))))))))))))</f>
        <v/>
      </c>
      <c r="S1902" s="67">
        <f>IF(AND(ISNUMBER(B1902),N(B1902)&gt;0),INT(B1902),0)</f>
        <v>0.0</v>
      </c>
      <c r="T1902" s="67">
        <f>IF(AND(ISNUMBER(J1902),N(J1902)&gt;=0),N(J1902),0)</f>
        <v>0.0</v>
      </c>
      <c r="U1902" s="67">
        <f>IF(AND(ISNUMBER(K1902),N(K1902)&gt;0),N(K1902),0)</f>
        <v>0.0</v>
      </c>
      <c r="V1902" s="67">
        <f>IF(AND(ISNUMBER(L1902),N(L1902)&gt;0),N(L1902),0)</f>
        <v>0.0</v>
      </c>
      <c r="W1902" s="67">
        <f>IF(AND(I1902="Terminée",S1902&gt;0,C1902&lt;&gt;"",ISNUMBER(MATCH(C1902,eq_code,0))),1,0)</f>
        <v>0.0</v>
      </c>
      <c r="X1902" s="67">
        <f>IF(AND(W1902=1,E1902="Préventif"),1,0)</f>
        <v>0.0</v>
      </c>
      <c r="Y1902" s="67">
        <f>IF(AND(ISNUMBER(N1902),N(N1902)&gt;0),N(N1902),0)</f>
        <v>0.0</v>
      </c>
      <c r="Z1902" s="67">
        <f>IF(AND(ISNUMBER(P1902),N(P1902)&gt;0),N(P1902),0)</f>
        <v>0.0</v>
      </c>
    </row>
    <row r="1903">
      <c r="A1903" s="79" t="str">
        <f>IF(COUNTA(B1903:C1903,E1903:G1903,I1903)=0,"","BI-"&amp;RIGHT("0000"&amp;(ROW()-5),4))</f>
        <v/>
      </c>
      <c r="B1903" s="72" t="n"/>
      <c r="C1903" s="66" t="n"/>
      <c r="D1903" s="67" t="str">
        <f>IF(C1903="","",IFERROR(INDEX(eq_des,MATCH(C1903,eq_code,0))&amp;"","Équipement inconnu"))</f>
        <v/>
      </c>
      <c r="E1903" s="68" t="n"/>
      <c r="F1903" s="68" t="n"/>
      <c r="G1903" s="66" t="n"/>
      <c r="H1903" s="66" t="n"/>
      <c r="I1903" s="68" t="n"/>
      <c r="J1903" s="73" t="n"/>
      <c r="K1903" s="71" t="n"/>
      <c r="L1903" s="71" t="n"/>
      <c r="M1903" s="66" t="n"/>
      <c r="N1903" s="80" t="n"/>
      <c r="O1903" s="81" t="str">
        <f>IF(A1903="","",ROUND(V1903*IFERROR(N(INDEX(tech_rate,MATCH(M1903,tech_name,0))),0),2))</f>
        <v/>
      </c>
      <c r="P1903" s="80" t="n"/>
      <c r="Q1903" s="81" t="str">
        <f>IF(A1903="","",ROUND(Y1903+O1903+Z1903,2))</f>
        <v/>
      </c>
      <c r="R1903" s="79" t="str">
        <f>IF(A1903="","",IF(S1903=0,"Date manquante ou invalide",IF(C1903="","Équipement manquant",IF(ISNA(MATCH(C1903,eq_code,0)),"Équipement inconnu",IF(E1903="","Type manquant",IF(AND(E1903&lt;&gt;"Préventif",E1903&lt;&gt;"Correctif",E1903&lt;&gt;"Amélioratif"),"Type inconnu",IF(I1903="","Statut manquant",IF(AND(I1903&lt;&gt;"Terminée",I1903&lt;&gt;"En cours",I1903&lt;&gt;"À faire",I1903&lt;&gt;"Annulée"),"Statut inconnu",IF(AND(E1903="Préventif",F1903=""),"Plan manquant (préventif)",IF(AND(F1903&lt;&gt;"",ISNA(MATCH(F1903,pl_num,0))),"Plan inconnu",IF(AND(F1903&lt;&gt;"",IFERROR(INDEX(pl_eq,MATCH(F1903,pl_num,0))&amp;"",C1903)&lt;&gt;C1903),"Plan d'un autre équipement",IF(AND(J1903&lt;&gt;"",OR(NOT(ISNUMBER(J1903)),N(J1903)&lt;0)),"Compteur invalide",IF(OR(AND(K1903&lt;&gt;"",OR(NOT(ISNUMBER(K1903)),N(K1903)&lt;0)),AND(L1903&lt;&gt;"",OR(NOT(ISNUMBER(L1903)),N(L1903)&lt;0))),"Durée invalide",IF(OR(AND(N1903&lt;&gt;"",OR(NOT(ISNUMBER(N1903)),N(N1903)&lt;0)),AND(P1903&lt;&gt;"",OR(NOT(ISNUMBER(P1903)),N(P1903)&lt;0))),"Coût invalide",IF(AND(M1903&lt;&gt;"",ISNA(MATCH(M1903,tech_name,0))),"Technicien inconnu",IF(AND(I1903="Terminée",S1903&gt;p_today),"Terminée à une date future",IF(AND(I1903="Terminée",V1903=0),"Durée d'intervention manquante",IF(AND(I1903="Terminée",E1903="Préventif",T1903=0,OR(IFERROR(INDEX(pl_trig,MATCH(F1903,pl_num,0))&amp;"","")="Compteur",IFERROR(INDEX(pl_trig,MATCH(F1903,pl_num,0))&amp;"","")="Au premier des deux")),"Compteur manquant (plan au compteur)","OK"))))))))))))))))))</f>
        <v/>
      </c>
      <c r="S1903" s="67">
        <f>IF(AND(ISNUMBER(B1903),N(B1903)&gt;0),INT(B1903),0)</f>
        <v>0.0</v>
      </c>
      <c r="T1903" s="67">
        <f>IF(AND(ISNUMBER(J1903),N(J1903)&gt;=0),N(J1903),0)</f>
        <v>0.0</v>
      </c>
      <c r="U1903" s="67">
        <f>IF(AND(ISNUMBER(K1903),N(K1903)&gt;0),N(K1903),0)</f>
        <v>0.0</v>
      </c>
      <c r="V1903" s="67">
        <f>IF(AND(ISNUMBER(L1903),N(L1903)&gt;0),N(L1903),0)</f>
        <v>0.0</v>
      </c>
      <c r="W1903" s="67">
        <f>IF(AND(I1903="Terminée",S1903&gt;0,C1903&lt;&gt;"",ISNUMBER(MATCH(C1903,eq_code,0))),1,0)</f>
        <v>0.0</v>
      </c>
      <c r="X1903" s="67">
        <f>IF(AND(W1903=1,E1903="Préventif"),1,0)</f>
        <v>0.0</v>
      </c>
      <c r="Y1903" s="67">
        <f>IF(AND(ISNUMBER(N1903),N(N1903)&gt;0),N(N1903),0)</f>
        <v>0.0</v>
      </c>
      <c r="Z1903" s="67">
        <f>IF(AND(ISNUMBER(P1903),N(P1903)&gt;0),N(P1903),0)</f>
        <v>0.0</v>
      </c>
    </row>
    <row r="1904">
      <c r="A1904" s="79" t="str">
        <f>IF(COUNTA(B1904:C1904,E1904:G1904,I1904)=0,"","BI-"&amp;RIGHT("0000"&amp;(ROW()-5),4))</f>
        <v/>
      </c>
      <c r="B1904" s="72" t="n"/>
      <c r="C1904" s="66" t="n"/>
      <c r="D1904" s="67" t="str">
        <f>IF(C1904="","",IFERROR(INDEX(eq_des,MATCH(C1904,eq_code,0))&amp;"","Équipement inconnu"))</f>
        <v/>
      </c>
      <c r="E1904" s="68" t="n"/>
      <c r="F1904" s="68" t="n"/>
      <c r="G1904" s="66" t="n"/>
      <c r="H1904" s="66" t="n"/>
      <c r="I1904" s="68" t="n"/>
      <c r="J1904" s="73" t="n"/>
      <c r="K1904" s="71" t="n"/>
      <c r="L1904" s="71" t="n"/>
      <c r="M1904" s="66" t="n"/>
      <c r="N1904" s="80" t="n"/>
      <c r="O1904" s="81" t="str">
        <f>IF(A1904="","",ROUND(V1904*IFERROR(N(INDEX(tech_rate,MATCH(M1904,tech_name,0))),0),2))</f>
        <v/>
      </c>
      <c r="P1904" s="80" t="n"/>
      <c r="Q1904" s="81" t="str">
        <f>IF(A1904="","",ROUND(Y1904+O1904+Z1904,2))</f>
        <v/>
      </c>
      <c r="R1904" s="79" t="str">
        <f>IF(A1904="","",IF(S1904=0,"Date manquante ou invalide",IF(C1904="","Équipement manquant",IF(ISNA(MATCH(C1904,eq_code,0)),"Équipement inconnu",IF(E1904="","Type manquant",IF(AND(E1904&lt;&gt;"Préventif",E1904&lt;&gt;"Correctif",E1904&lt;&gt;"Amélioratif"),"Type inconnu",IF(I1904="","Statut manquant",IF(AND(I1904&lt;&gt;"Terminée",I1904&lt;&gt;"En cours",I1904&lt;&gt;"À faire",I1904&lt;&gt;"Annulée"),"Statut inconnu",IF(AND(E1904="Préventif",F1904=""),"Plan manquant (préventif)",IF(AND(F1904&lt;&gt;"",ISNA(MATCH(F1904,pl_num,0))),"Plan inconnu",IF(AND(F1904&lt;&gt;"",IFERROR(INDEX(pl_eq,MATCH(F1904,pl_num,0))&amp;"",C1904)&lt;&gt;C1904),"Plan d'un autre équipement",IF(AND(J1904&lt;&gt;"",OR(NOT(ISNUMBER(J1904)),N(J1904)&lt;0)),"Compteur invalide",IF(OR(AND(K1904&lt;&gt;"",OR(NOT(ISNUMBER(K1904)),N(K1904)&lt;0)),AND(L1904&lt;&gt;"",OR(NOT(ISNUMBER(L1904)),N(L1904)&lt;0))),"Durée invalide",IF(OR(AND(N1904&lt;&gt;"",OR(NOT(ISNUMBER(N1904)),N(N1904)&lt;0)),AND(P1904&lt;&gt;"",OR(NOT(ISNUMBER(P1904)),N(P1904)&lt;0))),"Coût invalide",IF(AND(M1904&lt;&gt;"",ISNA(MATCH(M1904,tech_name,0))),"Technicien inconnu",IF(AND(I1904="Terminée",S1904&gt;p_today),"Terminée à une date future",IF(AND(I1904="Terminée",V1904=0),"Durée d'intervention manquante",IF(AND(I1904="Terminée",E1904="Préventif",T1904=0,OR(IFERROR(INDEX(pl_trig,MATCH(F1904,pl_num,0))&amp;"","")="Compteur",IFERROR(INDEX(pl_trig,MATCH(F1904,pl_num,0))&amp;"","")="Au premier des deux")),"Compteur manquant (plan au compteur)","OK"))))))))))))))))))</f>
        <v/>
      </c>
      <c r="S1904" s="67">
        <f>IF(AND(ISNUMBER(B1904),N(B1904)&gt;0),INT(B1904),0)</f>
        <v>0.0</v>
      </c>
      <c r="T1904" s="67">
        <f>IF(AND(ISNUMBER(J1904),N(J1904)&gt;=0),N(J1904),0)</f>
        <v>0.0</v>
      </c>
      <c r="U1904" s="67">
        <f>IF(AND(ISNUMBER(K1904),N(K1904)&gt;0),N(K1904),0)</f>
        <v>0.0</v>
      </c>
      <c r="V1904" s="67">
        <f>IF(AND(ISNUMBER(L1904),N(L1904)&gt;0),N(L1904),0)</f>
        <v>0.0</v>
      </c>
      <c r="W1904" s="67">
        <f>IF(AND(I1904="Terminée",S1904&gt;0,C1904&lt;&gt;"",ISNUMBER(MATCH(C1904,eq_code,0))),1,0)</f>
        <v>0.0</v>
      </c>
      <c r="X1904" s="67">
        <f>IF(AND(W1904=1,E1904="Préventif"),1,0)</f>
        <v>0.0</v>
      </c>
      <c r="Y1904" s="67">
        <f>IF(AND(ISNUMBER(N1904),N(N1904)&gt;0),N(N1904),0)</f>
        <v>0.0</v>
      </c>
      <c r="Z1904" s="67">
        <f>IF(AND(ISNUMBER(P1904),N(P1904)&gt;0),N(P1904),0)</f>
        <v>0.0</v>
      </c>
    </row>
    <row r="1905">
      <c r="A1905" s="79" t="str">
        <f>IF(COUNTA(B1905:C1905,E1905:G1905,I1905)=0,"","BI-"&amp;RIGHT("0000"&amp;(ROW()-5),4))</f>
        <v/>
      </c>
      <c r="B1905" s="72" t="n"/>
      <c r="C1905" s="66" t="n"/>
      <c r="D1905" s="67" t="str">
        <f>IF(C1905="","",IFERROR(INDEX(eq_des,MATCH(C1905,eq_code,0))&amp;"","Équipement inconnu"))</f>
        <v/>
      </c>
      <c r="E1905" s="68" t="n"/>
      <c r="F1905" s="68" t="n"/>
      <c r="G1905" s="66" t="n"/>
      <c r="H1905" s="66" t="n"/>
      <c r="I1905" s="68" t="n"/>
      <c r="J1905" s="73" t="n"/>
      <c r="K1905" s="71" t="n"/>
      <c r="L1905" s="71" t="n"/>
      <c r="M1905" s="66" t="n"/>
      <c r="N1905" s="80" t="n"/>
      <c r="O1905" s="81" t="str">
        <f>IF(A1905="","",ROUND(V1905*IFERROR(N(INDEX(tech_rate,MATCH(M1905,tech_name,0))),0),2))</f>
        <v/>
      </c>
      <c r="P1905" s="80" t="n"/>
      <c r="Q1905" s="81" t="str">
        <f>IF(A1905="","",ROUND(Y1905+O1905+Z1905,2))</f>
        <v/>
      </c>
      <c r="R1905" s="79" t="str">
        <f>IF(A1905="","",IF(S1905=0,"Date manquante ou invalide",IF(C1905="","Équipement manquant",IF(ISNA(MATCH(C1905,eq_code,0)),"Équipement inconnu",IF(E1905="","Type manquant",IF(AND(E1905&lt;&gt;"Préventif",E1905&lt;&gt;"Correctif",E1905&lt;&gt;"Amélioratif"),"Type inconnu",IF(I1905="","Statut manquant",IF(AND(I1905&lt;&gt;"Terminée",I1905&lt;&gt;"En cours",I1905&lt;&gt;"À faire",I1905&lt;&gt;"Annulée"),"Statut inconnu",IF(AND(E1905="Préventif",F1905=""),"Plan manquant (préventif)",IF(AND(F1905&lt;&gt;"",ISNA(MATCH(F1905,pl_num,0))),"Plan inconnu",IF(AND(F1905&lt;&gt;"",IFERROR(INDEX(pl_eq,MATCH(F1905,pl_num,0))&amp;"",C1905)&lt;&gt;C1905),"Plan d'un autre équipement",IF(AND(J1905&lt;&gt;"",OR(NOT(ISNUMBER(J1905)),N(J1905)&lt;0)),"Compteur invalide",IF(OR(AND(K1905&lt;&gt;"",OR(NOT(ISNUMBER(K1905)),N(K1905)&lt;0)),AND(L1905&lt;&gt;"",OR(NOT(ISNUMBER(L1905)),N(L1905)&lt;0))),"Durée invalide",IF(OR(AND(N1905&lt;&gt;"",OR(NOT(ISNUMBER(N1905)),N(N1905)&lt;0)),AND(P1905&lt;&gt;"",OR(NOT(ISNUMBER(P1905)),N(P1905)&lt;0))),"Coût invalide",IF(AND(M1905&lt;&gt;"",ISNA(MATCH(M1905,tech_name,0))),"Technicien inconnu",IF(AND(I1905="Terminée",S1905&gt;p_today),"Terminée à une date future",IF(AND(I1905="Terminée",V1905=0),"Durée d'intervention manquante",IF(AND(I1905="Terminée",E1905="Préventif",T1905=0,OR(IFERROR(INDEX(pl_trig,MATCH(F1905,pl_num,0))&amp;"","")="Compteur",IFERROR(INDEX(pl_trig,MATCH(F1905,pl_num,0))&amp;"","")="Au premier des deux")),"Compteur manquant (plan au compteur)","OK"))))))))))))))))))</f>
        <v/>
      </c>
      <c r="S1905" s="67">
        <f>IF(AND(ISNUMBER(B1905),N(B1905)&gt;0),INT(B1905),0)</f>
        <v>0.0</v>
      </c>
      <c r="T1905" s="67">
        <f>IF(AND(ISNUMBER(J1905),N(J1905)&gt;=0),N(J1905),0)</f>
        <v>0.0</v>
      </c>
      <c r="U1905" s="67">
        <f>IF(AND(ISNUMBER(K1905),N(K1905)&gt;0),N(K1905),0)</f>
        <v>0.0</v>
      </c>
      <c r="V1905" s="67">
        <f>IF(AND(ISNUMBER(L1905),N(L1905)&gt;0),N(L1905),0)</f>
        <v>0.0</v>
      </c>
      <c r="W1905" s="67">
        <f>IF(AND(I1905="Terminée",S1905&gt;0,C1905&lt;&gt;"",ISNUMBER(MATCH(C1905,eq_code,0))),1,0)</f>
        <v>0.0</v>
      </c>
      <c r="X1905" s="67">
        <f>IF(AND(W1905=1,E1905="Préventif"),1,0)</f>
        <v>0.0</v>
      </c>
      <c r="Y1905" s="67">
        <f>IF(AND(ISNUMBER(N1905),N(N1905)&gt;0),N(N1905),0)</f>
        <v>0.0</v>
      </c>
      <c r="Z1905" s="67">
        <f>IF(AND(ISNUMBER(P1905),N(P1905)&gt;0),N(P1905),0)</f>
        <v>0.0</v>
      </c>
    </row>
    <row r="1906">
      <c r="A1906" s="79" t="str">
        <f>IF(COUNTA(B1906:C1906,E1906:G1906,I1906)=0,"","BI-"&amp;RIGHT("0000"&amp;(ROW()-5),4))</f>
        <v/>
      </c>
      <c r="B1906" s="72" t="n"/>
      <c r="C1906" s="66" t="n"/>
      <c r="D1906" s="67" t="str">
        <f>IF(C1906="","",IFERROR(INDEX(eq_des,MATCH(C1906,eq_code,0))&amp;"","Équipement inconnu"))</f>
        <v/>
      </c>
      <c r="E1906" s="68" t="n"/>
      <c r="F1906" s="68" t="n"/>
      <c r="G1906" s="66" t="n"/>
      <c r="H1906" s="66" t="n"/>
      <c r="I1906" s="68" t="n"/>
      <c r="J1906" s="73" t="n"/>
      <c r="K1906" s="71" t="n"/>
      <c r="L1906" s="71" t="n"/>
      <c r="M1906" s="66" t="n"/>
      <c r="N1906" s="80" t="n"/>
      <c r="O1906" s="81" t="str">
        <f>IF(A1906="","",ROUND(V1906*IFERROR(N(INDEX(tech_rate,MATCH(M1906,tech_name,0))),0),2))</f>
        <v/>
      </c>
      <c r="P1906" s="80" t="n"/>
      <c r="Q1906" s="81" t="str">
        <f>IF(A1906="","",ROUND(Y1906+O1906+Z1906,2))</f>
        <v/>
      </c>
      <c r="R1906" s="79" t="str">
        <f>IF(A1906="","",IF(S1906=0,"Date manquante ou invalide",IF(C1906="","Équipement manquant",IF(ISNA(MATCH(C1906,eq_code,0)),"Équipement inconnu",IF(E1906="","Type manquant",IF(AND(E1906&lt;&gt;"Préventif",E1906&lt;&gt;"Correctif",E1906&lt;&gt;"Amélioratif"),"Type inconnu",IF(I1906="","Statut manquant",IF(AND(I1906&lt;&gt;"Terminée",I1906&lt;&gt;"En cours",I1906&lt;&gt;"À faire",I1906&lt;&gt;"Annulée"),"Statut inconnu",IF(AND(E1906="Préventif",F1906=""),"Plan manquant (préventif)",IF(AND(F1906&lt;&gt;"",ISNA(MATCH(F1906,pl_num,0))),"Plan inconnu",IF(AND(F1906&lt;&gt;"",IFERROR(INDEX(pl_eq,MATCH(F1906,pl_num,0))&amp;"",C1906)&lt;&gt;C1906),"Plan d'un autre équipement",IF(AND(J1906&lt;&gt;"",OR(NOT(ISNUMBER(J1906)),N(J1906)&lt;0)),"Compteur invalide",IF(OR(AND(K1906&lt;&gt;"",OR(NOT(ISNUMBER(K1906)),N(K1906)&lt;0)),AND(L1906&lt;&gt;"",OR(NOT(ISNUMBER(L1906)),N(L1906)&lt;0))),"Durée invalide",IF(OR(AND(N1906&lt;&gt;"",OR(NOT(ISNUMBER(N1906)),N(N1906)&lt;0)),AND(P1906&lt;&gt;"",OR(NOT(ISNUMBER(P1906)),N(P1906)&lt;0))),"Coût invalide",IF(AND(M1906&lt;&gt;"",ISNA(MATCH(M1906,tech_name,0))),"Technicien inconnu",IF(AND(I1906="Terminée",S1906&gt;p_today),"Terminée à une date future",IF(AND(I1906="Terminée",V1906=0),"Durée d'intervention manquante",IF(AND(I1906="Terminée",E1906="Préventif",T1906=0,OR(IFERROR(INDEX(pl_trig,MATCH(F1906,pl_num,0))&amp;"","")="Compteur",IFERROR(INDEX(pl_trig,MATCH(F1906,pl_num,0))&amp;"","")="Au premier des deux")),"Compteur manquant (plan au compteur)","OK"))))))))))))))))))</f>
        <v/>
      </c>
      <c r="S1906" s="67">
        <f>IF(AND(ISNUMBER(B1906),N(B1906)&gt;0),INT(B1906),0)</f>
        <v>0.0</v>
      </c>
      <c r="T1906" s="67">
        <f>IF(AND(ISNUMBER(J1906),N(J1906)&gt;=0),N(J1906),0)</f>
        <v>0.0</v>
      </c>
      <c r="U1906" s="67">
        <f>IF(AND(ISNUMBER(K1906),N(K1906)&gt;0),N(K1906),0)</f>
        <v>0.0</v>
      </c>
      <c r="V1906" s="67">
        <f>IF(AND(ISNUMBER(L1906),N(L1906)&gt;0),N(L1906),0)</f>
        <v>0.0</v>
      </c>
      <c r="W1906" s="67">
        <f>IF(AND(I1906="Terminée",S1906&gt;0,C1906&lt;&gt;"",ISNUMBER(MATCH(C1906,eq_code,0))),1,0)</f>
        <v>0.0</v>
      </c>
      <c r="X1906" s="67">
        <f>IF(AND(W1906=1,E1906="Préventif"),1,0)</f>
        <v>0.0</v>
      </c>
      <c r="Y1906" s="67">
        <f>IF(AND(ISNUMBER(N1906),N(N1906)&gt;0),N(N1906),0)</f>
        <v>0.0</v>
      </c>
      <c r="Z1906" s="67">
        <f>IF(AND(ISNUMBER(P1906),N(P1906)&gt;0),N(P1906),0)</f>
        <v>0.0</v>
      </c>
    </row>
    <row r="1907">
      <c r="A1907" s="79" t="str">
        <f>IF(COUNTA(B1907:C1907,E1907:G1907,I1907)=0,"","BI-"&amp;RIGHT("0000"&amp;(ROW()-5),4))</f>
        <v/>
      </c>
      <c r="B1907" s="72" t="n"/>
      <c r="C1907" s="66" t="n"/>
      <c r="D1907" s="67" t="str">
        <f>IF(C1907="","",IFERROR(INDEX(eq_des,MATCH(C1907,eq_code,0))&amp;"","Équipement inconnu"))</f>
        <v/>
      </c>
      <c r="E1907" s="68" t="n"/>
      <c r="F1907" s="68" t="n"/>
      <c r="G1907" s="66" t="n"/>
      <c r="H1907" s="66" t="n"/>
      <c r="I1907" s="68" t="n"/>
      <c r="J1907" s="73" t="n"/>
      <c r="K1907" s="71" t="n"/>
      <c r="L1907" s="71" t="n"/>
      <c r="M1907" s="66" t="n"/>
      <c r="N1907" s="80" t="n"/>
      <c r="O1907" s="81" t="str">
        <f>IF(A1907="","",ROUND(V1907*IFERROR(N(INDEX(tech_rate,MATCH(M1907,tech_name,0))),0),2))</f>
        <v/>
      </c>
      <c r="P1907" s="80" t="n"/>
      <c r="Q1907" s="81" t="str">
        <f>IF(A1907="","",ROUND(Y1907+O1907+Z1907,2))</f>
        <v/>
      </c>
      <c r="R1907" s="79" t="str">
        <f>IF(A1907="","",IF(S1907=0,"Date manquante ou invalide",IF(C1907="","Équipement manquant",IF(ISNA(MATCH(C1907,eq_code,0)),"Équipement inconnu",IF(E1907="","Type manquant",IF(AND(E1907&lt;&gt;"Préventif",E1907&lt;&gt;"Correctif",E1907&lt;&gt;"Amélioratif"),"Type inconnu",IF(I1907="","Statut manquant",IF(AND(I1907&lt;&gt;"Terminée",I1907&lt;&gt;"En cours",I1907&lt;&gt;"À faire",I1907&lt;&gt;"Annulée"),"Statut inconnu",IF(AND(E1907="Préventif",F1907=""),"Plan manquant (préventif)",IF(AND(F1907&lt;&gt;"",ISNA(MATCH(F1907,pl_num,0))),"Plan inconnu",IF(AND(F1907&lt;&gt;"",IFERROR(INDEX(pl_eq,MATCH(F1907,pl_num,0))&amp;"",C1907)&lt;&gt;C1907),"Plan d'un autre équipement",IF(AND(J1907&lt;&gt;"",OR(NOT(ISNUMBER(J1907)),N(J1907)&lt;0)),"Compteur invalide",IF(OR(AND(K1907&lt;&gt;"",OR(NOT(ISNUMBER(K1907)),N(K1907)&lt;0)),AND(L1907&lt;&gt;"",OR(NOT(ISNUMBER(L1907)),N(L1907)&lt;0))),"Durée invalide",IF(OR(AND(N1907&lt;&gt;"",OR(NOT(ISNUMBER(N1907)),N(N1907)&lt;0)),AND(P1907&lt;&gt;"",OR(NOT(ISNUMBER(P1907)),N(P1907)&lt;0))),"Coût invalide",IF(AND(M1907&lt;&gt;"",ISNA(MATCH(M1907,tech_name,0))),"Technicien inconnu",IF(AND(I1907="Terminée",S1907&gt;p_today),"Terminée à une date future",IF(AND(I1907="Terminée",V1907=0),"Durée d'intervention manquante",IF(AND(I1907="Terminée",E1907="Préventif",T1907=0,OR(IFERROR(INDEX(pl_trig,MATCH(F1907,pl_num,0))&amp;"","")="Compteur",IFERROR(INDEX(pl_trig,MATCH(F1907,pl_num,0))&amp;"","")="Au premier des deux")),"Compteur manquant (plan au compteur)","OK"))))))))))))))))))</f>
        <v/>
      </c>
      <c r="S1907" s="67">
        <f>IF(AND(ISNUMBER(B1907),N(B1907)&gt;0),INT(B1907),0)</f>
        <v>0.0</v>
      </c>
      <c r="T1907" s="67">
        <f>IF(AND(ISNUMBER(J1907),N(J1907)&gt;=0),N(J1907),0)</f>
        <v>0.0</v>
      </c>
      <c r="U1907" s="67">
        <f>IF(AND(ISNUMBER(K1907),N(K1907)&gt;0),N(K1907),0)</f>
        <v>0.0</v>
      </c>
      <c r="V1907" s="67">
        <f>IF(AND(ISNUMBER(L1907),N(L1907)&gt;0),N(L1907),0)</f>
        <v>0.0</v>
      </c>
      <c r="W1907" s="67">
        <f>IF(AND(I1907="Terminée",S1907&gt;0,C1907&lt;&gt;"",ISNUMBER(MATCH(C1907,eq_code,0))),1,0)</f>
        <v>0.0</v>
      </c>
      <c r="X1907" s="67">
        <f>IF(AND(W1907=1,E1907="Préventif"),1,0)</f>
        <v>0.0</v>
      </c>
      <c r="Y1907" s="67">
        <f>IF(AND(ISNUMBER(N1907),N(N1907)&gt;0),N(N1907),0)</f>
        <v>0.0</v>
      </c>
      <c r="Z1907" s="67">
        <f>IF(AND(ISNUMBER(P1907),N(P1907)&gt;0),N(P1907),0)</f>
        <v>0.0</v>
      </c>
    </row>
    <row r="1908">
      <c r="A1908" s="79" t="str">
        <f>IF(COUNTA(B1908:C1908,E1908:G1908,I1908)=0,"","BI-"&amp;RIGHT("0000"&amp;(ROW()-5),4))</f>
        <v/>
      </c>
      <c r="B1908" s="72" t="n"/>
      <c r="C1908" s="66" t="n"/>
      <c r="D1908" s="67" t="str">
        <f>IF(C1908="","",IFERROR(INDEX(eq_des,MATCH(C1908,eq_code,0))&amp;"","Équipement inconnu"))</f>
        <v/>
      </c>
      <c r="E1908" s="68" t="n"/>
      <c r="F1908" s="68" t="n"/>
      <c r="G1908" s="66" t="n"/>
      <c r="H1908" s="66" t="n"/>
      <c r="I1908" s="68" t="n"/>
      <c r="J1908" s="73" t="n"/>
      <c r="K1908" s="71" t="n"/>
      <c r="L1908" s="71" t="n"/>
      <c r="M1908" s="66" t="n"/>
      <c r="N1908" s="80" t="n"/>
      <c r="O1908" s="81" t="str">
        <f>IF(A1908="","",ROUND(V1908*IFERROR(N(INDEX(tech_rate,MATCH(M1908,tech_name,0))),0),2))</f>
        <v/>
      </c>
      <c r="P1908" s="80" t="n"/>
      <c r="Q1908" s="81" t="str">
        <f>IF(A1908="","",ROUND(Y1908+O1908+Z1908,2))</f>
        <v/>
      </c>
      <c r="R1908" s="79" t="str">
        <f>IF(A1908="","",IF(S1908=0,"Date manquante ou invalide",IF(C1908="","Équipement manquant",IF(ISNA(MATCH(C1908,eq_code,0)),"Équipement inconnu",IF(E1908="","Type manquant",IF(AND(E1908&lt;&gt;"Préventif",E1908&lt;&gt;"Correctif",E1908&lt;&gt;"Amélioratif"),"Type inconnu",IF(I1908="","Statut manquant",IF(AND(I1908&lt;&gt;"Terminée",I1908&lt;&gt;"En cours",I1908&lt;&gt;"À faire",I1908&lt;&gt;"Annulée"),"Statut inconnu",IF(AND(E1908="Préventif",F1908=""),"Plan manquant (préventif)",IF(AND(F1908&lt;&gt;"",ISNA(MATCH(F1908,pl_num,0))),"Plan inconnu",IF(AND(F1908&lt;&gt;"",IFERROR(INDEX(pl_eq,MATCH(F1908,pl_num,0))&amp;"",C1908)&lt;&gt;C1908),"Plan d'un autre équipement",IF(AND(J1908&lt;&gt;"",OR(NOT(ISNUMBER(J1908)),N(J1908)&lt;0)),"Compteur invalide",IF(OR(AND(K1908&lt;&gt;"",OR(NOT(ISNUMBER(K1908)),N(K1908)&lt;0)),AND(L1908&lt;&gt;"",OR(NOT(ISNUMBER(L1908)),N(L1908)&lt;0))),"Durée invalide",IF(OR(AND(N1908&lt;&gt;"",OR(NOT(ISNUMBER(N1908)),N(N1908)&lt;0)),AND(P1908&lt;&gt;"",OR(NOT(ISNUMBER(P1908)),N(P1908)&lt;0))),"Coût invalide",IF(AND(M1908&lt;&gt;"",ISNA(MATCH(M1908,tech_name,0))),"Technicien inconnu",IF(AND(I1908="Terminée",S1908&gt;p_today),"Terminée à une date future",IF(AND(I1908="Terminée",V1908=0),"Durée d'intervention manquante",IF(AND(I1908="Terminée",E1908="Préventif",T1908=0,OR(IFERROR(INDEX(pl_trig,MATCH(F1908,pl_num,0))&amp;"","")="Compteur",IFERROR(INDEX(pl_trig,MATCH(F1908,pl_num,0))&amp;"","")="Au premier des deux")),"Compteur manquant (plan au compteur)","OK"))))))))))))))))))</f>
        <v/>
      </c>
      <c r="S1908" s="67">
        <f>IF(AND(ISNUMBER(B1908),N(B1908)&gt;0),INT(B1908),0)</f>
        <v>0.0</v>
      </c>
      <c r="T1908" s="67">
        <f>IF(AND(ISNUMBER(J1908),N(J1908)&gt;=0),N(J1908),0)</f>
        <v>0.0</v>
      </c>
      <c r="U1908" s="67">
        <f>IF(AND(ISNUMBER(K1908),N(K1908)&gt;0),N(K1908),0)</f>
        <v>0.0</v>
      </c>
      <c r="V1908" s="67">
        <f>IF(AND(ISNUMBER(L1908),N(L1908)&gt;0),N(L1908),0)</f>
        <v>0.0</v>
      </c>
      <c r="W1908" s="67">
        <f>IF(AND(I1908="Terminée",S1908&gt;0,C1908&lt;&gt;"",ISNUMBER(MATCH(C1908,eq_code,0))),1,0)</f>
        <v>0.0</v>
      </c>
      <c r="X1908" s="67">
        <f>IF(AND(W1908=1,E1908="Préventif"),1,0)</f>
        <v>0.0</v>
      </c>
      <c r="Y1908" s="67">
        <f>IF(AND(ISNUMBER(N1908),N(N1908)&gt;0),N(N1908),0)</f>
        <v>0.0</v>
      </c>
      <c r="Z1908" s="67">
        <f>IF(AND(ISNUMBER(P1908),N(P1908)&gt;0),N(P1908),0)</f>
        <v>0.0</v>
      </c>
    </row>
    <row r="1909">
      <c r="A1909" s="79" t="str">
        <f>IF(COUNTA(B1909:C1909,E1909:G1909,I1909)=0,"","BI-"&amp;RIGHT("0000"&amp;(ROW()-5),4))</f>
        <v/>
      </c>
      <c r="B1909" s="72" t="n"/>
      <c r="C1909" s="66" t="n"/>
      <c r="D1909" s="67" t="str">
        <f>IF(C1909="","",IFERROR(INDEX(eq_des,MATCH(C1909,eq_code,0))&amp;"","Équipement inconnu"))</f>
        <v/>
      </c>
      <c r="E1909" s="68" t="n"/>
      <c r="F1909" s="68" t="n"/>
      <c r="G1909" s="66" t="n"/>
      <c r="H1909" s="66" t="n"/>
      <c r="I1909" s="68" t="n"/>
      <c r="J1909" s="73" t="n"/>
      <c r="K1909" s="71" t="n"/>
      <c r="L1909" s="71" t="n"/>
      <c r="M1909" s="66" t="n"/>
      <c r="N1909" s="80" t="n"/>
      <c r="O1909" s="81" t="str">
        <f>IF(A1909="","",ROUND(V1909*IFERROR(N(INDEX(tech_rate,MATCH(M1909,tech_name,0))),0),2))</f>
        <v/>
      </c>
      <c r="P1909" s="80" t="n"/>
      <c r="Q1909" s="81" t="str">
        <f>IF(A1909="","",ROUND(Y1909+O1909+Z1909,2))</f>
        <v/>
      </c>
      <c r="R1909" s="79" t="str">
        <f>IF(A1909="","",IF(S1909=0,"Date manquante ou invalide",IF(C1909="","Équipement manquant",IF(ISNA(MATCH(C1909,eq_code,0)),"Équipement inconnu",IF(E1909="","Type manquant",IF(AND(E1909&lt;&gt;"Préventif",E1909&lt;&gt;"Correctif",E1909&lt;&gt;"Amélioratif"),"Type inconnu",IF(I1909="","Statut manquant",IF(AND(I1909&lt;&gt;"Terminée",I1909&lt;&gt;"En cours",I1909&lt;&gt;"À faire",I1909&lt;&gt;"Annulée"),"Statut inconnu",IF(AND(E1909="Préventif",F1909=""),"Plan manquant (préventif)",IF(AND(F1909&lt;&gt;"",ISNA(MATCH(F1909,pl_num,0))),"Plan inconnu",IF(AND(F1909&lt;&gt;"",IFERROR(INDEX(pl_eq,MATCH(F1909,pl_num,0))&amp;"",C1909)&lt;&gt;C1909),"Plan d'un autre équipement",IF(AND(J1909&lt;&gt;"",OR(NOT(ISNUMBER(J1909)),N(J1909)&lt;0)),"Compteur invalide",IF(OR(AND(K1909&lt;&gt;"",OR(NOT(ISNUMBER(K1909)),N(K1909)&lt;0)),AND(L1909&lt;&gt;"",OR(NOT(ISNUMBER(L1909)),N(L1909)&lt;0))),"Durée invalide",IF(OR(AND(N1909&lt;&gt;"",OR(NOT(ISNUMBER(N1909)),N(N1909)&lt;0)),AND(P1909&lt;&gt;"",OR(NOT(ISNUMBER(P1909)),N(P1909)&lt;0))),"Coût invalide",IF(AND(M1909&lt;&gt;"",ISNA(MATCH(M1909,tech_name,0))),"Technicien inconnu",IF(AND(I1909="Terminée",S1909&gt;p_today),"Terminée à une date future",IF(AND(I1909="Terminée",V1909=0),"Durée d'intervention manquante",IF(AND(I1909="Terminée",E1909="Préventif",T1909=0,OR(IFERROR(INDEX(pl_trig,MATCH(F1909,pl_num,0))&amp;"","")="Compteur",IFERROR(INDEX(pl_trig,MATCH(F1909,pl_num,0))&amp;"","")="Au premier des deux")),"Compteur manquant (plan au compteur)","OK"))))))))))))))))))</f>
        <v/>
      </c>
      <c r="S1909" s="67">
        <f>IF(AND(ISNUMBER(B1909),N(B1909)&gt;0),INT(B1909),0)</f>
        <v>0.0</v>
      </c>
      <c r="T1909" s="67">
        <f>IF(AND(ISNUMBER(J1909),N(J1909)&gt;=0),N(J1909),0)</f>
        <v>0.0</v>
      </c>
      <c r="U1909" s="67">
        <f>IF(AND(ISNUMBER(K1909),N(K1909)&gt;0),N(K1909),0)</f>
        <v>0.0</v>
      </c>
      <c r="V1909" s="67">
        <f>IF(AND(ISNUMBER(L1909),N(L1909)&gt;0),N(L1909),0)</f>
        <v>0.0</v>
      </c>
      <c r="W1909" s="67">
        <f>IF(AND(I1909="Terminée",S1909&gt;0,C1909&lt;&gt;"",ISNUMBER(MATCH(C1909,eq_code,0))),1,0)</f>
        <v>0.0</v>
      </c>
      <c r="X1909" s="67">
        <f>IF(AND(W1909=1,E1909="Préventif"),1,0)</f>
        <v>0.0</v>
      </c>
      <c r="Y1909" s="67">
        <f>IF(AND(ISNUMBER(N1909),N(N1909)&gt;0),N(N1909),0)</f>
        <v>0.0</v>
      </c>
      <c r="Z1909" s="67">
        <f>IF(AND(ISNUMBER(P1909),N(P1909)&gt;0),N(P1909),0)</f>
        <v>0.0</v>
      </c>
    </row>
    <row r="1910">
      <c r="A1910" s="79" t="str">
        <f>IF(COUNTA(B1910:C1910,E1910:G1910,I1910)=0,"","BI-"&amp;RIGHT("0000"&amp;(ROW()-5),4))</f>
        <v/>
      </c>
      <c r="B1910" s="72" t="n"/>
      <c r="C1910" s="66" t="n"/>
      <c r="D1910" s="67" t="str">
        <f>IF(C1910="","",IFERROR(INDEX(eq_des,MATCH(C1910,eq_code,0))&amp;"","Équipement inconnu"))</f>
        <v/>
      </c>
      <c r="E1910" s="68" t="n"/>
      <c r="F1910" s="68" t="n"/>
      <c r="G1910" s="66" t="n"/>
      <c r="H1910" s="66" t="n"/>
      <c r="I1910" s="68" t="n"/>
      <c r="J1910" s="73" t="n"/>
      <c r="K1910" s="71" t="n"/>
      <c r="L1910" s="71" t="n"/>
      <c r="M1910" s="66" t="n"/>
      <c r="N1910" s="80" t="n"/>
      <c r="O1910" s="81" t="str">
        <f>IF(A1910="","",ROUND(V1910*IFERROR(N(INDEX(tech_rate,MATCH(M1910,tech_name,0))),0),2))</f>
        <v/>
      </c>
      <c r="P1910" s="80" t="n"/>
      <c r="Q1910" s="81" t="str">
        <f>IF(A1910="","",ROUND(Y1910+O1910+Z1910,2))</f>
        <v/>
      </c>
      <c r="R1910" s="79" t="str">
        <f>IF(A1910="","",IF(S1910=0,"Date manquante ou invalide",IF(C1910="","Équipement manquant",IF(ISNA(MATCH(C1910,eq_code,0)),"Équipement inconnu",IF(E1910="","Type manquant",IF(AND(E1910&lt;&gt;"Préventif",E1910&lt;&gt;"Correctif",E1910&lt;&gt;"Amélioratif"),"Type inconnu",IF(I1910="","Statut manquant",IF(AND(I1910&lt;&gt;"Terminée",I1910&lt;&gt;"En cours",I1910&lt;&gt;"À faire",I1910&lt;&gt;"Annulée"),"Statut inconnu",IF(AND(E1910="Préventif",F1910=""),"Plan manquant (préventif)",IF(AND(F1910&lt;&gt;"",ISNA(MATCH(F1910,pl_num,0))),"Plan inconnu",IF(AND(F1910&lt;&gt;"",IFERROR(INDEX(pl_eq,MATCH(F1910,pl_num,0))&amp;"",C1910)&lt;&gt;C1910),"Plan d'un autre équipement",IF(AND(J1910&lt;&gt;"",OR(NOT(ISNUMBER(J1910)),N(J1910)&lt;0)),"Compteur invalide",IF(OR(AND(K1910&lt;&gt;"",OR(NOT(ISNUMBER(K1910)),N(K1910)&lt;0)),AND(L1910&lt;&gt;"",OR(NOT(ISNUMBER(L1910)),N(L1910)&lt;0))),"Durée invalide",IF(OR(AND(N1910&lt;&gt;"",OR(NOT(ISNUMBER(N1910)),N(N1910)&lt;0)),AND(P1910&lt;&gt;"",OR(NOT(ISNUMBER(P1910)),N(P1910)&lt;0))),"Coût invalide",IF(AND(M1910&lt;&gt;"",ISNA(MATCH(M1910,tech_name,0))),"Technicien inconnu",IF(AND(I1910="Terminée",S1910&gt;p_today),"Terminée à une date future",IF(AND(I1910="Terminée",V1910=0),"Durée d'intervention manquante",IF(AND(I1910="Terminée",E1910="Préventif",T1910=0,OR(IFERROR(INDEX(pl_trig,MATCH(F1910,pl_num,0))&amp;"","")="Compteur",IFERROR(INDEX(pl_trig,MATCH(F1910,pl_num,0))&amp;"","")="Au premier des deux")),"Compteur manquant (plan au compteur)","OK"))))))))))))))))))</f>
        <v/>
      </c>
      <c r="S1910" s="67">
        <f>IF(AND(ISNUMBER(B1910),N(B1910)&gt;0),INT(B1910),0)</f>
        <v>0.0</v>
      </c>
      <c r="T1910" s="67">
        <f>IF(AND(ISNUMBER(J1910),N(J1910)&gt;=0),N(J1910),0)</f>
        <v>0.0</v>
      </c>
      <c r="U1910" s="67">
        <f>IF(AND(ISNUMBER(K1910),N(K1910)&gt;0),N(K1910),0)</f>
        <v>0.0</v>
      </c>
      <c r="V1910" s="67">
        <f>IF(AND(ISNUMBER(L1910),N(L1910)&gt;0),N(L1910),0)</f>
        <v>0.0</v>
      </c>
      <c r="W1910" s="67">
        <f>IF(AND(I1910="Terminée",S1910&gt;0,C1910&lt;&gt;"",ISNUMBER(MATCH(C1910,eq_code,0))),1,0)</f>
        <v>0.0</v>
      </c>
      <c r="X1910" s="67">
        <f>IF(AND(W1910=1,E1910="Préventif"),1,0)</f>
        <v>0.0</v>
      </c>
      <c r="Y1910" s="67">
        <f>IF(AND(ISNUMBER(N1910),N(N1910)&gt;0),N(N1910),0)</f>
        <v>0.0</v>
      </c>
      <c r="Z1910" s="67">
        <f>IF(AND(ISNUMBER(P1910),N(P1910)&gt;0),N(P1910),0)</f>
        <v>0.0</v>
      </c>
    </row>
    <row r="1911">
      <c r="A1911" s="79" t="str">
        <f>IF(COUNTA(B1911:C1911,E1911:G1911,I1911)=0,"","BI-"&amp;RIGHT("0000"&amp;(ROW()-5),4))</f>
        <v/>
      </c>
      <c r="B1911" s="72" t="n"/>
      <c r="C1911" s="66" t="n"/>
      <c r="D1911" s="67" t="str">
        <f>IF(C1911="","",IFERROR(INDEX(eq_des,MATCH(C1911,eq_code,0))&amp;"","Équipement inconnu"))</f>
        <v/>
      </c>
      <c r="E1911" s="68" t="n"/>
      <c r="F1911" s="68" t="n"/>
      <c r="G1911" s="66" t="n"/>
      <c r="H1911" s="66" t="n"/>
      <c r="I1911" s="68" t="n"/>
      <c r="J1911" s="73" t="n"/>
      <c r="K1911" s="71" t="n"/>
      <c r="L1911" s="71" t="n"/>
      <c r="M1911" s="66" t="n"/>
      <c r="N1911" s="80" t="n"/>
      <c r="O1911" s="81" t="str">
        <f>IF(A1911="","",ROUND(V1911*IFERROR(N(INDEX(tech_rate,MATCH(M1911,tech_name,0))),0),2))</f>
        <v/>
      </c>
      <c r="P1911" s="80" t="n"/>
      <c r="Q1911" s="81" t="str">
        <f>IF(A1911="","",ROUND(Y1911+O1911+Z1911,2))</f>
        <v/>
      </c>
      <c r="R1911" s="79" t="str">
        <f>IF(A1911="","",IF(S1911=0,"Date manquante ou invalide",IF(C1911="","Équipement manquant",IF(ISNA(MATCH(C1911,eq_code,0)),"Équipement inconnu",IF(E1911="","Type manquant",IF(AND(E1911&lt;&gt;"Préventif",E1911&lt;&gt;"Correctif",E1911&lt;&gt;"Amélioratif"),"Type inconnu",IF(I1911="","Statut manquant",IF(AND(I1911&lt;&gt;"Terminée",I1911&lt;&gt;"En cours",I1911&lt;&gt;"À faire",I1911&lt;&gt;"Annulée"),"Statut inconnu",IF(AND(E1911="Préventif",F1911=""),"Plan manquant (préventif)",IF(AND(F1911&lt;&gt;"",ISNA(MATCH(F1911,pl_num,0))),"Plan inconnu",IF(AND(F1911&lt;&gt;"",IFERROR(INDEX(pl_eq,MATCH(F1911,pl_num,0))&amp;"",C1911)&lt;&gt;C1911),"Plan d'un autre équipement",IF(AND(J1911&lt;&gt;"",OR(NOT(ISNUMBER(J1911)),N(J1911)&lt;0)),"Compteur invalide",IF(OR(AND(K1911&lt;&gt;"",OR(NOT(ISNUMBER(K1911)),N(K1911)&lt;0)),AND(L1911&lt;&gt;"",OR(NOT(ISNUMBER(L1911)),N(L1911)&lt;0))),"Durée invalide",IF(OR(AND(N1911&lt;&gt;"",OR(NOT(ISNUMBER(N1911)),N(N1911)&lt;0)),AND(P1911&lt;&gt;"",OR(NOT(ISNUMBER(P1911)),N(P1911)&lt;0))),"Coût invalide",IF(AND(M1911&lt;&gt;"",ISNA(MATCH(M1911,tech_name,0))),"Technicien inconnu",IF(AND(I1911="Terminée",S1911&gt;p_today),"Terminée à une date future",IF(AND(I1911="Terminée",V1911=0),"Durée d'intervention manquante",IF(AND(I1911="Terminée",E1911="Préventif",T1911=0,OR(IFERROR(INDEX(pl_trig,MATCH(F1911,pl_num,0))&amp;"","")="Compteur",IFERROR(INDEX(pl_trig,MATCH(F1911,pl_num,0))&amp;"","")="Au premier des deux")),"Compteur manquant (plan au compteur)","OK"))))))))))))))))))</f>
        <v/>
      </c>
      <c r="S1911" s="67">
        <f>IF(AND(ISNUMBER(B1911),N(B1911)&gt;0),INT(B1911),0)</f>
        <v>0.0</v>
      </c>
      <c r="T1911" s="67">
        <f>IF(AND(ISNUMBER(J1911),N(J1911)&gt;=0),N(J1911),0)</f>
        <v>0.0</v>
      </c>
      <c r="U1911" s="67">
        <f>IF(AND(ISNUMBER(K1911),N(K1911)&gt;0),N(K1911),0)</f>
        <v>0.0</v>
      </c>
      <c r="V1911" s="67">
        <f>IF(AND(ISNUMBER(L1911),N(L1911)&gt;0),N(L1911),0)</f>
        <v>0.0</v>
      </c>
      <c r="W1911" s="67">
        <f>IF(AND(I1911="Terminée",S1911&gt;0,C1911&lt;&gt;"",ISNUMBER(MATCH(C1911,eq_code,0))),1,0)</f>
        <v>0.0</v>
      </c>
      <c r="X1911" s="67">
        <f>IF(AND(W1911=1,E1911="Préventif"),1,0)</f>
        <v>0.0</v>
      </c>
      <c r="Y1911" s="67">
        <f>IF(AND(ISNUMBER(N1911),N(N1911)&gt;0),N(N1911),0)</f>
        <v>0.0</v>
      </c>
      <c r="Z1911" s="67">
        <f>IF(AND(ISNUMBER(P1911),N(P1911)&gt;0),N(P1911),0)</f>
        <v>0.0</v>
      </c>
    </row>
    <row r="1912">
      <c r="A1912" s="79" t="str">
        <f>IF(COUNTA(B1912:C1912,E1912:G1912,I1912)=0,"","BI-"&amp;RIGHT("0000"&amp;(ROW()-5),4))</f>
        <v/>
      </c>
      <c r="B1912" s="72" t="n"/>
      <c r="C1912" s="66" t="n"/>
      <c r="D1912" s="67" t="str">
        <f>IF(C1912="","",IFERROR(INDEX(eq_des,MATCH(C1912,eq_code,0))&amp;"","Équipement inconnu"))</f>
        <v/>
      </c>
      <c r="E1912" s="68" t="n"/>
      <c r="F1912" s="68" t="n"/>
      <c r="G1912" s="66" t="n"/>
      <c r="H1912" s="66" t="n"/>
      <c r="I1912" s="68" t="n"/>
      <c r="J1912" s="73" t="n"/>
      <c r="K1912" s="71" t="n"/>
      <c r="L1912" s="71" t="n"/>
      <c r="M1912" s="66" t="n"/>
      <c r="N1912" s="80" t="n"/>
      <c r="O1912" s="81" t="str">
        <f>IF(A1912="","",ROUND(V1912*IFERROR(N(INDEX(tech_rate,MATCH(M1912,tech_name,0))),0),2))</f>
        <v/>
      </c>
      <c r="P1912" s="80" t="n"/>
      <c r="Q1912" s="81" t="str">
        <f>IF(A1912="","",ROUND(Y1912+O1912+Z1912,2))</f>
        <v/>
      </c>
      <c r="R1912" s="79" t="str">
        <f>IF(A1912="","",IF(S1912=0,"Date manquante ou invalide",IF(C1912="","Équipement manquant",IF(ISNA(MATCH(C1912,eq_code,0)),"Équipement inconnu",IF(E1912="","Type manquant",IF(AND(E1912&lt;&gt;"Préventif",E1912&lt;&gt;"Correctif",E1912&lt;&gt;"Amélioratif"),"Type inconnu",IF(I1912="","Statut manquant",IF(AND(I1912&lt;&gt;"Terminée",I1912&lt;&gt;"En cours",I1912&lt;&gt;"À faire",I1912&lt;&gt;"Annulée"),"Statut inconnu",IF(AND(E1912="Préventif",F1912=""),"Plan manquant (préventif)",IF(AND(F1912&lt;&gt;"",ISNA(MATCH(F1912,pl_num,0))),"Plan inconnu",IF(AND(F1912&lt;&gt;"",IFERROR(INDEX(pl_eq,MATCH(F1912,pl_num,0))&amp;"",C1912)&lt;&gt;C1912),"Plan d'un autre équipement",IF(AND(J1912&lt;&gt;"",OR(NOT(ISNUMBER(J1912)),N(J1912)&lt;0)),"Compteur invalide",IF(OR(AND(K1912&lt;&gt;"",OR(NOT(ISNUMBER(K1912)),N(K1912)&lt;0)),AND(L1912&lt;&gt;"",OR(NOT(ISNUMBER(L1912)),N(L1912)&lt;0))),"Durée invalide",IF(OR(AND(N1912&lt;&gt;"",OR(NOT(ISNUMBER(N1912)),N(N1912)&lt;0)),AND(P1912&lt;&gt;"",OR(NOT(ISNUMBER(P1912)),N(P1912)&lt;0))),"Coût invalide",IF(AND(M1912&lt;&gt;"",ISNA(MATCH(M1912,tech_name,0))),"Technicien inconnu",IF(AND(I1912="Terminée",S1912&gt;p_today),"Terminée à une date future",IF(AND(I1912="Terminée",V1912=0),"Durée d'intervention manquante",IF(AND(I1912="Terminée",E1912="Préventif",T1912=0,OR(IFERROR(INDEX(pl_trig,MATCH(F1912,pl_num,0))&amp;"","")="Compteur",IFERROR(INDEX(pl_trig,MATCH(F1912,pl_num,0))&amp;"","")="Au premier des deux")),"Compteur manquant (plan au compteur)","OK"))))))))))))))))))</f>
        <v/>
      </c>
      <c r="S1912" s="67">
        <f>IF(AND(ISNUMBER(B1912),N(B1912)&gt;0),INT(B1912),0)</f>
        <v>0.0</v>
      </c>
      <c r="T1912" s="67">
        <f>IF(AND(ISNUMBER(J1912),N(J1912)&gt;=0),N(J1912),0)</f>
        <v>0.0</v>
      </c>
      <c r="U1912" s="67">
        <f>IF(AND(ISNUMBER(K1912),N(K1912)&gt;0),N(K1912),0)</f>
        <v>0.0</v>
      </c>
      <c r="V1912" s="67">
        <f>IF(AND(ISNUMBER(L1912),N(L1912)&gt;0),N(L1912),0)</f>
        <v>0.0</v>
      </c>
      <c r="W1912" s="67">
        <f>IF(AND(I1912="Terminée",S1912&gt;0,C1912&lt;&gt;"",ISNUMBER(MATCH(C1912,eq_code,0))),1,0)</f>
        <v>0.0</v>
      </c>
      <c r="X1912" s="67">
        <f>IF(AND(W1912=1,E1912="Préventif"),1,0)</f>
        <v>0.0</v>
      </c>
      <c r="Y1912" s="67">
        <f>IF(AND(ISNUMBER(N1912),N(N1912)&gt;0),N(N1912),0)</f>
        <v>0.0</v>
      </c>
      <c r="Z1912" s="67">
        <f>IF(AND(ISNUMBER(P1912),N(P1912)&gt;0),N(P1912),0)</f>
        <v>0.0</v>
      </c>
    </row>
    <row r="1913">
      <c r="A1913" s="79" t="str">
        <f>IF(COUNTA(B1913:C1913,E1913:G1913,I1913)=0,"","BI-"&amp;RIGHT("0000"&amp;(ROW()-5),4))</f>
        <v/>
      </c>
      <c r="B1913" s="72" t="n"/>
      <c r="C1913" s="66" t="n"/>
      <c r="D1913" s="67" t="str">
        <f>IF(C1913="","",IFERROR(INDEX(eq_des,MATCH(C1913,eq_code,0))&amp;"","Équipement inconnu"))</f>
        <v/>
      </c>
      <c r="E1913" s="68" t="n"/>
      <c r="F1913" s="68" t="n"/>
      <c r="G1913" s="66" t="n"/>
      <c r="H1913" s="66" t="n"/>
      <c r="I1913" s="68" t="n"/>
      <c r="J1913" s="73" t="n"/>
      <c r="K1913" s="71" t="n"/>
      <c r="L1913" s="71" t="n"/>
      <c r="M1913" s="66" t="n"/>
      <c r="N1913" s="80" t="n"/>
      <c r="O1913" s="81" t="str">
        <f>IF(A1913="","",ROUND(V1913*IFERROR(N(INDEX(tech_rate,MATCH(M1913,tech_name,0))),0),2))</f>
        <v/>
      </c>
      <c r="P1913" s="80" t="n"/>
      <c r="Q1913" s="81" t="str">
        <f>IF(A1913="","",ROUND(Y1913+O1913+Z1913,2))</f>
        <v/>
      </c>
      <c r="R1913" s="79" t="str">
        <f>IF(A1913="","",IF(S1913=0,"Date manquante ou invalide",IF(C1913="","Équipement manquant",IF(ISNA(MATCH(C1913,eq_code,0)),"Équipement inconnu",IF(E1913="","Type manquant",IF(AND(E1913&lt;&gt;"Préventif",E1913&lt;&gt;"Correctif",E1913&lt;&gt;"Amélioratif"),"Type inconnu",IF(I1913="","Statut manquant",IF(AND(I1913&lt;&gt;"Terminée",I1913&lt;&gt;"En cours",I1913&lt;&gt;"À faire",I1913&lt;&gt;"Annulée"),"Statut inconnu",IF(AND(E1913="Préventif",F1913=""),"Plan manquant (préventif)",IF(AND(F1913&lt;&gt;"",ISNA(MATCH(F1913,pl_num,0))),"Plan inconnu",IF(AND(F1913&lt;&gt;"",IFERROR(INDEX(pl_eq,MATCH(F1913,pl_num,0))&amp;"",C1913)&lt;&gt;C1913),"Plan d'un autre équipement",IF(AND(J1913&lt;&gt;"",OR(NOT(ISNUMBER(J1913)),N(J1913)&lt;0)),"Compteur invalide",IF(OR(AND(K1913&lt;&gt;"",OR(NOT(ISNUMBER(K1913)),N(K1913)&lt;0)),AND(L1913&lt;&gt;"",OR(NOT(ISNUMBER(L1913)),N(L1913)&lt;0))),"Durée invalide",IF(OR(AND(N1913&lt;&gt;"",OR(NOT(ISNUMBER(N1913)),N(N1913)&lt;0)),AND(P1913&lt;&gt;"",OR(NOT(ISNUMBER(P1913)),N(P1913)&lt;0))),"Coût invalide",IF(AND(M1913&lt;&gt;"",ISNA(MATCH(M1913,tech_name,0))),"Technicien inconnu",IF(AND(I1913="Terminée",S1913&gt;p_today),"Terminée à une date future",IF(AND(I1913="Terminée",V1913=0),"Durée d'intervention manquante",IF(AND(I1913="Terminée",E1913="Préventif",T1913=0,OR(IFERROR(INDEX(pl_trig,MATCH(F1913,pl_num,0))&amp;"","")="Compteur",IFERROR(INDEX(pl_trig,MATCH(F1913,pl_num,0))&amp;"","")="Au premier des deux")),"Compteur manquant (plan au compteur)","OK"))))))))))))))))))</f>
        <v/>
      </c>
      <c r="S1913" s="67">
        <f>IF(AND(ISNUMBER(B1913),N(B1913)&gt;0),INT(B1913),0)</f>
        <v>0.0</v>
      </c>
      <c r="T1913" s="67">
        <f>IF(AND(ISNUMBER(J1913),N(J1913)&gt;=0),N(J1913),0)</f>
        <v>0.0</v>
      </c>
      <c r="U1913" s="67">
        <f>IF(AND(ISNUMBER(K1913),N(K1913)&gt;0),N(K1913),0)</f>
        <v>0.0</v>
      </c>
      <c r="V1913" s="67">
        <f>IF(AND(ISNUMBER(L1913),N(L1913)&gt;0),N(L1913),0)</f>
        <v>0.0</v>
      </c>
      <c r="W1913" s="67">
        <f>IF(AND(I1913="Terminée",S1913&gt;0,C1913&lt;&gt;"",ISNUMBER(MATCH(C1913,eq_code,0))),1,0)</f>
        <v>0.0</v>
      </c>
      <c r="X1913" s="67">
        <f>IF(AND(W1913=1,E1913="Préventif"),1,0)</f>
        <v>0.0</v>
      </c>
      <c r="Y1913" s="67">
        <f>IF(AND(ISNUMBER(N1913),N(N1913)&gt;0),N(N1913),0)</f>
        <v>0.0</v>
      </c>
      <c r="Z1913" s="67">
        <f>IF(AND(ISNUMBER(P1913),N(P1913)&gt;0),N(P1913),0)</f>
        <v>0.0</v>
      </c>
    </row>
    <row r="1914">
      <c r="A1914" s="79" t="str">
        <f>IF(COUNTA(B1914:C1914,E1914:G1914,I1914)=0,"","BI-"&amp;RIGHT("0000"&amp;(ROW()-5),4))</f>
        <v/>
      </c>
      <c r="B1914" s="72" t="n"/>
      <c r="C1914" s="66" t="n"/>
      <c r="D1914" s="67" t="str">
        <f>IF(C1914="","",IFERROR(INDEX(eq_des,MATCH(C1914,eq_code,0))&amp;"","Équipement inconnu"))</f>
        <v/>
      </c>
      <c r="E1914" s="68" t="n"/>
      <c r="F1914" s="68" t="n"/>
      <c r="G1914" s="66" t="n"/>
      <c r="H1914" s="66" t="n"/>
      <c r="I1914" s="68" t="n"/>
      <c r="J1914" s="73" t="n"/>
      <c r="K1914" s="71" t="n"/>
      <c r="L1914" s="71" t="n"/>
      <c r="M1914" s="66" t="n"/>
      <c r="N1914" s="80" t="n"/>
      <c r="O1914" s="81" t="str">
        <f>IF(A1914="","",ROUND(V1914*IFERROR(N(INDEX(tech_rate,MATCH(M1914,tech_name,0))),0),2))</f>
        <v/>
      </c>
      <c r="P1914" s="80" t="n"/>
      <c r="Q1914" s="81" t="str">
        <f>IF(A1914="","",ROUND(Y1914+O1914+Z1914,2))</f>
        <v/>
      </c>
      <c r="R1914" s="79" t="str">
        <f>IF(A1914="","",IF(S1914=0,"Date manquante ou invalide",IF(C1914="","Équipement manquant",IF(ISNA(MATCH(C1914,eq_code,0)),"Équipement inconnu",IF(E1914="","Type manquant",IF(AND(E1914&lt;&gt;"Préventif",E1914&lt;&gt;"Correctif",E1914&lt;&gt;"Amélioratif"),"Type inconnu",IF(I1914="","Statut manquant",IF(AND(I1914&lt;&gt;"Terminée",I1914&lt;&gt;"En cours",I1914&lt;&gt;"À faire",I1914&lt;&gt;"Annulée"),"Statut inconnu",IF(AND(E1914="Préventif",F1914=""),"Plan manquant (préventif)",IF(AND(F1914&lt;&gt;"",ISNA(MATCH(F1914,pl_num,0))),"Plan inconnu",IF(AND(F1914&lt;&gt;"",IFERROR(INDEX(pl_eq,MATCH(F1914,pl_num,0))&amp;"",C1914)&lt;&gt;C1914),"Plan d'un autre équipement",IF(AND(J1914&lt;&gt;"",OR(NOT(ISNUMBER(J1914)),N(J1914)&lt;0)),"Compteur invalide",IF(OR(AND(K1914&lt;&gt;"",OR(NOT(ISNUMBER(K1914)),N(K1914)&lt;0)),AND(L1914&lt;&gt;"",OR(NOT(ISNUMBER(L1914)),N(L1914)&lt;0))),"Durée invalide",IF(OR(AND(N1914&lt;&gt;"",OR(NOT(ISNUMBER(N1914)),N(N1914)&lt;0)),AND(P1914&lt;&gt;"",OR(NOT(ISNUMBER(P1914)),N(P1914)&lt;0))),"Coût invalide",IF(AND(M1914&lt;&gt;"",ISNA(MATCH(M1914,tech_name,0))),"Technicien inconnu",IF(AND(I1914="Terminée",S1914&gt;p_today),"Terminée à une date future",IF(AND(I1914="Terminée",V1914=0),"Durée d'intervention manquante",IF(AND(I1914="Terminée",E1914="Préventif",T1914=0,OR(IFERROR(INDEX(pl_trig,MATCH(F1914,pl_num,0))&amp;"","")="Compteur",IFERROR(INDEX(pl_trig,MATCH(F1914,pl_num,0))&amp;"","")="Au premier des deux")),"Compteur manquant (plan au compteur)","OK"))))))))))))))))))</f>
        <v/>
      </c>
      <c r="S1914" s="67">
        <f>IF(AND(ISNUMBER(B1914),N(B1914)&gt;0),INT(B1914),0)</f>
        <v>0.0</v>
      </c>
      <c r="T1914" s="67">
        <f>IF(AND(ISNUMBER(J1914),N(J1914)&gt;=0),N(J1914),0)</f>
        <v>0.0</v>
      </c>
      <c r="U1914" s="67">
        <f>IF(AND(ISNUMBER(K1914),N(K1914)&gt;0),N(K1914),0)</f>
        <v>0.0</v>
      </c>
      <c r="V1914" s="67">
        <f>IF(AND(ISNUMBER(L1914),N(L1914)&gt;0),N(L1914),0)</f>
        <v>0.0</v>
      </c>
      <c r="W1914" s="67">
        <f>IF(AND(I1914="Terminée",S1914&gt;0,C1914&lt;&gt;"",ISNUMBER(MATCH(C1914,eq_code,0))),1,0)</f>
        <v>0.0</v>
      </c>
      <c r="X1914" s="67">
        <f>IF(AND(W1914=1,E1914="Préventif"),1,0)</f>
        <v>0.0</v>
      </c>
      <c r="Y1914" s="67">
        <f>IF(AND(ISNUMBER(N1914),N(N1914)&gt;0),N(N1914),0)</f>
        <v>0.0</v>
      </c>
      <c r="Z1914" s="67">
        <f>IF(AND(ISNUMBER(P1914),N(P1914)&gt;0),N(P1914),0)</f>
        <v>0.0</v>
      </c>
    </row>
    <row r="1915">
      <c r="A1915" s="79" t="str">
        <f>IF(COUNTA(B1915:C1915,E1915:G1915,I1915)=0,"","BI-"&amp;RIGHT("0000"&amp;(ROW()-5),4))</f>
        <v/>
      </c>
      <c r="B1915" s="72" t="n"/>
      <c r="C1915" s="66" t="n"/>
      <c r="D1915" s="67" t="str">
        <f>IF(C1915="","",IFERROR(INDEX(eq_des,MATCH(C1915,eq_code,0))&amp;"","Équipement inconnu"))</f>
        <v/>
      </c>
      <c r="E1915" s="68" t="n"/>
      <c r="F1915" s="68" t="n"/>
      <c r="G1915" s="66" t="n"/>
      <c r="H1915" s="66" t="n"/>
      <c r="I1915" s="68" t="n"/>
      <c r="J1915" s="73" t="n"/>
      <c r="K1915" s="71" t="n"/>
      <c r="L1915" s="71" t="n"/>
      <c r="M1915" s="66" t="n"/>
      <c r="N1915" s="80" t="n"/>
      <c r="O1915" s="81" t="str">
        <f>IF(A1915="","",ROUND(V1915*IFERROR(N(INDEX(tech_rate,MATCH(M1915,tech_name,0))),0),2))</f>
        <v/>
      </c>
      <c r="P1915" s="80" t="n"/>
      <c r="Q1915" s="81" t="str">
        <f>IF(A1915="","",ROUND(Y1915+O1915+Z1915,2))</f>
        <v/>
      </c>
      <c r="R1915" s="79" t="str">
        <f>IF(A1915="","",IF(S1915=0,"Date manquante ou invalide",IF(C1915="","Équipement manquant",IF(ISNA(MATCH(C1915,eq_code,0)),"Équipement inconnu",IF(E1915="","Type manquant",IF(AND(E1915&lt;&gt;"Préventif",E1915&lt;&gt;"Correctif",E1915&lt;&gt;"Amélioratif"),"Type inconnu",IF(I1915="","Statut manquant",IF(AND(I1915&lt;&gt;"Terminée",I1915&lt;&gt;"En cours",I1915&lt;&gt;"À faire",I1915&lt;&gt;"Annulée"),"Statut inconnu",IF(AND(E1915="Préventif",F1915=""),"Plan manquant (préventif)",IF(AND(F1915&lt;&gt;"",ISNA(MATCH(F1915,pl_num,0))),"Plan inconnu",IF(AND(F1915&lt;&gt;"",IFERROR(INDEX(pl_eq,MATCH(F1915,pl_num,0))&amp;"",C1915)&lt;&gt;C1915),"Plan d'un autre équipement",IF(AND(J1915&lt;&gt;"",OR(NOT(ISNUMBER(J1915)),N(J1915)&lt;0)),"Compteur invalide",IF(OR(AND(K1915&lt;&gt;"",OR(NOT(ISNUMBER(K1915)),N(K1915)&lt;0)),AND(L1915&lt;&gt;"",OR(NOT(ISNUMBER(L1915)),N(L1915)&lt;0))),"Durée invalide",IF(OR(AND(N1915&lt;&gt;"",OR(NOT(ISNUMBER(N1915)),N(N1915)&lt;0)),AND(P1915&lt;&gt;"",OR(NOT(ISNUMBER(P1915)),N(P1915)&lt;0))),"Coût invalide",IF(AND(M1915&lt;&gt;"",ISNA(MATCH(M1915,tech_name,0))),"Technicien inconnu",IF(AND(I1915="Terminée",S1915&gt;p_today),"Terminée à une date future",IF(AND(I1915="Terminée",V1915=0),"Durée d'intervention manquante",IF(AND(I1915="Terminée",E1915="Préventif",T1915=0,OR(IFERROR(INDEX(pl_trig,MATCH(F1915,pl_num,0))&amp;"","")="Compteur",IFERROR(INDEX(pl_trig,MATCH(F1915,pl_num,0))&amp;"","")="Au premier des deux")),"Compteur manquant (plan au compteur)","OK"))))))))))))))))))</f>
        <v/>
      </c>
      <c r="S1915" s="67">
        <f>IF(AND(ISNUMBER(B1915),N(B1915)&gt;0),INT(B1915),0)</f>
        <v>0.0</v>
      </c>
      <c r="T1915" s="67">
        <f>IF(AND(ISNUMBER(J1915),N(J1915)&gt;=0),N(J1915),0)</f>
        <v>0.0</v>
      </c>
      <c r="U1915" s="67">
        <f>IF(AND(ISNUMBER(K1915),N(K1915)&gt;0),N(K1915),0)</f>
        <v>0.0</v>
      </c>
      <c r="V1915" s="67">
        <f>IF(AND(ISNUMBER(L1915),N(L1915)&gt;0),N(L1915),0)</f>
        <v>0.0</v>
      </c>
      <c r="W1915" s="67">
        <f>IF(AND(I1915="Terminée",S1915&gt;0,C1915&lt;&gt;"",ISNUMBER(MATCH(C1915,eq_code,0))),1,0)</f>
        <v>0.0</v>
      </c>
      <c r="X1915" s="67">
        <f>IF(AND(W1915=1,E1915="Préventif"),1,0)</f>
        <v>0.0</v>
      </c>
      <c r="Y1915" s="67">
        <f>IF(AND(ISNUMBER(N1915),N(N1915)&gt;0),N(N1915),0)</f>
        <v>0.0</v>
      </c>
      <c r="Z1915" s="67">
        <f>IF(AND(ISNUMBER(P1915),N(P1915)&gt;0),N(P1915),0)</f>
        <v>0.0</v>
      </c>
    </row>
    <row r="1916">
      <c r="A1916" s="79" t="str">
        <f>IF(COUNTA(B1916:C1916,E1916:G1916,I1916)=0,"","BI-"&amp;RIGHT("0000"&amp;(ROW()-5),4))</f>
        <v/>
      </c>
      <c r="B1916" s="72" t="n"/>
      <c r="C1916" s="66" t="n"/>
      <c r="D1916" s="67" t="str">
        <f>IF(C1916="","",IFERROR(INDEX(eq_des,MATCH(C1916,eq_code,0))&amp;"","Équipement inconnu"))</f>
        <v/>
      </c>
      <c r="E1916" s="68" t="n"/>
      <c r="F1916" s="68" t="n"/>
      <c r="G1916" s="66" t="n"/>
      <c r="H1916" s="66" t="n"/>
      <c r="I1916" s="68" t="n"/>
      <c r="J1916" s="73" t="n"/>
      <c r="K1916" s="71" t="n"/>
      <c r="L1916" s="71" t="n"/>
      <c r="M1916" s="66" t="n"/>
      <c r="N1916" s="80" t="n"/>
      <c r="O1916" s="81" t="str">
        <f>IF(A1916="","",ROUND(V1916*IFERROR(N(INDEX(tech_rate,MATCH(M1916,tech_name,0))),0),2))</f>
        <v/>
      </c>
      <c r="P1916" s="80" t="n"/>
      <c r="Q1916" s="81" t="str">
        <f>IF(A1916="","",ROUND(Y1916+O1916+Z1916,2))</f>
        <v/>
      </c>
      <c r="R1916" s="79" t="str">
        <f>IF(A1916="","",IF(S1916=0,"Date manquante ou invalide",IF(C1916="","Équipement manquant",IF(ISNA(MATCH(C1916,eq_code,0)),"Équipement inconnu",IF(E1916="","Type manquant",IF(AND(E1916&lt;&gt;"Préventif",E1916&lt;&gt;"Correctif",E1916&lt;&gt;"Amélioratif"),"Type inconnu",IF(I1916="","Statut manquant",IF(AND(I1916&lt;&gt;"Terminée",I1916&lt;&gt;"En cours",I1916&lt;&gt;"À faire",I1916&lt;&gt;"Annulée"),"Statut inconnu",IF(AND(E1916="Préventif",F1916=""),"Plan manquant (préventif)",IF(AND(F1916&lt;&gt;"",ISNA(MATCH(F1916,pl_num,0))),"Plan inconnu",IF(AND(F1916&lt;&gt;"",IFERROR(INDEX(pl_eq,MATCH(F1916,pl_num,0))&amp;"",C1916)&lt;&gt;C1916),"Plan d'un autre équipement",IF(AND(J1916&lt;&gt;"",OR(NOT(ISNUMBER(J1916)),N(J1916)&lt;0)),"Compteur invalide",IF(OR(AND(K1916&lt;&gt;"",OR(NOT(ISNUMBER(K1916)),N(K1916)&lt;0)),AND(L1916&lt;&gt;"",OR(NOT(ISNUMBER(L1916)),N(L1916)&lt;0))),"Durée invalide",IF(OR(AND(N1916&lt;&gt;"",OR(NOT(ISNUMBER(N1916)),N(N1916)&lt;0)),AND(P1916&lt;&gt;"",OR(NOT(ISNUMBER(P1916)),N(P1916)&lt;0))),"Coût invalide",IF(AND(M1916&lt;&gt;"",ISNA(MATCH(M1916,tech_name,0))),"Technicien inconnu",IF(AND(I1916="Terminée",S1916&gt;p_today),"Terminée à une date future",IF(AND(I1916="Terminée",V1916=0),"Durée d'intervention manquante",IF(AND(I1916="Terminée",E1916="Préventif",T1916=0,OR(IFERROR(INDEX(pl_trig,MATCH(F1916,pl_num,0))&amp;"","")="Compteur",IFERROR(INDEX(pl_trig,MATCH(F1916,pl_num,0))&amp;"","")="Au premier des deux")),"Compteur manquant (plan au compteur)","OK"))))))))))))))))))</f>
        <v/>
      </c>
      <c r="S1916" s="67">
        <f>IF(AND(ISNUMBER(B1916),N(B1916)&gt;0),INT(B1916),0)</f>
        <v>0.0</v>
      </c>
      <c r="T1916" s="67">
        <f>IF(AND(ISNUMBER(J1916),N(J1916)&gt;=0),N(J1916),0)</f>
        <v>0.0</v>
      </c>
      <c r="U1916" s="67">
        <f>IF(AND(ISNUMBER(K1916),N(K1916)&gt;0),N(K1916),0)</f>
        <v>0.0</v>
      </c>
      <c r="V1916" s="67">
        <f>IF(AND(ISNUMBER(L1916),N(L1916)&gt;0),N(L1916),0)</f>
        <v>0.0</v>
      </c>
      <c r="W1916" s="67">
        <f>IF(AND(I1916="Terminée",S1916&gt;0,C1916&lt;&gt;"",ISNUMBER(MATCH(C1916,eq_code,0))),1,0)</f>
        <v>0.0</v>
      </c>
      <c r="X1916" s="67">
        <f>IF(AND(W1916=1,E1916="Préventif"),1,0)</f>
        <v>0.0</v>
      </c>
      <c r="Y1916" s="67">
        <f>IF(AND(ISNUMBER(N1916),N(N1916)&gt;0),N(N1916),0)</f>
        <v>0.0</v>
      </c>
      <c r="Z1916" s="67">
        <f>IF(AND(ISNUMBER(P1916),N(P1916)&gt;0),N(P1916),0)</f>
        <v>0.0</v>
      </c>
    </row>
    <row r="1917">
      <c r="A1917" s="79" t="str">
        <f>IF(COUNTA(B1917:C1917,E1917:G1917,I1917)=0,"","BI-"&amp;RIGHT("0000"&amp;(ROW()-5),4))</f>
        <v/>
      </c>
      <c r="B1917" s="72" t="n"/>
      <c r="C1917" s="66" t="n"/>
      <c r="D1917" s="67" t="str">
        <f>IF(C1917="","",IFERROR(INDEX(eq_des,MATCH(C1917,eq_code,0))&amp;"","Équipement inconnu"))</f>
        <v/>
      </c>
      <c r="E1917" s="68" t="n"/>
      <c r="F1917" s="68" t="n"/>
      <c r="G1917" s="66" t="n"/>
      <c r="H1917" s="66" t="n"/>
      <c r="I1917" s="68" t="n"/>
      <c r="J1917" s="73" t="n"/>
      <c r="K1917" s="71" t="n"/>
      <c r="L1917" s="71" t="n"/>
      <c r="M1917" s="66" t="n"/>
      <c r="N1917" s="80" t="n"/>
      <c r="O1917" s="81" t="str">
        <f>IF(A1917="","",ROUND(V1917*IFERROR(N(INDEX(tech_rate,MATCH(M1917,tech_name,0))),0),2))</f>
        <v/>
      </c>
      <c r="P1917" s="80" t="n"/>
      <c r="Q1917" s="81" t="str">
        <f>IF(A1917="","",ROUND(Y1917+O1917+Z1917,2))</f>
        <v/>
      </c>
      <c r="R1917" s="79" t="str">
        <f>IF(A1917="","",IF(S1917=0,"Date manquante ou invalide",IF(C1917="","Équipement manquant",IF(ISNA(MATCH(C1917,eq_code,0)),"Équipement inconnu",IF(E1917="","Type manquant",IF(AND(E1917&lt;&gt;"Préventif",E1917&lt;&gt;"Correctif",E1917&lt;&gt;"Amélioratif"),"Type inconnu",IF(I1917="","Statut manquant",IF(AND(I1917&lt;&gt;"Terminée",I1917&lt;&gt;"En cours",I1917&lt;&gt;"À faire",I1917&lt;&gt;"Annulée"),"Statut inconnu",IF(AND(E1917="Préventif",F1917=""),"Plan manquant (préventif)",IF(AND(F1917&lt;&gt;"",ISNA(MATCH(F1917,pl_num,0))),"Plan inconnu",IF(AND(F1917&lt;&gt;"",IFERROR(INDEX(pl_eq,MATCH(F1917,pl_num,0))&amp;"",C1917)&lt;&gt;C1917),"Plan d'un autre équipement",IF(AND(J1917&lt;&gt;"",OR(NOT(ISNUMBER(J1917)),N(J1917)&lt;0)),"Compteur invalide",IF(OR(AND(K1917&lt;&gt;"",OR(NOT(ISNUMBER(K1917)),N(K1917)&lt;0)),AND(L1917&lt;&gt;"",OR(NOT(ISNUMBER(L1917)),N(L1917)&lt;0))),"Durée invalide",IF(OR(AND(N1917&lt;&gt;"",OR(NOT(ISNUMBER(N1917)),N(N1917)&lt;0)),AND(P1917&lt;&gt;"",OR(NOT(ISNUMBER(P1917)),N(P1917)&lt;0))),"Coût invalide",IF(AND(M1917&lt;&gt;"",ISNA(MATCH(M1917,tech_name,0))),"Technicien inconnu",IF(AND(I1917="Terminée",S1917&gt;p_today),"Terminée à une date future",IF(AND(I1917="Terminée",V1917=0),"Durée d'intervention manquante",IF(AND(I1917="Terminée",E1917="Préventif",T1917=0,OR(IFERROR(INDEX(pl_trig,MATCH(F1917,pl_num,0))&amp;"","")="Compteur",IFERROR(INDEX(pl_trig,MATCH(F1917,pl_num,0))&amp;"","")="Au premier des deux")),"Compteur manquant (plan au compteur)","OK"))))))))))))))))))</f>
        <v/>
      </c>
      <c r="S1917" s="67">
        <f>IF(AND(ISNUMBER(B1917),N(B1917)&gt;0),INT(B1917),0)</f>
        <v>0.0</v>
      </c>
      <c r="T1917" s="67">
        <f>IF(AND(ISNUMBER(J1917),N(J1917)&gt;=0),N(J1917),0)</f>
        <v>0.0</v>
      </c>
      <c r="U1917" s="67">
        <f>IF(AND(ISNUMBER(K1917),N(K1917)&gt;0),N(K1917),0)</f>
        <v>0.0</v>
      </c>
      <c r="V1917" s="67">
        <f>IF(AND(ISNUMBER(L1917),N(L1917)&gt;0),N(L1917),0)</f>
        <v>0.0</v>
      </c>
      <c r="W1917" s="67">
        <f>IF(AND(I1917="Terminée",S1917&gt;0,C1917&lt;&gt;"",ISNUMBER(MATCH(C1917,eq_code,0))),1,0)</f>
        <v>0.0</v>
      </c>
      <c r="X1917" s="67">
        <f>IF(AND(W1917=1,E1917="Préventif"),1,0)</f>
        <v>0.0</v>
      </c>
      <c r="Y1917" s="67">
        <f>IF(AND(ISNUMBER(N1917),N(N1917)&gt;0),N(N1917),0)</f>
        <v>0.0</v>
      </c>
      <c r="Z1917" s="67">
        <f>IF(AND(ISNUMBER(P1917),N(P1917)&gt;0),N(P1917),0)</f>
        <v>0.0</v>
      </c>
    </row>
    <row r="1918">
      <c r="A1918" s="79" t="str">
        <f>IF(COUNTA(B1918:C1918,E1918:G1918,I1918)=0,"","BI-"&amp;RIGHT("0000"&amp;(ROW()-5),4))</f>
        <v/>
      </c>
      <c r="B1918" s="72" t="n"/>
      <c r="C1918" s="66" t="n"/>
      <c r="D1918" s="67" t="str">
        <f>IF(C1918="","",IFERROR(INDEX(eq_des,MATCH(C1918,eq_code,0))&amp;"","Équipement inconnu"))</f>
        <v/>
      </c>
      <c r="E1918" s="68" t="n"/>
      <c r="F1918" s="68" t="n"/>
      <c r="G1918" s="66" t="n"/>
      <c r="H1918" s="66" t="n"/>
      <c r="I1918" s="68" t="n"/>
      <c r="J1918" s="73" t="n"/>
      <c r="K1918" s="71" t="n"/>
      <c r="L1918" s="71" t="n"/>
      <c r="M1918" s="66" t="n"/>
      <c r="N1918" s="80" t="n"/>
      <c r="O1918" s="81" t="str">
        <f>IF(A1918="","",ROUND(V1918*IFERROR(N(INDEX(tech_rate,MATCH(M1918,tech_name,0))),0),2))</f>
        <v/>
      </c>
      <c r="P1918" s="80" t="n"/>
      <c r="Q1918" s="81" t="str">
        <f>IF(A1918="","",ROUND(Y1918+O1918+Z1918,2))</f>
        <v/>
      </c>
      <c r="R1918" s="79" t="str">
        <f>IF(A1918="","",IF(S1918=0,"Date manquante ou invalide",IF(C1918="","Équipement manquant",IF(ISNA(MATCH(C1918,eq_code,0)),"Équipement inconnu",IF(E1918="","Type manquant",IF(AND(E1918&lt;&gt;"Préventif",E1918&lt;&gt;"Correctif",E1918&lt;&gt;"Amélioratif"),"Type inconnu",IF(I1918="","Statut manquant",IF(AND(I1918&lt;&gt;"Terminée",I1918&lt;&gt;"En cours",I1918&lt;&gt;"À faire",I1918&lt;&gt;"Annulée"),"Statut inconnu",IF(AND(E1918="Préventif",F1918=""),"Plan manquant (préventif)",IF(AND(F1918&lt;&gt;"",ISNA(MATCH(F1918,pl_num,0))),"Plan inconnu",IF(AND(F1918&lt;&gt;"",IFERROR(INDEX(pl_eq,MATCH(F1918,pl_num,0))&amp;"",C1918)&lt;&gt;C1918),"Plan d'un autre équipement",IF(AND(J1918&lt;&gt;"",OR(NOT(ISNUMBER(J1918)),N(J1918)&lt;0)),"Compteur invalide",IF(OR(AND(K1918&lt;&gt;"",OR(NOT(ISNUMBER(K1918)),N(K1918)&lt;0)),AND(L1918&lt;&gt;"",OR(NOT(ISNUMBER(L1918)),N(L1918)&lt;0))),"Durée invalide",IF(OR(AND(N1918&lt;&gt;"",OR(NOT(ISNUMBER(N1918)),N(N1918)&lt;0)),AND(P1918&lt;&gt;"",OR(NOT(ISNUMBER(P1918)),N(P1918)&lt;0))),"Coût invalide",IF(AND(M1918&lt;&gt;"",ISNA(MATCH(M1918,tech_name,0))),"Technicien inconnu",IF(AND(I1918="Terminée",S1918&gt;p_today),"Terminée à une date future",IF(AND(I1918="Terminée",V1918=0),"Durée d'intervention manquante",IF(AND(I1918="Terminée",E1918="Préventif",T1918=0,OR(IFERROR(INDEX(pl_trig,MATCH(F1918,pl_num,0))&amp;"","")="Compteur",IFERROR(INDEX(pl_trig,MATCH(F1918,pl_num,0))&amp;"","")="Au premier des deux")),"Compteur manquant (plan au compteur)","OK"))))))))))))))))))</f>
        <v/>
      </c>
      <c r="S1918" s="67">
        <f>IF(AND(ISNUMBER(B1918),N(B1918)&gt;0),INT(B1918),0)</f>
        <v>0.0</v>
      </c>
      <c r="T1918" s="67">
        <f>IF(AND(ISNUMBER(J1918),N(J1918)&gt;=0),N(J1918),0)</f>
        <v>0.0</v>
      </c>
      <c r="U1918" s="67">
        <f>IF(AND(ISNUMBER(K1918),N(K1918)&gt;0),N(K1918),0)</f>
        <v>0.0</v>
      </c>
      <c r="V1918" s="67">
        <f>IF(AND(ISNUMBER(L1918),N(L1918)&gt;0),N(L1918),0)</f>
        <v>0.0</v>
      </c>
      <c r="W1918" s="67">
        <f>IF(AND(I1918="Terminée",S1918&gt;0,C1918&lt;&gt;"",ISNUMBER(MATCH(C1918,eq_code,0))),1,0)</f>
        <v>0.0</v>
      </c>
      <c r="X1918" s="67">
        <f>IF(AND(W1918=1,E1918="Préventif"),1,0)</f>
        <v>0.0</v>
      </c>
      <c r="Y1918" s="67">
        <f>IF(AND(ISNUMBER(N1918),N(N1918)&gt;0),N(N1918),0)</f>
        <v>0.0</v>
      </c>
      <c r="Z1918" s="67">
        <f>IF(AND(ISNUMBER(P1918),N(P1918)&gt;0),N(P1918),0)</f>
        <v>0.0</v>
      </c>
    </row>
    <row r="1919">
      <c r="A1919" s="79" t="str">
        <f>IF(COUNTA(B1919:C1919,E1919:G1919,I1919)=0,"","BI-"&amp;RIGHT("0000"&amp;(ROW()-5),4))</f>
        <v/>
      </c>
      <c r="B1919" s="72" t="n"/>
      <c r="C1919" s="66" t="n"/>
      <c r="D1919" s="67" t="str">
        <f>IF(C1919="","",IFERROR(INDEX(eq_des,MATCH(C1919,eq_code,0))&amp;"","Équipement inconnu"))</f>
        <v/>
      </c>
      <c r="E1919" s="68" t="n"/>
      <c r="F1919" s="68" t="n"/>
      <c r="G1919" s="66" t="n"/>
      <c r="H1919" s="66" t="n"/>
      <c r="I1919" s="68" t="n"/>
      <c r="J1919" s="73" t="n"/>
      <c r="K1919" s="71" t="n"/>
      <c r="L1919" s="71" t="n"/>
      <c r="M1919" s="66" t="n"/>
      <c r="N1919" s="80" t="n"/>
      <c r="O1919" s="81" t="str">
        <f>IF(A1919="","",ROUND(V1919*IFERROR(N(INDEX(tech_rate,MATCH(M1919,tech_name,0))),0),2))</f>
        <v/>
      </c>
      <c r="P1919" s="80" t="n"/>
      <c r="Q1919" s="81" t="str">
        <f>IF(A1919="","",ROUND(Y1919+O1919+Z1919,2))</f>
        <v/>
      </c>
      <c r="R1919" s="79" t="str">
        <f>IF(A1919="","",IF(S1919=0,"Date manquante ou invalide",IF(C1919="","Équipement manquant",IF(ISNA(MATCH(C1919,eq_code,0)),"Équipement inconnu",IF(E1919="","Type manquant",IF(AND(E1919&lt;&gt;"Préventif",E1919&lt;&gt;"Correctif",E1919&lt;&gt;"Amélioratif"),"Type inconnu",IF(I1919="","Statut manquant",IF(AND(I1919&lt;&gt;"Terminée",I1919&lt;&gt;"En cours",I1919&lt;&gt;"À faire",I1919&lt;&gt;"Annulée"),"Statut inconnu",IF(AND(E1919="Préventif",F1919=""),"Plan manquant (préventif)",IF(AND(F1919&lt;&gt;"",ISNA(MATCH(F1919,pl_num,0))),"Plan inconnu",IF(AND(F1919&lt;&gt;"",IFERROR(INDEX(pl_eq,MATCH(F1919,pl_num,0))&amp;"",C1919)&lt;&gt;C1919),"Plan d'un autre équipement",IF(AND(J1919&lt;&gt;"",OR(NOT(ISNUMBER(J1919)),N(J1919)&lt;0)),"Compteur invalide",IF(OR(AND(K1919&lt;&gt;"",OR(NOT(ISNUMBER(K1919)),N(K1919)&lt;0)),AND(L1919&lt;&gt;"",OR(NOT(ISNUMBER(L1919)),N(L1919)&lt;0))),"Durée invalide",IF(OR(AND(N1919&lt;&gt;"",OR(NOT(ISNUMBER(N1919)),N(N1919)&lt;0)),AND(P1919&lt;&gt;"",OR(NOT(ISNUMBER(P1919)),N(P1919)&lt;0))),"Coût invalide",IF(AND(M1919&lt;&gt;"",ISNA(MATCH(M1919,tech_name,0))),"Technicien inconnu",IF(AND(I1919="Terminée",S1919&gt;p_today),"Terminée à une date future",IF(AND(I1919="Terminée",V1919=0),"Durée d'intervention manquante",IF(AND(I1919="Terminée",E1919="Préventif",T1919=0,OR(IFERROR(INDEX(pl_trig,MATCH(F1919,pl_num,0))&amp;"","")="Compteur",IFERROR(INDEX(pl_trig,MATCH(F1919,pl_num,0))&amp;"","")="Au premier des deux")),"Compteur manquant (plan au compteur)","OK"))))))))))))))))))</f>
        <v/>
      </c>
      <c r="S1919" s="67">
        <f>IF(AND(ISNUMBER(B1919),N(B1919)&gt;0),INT(B1919),0)</f>
        <v>0.0</v>
      </c>
      <c r="T1919" s="67">
        <f>IF(AND(ISNUMBER(J1919),N(J1919)&gt;=0),N(J1919),0)</f>
        <v>0.0</v>
      </c>
      <c r="U1919" s="67">
        <f>IF(AND(ISNUMBER(K1919),N(K1919)&gt;0),N(K1919),0)</f>
        <v>0.0</v>
      </c>
      <c r="V1919" s="67">
        <f>IF(AND(ISNUMBER(L1919),N(L1919)&gt;0),N(L1919),0)</f>
        <v>0.0</v>
      </c>
      <c r="W1919" s="67">
        <f>IF(AND(I1919="Terminée",S1919&gt;0,C1919&lt;&gt;"",ISNUMBER(MATCH(C1919,eq_code,0))),1,0)</f>
        <v>0.0</v>
      </c>
      <c r="X1919" s="67">
        <f>IF(AND(W1919=1,E1919="Préventif"),1,0)</f>
        <v>0.0</v>
      </c>
      <c r="Y1919" s="67">
        <f>IF(AND(ISNUMBER(N1919),N(N1919)&gt;0),N(N1919),0)</f>
        <v>0.0</v>
      </c>
      <c r="Z1919" s="67">
        <f>IF(AND(ISNUMBER(P1919),N(P1919)&gt;0),N(P1919),0)</f>
        <v>0.0</v>
      </c>
    </row>
    <row r="1920">
      <c r="A1920" s="79" t="str">
        <f>IF(COUNTA(B1920:C1920,E1920:G1920,I1920)=0,"","BI-"&amp;RIGHT("0000"&amp;(ROW()-5),4))</f>
        <v/>
      </c>
      <c r="B1920" s="72" t="n"/>
      <c r="C1920" s="66" t="n"/>
      <c r="D1920" s="67" t="str">
        <f>IF(C1920="","",IFERROR(INDEX(eq_des,MATCH(C1920,eq_code,0))&amp;"","Équipement inconnu"))</f>
        <v/>
      </c>
      <c r="E1920" s="68" t="n"/>
      <c r="F1920" s="68" t="n"/>
      <c r="G1920" s="66" t="n"/>
      <c r="H1920" s="66" t="n"/>
      <c r="I1920" s="68" t="n"/>
      <c r="J1920" s="73" t="n"/>
      <c r="K1920" s="71" t="n"/>
      <c r="L1920" s="71" t="n"/>
      <c r="M1920" s="66" t="n"/>
      <c r="N1920" s="80" t="n"/>
      <c r="O1920" s="81" t="str">
        <f>IF(A1920="","",ROUND(V1920*IFERROR(N(INDEX(tech_rate,MATCH(M1920,tech_name,0))),0),2))</f>
        <v/>
      </c>
      <c r="P1920" s="80" t="n"/>
      <c r="Q1920" s="81" t="str">
        <f>IF(A1920="","",ROUND(Y1920+O1920+Z1920,2))</f>
        <v/>
      </c>
      <c r="R1920" s="79" t="str">
        <f>IF(A1920="","",IF(S1920=0,"Date manquante ou invalide",IF(C1920="","Équipement manquant",IF(ISNA(MATCH(C1920,eq_code,0)),"Équipement inconnu",IF(E1920="","Type manquant",IF(AND(E1920&lt;&gt;"Préventif",E1920&lt;&gt;"Correctif",E1920&lt;&gt;"Amélioratif"),"Type inconnu",IF(I1920="","Statut manquant",IF(AND(I1920&lt;&gt;"Terminée",I1920&lt;&gt;"En cours",I1920&lt;&gt;"À faire",I1920&lt;&gt;"Annulée"),"Statut inconnu",IF(AND(E1920="Préventif",F1920=""),"Plan manquant (préventif)",IF(AND(F1920&lt;&gt;"",ISNA(MATCH(F1920,pl_num,0))),"Plan inconnu",IF(AND(F1920&lt;&gt;"",IFERROR(INDEX(pl_eq,MATCH(F1920,pl_num,0))&amp;"",C1920)&lt;&gt;C1920),"Plan d'un autre équipement",IF(AND(J1920&lt;&gt;"",OR(NOT(ISNUMBER(J1920)),N(J1920)&lt;0)),"Compteur invalide",IF(OR(AND(K1920&lt;&gt;"",OR(NOT(ISNUMBER(K1920)),N(K1920)&lt;0)),AND(L1920&lt;&gt;"",OR(NOT(ISNUMBER(L1920)),N(L1920)&lt;0))),"Durée invalide",IF(OR(AND(N1920&lt;&gt;"",OR(NOT(ISNUMBER(N1920)),N(N1920)&lt;0)),AND(P1920&lt;&gt;"",OR(NOT(ISNUMBER(P1920)),N(P1920)&lt;0))),"Coût invalide",IF(AND(M1920&lt;&gt;"",ISNA(MATCH(M1920,tech_name,0))),"Technicien inconnu",IF(AND(I1920="Terminée",S1920&gt;p_today),"Terminée à une date future",IF(AND(I1920="Terminée",V1920=0),"Durée d'intervention manquante",IF(AND(I1920="Terminée",E1920="Préventif",T1920=0,OR(IFERROR(INDEX(pl_trig,MATCH(F1920,pl_num,0))&amp;"","")="Compteur",IFERROR(INDEX(pl_trig,MATCH(F1920,pl_num,0))&amp;"","")="Au premier des deux")),"Compteur manquant (plan au compteur)","OK"))))))))))))))))))</f>
        <v/>
      </c>
      <c r="S1920" s="67">
        <f>IF(AND(ISNUMBER(B1920),N(B1920)&gt;0),INT(B1920),0)</f>
        <v>0.0</v>
      </c>
      <c r="T1920" s="67">
        <f>IF(AND(ISNUMBER(J1920),N(J1920)&gt;=0),N(J1920),0)</f>
        <v>0.0</v>
      </c>
      <c r="U1920" s="67">
        <f>IF(AND(ISNUMBER(K1920),N(K1920)&gt;0),N(K1920),0)</f>
        <v>0.0</v>
      </c>
      <c r="V1920" s="67">
        <f>IF(AND(ISNUMBER(L1920),N(L1920)&gt;0),N(L1920),0)</f>
        <v>0.0</v>
      </c>
      <c r="W1920" s="67">
        <f>IF(AND(I1920="Terminée",S1920&gt;0,C1920&lt;&gt;"",ISNUMBER(MATCH(C1920,eq_code,0))),1,0)</f>
        <v>0.0</v>
      </c>
      <c r="X1920" s="67">
        <f>IF(AND(W1920=1,E1920="Préventif"),1,0)</f>
        <v>0.0</v>
      </c>
      <c r="Y1920" s="67">
        <f>IF(AND(ISNUMBER(N1920),N(N1920)&gt;0),N(N1920),0)</f>
        <v>0.0</v>
      </c>
      <c r="Z1920" s="67">
        <f>IF(AND(ISNUMBER(P1920),N(P1920)&gt;0),N(P1920),0)</f>
        <v>0.0</v>
      </c>
    </row>
    <row r="1921">
      <c r="A1921" s="79" t="str">
        <f>IF(COUNTA(B1921:C1921,E1921:G1921,I1921)=0,"","BI-"&amp;RIGHT("0000"&amp;(ROW()-5),4))</f>
        <v/>
      </c>
      <c r="B1921" s="72" t="n"/>
      <c r="C1921" s="66" t="n"/>
      <c r="D1921" s="67" t="str">
        <f>IF(C1921="","",IFERROR(INDEX(eq_des,MATCH(C1921,eq_code,0))&amp;"","Équipement inconnu"))</f>
        <v/>
      </c>
      <c r="E1921" s="68" t="n"/>
      <c r="F1921" s="68" t="n"/>
      <c r="G1921" s="66" t="n"/>
      <c r="H1921" s="66" t="n"/>
      <c r="I1921" s="68" t="n"/>
      <c r="J1921" s="73" t="n"/>
      <c r="K1921" s="71" t="n"/>
      <c r="L1921" s="71" t="n"/>
      <c r="M1921" s="66" t="n"/>
      <c r="N1921" s="80" t="n"/>
      <c r="O1921" s="81" t="str">
        <f>IF(A1921="","",ROUND(V1921*IFERROR(N(INDEX(tech_rate,MATCH(M1921,tech_name,0))),0),2))</f>
        <v/>
      </c>
      <c r="P1921" s="80" t="n"/>
      <c r="Q1921" s="81" t="str">
        <f>IF(A1921="","",ROUND(Y1921+O1921+Z1921,2))</f>
        <v/>
      </c>
      <c r="R1921" s="79" t="str">
        <f>IF(A1921="","",IF(S1921=0,"Date manquante ou invalide",IF(C1921="","Équipement manquant",IF(ISNA(MATCH(C1921,eq_code,0)),"Équipement inconnu",IF(E1921="","Type manquant",IF(AND(E1921&lt;&gt;"Préventif",E1921&lt;&gt;"Correctif",E1921&lt;&gt;"Amélioratif"),"Type inconnu",IF(I1921="","Statut manquant",IF(AND(I1921&lt;&gt;"Terminée",I1921&lt;&gt;"En cours",I1921&lt;&gt;"À faire",I1921&lt;&gt;"Annulée"),"Statut inconnu",IF(AND(E1921="Préventif",F1921=""),"Plan manquant (préventif)",IF(AND(F1921&lt;&gt;"",ISNA(MATCH(F1921,pl_num,0))),"Plan inconnu",IF(AND(F1921&lt;&gt;"",IFERROR(INDEX(pl_eq,MATCH(F1921,pl_num,0))&amp;"",C1921)&lt;&gt;C1921),"Plan d'un autre équipement",IF(AND(J1921&lt;&gt;"",OR(NOT(ISNUMBER(J1921)),N(J1921)&lt;0)),"Compteur invalide",IF(OR(AND(K1921&lt;&gt;"",OR(NOT(ISNUMBER(K1921)),N(K1921)&lt;0)),AND(L1921&lt;&gt;"",OR(NOT(ISNUMBER(L1921)),N(L1921)&lt;0))),"Durée invalide",IF(OR(AND(N1921&lt;&gt;"",OR(NOT(ISNUMBER(N1921)),N(N1921)&lt;0)),AND(P1921&lt;&gt;"",OR(NOT(ISNUMBER(P1921)),N(P1921)&lt;0))),"Coût invalide",IF(AND(M1921&lt;&gt;"",ISNA(MATCH(M1921,tech_name,0))),"Technicien inconnu",IF(AND(I1921="Terminée",S1921&gt;p_today),"Terminée à une date future",IF(AND(I1921="Terminée",V1921=0),"Durée d'intervention manquante",IF(AND(I1921="Terminée",E1921="Préventif",T1921=0,OR(IFERROR(INDEX(pl_trig,MATCH(F1921,pl_num,0))&amp;"","")="Compteur",IFERROR(INDEX(pl_trig,MATCH(F1921,pl_num,0))&amp;"","")="Au premier des deux")),"Compteur manquant (plan au compteur)","OK"))))))))))))))))))</f>
        <v/>
      </c>
      <c r="S1921" s="67">
        <f>IF(AND(ISNUMBER(B1921),N(B1921)&gt;0),INT(B1921),0)</f>
        <v>0.0</v>
      </c>
      <c r="T1921" s="67">
        <f>IF(AND(ISNUMBER(J1921),N(J1921)&gt;=0),N(J1921),0)</f>
        <v>0.0</v>
      </c>
      <c r="U1921" s="67">
        <f>IF(AND(ISNUMBER(K1921),N(K1921)&gt;0),N(K1921),0)</f>
        <v>0.0</v>
      </c>
      <c r="V1921" s="67">
        <f>IF(AND(ISNUMBER(L1921),N(L1921)&gt;0),N(L1921),0)</f>
        <v>0.0</v>
      </c>
      <c r="W1921" s="67">
        <f>IF(AND(I1921="Terminée",S1921&gt;0,C1921&lt;&gt;"",ISNUMBER(MATCH(C1921,eq_code,0))),1,0)</f>
        <v>0.0</v>
      </c>
      <c r="X1921" s="67">
        <f>IF(AND(W1921=1,E1921="Préventif"),1,0)</f>
        <v>0.0</v>
      </c>
      <c r="Y1921" s="67">
        <f>IF(AND(ISNUMBER(N1921),N(N1921)&gt;0),N(N1921),0)</f>
        <v>0.0</v>
      </c>
      <c r="Z1921" s="67">
        <f>IF(AND(ISNUMBER(P1921),N(P1921)&gt;0),N(P1921),0)</f>
        <v>0.0</v>
      </c>
    </row>
    <row r="1922">
      <c r="A1922" s="79" t="str">
        <f>IF(COUNTA(B1922:C1922,E1922:G1922,I1922)=0,"","BI-"&amp;RIGHT("0000"&amp;(ROW()-5),4))</f>
        <v/>
      </c>
      <c r="B1922" s="72" t="n"/>
      <c r="C1922" s="66" t="n"/>
      <c r="D1922" s="67" t="str">
        <f>IF(C1922="","",IFERROR(INDEX(eq_des,MATCH(C1922,eq_code,0))&amp;"","Équipement inconnu"))</f>
        <v/>
      </c>
      <c r="E1922" s="68" t="n"/>
      <c r="F1922" s="68" t="n"/>
      <c r="G1922" s="66" t="n"/>
      <c r="H1922" s="66" t="n"/>
      <c r="I1922" s="68" t="n"/>
      <c r="J1922" s="73" t="n"/>
      <c r="K1922" s="71" t="n"/>
      <c r="L1922" s="71" t="n"/>
      <c r="M1922" s="66" t="n"/>
      <c r="N1922" s="80" t="n"/>
      <c r="O1922" s="81" t="str">
        <f>IF(A1922="","",ROUND(V1922*IFERROR(N(INDEX(tech_rate,MATCH(M1922,tech_name,0))),0),2))</f>
        <v/>
      </c>
      <c r="P1922" s="80" t="n"/>
      <c r="Q1922" s="81" t="str">
        <f>IF(A1922="","",ROUND(Y1922+O1922+Z1922,2))</f>
        <v/>
      </c>
      <c r="R1922" s="79" t="str">
        <f>IF(A1922="","",IF(S1922=0,"Date manquante ou invalide",IF(C1922="","Équipement manquant",IF(ISNA(MATCH(C1922,eq_code,0)),"Équipement inconnu",IF(E1922="","Type manquant",IF(AND(E1922&lt;&gt;"Préventif",E1922&lt;&gt;"Correctif",E1922&lt;&gt;"Amélioratif"),"Type inconnu",IF(I1922="","Statut manquant",IF(AND(I1922&lt;&gt;"Terminée",I1922&lt;&gt;"En cours",I1922&lt;&gt;"À faire",I1922&lt;&gt;"Annulée"),"Statut inconnu",IF(AND(E1922="Préventif",F1922=""),"Plan manquant (préventif)",IF(AND(F1922&lt;&gt;"",ISNA(MATCH(F1922,pl_num,0))),"Plan inconnu",IF(AND(F1922&lt;&gt;"",IFERROR(INDEX(pl_eq,MATCH(F1922,pl_num,0))&amp;"",C1922)&lt;&gt;C1922),"Plan d'un autre équipement",IF(AND(J1922&lt;&gt;"",OR(NOT(ISNUMBER(J1922)),N(J1922)&lt;0)),"Compteur invalide",IF(OR(AND(K1922&lt;&gt;"",OR(NOT(ISNUMBER(K1922)),N(K1922)&lt;0)),AND(L1922&lt;&gt;"",OR(NOT(ISNUMBER(L1922)),N(L1922)&lt;0))),"Durée invalide",IF(OR(AND(N1922&lt;&gt;"",OR(NOT(ISNUMBER(N1922)),N(N1922)&lt;0)),AND(P1922&lt;&gt;"",OR(NOT(ISNUMBER(P1922)),N(P1922)&lt;0))),"Coût invalide",IF(AND(M1922&lt;&gt;"",ISNA(MATCH(M1922,tech_name,0))),"Technicien inconnu",IF(AND(I1922="Terminée",S1922&gt;p_today),"Terminée à une date future",IF(AND(I1922="Terminée",V1922=0),"Durée d'intervention manquante",IF(AND(I1922="Terminée",E1922="Préventif",T1922=0,OR(IFERROR(INDEX(pl_trig,MATCH(F1922,pl_num,0))&amp;"","")="Compteur",IFERROR(INDEX(pl_trig,MATCH(F1922,pl_num,0))&amp;"","")="Au premier des deux")),"Compteur manquant (plan au compteur)","OK"))))))))))))))))))</f>
        <v/>
      </c>
      <c r="S1922" s="67">
        <f>IF(AND(ISNUMBER(B1922),N(B1922)&gt;0),INT(B1922),0)</f>
        <v>0.0</v>
      </c>
      <c r="T1922" s="67">
        <f>IF(AND(ISNUMBER(J1922),N(J1922)&gt;=0),N(J1922),0)</f>
        <v>0.0</v>
      </c>
      <c r="U1922" s="67">
        <f>IF(AND(ISNUMBER(K1922),N(K1922)&gt;0),N(K1922),0)</f>
        <v>0.0</v>
      </c>
      <c r="V1922" s="67">
        <f>IF(AND(ISNUMBER(L1922),N(L1922)&gt;0),N(L1922),0)</f>
        <v>0.0</v>
      </c>
      <c r="W1922" s="67">
        <f>IF(AND(I1922="Terminée",S1922&gt;0,C1922&lt;&gt;"",ISNUMBER(MATCH(C1922,eq_code,0))),1,0)</f>
        <v>0.0</v>
      </c>
      <c r="X1922" s="67">
        <f>IF(AND(W1922=1,E1922="Préventif"),1,0)</f>
        <v>0.0</v>
      </c>
      <c r="Y1922" s="67">
        <f>IF(AND(ISNUMBER(N1922),N(N1922)&gt;0),N(N1922),0)</f>
        <v>0.0</v>
      </c>
      <c r="Z1922" s="67">
        <f>IF(AND(ISNUMBER(P1922),N(P1922)&gt;0),N(P1922),0)</f>
        <v>0.0</v>
      </c>
    </row>
    <row r="1923">
      <c r="A1923" s="79" t="str">
        <f>IF(COUNTA(B1923:C1923,E1923:G1923,I1923)=0,"","BI-"&amp;RIGHT("0000"&amp;(ROW()-5),4))</f>
        <v/>
      </c>
      <c r="B1923" s="72" t="n"/>
      <c r="C1923" s="66" t="n"/>
      <c r="D1923" s="67" t="str">
        <f>IF(C1923="","",IFERROR(INDEX(eq_des,MATCH(C1923,eq_code,0))&amp;"","Équipement inconnu"))</f>
        <v/>
      </c>
      <c r="E1923" s="68" t="n"/>
      <c r="F1923" s="68" t="n"/>
      <c r="G1923" s="66" t="n"/>
      <c r="H1923" s="66" t="n"/>
      <c r="I1923" s="68" t="n"/>
      <c r="J1923" s="73" t="n"/>
      <c r="K1923" s="71" t="n"/>
      <c r="L1923" s="71" t="n"/>
      <c r="M1923" s="66" t="n"/>
      <c r="N1923" s="80" t="n"/>
      <c r="O1923" s="81" t="str">
        <f>IF(A1923="","",ROUND(V1923*IFERROR(N(INDEX(tech_rate,MATCH(M1923,tech_name,0))),0),2))</f>
        <v/>
      </c>
      <c r="P1923" s="80" t="n"/>
      <c r="Q1923" s="81" t="str">
        <f>IF(A1923="","",ROUND(Y1923+O1923+Z1923,2))</f>
        <v/>
      </c>
      <c r="R1923" s="79" t="str">
        <f>IF(A1923="","",IF(S1923=0,"Date manquante ou invalide",IF(C1923="","Équipement manquant",IF(ISNA(MATCH(C1923,eq_code,0)),"Équipement inconnu",IF(E1923="","Type manquant",IF(AND(E1923&lt;&gt;"Préventif",E1923&lt;&gt;"Correctif",E1923&lt;&gt;"Amélioratif"),"Type inconnu",IF(I1923="","Statut manquant",IF(AND(I1923&lt;&gt;"Terminée",I1923&lt;&gt;"En cours",I1923&lt;&gt;"À faire",I1923&lt;&gt;"Annulée"),"Statut inconnu",IF(AND(E1923="Préventif",F1923=""),"Plan manquant (préventif)",IF(AND(F1923&lt;&gt;"",ISNA(MATCH(F1923,pl_num,0))),"Plan inconnu",IF(AND(F1923&lt;&gt;"",IFERROR(INDEX(pl_eq,MATCH(F1923,pl_num,0))&amp;"",C1923)&lt;&gt;C1923),"Plan d'un autre équipement",IF(AND(J1923&lt;&gt;"",OR(NOT(ISNUMBER(J1923)),N(J1923)&lt;0)),"Compteur invalide",IF(OR(AND(K1923&lt;&gt;"",OR(NOT(ISNUMBER(K1923)),N(K1923)&lt;0)),AND(L1923&lt;&gt;"",OR(NOT(ISNUMBER(L1923)),N(L1923)&lt;0))),"Durée invalide",IF(OR(AND(N1923&lt;&gt;"",OR(NOT(ISNUMBER(N1923)),N(N1923)&lt;0)),AND(P1923&lt;&gt;"",OR(NOT(ISNUMBER(P1923)),N(P1923)&lt;0))),"Coût invalide",IF(AND(M1923&lt;&gt;"",ISNA(MATCH(M1923,tech_name,0))),"Technicien inconnu",IF(AND(I1923="Terminée",S1923&gt;p_today),"Terminée à une date future",IF(AND(I1923="Terminée",V1923=0),"Durée d'intervention manquante",IF(AND(I1923="Terminée",E1923="Préventif",T1923=0,OR(IFERROR(INDEX(pl_trig,MATCH(F1923,pl_num,0))&amp;"","")="Compteur",IFERROR(INDEX(pl_trig,MATCH(F1923,pl_num,0))&amp;"","")="Au premier des deux")),"Compteur manquant (plan au compteur)","OK"))))))))))))))))))</f>
        <v/>
      </c>
      <c r="S1923" s="67">
        <f>IF(AND(ISNUMBER(B1923),N(B1923)&gt;0),INT(B1923),0)</f>
        <v>0.0</v>
      </c>
      <c r="T1923" s="67">
        <f>IF(AND(ISNUMBER(J1923),N(J1923)&gt;=0),N(J1923),0)</f>
        <v>0.0</v>
      </c>
      <c r="U1923" s="67">
        <f>IF(AND(ISNUMBER(K1923),N(K1923)&gt;0),N(K1923),0)</f>
        <v>0.0</v>
      </c>
      <c r="V1923" s="67">
        <f>IF(AND(ISNUMBER(L1923),N(L1923)&gt;0),N(L1923),0)</f>
        <v>0.0</v>
      </c>
      <c r="W1923" s="67">
        <f>IF(AND(I1923="Terminée",S1923&gt;0,C1923&lt;&gt;"",ISNUMBER(MATCH(C1923,eq_code,0))),1,0)</f>
        <v>0.0</v>
      </c>
      <c r="X1923" s="67">
        <f>IF(AND(W1923=1,E1923="Préventif"),1,0)</f>
        <v>0.0</v>
      </c>
      <c r="Y1923" s="67">
        <f>IF(AND(ISNUMBER(N1923),N(N1923)&gt;0),N(N1923),0)</f>
        <v>0.0</v>
      </c>
      <c r="Z1923" s="67">
        <f>IF(AND(ISNUMBER(P1923),N(P1923)&gt;0),N(P1923),0)</f>
        <v>0.0</v>
      </c>
    </row>
    <row r="1924">
      <c r="A1924" s="79" t="str">
        <f>IF(COUNTA(B1924:C1924,E1924:G1924,I1924)=0,"","BI-"&amp;RIGHT("0000"&amp;(ROW()-5),4))</f>
        <v/>
      </c>
      <c r="B1924" s="72" t="n"/>
      <c r="C1924" s="66" t="n"/>
      <c r="D1924" s="67" t="str">
        <f>IF(C1924="","",IFERROR(INDEX(eq_des,MATCH(C1924,eq_code,0))&amp;"","Équipement inconnu"))</f>
        <v/>
      </c>
      <c r="E1924" s="68" t="n"/>
      <c r="F1924" s="68" t="n"/>
      <c r="G1924" s="66" t="n"/>
      <c r="H1924" s="66" t="n"/>
      <c r="I1924" s="68" t="n"/>
      <c r="J1924" s="73" t="n"/>
      <c r="K1924" s="71" t="n"/>
      <c r="L1924" s="71" t="n"/>
      <c r="M1924" s="66" t="n"/>
      <c r="N1924" s="80" t="n"/>
      <c r="O1924" s="81" t="str">
        <f>IF(A1924="","",ROUND(V1924*IFERROR(N(INDEX(tech_rate,MATCH(M1924,tech_name,0))),0),2))</f>
        <v/>
      </c>
      <c r="P1924" s="80" t="n"/>
      <c r="Q1924" s="81" t="str">
        <f>IF(A1924="","",ROUND(Y1924+O1924+Z1924,2))</f>
        <v/>
      </c>
      <c r="R1924" s="79" t="str">
        <f>IF(A1924="","",IF(S1924=0,"Date manquante ou invalide",IF(C1924="","Équipement manquant",IF(ISNA(MATCH(C1924,eq_code,0)),"Équipement inconnu",IF(E1924="","Type manquant",IF(AND(E1924&lt;&gt;"Préventif",E1924&lt;&gt;"Correctif",E1924&lt;&gt;"Amélioratif"),"Type inconnu",IF(I1924="","Statut manquant",IF(AND(I1924&lt;&gt;"Terminée",I1924&lt;&gt;"En cours",I1924&lt;&gt;"À faire",I1924&lt;&gt;"Annulée"),"Statut inconnu",IF(AND(E1924="Préventif",F1924=""),"Plan manquant (préventif)",IF(AND(F1924&lt;&gt;"",ISNA(MATCH(F1924,pl_num,0))),"Plan inconnu",IF(AND(F1924&lt;&gt;"",IFERROR(INDEX(pl_eq,MATCH(F1924,pl_num,0))&amp;"",C1924)&lt;&gt;C1924),"Plan d'un autre équipement",IF(AND(J1924&lt;&gt;"",OR(NOT(ISNUMBER(J1924)),N(J1924)&lt;0)),"Compteur invalide",IF(OR(AND(K1924&lt;&gt;"",OR(NOT(ISNUMBER(K1924)),N(K1924)&lt;0)),AND(L1924&lt;&gt;"",OR(NOT(ISNUMBER(L1924)),N(L1924)&lt;0))),"Durée invalide",IF(OR(AND(N1924&lt;&gt;"",OR(NOT(ISNUMBER(N1924)),N(N1924)&lt;0)),AND(P1924&lt;&gt;"",OR(NOT(ISNUMBER(P1924)),N(P1924)&lt;0))),"Coût invalide",IF(AND(M1924&lt;&gt;"",ISNA(MATCH(M1924,tech_name,0))),"Technicien inconnu",IF(AND(I1924="Terminée",S1924&gt;p_today),"Terminée à une date future",IF(AND(I1924="Terminée",V1924=0),"Durée d'intervention manquante",IF(AND(I1924="Terminée",E1924="Préventif",T1924=0,OR(IFERROR(INDEX(pl_trig,MATCH(F1924,pl_num,0))&amp;"","")="Compteur",IFERROR(INDEX(pl_trig,MATCH(F1924,pl_num,0))&amp;"","")="Au premier des deux")),"Compteur manquant (plan au compteur)","OK"))))))))))))))))))</f>
        <v/>
      </c>
      <c r="S1924" s="67">
        <f>IF(AND(ISNUMBER(B1924),N(B1924)&gt;0),INT(B1924),0)</f>
        <v>0.0</v>
      </c>
      <c r="T1924" s="67">
        <f>IF(AND(ISNUMBER(J1924),N(J1924)&gt;=0),N(J1924),0)</f>
        <v>0.0</v>
      </c>
      <c r="U1924" s="67">
        <f>IF(AND(ISNUMBER(K1924),N(K1924)&gt;0),N(K1924),0)</f>
        <v>0.0</v>
      </c>
      <c r="V1924" s="67">
        <f>IF(AND(ISNUMBER(L1924),N(L1924)&gt;0),N(L1924),0)</f>
        <v>0.0</v>
      </c>
      <c r="W1924" s="67">
        <f>IF(AND(I1924="Terminée",S1924&gt;0,C1924&lt;&gt;"",ISNUMBER(MATCH(C1924,eq_code,0))),1,0)</f>
        <v>0.0</v>
      </c>
      <c r="X1924" s="67">
        <f>IF(AND(W1924=1,E1924="Préventif"),1,0)</f>
        <v>0.0</v>
      </c>
      <c r="Y1924" s="67">
        <f>IF(AND(ISNUMBER(N1924),N(N1924)&gt;0),N(N1924),0)</f>
        <v>0.0</v>
      </c>
      <c r="Z1924" s="67">
        <f>IF(AND(ISNUMBER(P1924),N(P1924)&gt;0),N(P1924),0)</f>
        <v>0.0</v>
      </c>
    </row>
    <row r="1925">
      <c r="A1925" s="79" t="str">
        <f>IF(COUNTA(B1925:C1925,E1925:G1925,I1925)=0,"","BI-"&amp;RIGHT("0000"&amp;(ROW()-5),4))</f>
        <v/>
      </c>
      <c r="B1925" s="72" t="n"/>
      <c r="C1925" s="66" t="n"/>
      <c r="D1925" s="67" t="str">
        <f>IF(C1925="","",IFERROR(INDEX(eq_des,MATCH(C1925,eq_code,0))&amp;"","Équipement inconnu"))</f>
        <v/>
      </c>
      <c r="E1925" s="68" t="n"/>
      <c r="F1925" s="68" t="n"/>
      <c r="G1925" s="66" t="n"/>
      <c r="H1925" s="66" t="n"/>
      <c r="I1925" s="68" t="n"/>
      <c r="J1925" s="73" t="n"/>
      <c r="K1925" s="71" t="n"/>
      <c r="L1925" s="71" t="n"/>
      <c r="M1925" s="66" t="n"/>
      <c r="N1925" s="80" t="n"/>
      <c r="O1925" s="81" t="str">
        <f>IF(A1925="","",ROUND(V1925*IFERROR(N(INDEX(tech_rate,MATCH(M1925,tech_name,0))),0),2))</f>
        <v/>
      </c>
      <c r="P1925" s="80" t="n"/>
      <c r="Q1925" s="81" t="str">
        <f>IF(A1925="","",ROUND(Y1925+O1925+Z1925,2))</f>
        <v/>
      </c>
      <c r="R1925" s="79" t="str">
        <f>IF(A1925="","",IF(S1925=0,"Date manquante ou invalide",IF(C1925="","Équipement manquant",IF(ISNA(MATCH(C1925,eq_code,0)),"Équipement inconnu",IF(E1925="","Type manquant",IF(AND(E1925&lt;&gt;"Préventif",E1925&lt;&gt;"Correctif",E1925&lt;&gt;"Amélioratif"),"Type inconnu",IF(I1925="","Statut manquant",IF(AND(I1925&lt;&gt;"Terminée",I1925&lt;&gt;"En cours",I1925&lt;&gt;"À faire",I1925&lt;&gt;"Annulée"),"Statut inconnu",IF(AND(E1925="Préventif",F1925=""),"Plan manquant (préventif)",IF(AND(F1925&lt;&gt;"",ISNA(MATCH(F1925,pl_num,0))),"Plan inconnu",IF(AND(F1925&lt;&gt;"",IFERROR(INDEX(pl_eq,MATCH(F1925,pl_num,0))&amp;"",C1925)&lt;&gt;C1925),"Plan d'un autre équipement",IF(AND(J1925&lt;&gt;"",OR(NOT(ISNUMBER(J1925)),N(J1925)&lt;0)),"Compteur invalide",IF(OR(AND(K1925&lt;&gt;"",OR(NOT(ISNUMBER(K1925)),N(K1925)&lt;0)),AND(L1925&lt;&gt;"",OR(NOT(ISNUMBER(L1925)),N(L1925)&lt;0))),"Durée invalide",IF(OR(AND(N1925&lt;&gt;"",OR(NOT(ISNUMBER(N1925)),N(N1925)&lt;0)),AND(P1925&lt;&gt;"",OR(NOT(ISNUMBER(P1925)),N(P1925)&lt;0))),"Coût invalide",IF(AND(M1925&lt;&gt;"",ISNA(MATCH(M1925,tech_name,0))),"Technicien inconnu",IF(AND(I1925="Terminée",S1925&gt;p_today),"Terminée à une date future",IF(AND(I1925="Terminée",V1925=0),"Durée d'intervention manquante",IF(AND(I1925="Terminée",E1925="Préventif",T1925=0,OR(IFERROR(INDEX(pl_trig,MATCH(F1925,pl_num,0))&amp;"","")="Compteur",IFERROR(INDEX(pl_trig,MATCH(F1925,pl_num,0))&amp;"","")="Au premier des deux")),"Compteur manquant (plan au compteur)","OK"))))))))))))))))))</f>
        <v/>
      </c>
      <c r="S1925" s="67">
        <f>IF(AND(ISNUMBER(B1925),N(B1925)&gt;0),INT(B1925),0)</f>
        <v>0.0</v>
      </c>
      <c r="T1925" s="67">
        <f>IF(AND(ISNUMBER(J1925),N(J1925)&gt;=0),N(J1925),0)</f>
        <v>0.0</v>
      </c>
      <c r="U1925" s="67">
        <f>IF(AND(ISNUMBER(K1925),N(K1925)&gt;0),N(K1925),0)</f>
        <v>0.0</v>
      </c>
      <c r="V1925" s="67">
        <f>IF(AND(ISNUMBER(L1925),N(L1925)&gt;0),N(L1925),0)</f>
        <v>0.0</v>
      </c>
      <c r="W1925" s="67">
        <f>IF(AND(I1925="Terminée",S1925&gt;0,C1925&lt;&gt;"",ISNUMBER(MATCH(C1925,eq_code,0))),1,0)</f>
        <v>0.0</v>
      </c>
      <c r="X1925" s="67">
        <f>IF(AND(W1925=1,E1925="Préventif"),1,0)</f>
        <v>0.0</v>
      </c>
      <c r="Y1925" s="67">
        <f>IF(AND(ISNUMBER(N1925),N(N1925)&gt;0),N(N1925),0)</f>
        <v>0.0</v>
      </c>
      <c r="Z1925" s="67">
        <f>IF(AND(ISNUMBER(P1925),N(P1925)&gt;0),N(P1925),0)</f>
        <v>0.0</v>
      </c>
    </row>
    <row r="1926">
      <c r="A1926" s="79" t="str">
        <f>IF(COUNTA(B1926:C1926,E1926:G1926,I1926)=0,"","BI-"&amp;RIGHT("0000"&amp;(ROW()-5),4))</f>
        <v/>
      </c>
      <c r="B1926" s="72" t="n"/>
      <c r="C1926" s="66" t="n"/>
      <c r="D1926" s="67" t="str">
        <f>IF(C1926="","",IFERROR(INDEX(eq_des,MATCH(C1926,eq_code,0))&amp;"","Équipement inconnu"))</f>
        <v/>
      </c>
      <c r="E1926" s="68" t="n"/>
      <c r="F1926" s="68" t="n"/>
      <c r="G1926" s="66" t="n"/>
      <c r="H1926" s="66" t="n"/>
      <c r="I1926" s="68" t="n"/>
      <c r="J1926" s="73" t="n"/>
      <c r="K1926" s="71" t="n"/>
      <c r="L1926" s="71" t="n"/>
      <c r="M1926" s="66" t="n"/>
      <c r="N1926" s="80" t="n"/>
      <c r="O1926" s="81" t="str">
        <f>IF(A1926="","",ROUND(V1926*IFERROR(N(INDEX(tech_rate,MATCH(M1926,tech_name,0))),0),2))</f>
        <v/>
      </c>
      <c r="P1926" s="80" t="n"/>
      <c r="Q1926" s="81" t="str">
        <f>IF(A1926="","",ROUND(Y1926+O1926+Z1926,2))</f>
        <v/>
      </c>
      <c r="R1926" s="79" t="str">
        <f>IF(A1926="","",IF(S1926=0,"Date manquante ou invalide",IF(C1926="","Équipement manquant",IF(ISNA(MATCH(C1926,eq_code,0)),"Équipement inconnu",IF(E1926="","Type manquant",IF(AND(E1926&lt;&gt;"Préventif",E1926&lt;&gt;"Correctif",E1926&lt;&gt;"Amélioratif"),"Type inconnu",IF(I1926="","Statut manquant",IF(AND(I1926&lt;&gt;"Terminée",I1926&lt;&gt;"En cours",I1926&lt;&gt;"À faire",I1926&lt;&gt;"Annulée"),"Statut inconnu",IF(AND(E1926="Préventif",F1926=""),"Plan manquant (préventif)",IF(AND(F1926&lt;&gt;"",ISNA(MATCH(F1926,pl_num,0))),"Plan inconnu",IF(AND(F1926&lt;&gt;"",IFERROR(INDEX(pl_eq,MATCH(F1926,pl_num,0))&amp;"",C1926)&lt;&gt;C1926),"Plan d'un autre équipement",IF(AND(J1926&lt;&gt;"",OR(NOT(ISNUMBER(J1926)),N(J1926)&lt;0)),"Compteur invalide",IF(OR(AND(K1926&lt;&gt;"",OR(NOT(ISNUMBER(K1926)),N(K1926)&lt;0)),AND(L1926&lt;&gt;"",OR(NOT(ISNUMBER(L1926)),N(L1926)&lt;0))),"Durée invalide",IF(OR(AND(N1926&lt;&gt;"",OR(NOT(ISNUMBER(N1926)),N(N1926)&lt;0)),AND(P1926&lt;&gt;"",OR(NOT(ISNUMBER(P1926)),N(P1926)&lt;0))),"Coût invalide",IF(AND(M1926&lt;&gt;"",ISNA(MATCH(M1926,tech_name,0))),"Technicien inconnu",IF(AND(I1926="Terminée",S1926&gt;p_today),"Terminée à une date future",IF(AND(I1926="Terminée",V1926=0),"Durée d'intervention manquante",IF(AND(I1926="Terminée",E1926="Préventif",T1926=0,OR(IFERROR(INDEX(pl_trig,MATCH(F1926,pl_num,0))&amp;"","")="Compteur",IFERROR(INDEX(pl_trig,MATCH(F1926,pl_num,0))&amp;"","")="Au premier des deux")),"Compteur manquant (plan au compteur)","OK"))))))))))))))))))</f>
        <v/>
      </c>
      <c r="S1926" s="67">
        <f>IF(AND(ISNUMBER(B1926),N(B1926)&gt;0),INT(B1926),0)</f>
        <v>0.0</v>
      </c>
      <c r="T1926" s="67">
        <f>IF(AND(ISNUMBER(J1926),N(J1926)&gt;=0),N(J1926),0)</f>
        <v>0.0</v>
      </c>
      <c r="U1926" s="67">
        <f>IF(AND(ISNUMBER(K1926),N(K1926)&gt;0),N(K1926),0)</f>
        <v>0.0</v>
      </c>
      <c r="V1926" s="67">
        <f>IF(AND(ISNUMBER(L1926),N(L1926)&gt;0),N(L1926),0)</f>
        <v>0.0</v>
      </c>
      <c r="W1926" s="67">
        <f>IF(AND(I1926="Terminée",S1926&gt;0,C1926&lt;&gt;"",ISNUMBER(MATCH(C1926,eq_code,0))),1,0)</f>
        <v>0.0</v>
      </c>
      <c r="X1926" s="67">
        <f>IF(AND(W1926=1,E1926="Préventif"),1,0)</f>
        <v>0.0</v>
      </c>
      <c r="Y1926" s="67">
        <f>IF(AND(ISNUMBER(N1926),N(N1926)&gt;0),N(N1926),0)</f>
        <v>0.0</v>
      </c>
      <c r="Z1926" s="67">
        <f>IF(AND(ISNUMBER(P1926),N(P1926)&gt;0),N(P1926),0)</f>
        <v>0.0</v>
      </c>
    </row>
    <row r="1927">
      <c r="A1927" s="79" t="str">
        <f>IF(COUNTA(B1927:C1927,E1927:G1927,I1927)=0,"","BI-"&amp;RIGHT("0000"&amp;(ROW()-5),4))</f>
        <v/>
      </c>
      <c r="B1927" s="72" t="n"/>
      <c r="C1927" s="66" t="n"/>
      <c r="D1927" s="67" t="str">
        <f>IF(C1927="","",IFERROR(INDEX(eq_des,MATCH(C1927,eq_code,0))&amp;"","Équipement inconnu"))</f>
        <v/>
      </c>
      <c r="E1927" s="68" t="n"/>
      <c r="F1927" s="68" t="n"/>
      <c r="G1927" s="66" t="n"/>
      <c r="H1927" s="66" t="n"/>
      <c r="I1927" s="68" t="n"/>
      <c r="J1927" s="73" t="n"/>
      <c r="K1927" s="71" t="n"/>
      <c r="L1927" s="71" t="n"/>
      <c r="M1927" s="66" t="n"/>
      <c r="N1927" s="80" t="n"/>
      <c r="O1927" s="81" t="str">
        <f>IF(A1927="","",ROUND(V1927*IFERROR(N(INDEX(tech_rate,MATCH(M1927,tech_name,0))),0),2))</f>
        <v/>
      </c>
      <c r="P1927" s="80" t="n"/>
      <c r="Q1927" s="81" t="str">
        <f>IF(A1927="","",ROUND(Y1927+O1927+Z1927,2))</f>
        <v/>
      </c>
      <c r="R1927" s="79" t="str">
        <f>IF(A1927="","",IF(S1927=0,"Date manquante ou invalide",IF(C1927="","Équipement manquant",IF(ISNA(MATCH(C1927,eq_code,0)),"Équipement inconnu",IF(E1927="","Type manquant",IF(AND(E1927&lt;&gt;"Préventif",E1927&lt;&gt;"Correctif",E1927&lt;&gt;"Amélioratif"),"Type inconnu",IF(I1927="","Statut manquant",IF(AND(I1927&lt;&gt;"Terminée",I1927&lt;&gt;"En cours",I1927&lt;&gt;"À faire",I1927&lt;&gt;"Annulée"),"Statut inconnu",IF(AND(E1927="Préventif",F1927=""),"Plan manquant (préventif)",IF(AND(F1927&lt;&gt;"",ISNA(MATCH(F1927,pl_num,0))),"Plan inconnu",IF(AND(F1927&lt;&gt;"",IFERROR(INDEX(pl_eq,MATCH(F1927,pl_num,0))&amp;"",C1927)&lt;&gt;C1927),"Plan d'un autre équipement",IF(AND(J1927&lt;&gt;"",OR(NOT(ISNUMBER(J1927)),N(J1927)&lt;0)),"Compteur invalide",IF(OR(AND(K1927&lt;&gt;"",OR(NOT(ISNUMBER(K1927)),N(K1927)&lt;0)),AND(L1927&lt;&gt;"",OR(NOT(ISNUMBER(L1927)),N(L1927)&lt;0))),"Durée invalide",IF(OR(AND(N1927&lt;&gt;"",OR(NOT(ISNUMBER(N1927)),N(N1927)&lt;0)),AND(P1927&lt;&gt;"",OR(NOT(ISNUMBER(P1927)),N(P1927)&lt;0))),"Coût invalide",IF(AND(M1927&lt;&gt;"",ISNA(MATCH(M1927,tech_name,0))),"Technicien inconnu",IF(AND(I1927="Terminée",S1927&gt;p_today),"Terminée à une date future",IF(AND(I1927="Terminée",V1927=0),"Durée d'intervention manquante",IF(AND(I1927="Terminée",E1927="Préventif",T1927=0,OR(IFERROR(INDEX(pl_trig,MATCH(F1927,pl_num,0))&amp;"","")="Compteur",IFERROR(INDEX(pl_trig,MATCH(F1927,pl_num,0))&amp;"","")="Au premier des deux")),"Compteur manquant (plan au compteur)","OK"))))))))))))))))))</f>
        <v/>
      </c>
      <c r="S1927" s="67">
        <f>IF(AND(ISNUMBER(B1927),N(B1927)&gt;0),INT(B1927),0)</f>
        <v>0.0</v>
      </c>
      <c r="T1927" s="67">
        <f>IF(AND(ISNUMBER(J1927),N(J1927)&gt;=0),N(J1927),0)</f>
        <v>0.0</v>
      </c>
      <c r="U1927" s="67">
        <f>IF(AND(ISNUMBER(K1927),N(K1927)&gt;0),N(K1927),0)</f>
        <v>0.0</v>
      </c>
      <c r="V1927" s="67">
        <f>IF(AND(ISNUMBER(L1927),N(L1927)&gt;0),N(L1927),0)</f>
        <v>0.0</v>
      </c>
      <c r="W1927" s="67">
        <f>IF(AND(I1927="Terminée",S1927&gt;0,C1927&lt;&gt;"",ISNUMBER(MATCH(C1927,eq_code,0))),1,0)</f>
        <v>0.0</v>
      </c>
      <c r="X1927" s="67">
        <f>IF(AND(W1927=1,E1927="Préventif"),1,0)</f>
        <v>0.0</v>
      </c>
      <c r="Y1927" s="67">
        <f>IF(AND(ISNUMBER(N1927),N(N1927)&gt;0),N(N1927),0)</f>
        <v>0.0</v>
      </c>
      <c r="Z1927" s="67">
        <f>IF(AND(ISNUMBER(P1927),N(P1927)&gt;0),N(P1927),0)</f>
        <v>0.0</v>
      </c>
    </row>
    <row r="1928">
      <c r="A1928" s="79" t="str">
        <f>IF(COUNTA(B1928:C1928,E1928:G1928,I1928)=0,"","BI-"&amp;RIGHT("0000"&amp;(ROW()-5),4))</f>
        <v/>
      </c>
      <c r="B1928" s="72" t="n"/>
      <c r="C1928" s="66" t="n"/>
      <c r="D1928" s="67" t="str">
        <f>IF(C1928="","",IFERROR(INDEX(eq_des,MATCH(C1928,eq_code,0))&amp;"","Équipement inconnu"))</f>
        <v/>
      </c>
      <c r="E1928" s="68" t="n"/>
      <c r="F1928" s="68" t="n"/>
      <c r="G1928" s="66" t="n"/>
      <c r="H1928" s="66" t="n"/>
      <c r="I1928" s="68" t="n"/>
      <c r="J1928" s="73" t="n"/>
      <c r="K1928" s="71" t="n"/>
      <c r="L1928" s="71" t="n"/>
      <c r="M1928" s="66" t="n"/>
      <c r="N1928" s="80" t="n"/>
      <c r="O1928" s="81" t="str">
        <f>IF(A1928="","",ROUND(V1928*IFERROR(N(INDEX(tech_rate,MATCH(M1928,tech_name,0))),0),2))</f>
        <v/>
      </c>
      <c r="P1928" s="80" t="n"/>
      <c r="Q1928" s="81" t="str">
        <f>IF(A1928="","",ROUND(Y1928+O1928+Z1928,2))</f>
        <v/>
      </c>
      <c r="R1928" s="79" t="str">
        <f>IF(A1928="","",IF(S1928=0,"Date manquante ou invalide",IF(C1928="","Équipement manquant",IF(ISNA(MATCH(C1928,eq_code,0)),"Équipement inconnu",IF(E1928="","Type manquant",IF(AND(E1928&lt;&gt;"Préventif",E1928&lt;&gt;"Correctif",E1928&lt;&gt;"Amélioratif"),"Type inconnu",IF(I1928="","Statut manquant",IF(AND(I1928&lt;&gt;"Terminée",I1928&lt;&gt;"En cours",I1928&lt;&gt;"À faire",I1928&lt;&gt;"Annulée"),"Statut inconnu",IF(AND(E1928="Préventif",F1928=""),"Plan manquant (préventif)",IF(AND(F1928&lt;&gt;"",ISNA(MATCH(F1928,pl_num,0))),"Plan inconnu",IF(AND(F1928&lt;&gt;"",IFERROR(INDEX(pl_eq,MATCH(F1928,pl_num,0))&amp;"",C1928)&lt;&gt;C1928),"Plan d'un autre équipement",IF(AND(J1928&lt;&gt;"",OR(NOT(ISNUMBER(J1928)),N(J1928)&lt;0)),"Compteur invalide",IF(OR(AND(K1928&lt;&gt;"",OR(NOT(ISNUMBER(K1928)),N(K1928)&lt;0)),AND(L1928&lt;&gt;"",OR(NOT(ISNUMBER(L1928)),N(L1928)&lt;0))),"Durée invalide",IF(OR(AND(N1928&lt;&gt;"",OR(NOT(ISNUMBER(N1928)),N(N1928)&lt;0)),AND(P1928&lt;&gt;"",OR(NOT(ISNUMBER(P1928)),N(P1928)&lt;0))),"Coût invalide",IF(AND(M1928&lt;&gt;"",ISNA(MATCH(M1928,tech_name,0))),"Technicien inconnu",IF(AND(I1928="Terminée",S1928&gt;p_today),"Terminée à une date future",IF(AND(I1928="Terminée",V1928=0),"Durée d'intervention manquante",IF(AND(I1928="Terminée",E1928="Préventif",T1928=0,OR(IFERROR(INDEX(pl_trig,MATCH(F1928,pl_num,0))&amp;"","")="Compteur",IFERROR(INDEX(pl_trig,MATCH(F1928,pl_num,0))&amp;"","")="Au premier des deux")),"Compteur manquant (plan au compteur)","OK"))))))))))))))))))</f>
        <v/>
      </c>
      <c r="S1928" s="67">
        <f>IF(AND(ISNUMBER(B1928),N(B1928)&gt;0),INT(B1928),0)</f>
        <v>0.0</v>
      </c>
      <c r="T1928" s="67">
        <f>IF(AND(ISNUMBER(J1928),N(J1928)&gt;=0),N(J1928),0)</f>
        <v>0.0</v>
      </c>
      <c r="U1928" s="67">
        <f>IF(AND(ISNUMBER(K1928),N(K1928)&gt;0),N(K1928),0)</f>
        <v>0.0</v>
      </c>
      <c r="V1928" s="67">
        <f>IF(AND(ISNUMBER(L1928),N(L1928)&gt;0),N(L1928),0)</f>
        <v>0.0</v>
      </c>
      <c r="W1928" s="67">
        <f>IF(AND(I1928="Terminée",S1928&gt;0,C1928&lt;&gt;"",ISNUMBER(MATCH(C1928,eq_code,0))),1,0)</f>
        <v>0.0</v>
      </c>
      <c r="X1928" s="67">
        <f>IF(AND(W1928=1,E1928="Préventif"),1,0)</f>
        <v>0.0</v>
      </c>
      <c r="Y1928" s="67">
        <f>IF(AND(ISNUMBER(N1928),N(N1928)&gt;0),N(N1928),0)</f>
        <v>0.0</v>
      </c>
      <c r="Z1928" s="67">
        <f>IF(AND(ISNUMBER(P1928),N(P1928)&gt;0),N(P1928),0)</f>
        <v>0.0</v>
      </c>
    </row>
    <row r="1929">
      <c r="A1929" s="79" t="str">
        <f>IF(COUNTA(B1929:C1929,E1929:G1929,I1929)=0,"","BI-"&amp;RIGHT("0000"&amp;(ROW()-5),4))</f>
        <v/>
      </c>
      <c r="B1929" s="72" t="n"/>
      <c r="C1929" s="66" t="n"/>
      <c r="D1929" s="67" t="str">
        <f>IF(C1929="","",IFERROR(INDEX(eq_des,MATCH(C1929,eq_code,0))&amp;"","Équipement inconnu"))</f>
        <v/>
      </c>
      <c r="E1929" s="68" t="n"/>
      <c r="F1929" s="68" t="n"/>
      <c r="G1929" s="66" t="n"/>
      <c r="H1929" s="66" t="n"/>
      <c r="I1929" s="68" t="n"/>
      <c r="J1929" s="73" t="n"/>
      <c r="K1929" s="71" t="n"/>
      <c r="L1929" s="71" t="n"/>
      <c r="M1929" s="66" t="n"/>
      <c r="N1929" s="80" t="n"/>
      <c r="O1929" s="81" t="str">
        <f>IF(A1929="","",ROUND(V1929*IFERROR(N(INDEX(tech_rate,MATCH(M1929,tech_name,0))),0),2))</f>
        <v/>
      </c>
      <c r="P1929" s="80" t="n"/>
      <c r="Q1929" s="81" t="str">
        <f>IF(A1929="","",ROUND(Y1929+O1929+Z1929,2))</f>
        <v/>
      </c>
      <c r="R1929" s="79" t="str">
        <f>IF(A1929="","",IF(S1929=0,"Date manquante ou invalide",IF(C1929="","Équipement manquant",IF(ISNA(MATCH(C1929,eq_code,0)),"Équipement inconnu",IF(E1929="","Type manquant",IF(AND(E1929&lt;&gt;"Préventif",E1929&lt;&gt;"Correctif",E1929&lt;&gt;"Amélioratif"),"Type inconnu",IF(I1929="","Statut manquant",IF(AND(I1929&lt;&gt;"Terminée",I1929&lt;&gt;"En cours",I1929&lt;&gt;"À faire",I1929&lt;&gt;"Annulée"),"Statut inconnu",IF(AND(E1929="Préventif",F1929=""),"Plan manquant (préventif)",IF(AND(F1929&lt;&gt;"",ISNA(MATCH(F1929,pl_num,0))),"Plan inconnu",IF(AND(F1929&lt;&gt;"",IFERROR(INDEX(pl_eq,MATCH(F1929,pl_num,0))&amp;"",C1929)&lt;&gt;C1929),"Plan d'un autre équipement",IF(AND(J1929&lt;&gt;"",OR(NOT(ISNUMBER(J1929)),N(J1929)&lt;0)),"Compteur invalide",IF(OR(AND(K1929&lt;&gt;"",OR(NOT(ISNUMBER(K1929)),N(K1929)&lt;0)),AND(L1929&lt;&gt;"",OR(NOT(ISNUMBER(L1929)),N(L1929)&lt;0))),"Durée invalide",IF(OR(AND(N1929&lt;&gt;"",OR(NOT(ISNUMBER(N1929)),N(N1929)&lt;0)),AND(P1929&lt;&gt;"",OR(NOT(ISNUMBER(P1929)),N(P1929)&lt;0))),"Coût invalide",IF(AND(M1929&lt;&gt;"",ISNA(MATCH(M1929,tech_name,0))),"Technicien inconnu",IF(AND(I1929="Terminée",S1929&gt;p_today),"Terminée à une date future",IF(AND(I1929="Terminée",V1929=0),"Durée d'intervention manquante",IF(AND(I1929="Terminée",E1929="Préventif",T1929=0,OR(IFERROR(INDEX(pl_trig,MATCH(F1929,pl_num,0))&amp;"","")="Compteur",IFERROR(INDEX(pl_trig,MATCH(F1929,pl_num,0))&amp;"","")="Au premier des deux")),"Compteur manquant (plan au compteur)","OK"))))))))))))))))))</f>
        <v/>
      </c>
      <c r="S1929" s="67">
        <f>IF(AND(ISNUMBER(B1929),N(B1929)&gt;0),INT(B1929),0)</f>
        <v>0.0</v>
      </c>
      <c r="T1929" s="67">
        <f>IF(AND(ISNUMBER(J1929),N(J1929)&gt;=0),N(J1929),0)</f>
        <v>0.0</v>
      </c>
      <c r="U1929" s="67">
        <f>IF(AND(ISNUMBER(K1929),N(K1929)&gt;0),N(K1929),0)</f>
        <v>0.0</v>
      </c>
      <c r="V1929" s="67">
        <f>IF(AND(ISNUMBER(L1929),N(L1929)&gt;0),N(L1929),0)</f>
        <v>0.0</v>
      </c>
      <c r="W1929" s="67">
        <f>IF(AND(I1929="Terminée",S1929&gt;0,C1929&lt;&gt;"",ISNUMBER(MATCH(C1929,eq_code,0))),1,0)</f>
        <v>0.0</v>
      </c>
      <c r="X1929" s="67">
        <f>IF(AND(W1929=1,E1929="Préventif"),1,0)</f>
        <v>0.0</v>
      </c>
      <c r="Y1929" s="67">
        <f>IF(AND(ISNUMBER(N1929),N(N1929)&gt;0),N(N1929),0)</f>
        <v>0.0</v>
      </c>
      <c r="Z1929" s="67">
        <f>IF(AND(ISNUMBER(P1929),N(P1929)&gt;0),N(P1929),0)</f>
        <v>0.0</v>
      </c>
    </row>
    <row r="1930">
      <c r="A1930" s="79" t="str">
        <f>IF(COUNTA(B1930:C1930,E1930:G1930,I1930)=0,"","BI-"&amp;RIGHT("0000"&amp;(ROW()-5),4))</f>
        <v/>
      </c>
      <c r="B1930" s="72" t="n"/>
      <c r="C1930" s="66" t="n"/>
      <c r="D1930" s="67" t="str">
        <f>IF(C1930="","",IFERROR(INDEX(eq_des,MATCH(C1930,eq_code,0))&amp;"","Équipement inconnu"))</f>
        <v/>
      </c>
      <c r="E1930" s="68" t="n"/>
      <c r="F1930" s="68" t="n"/>
      <c r="G1930" s="66" t="n"/>
      <c r="H1930" s="66" t="n"/>
      <c r="I1930" s="68" t="n"/>
      <c r="J1930" s="73" t="n"/>
      <c r="K1930" s="71" t="n"/>
      <c r="L1930" s="71" t="n"/>
      <c r="M1930" s="66" t="n"/>
      <c r="N1930" s="80" t="n"/>
      <c r="O1930" s="81" t="str">
        <f>IF(A1930="","",ROUND(V1930*IFERROR(N(INDEX(tech_rate,MATCH(M1930,tech_name,0))),0),2))</f>
        <v/>
      </c>
      <c r="P1930" s="80" t="n"/>
      <c r="Q1930" s="81" t="str">
        <f>IF(A1930="","",ROUND(Y1930+O1930+Z1930,2))</f>
        <v/>
      </c>
      <c r="R1930" s="79" t="str">
        <f>IF(A1930="","",IF(S1930=0,"Date manquante ou invalide",IF(C1930="","Équipement manquant",IF(ISNA(MATCH(C1930,eq_code,0)),"Équipement inconnu",IF(E1930="","Type manquant",IF(AND(E1930&lt;&gt;"Préventif",E1930&lt;&gt;"Correctif",E1930&lt;&gt;"Amélioratif"),"Type inconnu",IF(I1930="","Statut manquant",IF(AND(I1930&lt;&gt;"Terminée",I1930&lt;&gt;"En cours",I1930&lt;&gt;"À faire",I1930&lt;&gt;"Annulée"),"Statut inconnu",IF(AND(E1930="Préventif",F1930=""),"Plan manquant (préventif)",IF(AND(F1930&lt;&gt;"",ISNA(MATCH(F1930,pl_num,0))),"Plan inconnu",IF(AND(F1930&lt;&gt;"",IFERROR(INDEX(pl_eq,MATCH(F1930,pl_num,0))&amp;"",C1930)&lt;&gt;C1930),"Plan d'un autre équipement",IF(AND(J1930&lt;&gt;"",OR(NOT(ISNUMBER(J1930)),N(J1930)&lt;0)),"Compteur invalide",IF(OR(AND(K1930&lt;&gt;"",OR(NOT(ISNUMBER(K1930)),N(K1930)&lt;0)),AND(L1930&lt;&gt;"",OR(NOT(ISNUMBER(L1930)),N(L1930)&lt;0))),"Durée invalide",IF(OR(AND(N1930&lt;&gt;"",OR(NOT(ISNUMBER(N1930)),N(N1930)&lt;0)),AND(P1930&lt;&gt;"",OR(NOT(ISNUMBER(P1930)),N(P1930)&lt;0))),"Coût invalide",IF(AND(M1930&lt;&gt;"",ISNA(MATCH(M1930,tech_name,0))),"Technicien inconnu",IF(AND(I1930="Terminée",S1930&gt;p_today),"Terminée à une date future",IF(AND(I1930="Terminée",V1930=0),"Durée d'intervention manquante",IF(AND(I1930="Terminée",E1930="Préventif",T1930=0,OR(IFERROR(INDEX(pl_trig,MATCH(F1930,pl_num,0))&amp;"","")="Compteur",IFERROR(INDEX(pl_trig,MATCH(F1930,pl_num,0))&amp;"","")="Au premier des deux")),"Compteur manquant (plan au compteur)","OK"))))))))))))))))))</f>
        <v/>
      </c>
      <c r="S1930" s="67">
        <f>IF(AND(ISNUMBER(B1930),N(B1930)&gt;0),INT(B1930),0)</f>
        <v>0.0</v>
      </c>
      <c r="T1930" s="67">
        <f>IF(AND(ISNUMBER(J1930),N(J1930)&gt;=0),N(J1930),0)</f>
        <v>0.0</v>
      </c>
      <c r="U1930" s="67">
        <f>IF(AND(ISNUMBER(K1930),N(K1930)&gt;0),N(K1930),0)</f>
        <v>0.0</v>
      </c>
      <c r="V1930" s="67">
        <f>IF(AND(ISNUMBER(L1930),N(L1930)&gt;0),N(L1930),0)</f>
        <v>0.0</v>
      </c>
      <c r="W1930" s="67">
        <f>IF(AND(I1930="Terminée",S1930&gt;0,C1930&lt;&gt;"",ISNUMBER(MATCH(C1930,eq_code,0))),1,0)</f>
        <v>0.0</v>
      </c>
      <c r="X1930" s="67">
        <f>IF(AND(W1930=1,E1930="Préventif"),1,0)</f>
        <v>0.0</v>
      </c>
      <c r="Y1930" s="67">
        <f>IF(AND(ISNUMBER(N1930),N(N1930)&gt;0),N(N1930),0)</f>
        <v>0.0</v>
      </c>
      <c r="Z1930" s="67">
        <f>IF(AND(ISNUMBER(P1930),N(P1930)&gt;0),N(P1930),0)</f>
        <v>0.0</v>
      </c>
    </row>
    <row r="1931">
      <c r="A1931" s="79" t="str">
        <f>IF(COUNTA(B1931:C1931,E1931:G1931,I1931)=0,"","BI-"&amp;RIGHT("0000"&amp;(ROW()-5),4))</f>
        <v/>
      </c>
      <c r="B1931" s="72" t="n"/>
      <c r="C1931" s="66" t="n"/>
      <c r="D1931" s="67" t="str">
        <f>IF(C1931="","",IFERROR(INDEX(eq_des,MATCH(C1931,eq_code,0))&amp;"","Équipement inconnu"))</f>
        <v/>
      </c>
      <c r="E1931" s="68" t="n"/>
      <c r="F1931" s="68" t="n"/>
      <c r="G1931" s="66" t="n"/>
      <c r="H1931" s="66" t="n"/>
      <c r="I1931" s="68" t="n"/>
      <c r="J1931" s="73" t="n"/>
      <c r="K1931" s="71" t="n"/>
      <c r="L1931" s="71" t="n"/>
      <c r="M1931" s="66" t="n"/>
      <c r="N1931" s="80" t="n"/>
      <c r="O1931" s="81" t="str">
        <f>IF(A1931="","",ROUND(V1931*IFERROR(N(INDEX(tech_rate,MATCH(M1931,tech_name,0))),0),2))</f>
        <v/>
      </c>
      <c r="P1931" s="80" t="n"/>
      <c r="Q1931" s="81" t="str">
        <f>IF(A1931="","",ROUND(Y1931+O1931+Z1931,2))</f>
        <v/>
      </c>
      <c r="R1931" s="79" t="str">
        <f>IF(A1931="","",IF(S1931=0,"Date manquante ou invalide",IF(C1931="","Équipement manquant",IF(ISNA(MATCH(C1931,eq_code,0)),"Équipement inconnu",IF(E1931="","Type manquant",IF(AND(E1931&lt;&gt;"Préventif",E1931&lt;&gt;"Correctif",E1931&lt;&gt;"Amélioratif"),"Type inconnu",IF(I1931="","Statut manquant",IF(AND(I1931&lt;&gt;"Terminée",I1931&lt;&gt;"En cours",I1931&lt;&gt;"À faire",I1931&lt;&gt;"Annulée"),"Statut inconnu",IF(AND(E1931="Préventif",F1931=""),"Plan manquant (préventif)",IF(AND(F1931&lt;&gt;"",ISNA(MATCH(F1931,pl_num,0))),"Plan inconnu",IF(AND(F1931&lt;&gt;"",IFERROR(INDEX(pl_eq,MATCH(F1931,pl_num,0))&amp;"",C1931)&lt;&gt;C1931),"Plan d'un autre équipement",IF(AND(J1931&lt;&gt;"",OR(NOT(ISNUMBER(J1931)),N(J1931)&lt;0)),"Compteur invalide",IF(OR(AND(K1931&lt;&gt;"",OR(NOT(ISNUMBER(K1931)),N(K1931)&lt;0)),AND(L1931&lt;&gt;"",OR(NOT(ISNUMBER(L1931)),N(L1931)&lt;0))),"Durée invalide",IF(OR(AND(N1931&lt;&gt;"",OR(NOT(ISNUMBER(N1931)),N(N1931)&lt;0)),AND(P1931&lt;&gt;"",OR(NOT(ISNUMBER(P1931)),N(P1931)&lt;0))),"Coût invalide",IF(AND(M1931&lt;&gt;"",ISNA(MATCH(M1931,tech_name,0))),"Technicien inconnu",IF(AND(I1931="Terminée",S1931&gt;p_today),"Terminée à une date future",IF(AND(I1931="Terminée",V1931=0),"Durée d'intervention manquante",IF(AND(I1931="Terminée",E1931="Préventif",T1931=0,OR(IFERROR(INDEX(pl_trig,MATCH(F1931,pl_num,0))&amp;"","")="Compteur",IFERROR(INDEX(pl_trig,MATCH(F1931,pl_num,0))&amp;"","")="Au premier des deux")),"Compteur manquant (plan au compteur)","OK"))))))))))))))))))</f>
        <v/>
      </c>
      <c r="S1931" s="67">
        <f>IF(AND(ISNUMBER(B1931),N(B1931)&gt;0),INT(B1931),0)</f>
        <v>0.0</v>
      </c>
      <c r="T1931" s="67">
        <f>IF(AND(ISNUMBER(J1931),N(J1931)&gt;=0),N(J1931),0)</f>
        <v>0.0</v>
      </c>
      <c r="U1931" s="67">
        <f>IF(AND(ISNUMBER(K1931),N(K1931)&gt;0),N(K1931),0)</f>
        <v>0.0</v>
      </c>
      <c r="V1931" s="67">
        <f>IF(AND(ISNUMBER(L1931),N(L1931)&gt;0),N(L1931),0)</f>
        <v>0.0</v>
      </c>
      <c r="W1931" s="67">
        <f>IF(AND(I1931="Terminée",S1931&gt;0,C1931&lt;&gt;"",ISNUMBER(MATCH(C1931,eq_code,0))),1,0)</f>
        <v>0.0</v>
      </c>
      <c r="X1931" s="67">
        <f>IF(AND(W1931=1,E1931="Préventif"),1,0)</f>
        <v>0.0</v>
      </c>
      <c r="Y1931" s="67">
        <f>IF(AND(ISNUMBER(N1931),N(N1931)&gt;0),N(N1931),0)</f>
        <v>0.0</v>
      </c>
      <c r="Z1931" s="67">
        <f>IF(AND(ISNUMBER(P1931),N(P1931)&gt;0),N(P1931),0)</f>
        <v>0.0</v>
      </c>
    </row>
    <row r="1932">
      <c r="A1932" s="79" t="str">
        <f>IF(COUNTA(B1932:C1932,E1932:G1932,I1932)=0,"","BI-"&amp;RIGHT("0000"&amp;(ROW()-5),4))</f>
        <v/>
      </c>
      <c r="B1932" s="72" t="n"/>
      <c r="C1932" s="66" t="n"/>
      <c r="D1932" s="67" t="str">
        <f>IF(C1932="","",IFERROR(INDEX(eq_des,MATCH(C1932,eq_code,0))&amp;"","Équipement inconnu"))</f>
        <v/>
      </c>
      <c r="E1932" s="68" t="n"/>
      <c r="F1932" s="68" t="n"/>
      <c r="G1932" s="66" t="n"/>
      <c r="H1932" s="66" t="n"/>
      <c r="I1932" s="68" t="n"/>
      <c r="J1932" s="73" t="n"/>
      <c r="K1932" s="71" t="n"/>
      <c r="L1932" s="71" t="n"/>
      <c r="M1932" s="66" t="n"/>
      <c r="N1932" s="80" t="n"/>
      <c r="O1932" s="81" t="str">
        <f>IF(A1932="","",ROUND(V1932*IFERROR(N(INDEX(tech_rate,MATCH(M1932,tech_name,0))),0),2))</f>
        <v/>
      </c>
      <c r="P1932" s="80" t="n"/>
      <c r="Q1932" s="81" t="str">
        <f>IF(A1932="","",ROUND(Y1932+O1932+Z1932,2))</f>
        <v/>
      </c>
      <c r="R1932" s="79" t="str">
        <f>IF(A1932="","",IF(S1932=0,"Date manquante ou invalide",IF(C1932="","Équipement manquant",IF(ISNA(MATCH(C1932,eq_code,0)),"Équipement inconnu",IF(E1932="","Type manquant",IF(AND(E1932&lt;&gt;"Préventif",E1932&lt;&gt;"Correctif",E1932&lt;&gt;"Amélioratif"),"Type inconnu",IF(I1932="","Statut manquant",IF(AND(I1932&lt;&gt;"Terminée",I1932&lt;&gt;"En cours",I1932&lt;&gt;"À faire",I1932&lt;&gt;"Annulée"),"Statut inconnu",IF(AND(E1932="Préventif",F1932=""),"Plan manquant (préventif)",IF(AND(F1932&lt;&gt;"",ISNA(MATCH(F1932,pl_num,0))),"Plan inconnu",IF(AND(F1932&lt;&gt;"",IFERROR(INDEX(pl_eq,MATCH(F1932,pl_num,0))&amp;"",C1932)&lt;&gt;C1932),"Plan d'un autre équipement",IF(AND(J1932&lt;&gt;"",OR(NOT(ISNUMBER(J1932)),N(J1932)&lt;0)),"Compteur invalide",IF(OR(AND(K1932&lt;&gt;"",OR(NOT(ISNUMBER(K1932)),N(K1932)&lt;0)),AND(L1932&lt;&gt;"",OR(NOT(ISNUMBER(L1932)),N(L1932)&lt;0))),"Durée invalide",IF(OR(AND(N1932&lt;&gt;"",OR(NOT(ISNUMBER(N1932)),N(N1932)&lt;0)),AND(P1932&lt;&gt;"",OR(NOT(ISNUMBER(P1932)),N(P1932)&lt;0))),"Coût invalide",IF(AND(M1932&lt;&gt;"",ISNA(MATCH(M1932,tech_name,0))),"Technicien inconnu",IF(AND(I1932="Terminée",S1932&gt;p_today),"Terminée à une date future",IF(AND(I1932="Terminée",V1932=0),"Durée d'intervention manquante",IF(AND(I1932="Terminée",E1932="Préventif",T1932=0,OR(IFERROR(INDEX(pl_trig,MATCH(F1932,pl_num,0))&amp;"","")="Compteur",IFERROR(INDEX(pl_trig,MATCH(F1932,pl_num,0))&amp;"","")="Au premier des deux")),"Compteur manquant (plan au compteur)","OK"))))))))))))))))))</f>
        <v/>
      </c>
      <c r="S1932" s="67">
        <f>IF(AND(ISNUMBER(B1932),N(B1932)&gt;0),INT(B1932),0)</f>
        <v>0.0</v>
      </c>
      <c r="T1932" s="67">
        <f>IF(AND(ISNUMBER(J1932),N(J1932)&gt;=0),N(J1932),0)</f>
        <v>0.0</v>
      </c>
      <c r="U1932" s="67">
        <f>IF(AND(ISNUMBER(K1932),N(K1932)&gt;0),N(K1932),0)</f>
        <v>0.0</v>
      </c>
      <c r="V1932" s="67">
        <f>IF(AND(ISNUMBER(L1932),N(L1932)&gt;0),N(L1932),0)</f>
        <v>0.0</v>
      </c>
      <c r="W1932" s="67">
        <f>IF(AND(I1932="Terminée",S1932&gt;0,C1932&lt;&gt;"",ISNUMBER(MATCH(C1932,eq_code,0))),1,0)</f>
        <v>0.0</v>
      </c>
      <c r="X1932" s="67">
        <f>IF(AND(W1932=1,E1932="Préventif"),1,0)</f>
        <v>0.0</v>
      </c>
      <c r="Y1932" s="67">
        <f>IF(AND(ISNUMBER(N1932),N(N1932)&gt;0),N(N1932),0)</f>
        <v>0.0</v>
      </c>
      <c r="Z1932" s="67">
        <f>IF(AND(ISNUMBER(P1932),N(P1932)&gt;0),N(P1932),0)</f>
        <v>0.0</v>
      </c>
    </row>
    <row r="1933">
      <c r="A1933" s="79" t="str">
        <f>IF(COUNTA(B1933:C1933,E1933:G1933,I1933)=0,"","BI-"&amp;RIGHT("0000"&amp;(ROW()-5),4))</f>
        <v/>
      </c>
      <c r="B1933" s="72" t="n"/>
      <c r="C1933" s="66" t="n"/>
      <c r="D1933" s="67" t="str">
        <f>IF(C1933="","",IFERROR(INDEX(eq_des,MATCH(C1933,eq_code,0))&amp;"","Équipement inconnu"))</f>
        <v/>
      </c>
      <c r="E1933" s="68" t="n"/>
      <c r="F1933" s="68" t="n"/>
      <c r="G1933" s="66" t="n"/>
      <c r="H1933" s="66" t="n"/>
      <c r="I1933" s="68" t="n"/>
      <c r="J1933" s="73" t="n"/>
      <c r="K1933" s="71" t="n"/>
      <c r="L1933" s="71" t="n"/>
      <c r="M1933" s="66" t="n"/>
      <c r="N1933" s="80" t="n"/>
      <c r="O1933" s="81" t="str">
        <f>IF(A1933="","",ROUND(V1933*IFERROR(N(INDEX(tech_rate,MATCH(M1933,tech_name,0))),0),2))</f>
        <v/>
      </c>
      <c r="P1933" s="80" t="n"/>
      <c r="Q1933" s="81" t="str">
        <f>IF(A1933="","",ROUND(Y1933+O1933+Z1933,2))</f>
        <v/>
      </c>
      <c r="R1933" s="79" t="str">
        <f>IF(A1933="","",IF(S1933=0,"Date manquante ou invalide",IF(C1933="","Équipement manquant",IF(ISNA(MATCH(C1933,eq_code,0)),"Équipement inconnu",IF(E1933="","Type manquant",IF(AND(E1933&lt;&gt;"Préventif",E1933&lt;&gt;"Correctif",E1933&lt;&gt;"Amélioratif"),"Type inconnu",IF(I1933="","Statut manquant",IF(AND(I1933&lt;&gt;"Terminée",I1933&lt;&gt;"En cours",I1933&lt;&gt;"À faire",I1933&lt;&gt;"Annulée"),"Statut inconnu",IF(AND(E1933="Préventif",F1933=""),"Plan manquant (préventif)",IF(AND(F1933&lt;&gt;"",ISNA(MATCH(F1933,pl_num,0))),"Plan inconnu",IF(AND(F1933&lt;&gt;"",IFERROR(INDEX(pl_eq,MATCH(F1933,pl_num,0))&amp;"",C1933)&lt;&gt;C1933),"Plan d'un autre équipement",IF(AND(J1933&lt;&gt;"",OR(NOT(ISNUMBER(J1933)),N(J1933)&lt;0)),"Compteur invalide",IF(OR(AND(K1933&lt;&gt;"",OR(NOT(ISNUMBER(K1933)),N(K1933)&lt;0)),AND(L1933&lt;&gt;"",OR(NOT(ISNUMBER(L1933)),N(L1933)&lt;0))),"Durée invalide",IF(OR(AND(N1933&lt;&gt;"",OR(NOT(ISNUMBER(N1933)),N(N1933)&lt;0)),AND(P1933&lt;&gt;"",OR(NOT(ISNUMBER(P1933)),N(P1933)&lt;0))),"Coût invalide",IF(AND(M1933&lt;&gt;"",ISNA(MATCH(M1933,tech_name,0))),"Technicien inconnu",IF(AND(I1933="Terminée",S1933&gt;p_today),"Terminée à une date future",IF(AND(I1933="Terminée",V1933=0),"Durée d'intervention manquante",IF(AND(I1933="Terminée",E1933="Préventif",T1933=0,OR(IFERROR(INDEX(pl_trig,MATCH(F1933,pl_num,0))&amp;"","")="Compteur",IFERROR(INDEX(pl_trig,MATCH(F1933,pl_num,0))&amp;"","")="Au premier des deux")),"Compteur manquant (plan au compteur)","OK"))))))))))))))))))</f>
        <v/>
      </c>
      <c r="S1933" s="67">
        <f>IF(AND(ISNUMBER(B1933),N(B1933)&gt;0),INT(B1933),0)</f>
        <v>0.0</v>
      </c>
      <c r="T1933" s="67">
        <f>IF(AND(ISNUMBER(J1933),N(J1933)&gt;=0),N(J1933),0)</f>
        <v>0.0</v>
      </c>
      <c r="U1933" s="67">
        <f>IF(AND(ISNUMBER(K1933),N(K1933)&gt;0),N(K1933),0)</f>
        <v>0.0</v>
      </c>
      <c r="V1933" s="67">
        <f>IF(AND(ISNUMBER(L1933),N(L1933)&gt;0),N(L1933),0)</f>
        <v>0.0</v>
      </c>
      <c r="W1933" s="67">
        <f>IF(AND(I1933="Terminée",S1933&gt;0,C1933&lt;&gt;"",ISNUMBER(MATCH(C1933,eq_code,0))),1,0)</f>
        <v>0.0</v>
      </c>
      <c r="X1933" s="67">
        <f>IF(AND(W1933=1,E1933="Préventif"),1,0)</f>
        <v>0.0</v>
      </c>
      <c r="Y1933" s="67">
        <f>IF(AND(ISNUMBER(N1933),N(N1933)&gt;0),N(N1933),0)</f>
        <v>0.0</v>
      </c>
      <c r="Z1933" s="67">
        <f>IF(AND(ISNUMBER(P1933),N(P1933)&gt;0),N(P1933),0)</f>
        <v>0.0</v>
      </c>
    </row>
    <row r="1934">
      <c r="A1934" s="79" t="str">
        <f>IF(COUNTA(B1934:C1934,E1934:G1934,I1934)=0,"","BI-"&amp;RIGHT("0000"&amp;(ROW()-5),4))</f>
        <v/>
      </c>
      <c r="B1934" s="72" t="n"/>
      <c r="C1934" s="66" t="n"/>
      <c r="D1934" s="67" t="str">
        <f>IF(C1934="","",IFERROR(INDEX(eq_des,MATCH(C1934,eq_code,0))&amp;"","Équipement inconnu"))</f>
        <v/>
      </c>
      <c r="E1934" s="68" t="n"/>
      <c r="F1934" s="68" t="n"/>
      <c r="G1934" s="66" t="n"/>
      <c r="H1934" s="66" t="n"/>
      <c r="I1934" s="68" t="n"/>
      <c r="J1934" s="73" t="n"/>
      <c r="K1934" s="71" t="n"/>
      <c r="L1934" s="71" t="n"/>
      <c r="M1934" s="66" t="n"/>
      <c r="N1934" s="80" t="n"/>
      <c r="O1934" s="81" t="str">
        <f>IF(A1934="","",ROUND(V1934*IFERROR(N(INDEX(tech_rate,MATCH(M1934,tech_name,0))),0),2))</f>
        <v/>
      </c>
      <c r="P1934" s="80" t="n"/>
      <c r="Q1934" s="81" t="str">
        <f>IF(A1934="","",ROUND(Y1934+O1934+Z1934,2))</f>
        <v/>
      </c>
      <c r="R1934" s="79" t="str">
        <f>IF(A1934="","",IF(S1934=0,"Date manquante ou invalide",IF(C1934="","Équipement manquant",IF(ISNA(MATCH(C1934,eq_code,0)),"Équipement inconnu",IF(E1934="","Type manquant",IF(AND(E1934&lt;&gt;"Préventif",E1934&lt;&gt;"Correctif",E1934&lt;&gt;"Amélioratif"),"Type inconnu",IF(I1934="","Statut manquant",IF(AND(I1934&lt;&gt;"Terminée",I1934&lt;&gt;"En cours",I1934&lt;&gt;"À faire",I1934&lt;&gt;"Annulée"),"Statut inconnu",IF(AND(E1934="Préventif",F1934=""),"Plan manquant (préventif)",IF(AND(F1934&lt;&gt;"",ISNA(MATCH(F1934,pl_num,0))),"Plan inconnu",IF(AND(F1934&lt;&gt;"",IFERROR(INDEX(pl_eq,MATCH(F1934,pl_num,0))&amp;"",C1934)&lt;&gt;C1934),"Plan d'un autre équipement",IF(AND(J1934&lt;&gt;"",OR(NOT(ISNUMBER(J1934)),N(J1934)&lt;0)),"Compteur invalide",IF(OR(AND(K1934&lt;&gt;"",OR(NOT(ISNUMBER(K1934)),N(K1934)&lt;0)),AND(L1934&lt;&gt;"",OR(NOT(ISNUMBER(L1934)),N(L1934)&lt;0))),"Durée invalide",IF(OR(AND(N1934&lt;&gt;"",OR(NOT(ISNUMBER(N1934)),N(N1934)&lt;0)),AND(P1934&lt;&gt;"",OR(NOT(ISNUMBER(P1934)),N(P1934)&lt;0))),"Coût invalide",IF(AND(M1934&lt;&gt;"",ISNA(MATCH(M1934,tech_name,0))),"Technicien inconnu",IF(AND(I1934="Terminée",S1934&gt;p_today),"Terminée à une date future",IF(AND(I1934="Terminée",V1934=0),"Durée d'intervention manquante",IF(AND(I1934="Terminée",E1934="Préventif",T1934=0,OR(IFERROR(INDEX(pl_trig,MATCH(F1934,pl_num,0))&amp;"","")="Compteur",IFERROR(INDEX(pl_trig,MATCH(F1934,pl_num,0))&amp;"","")="Au premier des deux")),"Compteur manquant (plan au compteur)","OK"))))))))))))))))))</f>
        <v/>
      </c>
      <c r="S1934" s="67">
        <f>IF(AND(ISNUMBER(B1934),N(B1934)&gt;0),INT(B1934),0)</f>
        <v>0.0</v>
      </c>
      <c r="T1934" s="67">
        <f>IF(AND(ISNUMBER(J1934),N(J1934)&gt;=0),N(J1934),0)</f>
        <v>0.0</v>
      </c>
      <c r="U1934" s="67">
        <f>IF(AND(ISNUMBER(K1934),N(K1934)&gt;0),N(K1934),0)</f>
        <v>0.0</v>
      </c>
      <c r="V1934" s="67">
        <f>IF(AND(ISNUMBER(L1934),N(L1934)&gt;0),N(L1934),0)</f>
        <v>0.0</v>
      </c>
      <c r="W1934" s="67">
        <f>IF(AND(I1934="Terminée",S1934&gt;0,C1934&lt;&gt;"",ISNUMBER(MATCH(C1934,eq_code,0))),1,0)</f>
        <v>0.0</v>
      </c>
      <c r="X1934" s="67">
        <f>IF(AND(W1934=1,E1934="Préventif"),1,0)</f>
        <v>0.0</v>
      </c>
      <c r="Y1934" s="67">
        <f>IF(AND(ISNUMBER(N1934),N(N1934)&gt;0),N(N1934),0)</f>
        <v>0.0</v>
      </c>
      <c r="Z1934" s="67">
        <f>IF(AND(ISNUMBER(P1934),N(P1934)&gt;0),N(P1934),0)</f>
        <v>0.0</v>
      </c>
    </row>
    <row r="1935">
      <c r="A1935" s="79" t="str">
        <f>IF(COUNTA(B1935:C1935,E1935:G1935,I1935)=0,"","BI-"&amp;RIGHT("0000"&amp;(ROW()-5),4))</f>
        <v/>
      </c>
      <c r="B1935" s="72" t="n"/>
      <c r="C1935" s="66" t="n"/>
      <c r="D1935" s="67" t="str">
        <f>IF(C1935="","",IFERROR(INDEX(eq_des,MATCH(C1935,eq_code,0))&amp;"","Équipement inconnu"))</f>
        <v/>
      </c>
      <c r="E1935" s="68" t="n"/>
      <c r="F1935" s="68" t="n"/>
      <c r="G1935" s="66" t="n"/>
      <c r="H1935" s="66" t="n"/>
      <c r="I1935" s="68" t="n"/>
      <c r="J1935" s="73" t="n"/>
      <c r="K1935" s="71" t="n"/>
      <c r="L1935" s="71" t="n"/>
      <c r="M1935" s="66" t="n"/>
      <c r="N1935" s="80" t="n"/>
      <c r="O1935" s="81" t="str">
        <f>IF(A1935="","",ROUND(V1935*IFERROR(N(INDEX(tech_rate,MATCH(M1935,tech_name,0))),0),2))</f>
        <v/>
      </c>
      <c r="P1935" s="80" t="n"/>
      <c r="Q1935" s="81" t="str">
        <f>IF(A1935="","",ROUND(Y1935+O1935+Z1935,2))</f>
        <v/>
      </c>
      <c r="R1935" s="79" t="str">
        <f>IF(A1935="","",IF(S1935=0,"Date manquante ou invalide",IF(C1935="","Équipement manquant",IF(ISNA(MATCH(C1935,eq_code,0)),"Équipement inconnu",IF(E1935="","Type manquant",IF(AND(E1935&lt;&gt;"Préventif",E1935&lt;&gt;"Correctif",E1935&lt;&gt;"Amélioratif"),"Type inconnu",IF(I1935="","Statut manquant",IF(AND(I1935&lt;&gt;"Terminée",I1935&lt;&gt;"En cours",I1935&lt;&gt;"À faire",I1935&lt;&gt;"Annulée"),"Statut inconnu",IF(AND(E1935="Préventif",F1935=""),"Plan manquant (préventif)",IF(AND(F1935&lt;&gt;"",ISNA(MATCH(F1935,pl_num,0))),"Plan inconnu",IF(AND(F1935&lt;&gt;"",IFERROR(INDEX(pl_eq,MATCH(F1935,pl_num,0))&amp;"",C1935)&lt;&gt;C1935),"Plan d'un autre équipement",IF(AND(J1935&lt;&gt;"",OR(NOT(ISNUMBER(J1935)),N(J1935)&lt;0)),"Compteur invalide",IF(OR(AND(K1935&lt;&gt;"",OR(NOT(ISNUMBER(K1935)),N(K1935)&lt;0)),AND(L1935&lt;&gt;"",OR(NOT(ISNUMBER(L1935)),N(L1935)&lt;0))),"Durée invalide",IF(OR(AND(N1935&lt;&gt;"",OR(NOT(ISNUMBER(N1935)),N(N1935)&lt;0)),AND(P1935&lt;&gt;"",OR(NOT(ISNUMBER(P1935)),N(P1935)&lt;0))),"Coût invalide",IF(AND(M1935&lt;&gt;"",ISNA(MATCH(M1935,tech_name,0))),"Technicien inconnu",IF(AND(I1935="Terminée",S1935&gt;p_today),"Terminée à une date future",IF(AND(I1935="Terminée",V1935=0),"Durée d'intervention manquante",IF(AND(I1935="Terminée",E1935="Préventif",T1935=0,OR(IFERROR(INDEX(pl_trig,MATCH(F1935,pl_num,0))&amp;"","")="Compteur",IFERROR(INDEX(pl_trig,MATCH(F1935,pl_num,0))&amp;"","")="Au premier des deux")),"Compteur manquant (plan au compteur)","OK"))))))))))))))))))</f>
        <v/>
      </c>
      <c r="S1935" s="67">
        <f>IF(AND(ISNUMBER(B1935),N(B1935)&gt;0),INT(B1935),0)</f>
        <v>0.0</v>
      </c>
      <c r="T1935" s="67">
        <f>IF(AND(ISNUMBER(J1935),N(J1935)&gt;=0),N(J1935),0)</f>
        <v>0.0</v>
      </c>
      <c r="U1935" s="67">
        <f>IF(AND(ISNUMBER(K1935),N(K1935)&gt;0),N(K1935),0)</f>
        <v>0.0</v>
      </c>
      <c r="V1935" s="67">
        <f>IF(AND(ISNUMBER(L1935),N(L1935)&gt;0),N(L1935),0)</f>
        <v>0.0</v>
      </c>
      <c r="W1935" s="67">
        <f>IF(AND(I1935="Terminée",S1935&gt;0,C1935&lt;&gt;"",ISNUMBER(MATCH(C1935,eq_code,0))),1,0)</f>
        <v>0.0</v>
      </c>
      <c r="X1935" s="67">
        <f>IF(AND(W1935=1,E1935="Préventif"),1,0)</f>
        <v>0.0</v>
      </c>
      <c r="Y1935" s="67">
        <f>IF(AND(ISNUMBER(N1935),N(N1935)&gt;0),N(N1935),0)</f>
        <v>0.0</v>
      </c>
      <c r="Z1935" s="67">
        <f>IF(AND(ISNUMBER(P1935),N(P1935)&gt;0),N(P1935),0)</f>
        <v>0.0</v>
      </c>
    </row>
    <row r="1936">
      <c r="A1936" s="79" t="str">
        <f>IF(COUNTA(B1936:C1936,E1936:G1936,I1936)=0,"","BI-"&amp;RIGHT("0000"&amp;(ROW()-5),4))</f>
        <v/>
      </c>
      <c r="B1936" s="72" t="n"/>
      <c r="C1936" s="66" t="n"/>
      <c r="D1936" s="67" t="str">
        <f>IF(C1936="","",IFERROR(INDEX(eq_des,MATCH(C1936,eq_code,0))&amp;"","Équipement inconnu"))</f>
        <v/>
      </c>
      <c r="E1936" s="68" t="n"/>
      <c r="F1936" s="68" t="n"/>
      <c r="G1936" s="66" t="n"/>
      <c r="H1936" s="66" t="n"/>
      <c r="I1936" s="68" t="n"/>
      <c r="J1936" s="73" t="n"/>
      <c r="K1936" s="71" t="n"/>
      <c r="L1936" s="71" t="n"/>
      <c r="M1936" s="66" t="n"/>
      <c r="N1936" s="80" t="n"/>
      <c r="O1936" s="81" t="str">
        <f>IF(A1936="","",ROUND(V1936*IFERROR(N(INDEX(tech_rate,MATCH(M1936,tech_name,0))),0),2))</f>
        <v/>
      </c>
      <c r="P1936" s="80" t="n"/>
      <c r="Q1936" s="81" t="str">
        <f>IF(A1936="","",ROUND(Y1936+O1936+Z1936,2))</f>
        <v/>
      </c>
      <c r="R1936" s="79" t="str">
        <f>IF(A1936="","",IF(S1936=0,"Date manquante ou invalide",IF(C1936="","Équipement manquant",IF(ISNA(MATCH(C1936,eq_code,0)),"Équipement inconnu",IF(E1936="","Type manquant",IF(AND(E1936&lt;&gt;"Préventif",E1936&lt;&gt;"Correctif",E1936&lt;&gt;"Amélioratif"),"Type inconnu",IF(I1936="","Statut manquant",IF(AND(I1936&lt;&gt;"Terminée",I1936&lt;&gt;"En cours",I1936&lt;&gt;"À faire",I1936&lt;&gt;"Annulée"),"Statut inconnu",IF(AND(E1936="Préventif",F1936=""),"Plan manquant (préventif)",IF(AND(F1936&lt;&gt;"",ISNA(MATCH(F1936,pl_num,0))),"Plan inconnu",IF(AND(F1936&lt;&gt;"",IFERROR(INDEX(pl_eq,MATCH(F1936,pl_num,0))&amp;"",C1936)&lt;&gt;C1936),"Plan d'un autre équipement",IF(AND(J1936&lt;&gt;"",OR(NOT(ISNUMBER(J1936)),N(J1936)&lt;0)),"Compteur invalide",IF(OR(AND(K1936&lt;&gt;"",OR(NOT(ISNUMBER(K1936)),N(K1936)&lt;0)),AND(L1936&lt;&gt;"",OR(NOT(ISNUMBER(L1936)),N(L1936)&lt;0))),"Durée invalide",IF(OR(AND(N1936&lt;&gt;"",OR(NOT(ISNUMBER(N1936)),N(N1936)&lt;0)),AND(P1936&lt;&gt;"",OR(NOT(ISNUMBER(P1936)),N(P1936)&lt;0))),"Coût invalide",IF(AND(M1936&lt;&gt;"",ISNA(MATCH(M1936,tech_name,0))),"Technicien inconnu",IF(AND(I1936="Terminée",S1936&gt;p_today),"Terminée à une date future",IF(AND(I1936="Terminée",V1936=0),"Durée d'intervention manquante",IF(AND(I1936="Terminée",E1936="Préventif",T1936=0,OR(IFERROR(INDEX(pl_trig,MATCH(F1936,pl_num,0))&amp;"","")="Compteur",IFERROR(INDEX(pl_trig,MATCH(F1936,pl_num,0))&amp;"","")="Au premier des deux")),"Compteur manquant (plan au compteur)","OK"))))))))))))))))))</f>
        <v/>
      </c>
      <c r="S1936" s="67">
        <f>IF(AND(ISNUMBER(B1936),N(B1936)&gt;0),INT(B1936),0)</f>
        <v>0.0</v>
      </c>
      <c r="T1936" s="67">
        <f>IF(AND(ISNUMBER(J1936),N(J1936)&gt;=0),N(J1936),0)</f>
        <v>0.0</v>
      </c>
      <c r="U1936" s="67">
        <f>IF(AND(ISNUMBER(K1936),N(K1936)&gt;0),N(K1936),0)</f>
        <v>0.0</v>
      </c>
      <c r="V1936" s="67">
        <f>IF(AND(ISNUMBER(L1936),N(L1936)&gt;0),N(L1936),0)</f>
        <v>0.0</v>
      </c>
      <c r="W1936" s="67">
        <f>IF(AND(I1936="Terminée",S1936&gt;0,C1936&lt;&gt;"",ISNUMBER(MATCH(C1936,eq_code,0))),1,0)</f>
        <v>0.0</v>
      </c>
      <c r="X1936" s="67">
        <f>IF(AND(W1936=1,E1936="Préventif"),1,0)</f>
        <v>0.0</v>
      </c>
      <c r="Y1936" s="67">
        <f>IF(AND(ISNUMBER(N1936),N(N1936)&gt;0),N(N1936),0)</f>
        <v>0.0</v>
      </c>
      <c r="Z1936" s="67">
        <f>IF(AND(ISNUMBER(P1936),N(P1936)&gt;0),N(P1936),0)</f>
        <v>0.0</v>
      </c>
    </row>
    <row r="1937">
      <c r="A1937" s="79" t="str">
        <f>IF(COUNTA(B1937:C1937,E1937:G1937,I1937)=0,"","BI-"&amp;RIGHT("0000"&amp;(ROW()-5),4))</f>
        <v/>
      </c>
      <c r="B1937" s="72" t="n"/>
      <c r="C1937" s="66" t="n"/>
      <c r="D1937" s="67" t="str">
        <f>IF(C1937="","",IFERROR(INDEX(eq_des,MATCH(C1937,eq_code,0))&amp;"","Équipement inconnu"))</f>
        <v/>
      </c>
      <c r="E1937" s="68" t="n"/>
      <c r="F1937" s="68" t="n"/>
      <c r="G1937" s="66" t="n"/>
      <c r="H1937" s="66" t="n"/>
      <c r="I1937" s="68" t="n"/>
      <c r="J1937" s="73" t="n"/>
      <c r="K1937" s="71" t="n"/>
      <c r="L1937" s="71" t="n"/>
      <c r="M1937" s="66" t="n"/>
      <c r="N1937" s="80" t="n"/>
      <c r="O1937" s="81" t="str">
        <f>IF(A1937="","",ROUND(V1937*IFERROR(N(INDEX(tech_rate,MATCH(M1937,tech_name,0))),0),2))</f>
        <v/>
      </c>
      <c r="P1937" s="80" t="n"/>
      <c r="Q1937" s="81" t="str">
        <f>IF(A1937="","",ROUND(Y1937+O1937+Z1937,2))</f>
        <v/>
      </c>
      <c r="R1937" s="79" t="str">
        <f>IF(A1937="","",IF(S1937=0,"Date manquante ou invalide",IF(C1937="","Équipement manquant",IF(ISNA(MATCH(C1937,eq_code,0)),"Équipement inconnu",IF(E1937="","Type manquant",IF(AND(E1937&lt;&gt;"Préventif",E1937&lt;&gt;"Correctif",E1937&lt;&gt;"Amélioratif"),"Type inconnu",IF(I1937="","Statut manquant",IF(AND(I1937&lt;&gt;"Terminée",I1937&lt;&gt;"En cours",I1937&lt;&gt;"À faire",I1937&lt;&gt;"Annulée"),"Statut inconnu",IF(AND(E1937="Préventif",F1937=""),"Plan manquant (préventif)",IF(AND(F1937&lt;&gt;"",ISNA(MATCH(F1937,pl_num,0))),"Plan inconnu",IF(AND(F1937&lt;&gt;"",IFERROR(INDEX(pl_eq,MATCH(F1937,pl_num,0))&amp;"",C1937)&lt;&gt;C1937),"Plan d'un autre équipement",IF(AND(J1937&lt;&gt;"",OR(NOT(ISNUMBER(J1937)),N(J1937)&lt;0)),"Compteur invalide",IF(OR(AND(K1937&lt;&gt;"",OR(NOT(ISNUMBER(K1937)),N(K1937)&lt;0)),AND(L1937&lt;&gt;"",OR(NOT(ISNUMBER(L1937)),N(L1937)&lt;0))),"Durée invalide",IF(OR(AND(N1937&lt;&gt;"",OR(NOT(ISNUMBER(N1937)),N(N1937)&lt;0)),AND(P1937&lt;&gt;"",OR(NOT(ISNUMBER(P1937)),N(P1937)&lt;0))),"Coût invalide",IF(AND(M1937&lt;&gt;"",ISNA(MATCH(M1937,tech_name,0))),"Technicien inconnu",IF(AND(I1937="Terminée",S1937&gt;p_today),"Terminée à une date future",IF(AND(I1937="Terminée",V1937=0),"Durée d'intervention manquante",IF(AND(I1937="Terminée",E1937="Préventif",T1937=0,OR(IFERROR(INDEX(pl_trig,MATCH(F1937,pl_num,0))&amp;"","")="Compteur",IFERROR(INDEX(pl_trig,MATCH(F1937,pl_num,0))&amp;"","")="Au premier des deux")),"Compteur manquant (plan au compteur)","OK"))))))))))))))))))</f>
        <v/>
      </c>
      <c r="S1937" s="67">
        <f>IF(AND(ISNUMBER(B1937),N(B1937)&gt;0),INT(B1937),0)</f>
        <v>0.0</v>
      </c>
      <c r="T1937" s="67">
        <f>IF(AND(ISNUMBER(J1937),N(J1937)&gt;=0),N(J1937),0)</f>
        <v>0.0</v>
      </c>
      <c r="U1937" s="67">
        <f>IF(AND(ISNUMBER(K1937),N(K1937)&gt;0),N(K1937),0)</f>
        <v>0.0</v>
      </c>
      <c r="V1937" s="67">
        <f>IF(AND(ISNUMBER(L1937),N(L1937)&gt;0),N(L1937),0)</f>
        <v>0.0</v>
      </c>
      <c r="W1937" s="67">
        <f>IF(AND(I1937="Terminée",S1937&gt;0,C1937&lt;&gt;"",ISNUMBER(MATCH(C1937,eq_code,0))),1,0)</f>
        <v>0.0</v>
      </c>
      <c r="X1937" s="67">
        <f>IF(AND(W1937=1,E1937="Préventif"),1,0)</f>
        <v>0.0</v>
      </c>
      <c r="Y1937" s="67">
        <f>IF(AND(ISNUMBER(N1937),N(N1937)&gt;0),N(N1937),0)</f>
        <v>0.0</v>
      </c>
      <c r="Z1937" s="67">
        <f>IF(AND(ISNUMBER(P1937),N(P1937)&gt;0),N(P1937),0)</f>
        <v>0.0</v>
      </c>
    </row>
    <row r="1938">
      <c r="A1938" s="79" t="str">
        <f>IF(COUNTA(B1938:C1938,E1938:G1938,I1938)=0,"","BI-"&amp;RIGHT("0000"&amp;(ROW()-5),4))</f>
        <v/>
      </c>
      <c r="B1938" s="72" t="n"/>
      <c r="C1938" s="66" t="n"/>
      <c r="D1938" s="67" t="str">
        <f>IF(C1938="","",IFERROR(INDEX(eq_des,MATCH(C1938,eq_code,0))&amp;"","Équipement inconnu"))</f>
        <v/>
      </c>
      <c r="E1938" s="68" t="n"/>
      <c r="F1938" s="68" t="n"/>
      <c r="G1938" s="66" t="n"/>
      <c r="H1938" s="66" t="n"/>
      <c r="I1938" s="68" t="n"/>
      <c r="J1938" s="73" t="n"/>
      <c r="K1938" s="71" t="n"/>
      <c r="L1938" s="71" t="n"/>
      <c r="M1938" s="66" t="n"/>
      <c r="N1938" s="80" t="n"/>
      <c r="O1938" s="81" t="str">
        <f>IF(A1938="","",ROUND(V1938*IFERROR(N(INDEX(tech_rate,MATCH(M1938,tech_name,0))),0),2))</f>
        <v/>
      </c>
      <c r="P1938" s="80" t="n"/>
      <c r="Q1938" s="81" t="str">
        <f>IF(A1938="","",ROUND(Y1938+O1938+Z1938,2))</f>
        <v/>
      </c>
      <c r="R1938" s="79" t="str">
        <f>IF(A1938="","",IF(S1938=0,"Date manquante ou invalide",IF(C1938="","Équipement manquant",IF(ISNA(MATCH(C1938,eq_code,0)),"Équipement inconnu",IF(E1938="","Type manquant",IF(AND(E1938&lt;&gt;"Préventif",E1938&lt;&gt;"Correctif",E1938&lt;&gt;"Amélioratif"),"Type inconnu",IF(I1938="","Statut manquant",IF(AND(I1938&lt;&gt;"Terminée",I1938&lt;&gt;"En cours",I1938&lt;&gt;"À faire",I1938&lt;&gt;"Annulée"),"Statut inconnu",IF(AND(E1938="Préventif",F1938=""),"Plan manquant (préventif)",IF(AND(F1938&lt;&gt;"",ISNA(MATCH(F1938,pl_num,0))),"Plan inconnu",IF(AND(F1938&lt;&gt;"",IFERROR(INDEX(pl_eq,MATCH(F1938,pl_num,0))&amp;"",C1938)&lt;&gt;C1938),"Plan d'un autre équipement",IF(AND(J1938&lt;&gt;"",OR(NOT(ISNUMBER(J1938)),N(J1938)&lt;0)),"Compteur invalide",IF(OR(AND(K1938&lt;&gt;"",OR(NOT(ISNUMBER(K1938)),N(K1938)&lt;0)),AND(L1938&lt;&gt;"",OR(NOT(ISNUMBER(L1938)),N(L1938)&lt;0))),"Durée invalide",IF(OR(AND(N1938&lt;&gt;"",OR(NOT(ISNUMBER(N1938)),N(N1938)&lt;0)),AND(P1938&lt;&gt;"",OR(NOT(ISNUMBER(P1938)),N(P1938)&lt;0))),"Coût invalide",IF(AND(M1938&lt;&gt;"",ISNA(MATCH(M1938,tech_name,0))),"Technicien inconnu",IF(AND(I1938="Terminée",S1938&gt;p_today),"Terminée à une date future",IF(AND(I1938="Terminée",V1938=0),"Durée d'intervention manquante",IF(AND(I1938="Terminée",E1938="Préventif",T1938=0,OR(IFERROR(INDEX(pl_trig,MATCH(F1938,pl_num,0))&amp;"","")="Compteur",IFERROR(INDEX(pl_trig,MATCH(F1938,pl_num,0))&amp;"","")="Au premier des deux")),"Compteur manquant (plan au compteur)","OK"))))))))))))))))))</f>
        <v/>
      </c>
      <c r="S1938" s="67">
        <f>IF(AND(ISNUMBER(B1938),N(B1938)&gt;0),INT(B1938),0)</f>
        <v>0.0</v>
      </c>
      <c r="T1938" s="67">
        <f>IF(AND(ISNUMBER(J1938),N(J1938)&gt;=0),N(J1938),0)</f>
        <v>0.0</v>
      </c>
      <c r="U1938" s="67">
        <f>IF(AND(ISNUMBER(K1938),N(K1938)&gt;0),N(K1938),0)</f>
        <v>0.0</v>
      </c>
      <c r="V1938" s="67">
        <f>IF(AND(ISNUMBER(L1938),N(L1938)&gt;0),N(L1938),0)</f>
        <v>0.0</v>
      </c>
      <c r="W1938" s="67">
        <f>IF(AND(I1938="Terminée",S1938&gt;0,C1938&lt;&gt;"",ISNUMBER(MATCH(C1938,eq_code,0))),1,0)</f>
        <v>0.0</v>
      </c>
      <c r="X1938" s="67">
        <f>IF(AND(W1938=1,E1938="Préventif"),1,0)</f>
        <v>0.0</v>
      </c>
      <c r="Y1938" s="67">
        <f>IF(AND(ISNUMBER(N1938),N(N1938)&gt;0),N(N1938),0)</f>
        <v>0.0</v>
      </c>
      <c r="Z1938" s="67">
        <f>IF(AND(ISNUMBER(P1938),N(P1938)&gt;0),N(P1938),0)</f>
        <v>0.0</v>
      </c>
    </row>
    <row r="1939">
      <c r="A1939" s="79" t="str">
        <f>IF(COUNTA(B1939:C1939,E1939:G1939,I1939)=0,"","BI-"&amp;RIGHT("0000"&amp;(ROW()-5),4))</f>
        <v/>
      </c>
      <c r="B1939" s="72" t="n"/>
      <c r="C1939" s="66" t="n"/>
      <c r="D1939" s="67" t="str">
        <f>IF(C1939="","",IFERROR(INDEX(eq_des,MATCH(C1939,eq_code,0))&amp;"","Équipement inconnu"))</f>
        <v/>
      </c>
      <c r="E1939" s="68" t="n"/>
      <c r="F1939" s="68" t="n"/>
      <c r="G1939" s="66" t="n"/>
      <c r="H1939" s="66" t="n"/>
      <c r="I1939" s="68" t="n"/>
      <c r="J1939" s="73" t="n"/>
      <c r="K1939" s="71" t="n"/>
      <c r="L1939" s="71" t="n"/>
      <c r="M1939" s="66" t="n"/>
      <c r="N1939" s="80" t="n"/>
      <c r="O1939" s="81" t="str">
        <f>IF(A1939="","",ROUND(V1939*IFERROR(N(INDEX(tech_rate,MATCH(M1939,tech_name,0))),0),2))</f>
        <v/>
      </c>
      <c r="P1939" s="80" t="n"/>
      <c r="Q1939" s="81" t="str">
        <f>IF(A1939="","",ROUND(Y1939+O1939+Z1939,2))</f>
        <v/>
      </c>
      <c r="R1939" s="79" t="str">
        <f>IF(A1939="","",IF(S1939=0,"Date manquante ou invalide",IF(C1939="","Équipement manquant",IF(ISNA(MATCH(C1939,eq_code,0)),"Équipement inconnu",IF(E1939="","Type manquant",IF(AND(E1939&lt;&gt;"Préventif",E1939&lt;&gt;"Correctif",E1939&lt;&gt;"Amélioratif"),"Type inconnu",IF(I1939="","Statut manquant",IF(AND(I1939&lt;&gt;"Terminée",I1939&lt;&gt;"En cours",I1939&lt;&gt;"À faire",I1939&lt;&gt;"Annulée"),"Statut inconnu",IF(AND(E1939="Préventif",F1939=""),"Plan manquant (préventif)",IF(AND(F1939&lt;&gt;"",ISNA(MATCH(F1939,pl_num,0))),"Plan inconnu",IF(AND(F1939&lt;&gt;"",IFERROR(INDEX(pl_eq,MATCH(F1939,pl_num,0))&amp;"",C1939)&lt;&gt;C1939),"Plan d'un autre équipement",IF(AND(J1939&lt;&gt;"",OR(NOT(ISNUMBER(J1939)),N(J1939)&lt;0)),"Compteur invalide",IF(OR(AND(K1939&lt;&gt;"",OR(NOT(ISNUMBER(K1939)),N(K1939)&lt;0)),AND(L1939&lt;&gt;"",OR(NOT(ISNUMBER(L1939)),N(L1939)&lt;0))),"Durée invalide",IF(OR(AND(N1939&lt;&gt;"",OR(NOT(ISNUMBER(N1939)),N(N1939)&lt;0)),AND(P1939&lt;&gt;"",OR(NOT(ISNUMBER(P1939)),N(P1939)&lt;0))),"Coût invalide",IF(AND(M1939&lt;&gt;"",ISNA(MATCH(M1939,tech_name,0))),"Technicien inconnu",IF(AND(I1939="Terminée",S1939&gt;p_today),"Terminée à une date future",IF(AND(I1939="Terminée",V1939=0),"Durée d'intervention manquante",IF(AND(I1939="Terminée",E1939="Préventif",T1939=0,OR(IFERROR(INDEX(pl_trig,MATCH(F1939,pl_num,0))&amp;"","")="Compteur",IFERROR(INDEX(pl_trig,MATCH(F1939,pl_num,0))&amp;"","")="Au premier des deux")),"Compteur manquant (plan au compteur)","OK"))))))))))))))))))</f>
        <v/>
      </c>
      <c r="S1939" s="67">
        <f>IF(AND(ISNUMBER(B1939),N(B1939)&gt;0),INT(B1939),0)</f>
        <v>0.0</v>
      </c>
      <c r="T1939" s="67">
        <f>IF(AND(ISNUMBER(J1939),N(J1939)&gt;=0),N(J1939),0)</f>
        <v>0.0</v>
      </c>
      <c r="U1939" s="67">
        <f>IF(AND(ISNUMBER(K1939),N(K1939)&gt;0),N(K1939),0)</f>
        <v>0.0</v>
      </c>
      <c r="V1939" s="67">
        <f>IF(AND(ISNUMBER(L1939),N(L1939)&gt;0),N(L1939),0)</f>
        <v>0.0</v>
      </c>
      <c r="W1939" s="67">
        <f>IF(AND(I1939="Terminée",S1939&gt;0,C1939&lt;&gt;"",ISNUMBER(MATCH(C1939,eq_code,0))),1,0)</f>
        <v>0.0</v>
      </c>
      <c r="X1939" s="67">
        <f>IF(AND(W1939=1,E1939="Préventif"),1,0)</f>
        <v>0.0</v>
      </c>
      <c r="Y1939" s="67">
        <f>IF(AND(ISNUMBER(N1939),N(N1939)&gt;0),N(N1939),0)</f>
        <v>0.0</v>
      </c>
      <c r="Z1939" s="67">
        <f>IF(AND(ISNUMBER(P1939),N(P1939)&gt;0),N(P1939),0)</f>
        <v>0.0</v>
      </c>
    </row>
    <row r="1940">
      <c r="A1940" s="79" t="str">
        <f>IF(COUNTA(B1940:C1940,E1940:G1940,I1940)=0,"","BI-"&amp;RIGHT("0000"&amp;(ROW()-5),4))</f>
        <v/>
      </c>
      <c r="B1940" s="72" t="n"/>
      <c r="C1940" s="66" t="n"/>
      <c r="D1940" s="67" t="str">
        <f>IF(C1940="","",IFERROR(INDEX(eq_des,MATCH(C1940,eq_code,0))&amp;"","Équipement inconnu"))</f>
        <v/>
      </c>
      <c r="E1940" s="68" t="n"/>
      <c r="F1940" s="68" t="n"/>
      <c r="G1940" s="66" t="n"/>
      <c r="H1940" s="66" t="n"/>
      <c r="I1940" s="68" t="n"/>
      <c r="J1940" s="73" t="n"/>
      <c r="K1940" s="71" t="n"/>
      <c r="L1940" s="71" t="n"/>
      <c r="M1940" s="66" t="n"/>
      <c r="N1940" s="80" t="n"/>
      <c r="O1940" s="81" t="str">
        <f>IF(A1940="","",ROUND(V1940*IFERROR(N(INDEX(tech_rate,MATCH(M1940,tech_name,0))),0),2))</f>
        <v/>
      </c>
      <c r="P1940" s="80" t="n"/>
      <c r="Q1940" s="81" t="str">
        <f>IF(A1940="","",ROUND(Y1940+O1940+Z1940,2))</f>
        <v/>
      </c>
      <c r="R1940" s="79" t="str">
        <f>IF(A1940="","",IF(S1940=0,"Date manquante ou invalide",IF(C1940="","Équipement manquant",IF(ISNA(MATCH(C1940,eq_code,0)),"Équipement inconnu",IF(E1940="","Type manquant",IF(AND(E1940&lt;&gt;"Préventif",E1940&lt;&gt;"Correctif",E1940&lt;&gt;"Amélioratif"),"Type inconnu",IF(I1940="","Statut manquant",IF(AND(I1940&lt;&gt;"Terminée",I1940&lt;&gt;"En cours",I1940&lt;&gt;"À faire",I1940&lt;&gt;"Annulée"),"Statut inconnu",IF(AND(E1940="Préventif",F1940=""),"Plan manquant (préventif)",IF(AND(F1940&lt;&gt;"",ISNA(MATCH(F1940,pl_num,0))),"Plan inconnu",IF(AND(F1940&lt;&gt;"",IFERROR(INDEX(pl_eq,MATCH(F1940,pl_num,0))&amp;"",C1940)&lt;&gt;C1940),"Plan d'un autre équipement",IF(AND(J1940&lt;&gt;"",OR(NOT(ISNUMBER(J1940)),N(J1940)&lt;0)),"Compteur invalide",IF(OR(AND(K1940&lt;&gt;"",OR(NOT(ISNUMBER(K1940)),N(K1940)&lt;0)),AND(L1940&lt;&gt;"",OR(NOT(ISNUMBER(L1940)),N(L1940)&lt;0))),"Durée invalide",IF(OR(AND(N1940&lt;&gt;"",OR(NOT(ISNUMBER(N1940)),N(N1940)&lt;0)),AND(P1940&lt;&gt;"",OR(NOT(ISNUMBER(P1940)),N(P1940)&lt;0))),"Coût invalide",IF(AND(M1940&lt;&gt;"",ISNA(MATCH(M1940,tech_name,0))),"Technicien inconnu",IF(AND(I1940="Terminée",S1940&gt;p_today),"Terminée à une date future",IF(AND(I1940="Terminée",V1940=0),"Durée d'intervention manquante",IF(AND(I1940="Terminée",E1940="Préventif",T1940=0,OR(IFERROR(INDEX(pl_trig,MATCH(F1940,pl_num,0))&amp;"","")="Compteur",IFERROR(INDEX(pl_trig,MATCH(F1940,pl_num,0))&amp;"","")="Au premier des deux")),"Compteur manquant (plan au compteur)","OK"))))))))))))))))))</f>
        <v/>
      </c>
      <c r="S1940" s="67">
        <f>IF(AND(ISNUMBER(B1940),N(B1940)&gt;0),INT(B1940),0)</f>
        <v>0.0</v>
      </c>
      <c r="T1940" s="67">
        <f>IF(AND(ISNUMBER(J1940),N(J1940)&gt;=0),N(J1940),0)</f>
        <v>0.0</v>
      </c>
      <c r="U1940" s="67">
        <f>IF(AND(ISNUMBER(K1940),N(K1940)&gt;0),N(K1940),0)</f>
        <v>0.0</v>
      </c>
      <c r="V1940" s="67">
        <f>IF(AND(ISNUMBER(L1940),N(L1940)&gt;0),N(L1940),0)</f>
        <v>0.0</v>
      </c>
      <c r="W1940" s="67">
        <f>IF(AND(I1940="Terminée",S1940&gt;0,C1940&lt;&gt;"",ISNUMBER(MATCH(C1940,eq_code,0))),1,0)</f>
        <v>0.0</v>
      </c>
      <c r="X1940" s="67">
        <f>IF(AND(W1940=1,E1940="Préventif"),1,0)</f>
        <v>0.0</v>
      </c>
      <c r="Y1940" s="67">
        <f>IF(AND(ISNUMBER(N1940),N(N1940)&gt;0),N(N1940),0)</f>
        <v>0.0</v>
      </c>
      <c r="Z1940" s="67">
        <f>IF(AND(ISNUMBER(P1940),N(P1940)&gt;0),N(P1940),0)</f>
        <v>0.0</v>
      </c>
    </row>
    <row r="1941">
      <c r="A1941" s="79" t="str">
        <f>IF(COUNTA(B1941:C1941,E1941:G1941,I1941)=0,"","BI-"&amp;RIGHT("0000"&amp;(ROW()-5),4))</f>
        <v/>
      </c>
      <c r="B1941" s="72" t="n"/>
      <c r="C1941" s="66" t="n"/>
      <c r="D1941" s="67" t="str">
        <f>IF(C1941="","",IFERROR(INDEX(eq_des,MATCH(C1941,eq_code,0))&amp;"","Équipement inconnu"))</f>
        <v/>
      </c>
      <c r="E1941" s="68" t="n"/>
      <c r="F1941" s="68" t="n"/>
      <c r="G1941" s="66" t="n"/>
      <c r="H1941" s="66" t="n"/>
      <c r="I1941" s="68" t="n"/>
      <c r="J1941" s="73" t="n"/>
      <c r="K1941" s="71" t="n"/>
      <c r="L1941" s="71" t="n"/>
      <c r="M1941" s="66" t="n"/>
      <c r="N1941" s="80" t="n"/>
      <c r="O1941" s="81" t="str">
        <f>IF(A1941="","",ROUND(V1941*IFERROR(N(INDEX(tech_rate,MATCH(M1941,tech_name,0))),0),2))</f>
        <v/>
      </c>
      <c r="P1941" s="80" t="n"/>
      <c r="Q1941" s="81" t="str">
        <f>IF(A1941="","",ROUND(Y1941+O1941+Z1941,2))</f>
        <v/>
      </c>
      <c r="R1941" s="79" t="str">
        <f>IF(A1941="","",IF(S1941=0,"Date manquante ou invalide",IF(C1941="","Équipement manquant",IF(ISNA(MATCH(C1941,eq_code,0)),"Équipement inconnu",IF(E1941="","Type manquant",IF(AND(E1941&lt;&gt;"Préventif",E1941&lt;&gt;"Correctif",E1941&lt;&gt;"Amélioratif"),"Type inconnu",IF(I1941="","Statut manquant",IF(AND(I1941&lt;&gt;"Terminée",I1941&lt;&gt;"En cours",I1941&lt;&gt;"À faire",I1941&lt;&gt;"Annulée"),"Statut inconnu",IF(AND(E1941="Préventif",F1941=""),"Plan manquant (préventif)",IF(AND(F1941&lt;&gt;"",ISNA(MATCH(F1941,pl_num,0))),"Plan inconnu",IF(AND(F1941&lt;&gt;"",IFERROR(INDEX(pl_eq,MATCH(F1941,pl_num,0))&amp;"",C1941)&lt;&gt;C1941),"Plan d'un autre équipement",IF(AND(J1941&lt;&gt;"",OR(NOT(ISNUMBER(J1941)),N(J1941)&lt;0)),"Compteur invalide",IF(OR(AND(K1941&lt;&gt;"",OR(NOT(ISNUMBER(K1941)),N(K1941)&lt;0)),AND(L1941&lt;&gt;"",OR(NOT(ISNUMBER(L1941)),N(L1941)&lt;0))),"Durée invalide",IF(OR(AND(N1941&lt;&gt;"",OR(NOT(ISNUMBER(N1941)),N(N1941)&lt;0)),AND(P1941&lt;&gt;"",OR(NOT(ISNUMBER(P1941)),N(P1941)&lt;0))),"Coût invalide",IF(AND(M1941&lt;&gt;"",ISNA(MATCH(M1941,tech_name,0))),"Technicien inconnu",IF(AND(I1941="Terminée",S1941&gt;p_today),"Terminée à une date future",IF(AND(I1941="Terminée",V1941=0),"Durée d'intervention manquante",IF(AND(I1941="Terminée",E1941="Préventif",T1941=0,OR(IFERROR(INDEX(pl_trig,MATCH(F1941,pl_num,0))&amp;"","")="Compteur",IFERROR(INDEX(pl_trig,MATCH(F1941,pl_num,0))&amp;"","")="Au premier des deux")),"Compteur manquant (plan au compteur)","OK"))))))))))))))))))</f>
        <v/>
      </c>
      <c r="S1941" s="67">
        <f>IF(AND(ISNUMBER(B1941),N(B1941)&gt;0),INT(B1941),0)</f>
        <v>0.0</v>
      </c>
      <c r="T1941" s="67">
        <f>IF(AND(ISNUMBER(J1941),N(J1941)&gt;=0),N(J1941),0)</f>
        <v>0.0</v>
      </c>
      <c r="U1941" s="67">
        <f>IF(AND(ISNUMBER(K1941),N(K1941)&gt;0),N(K1941),0)</f>
        <v>0.0</v>
      </c>
      <c r="V1941" s="67">
        <f>IF(AND(ISNUMBER(L1941),N(L1941)&gt;0),N(L1941),0)</f>
        <v>0.0</v>
      </c>
      <c r="W1941" s="67">
        <f>IF(AND(I1941="Terminée",S1941&gt;0,C1941&lt;&gt;"",ISNUMBER(MATCH(C1941,eq_code,0))),1,0)</f>
        <v>0.0</v>
      </c>
      <c r="X1941" s="67">
        <f>IF(AND(W1941=1,E1941="Préventif"),1,0)</f>
        <v>0.0</v>
      </c>
      <c r="Y1941" s="67">
        <f>IF(AND(ISNUMBER(N1941),N(N1941)&gt;0),N(N1941),0)</f>
        <v>0.0</v>
      </c>
      <c r="Z1941" s="67">
        <f>IF(AND(ISNUMBER(P1941),N(P1941)&gt;0),N(P1941),0)</f>
        <v>0.0</v>
      </c>
    </row>
    <row r="1942">
      <c r="A1942" s="79" t="str">
        <f>IF(COUNTA(B1942:C1942,E1942:G1942,I1942)=0,"","BI-"&amp;RIGHT("0000"&amp;(ROW()-5),4))</f>
        <v/>
      </c>
      <c r="B1942" s="72" t="n"/>
      <c r="C1942" s="66" t="n"/>
      <c r="D1942" s="67" t="str">
        <f>IF(C1942="","",IFERROR(INDEX(eq_des,MATCH(C1942,eq_code,0))&amp;"","Équipement inconnu"))</f>
        <v/>
      </c>
      <c r="E1942" s="68" t="n"/>
      <c r="F1942" s="68" t="n"/>
      <c r="G1942" s="66" t="n"/>
      <c r="H1942" s="66" t="n"/>
      <c r="I1942" s="68" t="n"/>
      <c r="J1942" s="73" t="n"/>
      <c r="K1942" s="71" t="n"/>
      <c r="L1942" s="71" t="n"/>
      <c r="M1942" s="66" t="n"/>
      <c r="N1942" s="80" t="n"/>
      <c r="O1942" s="81" t="str">
        <f>IF(A1942="","",ROUND(V1942*IFERROR(N(INDEX(tech_rate,MATCH(M1942,tech_name,0))),0),2))</f>
        <v/>
      </c>
      <c r="P1942" s="80" t="n"/>
      <c r="Q1942" s="81" t="str">
        <f>IF(A1942="","",ROUND(Y1942+O1942+Z1942,2))</f>
        <v/>
      </c>
      <c r="R1942" s="79" t="str">
        <f>IF(A1942="","",IF(S1942=0,"Date manquante ou invalide",IF(C1942="","Équipement manquant",IF(ISNA(MATCH(C1942,eq_code,0)),"Équipement inconnu",IF(E1942="","Type manquant",IF(AND(E1942&lt;&gt;"Préventif",E1942&lt;&gt;"Correctif",E1942&lt;&gt;"Amélioratif"),"Type inconnu",IF(I1942="","Statut manquant",IF(AND(I1942&lt;&gt;"Terminée",I1942&lt;&gt;"En cours",I1942&lt;&gt;"À faire",I1942&lt;&gt;"Annulée"),"Statut inconnu",IF(AND(E1942="Préventif",F1942=""),"Plan manquant (préventif)",IF(AND(F1942&lt;&gt;"",ISNA(MATCH(F1942,pl_num,0))),"Plan inconnu",IF(AND(F1942&lt;&gt;"",IFERROR(INDEX(pl_eq,MATCH(F1942,pl_num,0))&amp;"",C1942)&lt;&gt;C1942),"Plan d'un autre équipement",IF(AND(J1942&lt;&gt;"",OR(NOT(ISNUMBER(J1942)),N(J1942)&lt;0)),"Compteur invalide",IF(OR(AND(K1942&lt;&gt;"",OR(NOT(ISNUMBER(K1942)),N(K1942)&lt;0)),AND(L1942&lt;&gt;"",OR(NOT(ISNUMBER(L1942)),N(L1942)&lt;0))),"Durée invalide",IF(OR(AND(N1942&lt;&gt;"",OR(NOT(ISNUMBER(N1942)),N(N1942)&lt;0)),AND(P1942&lt;&gt;"",OR(NOT(ISNUMBER(P1942)),N(P1942)&lt;0))),"Coût invalide",IF(AND(M1942&lt;&gt;"",ISNA(MATCH(M1942,tech_name,0))),"Technicien inconnu",IF(AND(I1942="Terminée",S1942&gt;p_today),"Terminée à une date future",IF(AND(I1942="Terminée",V1942=0),"Durée d'intervention manquante",IF(AND(I1942="Terminée",E1942="Préventif",T1942=0,OR(IFERROR(INDEX(pl_trig,MATCH(F1942,pl_num,0))&amp;"","")="Compteur",IFERROR(INDEX(pl_trig,MATCH(F1942,pl_num,0))&amp;"","")="Au premier des deux")),"Compteur manquant (plan au compteur)","OK"))))))))))))))))))</f>
        <v/>
      </c>
      <c r="S1942" s="67">
        <f>IF(AND(ISNUMBER(B1942),N(B1942)&gt;0),INT(B1942),0)</f>
        <v>0.0</v>
      </c>
      <c r="T1942" s="67">
        <f>IF(AND(ISNUMBER(J1942),N(J1942)&gt;=0),N(J1942),0)</f>
        <v>0.0</v>
      </c>
      <c r="U1942" s="67">
        <f>IF(AND(ISNUMBER(K1942),N(K1942)&gt;0),N(K1942),0)</f>
        <v>0.0</v>
      </c>
      <c r="V1942" s="67">
        <f>IF(AND(ISNUMBER(L1942),N(L1942)&gt;0),N(L1942),0)</f>
        <v>0.0</v>
      </c>
      <c r="W1942" s="67">
        <f>IF(AND(I1942="Terminée",S1942&gt;0,C1942&lt;&gt;"",ISNUMBER(MATCH(C1942,eq_code,0))),1,0)</f>
        <v>0.0</v>
      </c>
      <c r="X1942" s="67">
        <f>IF(AND(W1942=1,E1942="Préventif"),1,0)</f>
        <v>0.0</v>
      </c>
      <c r="Y1942" s="67">
        <f>IF(AND(ISNUMBER(N1942),N(N1942)&gt;0),N(N1942),0)</f>
        <v>0.0</v>
      </c>
      <c r="Z1942" s="67">
        <f>IF(AND(ISNUMBER(P1942),N(P1942)&gt;0),N(P1942),0)</f>
        <v>0.0</v>
      </c>
    </row>
    <row r="1943">
      <c r="A1943" s="79" t="str">
        <f>IF(COUNTA(B1943:C1943,E1943:G1943,I1943)=0,"","BI-"&amp;RIGHT("0000"&amp;(ROW()-5),4))</f>
        <v/>
      </c>
      <c r="B1943" s="72" t="n"/>
      <c r="C1943" s="66" t="n"/>
      <c r="D1943" s="67" t="str">
        <f>IF(C1943="","",IFERROR(INDEX(eq_des,MATCH(C1943,eq_code,0))&amp;"","Équipement inconnu"))</f>
        <v/>
      </c>
      <c r="E1943" s="68" t="n"/>
      <c r="F1943" s="68" t="n"/>
      <c r="G1943" s="66" t="n"/>
      <c r="H1943" s="66" t="n"/>
      <c r="I1943" s="68" t="n"/>
      <c r="J1943" s="73" t="n"/>
      <c r="K1943" s="71" t="n"/>
      <c r="L1943" s="71" t="n"/>
      <c r="M1943" s="66" t="n"/>
      <c r="N1943" s="80" t="n"/>
      <c r="O1943" s="81" t="str">
        <f>IF(A1943="","",ROUND(V1943*IFERROR(N(INDEX(tech_rate,MATCH(M1943,tech_name,0))),0),2))</f>
        <v/>
      </c>
      <c r="P1943" s="80" t="n"/>
      <c r="Q1943" s="81" t="str">
        <f>IF(A1943="","",ROUND(Y1943+O1943+Z1943,2))</f>
        <v/>
      </c>
      <c r="R1943" s="79" t="str">
        <f>IF(A1943="","",IF(S1943=0,"Date manquante ou invalide",IF(C1943="","Équipement manquant",IF(ISNA(MATCH(C1943,eq_code,0)),"Équipement inconnu",IF(E1943="","Type manquant",IF(AND(E1943&lt;&gt;"Préventif",E1943&lt;&gt;"Correctif",E1943&lt;&gt;"Amélioratif"),"Type inconnu",IF(I1943="","Statut manquant",IF(AND(I1943&lt;&gt;"Terminée",I1943&lt;&gt;"En cours",I1943&lt;&gt;"À faire",I1943&lt;&gt;"Annulée"),"Statut inconnu",IF(AND(E1943="Préventif",F1943=""),"Plan manquant (préventif)",IF(AND(F1943&lt;&gt;"",ISNA(MATCH(F1943,pl_num,0))),"Plan inconnu",IF(AND(F1943&lt;&gt;"",IFERROR(INDEX(pl_eq,MATCH(F1943,pl_num,0))&amp;"",C1943)&lt;&gt;C1943),"Plan d'un autre équipement",IF(AND(J1943&lt;&gt;"",OR(NOT(ISNUMBER(J1943)),N(J1943)&lt;0)),"Compteur invalide",IF(OR(AND(K1943&lt;&gt;"",OR(NOT(ISNUMBER(K1943)),N(K1943)&lt;0)),AND(L1943&lt;&gt;"",OR(NOT(ISNUMBER(L1943)),N(L1943)&lt;0))),"Durée invalide",IF(OR(AND(N1943&lt;&gt;"",OR(NOT(ISNUMBER(N1943)),N(N1943)&lt;0)),AND(P1943&lt;&gt;"",OR(NOT(ISNUMBER(P1943)),N(P1943)&lt;0))),"Coût invalide",IF(AND(M1943&lt;&gt;"",ISNA(MATCH(M1943,tech_name,0))),"Technicien inconnu",IF(AND(I1943="Terminée",S1943&gt;p_today),"Terminée à une date future",IF(AND(I1943="Terminée",V1943=0),"Durée d'intervention manquante",IF(AND(I1943="Terminée",E1943="Préventif",T1943=0,OR(IFERROR(INDEX(pl_trig,MATCH(F1943,pl_num,0))&amp;"","")="Compteur",IFERROR(INDEX(pl_trig,MATCH(F1943,pl_num,0))&amp;"","")="Au premier des deux")),"Compteur manquant (plan au compteur)","OK"))))))))))))))))))</f>
        <v/>
      </c>
      <c r="S1943" s="67">
        <f>IF(AND(ISNUMBER(B1943),N(B1943)&gt;0),INT(B1943),0)</f>
        <v>0.0</v>
      </c>
      <c r="T1943" s="67">
        <f>IF(AND(ISNUMBER(J1943),N(J1943)&gt;=0),N(J1943),0)</f>
        <v>0.0</v>
      </c>
      <c r="U1943" s="67">
        <f>IF(AND(ISNUMBER(K1943),N(K1943)&gt;0),N(K1943),0)</f>
        <v>0.0</v>
      </c>
      <c r="V1943" s="67">
        <f>IF(AND(ISNUMBER(L1943),N(L1943)&gt;0),N(L1943),0)</f>
        <v>0.0</v>
      </c>
      <c r="W1943" s="67">
        <f>IF(AND(I1943="Terminée",S1943&gt;0,C1943&lt;&gt;"",ISNUMBER(MATCH(C1943,eq_code,0))),1,0)</f>
        <v>0.0</v>
      </c>
      <c r="X1943" s="67">
        <f>IF(AND(W1943=1,E1943="Préventif"),1,0)</f>
        <v>0.0</v>
      </c>
      <c r="Y1943" s="67">
        <f>IF(AND(ISNUMBER(N1943),N(N1943)&gt;0),N(N1943),0)</f>
        <v>0.0</v>
      </c>
      <c r="Z1943" s="67">
        <f>IF(AND(ISNUMBER(P1943),N(P1943)&gt;0),N(P1943),0)</f>
        <v>0.0</v>
      </c>
    </row>
    <row r="1944">
      <c r="A1944" s="79" t="str">
        <f>IF(COUNTA(B1944:C1944,E1944:G1944,I1944)=0,"","BI-"&amp;RIGHT("0000"&amp;(ROW()-5),4))</f>
        <v/>
      </c>
      <c r="B1944" s="72" t="n"/>
      <c r="C1944" s="66" t="n"/>
      <c r="D1944" s="67" t="str">
        <f>IF(C1944="","",IFERROR(INDEX(eq_des,MATCH(C1944,eq_code,0))&amp;"","Équipement inconnu"))</f>
        <v/>
      </c>
      <c r="E1944" s="68" t="n"/>
      <c r="F1944" s="68" t="n"/>
      <c r="G1944" s="66" t="n"/>
      <c r="H1944" s="66" t="n"/>
      <c r="I1944" s="68" t="n"/>
      <c r="J1944" s="73" t="n"/>
      <c r="K1944" s="71" t="n"/>
      <c r="L1944" s="71" t="n"/>
      <c r="M1944" s="66" t="n"/>
      <c r="N1944" s="80" t="n"/>
      <c r="O1944" s="81" t="str">
        <f>IF(A1944="","",ROUND(V1944*IFERROR(N(INDEX(tech_rate,MATCH(M1944,tech_name,0))),0),2))</f>
        <v/>
      </c>
      <c r="P1944" s="80" t="n"/>
      <c r="Q1944" s="81" t="str">
        <f>IF(A1944="","",ROUND(Y1944+O1944+Z1944,2))</f>
        <v/>
      </c>
      <c r="R1944" s="79" t="str">
        <f>IF(A1944="","",IF(S1944=0,"Date manquante ou invalide",IF(C1944="","Équipement manquant",IF(ISNA(MATCH(C1944,eq_code,0)),"Équipement inconnu",IF(E1944="","Type manquant",IF(AND(E1944&lt;&gt;"Préventif",E1944&lt;&gt;"Correctif",E1944&lt;&gt;"Amélioratif"),"Type inconnu",IF(I1944="","Statut manquant",IF(AND(I1944&lt;&gt;"Terminée",I1944&lt;&gt;"En cours",I1944&lt;&gt;"À faire",I1944&lt;&gt;"Annulée"),"Statut inconnu",IF(AND(E1944="Préventif",F1944=""),"Plan manquant (préventif)",IF(AND(F1944&lt;&gt;"",ISNA(MATCH(F1944,pl_num,0))),"Plan inconnu",IF(AND(F1944&lt;&gt;"",IFERROR(INDEX(pl_eq,MATCH(F1944,pl_num,0))&amp;"",C1944)&lt;&gt;C1944),"Plan d'un autre équipement",IF(AND(J1944&lt;&gt;"",OR(NOT(ISNUMBER(J1944)),N(J1944)&lt;0)),"Compteur invalide",IF(OR(AND(K1944&lt;&gt;"",OR(NOT(ISNUMBER(K1944)),N(K1944)&lt;0)),AND(L1944&lt;&gt;"",OR(NOT(ISNUMBER(L1944)),N(L1944)&lt;0))),"Durée invalide",IF(OR(AND(N1944&lt;&gt;"",OR(NOT(ISNUMBER(N1944)),N(N1944)&lt;0)),AND(P1944&lt;&gt;"",OR(NOT(ISNUMBER(P1944)),N(P1944)&lt;0))),"Coût invalide",IF(AND(M1944&lt;&gt;"",ISNA(MATCH(M1944,tech_name,0))),"Technicien inconnu",IF(AND(I1944="Terminée",S1944&gt;p_today),"Terminée à une date future",IF(AND(I1944="Terminée",V1944=0),"Durée d'intervention manquante",IF(AND(I1944="Terminée",E1944="Préventif",T1944=0,OR(IFERROR(INDEX(pl_trig,MATCH(F1944,pl_num,0))&amp;"","")="Compteur",IFERROR(INDEX(pl_trig,MATCH(F1944,pl_num,0))&amp;"","")="Au premier des deux")),"Compteur manquant (plan au compteur)","OK"))))))))))))))))))</f>
        <v/>
      </c>
      <c r="S1944" s="67">
        <f>IF(AND(ISNUMBER(B1944),N(B1944)&gt;0),INT(B1944),0)</f>
        <v>0.0</v>
      </c>
      <c r="T1944" s="67">
        <f>IF(AND(ISNUMBER(J1944),N(J1944)&gt;=0),N(J1944),0)</f>
        <v>0.0</v>
      </c>
      <c r="U1944" s="67">
        <f>IF(AND(ISNUMBER(K1944),N(K1944)&gt;0),N(K1944),0)</f>
        <v>0.0</v>
      </c>
      <c r="V1944" s="67">
        <f>IF(AND(ISNUMBER(L1944),N(L1944)&gt;0),N(L1944),0)</f>
        <v>0.0</v>
      </c>
      <c r="W1944" s="67">
        <f>IF(AND(I1944="Terminée",S1944&gt;0,C1944&lt;&gt;"",ISNUMBER(MATCH(C1944,eq_code,0))),1,0)</f>
        <v>0.0</v>
      </c>
      <c r="X1944" s="67">
        <f>IF(AND(W1944=1,E1944="Préventif"),1,0)</f>
        <v>0.0</v>
      </c>
      <c r="Y1944" s="67">
        <f>IF(AND(ISNUMBER(N1944),N(N1944)&gt;0),N(N1944),0)</f>
        <v>0.0</v>
      </c>
      <c r="Z1944" s="67">
        <f>IF(AND(ISNUMBER(P1944),N(P1944)&gt;0),N(P1944),0)</f>
        <v>0.0</v>
      </c>
    </row>
    <row r="1945">
      <c r="A1945" s="79" t="str">
        <f>IF(COUNTA(B1945:C1945,E1945:G1945,I1945)=0,"","BI-"&amp;RIGHT("0000"&amp;(ROW()-5),4))</f>
        <v/>
      </c>
      <c r="B1945" s="72" t="n"/>
      <c r="C1945" s="66" t="n"/>
      <c r="D1945" s="67" t="str">
        <f>IF(C1945="","",IFERROR(INDEX(eq_des,MATCH(C1945,eq_code,0))&amp;"","Équipement inconnu"))</f>
        <v/>
      </c>
      <c r="E1945" s="68" t="n"/>
      <c r="F1945" s="68" t="n"/>
      <c r="G1945" s="66" t="n"/>
      <c r="H1945" s="66" t="n"/>
      <c r="I1945" s="68" t="n"/>
      <c r="J1945" s="73" t="n"/>
      <c r="K1945" s="71" t="n"/>
      <c r="L1945" s="71" t="n"/>
      <c r="M1945" s="66" t="n"/>
      <c r="N1945" s="80" t="n"/>
      <c r="O1945" s="81" t="str">
        <f>IF(A1945="","",ROUND(V1945*IFERROR(N(INDEX(tech_rate,MATCH(M1945,tech_name,0))),0),2))</f>
        <v/>
      </c>
      <c r="P1945" s="80" t="n"/>
      <c r="Q1945" s="81" t="str">
        <f>IF(A1945="","",ROUND(Y1945+O1945+Z1945,2))</f>
        <v/>
      </c>
      <c r="R1945" s="79" t="str">
        <f>IF(A1945="","",IF(S1945=0,"Date manquante ou invalide",IF(C1945="","Équipement manquant",IF(ISNA(MATCH(C1945,eq_code,0)),"Équipement inconnu",IF(E1945="","Type manquant",IF(AND(E1945&lt;&gt;"Préventif",E1945&lt;&gt;"Correctif",E1945&lt;&gt;"Amélioratif"),"Type inconnu",IF(I1945="","Statut manquant",IF(AND(I1945&lt;&gt;"Terminée",I1945&lt;&gt;"En cours",I1945&lt;&gt;"À faire",I1945&lt;&gt;"Annulée"),"Statut inconnu",IF(AND(E1945="Préventif",F1945=""),"Plan manquant (préventif)",IF(AND(F1945&lt;&gt;"",ISNA(MATCH(F1945,pl_num,0))),"Plan inconnu",IF(AND(F1945&lt;&gt;"",IFERROR(INDEX(pl_eq,MATCH(F1945,pl_num,0))&amp;"",C1945)&lt;&gt;C1945),"Plan d'un autre équipement",IF(AND(J1945&lt;&gt;"",OR(NOT(ISNUMBER(J1945)),N(J1945)&lt;0)),"Compteur invalide",IF(OR(AND(K1945&lt;&gt;"",OR(NOT(ISNUMBER(K1945)),N(K1945)&lt;0)),AND(L1945&lt;&gt;"",OR(NOT(ISNUMBER(L1945)),N(L1945)&lt;0))),"Durée invalide",IF(OR(AND(N1945&lt;&gt;"",OR(NOT(ISNUMBER(N1945)),N(N1945)&lt;0)),AND(P1945&lt;&gt;"",OR(NOT(ISNUMBER(P1945)),N(P1945)&lt;0))),"Coût invalide",IF(AND(M1945&lt;&gt;"",ISNA(MATCH(M1945,tech_name,0))),"Technicien inconnu",IF(AND(I1945="Terminée",S1945&gt;p_today),"Terminée à une date future",IF(AND(I1945="Terminée",V1945=0),"Durée d'intervention manquante",IF(AND(I1945="Terminée",E1945="Préventif",T1945=0,OR(IFERROR(INDEX(pl_trig,MATCH(F1945,pl_num,0))&amp;"","")="Compteur",IFERROR(INDEX(pl_trig,MATCH(F1945,pl_num,0))&amp;"","")="Au premier des deux")),"Compteur manquant (plan au compteur)","OK"))))))))))))))))))</f>
        <v/>
      </c>
      <c r="S1945" s="67">
        <f>IF(AND(ISNUMBER(B1945),N(B1945)&gt;0),INT(B1945),0)</f>
        <v>0.0</v>
      </c>
      <c r="T1945" s="67">
        <f>IF(AND(ISNUMBER(J1945),N(J1945)&gt;=0),N(J1945),0)</f>
        <v>0.0</v>
      </c>
      <c r="U1945" s="67">
        <f>IF(AND(ISNUMBER(K1945),N(K1945)&gt;0),N(K1945),0)</f>
        <v>0.0</v>
      </c>
      <c r="V1945" s="67">
        <f>IF(AND(ISNUMBER(L1945),N(L1945)&gt;0),N(L1945),0)</f>
        <v>0.0</v>
      </c>
      <c r="W1945" s="67">
        <f>IF(AND(I1945="Terminée",S1945&gt;0,C1945&lt;&gt;"",ISNUMBER(MATCH(C1945,eq_code,0))),1,0)</f>
        <v>0.0</v>
      </c>
      <c r="X1945" s="67">
        <f>IF(AND(W1945=1,E1945="Préventif"),1,0)</f>
        <v>0.0</v>
      </c>
      <c r="Y1945" s="67">
        <f>IF(AND(ISNUMBER(N1945),N(N1945)&gt;0),N(N1945),0)</f>
        <v>0.0</v>
      </c>
      <c r="Z1945" s="67">
        <f>IF(AND(ISNUMBER(P1945),N(P1945)&gt;0),N(P1945),0)</f>
        <v>0.0</v>
      </c>
    </row>
    <row r="1946">
      <c r="A1946" s="79" t="str">
        <f>IF(COUNTA(B1946:C1946,E1946:G1946,I1946)=0,"","BI-"&amp;RIGHT("0000"&amp;(ROW()-5),4))</f>
        <v/>
      </c>
      <c r="B1946" s="72" t="n"/>
      <c r="C1946" s="66" t="n"/>
      <c r="D1946" s="67" t="str">
        <f>IF(C1946="","",IFERROR(INDEX(eq_des,MATCH(C1946,eq_code,0))&amp;"","Équipement inconnu"))</f>
        <v/>
      </c>
      <c r="E1946" s="68" t="n"/>
      <c r="F1946" s="68" t="n"/>
      <c r="G1946" s="66" t="n"/>
      <c r="H1946" s="66" t="n"/>
      <c r="I1946" s="68" t="n"/>
      <c r="J1946" s="73" t="n"/>
      <c r="K1946" s="71" t="n"/>
      <c r="L1946" s="71" t="n"/>
      <c r="M1946" s="66" t="n"/>
      <c r="N1946" s="80" t="n"/>
      <c r="O1946" s="81" t="str">
        <f>IF(A1946="","",ROUND(V1946*IFERROR(N(INDEX(tech_rate,MATCH(M1946,tech_name,0))),0),2))</f>
        <v/>
      </c>
      <c r="P1946" s="80" t="n"/>
      <c r="Q1946" s="81" t="str">
        <f>IF(A1946="","",ROUND(Y1946+O1946+Z1946,2))</f>
        <v/>
      </c>
      <c r="R1946" s="79" t="str">
        <f>IF(A1946="","",IF(S1946=0,"Date manquante ou invalide",IF(C1946="","Équipement manquant",IF(ISNA(MATCH(C1946,eq_code,0)),"Équipement inconnu",IF(E1946="","Type manquant",IF(AND(E1946&lt;&gt;"Préventif",E1946&lt;&gt;"Correctif",E1946&lt;&gt;"Amélioratif"),"Type inconnu",IF(I1946="","Statut manquant",IF(AND(I1946&lt;&gt;"Terminée",I1946&lt;&gt;"En cours",I1946&lt;&gt;"À faire",I1946&lt;&gt;"Annulée"),"Statut inconnu",IF(AND(E1946="Préventif",F1946=""),"Plan manquant (préventif)",IF(AND(F1946&lt;&gt;"",ISNA(MATCH(F1946,pl_num,0))),"Plan inconnu",IF(AND(F1946&lt;&gt;"",IFERROR(INDEX(pl_eq,MATCH(F1946,pl_num,0))&amp;"",C1946)&lt;&gt;C1946),"Plan d'un autre équipement",IF(AND(J1946&lt;&gt;"",OR(NOT(ISNUMBER(J1946)),N(J1946)&lt;0)),"Compteur invalide",IF(OR(AND(K1946&lt;&gt;"",OR(NOT(ISNUMBER(K1946)),N(K1946)&lt;0)),AND(L1946&lt;&gt;"",OR(NOT(ISNUMBER(L1946)),N(L1946)&lt;0))),"Durée invalide",IF(OR(AND(N1946&lt;&gt;"",OR(NOT(ISNUMBER(N1946)),N(N1946)&lt;0)),AND(P1946&lt;&gt;"",OR(NOT(ISNUMBER(P1946)),N(P1946)&lt;0))),"Coût invalide",IF(AND(M1946&lt;&gt;"",ISNA(MATCH(M1946,tech_name,0))),"Technicien inconnu",IF(AND(I1946="Terminée",S1946&gt;p_today),"Terminée à une date future",IF(AND(I1946="Terminée",V1946=0),"Durée d'intervention manquante",IF(AND(I1946="Terminée",E1946="Préventif",T1946=0,OR(IFERROR(INDEX(pl_trig,MATCH(F1946,pl_num,0))&amp;"","")="Compteur",IFERROR(INDEX(pl_trig,MATCH(F1946,pl_num,0))&amp;"","")="Au premier des deux")),"Compteur manquant (plan au compteur)","OK"))))))))))))))))))</f>
        <v/>
      </c>
      <c r="S1946" s="67">
        <f>IF(AND(ISNUMBER(B1946),N(B1946)&gt;0),INT(B1946),0)</f>
        <v>0.0</v>
      </c>
      <c r="T1946" s="67">
        <f>IF(AND(ISNUMBER(J1946),N(J1946)&gt;=0),N(J1946),0)</f>
        <v>0.0</v>
      </c>
      <c r="U1946" s="67">
        <f>IF(AND(ISNUMBER(K1946),N(K1946)&gt;0),N(K1946),0)</f>
        <v>0.0</v>
      </c>
      <c r="V1946" s="67">
        <f>IF(AND(ISNUMBER(L1946),N(L1946)&gt;0),N(L1946),0)</f>
        <v>0.0</v>
      </c>
      <c r="W1946" s="67">
        <f>IF(AND(I1946="Terminée",S1946&gt;0,C1946&lt;&gt;"",ISNUMBER(MATCH(C1946,eq_code,0))),1,0)</f>
        <v>0.0</v>
      </c>
      <c r="X1946" s="67">
        <f>IF(AND(W1946=1,E1946="Préventif"),1,0)</f>
        <v>0.0</v>
      </c>
      <c r="Y1946" s="67">
        <f>IF(AND(ISNUMBER(N1946),N(N1946)&gt;0),N(N1946),0)</f>
        <v>0.0</v>
      </c>
      <c r="Z1946" s="67">
        <f>IF(AND(ISNUMBER(P1946),N(P1946)&gt;0),N(P1946),0)</f>
        <v>0.0</v>
      </c>
    </row>
    <row r="1947">
      <c r="A1947" s="79" t="str">
        <f>IF(COUNTA(B1947:C1947,E1947:G1947,I1947)=0,"","BI-"&amp;RIGHT("0000"&amp;(ROW()-5),4))</f>
        <v/>
      </c>
      <c r="B1947" s="72" t="n"/>
      <c r="C1947" s="66" t="n"/>
      <c r="D1947" s="67" t="str">
        <f>IF(C1947="","",IFERROR(INDEX(eq_des,MATCH(C1947,eq_code,0))&amp;"","Équipement inconnu"))</f>
        <v/>
      </c>
      <c r="E1947" s="68" t="n"/>
      <c r="F1947" s="68" t="n"/>
      <c r="G1947" s="66" t="n"/>
      <c r="H1947" s="66" t="n"/>
      <c r="I1947" s="68" t="n"/>
      <c r="J1947" s="73" t="n"/>
      <c r="K1947" s="71" t="n"/>
      <c r="L1947" s="71" t="n"/>
      <c r="M1947" s="66" t="n"/>
      <c r="N1947" s="80" t="n"/>
      <c r="O1947" s="81" t="str">
        <f>IF(A1947="","",ROUND(V1947*IFERROR(N(INDEX(tech_rate,MATCH(M1947,tech_name,0))),0),2))</f>
        <v/>
      </c>
      <c r="P1947" s="80" t="n"/>
      <c r="Q1947" s="81" t="str">
        <f>IF(A1947="","",ROUND(Y1947+O1947+Z1947,2))</f>
        <v/>
      </c>
      <c r="R1947" s="79" t="str">
        <f>IF(A1947="","",IF(S1947=0,"Date manquante ou invalide",IF(C1947="","Équipement manquant",IF(ISNA(MATCH(C1947,eq_code,0)),"Équipement inconnu",IF(E1947="","Type manquant",IF(AND(E1947&lt;&gt;"Préventif",E1947&lt;&gt;"Correctif",E1947&lt;&gt;"Amélioratif"),"Type inconnu",IF(I1947="","Statut manquant",IF(AND(I1947&lt;&gt;"Terminée",I1947&lt;&gt;"En cours",I1947&lt;&gt;"À faire",I1947&lt;&gt;"Annulée"),"Statut inconnu",IF(AND(E1947="Préventif",F1947=""),"Plan manquant (préventif)",IF(AND(F1947&lt;&gt;"",ISNA(MATCH(F1947,pl_num,0))),"Plan inconnu",IF(AND(F1947&lt;&gt;"",IFERROR(INDEX(pl_eq,MATCH(F1947,pl_num,0))&amp;"",C1947)&lt;&gt;C1947),"Plan d'un autre équipement",IF(AND(J1947&lt;&gt;"",OR(NOT(ISNUMBER(J1947)),N(J1947)&lt;0)),"Compteur invalide",IF(OR(AND(K1947&lt;&gt;"",OR(NOT(ISNUMBER(K1947)),N(K1947)&lt;0)),AND(L1947&lt;&gt;"",OR(NOT(ISNUMBER(L1947)),N(L1947)&lt;0))),"Durée invalide",IF(OR(AND(N1947&lt;&gt;"",OR(NOT(ISNUMBER(N1947)),N(N1947)&lt;0)),AND(P1947&lt;&gt;"",OR(NOT(ISNUMBER(P1947)),N(P1947)&lt;0))),"Coût invalide",IF(AND(M1947&lt;&gt;"",ISNA(MATCH(M1947,tech_name,0))),"Technicien inconnu",IF(AND(I1947="Terminée",S1947&gt;p_today),"Terminée à une date future",IF(AND(I1947="Terminée",V1947=0),"Durée d'intervention manquante",IF(AND(I1947="Terminée",E1947="Préventif",T1947=0,OR(IFERROR(INDEX(pl_trig,MATCH(F1947,pl_num,0))&amp;"","")="Compteur",IFERROR(INDEX(pl_trig,MATCH(F1947,pl_num,0))&amp;"","")="Au premier des deux")),"Compteur manquant (plan au compteur)","OK"))))))))))))))))))</f>
        <v/>
      </c>
      <c r="S1947" s="67">
        <f>IF(AND(ISNUMBER(B1947),N(B1947)&gt;0),INT(B1947),0)</f>
        <v>0.0</v>
      </c>
      <c r="T1947" s="67">
        <f>IF(AND(ISNUMBER(J1947),N(J1947)&gt;=0),N(J1947),0)</f>
        <v>0.0</v>
      </c>
      <c r="U1947" s="67">
        <f>IF(AND(ISNUMBER(K1947),N(K1947)&gt;0),N(K1947),0)</f>
        <v>0.0</v>
      </c>
      <c r="V1947" s="67">
        <f>IF(AND(ISNUMBER(L1947),N(L1947)&gt;0),N(L1947),0)</f>
        <v>0.0</v>
      </c>
      <c r="W1947" s="67">
        <f>IF(AND(I1947="Terminée",S1947&gt;0,C1947&lt;&gt;"",ISNUMBER(MATCH(C1947,eq_code,0))),1,0)</f>
        <v>0.0</v>
      </c>
      <c r="X1947" s="67">
        <f>IF(AND(W1947=1,E1947="Préventif"),1,0)</f>
        <v>0.0</v>
      </c>
      <c r="Y1947" s="67">
        <f>IF(AND(ISNUMBER(N1947),N(N1947)&gt;0),N(N1947),0)</f>
        <v>0.0</v>
      </c>
      <c r="Z1947" s="67">
        <f>IF(AND(ISNUMBER(P1947),N(P1947)&gt;0),N(P1947),0)</f>
        <v>0.0</v>
      </c>
    </row>
    <row r="1948">
      <c r="A1948" s="79" t="str">
        <f>IF(COUNTA(B1948:C1948,E1948:G1948,I1948)=0,"","BI-"&amp;RIGHT("0000"&amp;(ROW()-5),4))</f>
        <v/>
      </c>
      <c r="B1948" s="72" t="n"/>
      <c r="C1948" s="66" t="n"/>
      <c r="D1948" s="67" t="str">
        <f>IF(C1948="","",IFERROR(INDEX(eq_des,MATCH(C1948,eq_code,0))&amp;"","Équipement inconnu"))</f>
        <v/>
      </c>
      <c r="E1948" s="68" t="n"/>
      <c r="F1948" s="68" t="n"/>
      <c r="G1948" s="66" t="n"/>
      <c r="H1948" s="66" t="n"/>
      <c r="I1948" s="68" t="n"/>
      <c r="J1948" s="73" t="n"/>
      <c r="K1948" s="71" t="n"/>
      <c r="L1948" s="71" t="n"/>
      <c r="M1948" s="66" t="n"/>
      <c r="N1948" s="80" t="n"/>
      <c r="O1948" s="81" t="str">
        <f>IF(A1948="","",ROUND(V1948*IFERROR(N(INDEX(tech_rate,MATCH(M1948,tech_name,0))),0),2))</f>
        <v/>
      </c>
      <c r="P1948" s="80" t="n"/>
      <c r="Q1948" s="81" t="str">
        <f>IF(A1948="","",ROUND(Y1948+O1948+Z1948,2))</f>
        <v/>
      </c>
      <c r="R1948" s="79" t="str">
        <f>IF(A1948="","",IF(S1948=0,"Date manquante ou invalide",IF(C1948="","Équipement manquant",IF(ISNA(MATCH(C1948,eq_code,0)),"Équipement inconnu",IF(E1948="","Type manquant",IF(AND(E1948&lt;&gt;"Préventif",E1948&lt;&gt;"Correctif",E1948&lt;&gt;"Amélioratif"),"Type inconnu",IF(I1948="","Statut manquant",IF(AND(I1948&lt;&gt;"Terminée",I1948&lt;&gt;"En cours",I1948&lt;&gt;"À faire",I1948&lt;&gt;"Annulée"),"Statut inconnu",IF(AND(E1948="Préventif",F1948=""),"Plan manquant (préventif)",IF(AND(F1948&lt;&gt;"",ISNA(MATCH(F1948,pl_num,0))),"Plan inconnu",IF(AND(F1948&lt;&gt;"",IFERROR(INDEX(pl_eq,MATCH(F1948,pl_num,0))&amp;"",C1948)&lt;&gt;C1948),"Plan d'un autre équipement",IF(AND(J1948&lt;&gt;"",OR(NOT(ISNUMBER(J1948)),N(J1948)&lt;0)),"Compteur invalide",IF(OR(AND(K1948&lt;&gt;"",OR(NOT(ISNUMBER(K1948)),N(K1948)&lt;0)),AND(L1948&lt;&gt;"",OR(NOT(ISNUMBER(L1948)),N(L1948)&lt;0))),"Durée invalide",IF(OR(AND(N1948&lt;&gt;"",OR(NOT(ISNUMBER(N1948)),N(N1948)&lt;0)),AND(P1948&lt;&gt;"",OR(NOT(ISNUMBER(P1948)),N(P1948)&lt;0))),"Coût invalide",IF(AND(M1948&lt;&gt;"",ISNA(MATCH(M1948,tech_name,0))),"Technicien inconnu",IF(AND(I1948="Terminée",S1948&gt;p_today),"Terminée à une date future",IF(AND(I1948="Terminée",V1948=0),"Durée d'intervention manquante",IF(AND(I1948="Terminée",E1948="Préventif",T1948=0,OR(IFERROR(INDEX(pl_trig,MATCH(F1948,pl_num,0))&amp;"","")="Compteur",IFERROR(INDEX(pl_trig,MATCH(F1948,pl_num,0))&amp;"","")="Au premier des deux")),"Compteur manquant (plan au compteur)","OK"))))))))))))))))))</f>
        <v/>
      </c>
      <c r="S1948" s="67">
        <f>IF(AND(ISNUMBER(B1948),N(B1948)&gt;0),INT(B1948),0)</f>
        <v>0.0</v>
      </c>
      <c r="T1948" s="67">
        <f>IF(AND(ISNUMBER(J1948),N(J1948)&gt;=0),N(J1948),0)</f>
        <v>0.0</v>
      </c>
      <c r="U1948" s="67">
        <f>IF(AND(ISNUMBER(K1948),N(K1948)&gt;0),N(K1948),0)</f>
        <v>0.0</v>
      </c>
      <c r="V1948" s="67">
        <f>IF(AND(ISNUMBER(L1948),N(L1948)&gt;0),N(L1948),0)</f>
        <v>0.0</v>
      </c>
      <c r="W1948" s="67">
        <f>IF(AND(I1948="Terminée",S1948&gt;0,C1948&lt;&gt;"",ISNUMBER(MATCH(C1948,eq_code,0))),1,0)</f>
        <v>0.0</v>
      </c>
      <c r="X1948" s="67">
        <f>IF(AND(W1948=1,E1948="Préventif"),1,0)</f>
        <v>0.0</v>
      </c>
      <c r="Y1948" s="67">
        <f>IF(AND(ISNUMBER(N1948),N(N1948)&gt;0),N(N1948),0)</f>
        <v>0.0</v>
      </c>
      <c r="Z1948" s="67">
        <f>IF(AND(ISNUMBER(P1948),N(P1948)&gt;0),N(P1948),0)</f>
        <v>0.0</v>
      </c>
    </row>
    <row r="1949">
      <c r="A1949" s="79" t="str">
        <f>IF(COUNTA(B1949:C1949,E1949:G1949,I1949)=0,"","BI-"&amp;RIGHT("0000"&amp;(ROW()-5),4))</f>
        <v/>
      </c>
      <c r="B1949" s="72" t="n"/>
      <c r="C1949" s="66" t="n"/>
      <c r="D1949" s="67" t="str">
        <f>IF(C1949="","",IFERROR(INDEX(eq_des,MATCH(C1949,eq_code,0))&amp;"","Équipement inconnu"))</f>
        <v/>
      </c>
      <c r="E1949" s="68" t="n"/>
      <c r="F1949" s="68" t="n"/>
      <c r="G1949" s="66" t="n"/>
      <c r="H1949" s="66" t="n"/>
      <c r="I1949" s="68" t="n"/>
      <c r="J1949" s="73" t="n"/>
      <c r="K1949" s="71" t="n"/>
      <c r="L1949" s="71" t="n"/>
      <c r="M1949" s="66" t="n"/>
      <c r="N1949" s="80" t="n"/>
      <c r="O1949" s="81" t="str">
        <f>IF(A1949="","",ROUND(V1949*IFERROR(N(INDEX(tech_rate,MATCH(M1949,tech_name,0))),0),2))</f>
        <v/>
      </c>
      <c r="P1949" s="80" t="n"/>
      <c r="Q1949" s="81" t="str">
        <f>IF(A1949="","",ROUND(Y1949+O1949+Z1949,2))</f>
        <v/>
      </c>
      <c r="R1949" s="79" t="str">
        <f>IF(A1949="","",IF(S1949=0,"Date manquante ou invalide",IF(C1949="","Équipement manquant",IF(ISNA(MATCH(C1949,eq_code,0)),"Équipement inconnu",IF(E1949="","Type manquant",IF(AND(E1949&lt;&gt;"Préventif",E1949&lt;&gt;"Correctif",E1949&lt;&gt;"Amélioratif"),"Type inconnu",IF(I1949="","Statut manquant",IF(AND(I1949&lt;&gt;"Terminée",I1949&lt;&gt;"En cours",I1949&lt;&gt;"À faire",I1949&lt;&gt;"Annulée"),"Statut inconnu",IF(AND(E1949="Préventif",F1949=""),"Plan manquant (préventif)",IF(AND(F1949&lt;&gt;"",ISNA(MATCH(F1949,pl_num,0))),"Plan inconnu",IF(AND(F1949&lt;&gt;"",IFERROR(INDEX(pl_eq,MATCH(F1949,pl_num,0))&amp;"",C1949)&lt;&gt;C1949),"Plan d'un autre équipement",IF(AND(J1949&lt;&gt;"",OR(NOT(ISNUMBER(J1949)),N(J1949)&lt;0)),"Compteur invalide",IF(OR(AND(K1949&lt;&gt;"",OR(NOT(ISNUMBER(K1949)),N(K1949)&lt;0)),AND(L1949&lt;&gt;"",OR(NOT(ISNUMBER(L1949)),N(L1949)&lt;0))),"Durée invalide",IF(OR(AND(N1949&lt;&gt;"",OR(NOT(ISNUMBER(N1949)),N(N1949)&lt;0)),AND(P1949&lt;&gt;"",OR(NOT(ISNUMBER(P1949)),N(P1949)&lt;0))),"Coût invalide",IF(AND(M1949&lt;&gt;"",ISNA(MATCH(M1949,tech_name,0))),"Technicien inconnu",IF(AND(I1949="Terminée",S1949&gt;p_today),"Terminée à une date future",IF(AND(I1949="Terminée",V1949=0),"Durée d'intervention manquante",IF(AND(I1949="Terminée",E1949="Préventif",T1949=0,OR(IFERROR(INDEX(pl_trig,MATCH(F1949,pl_num,0))&amp;"","")="Compteur",IFERROR(INDEX(pl_trig,MATCH(F1949,pl_num,0))&amp;"","")="Au premier des deux")),"Compteur manquant (plan au compteur)","OK"))))))))))))))))))</f>
        <v/>
      </c>
      <c r="S1949" s="67">
        <f>IF(AND(ISNUMBER(B1949),N(B1949)&gt;0),INT(B1949),0)</f>
        <v>0.0</v>
      </c>
      <c r="T1949" s="67">
        <f>IF(AND(ISNUMBER(J1949),N(J1949)&gt;=0),N(J1949),0)</f>
        <v>0.0</v>
      </c>
      <c r="U1949" s="67">
        <f>IF(AND(ISNUMBER(K1949),N(K1949)&gt;0),N(K1949),0)</f>
        <v>0.0</v>
      </c>
      <c r="V1949" s="67">
        <f>IF(AND(ISNUMBER(L1949),N(L1949)&gt;0),N(L1949),0)</f>
        <v>0.0</v>
      </c>
      <c r="W1949" s="67">
        <f>IF(AND(I1949="Terminée",S1949&gt;0,C1949&lt;&gt;"",ISNUMBER(MATCH(C1949,eq_code,0))),1,0)</f>
        <v>0.0</v>
      </c>
      <c r="X1949" s="67">
        <f>IF(AND(W1949=1,E1949="Préventif"),1,0)</f>
        <v>0.0</v>
      </c>
      <c r="Y1949" s="67">
        <f>IF(AND(ISNUMBER(N1949),N(N1949)&gt;0),N(N1949),0)</f>
        <v>0.0</v>
      </c>
      <c r="Z1949" s="67">
        <f>IF(AND(ISNUMBER(P1949),N(P1949)&gt;0),N(P1949),0)</f>
        <v>0.0</v>
      </c>
    </row>
    <row r="1950">
      <c r="A1950" s="79" t="str">
        <f>IF(COUNTA(B1950:C1950,E1950:G1950,I1950)=0,"","BI-"&amp;RIGHT("0000"&amp;(ROW()-5),4))</f>
        <v/>
      </c>
      <c r="B1950" s="72" t="n"/>
      <c r="C1950" s="66" t="n"/>
      <c r="D1950" s="67" t="str">
        <f>IF(C1950="","",IFERROR(INDEX(eq_des,MATCH(C1950,eq_code,0))&amp;"","Équipement inconnu"))</f>
        <v/>
      </c>
      <c r="E1950" s="68" t="n"/>
      <c r="F1950" s="68" t="n"/>
      <c r="G1950" s="66" t="n"/>
      <c r="H1950" s="66" t="n"/>
      <c r="I1950" s="68" t="n"/>
      <c r="J1950" s="73" t="n"/>
      <c r="K1950" s="71" t="n"/>
      <c r="L1950" s="71" t="n"/>
      <c r="M1950" s="66" t="n"/>
      <c r="N1950" s="80" t="n"/>
      <c r="O1950" s="81" t="str">
        <f>IF(A1950="","",ROUND(V1950*IFERROR(N(INDEX(tech_rate,MATCH(M1950,tech_name,0))),0),2))</f>
        <v/>
      </c>
      <c r="P1950" s="80" t="n"/>
      <c r="Q1950" s="81" t="str">
        <f>IF(A1950="","",ROUND(Y1950+O1950+Z1950,2))</f>
        <v/>
      </c>
      <c r="R1950" s="79" t="str">
        <f>IF(A1950="","",IF(S1950=0,"Date manquante ou invalide",IF(C1950="","Équipement manquant",IF(ISNA(MATCH(C1950,eq_code,0)),"Équipement inconnu",IF(E1950="","Type manquant",IF(AND(E1950&lt;&gt;"Préventif",E1950&lt;&gt;"Correctif",E1950&lt;&gt;"Amélioratif"),"Type inconnu",IF(I1950="","Statut manquant",IF(AND(I1950&lt;&gt;"Terminée",I1950&lt;&gt;"En cours",I1950&lt;&gt;"À faire",I1950&lt;&gt;"Annulée"),"Statut inconnu",IF(AND(E1950="Préventif",F1950=""),"Plan manquant (préventif)",IF(AND(F1950&lt;&gt;"",ISNA(MATCH(F1950,pl_num,0))),"Plan inconnu",IF(AND(F1950&lt;&gt;"",IFERROR(INDEX(pl_eq,MATCH(F1950,pl_num,0))&amp;"",C1950)&lt;&gt;C1950),"Plan d'un autre équipement",IF(AND(J1950&lt;&gt;"",OR(NOT(ISNUMBER(J1950)),N(J1950)&lt;0)),"Compteur invalide",IF(OR(AND(K1950&lt;&gt;"",OR(NOT(ISNUMBER(K1950)),N(K1950)&lt;0)),AND(L1950&lt;&gt;"",OR(NOT(ISNUMBER(L1950)),N(L1950)&lt;0))),"Durée invalide",IF(OR(AND(N1950&lt;&gt;"",OR(NOT(ISNUMBER(N1950)),N(N1950)&lt;0)),AND(P1950&lt;&gt;"",OR(NOT(ISNUMBER(P1950)),N(P1950)&lt;0))),"Coût invalide",IF(AND(M1950&lt;&gt;"",ISNA(MATCH(M1950,tech_name,0))),"Technicien inconnu",IF(AND(I1950="Terminée",S1950&gt;p_today),"Terminée à une date future",IF(AND(I1950="Terminée",V1950=0),"Durée d'intervention manquante",IF(AND(I1950="Terminée",E1950="Préventif",T1950=0,OR(IFERROR(INDEX(pl_trig,MATCH(F1950,pl_num,0))&amp;"","")="Compteur",IFERROR(INDEX(pl_trig,MATCH(F1950,pl_num,0))&amp;"","")="Au premier des deux")),"Compteur manquant (plan au compteur)","OK"))))))))))))))))))</f>
        <v/>
      </c>
      <c r="S1950" s="67">
        <f>IF(AND(ISNUMBER(B1950),N(B1950)&gt;0),INT(B1950),0)</f>
        <v>0.0</v>
      </c>
      <c r="T1950" s="67">
        <f>IF(AND(ISNUMBER(J1950),N(J1950)&gt;=0),N(J1950),0)</f>
        <v>0.0</v>
      </c>
      <c r="U1950" s="67">
        <f>IF(AND(ISNUMBER(K1950),N(K1950)&gt;0),N(K1950),0)</f>
        <v>0.0</v>
      </c>
      <c r="V1950" s="67">
        <f>IF(AND(ISNUMBER(L1950),N(L1950)&gt;0),N(L1950),0)</f>
        <v>0.0</v>
      </c>
      <c r="W1950" s="67">
        <f>IF(AND(I1950="Terminée",S1950&gt;0,C1950&lt;&gt;"",ISNUMBER(MATCH(C1950,eq_code,0))),1,0)</f>
        <v>0.0</v>
      </c>
      <c r="X1950" s="67">
        <f>IF(AND(W1950=1,E1950="Préventif"),1,0)</f>
        <v>0.0</v>
      </c>
      <c r="Y1950" s="67">
        <f>IF(AND(ISNUMBER(N1950),N(N1950)&gt;0),N(N1950),0)</f>
        <v>0.0</v>
      </c>
      <c r="Z1950" s="67">
        <f>IF(AND(ISNUMBER(P1950),N(P1950)&gt;0),N(P1950),0)</f>
        <v>0.0</v>
      </c>
    </row>
    <row r="1951">
      <c r="A1951" s="79" t="str">
        <f>IF(COUNTA(B1951:C1951,E1951:G1951,I1951)=0,"","BI-"&amp;RIGHT("0000"&amp;(ROW()-5),4))</f>
        <v/>
      </c>
      <c r="B1951" s="72" t="n"/>
      <c r="C1951" s="66" t="n"/>
      <c r="D1951" s="67" t="str">
        <f>IF(C1951="","",IFERROR(INDEX(eq_des,MATCH(C1951,eq_code,0))&amp;"","Équipement inconnu"))</f>
        <v/>
      </c>
      <c r="E1951" s="68" t="n"/>
      <c r="F1951" s="68" t="n"/>
      <c r="G1951" s="66" t="n"/>
      <c r="H1951" s="66" t="n"/>
      <c r="I1951" s="68" t="n"/>
      <c r="J1951" s="73" t="n"/>
      <c r="K1951" s="71" t="n"/>
      <c r="L1951" s="71" t="n"/>
      <c r="M1951" s="66" t="n"/>
      <c r="N1951" s="80" t="n"/>
      <c r="O1951" s="81" t="str">
        <f>IF(A1951="","",ROUND(V1951*IFERROR(N(INDEX(tech_rate,MATCH(M1951,tech_name,0))),0),2))</f>
        <v/>
      </c>
      <c r="P1951" s="80" t="n"/>
      <c r="Q1951" s="81" t="str">
        <f>IF(A1951="","",ROUND(Y1951+O1951+Z1951,2))</f>
        <v/>
      </c>
      <c r="R1951" s="79" t="str">
        <f>IF(A1951="","",IF(S1951=0,"Date manquante ou invalide",IF(C1951="","Équipement manquant",IF(ISNA(MATCH(C1951,eq_code,0)),"Équipement inconnu",IF(E1951="","Type manquant",IF(AND(E1951&lt;&gt;"Préventif",E1951&lt;&gt;"Correctif",E1951&lt;&gt;"Amélioratif"),"Type inconnu",IF(I1951="","Statut manquant",IF(AND(I1951&lt;&gt;"Terminée",I1951&lt;&gt;"En cours",I1951&lt;&gt;"À faire",I1951&lt;&gt;"Annulée"),"Statut inconnu",IF(AND(E1951="Préventif",F1951=""),"Plan manquant (préventif)",IF(AND(F1951&lt;&gt;"",ISNA(MATCH(F1951,pl_num,0))),"Plan inconnu",IF(AND(F1951&lt;&gt;"",IFERROR(INDEX(pl_eq,MATCH(F1951,pl_num,0))&amp;"",C1951)&lt;&gt;C1951),"Plan d'un autre équipement",IF(AND(J1951&lt;&gt;"",OR(NOT(ISNUMBER(J1951)),N(J1951)&lt;0)),"Compteur invalide",IF(OR(AND(K1951&lt;&gt;"",OR(NOT(ISNUMBER(K1951)),N(K1951)&lt;0)),AND(L1951&lt;&gt;"",OR(NOT(ISNUMBER(L1951)),N(L1951)&lt;0))),"Durée invalide",IF(OR(AND(N1951&lt;&gt;"",OR(NOT(ISNUMBER(N1951)),N(N1951)&lt;0)),AND(P1951&lt;&gt;"",OR(NOT(ISNUMBER(P1951)),N(P1951)&lt;0))),"Coût invalide",IF(AND(M1951&lt;&gt;"",ISNA(MATCH(M1951,tech_name,0))),"Technicien inconnu",IF(AND(I1951="Terminée",S1951&gt;p_today),"Terminée à une date future",IF(AND(I1951="Terminée",V1951=0),"Durée d'intervention manquante",IF(AND(I1951="Terminée",E1951="Préventif",T1951=0,OR(IFERROR(INDEX(pl_trig,MATCH(F1951,pl_num,0))&amp;"","")="Compteur",IFERROR(INDEX(pl_trig,MATCH(F1951,pl_num,0))&amp;"","")="Au premier des deux")),"Compteur manquant (plan au compteur)","OK"))))))))))))))))))</f>
        <v/>
      </c>
      <c r="S1951" s="67">
        <f>IF(AND(ISNUMBER(B1951),N(B1951)&gt;0),INT(B1951),0)</f>
        <v>0.0</v>
      </c>
      <c r="T1951" s="67">
        <f>IF(AND(ISNUMBER(J1951),N(J1951)&gt;=0),N(J1951),0)</f>
        <v>0.0</v>
      </c>
      <c r="U1951" s="67">
        <f>IF(AND(ISNUMBER(K1951),N(K1951)&gt;0),N(K1951),0)</f>
        <v>0.0</v>
      </c>
      <c r="V1951" s="67">
        <f>IF(AND(ISNUMBER(L1951),N(L1951)&gt;0),N(L1951),0)</f>
        <v>0.0</v>
      </c>
      <c r="W1951" s="67">
        <f>IF(AND(I1951="Terminée",S1951&gt;0,C1951&lt;&gt;"",ISNUMBER(MATCH(C1951,eq_code,0))),1,0)</f>
        <v>0.0</v>
      </c>
      <c r="X1951" s="67">
        <f>IF(AND(W1951=1,E1951="Préventif"),1,0)</f>
        <v>0.0</v>
      </c>
      <c r="Y1951" s="67">
        <f>IF(AND(ISNUMBER(N1951),N(N1951)&gt;0),N(N1951),0)</f>
        <v>0.0</v>
      </c>
      <c r="Z1951" s="67">
        <f>IF(AND(ISNUMBER(P1951),N(P1951)&gt;0),N(P1951),0)</f>
        <v>0.0</v>
      </c>
    </row>
    <row r="1952">
      <c r="A1952" s="79" t="str">
        <f>IF(COUNTA(B1952:C1952,E1952:G1952,I1952)=0,"","BI-"&amp;RIGHT("0000"&amp;(ROW()-5),4))</f>
        <v/>
      </c>
      <c r="B1952" s="72" t="n"/>
      <c r="C1952" s="66" t="n"/>
      <c r="D1952" s="67" t="str">
        <f>IF(C1952="","",IFERROR(INDEX(eq_des,MATCH(C1952,eq_code,0))&amp;"","Équipement inconnu"))</f>
        <v/>
      </c>
      <c r="E1952" s="68" t="n"/>
      <c r="F1952" s="68" t="n"/>
      <c r="G1952" s="66" t="n"/>
      <c r="H1952" s="66" t="n"/>
      <c r="I1952" s="68" t="n"/>
      <c r="J1952" s="73" t="n"/>
      <c r="K1952" s="71" t="n"/>
      <c r="L1952" s="71" t="n"/>
      <c r="M1952" s="66" t="n"/>
      <c r="N1952" s="80" t="n"/>
      <c r="O1952" s="81" t="str">
        <f>IF(A1952="","",ROUND(V1952*IFERROR(N(INDEX(tech_rate,MATCH(M1952,tech_name,0))),0),2))</f>
        <v/>
      </c>
      <c r="P1952" s="80" t="n"/>
      <c r="Q1952" s="81" t="str">
        <f>IF(A1952="","",ROUND(Y1952+O1952+Z1952,2))</f>
        <v/>
      </c>
      <c r="R1952" s="79" t="str">
        <f>IF(A1952="","",IF(S1952=0,"Date manquante ou invalide",IF(C1952="","Équipement manquant",IF(ISNA(MATCH(C1952,eq_code,0)),"Équipement inconnu",IF(E1952="","Type manquant",IF(AND(E1952&lt;&gt;"Préventif",E1952&lt;&gt;"Correctif",E1952&lt;&gt;"Amélioratif"),"Type inconnu",IF(I1952="","Statut manquant",IF(AND(I1952&lt;&gt;"Terminée",I1952&lt;&gt;"En cours",I1952&lt;&gt;"À faire",I1952&lt;&gt;"Annulée"),"Statut inconnu",IF(AND(E1952="Préventif",F1952=""),"Plan manquant (préventif)",IF(AND(F1952&lt;&gt;"",ISNA(MATCH(F1952,pl_num,0))),"Plan inconnu",IF(AND(F1952&lt;&gt;"",IFERROR(INDEX(pl_eq,MATCH(F1952,pl_num,0))&amp;"",C1952)&lt;&gt;C1952),"Plan d'un autre équipement",IF(AND(J1952&lt;&gt;"",OR(NOT(ISNUMBER(J1952)),N(J1952)&lt;0)),"Compteur invalide",IF(OR(AND(K1952&lt;&gt;"",OR(NOT(ISNUMBER(K1952)),N(K1952)&lt;0)),AND(L1952&lt;&gt;"",OR(NOT(ISNUMBER(L1952)),N(L1952)&lt;0))),"Durée invalide",IF(OR(AND(N1952&lt;&gt;"",OR(NOT(ISNUMBER(N1952)),N(N1952)&lt;0)),AND(P1952&lt;&gt;"",OR(NOT(ISNUMBER(P1952)),N(P1952)&lt;0))),"Coût invalide",IF(AND(M1952&lt;&gt;"",ISNA(MATCH(M1952,tech_name,0))),"Technicien inconnu",IF(AND(I1952="Terminée",S1952&gt;p_today),"Terminée à une date future",IF(AND(I1952="Terminée",V1952=0),"Durée d'intervention manquante",IF(AND(I1952="Terminée",E1952="Préventif",T1952=0,OR(IFERROR(INDEX(pl_trig,MATCH(F1952,pl_num,0))&amp;"","")="Compteur",IFERROR(INDEX(pl_trig,MATCH(F1952,pl_num,0))&amp;"","")="Au premier des deux")),"Compteur manquant (plan au compteur)","OK"))))))))))))))))))</f>
        <v/>
      </c>
      <c r="S1952" s="67">
        <f>IF(AND(ISNUMBER(B1952),N(B1952)&gt;0),INT(B1952),0)</f>
        <v>0.0</v>
      </c>
      <c r="T1952" s="67">
        <f>IF(AND(ISNUMBER(J1952),N(J1952)&gt;=0),N(J1952),0)</f>
        <v>0.0</v>
      </c>
      <c r="U1952" s="67">
        <f>IF(AND(ISNUMBER(K1952),N(K1952)&gt;0),N(K1952),0)</f>
        <v>0.0</v>
      </c>
      <c r="V1952" s="67">
        <f>IF(AND(ISNUMBER(L1952),N(L1952)&gt;0),N(L1952),0)</f>
        <v>0.0</v>
      </c>
      <c r="W1952" s="67">
        <f>IF(AND(I1952="Terminée",S1952&gt;0,C1952&lt;&gt;"",ISNUMBER(MATCH(C1952,eq_code,0))),1,0)</f>
        <v>0.0</v>
      </c>
      <c r="X1952" s="67">
        <f>IF(AND(W1952=1,E1952="Préventif"),1,0)</f>
        <v>0.0</v>
      </c>
      <c r="Y1952" s="67">
        <f>IF(AND(ISNUMBER(N1952),N(N1952)&gt;0),N(N1952),0)</f>
        <v>0.0</v>
      </c>
      <c r="Z1952" s="67">
        <f>IF(AND(ISNUMBER(P1952),N(P1952)&gt;0),N(P1952),0)</f>
        <v>0.0</v>
      </c>
    </row>
    <row r="1953">
      <c r="A1953" s="79" t="str">
        <f>IF(COUNTA(B1953:C1953,E1953:G1953,I1953)=0,"","BI-"&amp;RIGHT("0000"&amp;(ROW()-5),4))</f>
        <v/>
      </c>
      <c r="B1953" s="72" t="n"/>
      <c r="C1953" s="66" t="n"/>
      <c r="D1953" s="67" t="str">
        <f>IF(C1953="","",IFERROR(INDEX(eq_des,MATCH(C1953,eq_code,0))&amp;"","Équipement inconnu"))</f>
        <v/>
      </c>
      <c r="E1953" s="68" t="n"/>
      <c r="F1953" s="68" t="n"/>
      <c r="G1953" s="66" t="n"/>
      <c r="H1953" s="66" t="n"/>
      <c r="I1953" s="68" t="n"/>
      <c r="J1953" s="73" t="n"/>
      <c r="K1953" s="71" t="n"/>
      <c r="L1953" s="71" t="n"/>
      <c r="M1953" s="66" t="n"/>
      <c r="N1953" s="80" t="n"/>
      <c r="O1953" s="81" t="str">
        <f>IF(A1953="","",ROUND(V1953*IFERROR(N(INDEX(tech_rate,MATCH(M1953,tech_name,0))),0),2))</f>
        <v/>
      </c>
      <c r="P1953" s="80" t="n"/>
      <c r="Q1953" s="81" t="str">
        <f>IF(A1953="","",ROUND(Y1953+O1953+Z1953,2))</f>
        <v/>
      </c>
      <c r="R1953" s="79" t="str">
        <f>IF(A1953="","",IF(S1953=0,"Date manquante ou invalide",IF(C1953="","Équipement manquant",IF(ISNA(MATCH(C1953,eq_code,0)),"Équipement inconnu",IF(E1953="","Type manquant",IF(AND(E1953&lt;&gt;"Préventif",E1953&lt;&gt;"Correctif",E1953&lt;&gt;"Amélioratif"),"Type inconnu",IF(I1953="","Statut manquant",IF(AND(I1953&lt;&gt;"Terminée",I1953&lt;&gt;"En cours",I1953&lt;&gt;"À faire",I1953&lt;&gt;"Annulée"),"Statut inconnu",IF(AND(E1953="Préventif",F1953=""),"Plan manquant (préventif)",IF(AND(F1953&lt;&gt;"",ISNA(MATCH(F1953,pl_num,0))),"Plan inconnu",IF(AND(F1953&lt;&gt;"",IFERROR(INDEX(pl_eq,MATCH(F1953,pl_num,0))&amp;"",C1953)&lt;&gt;C1953),"Plan d'un autre équipement",IF(AND(J1953&lt;&gt;"",OR(NOT(ISNUMBER(J1953)),N(J1953)&lt;0)),"Compteur invalide",IF(OR(AND(K1953&lt;&gt;"",OR(NOT(ISNUMBER(K1953)),N(K1953)&lt;0)),AND(L1953&lt;&gt;"",OR(NOT(ISNUMBER(L1953)),N(L1953)&lt;0))),"Durée invalide",IF(OR(AND(N1953&lt;&gt;"",OR(NOT(ISNUMBER(N1953)),N(N1953)&lt;0)),AND(P1953&lt;&gt;"",OR(NOT(ISNUMBER(P1953)),N(P1953)&lt;0))),"Coût invalide",IF(AND(M1953&lt;&gt;"",ISNA(MATCH(M1953,tech_name,0))),"Technicien inconnu",IF(AND(I1953="Terminée",S1953&gt;p_today),"Terminée à une date future",IF(AND(I1953="Terminée",V1953=0),"Durée d'intervention manquante",IF(AND(I1953="Terminée",E1953="Préventif",T1953=0,OR(IFERROR(INDEX(pl_trig,MATCH(F1953,pl_num,0))&amp;"","")="Compteur",IFERROR(INDEX(pl_trig,MATCH(F1953,pl_num,0))&amp;"","")="Au premier des deux")),"Compteur manquant (plan au compteur)","OK"))))))))))))))))))</f>
        <v/>
      </c>
      <c r="S1953" s="67">
        <f>IF(AND(ISNUMBER(B1953),N(B1953)&gt;0),INT(B1953),0)</f>
        <v>0.0</v>
      </c>
      <c r="T1953" s="67">
        <f>IF(AND(ISNUMBER(J1953),N(J1953)&gt;=0),N(J1953),0)</f>
        <v>0.0</v>
      </c>
      <c r="U1953" s="67">
        <f>IF(AND(ISNUMBER(K1953),N(K1953)&gt;0),N(K1953),0)</f>
        <v>0.0</v>
      </c>
      <c r="V1953" s="67">
        <f>IF(AND(ISNUMBER(L1953),N(L1953)&gt;0),N(L1953),0)</f>
        <v>0.0</v>
      </c>
      <c r="W1953" s="67">
        <f>IF(AND(I1953="Terminée",S1953&gt;0,C1953&lt;&gt;"",ISNUMBER(MATCH(C1953,eq_code,0))),1,0)</f>
        <v>0.0</v>
      </c>
      <c r="X1953" s="67">
        <f>IF(AND(W1953=1,E1953="Préventif"),1,0)</f>
        <v>0.0</v>
      </c>
      <c r="Y1953" s="67">
        <f>IF(AND(ISNUMBER(N1953),N(N1953)&gt;0),N(N1953),0)</f>
        <v>0.0</v>
      </c>
      <c r="Z1953" s="67">
        <f>IF(AND(ISNUMBER(P1953),N(P1953)&gt;0),N(P1953),0)</f>
        <v>0.0</v>
      </c>
    </row>
    <row r="1954">
      <c r="A1954" s="79" t="str">
        <f>IF(COUNTA(B1954:C1954,E1954:G1954,I1954)=0,"","BI-"&amp;RIGHT("0000"&amp;(ROW()-5),4))</f>
        <v/>
      </c>
      <c r="B1954" s="72" t="n"/>
      <c r="C1954" s="66" t="n"/>
      <c r="D1954" s="67" t="str">
        <f>IF(C1954="","",IFERROR(INDEX(eq_des,MATCH(C1954,eq_code,0))&amp;"","Équipement inconnu"))</f>
        <v/>
      </c>
      <c r="E1954" s="68" t="n"/>
      <c r="F1954" s="68" t="n"/>
      <c r="G1954" s="66" t="n"/>
      <c r="H1954" s="66" t="n"/>
      <c r="I1954" s="68" t="n"/>
      <c r="J1954" s="73" t="n"/>
      <c r="K1954" s="71" t="n"/>
      <c r="L1954" s="71" t="n"/>
      <c r="M1954" s="66" t="n"/>
      <c r="N1954" s="80" t="n"/>
      <c r="O1954" s="81" t="str">
        <f>IF(A1954="","",ROUND(V1954*IFERROR(N(INDEX(tech_rate,MATCH(M1954,tech_name,0))),0),2))</f>
        <v/>
      </c>
      <c r="P1954" s="80" t="n"/>
      <c r="Q1954" s="81" t="str">
        <f>IF(A1954="","",ROUND(Y1954+O1954+Z1954,2))</f>
        <v/>
      </c>
      <c r="R1954" s="79" t="str">
        <f>IF(A1954="","",IF(S1954=0,"Date manquante ou invalide",IF(C1954="","Équipement manquant",IF(ISNA(MATCH(C1954,eq_code,0)),"Équipement inconnu",IF(E1954="","Type manquant",IF(AND(E1954&lt;&gt;"Préventif",E1954&lt;&gt;"Correctif",E1954&lt;&gt;"Amélioratif"),"Type inconnu",IF(I1954="","Statut manquant",IF(AND(I1954&lt;&gt;"Terminée",I1954&lt;&gt;"En cours",I1954&lt;&gt;"À faire",I1954&lt;&gt;"Annulée"),"Statut inconnu",IF(AND(E1954="Préventif",F1954=""),"Plan manquant (préventif)",IF(AND(F1954&lt;&gt;"",ISNA(MATCH(F1954,pl_num,0))),"Plan inconnu",IF(AND(F1954&lt;&gt;"",IFERROR(INDEX(pl_eq,MATCH(F1954,pl_num,0))&amp;"",C1954)&lt;&gt;C1954),"Plan d'un autre équipement",IF(AND(J1954&lt;&gt;"",OR(NOT(ISNUMBER(J1954)),N(J1954)&lt;0)),"Compteur invalide",IF(OR(AND(K1954&lt;&gt;"",OR(NOT(ISNUMBER(K1954)),N(K1954)&lt;0)),AND(L1954&lt;&gt;"",OR(NOT(ISNUMBER(L1954)),N(L1954)&lt;0))),"Durée invalide",IF(OR(AND(N1954&lt;&gt;"",OR(NOT(ISNUMBER(N1954)),N(N1954)&lt;0)),AND(P1954&lt;&gt;"",OR(NOT(ISNUMBER(P1954)),N(P1954)&lt;0))),"Coût invalide",IF(AND(M1954&lt;&gt;"",ISNA(MATCH(M1954,tech_name,0))),"Technicien inconnu",IF(AND(I1954="Terminée",S1954&gt;p_today),"Terminée à une date future",IF(AND(I1954="Terminée",V1954=0),"Durée d'intervention manquante",IF(AND(I1954="Terminée",E1954="Préventif",T1954=0,OR(IFERROR(INDEX(pl_trig,MATCH(F1954,pl_num,0))&amp;"","")="Compteur",IFERROR(INDEX(pl_trig,MATCH(F1954,pl_num,0))&amp;"","")="Au premier des deux")),"Compteur manquant (plan au compteur)","OK"))))))))))))))))))</f>
        <v/>
      </c>
      <c r="S1954" s="67">
        <f>IF(AND(ISNUMBER(B1954),N(B1954)&gt;0),INT(B1954),0)</f>
        <v>0.0</v>
      </c>
      <c r="T1954" s="67">
        <f>IF(AND(ISNUMBER(J1954),N(J1954)&gt;=0),N(J1954),0)</f>
        <v>0.0</v>
      </c>
      <c r="U1954" s="67">
        <f>IF(AND(ISNUMBER(K1954),N(K1954)&gt;0),N(K1954),0)</f>
        <v>0.0</v>
      </c>
      <c r="V1954" s="67">
        <f>IF(AND(ISNUMBER(L1954),N(L1954)&gt;0),N(L1954),0)</f>
        <v>0.0</v>
      </c>
      <c r="W1954" s="67">
        <f>IF(AND(I1954="Terminée",S1954&gt;0,C1954&lt;&gt;"",ISNUMBER(MATCH(C1954,eq_code,0))),1,0)</f>
        <v>0.0</v>
      </c>
      <c r="X1954" s="67">
        <f>IF(AND(W1954=1,E1954="Préventif"),1,0)</f>
        <v>0.0</v>
      </c>
      <c r="Y1954" s="67">
        <f>IF(AND(ISNUMBER(N1954),N(N1954)&gt;0),N(N1954),0)</f>
        <v>0.0</v>
      </c>
      <c r="Z1954" s="67">
        <f>IF(AND(ISNUMBER(P1954),N(P1954)&gt;0),N(P1954),0)</f>
        <v>0.0</v>
      </c>
    </row>
    <row r="1955">
      <c r="A1955" s="79" t="str">
        <f>IF(COUNTA(B1955:C1955,E1955:G1955,I1955)=0,"","BI-"&amp;RIGHT("0000"&amp;(ROW()-5),4))</f>
        <v/>
      </c>
      <c r="B1955" s="72" t="n"/>
      <c r="C1955" s="66" t="n"/>
      <c r="D1955" s="67" t="str">
        <f>IF(C1955="","",IFERROR(INDEX(eq_des,MATCH(C1955,eq_code,0))&amp;"","Équipement inconnu"))</f>
        <v/>
      </c>
      <c r="E1955" s="68" t="n"/>
      <c r="F1955" s="68" t="n"/>
      <c r="G1955" s="66" t="n"/>
      <c r="H1955" s="66" t="n"/>
      <c r="I1955" s="68" t="n"/>
      <c r="J1955" s="73" t="n"/>
      <c r="K1955" s="71" t="n"/>
      <c r="L1955" s="71" t="n"/>
      <c r="M1955" s="66" t="n"/>
      <c r="N1955" s="80" t="n"/>
      <c r="O1955" s="81" t="str">
        <f>IF(A1955="","",ROUND(V1955*IFERROR(N(INDEX(tech_rate,MATCH(M1955,tech_name,0))),0),2))</f>
        <v/>
      </c>
      <c r="P1955" s="80" t="n"/>
      <c r="Q1955" s="81" t="str">
        <f>IF(A1955="","",ROUND(Y1955+O1955+Z1955,2))</f>
        <v/>
      </c>
      <c r="R1955" s="79" t="str">
        <f>IF(A1955="","",IF(S1955=0,"Date manquante ou invalide",IF(C1955="","Équipement manquant",IF(ISNA(MATCH(C1955,eq_code,0)),"Équipement inconnu",IF(E1955="","Type manquant",IF(AND(E1955&lt;&gt;"Préventif",E1955&lt;&gt;"Correctif",E1955&lt;&gt;"Amélioratif"),"Type inconnu",IF(I1955="","Statut manquant",IF(AND(I1955&lt;&gt;"Terminée",I1955&lt;&gt;"En cours",I1955&lt;&gt;"À faire",I1955&lt;&gt;"Annulée"),"Statut inconnu",IF(AND(E1955="Préventif",F1955=""),"Plan manquant (préventif)",IF(AND(F1955&lt;&gt;"",ISNA(MATCH(F1955,pl_num,0))),"Plan inconnu",IF(AND(F1955&lt;&gt;"",IFERROR(INDEX(pl_eq,MATCH(F1955,pl_num,0))&amp;"",C1955)&lt;&gt;C1955),"Plan d'un autre équipement",IF(AND(J1955&lt;&gt;"",OR(NOT(ISNUMBER(J1955)),N(J1955)&lt;0)),"Compteur invalide",IF(OR(AND(K1955&lt;&gt;"",OR(NOT(ISNUMBER(K1955)),N(K1955)&lt;0)),AND(L1955&lt;&gt;"",OR(NOT(ISNUMBER(L1955)),N(L1955)&lt;0))),"Durée invalide",IF(OR(AND(N1955&lt;&gt;"",OR(NOT(ISNUMBER(N1955)),N(N1955)&lt;0)),AND(P1955&lt;&gt;"",OR(NOT(ISNUMBER(P1955)),N(P1955)&lt;0))),"Coût invalide",IF(AND(M1955&lt;&gt;"",ISNA(MATCH(M1955,tech_name,0))),"Technicien inconnu",IF(AND(I1955="Terminée",S1955&gt;p_today),"Terminée à une date future",IF(AND(I1955="Terminée",V1955=0),"Durée d'intervention manquante",IF(AND(I1955="Terminée",E1955="Préventif",T1955=0,OR(IFERROR(INDEX(pl_trig,MATCH(F1955,pl_num,0))&amp;"","")="Compteur",IFERROR(INDEX(pl_trig,MATCH(F1955,pl_num,0))&amp;"","")="Au premier des deux")),"Compteur manquant (plan au compteur)","OK"))))))))))))))))))</f>
        <v/>
      </c>
      <c r="S1955" s="67">
        <f>IF(AND(ISNUMBER(B1955),N(B1955)&gt;0),INT(B1955),0)</f>
        <v>0.0</v>
      </c>
      <c r="T1955" s="67">
        <f>IF(AND(ISNUMBER(J1955),N(J1955)&gt;=0),N(J1955),0)</f>
        <v>0.0</v>
      </c>
      <c r="U1955" s="67">
        <f>IF(AND(ISNUMBER(K1955),N(K1955)&gt;0),N(K1955),0)</f>
        <v>0.0</v>
      </c>
      <c r="V1955" s="67">
        <f>IF(AND(ISNUMBER(L1955),N(L1955)&gt;0),N(L1955),0)</f>
        <v>0.0</v>
      </c>
      <c r="W1955" s="67">
        <f>IF(AND(I1955="Terminée",S1955&gt;0,C1955&lt;&gt;"",ISNUMBER(MATCH(C1955,eq_code,0))),1,0)</f>
        <v>0.0</v>
      </c>
      <c r="X1955" s="67">
        <f>IF(AND(W1955=1,E1955="Préventif"),1,0)</f>
        <v>0.0</v>
      </c>
      <c r="Y1955" s="67">
        <f>IF(AND(ISNUMBER(N1955),N(N1955)&gt;0),N(N1955),0)</f>
        <v>0.0</v>
      </c>
      <c r="Z1955" s="67">
        <f>IF(AND(ISNUMBER(P1955),N(P1955)&gt;0),N(P1955),0)</f>
        <v>0.0</v>
      </c>
    </row>
    <row r="1956">
      <c r="A1956" s="79" t="str">
        <f>IF(COUNTA(B1956:C1956,E1956:G1956,I1956)=0,"","BI-"&amp;RIGHT("0000"&amp;(ROW()-5),4))</f>
        <v/>
      </c>
      <c r="B1956" s="72" t="n"/>
      <c r="C1956" s="66" t="n"/>
      <c r="D1956" s="67" t="str">
        <f>IF(C1956="","",IFERROR(INDEX(eq_des,MATCH(C1956,eq_code,0))&amp;"","Équipement inconnu"))</f>
        <v/>
      </c>
      <c r="E1956" s="68" t="n"/>
      <c r="F1956" s="68" t="n"/>
      <c r="G1956" s="66" t="n"/>
      <c r="H1956" s="66" t="n"/>
      <c r="I1956" s="68" t="n"/>
      <c r="J1956" s="73" t="n"/>
      <c r="K1956" s="71" t="n"/>
      <c r="L1956" s="71" t="n"/>
      <c r="M1956" s="66" t="n"/>
      <c r="N1956" s="80" t="n"/>
      <c r="O1956" s="81" t="str">
        <f>IF(A1956="","",ROUND(V1956*IFERROR(N(INDEX(tech_rate,MATCH(M1956,tech_name,0))),0),2))</f>
        <v/>
      </c>
      <c r="P1956" s="80" t="n"/>
      <c r="Q1956" s="81" t="str">
        <f>IF(A1956="","",ROUND(Y1956+O1956+Z1956,2))</f>
        <v/>
      </c>
      <c r="R1956" s="79" t="str">
        <f>IF(A1956="","",IF(S1956=0,"Date manquante ou invalide",IF(C1956="","Équipement manquant",IF(ISNA(MATCH(C1956,eq_code,0)),"Équipement inconnu",IF(E1956="","Type manquant",IF(AND(E1956&lt;&gt;"Préventif",E1956&lt;&gt;"Correctif",E1956&lt;&gt;"Amélioratif"),"Type inconnu",IF(I1956="","Statut manquant",IF(AND(I1956&lt;&gt;"Terminée",I1956&lt;&gt;"En cours",I1956&lt;&gt;"À faire",I1956&lt;&gt;"Annulée"),"Statut inconnu",IF(AND(E1956="Préventif",F1956=""),"Plan manquant (préventif)",IF(AND(F1956&lt;&gt;"",ISNA(MATCH(F1956,pl_num,0))),"Plan inconnu",IF(AND(F1956&lt;&gt;"",IFERROR(INDEX(pl_eq,MATCH(F1956,pl_num,0))&amp;"",C1956)&lt;&gt;C1956),"Plan d'un autre équipement",IF(AND(J1956&lt;&gt;"",OR(NOT(ISNUMBER(J1956)),N(J1956)&lt;0)),"Compteur invalide",IF(OR(AND(K1956&lt;&gt;"",OR(NOT(ISNUMBER(K1956)),N(K1956)&lt;0)),AND(L1956&lt;&gt;"",OR(NOT(ISNUMBER(L1956)),N(L1956)&lt;0))),"Durée invalide",IF(OR(AND(N1956&lt;&gt;"",OR(NOT(ISNUMBER(N1956)),N(N1956)&lt;0)),AND(P1956&lt;&gt;"",OR(NOT(ISNUMBER(P1956)),N(P1956)&lt;0))),"Coût invalide",IF(AND(M1956&lt;&gt;"",ISNA(MATCH(M1956,tech_name,0))),"Technicien inconnu",IF(AND(I1956="Terminée",S1956&gt;p_today),"Terminée à une date future",IF(AND(I1956="Terminée",V1956=0),"Durée d'intervention manquante",IF(AND(I1956="Terminée",E1956="Préventif",T1956=0,OR(IFERROR(INDEX(pl_trig,MATCH(F1956,pl_num,0))&amp;"","")="Compteur",IFERROR(INDEX(pl_trig,MATCH(F1956,pl_num,0))&amp;"","")="Au premier des deux")),"Compteur manquant (plan au compteur)","OK"))))))))))))))))))</f>
        <v/>
      </c>
      <c r="S1956" s="67">
        <f>IF(AND(ISNUMBER(B1956),N(B1956)&gt;0),INT(B1956),0)</f>
        <v>0.0</v>
      </c>
      <c r="T1956" s="67">
        <f>IF(AND(ISNUMBER(J1956),N(J1956)&gt;=0),N(J1956),0)</f>
        <v>0.0</v>
      </c>
      <c r="U1956" s="67">
        <f>IF(AND(ISNUMBER(K1956),N(K1956)&gt;0),N(K1956),0)</f>
        <v>0.0</v>
      </c>
      <c r="V1956" s="67">
        <f>IF(AND(ISNUMBER(L1956),N(L1956)&gt;0),N(L1956),0)</f>
        <v>0.0</v>
      </c>
      <c r="W1956" s="67">
        <f>IF(AND(I1956="Terminée",S1956&gt;0,C1956&lt;&gt;"",ISNUMBER(MATCH(C1956,eq_code,0))),1,0)</f>
        <v>0.0</v>
      </c>
      <c r="X1956" s="67">
        <f>IF(AND(W1956=1,E1956="Préventif"),1,0)</f>
        <v>0.0</v>
      </c>
      <c r="Y1956" s="67">
        <f>IF(AND(ISNUMBER(N1956),N(N1956)&gt;0),N(N1956),0)</f>
        <v>0.0</v>
      </c>
      <c r="Z1956" s="67">
        <f>IF(AND(ISNUMBER(P1956),N(P1956)&gt;0),N(P1956),0)</f>
        <v>0.0</v>
      </c>
    </row>
    <row r="1957">
      <c r="A1957" s="79" t="str">
        <f>IF(COUNTA(B1957:C1957,E1957:G1957,I1957)=0,"","BI-"&amp;RIGHT("0000"&amp;(ROW()-5),4))</f>
        <v/>
      </c>
      <c r="B1957" s="72" t="n"/>
      <c r="C1957" s="66" t="n"/>
      <c r="D1957" s="67" t="str">
        <f>IF(C1957="","",IFERROR(INDEX(eq_des,MATCH(C1957,eq_code,0))&amp;"","Équipement inconnu"))</f>
        <v/>
      </c>
      <c r="E1957" s="68" t="n"/>
      <c r="F1957" s="68" t="n"/>
      <c r="G1957" s="66" t="n"/>
      <c r="H1957" s="66" t="n"/>
      <c r="I1957" s="68" t="n"/>
      <c r="J1957" s="73" t="n"/>
      <c r="K1957" s="71" t="n"/>
      <c r="L1957" s="71" t="n"/>
      <c r="M1957" s="66" t="n"/>
      <c r="N1957" s="80" t="n"/>
      <c r="O1957" s="81" t="str">
        <f>IF(A1957="","",ROUND(V1957*IFERROR(N(INDEX(tech_rate,MATCH(M1957,tech_name,0))),0),2))</f>
        <v/>
      </c>
      <c r="P1957" s="80" t="n"/>
      <c r="Q1957" s="81" t="str">
        <f>IF(A1957="","",ROUND(Y1957+O1957+Z1957,2))</f>
        <v/>
      </c>
      <c r="R1957" s="79" t="str">
        <f>IF(A1957="","",IF(S1957=0,"Date manquante ou invalide",IF(C1957="","Équipement manquant",IF(ISNA(MATCH(C1957,eq_code,0)),"Équipement inconnu",IF(E1957="","Type manquant",IF(AND(E1957&lt;&gt;"Préventif",E1957&lt;&gt;"Correctif",E1957&lt;&gt;"Amélioratif"),"Type inconnu",IF(I1957="","Statut manquant",IF(AND(I1957&lt;&gt;"Terminée",I1957&lt;&gt;"En cours",I1957&lt;&gt;"À faire",I1957&lt;&gt;"Annulée"),"Statut inconnu",IF(AND(E1957="Préventif",F1957=""),"Plan manquant (préventif)",IF(AND(F1957&lt;&gt;"",ISNA(MATCH(F1957,pl_num,0))),"Plan inconnu",IF(AND(F1957&lt;&gt;"",IFERROR(INDEX(pl_eq,MATCH(F1957,pl_num,0))&amp;"",C1957)&lt;&gt;C1957),"Plan d'un autre équipement",IF(AND(J1957&lt;&gt;"",OR(NOT(ISNUMBER(J1957)),N(J1957)&lt;0)),"Compteur invalide",IF(OR(AND(K1957&lt;&gt;"",OR(NOT(ISNUMBER(K1957)),N(K1957)&lt;0)),AND(L1957&lt;&gt;"",OR(NOT(ISNUMBER(L1957)),N(L1957)&lt;0))),"Durée invalide",IF(OR(AND(N1957&lt;&gt;"",OR(NOT(ISNUMBER(N1957)),N(N1957)&lt;0)),AND(P1957&lt;&gt;"",OR(NOT(ISNUMBER(P1957)),N(P1957)&lt;0))),"Coût invalide",IF(AND(M1957&lt;&gt;"",ISNA(MATCH(M1957,tech_name,0))),"Technicien inconnu",IF(AND(I1957="Terminée",S1957&gt;p_today),"Terminée à une date future",IF(AND(I1957="Terminée",V1957=0),"Durée d'intervention manquante",IF(AND(I1957="Terminée",E1957="Préventif",T1957=0,OR(IFERROR(INDEX(pl_trig,MATCH(F1957,pl_num,0))&amp;"","")="Compteur",IFERROR(INDEX(pl_trig,MATCH(F1957,pl_num,0))&amp;"","")="Au premier des deux")),"Compteur manquant (plan au compteur)","OK"))))))))))))))))))</f>
        <v/>
      </c>
      <c r="S1957" s="67">
        <f>IF(AND(ISNUMBER(B1957),N(B1957)&gt;0),INT(B1957),0)</f>
        <v>0.0</v>
      </c>
      <c r="T1957" s="67">
        <f>IF(AND(ISNUMBER(J1957),N(J1957)&gt;=0),N(J1957),0)</f>
        <v>0.0</v>
      </c>
      <c r="U1957" s="67">
        <f>IF(AND(ISNUMBER(K1957),N(K1957)&gt;0),N(K1957),0)</f>
        <v>0.0</v>
      </c>
      <c r="V1957" s="67">
        <f>IF(AND(ISNUMBER(L1957),N(L1957)&gt;0),N(L1957),0)</f>
        <v>0.0</v>
      </c>
      <c r="W1957" s="67">
        <f>IF(AND(I1957="Terminée",S1957&gt;0,C1957&lt;&gt;"",ISNUMBER(MATCH(C1957,eq_code,0))),1,0)</f>
        <v>0.0</v>
      </c>
      <c r="X1957" s="67">
        <f>IF(AND(W1957=1,E1957="Préventif"),1,0)</f>
        <v>0.0</v>
      </c>
      <c r="Y1957" s="67">
        <f>IF(AND(ISNUMBER(N1957),N(N1957)&gt;0),N(N1957),0)</f>
        <v>0.0</v>
      </c>
      <c r="Z1957" s="67">
        <f>IF(AND(ISNUMBER(P1957),N(P1957)&gt;0),N(P1957),0)</f>
        <v>0.0</v>
      </c>
    </row>
    <row r="1958">
      <c r="A1958" s="79" t="str">
        <f>IF(COUNTA(B1958:C1958,E1958:G1958,I1958)=0,"","BI-"&amp;RIGHT("0000"&amp;(ROW()-5),4))</f>
        <v/>
      </c>
      <c r="B1958" s="72" t="n"/>
      <c r="C1958" s="66" t="n"/>
      <c r="D1958" s="67" t="str">
        <f>IF(C1958="","",IFERROR(INDEX(eq_des,MATCH(C1958,eq_code,0))&amp;"","Équipement inconnu"))</f>
        <v/>
      </c>
      <c r="E1958" s="68" t="n"/>
      <c r="F1958" s="68" t="n"/>
      <c r="G1958" s="66" t="n"/>
      <c r="H1958" s="66" t="n"/>
      <c r="I1958" s="68" t="n"/>
      <c r="J1958" s="73" t="n"/>
      <c r="K1958" s="71" t="n"/>
      <c r="L1958" s="71" t="n"/>
      <c r="M1958" s="66" t="n"/>
      <c r="N1958" s="80" t="n"/>
      <c r="O1958" s="81" t="str">
        <f>IF(A1958="","",ROUND(V1958*IFERROR(N(INDEX(tech_rate,MATCH(M1958,tech_name,0))),0),2))</f>
        <v/>
      </c>
      <c r="P1958" s="80" t="n"/>
      <c r="Q1958" s="81" t="str">
        <f>IF(A1958="","",ROUND(Y1958+O1958+Z1958,2))</f>
        <v/>
      </c>
      <c r="R1958" s="79" t="str">
        <f>IF(A1958="","",IF(S1958=0,"Date manquante ou invalide",IF(C1958="","Équipement manquant",IF(ISNA(MATCH(C1958,eq_code,0)),"Équipement inconnu",IF(E1958="","Type manquant",IF(AND(E1958&lt;&gt;"Préventif",E1958&lt;&gt;"Correctif",E1958&lt;&gt;"Amélioratif"),"Type inconnu",IF(I1958="","Statut manquant",IF(AND(I1958&lt;&gt;"Terminée",I1958&lt;&gt;"En cours",I1958&lt;&gt;"À faire",I1958&lt;&gt;"Annulée"),"Statut inconnu",IF(AND(E1958="Préventif",F1958=""),"Plan manquant (préventif)",IF(AND(F1958&lt;&gt;"",ISNA(MATCH(F1958,pl_num,0))),"Plan inconnu",IF(AND(F1958&lt;&gt;"",IFERROR(INDEX(pl_eq,MATCH(F1958,pl_num,0))&amp;"",C1958)&lt;&gt;C1958),"Plan d'un autre équipement",IF(AND(J1958&lt;&gt;"",OR(NOT(ISNUMBER(J1958)),N(J1958)&lt;0)),"Compteur invalide",IF(OR(AND(K1958&lt;&gt;"",OR(NOT(ISNUMBER(K1958)),N(K1958)&lt;0)),AND(L1958&lt;&gt;"",OR(NOT(ISNUMBER(L1958)),N(L1958)&lt;0))),"Durée invalide",IF(OR(AND(N1958&lt;&gt;"",OR(NOT(ISNUMBER(N1958)),N(N1958)&lt;0)),AND(P1958&lt;&gt;"",OR(NOT(ISNUMBER(P1958)),N(P1958)&lt;0))),"Coût invalide",IF(AND(M1958&lt;&gt;"",ISNA(MATCH(M1958,tech_name,0))),"Technicien inconnu",IF(AND(I1958="Terminée",S1958&gt;p_today),"Terminée à une date future",IF(AND(I1958="Terminée",V1958=0),"Durée d'intervention manquante",IF(AND(I1958="Terminée",E1958="Préventif",T1958=0,OR(IFERROR(INDEX(pl_trig,MATCH(F1958,pl_num,0))&amp;"","")="Compteur",IFERROR(INDEX(pl_trig,MATCH(F1958,pl_num,0))&amp;"","")="Au premier des deux")),"Compteur manquant (plan au compteur)","OK"))))))))))))))))))</f>
        <v/>
      </c>
      <c r="S1958" s="67">
        <f>IF(AND(ISNUMBER(B1958),N(B1958)&gt;0),INT(B1958),0)</f>
        <v>0.0</v>
      </c>
      <c r="T1958" s="67">
        <f>IF(AND(ISNUMBER(J1958),N(J1958)&gt;=0),N(J1958),0)</f>
        <v>0.0</v>
      </c>
      <c r="U1958" s="67">
        <f>IF(AND(ISNUMBER(K1958),N(K1958)&gt;0),N(K1958),0)</f>
        <v>0.0</v>
      </c>
      <c r="V1958" s="67">
        <f>IF(AND(ISNUMBER(L1958),N(L1958)&gt;0),N(L1958),0)</f>
        <v>0.0</v>
      </c>
      <c r="W1958" s="67">
        <f>IF(AND(I1958="Terminée",S1958&gt;0,C1958&lt;&gt;"",ISNUMBER(MATCH(C1958,eq_code,0))),1,0)</f>
        <v>0.0</v>
      </c>
      <c r="X1958" s="67">
        <f>IF(AND(W1958=1,E1958="Préventif"),1,0)</f>
        <v>0.0</v>
      </c>
      <c r="Y1958" s="67">
        <f>IF(AND(ISNUMBER(N1958),N(N1958)&gt;0),N(N1958),0)</f>
        <v>0.0</v>
      </c>
      <c r="Z1958" s="67">
        <f>IF(AND(ISNUMBER(P1958),N(P1958)&gt;0),N(P1958),0)</f>
        <v>0.0</v>
      </c>
    </row>
    <row r="1959">
      <c r="A1959" s="79" t="str">
        <f>IF(COUNTA(B1959:C1959,E1959:G1959,I1959)=0,"","BI-"&amp;RIGHT("0000"&amp;(ROW()-5),4))</f>
        <v/>
      </c>
      <c r="B1959" s="72" t="n"/>
      <c r="C1959" s="66" t="n"/>
      <c r="D1959" s="67" t="str">
        <f>IF(C1959="","",IFERROR(INDEX(eq_des,MATCH(C1959,eq_code,0))&amp;"","Équipement inconnu"))</f>
        <v/>
      </c>
      <c r="E1959" s="68" t="n"/>
      <c r="F1959" s="68" t="n"/>
      <c r="G1959" s="66" t="n"/>
      <c r="H1959" s="66" t="n"/>
      <c r="I1959" s="68" t="n"/>
      <c r="J1959" s="73" t="n"/>
      <c r="K1959" s="71" t="n"/>
      <c r="L1959" s="71" t="n"/>
      <c r="M1959" s="66" t="n"/>
      <c r="N1959" s="80" t="n"/>
      <c r="O1959" s="81" t="str">
        <f>IF(A1959="","",ROUND(V1959*IFERROR(N(INDEX(tech_rate,MATCH(M1959,tech_name,0))),0),2))</f>
        <v/>
      </c>
      <c r="P1959" s="80" t="n"/>
      <c r="Q1959" s="81" t="str">
        <f>IF(A1959="","",ROUND(Y1959+O1959+Z1959,2))</f>
        <v/>
      </c>
      <c r="R1959" s="79" t="str">
        <f>IF(A1959="","",IF(S1959=0,"Date manquante ou invalide",IF(C1959="","Équipement manquant",IF(ISNA(MATCH(C1959,eq_code,0)),"Équipement inconnu",IF(E1959="","Type manquant",IF(AND(E1959&lt;&gt;"Préventif",E1959&lt;&gt;"Correctif",E1959&lt;&gt;"Amélioratif"),"Type inconnu",IF(I1959="","Statut manquant",IF(AND(I1959&lt;&gt;"Terminée",I1959&lt;&gt;"En cours",I1959&lt;&gt;"À faire",I1959&lt;&gt;"Annulée"),"Statut inconnu",IF(AND(E1959="Préventif",F1959=""),"Plan manquant (préventif)",IF(AND(F1959&lt;&gt;"",ISNA(MATCH(F1959,pl_num,0))),"Plan inconnu",IF(AND(F1959&lt;&gt;"",IFERROR(INDEX(pl_eq,MATCH(F1959,pl_num,0))&amp;"",C1959)&lt;&gt;C1959),"Plan d'un autre équipement",IF(AND(J1959&lt;&gt;"",OR(NOT(ISNUMBER(J1959)),N(J1959)&lt;0)),"Compteur invalide",IF(OR(AND(K1959&lt;&gt;"",OR(NOT(ISNUMBER(K1959)),N(K1959)&lt;0)),AND(L1959&lt;&gt;"",OR(NOT(ISNUMBER(L1959)),N(L1959)&lt;0))),"Durée invalide",IF(OR(AND(N1959&lt;&gt;"",OR(NOT(ISNUMBER(N1959)),N(N1959)&lt;0)),AND(P1959&lt;&gt;"",OR(NOT(ISNUMBER(P1959)),N(P1959)&lt;0))),"Coût invalide",IF(AND(M1959&lt;&gt;"",ISNA(MATCH(M1959,tech_name,0))),"Technicien inconnu",IF(AND(I1959="Terminée",S1959&gt;p_today),"Terminée à une date future",IF(AND(I1959="Terminée",V1959=0),"Durée d'intervention manquante",IF(AND(I1959="Terminée",E1959="Préventif",T1959=0,OR(IFERROR(INDEX(pl_trig,MATCH(F1959,pl_num,0))&amp;"","")="Compteur",IFERROR(INDEX(pl_trig,MATCH(F1959,pl_num,0))&amp;"","")="Au premier des deux")),"Compteur manquant (plan au compteur)","OK"))))))))))))))))))</f>
        <v/>
      </c>
      <c r="S1959" s="67">
        <f>IF(AND(ISNUMBER(B1959),N(B1959)&gt;0),INT(B1959),0)</f>
        <v>0.0</v>
      </c>
      <c r="T1959" s="67">
        <f>IF(AND(ISNUMBER(J1959),N(J1959)&gt;=0),N(J1959),0)</f>
        <v>0.0</v>
      </c>
      <c r="U1959" s="67">
        <f>IF(AND(ISNUMBER(K1959),N(K1959)&gt;0),N(K1959),0)</f>
        <v>0.0</v>
      </c>
      <c r="V1959" s="67">
        <f>IF(AND(ISNUMBER(L1959),N(L1959)&gt;0),N(L1959),0)</f>
        <v>0.0</v>
      </c>
      <c r="W1959" s="67">
        <f>IF(AND(I1959="Terminée",S1959&gt;0,C1959&lt;&gt;"",ISNUMBER(MATCH(C1959,eq_code,0))),1,0)</f>
        <v>0.0</v>
      </c>
      <c r="X1959" s="67">
        <f>IF(AND(W1959=1,E1959="Préventif"),1,0)</f>
        <v>0.0</v>
      </c>
      <c r="Y1959" s="67">
        <f>IF(AND(ISNUMBER(N1959),N(N1959)&gt;0),N(N1959),0)</f>
        <v>0.0</v>
      </c>
      <c r="Z1959" s="67">
        <f>IF(AND(ISNUMBER(P1959),N(P1959)&gt;0),N(P1959),0)</f>
        <v>0.0</v>
      </c>
    </row>
    <row r="1960">
      <c r="A1960" s="79" t="str">
        <f>IF(COUNTA(B1960:C1960,E1960:G1960,I1960)=0,"","BI-"&amp;RIGHT("0000"&amp;(ROW()-5),4))</f>
        <v/>
      </c>
      <c r="B1960" s="72" t="n"/>
      <c r="C1960" s="66" t="n"/>
      <c r="D1960" s="67" t="str">
        <f>IF(C1960="","",IFERROR(INDEX(eq_des,MATCH(C1960,eq_code,0))&amp;"","Équipement inconnu"))</f>
        <v/>
      </c>
      <c r="E1960" s="68" t="n"/>
      <c r="F1960" s="68" t="n"/>
      <c r="G1960" s="66" t="n"/>
      <c r="H1960" s="66" t="n"/>
      <c r="I1960" s="68" t="n"/>
      <c r="J1960" s="73" t="n"/>
      <c r="K1960" s="71" t="n"/>
      <c r="L1960" s="71" t="n"/>
      <c r="M1960" s="66" t="n"/>
      <c r="N1960" s="80" t="n"/>
      <c r="O1960" s="81" t="str">
        <f>IF(A1960="","",ROUND(V1960*IFERROR(N(INDEX(tech_rate,MATCH(M1960,tech_name,0))),0),2))</f>
        <v/>
      </c>
      <c r="P1960" s="80" t="n"/>
      <c r="Q1960" s="81" t="str">
        <f>IF(A1960="","",ROUND(Y1960+O1960+Z1960,2))</f>
        <v/>
      </c>
      <c r="R1960" s="79" t="str">
        <f>IF(A1960="","",IF(S1960=0,"Date manquante ou invalide",IF(C1960="","Équipement manquant",IF(ISNA(MATCH(C1960,eq_code,0)),"Équipement inconnu",IF(E1960="","Type manquant",IF(AND(E1960&lt;&gt;"Préventif",E1960&lt;&gt;"Correctif",E1960&lt;&gt;"Amélioratif"),"Type inconnu",IF(I1960="","Statut manquant",IF(AND(I1960&lt;&gt;"Terminée",I1960&lt;&gt;"En cours",I1960&lt;&gt;"À faire",I1960&lt;&gt;"Annulée"),"Statut inconnu",IF(AND(E1960="Préventif",F1960=""),"Plan manquant (préventif)",IF(AND(F1960&lt;&gt;"",ISNA(MATCH(F1960,pl_num,0))),"Plan inconnu",IF(AND(F1960&lt;&gt;"",IFERROR(INDEX(pl_eq,MATCH(F1960,pl_num,0))&amp;"",C1960)&lt;&gt;C1960),"Plan d'un autre équipement",IF(AND(J1960&lt;&gt;"",OR(NOT(ISNUMBER(J1960)),N(J1960)&lt;0)),"Compteur invalide",IF(OR(AND(K1960&lt;&gt;"",OR(NOT(ISNUMBER(K1960)),N(K1960)&lt;0)),AND(L1960&lt;&gt;"",OR(NOT(ISNUMBER(L1960)),N(L1960)&lt;0))),"Durée invalide",IF(OR(AND(N1960&lt;&gt;"",OR(NOT(ISNUMBER(N1960)),N(N1960)&lt;0)),AND(P1960&lt;&gt;"",OR(NOT(ISNUMBER(P1960)),N(P1960)&lt;0))),"Coût invalide",IF(AND(M1960&lt;&gt;"",ISNA(MATCH(M1960,tech_name,0))),"Technicien inconnu",IF(AND(I1960="Terminée",S1960&gt;p_today),"Terminée à une date future",IF(AND(I1960="Terminée",V1960=0),"Durée d'intervention manquante",IF(AND(I1960="Terminée",E1960="Préventif",T1960=0,OR(IFERROR(INDEX(pl_trig,MATCH(F1960,pl_num,0))&amp;"","")="Compteur",IFERROR(INDEX(pl_trig,MATCH(F1960,pl_num,0))&amp;"","")="Au premier des deux")),"Compteur manquant (plan au compteur)","OK"))))))))))))))))))</f>
        <v/>
      </c>
      <c r="S1960" s="67">
        <f>IF(AND(ISNUMBER(B1960),N(B1960)&gt;0),INT(B1960),0)</f>
        <v>0.0</v>
      </c>
      <c r="T1960" s="67">
        <f>IF(AND(ISNUMBER(J1960),N(J1960)&gt;=0),N(J1960),0)</f>
        <v>0.0</v>
      </c>
      <c r="U1960" s="67">
        <f>IF(AND(ISNUMBER(K1960),N(K1960)&gt;0),N(K1960),0)</f>
        <v>0.0</v>
      </c>
      <c r="V1960" s="67">
        <f>IF(AND(ISNUMBER(L1960),N(L1960)&gt;0),N(L1960),0)</f>
        <v>0.0</v>
      </c>
      <c r="W1960" s="67">
        <f>IF(AND(I1960="Terminée",S1960&gt;0,C1960&lt;&gt;"",ISNUMBER(MATCH(C1960,eq_code,0))),1,0)</f>
        <v>0.0</v>
      </c>
      <c r="X1960" s="67">
        <f>IF(AND(W1960=1,E1960="Préventif"),1,0)</f>
        <v>0.0</v>
      </c>
      <c r="Y1960" s="67">
        <f>IF(AND(ISNUMBER(N1960),N(N1960)&gt;0),N(N1960),0)</f>
        <v>0.0</v>
      </c>
      <c r="Z1960" s="67">
        <f>IF(AND(ISNUMBER(P1960),N(P1960)&gt;0),N(P1960),0)</f>
        <v>0.0</v>
      </c>
    </row>
    <row r="1961">
      <c r="A1961" s="79" t="str">
        <f>IF(COUNTA(B1961:C1961,E1961:G1961,I1961)=0,"","BI-"&amp;RIGHT("0000"&amp;(ROW()-5),4))</f>
        <v/>
      </c>
      <c r="B1961" s="72" t="n"/>
      <c r="C1961" s="66" t="n"/>
      <c r="D1961" s="67" t="str">
        <f>IF(C1961="","",IFERROR(INDEX(eq_des,MATCH(C1961,eq_code,0))&amp;"","Équipement inconnu"))</f>
        <v/>
      </c>
      <c r="E1961" s="68" t="n"/>
      <c r="F1961" s="68" t="n"/>
      <c r="G1961" s="66" t="n"/>
      <c r="H1961" s="66" t="n"/>
      <c r="I1961" s="68" t="n"/>
      <c r="J1961" s="73" t="n"/>
      <c r="K1961" s="71" t="n"/>
      <c r="L1961" s="71" t="n"/>
      <c r="M1961" s="66" t="n"/>
      <c r="N1961" s="80" t="n"/>
      <c r="O1961" s="81" t="str">
        <f>IF(A1961="","",ROUND(V1961*IFERROR(N(INDEX(tech_rate,MATCH(M1961,tech_name,0))),0),2))</f>
        <v/>
      </c>
      <c r="P1961" s="80" t="n"/>
      <c r="Q1961" s="81" t="str">
        <f>IF(A1961="","",ROUND(Y1961+O1961+Z1961,2))</f>
        <v/>
      </c>
      <c r="R1961" s="79" t="str">
        <f>IF(A1961="","",IF(S1961=0,"Date manquante ou invalide",IF(C1961="","Équipement manquant",IF(ISNA(MATCH(C1961,eq_code,0)),"Équipement inconnu",IF(E1961="","Type manquant",IF(AND(E1961&lt;&gt;"Préventif",E1961&lt;&gt;"Correctif",E1961&lt;&gt;"Amélioratif"),"Type inconnu",IF(I1961="","Statut manquant",IF(AND(I1961&lt;&gt;"Terminée",I1961&lt;&gt;"En cours",I1961&lt;&gt;"À faire",I1961&lt;&gt;"Annulée"),"Statut inconnu",IF(AND(E1961="Préventif",F1961=""),"Plan manquant (préventif)",IF(AND(F1961&lt;&gt;"",ISNA(MATCH(F1961,pl_num,0))),"Plan inconnu",IF(AND(F1961&lt;&gt;"",IFERROR(INDEX(pl_eq,MATCH(F1961,pl_num,0))&amp;"",C1961)&lt;&gt;C1961),"Plan d'un autre équipement",IF(AND(J1961&lt;&gt;"",OR(NOT(ISNUMBER(J1961)),N(J1961)&lt;0)),"Compteur invalide",IF(OR(AND(K1961&lt;&gt;"",OR(NOT(ISNUMBER(K1961)),N(K1961)&lt;0)),AND(L1961&lt;&gt;"",OR(NOT(ISNUMBER(L1961)),N(L1961)&lt;0))),"Durée invalide",IF(OR(AND(N1961&lt;&gt;"",OR(NOT(ISNUMBER(N1961)),N(N1961)&lt;0)),AND(P1961&lt;&gt;"",OR(NOT(ISNUMBER(P1961)),N(P1961)&lt;0))),"Coût invalide",IF(AND(M1961&lt;&gt;"",ISNA(MATCH(M1961,tech_name,0))),"Technicien inconnu",IF(AND(I1961="Terminée",S1961&gt;p_today),"Terminée à une date future",IF(AND(I1961="Terminée",V1961=0),"Durée d'intervention manquante",IF(AND(I1961="Terminée",E1961="Préventif",T1961=0,OR(IFERROR(INDEX(pl_trig,MATCH(F1961,pl_num,0))&amp;"","")="Compteur",IFERROR(INDEX(pl_trig,MATCH(F1961,pl_num,0))&amp;"","")="Au premier des deux")),"Compteur manquant (plan au compteur)","OK"))))))))))))))))))</f>
        <v/>
      </c>
      <c r="S1961" s="67">
        <f>IF(AND(ISNUMBER(B1961),N(B1961)&gt;0),INT(B1961),0)</f>
        <v>0.0</v>
      </c>
      <c r="T1961" s="67">
        <f>IF(AND(ISNUMBER(J1961),N(J1961)&gt;=0),N(J1961),0)</f>
        <v>0.0</v>
      </c>
      <c r="U1961" s="67">
        <f>IF(AND(ISNUMBER(K1961),N(K1961)&gt;0),N(K1961),0)</f>
        <v>0.0</v>
      </c>
      <c r="V1961" s="67">
        <f>IF(AND(ISNUMBER(L1961),N(L1961)&gt;0),N(L1961),0)</f>
        <v>0.0</v>
      </c>
      <c r="W1961" s="67">
        <f>IF(AND(I1961="Terminée",S1961&gt;0,C1961&lt;&gt;"",ISNUMBER(MATCH(C1961,eq_code,0))),1,0)</f>
        <v>0.0</v>
      </c>
      <c r="X1961" s="67">
        <f>IF(AND(W1961=1,E1961="Préventif"),1,0)</f>
        <v>0.0</v>
      </c>
      <c r="Y1961" s="67">
        <f>IF(AND(ISNUMBER(N1961),N(N1961)&gt;0),N(N1961),0)</f>
        <v>0.0</v>
      </c>
      <c r="Z1961" s="67">
        <f>IF(AND(ISNUMBER(P1961),N(P1961)&gt;0),N(P1961),0)</f>
        <v>0.0</v>
      </c>
    </row>
    <row r="1962">
      <c r="A1962" s="79" t="str">
        <f>IF(COUNTA(B1962:C1962,E1962:G1962,I1962)=0,"","BI-"&amp;RIGHT("0000"&amp;(ROW()-5),4))</f>
        <v/>
      </c>
      <c r="B1962" s="72" t="n"/>
      <c r="C1962" s="66" t="n"/>
      <c r="D1962" s="67" t="str">
        <f>IF(C1962="","",IFERROR(INDEX(eq_des,MATCH(C1962,eq_code,0))&amp;"","Équipement inconnu"))</f>
        <v/>
      </c>
      <c r="E1962" s="68" t="n"/>
      <c r="F1962" s="68" t="n"/>
      <c r="G1962" s="66" t="n"/>
      <c r="H1962" s="66" t="n"/>
      <c r="I1962" s="68" t="n"/>
      <c r="J1962" s="73" t="n"/>
      <c r="K1962" s="71" t="n"/>
      <c r="L1962" s="71" t="n"/>
      <c r="M1962" s="66" t="n"/>
      <c r="N1962" s="80" t="n"/>
      <c r="O1962" s="81" t="str">
        <f>IF(A1962="","",ROUND(V1962*IFERROR(N(INDEX(tech_rate,MATCH(M1962,tech_name,0))),0),2))</f>
        <v/>
      </c>
      <c r="P1962" s="80" t="n"/>
      <c r="Q1962" s="81" t="str">
        <f>IF(A1962="","",ROUND(Y1962+O1962+Z1962,2))</f>
        <v/>
      </c>
      <c r="R1962" s="79" t="str">
        <f>IF(A1962="","",IF(S1962=0,"Date manquante ou invalide",IF(C1962="","Équipement manquant",IF(ISNA(MATCH(C1962,eq_code,0)),"Équipement inconnu",IF(E1962="","Type manquant",IF(AND(E1962&lt;&gt;"Préventif",E1962&lt;&gt;"Correctif",E1962&lt;&gt;"Amélioratif"),"Type inconnu",IF(I1962="","Statut manquant",IF(AND(I1962&lt;&gt;"Terminée",I1962&lt;&gt;"En cours",I1962&lt;&gt;"À faire",I1962&lt;&gt;"Annulée"),"Statut inconnu",IF(AND(E1962="Préventif",F1962=""),"Plan manquant (préventif)",IF(AND(F1962&lt;&gt;"",ISNA(MATCH(F1962,pl_num,0))),"Plan inconnu",IF(AND(F1962&lt;&gt;"",IFERROR(INDEX(pl_eq,MATCH(F1962,pl_num,0))&amp;"",C1962)&lt;&gt;C1962),"Plan d'un autre équipement",IF(AND(J1962&lt;&gt;"",OR(NOT(ISNUMBER(J1962)),N(J1962)&lt;0)),"Compteur invalide",IF(OR(AND(K1962&lt;&gt;"",OR(NOT(ISNUMBER(K1962)),N(K1962)&lt;0)),AND(L1962&lt;&gt;"",OR(NOT(ISNUMBER(L1962)),N(L1962)&lt;0))),"Durée invalide",IF(OR(AND(N1962&lt;&gt;"",OR(NOT(ISNUMBER(N1962)),N(N1962)&lt;0)),AND(P1962&lt;&gt;"",OR(NOT(ISNUMBER(P1962)),N(P1962)&lt;0))),"Coût invalide",IF(AND(M1962&lt;&gt;"",ISNA(MATCH(M1962,tech_name,0))),"Technicien inconnu",IF(AND(I1962="Terminée",S1962&gt;p_today),"Terminée à une date future",IF(AND(I1962="Terminée",V1962=0),"Durée d'intervention manquante",IF(AND(I1962="Terminée",E1962="Préventif",T1962=0,OR(IFERROR(INDEX(pl_trig,MATCH(F1962,pl_num,0))&amp;"","")="Compteur",IFERROR(INDEX(pl_trig,MATCH(F1962,pl_num,0))&amp;"","")="Au premier des deux")),"Compteur manquant (plan au compteur)","OK"))))))))))))))))))</f>
        <v/>
      </c>
      <c r="S1962" s="67">
        <f>IF(AND(ISNUMBER(B1962),N(B1962)&gt;0),INT(B1962),0)</f>
        <v>0.0</v>
      </c>
      <c r="T1962" s="67">
        <f>IF(AND(ISNUMBER(J1962),N(J1962)&gt;=0),N(J1962),0)</f>
        <v>0.0</v>
      </c>
      <c r="U1962" s="67">
        <f>IF(AND(ISNUMBER(K1962),N(K1962)&gt;0),N(K1962),0)</f>
        <v>0.0</v>
      </c>
      <c r="V1962" s="67">
        <f>IF(AND(ISNUMBER(L1962),N(L1962)&gt;0),N(L1962),0)</f>
        <v>0.0</v>
      </c>
      <c r="W1962" s="67">
        <f>IF(AND(I1962="Terminée",S1962&gt;0,C1962&lt;&gt;"",ISNUMBER(MATCH(C1962,eq_code,0))),1,0)</f>
        <v>0.0</v>
      </c>
      <c r="X1962" s="67">
        <f>IF(AND(W1962=1,E1962="Préventif"),1,0)</f>
        <v>0.0</v>
      </c>
      <c r="Y1962" s="67">
        <f>IF(AND(ISNUMBER(N1962),N(N1962)&gt;0),N(N1962),0)</f>
        <v>0.0</v>
      </c>
      <c r="Z1962" s="67">
        <f>IF(AND(ISNUMBER(P1962),N(P1962)&gt;0),N(P1962),0)</f>
        <v>0.0</v>
      </c>
    </row>
    <row r="1963">
      <c r="A1963" s="79" t="str">
        <f>IF(COUNTA(B1963:C1963,E1963:G1963,I1963)=0,"","BI-"&amp;RIGHT("0000"&amp;(ROW()-5),4))</f>
        <v/>
      </c>
      <c r="B1963" s="72" t="n"/>
      <c r="C1963" s="66" t="n"/>
      <c r="D1963" s="67" t="str">
        <f>IF(C1963="","",IFERROR(INDEX(eq_des,MATCH(C1963,eq_code,0))&amp;"","Équipement inconnu"))</f>
        <v/>
      </c>
      <c r="E1963" s="68" t="n"/>
      <c r="F1963" s="68" t="n"/>
      <c r="G1963" s="66" t="n"/>
      <c r="H1963" s="66" t="n"/>
      <c r="I1963" s="68" t="n"/>
      <c r="J1963" s="73" t="n"/>
      <c r="K1963" s="71" t="n"/>
      <c r="L1963" s="71" t="n"/>
      <c r="M1963" s="66" t="n"/>
      <c r="N1963" s="80" t="n"/>
      <c r="O1963" s="81" t="str">
        <f>IF(A1963="","",ROUND(V1963*IFERROR(N(INDEX(tech_rate,MATCH(M1963,tech_name,0))),0),2))</f>
        <v/>
      </c>
      <c r="P1963" s="80" t="n"/>
      <c r="Q1963" s="81" t="str">
        <f>IF(A1963="","",ROUND(Y1963+O1963+Z1963,2))</f>
        <v/>
      </c>
      <c r="R1963" s="79" t="str">
        <f>IF(A1963="","",IF(S1963=0,"Date manquante ou invalide",IF(C1963="","Équipement manquant",IF(ISNA(MATCH(C1963,eq_code,0)),"Équipement inconnu",IF(E1963="","Type manquant",IF(AND(E1963&lt;&gt;"Préventif",E1963&lt;&gt;"Correctif",E1963&lt;&gt;"Amélioratif"),"Type inconnu",IF(I1963="","Statut manquant",IF(AND(I1963&lt;&gt;"Terminée",I1963&lt;&gt;"En cours",I1963&lt;&gt;"À faire",I1963&lt;&gt;"Annulée"),"Statut inconnu",IF(AND(E1963="Préventif",F1963=""),"Plan manquant (préventif)",IF(AND(F1963&lt;&gt;"",ISNA(MATCH(F1963,pl_num,0))),"Plan inconnu",IF(AND(F1963&lt;&gt;"",IFERROR(INDEX(pl_eq,MATCH(F1963,pl_num,0))&amp;"",C1963)&lt;&gt;C1963),"Plan d'un autre équipement",IF(AND(J1963&lt;&gt;"",OR(NOT(ISNUMBER(J1963)),N(J1963)&lt;0)),"Compteur invalide",IF(OR(AND(K1963&lt;&gt;"",OR(NOT(ISNUMBER(K1963)),N(K1963)&lt;0)),AND(L1963&lt;&gt;"",OR(NOT(ISNUMBER(L1963)),N(L1963)&lt;0))),"Durée invalide",IF(OR(AND(N1963&lt;&gt;"",OR(NOT(ISNUMBER(N1963)),N(N1963)&lt;0)),AND(P1963&lt;&gt;"",OR(NOT(ISNUMBER(P1963)),N(P1963)&lt;0))),"Coût invalide",IF(AND(M1963&lt;&gt;"",ISNA(MATCH(M1963,tech_name,0))),"Technicien inconnu",IF(AND(I1963="Terminée",S1963&gt;p_today),"Terminée à une date future",IF(AND(I1963="Terminée",V1963=0),"Durée d'intervention manquante",IF(AND(I1963="Terminée",E1963="Préventif",T1963=0,OR(IFERROR(INDEX(pl_trig,MATCH(F1963,pl_num,0))&amp;"","")="Compteur",IFERROR(INDEX(pl_trig,MATCH(F1963,pl_num,0))&amp;"","")="Au premier des deux")),"Compteur manquant (plan au compteur)","OK"))))))))))))))))))</f>
        <v/>
      </c>
      <c r="S1963" s="67">
        <f>IF(AND(ISNUMBER(B1963),N(B1963)&gt;0),INT(B1963),0)</f>
        <v>0.0</v>
      </c>
      <c r="T1963" s="67">
        <f>IF(AND(ISNUMBER(J1963),N(J1963)&gt;=0),N(J1963),0)</f>
        <v>0.0</v>
      </c>
      <c r="U1963" s="67">
        <f>IF(AND(ISNUMBER(K1963),N(K1963)&gt;0),N(K1963),0)</f>
        <v>0.0</v>
      </c>
      <c r="V1963" s="67">
        <f>IF(AND(ISNUMBER(L1963),N(L1963)&gt;0),N(L1963),0)</f>
        <v>0.0</v>
      </c>
      <c r="W1963" s="67">
        <f>IF(AND(I1963="Terminée",S1963&gt;0,C1963&lt;&gt;"",ISNUMBER(MATCH(C1963,eq_code,0))),1,0)</f>
        <v>0.0</v>
      </c>
      <c r="X1963" s="67">
        <f>IF(AND(W1963=1,E1963="Préventif"),1,0)</f>
        <v>0.0</v>
      </c>
      <c r="Y1963" s="67">
        <f>IF(AND(ISNUMBER(N1963),N(N1963)&gt;0),N(N1963),0)</f>
        <v>0.0</v>
      </c>
      <c r="Z1963" s="67">
        <f>IF(AND(ISNUMBER(P1963),N(P1963)&gt;0),N(P1963),0)</f>
        <v>0.0</v>
      </c>
    </row>
    <row r="1964">
      <c r="A1964" s="79" t="str">
        <f>IF(COUNTA(B1964:C1964,E1964:G1964,I1964)=0,"","BI-"&amp;RIGHT("0000"&amp;(ROW()-5),4))</f>
        <v/>
      </c>
      <c r="B1964" s="72" t="n"/>
      <c r="C1964" s="66" t="n"/>
      <c r="D1964" s="67" t="str">
        <f>IF(C1964="","",IFERROR(INDEX(eq_des,MATCH(C1964,eq_code,0))&amp;"","Équipement inconnu"))</f>
        <v/>
      </c>
      <c r="E1964" s="68" t="n"/>
      <c r="F1964" s="68" t="n"/>
      <c r="G1964" s="66" t="n"/>
      <c r="H1964" s="66" t="n"/>
      <c r="I1964" s="68" t="n"/>
      <c r="J1964" s="73" t="n"/>
      <c r="K1964" s="71" t="n"/>
      <c r="L1964" s="71" t="n"/>
      <c r="M1964" s="66" t="n"/>
      <c r="N1964" s="80" t="n"/>
      <c r="O1964" s="81" t="str">
        <f>IF(A1964="","",ROUND(V1964*IFERROR(N(INDEX(tech_rate,MATCH(M1964,tech_name,0))),0),2))</f>
        <v/>
      </c>
      <c r="P1964" s="80" t="n"/>
      <c r="Q1964" s="81" t="str">
        <f>IF(A1964="","",ROUND(Y1964+O1964+Z1964,2))</f>
        <v/>
      </c>
      <c r="R1964" s="79" t="str">
        <f>IF(A1964="","",IF(S1964=0,"Date manquante ou invalide",IF(C1964="","Équipement manquant",IF(ISNA(MATCH(C1964,eq_code,0)),"Équipement inconnu",IF(E1964="","Type manquant",IF(AND(E1964&lt;&gt;"Préventif",E1964&lt;&gt;"Correctif",E1964&lt;&gt;"Amélioratif"),"Type inconnu",IF(I1964="","Statut manquant",IF(AND(I1964&lt;&gt;"Terminée",I1964&lt;&gt;"En cours",I1964&lt;&gt;"À faire",I1964&lt;&gt;"Annulée"),"Statut inconnu",IF(AND(E1964="Préventif",F1964=""),"Plan manquant (préventif)",IF(AND(F1964&lt;&gt;"",ISNA(MATCH(F1964,pl_num,0))),"Plan inconnu",IF(AND(F1964&lt;&gt;"",IFERROR(INDEX(pl_eq,MATCH(F1964,pl_num,0))&amp;"",C1964)&lt;&gt;C1964),"Plan d'un autre équipement",IF(AND(J1964&lt;&gt;"",OR(NOT(ISNUMBER(J1964)),N(J1964)&lt;0)),"Compteur invalide",IF(OR(AND(K1964&lt;&gt;"",OR(NOT(ISNUMBER(K1964)),N(K1964)&lt;0)),AND(L1964&lt;&gt;"",OR(NOT(ISNUMBER(L1964)),N(L1964)&lt;0))),"Durée invalide",IF(OR(AND(N1964&lt;&gt;"",OR(NOT(ISNUMBER(N1964)),N(N1964)&lt;0)),AND(P1964&lt;&gt;"",OR(NOT(ISNUMBER(P1964)),N(P1964)&lt;0))),"Coût invalide",IF(AND(M1964&lt;&gt;"",ISNA(MATCH(M1964,tech_name,0))),"Technicien inconnu",IF(AND(I1964="Terminée",S1964&gt;p_today),"Terminée à une date future",IF(AND(I1964="Terminée",V1964=0),"Durée d'intervention manquante",IF(AND(I1964="Terminée",E1964="Préventif",T1964=0,OR(IFERROR(INDEX(pl_trig,MATCH(F1964,pl_num,0))&amp;"","")="Compteur",IFERROR(INDEX(pl_trig,MATCH(F1964,pl_num,0))&amp;"","")="Au premier des deux")),"Compteur manquant (plan au compteur)","OK"))))))))))))))))))</f>
        <v/>
      </c>
      <c r="S1964" s="67">
        <f>IF(AND(ISNUMBER(B1964),N(B1964)&gt;0),INT(B1964),0)</f>
        <v>0.0</v>
      </c>
      <c r="T1964" s="67">
        <f>IF(AND(ISNUMBER(J1964),N(J1964)&gt;=0),N(J1964),0)</f>
        <v>0.0</v>
      </c>
      <c r="U1964" s="67">
        <f>IF(AND(ISNUMBER(K1964),N(K1964)&gt;0),N(K1964),0)</f>
        <v>0.0</v>
      </c>
      <c r="V1964" s="67">
        <f>IF(AND(ISNUMBER(L1964),N(L1964)&gt;0),N(L1964),0)</f>
        <v>0.0</v>
      </c>
      <c r="W1964" s="67">
        <f>IF(AND(I1964="Terminée",S1964&gt;0,C1964&lt;&gt;"",ISNUMBER(MATCH(C1964,eq_code,0))),1,0)</f>
        <v>0.0</v>
      </c>
      <c r="X1964" s="67">
        <f>IF(AND(W1964=1,E1964="Préventif"),1,0)</f>
        <v>0.0</v>
      </c>
      <c r="Y1964" s="67">
        <f>IF(AND(ISNUMBER(N1964),N(N1964)&gt;0),N(N1964),0)</f>
        <v>0.0</v>
      </c>
      <c r="Z1964" s="67">
        <f>IF(AND(ISNUMBER(P1964),N(P1964)&gt;0),N(P1964),0)</f>
        <v>0.0</v>
      </c>
    </row>
    <row r="1965">
      <c r="A1965" s="79" t="str">
        <f>IF(COUNTA(B1965:C1965,E1965:G1965,I1965)=0,"","BI-"&amp;RIGHT("0000"&amp;(ROW()-5),4))</f>
        <v/>
      </c>
      <c r="B1965" s="72" t="n"/>
      <c r="C1965" s="66" t="n"/>
      <c r="D1965" s="67" t="str">
        <f>IF(C1965="","",IFERROR(INDEX(eq_des,MATCH(C1965,eq_code,0))&amp;"","Équipement inconnu"))</f>
        <v/>
      </c>
      <c r="E1965" s="68" t="n"/>
      <c r="F1965" s="68" t="n"/>
      <c r="G1965" s="66" t="n"/>
      <c r="H1965" s="66" t="n"/>
      <c r="I1965" s="68" t="n"/>
      <c r="J1965" s="73" t="n"/>
      <c r="K1965" s="71" t="n"/>
      <c r="L1965" s="71" t="n"/>
      <c r="M1965" s="66" t="n"/>
      <c r="N1965" s="80" t="n"/>
      <c r="O1965" s="81" t="str">
        <f>IF(A1965="","",ROUND(V1965*IFERROR(N(INDEX(tech_rate,MATCH(M1965,tech_name,0))),0),2))</f>
        <v/>
      </c>
      <c r="P1965" s="80" t="n"/>
      <c r="Q1965" s="81" t="str">
        <f>IF(A1965="","",ROUND(Y1965+O1965+Z1965,2))</f>
        <v/>
      </c>
      <c r="R1965" s="79" t="str">
        <f>IF(A1965="","",IF(S1965=0,"Date manquante ou invalide",IF(C1965="","Équipement manquant",IF(ISNA(MATCH(C1965,eq_code,0)),"Équipement inconnu",IF(E1965="","Type manquant",IF(AND(E1965&lt;&gt;"Préventif",E1965&lt;&gt;"Correctif",E1965&lt;&gt;"Amélioratif"),"Type inconnu",IF(I1965="","Statut manquant",IF(AND(I1965&lt;&gt;"Terminée",I1965&lt;&gt;"En cours",I1965&lt;&gt;"À faire",I1965&lt;&gt;"Annulée"),"Statut inconnu",IF(AND(E1965="Préventif",F1965=""),"Plan manquant (préventif)",IF(AND(F1965&lt;&gt;"",ISNA(MATCH(F1965,pl_num,0))),"Plan inconnu",IF(AND(F1965&lt;&gt;"",IFERROR(INDEX(pl_eq,MATCH(F1965,pl_num,0))&amp;"",C1965)&lt;&gt;C1965),"Plan d'un autre équipement",IF(AND(J1965&lt;&gt;"",OR(NOT(ISNUMBER(J1965)),N(J1965)&lt;0)),"Compteur invalide",IF(OR(AND(K1965&lt;&gt;"",OR(NOT(ISNUMBER(K1965)),N(K1965)&lt;0)),AND(L1965&lt;&gt;"",OR(NOT(ISNUMBER(L1965)),N(L1965)&lt;0))),"Durée invalide",IF(OR(AND(N1965&lt;&gt;"",OR(NOT(ISNUMBER(N1965)),N(N1965)&lt;0)),AND(P1965&lt;&gt;"",OR(NOT(ISNUMBER(P1965)),N(P1965)&lt;0))),"Coût invalide",IF(AND(M1965&lt;&gt;"",ISNA(MATCH(M1965,tech_name,0))),"Technicien inconnu",IF(AND(I1965="Terminée",S1965&gt;p_today),"Terminée à une date future",IF(AND(I1965="Terminée",V1965=0),"Durée d'intervention manquante",IF(AND(I1965="Terminée",E1965="Préventif",T1965=0,OR(IFERROR(INDEX(pl_trig,MATCH(F1965,pl_num,0))&amp;"","")="Compteur",IFERROR(INDEX(pl_trig,MATCH(F1965,pl_num,0))&amp;"","")="Au premier des deux")),"Compteur manquant (plan au compteur)","OK"))))))))))))))))))</f>
        <v/>
      </c>
      <c r="S1965" s="67">
        <f>IF(AND(ISNUMBER(B1965),N(B1965)&gt;0),INT(B1965),0)</f>
        <v>0.0</v>
      </c>
      <c r="T1965" s="67">
        <f>IF(AND(ISNUMBER(J1965),N(J1965)&gt;=0),N(J1965),0)</f>
        <v>0.0</v>
      </c>
      <c r="U1965" s="67">
        <f>IF(AND(ISNUMBER(K1965),N(K1965)&gt;0),N(K1965),0)</f>
        <v>0.0</v>
      </c>
      <c r="V1965" s="67">
        <f>IF(AND(ISNUMBER(L1965),N(L1965)&gt;0),N(L1965),0)</f>
        <v>0.0</v>
      </c>
      <c r="W1965" s="67">
        <f>IF(AND(I1965="Terminée",S1965&gt;0,C1965&lt;&gt;"",ISNUMBER(MATCH(C1965,eq_code,0))),1,0)</f>
        <v>0.0</v>
      </c>
      <c r="X1965" s="67">
        <f>IF(AND(W1965=1,E1965="Préventif"),1,0)</f>
        <v>0.0</v>
      </c>
      <c r="Y1965" s="67">
        <f>IF(AND(ISNUMBER(N1965),N(N1965)&gt;0),N(N1965),0)</f>
        <v>0.0</v>
      </c>
      <c r="Z1965" s="67">
        <f>IF(AND(ISNUMBER(P1965),N(P1965)&gt;0),N(P1965),0)</f>
        <v>0.0</v>
      </c>
    </row>
    <row r="1966">
      <c r="A1966" s="79" t="str">
        <f>IF(COUNTA(B1966:C1966,E1966:G1966,I1966)=0,"","BI-"&amp;RIGHT("0000"&amp;(ROW()-5),4))</f>
        <v/>
      </c>
      <c r="B1966" s="72" t="n"/>
      <c r="C1966" s="66" t="n"/>
      <c r="D1966" s="67" t="str">
        <f>IF(C1966="","",IFERROR(INDEX(eq_des,MATCH(C1966,eq_code,0))&amp;"","Équipement inconnu"))</f>
        <v/>
      </c>
      <c r="E1966" s="68" t="n"/>
      <c r="F1966" s="68" t="n"/>
      <c r="G1966" s="66" t="n"/>
      <c r="H1966" s="66" t="n"/>
      <c r="I1966" s="68" t="n"/>
      <c r="J1966" s="73" t="n"/>
      <c r="K1966" s="71" t="n"/>
      <c r="L1966" s="71" t="n"/>
      <c r="M1966" s="66" t="n"/>
      <c r="N1966" s="80" t="n"/>
      <c r="O1966" s="81" t="str">
        <f>IF(A1966="","",ROUND(V1966*IFERROR(N(INDEX(tech_rate,MATCH(M1966,tech_name,0))),0),2))</f>
        <v/>
      </c>
      <c r="P1966" s="80" t="n"/>
      <c r="Q1966" s="81" t="str">
        <f>IF(A1966="","",ROUND(Y1966+O1966+Z1966,2))</f>
        <v/>
      </c>
      <c r="R1966" s="79" t="str">
        <f>IF(A1966="","",IF(S1966=0,"Date manquante ou invalide",IF(C1966="","Équipement manquant",IF(ISNA(MATCH(C1966,eq_code,0)),"Équipement inconnu",IF(E1966="","Type manquant",IF(AND(E1966&lt;&gt;"Préventif",E1966&lt;&gt;"Correctif",E1966&lt;&gt;"Amélioratif"),"Type inconnu",IF(I1966="","Statut manquant",IF(AND(I1966&lt;&gt;"Terminée",I1966&lt;&gt;"En cours",I1966&lt;&gt;"À faire",I1966&lt;&gt;"Annulée"),"Statut inconnu",IF(AND(E1966="Préventif",F1966=""),"Plan manquant (préventif)",IF(AND(F1966&lt;&gt;"",ISNA(MATCH(F1966,pl_num,0))),"Plan inconnu",IF(AND(F1966&lt;&gt;"",IFERROR(INDEX(pl_eq,MATCH(F1966,pl_num,0))&amp;"",C1966)&lt;&gt;C1966),"Plan d'un autre équipement",IF(AND(J1966&lt;&gt;"",OR(NOT(ISNUMBER(J1966)),N(J1966)&lt;0)),"Compteur invalide",IF(OR(AND(K1966&lt;&gt;"",OR(NOT(ISNUMBER(K1966)),N(K1966)&lt;0)),AND(L1966&lt;&gt;"",OR(NOT(ISNUMBER(L1966)),N(L1966)&lt;0))),"Durée invalide",IF(OR(AND(N1966&lt;&gt;"",OR(NOT(ISNUMBER(N1966)),N(N1966)&lt;0)),AND(P1966&lt;&gt;"",OR(NOT(ISNUMBER(P1966)),N(P1966)&lt;0))),"Coût invalide",IF(AND(M1966&lt;&gt;"",ISNA(MATCH(M1966,tech_name,0))),"Technicien inconnu",IF(AND(I1966="Terminée",S1966&gt;p_today),"Terminée à une date future",IF(AND(I1966="Terminée",V1966=0),"Durée d'intervention manquante",IF(AND(I1966="Terminée",E1966="Préventif",T1966=0,OR(IFERROR(INDEX(pl_trig,MATCH(F1966,pl_num,0))&amp;"","")="Compteur",IFERROR(INDEX(pl_trig,MATCH(F1966,pl_num,0))&amp;"","")="Au premier des deux")),"Compteur manquant (plan au compteur)","OK"))))))))))))))))))</f>
        <v/>
      </c>
      <c r="S1966" s="67">
        <f>IF(AND(ISNUMBER(B1966),N(B1966)&gt;0),INT(B1966),0)</f>
        <v>0.0</v>
      </c>
      <c r="T1966" s="67">
        <f>IF(AND(ISNUMBER(J1966),N(J1966)&gt;=0),N(J1966),0)</f>
        <v>0.0</v>
      </c>
      <c r="U1966" s="67">
        <f>IF(AND(ISNUMBER(K1966),N(K1966)&gt;0),N(K1966),0)</f>
        <v>0.0</v>
      </c>
      <c r="V1966" s="67">
        <f>IF(AND(ISNUMBER(L1966),N(L1966)&gt;0),N(L1966),0)</f>
        <v>0.0</v>
      </c>
      <c r="W1966" s="67">
        <f>IF(AND(I1966="Terminée",S1966&gt;0,C1966&lt;&gt;"",ISNUMBER(MATCH(C1966,eq_code,0))),1,0)</f>
        <v>0.0</v>
      </c>
      <c r="X1966" s="67">
        <f>IF(AND(W1966=1,E1966="Préventif"),1,0)</f>
        <v>0.0</v>
      </c>
      <c r="Y1966" s="67">
        <f>IF(AND(ISNUMBER(N1966),N(N1966)&gt;0),N(N1966),0)</f>
        <v>0.0</v>
      </c>
      <c r="Z1966" s="67">
        <f>IF(AND(ISNUMBER(P1966),N(P1966)&gt;0),N(P1966),0)</f>
        <v>0.0</v>
      </c>
    </row>
    <row r="1967">
      <c r="A1967" s="79" t="str">
        <f>IF(COUNTA(B1967:C1967,E1967:G1967,I1967)=0,"","BI-"&amp;RIGHT("0000"&amp;(ROW()-5),4))</f>
        <v/>
      </c>
      <c r="B1967" s="72" t="n"/>
      <c r="C1967" s="66" t="n"/>
      <c r="D1967" s="67" t="str">
        <f>IF(C1967="","",IFERROR(INDEX(eq_des,MATCH(C1967,eq_code,0))&amp;"","Équipement inconnu"))</f>
        <v/>
      </c>
      <c r="E1967" s="68" t="n"/>
      <c r="F1967" s="68" t="n"/>
      <c r="G1967" s="66" t="n"/>
      <c r="H1967" s="66" t="n"/>
      <c r="I1967" s="68" t="n"/>
      <c r="J1967" s="73" t="n"/>
      <c r="K1967" s="71" t="n"/>
      <c r="L1967" s="71" t="n"/>
      <c r="M1967" s="66" t="n"/>
      <c r="N1967" s="80" t="n"/>
      <c r="O1967" s="81" t="str">
        <f>IF(A1967="","",ROUND(V1967*IFERROR(N(INDEX(tech_rate,MATCH(M1967,tech_name,0))),0),2))</f>
        <v/>
      </c>
      <c r="P1967" s="80" t="n"/>
      <c r="Q1967" s="81" t="str">
        <f>IF(A1967="","",ROUND(Y1967+O1967+Z1967,2))</f>
        <v/>
      </c>
      <c r="R1967" s="79" t="str">
        <f>IF(A1967="","",IF(S1967=0,"Date manquante ou invalide",IF(C1967="","Équipement manquant",IF(ISNA(MATCH(C1967,eq_code,0)),"Équipement inconnu",IF(E1967="","Type manquant",IF(AND(E1967&lt;&gt;"Préventif",E1967&lt;&gt;"Correctif",E1967&lt;&gt;"Amélioratif"),"Type inconnu",IF(I1967="","Statut manquant",IF(AND(I1967&lt;&gt;"Terminée",I1967&lt;&gt;"En cours",I1967&lt;&gt;"À faire",I1967&lt;&gt;"Annulée"),"Statut inconnu",IF(AND(E1967="Préventif",F1967=""),"Plan manquant (préventif)",IF(AND(F1967&lt;&gt;"",ISNA(MATCH(F1967,pl_num,0))),"Plan inconnu",IF(AND(F1967&lt;&gt;"",IFERROR(INDEX(pl_eq,MATCH(F1967,pl_num,0))&amp;"",C1967)&lt;&gt;C1967),"Plan d'un autre équipement",IF(AND(J1967&lt;&gt;"",OR(NOT(ISNUMBER(J1967)),N(J1967)&lt;0)),"Compteur invalide",IF(OR(AND(K1967&lt;&gt;"",OR(NOT(ISNUMBER(K1967)),N(K1967)&lt;0)),AND(L1967&lt;&gt;"",OR(NOT(ISNUMBER(L1967)),N(L1967)&lt;0))),"Durée invalide",IF(OR(AND(N1967&lt;&gt;"",OR(NOT(ISNUMBER(N1967)),N(N1967)&lt;0)),AND(P1967&lt;&gt;"",OR(NOT(ISNUMBER(P1967)),N(P1967)&lt;0))),"Coût invalide",IF(AND(M1967&lt;&gt;"",ISNA(MATCH(M1967,tech_name,0))),"Technicien inconnu",IF(AND(I1967="Terminée",S1967&gt;p_today),"Terminée à une date future",IF(AND(I1967="Terminée",V1967=0),"Durée d'intervention manquante",IF(AND(I1967="Terminée",E1967="Préventif",T1967=0,OR(IFERROR(INDEX(pl_trig,MATCH(F1967,pl_num,0))&amp;"","")="Compteur",IFERROR(INDEX(pl_trig,MATCH(F1967,pl_num,0))&amp;"","")="Au premier des deux")),"Compteur manquant (plan au compteur)","OK"))))))))))))))))))</f>
        <v/>
      </c>
      <c r="S1967" s="67">
        <f>IF(AND(ISNUMBER(B1967),N(B1967)&gt;0),INT(B1967),0)</f>
        <v>0.0</v>
      </c>
      <c r="T1967" s="67">
        <f>IF(AND(ISNUMBER(J1967),N(J1967)&gt;=0),N(J1967),0)</f>
        <v>0.0</v>
      </c>
      <c r="U1967" s="67">
        <f>IF(AND(ISNUMBER(K1967),N(K1967)&gt;0),N(K1967),0)</f>
        <v>0.0</v>
      </c>
      <c r="V1967" s="67">
        <f>IF(AND(ISNUMBER(L1967),N(L1967)&gt;0),N(L1967),0)</f>
        <v>0.0</v>
      </c>
      <c r="W1967" s="67">
        <f>IF(AND(I1967="Terminée",S1967&gt;0,C1967&lt;&gt;"",ISNUMBER(MATCH(C1967,eq_code,0))),1,0)</f>
        <v>0.0</v>
      </c>
      <c r="X1967" s="67">
        <f>IF(AND(W1967=1,E1967="Préventif"),1,0)</f>
        <v>0.0</v>
      </c>
      <c r="Y1967" s="67">
        <f>IF(AND(ISNUMBER(N1967),N(N1967)&gt;0),N(N1967),0)</f>
        <v>0.0</v>
      </c>
      <c r="Z1967" s="67">
        <f>IF(AND(ISNUMBER(P1967),N(P1967)&gt;0),N(P1967),0)</f>
        <v>0.0</v>
      </c>
    </row>
    <row r="1968">
      <c r="A1968" s="79" t="str">
        <f>IF(COUNTA(B1968:C1968,E1968:G1968,I1968)=0,"","BI-"&amp;RIGHT("0000"&amp;(ROW()-5),4))</f>
        <v/>
      </c>
      <c r="B1968" s="72" t="n"/>
      <c r="C1968" s="66" t="n"/>
      <c r="D1968" s="67" t="str">
        <f>IF(C1968="","",IFERROR(INDEX(eq_des,MATCH(C1968,eq_code,0))&amp;"","Équipement inconnu"))</f>
        <v/>
      </c>
      <c r="E1968" s="68" t="n"/>
      <c r="F1968" s="68" t="n"/>
      <c r="G1968" s="66" t="n"/>
      <c r="H1968" s="66" t="n"/>
      <c r="I1968" s="68" t="n"/>
      <c r="J1968" s="73" t="n"/>
      <c r="K1968" s="71" t="n"/>
      <c r="L1968" s="71" t="n"/>
      <c r="M1968" s="66" t="n"/>
      <c r="N1968" s="80" t="n"/>
      <c r="O1968" s="81" t="str">
        <f>IF(A1968="","",ROUND(V1968*IFERROR(N(INDEX(tech_rate,MATCH(M1968,tech_name,0))),0),2))</f>
        <v/>
      </c>
      <c r="P1968" s="80" t="n"/>
      <c r="Q1968" s="81" t="str">
        <f>IF(A1968="","",ROUND(Y1968+O1968+Z1968,2))</f>
        <v/>
      </c>
      <c r="R1968" s="79" t="str">
        <f>IF(A1968="","",IF(S1968=0,"Date manquante ou invalide",IF(C1968="","Équipement manquant",IF(ISNA(MATCH(C1968,eq_code,0)),"Équipement inconnu",IF(E1968="","Type manquant",IF(AND(E1968&lt;&gt;"Préventif",E1968&lt;&gt;"Correctif",E1968&lt;&gt;"Amélioratif"),"Type inconnu",IF(I1968="","Statut manquant",IF(AND(I1968&lt;&gt;"Terminée",I1968&lt;&gt;"En cours",I1968&lt;&gt;"À faire",I1968&lt;&gt;"Annulée"),"Statut inconnu",IF(AND(E1968="Préventif",F1968=""),"Plan manquant (préventif)",IF(AND(F1968&lt;&gt;"",ISNA(MATCH(F1968,pl_num,0))),"Plan inconnu",IF(AND(F1968&lt;&gt;"",IFERROR(INDEX(pl_eq,MATCH(F1968,pl_num,0))&amp;"",C1968)&lt;&gt;C1968),"Plan d'un autre équipement",IF(AND(J1968&lt;&gt;"",OR(NOT(ISNUMBER(J1968)),N(J1968)&lt;0)),"Compteur invalide",IF(OR(AND(K1968&lt;&gt;"",OR(NOT(ISNUMBER(K1968)),N(K1968)&lt;0)),AND(L1968&lt;&gt;"",OR(NOT(ISNUMBER(L1968)),N(L1968)&lt;0))),"Durée invalide",IF(OR(AND(N1968&lt;&gt;"",OR(NOT(ISNUMBER(N1968)),N(N1968)&lt;0)),AND(P1968&lt;&gt;"",OR(NOT(ISNUMBER(P1968)),N(P1968)&lt;0))),"Coût invalide",IF(AND(M1968&lt;&gt;"",ISNA(MATCH(M1968,tech_name,0))),"Technicien inconnu",IF(AND(I1968="Terminée",S1968&gt;p_today),"Terminée à une date future",IF(AND(I1968="Terminée",V1968=0),"Durée d'intervention manquante",IF(AND(I1968="Terminée",E1968="Préventif",T1968=0,OR(IFERROR(INDEX(pl_trig,MATCH(F1968,pl_num,0))&amp;"","")="Compteur",IFERROR(INDEX(pl_trig,MATCH(F1968,pl_num,0))&amp;"","")="Au premier des deux")),"Compteur manquant (plan au compteur)","OK"))))))))))))))))))</f>
        <v/>
      </c>
      <c r="S1968" s="67">
        <f>IF(AND(ISNUMBER(B1968),N(B1968)&gt;0),INT(B1968),0)</f>
        <v>0.0</v>
      </c>
      <c r="T1968" s="67">
        <f>IF(AND(ISNUMBER(J1968),N(J1968)&gt;=0),N(J1968),0)</f>
        <v>0.0</v>
      </c>
      <c r="U1968" s="67">
        <f>IF(AND(ISNUMBER(K1968),N(K1968)&gt;0),N(K1968),0)</f>
        <v>0.0</v>
      </c>
      <c r="V1968" s="67">
        <f>IF(AND(ISNUMBER(L1968),N(L1968)&gt;0),N(L1968),0)</f>
        <v>0.0</v>
      </c>
      <c r="W1968" s="67">
        <f>IF(AND(I1968="Terminée",S1968&gt;0,C1968&lt;&gt;"",ISNUMBER(MATCH(C1968,eq_code,0))),1,0)</f>
        <v>0.0</v>
      </c>
      <c r="X1968" s="67">
        <f>IF(AND(W1968=1,E1968="Préventif"),1,0)</f>
        <v>0.0</v>
      </c>
      <c r="Y1968" s="67">
        <f>IF(AND(ISNUMBER(N1968),N(N1968)&gt;0),N(N1968),0)</f>
        <v>0.0</v>
      </c>
      <c r="Z1968" s="67">
        <f>IF(AND(ISNUMBER(P1968),N(P1968)&gt;0),N(P1968),0)</f>
        <v>0.0</v>
      </c>
    </row>
    <row r="1969">
      <c r="A1969" s="79" t="str">
        <f>IF(COUNTA(B1969:C1969,E1969:G1969,I1969)=0,"","BI-"&amp;RIGHT("0000"&amp;(ROW()-5),4))</f>
        <v/>
      </c>
      <c r="B1969" s="72" t="n"/>
      <c r="C1969" s="66" t="n"/>
      <c r="D1969" s="67" t="str">
        <f>IF(C1969="","",IFERROR(INDEX(eq_des,MATCH(C1969,eq_code,0))&amp;"","Équipement inconnu"))</f>
        <v/>
      </c>
      <c r="E1969" s="68" t="n"/>
      <c r="F1969" s="68" t="n"/>
      <c r="G1969" s="66" t="n"/>
      <c r="H1969" s="66" t="n"/>
      <c r="I1969" s="68" t="n"/>
      <c r="J1969" s="73" t="n"/>
      <c r="K1969" s="71" t="n"/>
      <c r="L1969" s="71" t="n"/>
      <c r="M1969" s="66" t="n"/>
      <c r="N1969" s="80" t="n"/>
      <c r="O1969" s="81" t="str">
        <f>IF(A1969="","",ROUND(V1969*IFERROR(N(INDEX(tech_rate,MATCH(M1969,tech_name,0))),0),2))</f>
        <v/>
      </c>
      <c r="P1969" s="80" t="n"/>
      <c r="Q1969" s="81" t="str">
        <f>IF(A1969="","",ROUND(Y1969+O1969+Z1969,2))</f>
        <v/>
      </c>
      <c r="R1969" s="79" t="str">
        <f>IF(A1969="","",IF(S1969=0,"Date manquante ou invalide",IF(C1969="","Équipement manquant",IF(ISNA(MATCH(C1969,eq_code,0)),"Équipement inconnu",IF(E1969="","Type manquant",IF(AND(E1969&lt;&gt;"Préventif",E1969&lt;&gt;"Correctif",E1969&lt;&gt;"Amélioratif"),"Type inconnu",IF(I1969="","Statut manquant",IF(AND(I1969&lt;&gt;"Terminée",I1969&lt;&gt;"En cours",I1969&lt;&gt;"À faire",I1969&lt;&gt;"Annulée"),"Statut inconnu",IF(AND(E1969="Préventif",F1969=""),"Plan manquant (préventif)",IF(AND(F1969&lt;&gt;"",ISNA(MATCH(F1969,pl_num,0))),"Plan inconnu",IF(AND(F1969&lt;&gt;"",IFERROR(INDEX(pl_eq,MATCH(F1969,pl_num,0))&amp;"",C1969)&lt;&gt;C1969),"Plan d'un autre équipement",IF(AND(J1969&lt;&gt;"",OR(NOT(ISNUMBER(J1969)),N(J1969)&lt;0)),"Compteur invalide",IF(OR(AND(K1969&lt;&gt;"",OR(NOT(ISNUMBER(K1969)),N(K1969)&lt;0)),AND(L1969&lt;&gt;"",OR(NOT(ISNUMBER(L1969)),N(L1969)&lt;0))),"Durée invalide",IF(OR(AND(N1969&lt;&gt;"",OR(NOT(ISNUMBER(N1969)),N(N1969)&lt;0)),AND(P1969&lt;&gt;"",OR(NOT(ISNUMBER(P1969)),N(P1969)&lt;0))),"Coût invalide",IF(AND(M1969&lt;&gt;"",ISNA(MATCH(M1969,tech_name,0))),"Technicien inconnu",IF(AND(I1969="Terminée",S1969&gt;p_today),"Terminée à une date future",IF(AND(I1969="Terminée",V1969=0),"Durée d'intervention manquante",IF(AND(I1969="Terminée",E1969="Préventif",T1969=0,OR(IFERROR(INDEX(pl_trig,MATCH(F1969,pl_num,0))&amp;"","")="Compteur",IFERROR(INDEX(pl_trig,MATCH(F1969,pl_num,0))&amp;"","")="Au premier des deux")),"Compteur manquant (plan au compteur)","OK"))))))))))))))))))</f>
        <v/>
      </c>
      <c r="S1969" s="67">
        <f>IF(AND(ISNUMBER(B1969),N(B1969)&gt;0),INT(B1969),0)</f>
        <v>0.0</v>
      </c>
      <c r="T1969" s="67">
        <f>IF(AND(ISNUMBER(J1969),N(J1969)&gt;=0),N(J1969),0)</f>
        <v>0.0</v>
      </c>
      <c r="U1969" s="67">
        <f>IF(AND(ISNUMBER(K1969),N(K1969)&gt;0),N(K1969),0)</f>
        <v>0.0</v>
      </c>
      <c r="V1969" s="67">
        <f>IF(AND(ISNUMBER(L1969),N(L1969)&gt;0),N(L1969),0)</f>
        <v>0.0</v>
      </c>
      <c r="W1969" s="67">
        <f>IF(AND(I1969="Terminée",S1969&gt;0,C1969&lt;&gt;"",ISNUMBER(MATCH(C1969,eq_code,0))),1,0)</f>
        <v>0.0</v>
      </c>
      <c r="X1969" s="67">
        <f>IF(AND(W1969=1,E1969="Préventif"),1,0)</f>
        <v>0.0</v>
      </c>
      <c r="Y1969" s="67">
        <f>IF(AND(ISNUMBER(N1969),N(N1969)&gt;0),N(N1969),0)</f>
        <v>0.0</v>
      </c>
      <c r="Z1969" s="67">
        <f>IF(AND(ISNUMBER(P1969),N(P1969)&gt;0),N(P1969),0)</f>
        <v>0.0</v>
      </c>
    </row>
    <row r="1970">
      <c r="A1970" s="79" t="str">
        <f>IF(COUNTA(B1970:C1970,E1970:G1970,I1970)=0,"","BI-"&amp;RIGHT("0000"&amp;(ROW()-5),4))</f>
        <v/>
      </c>
      <c r="B1970" s="72" t="n"/>
      <c r="C1970" s="66" t="n"/>
      <c r="D1970" s="67" t="str">
        <f>IF(C1970="","",IFERROR(INDEX(eq_des,MATCH(C1970,eq_code,0))&amp;"","Équipement inconnu"))</f>
        <v/>
      </c>
      <c r="E1970" s="68" t="n"/>
      <c r="F1970" s="68" t="n"/>
      <c r="G1970" s="66" t="n"/>
      <c r="H1970" s="66" t="n"/>
      <c r="I1970" s="68" t="n"/>
      <c r="J1970" s="73" t="n"/>
      <c r="K1970" s="71" t="n"/>
      <c r="L1970" s="71" t="n"/>
      <c r="M1970" s="66" t="n"/>
      <c r="N1970" s="80" t="n"/>
      <c r="O1970" s="81" t="str">
        <f>IF(A1970="","",ROUND(V1970*IFERROR(N(INDEX(tech_rate,MATCH(M1970,tech_name,0))),0),2))</f>
        <v/>
      </c>
      <c r="P1970" s="80" t="n"/>
      <c r="Q1970" s="81" t="str">
        <f>IF(A1970="","",ROUND(Y1970+O1970+Z1970,2))</f>
        <v/>
      </c>
      <c r="R1970" s="79" t="str">
        <f>IF(A1970="","",IF(S1970=0,"Date manquante ou invalide",IF(C1970="","Équipement manquant",IF(ISNA(MATCH(C1970,eq_code,0)),"Équipement inconnu",IF(E1970="","Type manquant",IF(AND(E1970&lt;&gt;"Préventif",E1970&lt;&gt;"Correctif",E1970&lt;&gt;"Amélioratif"),"Type inconnu",IF(I1970="","Statut manquant",IF(AND(I1970&lt;&gt;"Terminée",I1970&lt;&gt;"En cours",I1970&lt;&gt;"À faire",I1970&lt;&gt;"Annulée"),"Statut inconnu",IF(AND(E1970="Préventif",F1970=""),"Plan manquant (préventif)",IF(AND(F1970&lt;&gt;"",ISNA(MATCH(F1970,pl_num,0))),"Plan inconnu",IF(AND(F1970&lt;&gt;"",IFERROR(INDEX(pl_eq,MATCH(F1970,pl_num,0))&amp;"",C1970)&lt;&gt;C1970),"Plan d'un autre équipement",IF(AND(J1970&lt;&gt;"",OR(NOT(ISNUMBER(J1970)),N(J1970)&lt;0)),"Compteur invalide",IF(OR(AND(K1970&lt;&gt;"",OR(NOT(ISNUMBER(K1970)),N(K1970)&lt;0)),AND(L1970&lt;&gt;"",OR(NOT(ISNUMBER(L1970)),N(L1970)&lt;0))),"Durée invalide",IF(OR(AND(N1970&lt;&gt;"",OR(NOT(ISNUMBER(N1970)),N(N1970)&lt;0)),AND(P1970&lt;&gt;"",OR(NOT(ISNUMBER(P1970)),N(P1970)&lt;0))),"Coût invalide",IF(AND(M1970&lt;&gt;"",ISNA(MATCH(M1970,tech_name,0))),"Technicien inconnu",IF(AND(I1970="Terminée",S1970&gt;p_today),"Terminée à une date future",IF(AND(I1970="Terminée",V1970=0),"Durée d'intervention manquante",IF(AND(I1970="Terminée",E1970="Préventif",T1970=0,OR(IFERROR(INDEX(pl_trig,MATCH(F1970,pl_num,0))&amp;"","")="Compteur",IFERROR(INDEX(pl_trig,MATCH(F1970,pl_num,0))&amp;"","")="Au premier des deux")),"Compteur manquant (plan au compteur)","OK"))))))))))))))))))</f>
        <v/>
      </c>
      <c r="S1970" s="67">
        <f>IF(AND(ISNUMBER(B1970),N(B1970)&gt;0),INT(B1970),0)</f>
        <v>0.0</v>
      </c>
      <c r="T1970" s="67">
        <f>IF(AND(ISNUMBER(J1970),N(J1970)&gt;=0),N(J1970),0)</f>
        <v>0.0</v>
      </c>
      <c r="U1970" s="67">
        <f>IF(AND(ISNUMBER(K1970),N(K1970)&gt;0),N(K1970),0)</f>
        <v>0.0</v>
      </c>
      <c r="V1970" s="67">
        <f>IF(AND(ISNUMBER(L1970),N(L1970)&gt;0),N(L1970),0)</f>
        <v>0.0</v>
      </c>
      <c r="W1970" s="67">
        <f>IF(AND(I1970="Terminée",S1970&gt;0,C1970&lt;&gt;"",ISNUMBER(MATCH(C1970,eq_code,0))),1,0)</f>
        <v>0.0</v>
      </c>
      <c r="X1970" s="67">
        <f>IF(AND(W1970=1,E1970="Préventif"),1,0)</f>
        <v>0.0</v>
      </c>
      <c r="Y1970" s="67">
        <f>IF(AND(ISNUMBER(N1970),N(N1970)&gt;0),N(N1970),0)</f>
        <v>0.0</v>
      </c>
      <c r="Z1970" s="67">
        <f>IF(AND(ISNUMBER(P1970),N(P1970)&gt;0),N(P1970),0)</f>
        <v>0.0</v>
      </c>
    </row>
    <row r="1971">
      <c r="A1971" s="79" t="str">
        <f>IF(COUNTA(B1971:C1971,E1971:G1971,I1971)=0,"","BI-"&amp;RIGHT("0000"&amp;(ROW()-5),4))</f>
        <v/>
      </c>
      <c r="B1971" s="72" t="n"/>
      <c r="C1971" s="66" t="n"/>
      <c r="D1971" s="67" t="str">
        <f>IF(C1971="","",IFERROR(INDEX(eq_des,MATCH(C1971,eq_code,0))&amp;"","Équipement inconnu"))</f>
        <v/>
      </c>
      <c r="E1971" s="68" t="n"/>
      <c r="F1971" s="68" t="n"/>
      <c r="G1971" s="66" t="n"/>
      <c r="H1971" s="66" t="n"/>
      <c r="I1971" s="68" t="n"/>
      <c r="J1971" s="73" t="n"/>
      <c r="K1971" s="71" t="n"/>
      <c r="L1971" s="71" t="n"/>
      <c r="M1971" s="66" t="n"/>
      <c r="N1971" s="80" t="n"/>
      <c r="O1971" s="81" t="str">
        <f>IF(A1971="","",ROUND(V1971*IFERROR(N(INDEX(tech_rate,MATCH(M1971,tech_name,0))),0),2))</f>
        <v/>
      </c>
      <c r="P1971" s="80" t="n"/>
      <c r="Q1971" s="81" t="str">
        <f>IF(A1971="","",ROUND(Y1971+O1971+Z1971,2))</f>
        <v/>
      </c>
      <c r="R1971" s="79" t="str">
        <f>IF(A1971="","",IF(S1971=0,"Date manquante ou invalide",IF(C1971="","Équipement manquant",IF(ISNA(MATCH(C1971,eq_code,0)),"Équipement inconnu",IF(E1971="","Type manquant",IF(AND(E1971&lt;&gt;"Préventif",E1971&lt;&gt;"Correctif",E1971&lt;&gt;"Amélioratif"),"Type inconnu",IF(I1971="","Statut manquant",IF(AND(I1971&lt;&gt;"Terminée",I1971&lt;&gt;"En cours",I1971&lt;&gt;"À faire",I1971&lt;&gt;"Annulée"),"Statut inconnu",IF(AND(E1971="Préventif",F1971=""),"Plan manquant (préventif)",IF(AND(F1971&lt;&gt;"",ISNA(MATCH(F1971,pl_num,0))),"Plan inconnu",IF(AND(F1971&lt;&gt;"",IFERROR(INDEX(pl_eq,MATCH(F1971,pl_num,0))&amp;"",C1971)&lt;&gt;C1971),"Plan d'un autre équipement",IF(AND(J1971&lt;&gt;"",OR(NOT(ISNUMBER(J1971)),N(J1971)&lt;0)),"Compteur invalide",IF(OR(AND(K1971&lt;&gt;"",OR(NOT(ISNUMBER(K1971)),N(K1971)&lt;0)),AND(L1971&lt;&gt;"",OR(NOT(ISNUMBER(L1971)),N(L1971)&lt;0))),"Durée invalide",IF(OR(AND(N1971&lt;&gt;"",OR(NOT(ISNUMBER(N1971)),N(N1971)&lt;0)),AND(P1971&lt;&gt;"",OR(NOT(ISNUMBER(P1971)),N(P1971)&lt;0))),"Coût invalide",IF(AND(M1971&lt;&gt;"",ISNA(MATCH(M1971,tech_name,0))),"Technicien inconnu",IF(AND(I1971="Terminée",S1971&gt;p_today),"Terminée à une date future",IF(AND(I1971="Terminée",V1971=0),"Durée d'intervention manquante",IF(AND(I1971="Terminée",E1971="Préventif",T1971=0,OR(IFERROR(INDEX(pl_trig,MATCH(F1971,pl_num,0))&amp;"","")="Compteur",IFERROR(INDEX(pl_trig,MATCH(F1971,pl_num,0))&amp;"","")="Au premier des deux")),"Compteur manquant (plan au compteur)","OK"))))))))))))))))))</f>
        <v/>
      </c>
      <c r="S1971" s="67">
        <f>IF(AND(ISNUMBER(B1971),N(B1971)&gt;0),INT(B1971),0)</f>
        <v>0.0</v>
      </c>
      <c r="T1971" s="67">
        <f>IF(AND(ISNUMBER(J1971),N(J1971)&gt;=0),N(J1971),0)</f>
        <v>0.0</v>
      </c>
      <c r="U1971" s="67">
        <f>IF(AND(ISNUMBER(K1971),N(K1971)&gt;0),N(K1971),0)</f>
        <v>0.0</v>
      </c>
      <c r="V1971" s="67">
        <f>IF(AND(ISNUMBER(L1971),N(L1971)&gt;0),N(L1971),0)</f>
        <v>0.0</v>
      </c>
      <c r="W1971" s="67">
        <f>IF(AND(I1971="Terminée",S1971&gt;0,C1971&lt;&gt;"",ISNUMBER(MATCH(C1971,eq_code,0))),1,0)</f>
        <v>0.0</v>
      </c>
      <c r="X1971" s="67">
        <f>IF(AND(W1971=1,E1971="Préventif"),1,0)</f>
        <v>0.0</v>
      </c>
      <c r="Y1971" s="67">
        <f>IF(AND(ISNUMBER(N1971),N(N1971)&gt;0),N(N1971),0)</f>
        <v>0.0</v>
      </c>
      <c r="Z1971" s="67">
        <f>IF(AND(ISNUMBER(P1971),N(P1971)&gt;0),N(P1971),0)</f>
        <v>0.0</v>
      </c>
    </row>
    <row r="1972">
      <c r="A1972" s="79" t="str">
        <f>IF(COUNTA(B1972:C1972,E1972:G1972,I1972)=0,"","BI-"&amp;RIGHT("0000"&amp;(ROW()-5),4))</f>
        <v/>
      </c>
      <c r="B1972" s="72" t="n"/>
      <c r="C1972" s="66" t="n"/>
      <c r="D1972" s="67" t="str">
        <f>IF(C1972="","",IFERROR(INDEX(eq_des,MATCH(C1972,eq_code,0))&amp;"","Équipement inconnu"))</f>
        <v/>
      </c>
      <c r="E1972" s="68" t="n"/>
      <c r="F1972" s="68" t="n"/>
      <c r="G1972" s="66" t="n"/>
      <c r="H1972" s="66" t="n"/>
      <c r="I1972" s="68" t="n"/>
      <c r="J1972" s="73" t="n"/>
      <c r="K1972" s="71" t="n"/>
      <c r="L1972" s="71" t="n"/>
      <c r="M1972" s="66" t="n"/>
      <c r="N1972" s="80" t="n"/>
      <c r="O1972" s="81" t="str">
        <f>IF(A1972="","",ROUND(V1972*IFERROR(N(INDEX(tech_rate,MATCH(M1972,tech_name,0))),0),2))</f>
        <v/>
      </c>
      <c r="P1972" s="80" t="n"/>
      <c r="Q1972" s="81" t="str">
        <f>IF(A1972="","",ROUND(Y1972+O1972+Z1972,2))</f>
        <v/>
      </c>
      <c r="R1972" s="79" t="str">
        <f>IF(A1972="","",IF(S1972=0,"Date manquante ou invalide",IF(C1972="","Équipement manquant",IF(ISNA(MATCH(C1972,eq_code,0)),"Équipement inconnu",IF(E1972="","Type manquant",IF(AND(E1972&lt;&gt;"Préventif",E1972&lt;&gt;"Correctif",E1972&lt;&gt;"Amélioratif"),"Type inconnu",IF(I1972="","Statut manquant",IF(AND(I1972&lt;&gt;"Terminée",I1972&lt;&gt;"En cours",I1972&lt;&gt;"À faire",I1972&lt;&gt;"Annulée"),"Statut inconnu",IF(AND(E1972="Préventif",F1972=""),"Plan manquant (préventif)",IF(AND(F1972&lt;&gt;"",ISNA(MATCH(F1972,pl_num,0))),"Plan inconnu",IF(AND(F1972&lt;&gt;"",IFERROR(INDEX(pl_eq,MATCH(F1972,pl_num,0))&amp;"",C1972)&lt;&gt;C1972),"Plan d'un autre équipement",IF(AND(J1972&lt;&gt;"",OR(NOT(ISNUMBER(J1972)),N(J1972)&lt;0)),"Compteur invalide",IF(OR(AND(K1972&lt;&gt;"",OR(NOT(ISNUMBER(K1972)),N(K1972)&lt;0)),AND(L1972&lt;&gt;"",OR(NOT(ISNUMBER(L1972)),N(L1972)&lt;0))),"Durée invalide",IF(OR(AND(N1972&lt;&gt;"",OR(NOT(ISNUMBER(N1972)),N(N1972)&lt;0)),AND(P1972&lt;&gt;"",OR(NOT(ISNUMBER(P1972)),N(P1972)&lt;0))),"Coût invalide",IF(AND(M1972&lt;&gt;"",ISNA(MATCH(M1972,tech_name,0))),"Technicien inconnu",IF(AND(I1972="Terminée",S1972&gt;p_today),"Terminée à une date future",IF(AND(I1972="Terminée",V1972=0),"Durée d'intervention manquante",IF(AND(I1972="Terminée",E1972="Préventif",T1972=0,OR(IFERROR(INDEX(pl_trig,MATCH(F1972,pl_num,0))&amp;"","")="Compteur",IFERROR(INDEX(pl_trig,MATCH(F1972,pl_num,0))&amp;"","")="Au premier des deux")),"Compteur manquant (plan au compteur)","OK"))))))))))))))))))</f>
        <v/>
      </c>
      <c r="S1972" s="67">
        <f>IF(AND(ISNUMBER(B1972),N(B1972)&gt;0),INT(B1972),0)</f>
        <v>0.0</v>
      </c>
      <c r="T1972" s="67">
        <f>IF(AND(ISNUMBER(J1972),N(J1972)&gt;=0),N(J1972),0)</f>
        <v>0.0</v>
      </c>
      <c r="U1972" s="67">
        <f>IF(AND(ISNUMBER(K1972),N(K1972)&gt;0),N(K1972),0)</f>
        <v>0.0</v>
      </c>
      <c r="V1972" s="67">
        <f>IF(AND(ISNUMBER(L1972),N(L1972)&gt;0),N(L1972),0)</f>
        <v>0.0</v>
      </c>
      <c r="W1972" s="67">
        <f>IF(AND(I1972="Terminée",S1972&gt;0,C1972&lt;&gt;"",ISNUMBER(MATCH(C1972,eq_code,0))),1,0)</f>
        <v>0.0</v>
      </c>
      <c r="X1972" s="67">
        <f>IF(AND(W1972=1,E1972="Préventif"),1,0)</f>
        <v>0.0</v>
      </c>
      <c r="Y1972" s="67">
        <f>IF(AND(ISNUMBER(N1972),N(N1972)&gt;0),N(N1972),0)</f>
        <v>0.0</v>
      </c>
      <c r="Z1972" s="67">
        <f>IF(AND(ISNUMBER(P1972),N(P1972)&gt;0),N(P1972),0)</f>
        <v>0.0</v>
      </c>
    </row>
    <row r="1973">
      <c r="A1973" s="79" t="str">
        <f>IF(COUNTA(B1973:C1973,E1973:G1973,I1973)=0,"","BI-"&amp;RIGHT("0000"&amp;(ROW()-5),4))</f>
        <v/>
      </c>
      <c r="B1973" s="72" t="n"/>
      <c r="C1973" s="66" t="n"/>
      <c r="D1973" s="67" t="str">
        <f>IF(C1973="","",IFERROR(INDEX(eq_des,MATCH(C1973,eq_code,0))&amp;"","Équipement inconnu"))</f>
        <v/>
      </c>
      <c r="E1973" s="68" t="n"/>
      <c r="F1973" s="68" t="n"/>
      <c r="G1973" s="66" t="n"/>
      <c r="H1973" s="66" t="n"/>
      <c r="I1973" s="68" t="n"/>
      <c r="J1973" s="73" t="n"/>
      <c r="K1973" s="71" t="n"/>
      <c r="L1973" s="71" t="n"/>
      <c r="M1973" s="66" t="n"/>
      <c r="N1973" s="80" t="n"/>
      <c r="O1973" s="81" t="str">
        <f>IF(A1973="","",ROUND(V1973*IFERROR(N(INDEX(tech_rate,MATCH(M1973,tech_name,0))),0),2))</f>
        <v/>
      </c>
      <c r="P1973" s="80" t="n"/>
      <c r="Q1973" s="81" t="str">
        <f>IF(A1973="","",ROUND(Y1973+O1973+Z1973,2))</f>
        <v/>
      </c>
      <c r="R1973" s="79" t="str">
        <f>IF(A1973="","",IF(S1973=0,"Date manquante ou invalide",IF(C1973="","Équipement manquant",IF(ISNA(MATCH(C1973,eq_code,0)),"Équipement inconnu",IF(E1973="","Type manquant",IF(AND(E1973&lt;&gt;"Préventif",E1973&lt;&gt;"Correctif",E1973&lt;&gt;"Amélioratif"),"Type inconnu",IF(I1973="","Statut manquant",IF(AND(I1973&lt;&gt;"Terminée",I1973&lt;&gt;"En cours",I1973&lt;&gt;"À faire",I1973&lt;&gt;"Annulée"),"Statut inconnu",IF(AND(E1973="Préventif",F1973=""),"Plan manquant (préventif)",IF(AND(F1973&lt;&gt;"",ISNA(MATCH(F1973,pl_num,0))),"Plan inconnu",IF(AND(F1973&lt;&gt;"",IFERROR(INDEX(pl_eq,MATCH(F1973,pl_num,0))&amp;"",C1973)&lt;&gt;C1973),"Plan d'un autre équipement",IF(AND(J1973&lt;&gt;"",OR(NOT(ISNUMBER(J1973)),N(J1973)&lt;0)),"Compteur invalide",IF(OR(AND(K1973&lt;&gt;"",OR(NOT(ISNUMBER(K1973)),N(K1973)&lt;0)),AND(L1973&lt;&gt;"",OR(NOT(ISNUMBER(L1973)),N(L1973)&lt;0))),"Durée invalide",IF(OR(AND(N1973&lt;&gt;"",OR(NOT(ISNUMBER(N1973)),N(N1973)&lt;0)),AND(P1973&lt;&gt;"",OR(NOT(ISNUMBER(P1973)),N(P1973)&lt;0))),"Coût invalide",IF(AND(M1973&lt;&gt;"",ISNA(MATCH(M1973,tech_name,0))),"Technicien inconnu",IF(AND(I1973="Terminée",S1973&gt;p_today),"Terminée à une date future",IF(AND(I1973="Terminée",V1973=0),"Durée d'intervention manquante",IF(AND(I1973="Terminée",E1973="Préventif",T1973=0,OR(IFERROR(INDEX(pl_trig,MATCH(F1973,pl_num,0))&amp;"","")="Compteur",IFERROR(INDEX(pl_trig,MATCH(F1973,pl_num,0))&amp;"","")="Au premier des deux")),"Compteur manquant (plan au compteur)","OK"))))))))))))))))))</f>
        <v/>
      </c>
      <c r="S1973" s="67">
        <f>IF(AND(ISNUMBER(B1973),N(B1973)&gt;0),INT(B1973),0)</f>
        <v>0.0</v>
      </c>
      <c r="T1973" s="67">
        <f>IF(AND(ISNUMBER(J1973),N(J1973)&gt;=0),N(J1973),0)</f>
        <v>0.0</v>
      </c>
      <c r="U1973" s="67">
        <f>IF(AND(ISNUMBER(K1973),N(K1973)&gt;0),N(K1973),0)</f>
        <v>0.0</v>
      </c>
      <c r="V1973" s="67">
        <f>IF(AND(ISNUMBER(L1973),N(L1973)&gt;0),N(L1973),0)</f>
        <v>0.0</v>
      </c>
      <c r="W1973" s="67">
        <f>IF(AND(I1973="Terminée",S1973&gt;0,C1973&lt;&gt;"",ISNUMBER(MATCH(C1973,eq_code,0))),1,0)</f>
        <v>0.0</v>
      </c>
      <c r="X1973" s="67">
        <f>IF(AND(W1973=1,E1973="Préventif"),1,0)</f>
        <v>0.0</v>
      </c>
      <c r="Y1973" s="67">
        <f>IF(AND(ISNUMBER(N1973),N(N1973)&gt;0),N(N1973),0)</f>
        <v>0.0</v>
      </c>
      <c r="Z1973" s="67">
        <f>IF(AND(ISNUMBER(P1973),N(P1973)&gt;0),N(P1973),0)</f>
        <v>0.0</v>
      </c>
    </row>
    <row r="1974">
      <c r="A1974" s="79" t="str">
        <f>IF(COUNTA(B1974:C1974,E1974:G1974,I1974)=0,"","BI-"&amp;RIGHT("0000"&amp;(ROW()-5),4))</f>
        <v/>
      </c>
      <c r="B1974" s="72" t="n"/>
      <c r="C1974" s="66" t="n"/>
      <c r="D1974" s="67" t="str">
        <f>IF(C1974="","",IFERROR(INDEX(eq_des,MATCH(C1974,eq_code,0))&amp;"","Équipement inconnu"))</f>
        <v/>
      </c>
      <c r="E1974" s="68" t="n"/>
      <c r="F1974" s="68" t="n"/>
      <c r="G1974" s="66" t="n"/>
      <c r="H1974" s="66" t="n"/>
      <c r="I1974" s="68" t="n"/>
      <c r="J1974" s="73" t="n"/>
      <c r="K1974" s="71" t="n"/>
      <c r="L1974" s="71" t="n"/>
      <c r="M1974" s="66" t="n"/>
      <c r="N1974" s="80" t="n"/>
      <c r="O1974" s="81" t="str">
        <f>IF(A1974="","",ROUND(V1974*IFERROR(N(INDEX(tech_rate,MATCH(M1974,tech_name,0))),0),2))</f>
        <v/>
      </c>
      <c r="P1974" s="80" t="n"/>
      <c r="Q1974" s="81" t="str">
        <f>IF(A1974="","",ROUND(Y1974+O1974+Z1974,2))</f>
        <v/>
      </c>
      <c r="R1974" s="79" t="str">
        <f>IF(A1974="","",IF(S1974=0,"Date manquante ou invalide",IF(C1974="","Équipement manquant",IF(ISNA(MATCH(C1974,eq_code,0)),"Équipement inconnu",IF(E1974="","Type manquant",IF(AND(E1974&lt;&gt;"Préventif",E1974&lt;&gt;"Correctif",E1974&lt;&gt;"Amélioratif"),"Type inconnu",IF(I1974="","Statut manquant",IF(AND(I1974&lt;&gt;"Terminée",I1974&lt;&gt;"En cours",I1974&lt;&gt;"À faire",I1974&lt;&gt;"Annulée"),"Statut inconnu",IF(AND(E1974="Préventif",F1974=""),"Plan manquant (préventif)",IF(AND(F1974&lt;&gt;"",ISNA(MATCH(F1974,pl_num,0))),"Plan inconnu",IF(AND(F1974&lt;&gt;"",IFERROR(INDEX(pl_eq,MATCH(F1974,pl_num,0))&amp;"",C1974)&lt;&gt;C1974),"Plan d'un autre équipement",IF(AND(J1974&lt;&gt;"",OR(NOT(ISNUMBER(J1974)),N(J1974)&lt;0)),"Compteur invalide",IF(OR(AND(K1974&lt;&gt;"",OR(NOT(ISNUMBER(K1974)),N(K1974)&lt;0)),AND(L1974&lt;&gt;"",OR(NOT(ISNUMBER(L1974)),N(L1974)&lt;0))),"Durée invalide",IF(OR(AND(N1974&lt;&gt;"",OR(NOT(ISNUMBER(N1974)),N(N1974)&lt;0)),AND(P1974&lt;&gt;"",OR(NOT(ISNUMBER(P1974)),N(P1974)&lt;0))),"Coût invalide",IF(AND(M1974&lt;&gt;"",ISNA(MATCH(M1974,tech_name,0))),"Technicien inconnu",IF(AND(I1974="Terminée",S1974&gt;p_today),"Terminée à une date future",IF(AND(I1974="Terminée",V1974=0),"Durée d'intervention manquante",IF(AND(I1974="Terminée",E1974="Préventif",T1974=0,OR(IFERROR(INDEX(pl_trig,MATCH(F1974,pl_num,0))&amp;"","")="Compteur",IFERROR(INDEX(pl_trig,MATCH(F1974,pl_num,0))&amp;"","")="Au premier des deux")),"Compteur manquant (plan au compteur)","OK"))))))))))))))))))</f>
        <v/>
      </c>
      <c r="S1974" s="67">
        <f>IF(AND(ISNUMBER(B1974),N(B1974)&gt;0),INT(B1974),0)</f>
        <v>0.0</v>
      </c>
      <c r="T1974" s="67">
        <f>IF(AND(ISNUMBER(J1974),N(J1974)&gt;=0),N(J1974),0)</f>
        <v>0.0</v>
      </c>
      <c r="U1974" s="67">
        <f>IF(AND(ISNUMBER(K1974),N(K1974)&gt;0),N(K1974),0)</f>
        <v>0.0</v>
      </c>
      <c r="V1974" s="67">
        <f>IF(AND(ISNUMBER(L1974),N(L1974)&gt;0),N(L1974),0)</f>
        <v>0.0</v>
      </c>
      <c r="W1974" s="67">
        <f>IF(AND(I1974="Terminée",S1974&gt;0,C1974&lt;&gt;"",ISNUMBER(MATCH(C1974,eq_code,0))),1,0)</f>
        <v>0.0</v>
      </c>
      <c r="X1974" s="67">
        <f>IF(AND(W1974=1,E1974="Préventif"),1,0)</f>
        <v>0.0</v>
      </c>
      <c r="Y1974" s="67">
        <f>IF(AND(ISNUMBER(N1974),N(N1974)&gt;0),N(N1974),0)</f>
        <v>0.0</v>
      </c>
      <c r="Z1974" s="67">
        <f>IF(AND(ISNUMBER(P1974),N(P1974)&gt;0),N(P1974),0)</f>
        <v>0.0</v>
      </c>
    </row>
    <row r="1975">
      <c r="A1975" s="79" t="str">
        <f>IF(COUNTA(B1975:C1975,E1975:G1975,I1975)=0,"","BI-"&amp;RIGHT("0000"&amp;(ROW()-5),4))</f>
        <v/>
      </c>
      <c r="B1975" s="72" t="n"/>
      <c r="C1975" s="66" t="n"/>
      <c r="D1975" s="67" t="str">
        <f>IF(C1975="","",IFERROR(INDEX(eq_des,MATCH(C1975,eq_code,0))&amp;"","Équipement inconnu"))</f>
        <v/>
      </c>
      <c r="E1975" s="68" t="n"/>
      <c r="F1975" s="68" t="n"/>
      <c r="G1975" s="66" t="n"/>
      <c r="H1975" s="66" t="n"/>
      <c r="I1975" s="68" t="n"/>
      <c r="J1975" s="73" t="n"/>
      <c r="K1975" s="71" t="n"/>
      <c r="L1975" s="71" t="n"/>
      <c r="M1975" s="66" t="n"/>
      <c r="N1975" s="80" t="n"/>
      <c r="O1975" s="81" t="str">
        <f>IF(A1975="","",ROUND(V1975*IFERROR(N(INDEX(tech_rate,MATCH(M1975,tech_name,0))),0),2))</f>
        <v/>
      </c>
      <c r="P1975" s="80" t="n"/>
      <c r="Q1975" s="81" t="str">
        <f>IF(A1975="","",ROUND(Y1975+O1975+Z1975,2))</f>
        <v/>
      </c>
      <c r="R1975" s="79" t="str">
        <f>IF(A1975="","",IF(S1975=0,"Date manquante ou invalide",IF(C1975="","Équipement manquant",IF(ISNA(MATCH(C1975,eq_code,0)),"Équipement inconnu",IF(E1975="","Type manquant",IF(AND(E1975&lt;&gt;"Préventif",E1975&lt;&gt;"Correctif",E1975&lt;&gt;"Amélioratif"),"Type inconnu",IF(I1975="","Statut manquant",IF(AND(I1975&lt;&gt;"Terminée",I1975&lt;&gt;"En cours",I1975&lt;&gt;"À faire",I1975&lt;&gt;"Annulée"),"Statut inconnu",IF(AND(E1975="Préventif",F1975=""),"Plan manquant (préventif)",IF(AND(F1975&lt;&gt;"",ISNA(MATCH(F1975,pl_num,0))),"Plan inconnu",IF(AND(F1975&lt;&gt;"",IFERROR(INDEX(pl_eq,MATCH(F1975,pl_num,0))&amp;"",C1975)&lt;&gt;C1975),"Plan d'un autre équipement",IF(AND(J1975&lt;&gt;"",OR(NOT(ISNUMBER(J1975)),N(J1975)&lt;0)),"Compteur invalide",IF(OR(AND(K1975&lt;&gt;"",OR(NOT(ISNUMBER(K1975)),N(K1975)&lt;0)),AND(L1975&lt;&gt;"",OR(NOT(ISNUMBER(L1975)),N(L1975)&lt;0))),"Durée invalide",IF(OR(AND(N1975&lt;&gt;"",OR(NOT(ISNUMBER(N1975)),N(N1975)&lt;0)),AND(P1975&lt;&gt;"",OR(NOT(ISNUMBER(P1975)),N(P1975)&lt;0))),"Coût invalide",IF(AND(M1975&lt;&gt;"",ISNA(MATCH(M1975,tech_name,0))),"Technicien inconnu",IF(AND(I1975="Terminée",S1975&gt;p_today),"Terminée à une date future",IF(AND(I1975="Terminée",V1975=0),"Durée d'intervention manquante",IF(AND(I1975="Terminée",E1975="Préventif",T1975=0,OR(IFERROR(INDEX(pl_trig,MATCH(F1975,pl_num,0))&amp;"","")="Compteur",IFERROR(INDEX(pl_trig,MATCH(F1975,pl_num,0))&amp;"","")="Au premier des deux")),"Compteur manquant (plan au compteur)","OK"))))))))))))))))))</f>
        <v/>
      </c>
      <c r="S1975" s="67">
        <f>IF(AND(ISNUMBER(B1975),N(B1975)&gt;0),INT(B1975),0)</f>
        <v>0.0</v>
      </c>
      <c r="T1975" s="67">
        <f>IF(AND(ISNUMBER(J1975),N(J1975)&gt;=0),N(J1975),0)</f>
        <v>0.0</v>
      </c>
      <c r="U1975" s="67">
        <f>IF(AND(ISNUMBER(K1975),N(K1975)&gt;0),N(K1975),0)</f>
        <v>0.0</v>
      </c>
      <c r="V1975" s="67">
        <f>IF(AND(ISNUMBER(L1975),N(L1975)&gt;0),N(L1975),0)</f>
        <v>0.0</v>
      </c>
      <c r="W1975" s="67">
        <f>IF(AND(I1975="Terminée",S1975&gt;0,C1975&lt;&gt;"",ISNUMBER(MATCH(C1975,eq_code,0))),1,0)</f>
        <v>0.0</v>
      </c>
      <c r="X1975" s="67">
        <f>IF(AND(W1975=1,E1975="Préventif"),1,0)</f>
        <v>0.0</v>
      </c>
      <c r="Y1975" s="67">
        <f>IF(AND(ISNUMBER(N1975),N(N1975)&gt;0),N(N1975),0)</f>
        <v>0.0</v>
      </c>
      <c r="Z1975" s="67">
        <f>IF(AND(ISNUMBER(P1975),N(P1975)&gt;0),N(P1975),0)</f>
        <v>0.0</v>
      </c>
    </row>
    <row r="1976">
      <c r="A1976" s="79" t="str">
        <f>IF(COUNTA(B1976:C1976,E1976:G1976,I1976)=0,"","BI-"&amp;RIGHT("0000"&amp;(ROW()-5),4))</f>
        <v/>
      </c>
      <c r="B1976" s="72" t="n"/>
      <c r="C1976" s="66" t="n"/>
      <c r="D1976" s="67" t="str">
        <f>IF(C1976="","",IFERROR(INDEX(eq_des,MATCH(C1976,eq_code,0))&amp;"","Équipement inconnu"))</f>
        <v/>
      </c>
      <c r="E1976" s="68" t="n"/>
      <c r="F1976" s="68" t="n"/>
      <c r="G1976" s="66" t="n"/>
      <c r="H1976" s="66" t="n"/>
      <c r="I1976" s="68" t="n"/>
      <c r="J1976" s="73" t="n"/>
      <c r="K1976" s="71" t="n"/>
      <c r="L1976" s="71" t="n"/>
      <c r="M1976" s="66" t="n"/>
      <c r="N1976" s="80" t="n"/>
      <c r="O1976" s="81" t="str">
        <f>IF(A1976="","",ROUND(V1976*IFERROR(N(INDEX(tech_rate,MATCH(M1976,tech_name,0))),0),2))</f>
        <v/>
      </c>
      <c r="P1976" s="80" t="n"/>
      <c r="Q1976" s="81" t="str">
        <f>IF(A1976="","",ROUND(Y1976+O1976+Z1976,2))</f>
        <v/>
      </c>
      <c r="R1976" s="79" t="str">
        <f>IF(A1976="","",IF(S1976=0,"Date manquante ou invalide",IF(C1976="","Équipement manquant",IF(ISNA(MATCH(C1976,eq_code,0)),"Équipement inconnu",IF(E1976="","Type manquant",IF(AND(E1976&lt;&gt;"Préventif",E1976&lt;&gt;"Correctif",E1976&lt;&gt;"Amélioratif"),"Type inconnu",IF(I1976="","Statut manquant",IF(AND(I1976&lt;&gt;"Terminée",I1976&lt;&gt;"En cours",I1976&lt;&gt;"À faire",I1976&lt;&gt;"Annulée"),"Statut inconnu",IF(AND(E1976="Préventif",F1976=""),"Plan manquant (préventif)",IF(AND(F1976&lt;&gt;"",ISNA(MATCH(F1976,pl_num,0))),"Plan inconnu",IF(AND(F1976&lt;&gt;"",IFERROR(INDEX(pl_eq,MATCH(F1976,pl_num,0))&amp;"",C1976)&lt;&gt;C1976),"Plan d'un autre équipement",IF(AND(J1976&lt;&gt;"",OR(NOT(ISNUMBER(J1976)),N(J1976)&lt;0)),"Compteur invalide",IF(OR(AND(K1976&lt;&gt;"",OR(NOT(ISNUMBER(K1976)),N(K1976)&lt;0)),AND(L1976&lt;&gt;"",OR(NOT(ISNUMBER(L1976)),N(L1976)&lt;0))),"Durée invalide",IF(OR(AND(N1976&lt;&gt;"",OR(NOT(ISNUMBER(N1976)),N(N1976)&lt;0)),AND(P1976&lt;&gt;"",OR(NOT(ISNUMBER(P1976)),N(P1976)&lt;0))),"Coût invalide",IF(AND(M1976&lt;&gt;"",ISNA(MATCH(M1976,tech_name,0))),"Technicien inconnu",IF(AND(I1976="Terminée",S1976&gt;p_today),"Terminée à une date future",IF(AND(I1976="Terminée",V1976=0),"Durée d'intervention manquante",IF(AND(I1976="Terminée",E1976="Préventif",T1976=0,OR(IFERROR(INDEX(pl_trig,MATCH(F1976,pl_num,0))&amp;"","")="Compteur",IFERROR(INDEX(pl_trig,MATCH(F1976,pl_num,0))&amp;"","")="Au premier des deux")),"Compteur manquant (plan au compteur)","OK"))))))))))))))))))</f>
        <v/>
      </c>
      <c r="S1976" s="67">
        <f>IF(AND(ISNUMBER(B1976),N(B1976)&gt;0),INT(B1976),0)</f>
        <v>0.0</v>
      </c>
      <c r="T1976" s="67">
        <f>IF(AND(ISNUMBER(J1976),N(J1976)&gt;=0),N(J1976),0)</f>
        <v>0.0</v>
      </c>
      <c r="U1976" s="67">
        <f>IF(AND(ISNUMBER(K1976),N(K1976)&gt;0),N(K1976),0)</f>
        <v>0.0</v>
      </c>
      <c r="V1976" s="67">
        <f>IF(AND(ISNUMBER(L1976),N(L1976)&gt;0),N(L1976),0)</f>
        <v>0.0</v>
      </c>
      <c r="W1976" s="67">
        <f>IF(AND(I1976="Terminée",S1976&gt;0,C1976&lt;&gt;"",ISNUMBER(MATCH(C1976,eq_code,0))),1,0)</f>
        <v>0.0</v>
      </c>
      <c r="X1976" s="67">
        <f>IF(AND(W1976=1,E1976="Préventif"),1,0)</f>
        <v>0.0</v>
      </c>
      <c r="Y1976" s="67">
        <f>IF(AND(ISNUMBER(N1976),N(N1976)&gt;0),N(N1976),0)</f>
        <v>0.0</v>
      </c>
      <c r="Z1976" s="67">
        <f>IF(AND(ISNUMBER(P1976),N(P1976)&gt;0),N(P1976),0)</f>
        <v>0.0</v>
      </c>
    </row>
    <row r="1977">
      <c r="A1977" s="79" t="str">
        <f>IF(COUNTA(B1977:C1977,E1977:G1977,I1977)=0,"","BI-"&amp;RIGHT("0000"&amp;(ROW()-5),4))</f>
        <v/>
      </c>
      <c r="B1977" s="72" t="n"/>
      <c r="C1977" s="66" t="n"/>
      <c r="D1977" s="67" t="str">
        <f>IF(C1977="","",IFERROR(INDEX(eq_des,MATCH(C1977,eq_code,0))&amp;"","Équipement inconnu"))</f>
        <v/>
      </c>
      <c r="E1977" s="68" t="n"/>
      <c r="F1977" s="68" t="n"/>
      <c r="G1977" s="66" t="n"/>
      <c r="H1977" s="66" t="n"/>
      <c r="I1977" s="68" t="n"/>
      <c r="J1977" s="73" t="n"/>
      <c r="K1977" s="71" t="n"/>
      <c r="L1977" s="71" t="n"/>
      <c r="M1977" s="66" t="n"/>
      <c r="N1977" s="80" t="n"/>
      <c r="O1977" s="81" t="str">
        <f>IF(A1977="","",ROUND(V1977*IFERROR(N(INDEX(tech_rate,MATCH(M1977,tech_name,0))),0),2))</f>
        <v/>
      </c>
      <c r="P1977" s="80" t="n"/>
      <c r="Q1977" s="81" t="str">
        <f>IF(A1977="","",ROUND(Y1977+O1977+Z1977,2))</f>
        <v/>
      </c>
      <c r="R1977" s="79" t="str">
        <f>IF(A1977="","",IF(S1977=0,"Date manquante ou invalide",IF(C1977="","Équipement manquant",IF(ISNA(MATCH(C1977,eq_code,0)),"Équipement inconnu",IF(E1977="","Type manquant",IF(AND(E1977&lt;&gt;"Préventif",E1977&lt;&gt;"Correctif",E1977&lt;&gt;"Amélioratif"),"Type inconnu",IF(I1977="","Statut manquant",IF(AND(I1977&lt;&gt;"Terminée",I1977&lt;&gt;"En cours",I1977&lt;&gt;"À faire",I1977&lt;&gt;"Annulée"),"Statut inconnu",IF(AND(E1977="Préventif",F1977=""),"Plan manquant (préventif)",IF(AND(F1977&lt;&gt;"",ISNA(MATCH(F1977,pl_num,0))),"Plan inconnu",IF(AND(F1977&lt;&gt;"",IFERROR(INDEX(pl_eq,MATCH(F1977,pl_num,0))&amp;"",C1977)&lt;&gt;C1977),"Plan d'un autre équipement",IF(AND(J1977&lt;&gt;"",OR(NOT(ISNUMBER(J1977)),N(J1977)&lt;0)),"Compteur invalide",IF(OR(AND(K1977&lt;&gt;"",OR(NOT(ISNUMBER(K1977)),N(K1977)&lt;0)),AND(L1977&lt;&gt;"",OR(NOT(ISNUMBER(L1977)),N(L1977)&lt;0))),"Durée invalide",IF(OR(AND(N1977&lt;&gt;"",OR(NOT(ISNUMBER(N1977)),N(N1977)&lt;0)),AND(P1977&lt;&gt;"",OR(NOT(ISNUMBER(P1977)),N(P1977)&lt;0))),"Coût invalide",IF(AND(M1977&lt;&gt;"",ISNA(MATCH(M1977,tech_name,0))),"Technicien inconnu",IF(AND(I1977="Terminée",S1977&gt;p_today),"Terminée à une date future",IF(AND(I1977="Terminée",V1977=0),"Durée d'intervention manquante",IF(AND(I1977="Terminée",E1977="Préventif",T1977=0,OR(IFERROR(INDEX(pl_trig,MATCH(F1977,pl_num,0))&amp;"","")="Compteur",IFERROR(INDEX(pl_trig,MATCH(F1977,pl_num,0))&amp;"","")="Au premier des deux")),"Compteur manquant (plan au compteur)","OK"))))))))))))))))))</f>
        <v/>
      </c>
      <c r="S1977" s="67">
        <f>IF(AND(ISNUMBER(B1977),N(B1977)&gt;0),INT(B1977),0)</f>
        <v>0.0</v>
      </c>
      <c r="T1977" s="67">
        <f>IF(AND(ISNUMBER(J1977),N(J1977)&gt;=0),N(J1977),0)</f>
        <v>0.0</v>
      </c>
      <c r="U1977" s="67">
        <f>IF(AND(ISNUMBER(K1977),N(K1977)&gt;0),N(K1977),0)</f>
        <v>0.0</v>
      </c>
      <c r="V1977" s="67">
        <f>IF(AND(ISNUMBER(L1977),N(L1977)&gt;0),N(L1977),0)</f>
        <v>0.0</v>
      </c>
      <c r="W1977" s="67">
        <f>IF(AND(I1977="Terminée",S1977&gt;0,C1977&lt;&gt;"",ISNUMBER(MATCH(C1977,eq_code,0))),1,0)</f>
        <v>0.0</v>
      </c>
      <c r="X1977" s="67">
        <f>IF(AND(W1977=1,E1977="Préventif"),1,0)</f>
        <v>0.0</v>
      </c>
      <c r="Y1977" s="67">
        <f>IF(AND(ISNUMBER(N1977),N(N1977)&gt;0),N(N1977),0)</f>
        <v>0.0</v>
      </c>
      <c r="Z1977" s="67">
        <f>IF(AND(ISNUMBER(P1977),N(P1977)&gt;0),N(P1977),0)</f>
        <v>0.0</v>
      </c>
    </row>
    <row r="1978">
      <c r="A1978" s="79" t="str">
        <f>IF(COUNTA(B1978:C1978,E1978:G1978,I1978)=0,"","BI-"&amp;RIGHT("0000"&amp;(ROW()-5),4))</f>
        <v/>
      </c>
      <c r="B1978" s="72" t="n"/>
      <c r="C1978" s="66" t="n"/>
      <c r="D1978" s="67" t="str">
        <f>IF(C1978="","",IFERROR(INDEX(eq_des,MATCH(C1978,eq_code,0))&amp;"","Équipement inconnu"))</f>
        <v/>
      </c>
      <c r="E1978" s="68" t="n"/>
      <c r="F1978" s="68" t="n"/>
      <c r="G1978" s="66" t="n"/>
      <c r="H1978" s="66" t="n"/>
      <c r="I1978" s="68" t="n"/>
      <c r="J1978" s="73" t="n"/>
      <c r="K1978" s="71" t="n"/>
      <c r="L1978" s="71" t="n"/>
      <c r="M1978" s="66" t="n"/>
      <c r="N1978" s="80" t="n"/>
      <c r="O1978" s="81" t="str">
        <f>IF(A1978="","",ROUND(V1978*IFERROR(N(INDEX(tech_rate,MATCH(M1978,tech_name,0))),0),2))</f>
        <v/>
      </c>
      <c r="P1978" s="80" t="n"/>
      <c r="Q1978" s="81" t="str">
        <f>IF(A1978="","",ROUND(Y1978+O1978+Z1978,2))</f>
        <v/>
      </c>
      <c r="R1978" s="79" t="str">
        <f>IF(A1978="","",IF(S1978=0,"Date manquante ou invalide",IF(C1978="","Équipement manquant",IF(ISNA(MATCH(C1978,eq_code,0)),"Équipement inconnu",IF(E1978="","Type manquant",IF(AND(E1978&lt;&gt;"Préventif",E1978&lt;&gt;"Correctif",E1978&lt;&gt;"Amélioratif"),"Type inconnu",IF(I1978="","Statut manquant",IF(AND(I1978&lt;&gt;"Terminée",I1978&lt;&gt;"En cours",I1978&lt;&gt;"À faire",I1978&lt;&gt;"Annulée"),"Statut inconnu",IF(AND(E1978="Préventif",F1978=""),"Plan manquant (préventif)",IF(AND(F1978&lt;&gt;"",ISNA(MATCH(F1978,pl_num,0))),"Plan inconnu",IF(AND(F1978&lt;&gt;"",IFERROR(INDEX(pl_eq,MATCH(F1978,pl_num,0))&amp;"",C1978)&lt;&gt;C1978),"Plan d'un autre équipement",IF(AND(J1978&lt;&gt;"",OR(NOT(ISNUMBER(J1978)),N(J1978)&lt;0)),"Compteur invalide",IF(OR(AND(K1978&lt;&gt;"",OR(NOT(ISNUMBER(K1978)),N(K1978)&lt;0)),AND(L1978&lt;&gt;"",OR(NOT(ISNUMBER(L1978)),N(L1978)&lt;0))),"Durée invalide",IF(OR(AND(N1978&lt;&gt;"",OR(NOT(ISNUMBER(N1978)),N(N1978)&lt;0)),AND(P1978&lt;&gt;"",OR(NOT(ISNUMBER(P1978)),N(P1978)&lt;0))),"Coût invalide",IF(AND(M1978&lt;&gt;"",ISNA(MATCH(M1978,tech_name,0))),"Technicien inconnu",IF(AND(I1978="Terminée",S1978&gt;p_today),"Terminée à une date future",IF(AND(I1978="Terminée",V1978=0),"Durée d'intervention manquante",IF(AND(I1978="Terminée",E1978="Préventif",T1978=0,OR(IFERROR(INDEX(pl_trig,MATCH(F1978,pl_num,0))&amp;"","")="Compteur",IFERROR(INDEX(pl_trig,MATCH(F1978,pl_num,0))&amp;"","")="Au premier des deux")),"Compteur manquant (plan au compteur)","OK"))))))))))))))))))</f>
        <v/>
      </c>
      <c r="S1978" s="67">
        <f>IF(AND(ISNUMBER(B1978),N(B1978)&gt;0),INT(B1978),0)</f>
        <v>0.0</v>
      </c>
      <c r="T1978" s="67">
        <f>IF(AND(ISNUMBER(J1978),N(J1978)&gt;=0),N(J1978),0)</f>
        <v>0.0</v>
      </c>
      <c r="U1978" s="67">
        <f>IF(AND(ISNUMBER(K1978),N(K1978)&gt;0),N(K1978),0)</f>
        <v>0.0</v>
      </c>
      <c r="V1978" s="67">
        <f>IF(AND(ISNUMBER(L1978),N(L1978)&gt;0),N(L1978),0)</f>
        <v>0.0</v>
      </c>
      <c r="W1978" s="67">
        <f>IF(AND(I1978="Terminée",S1978&gt;0,C1978&lt;&gt;"",ISNUMBER(MATCH(C1978,eq_code,0))),1,0)</f>
        <v>0.0</v>
      </c>
      <c r="X1978" s="67">
        <f>IF(AND(W1978=1,E1978="Préventif"),1,0)</f>
        <v>0.0</v>
      </c>
      <c r="Y1978" s="67">
        <f>IF(AND(ISNUMBER(N1978),N(N1978)&gt;0),N(N1978),0)</f>
        <v>0.0</v>
      </c>
      <c r="Z1978" s="67">
        <f>IF(AND(ISNUMBER(P1978),N(P1978)&gt;0),N(P1978),0)</f>
        <v>0.0</v>
      </c>
    </row>
    <row r="1979">
      <c r="A1979" s="79" t="str">
        <f>IF(COUNTA(B1979:C1979,E1979:G1979,I1979)=0,"","BI-"&amp;RIGHT("0000"&amp;(ROW()-5),4))</f>
        <v/>
      </c>
      <c r="B1979" s="72" t="n"/>
      <c r="C1979" s="66" t="n"/>
      <c r="D1979" s="67" t="str">
        <f>IF(C1979="","",IFERROR(INDEX(eq_des,MATCH(C1979,eq_code,0))&amp;"","Équipement inconnu"))</f>
        <v/>
      </c>
      <c r="E1979" s="68" t="n"/>
      <c r="F1979" s="68" t="n"/>
      <c r="G1979" s="66" t="n"/>
      <c r="H1979" s="66" t="n"/>
      <c r="I1979" s="68" t="n"/>
      <c r="J1979" s="73" t="n"/>
      <c r="K1979" s="71" t="n"/>
      <c r="L1979" s="71" t="n"/>
      <c r="M1979" s="66" t="n"/>
      <c r="N1979" s="80" t="n"/>
      <c r="O1979" s="81" t="str">
        <f>IF(A1979="","",ROUND(V1979*IFERROR(N(INDEX(tech_rate,MATCH(M1979,tech_name,0))),0),2))</f>
        <v/>
      </c>
      <c r="P1979" s="80" t="n"/>
      <c r="Q1979" s="81" t="str">
        <f>IF(A1979="","",ROUND(Y1979+O1979+Z1979,2))</f>
        <v/>
      </c>
      <c r="R1979" s="79" t="str">
        <f>IF(A1979="","",IF(S1979=0,"Date manquante ou invalide",IF(C1979="","Équipement manquant",IF(ISNA(MATCH(C1979,eq_code,0)),"Équipement inconnu",IF(E1979="","Type manquant",IF(AND(E1979&lt;&gt;"Préventif",E1979&lt;&gt;"Correctif",E1979&lt;&gt;"Amélioratif"),"Type inconnu",IF(I1979="","Statut manquant",IF(AND(I1979&lt;&gt;"Terminée",I1979&lt;&gt;"En cours",I1979&lt;&gt;"À faire",I1979&lt;&gt;"Annulée"),"Statut inconnu",IF(AND(E1979="Préventif",F1979=""),"Plan manquant (préventif)",IF(AND(F1979&lt;&gt;"",ISNA(MATCH(F1979,pl_num,0))),"Plan inconnu",IF(AND(F1979&lt;&gt;"",IFERROR(INDEX(pl_eq,MATCH(F1979,pl_num,0))&amp;"",C1979)&lt;&gt;C1979),"Plan d'un autre équipement",IF(AND(J1979&lt;&gt;"",OR(NOT(ISNUMBER(J1979)),N(J1979)&lt;0)),"Compteur invalide",IF(OR(AND(K1979&lt;&gt;"",OR(NOT(ISNUMBER(K1979)),N(K1979)&lt;0)),AND(L1979&lt;&gt;"",OR(NOT(ISNUMBER(L1979)),N(L1979)&lt;0))),"Durée invalide",IF(OR(AND(N1979&lt;&gt;"",OR(NOT(ISNUMBER(N1979)),N(N1979)&lt;0)),AND(P1979&lt;&gt;"",OR(NOT(ISNUMBER(P1979)),N(P1979)&lt;0))),"Coût invalide",IF(AND(M1979&lt;&gt;"",ISNA(MATCH(M1979,tech_name,0))),"Technicien inconnu",IF(AND(I1979="Terminée",S1979&gt;p_today),"Terminée à une date future",IF(AND(I1979="Terminée",V1979=0),"Durée d'intervention manquante",IF(AND(I1979="Terminée",E1979="Préventif",T1979=0,OR(IFERROR(INDEX(pl_trig,MATCH(F1979,pl_num,0))&amp;"","")="Compteur",IFERROR(INDEX(pl_trig,MATCH(F1979,pl_num,0))&amp;"","")="Au premier des deux")),"Compteur manquant (plan au compteur)","OK"))))))))))))))))))</f>
        <v/>
      </c>
      <c r="S1979" s="67">
        <f>IF(AND(ISNUMBER(B1979),N(B1979)&gt;0),INT(B1979),0)</f>
        <v>0.0</v>
      </c>
      <c r="T1979" s="67">
        <f>IF(AND(ISNUMBER(J1979),N(J1979)&gt;=0),N(J1979),0)</f>
        <v>0.0</v>
      </c>
      <c r="U1979" s="67">
        <f>IF(AND(ISNUMBER(K1979),N(K1979)&gt;0),N(K1979),0)</f>
        <v>0.0</v>
      </c>
      <c r="V1979" s="67">
        <f>IF(AND(ISNUMBER(L1979),N(L1979)&gt;0),N(L1979),0)</f>
        <v>0.0</v>
      </c>
      <c r="W1979" s="67">
        <f>IF(AND(I1979="Terminée",S1979&gt;0,C1979&lt;&gt;"",ISNUMBER(MATCH(C1979,eq_code,0))),1,0)</f>
        <v>0.0</v>
      </c>
      <c r="X1979" s="67">
        <f>IF(AND(W1979=1,E1979="Préventif"),1,0)</f>
        <v>0.0</v>
      </c>
      <c r="Y1979" s="67">
        <f>IF(AND(ISNUMBER(N1979),N(N1979)&gt;0),N(N1979),0)</f>
        <v>0.0</v>
      </c>
      <c r="Z1979" s="67">
        <f>IF(AND(ISNUMBER(P1979),N(P1979)&gt;0),N(P1979),0)</f>
        <v>0.0</v>
      </c>
    </row>
    <row r="1980">
      <c r="A1980" s="79" t="str">
        <f>IF(COUNTA(B1980:C1980,E1980:G1980,I1980)=0,"","BI-"&amp;RIGHT("0000"&amp;(ROW()-5),4))</f>
        <v/>
      </c>
      <c r="B1980" s="72" t="n"/>
      <c r="C1980" s="66" t="n"/>
      <c r="D1980" s="67" t="str">
        <f>IF(C1980="","",IFERROR(INDEX(eq_des,MATCH(C1980,eq_code,0))&amp;"","Équipement inconnu"))</f>
        <v/>
      </c>
      <c r="E1980" s="68" t="n"/>
      <c r="F1980" s="68" t="n"/>
      <c r="G1980" s="66" t="n"/>
      <c r="H1980" s="66" t="n"/>
      <c r="I1980" s="68" t="n"/>
      <c r="J1980" s="73" t="n"/>
      <c r="K1980" s="71" t="n"/>
      <c r="L1980" s="71" t="n"/>
      <c r="M1980" s="66" t="n"/>
      <c r="N1980" s="80" t="n"/>
      <c r="O1980" s="81" t="str">
        <f>IF(A1980="","",ROUND(V1980*IFERROR(N(INDEX(tech_rate,MATCH(M1980,tech_name,0))),0),2))</f>
        <v/>
      </c>
      <c r="P1980" s="80" t="n"/>
      <c r="Q1980" s="81" t="str">
        <f>IF(A1980="","",ROUND(Y1980+O1980+Z1980,2))</f>
        <v/>
      </c>
      <c r="R1980" s="79" t="str">
        <f>IF(A1980="","",IF(S1980=0,"Date manquante ou invalide",IF(C1980="","Équipement manquant",IF(ISNA(MATCH(C1980,eq_code,0)),"Équipement inconnu",IF(E1980="","Type manquant",IF(AND(E1980&lt;&gt;"Préventif",E1980&lt;&gt;"Correctif",E1980&lt;&gt;"Amélioratif"),"Type inconnu",IF(I1980="","Statut manquant",IF(AND(I1980&lt;&gt;"Terminée",I1980&lt;&gt;"En cours",I1980&lt;&gt;"À faire",I1980&lt;&gt;"Annulée"),"Statut inconnu",IF(AND(E1980="Préventif",F1980=""),"Plan manquant (préventif)",IF(AND(F1980&lt;&gt;"",ISNA(MATCH(F1980,pl_num,0))),"Plan inconnu",IF(AND(F1980&lt;&gt;"",IFERROR(INDEX(pl_eq,MATCH(F1980,pl_num,0))&amp;"",C1980)&lt;&gt;C1980),"Plan d'un autre équipement",IF(AND(J1980&lt;&gt;"",OR(NOT(ISNUMBER(J1980)),N(J1980)&lt;0)),"Compteur invalide",IF(OR(AND(K1980&lt;&gt;"",OR(NOT(ISNUMBER(K1980)),N(K1980)&lt;0)),AND(L1980&lt;&gt;"",OR(NOT(ISNUMBER(L1980)),N(L1980)&lt;0))),"Durée invalide",IF(OR(AND(N1980&lt;&gt;"",OR(NOT(ISNUMBER(N1980)),N(N1980)&lt;0)),AND(P1980&lt;&gt;"",OR(NOT(ISNUMBER(P1980)),N(P1980)&lt;0))),"Coût invalide",IF(AND(M1980&lt;&gt;"",ISNA(MATCH(M1980,tech_name,0))),"Technicien inconnu",IF(AND(I1980="Terminée",S1980&gt;p_today),"Terminée à une date future",IF(AND(I1980="Terminée",V1980=0),"Durée d'intervention manquante",IF(AND(I1980="Terminée",E1980="Préventif",T1980=0,OR(IFERROR(INDEX(pl_trig,MATCH(F1980,pl_num,0))&amp;"","")="Compteur",IFERROR(INDEX(pl_trig,MATCH(F1980,pl_num,0))&amp;"","")="Au premier des deux")),"Compteur manquant (plan au compteur)","OK"))))))))))))))))))</f>
        <v/>
      </c>
      <c r="S1980" s="67">
        <f>IF(AND(ISNUMBER(B1980),N(B1980)&gt;0),INT(B1980),0)</f>
        <v>0.0</v>
      </c>
      <c r="T1980" s="67">
        <f>IF(AND(ISNUMBER(J1980),N(J1980)&gt;=0),N(J1980),0)</f>
        <v>0.0</v>
      </c>
      <c r="U1980" s="67">
        <f>IF(AND(ISNUMBER(K1980),N(K1980)&gt;0),N(K1980),0)</f>
        <v>0.0</v>
      </c>
      <c r="V1980" s="67">
        <f>IF(AND(ISNUMBER(L1980),N(L1980)&gt;0),N(L1980),0)</f>
        <v>0.0</v>
      </c>
      <c r="W1980" s="67">
        <f>IF(AND(I1980="Terminée",S1980&gt;0,C1980&lt;&gt;"",ISNUMBER(MATCH(C1980,eq_code,0))),1,0)</f>
        <v>0.0</v>
      </c>
      <c r="X1980" s="67">
        <f>IF(AND(W1980=1,E1980="Préventif"),1,0)</f>
        <v>0.0</v>
      </c>
      <c r="Y1980" s="67">
        <f>IF(AND(ISNUMBER(N1980),N(N1980)&gt;0),N(N1980),0)</f>
        <v>0.0</v>
      </c>
      <c r="Z1980" s="67">
        <f>IF(AND(ISNUMBER(P1980),N(P1980)&gt;0),N(P1980),0)</f>
        <v>0.0</v>
      </c>
    </row>
    <row r="1981">
      <c r="A1981" s="79" t="str">
        <f>IF(COUNTA(B1981:C1981,E1981:G1981,I1981)=0,"","BI-"&amp;RIGHT("0000"&amp;(ROW()-5),4))</f>
        <v/>
      </c>
      <c r="B1981" s="72" t="n"/>
      <c r="C1981" s="66" t="n"/>
      <c r="D1981" s="67" t="str">
        <f>IF(C1981="","",IFERROR(INDEX(eq_des,MATCH(C1981,eq_code,0))&amp;"","Équipement inconnu"))</f>
        <v/>
      </c>
      <c r="E1981" s="68" t="n"/>
      <c r="F1981" s="68" t="n"/>
      <c r="G1981" s="66" t="n"/>
      <c r="H1981" s="66" t="n"/>
      <c r="I1981" s="68" t="n"/>
      <c r="J1981" s="73" t="n"/>
      <c r="K1981" s="71" t="n"/>
      <c r="L1981" s="71" t="n"/>
      <c r="M1981" s="66" t="n"/>
      <c r="N1981" s="80" t="n"/>
      <c r="O1981" s="81" t="str">
        <f>IF(A1981="","",ROUND(V1981*IFERROR(N(INDEX(tech_rate,MATCH(M1981,tech_name,0))),0),2))</f>
        <v/>
      </c>
      <c r="P1981" s="80" t="n"/>
      <c r="Q1981" s="81" t="str">
        <f>IF(A1981="","",ROUND(Y1981+O1981+Z1981,2))</f>
        <v/>
      </c>
      <c r="R1981" s="79" t="str">
        <f>IF(A1981="","",IF(S1981=0,"Date manquante ou invalide",IF(C1981="","Équipement manquant",IF(ISNA(MATCH(C1981,eq_code,0)),"Équipement inconnu",IF(E1981="","Type manquant",IF(AND(E1981&lt;&gt;"Préventif",E1981&lt;&gt;"Correctif",E1981&lt;&gt;"Amélioratif"),"Type inconnu",IF(I1981="","Statut manquant",IF(AND(I1981&lt;&gt;"Terminée",I1981&lt;&gt;"En cours",I1981&lt;&gt;"À faire",I1981&lt;&gt;"Annulée"),"Statut inconnu",IF(AND(E1981="Préventif",F1981=""),"Plan manquant (préventif)",IF(AND(F1981&lt;&gt;"",ISNA(MATCH(F1981,pl_num,0))),"Plan inconnu",IF(AND(F1981&lt;&gt;"",IFERROR(INDEX(pl_eq,MATCH(F1981,pl_num,0))&amp;"",C1981)&lt;&gt;C1981),"Plan d'un autre équipement",IF(AND(J1981&lt;&gt;"",OR(NOT(ISNUMBER(J1981)),N(J1981)&lt;0)),"Compteur invalide",IF(OR(AND(K1981&lt;&gt;"",OR(NOT(ISNUMBER(K1981)),N(K1981)&lt;0)),AND(L1981&lt;&gt;"",OR(NOT(ISNUMBER(L1981)),N(L1981)&lt;0))),"Durée invalide",IF(OR(AND(N1981&lt;&gt;"",OR(NOT(ISNUMBER(N1981)),N(N1981)&lt;0)),AND(P1981&lt;&gt;"",OR(NOT(ISNUMBER(P1981)),N(P1981)&lt;0))),"Coût invalide",IF(AND(M1981&lt;&gt;"",ISNA(MATCH(M1981,tech_name,0))),"Technicien inconnu",IF(AND(I1981="Terminée",S1981&gt;p_today),"Terminée à une date future",IF(AND(I1981="Terminée",V1981=0),"Durée d'intervention manquante",IF(AND(I1981="Terminée",E1981="Préventif",T1981=0,OR(IFERROR(INDEX(pl_trig,MATCH(F1981,pl_num,0))&amp;"","")="Compteur",IFERROR(INDEX(pl_trig,MATCH(F1981,pl_num,0))&amp;"","")="Au premier des deux")),"Compteur manquant (plan au compteur)","OK"))))))))))))))))))</f>
        <v/>
      </c>
      <c r="S1981" s="67">
        <f>IF(AND(ISNUMBER(B1981),N(B1981)&gt;0),INT(B1981),0)</f>
        <v>0.0</v>
      </c>
      <c r="T1981" s="67">
        <f>IF(AND(ISNUMBER(J1981),N(J1981)&gt;=0),N(J1981),0)</f>
        <v>0.0</v>
      </c>
      <c r="U1981" s="67">
        <f>IF(AND(ISNUMBER(K1981),N(K1981)&gt;0),N(K1981),0)</f>
        <v>0.0</v>
      </c>
      <c r="V1981" s="67">
        <f>IF(AND(ISNUMBER(L1981),N(L1981)&gt;0),N(L1981),0)</f>
        <v>0.0</v>
      </c>
      <c r="W1981" s="67">
        <f>IF(AND(I1981="Terminée",S1981&gt;0,C1981&lt;&gt;"",ISNUMBER(MATCH(C1981,eq_code,0))),1,0)</f>
        <v>0.0</v>
      </c>
      <c r="X1981" s="67">
        <f>IF(AND(W1981=1,E1981="Préventif"),1,0)</f>
        <v>0.0</v>
      </c>
      <c r="Y1981" s="67">
        <f>IF(AND(ISNUMBER(N1981),N(N1981)&gt;0),N(N1981),0)</f>
        <v>0.0</v>
      </c>
      <c r="Z1981" s="67">
        <f>IF(AND(ISNUMBER(P1981),N(P1981)&gt;0),N(P1981),0)</f>
        <v>0.0</v>
      </c>
    </row>
    <row r="1982">
      <c r="A1982" s="79" t="str">
        <f>IF(COUNTA(B1982:C1982,E1982:G1982,I1982)=0,"","BI-"&amp;RIGHT("0000"&amp;(ROW()-5),4))</f>
        <v/>
      </c>
      <c r="B1982" s="72" t="n"/>
      <c r="C1982" s="66" t="n"/>
      <c r="D1982" s="67" t="str">
        <f>IF(C1982="","",IFERROR(INDEX(eq_des,MATCH(C1982,eq_code,0))&amp;"","Équipement inconnu"))</f>
        <v/>
      </c>
      <c r="E1982" s="68" t="n"/>
      <c r="F1982" s="68" t="n"/>
      <c r="G1982" s="66" t="n"/>
      <c r="H1982" s="66" t="n"/>
      <c r="I1982" s="68" t="n"/>
      <c r="J1982" s="73" t="n"/>
      <c r="K1982" s="71" t="n"/>
      <c r="L1982" s="71" t="n"/>
      <c r="M1982" s="66" t="n"/>
      <c r="N1982" s="80" t="n"/>
      <c r="O1982" s="81" t="str">
        <f>IF(A1982="","",ROUND(V1982*IFERROR(N(INDEX(tech_rate,MATCH(M1982,tech_name,0))),0),2))</f>
        <v/>
      </c>
      <c r="P1982" s="80" t="n"/>
      <c r="Q1982" s="81" t="str">
        <f>IF(A1982="","",ROUND(Y1982+O1982+Z1982,2))</f>
        <v/>
      </c>
      <c r="R1982" s="79" t="str">
        <f>IF(A1982="","",IF(S1982=0,"Date manquante ou invalide",IF(C1982="","Équipement manquant",IF(ISNA(MATCH(C1982,eq_code,0)),"Équipement inconnu",IF(E1982="","Type manquant",IF(AND(E1982&lt;&gt;"Préventif",E1982&lt;&gt;"Correctif",E1982&lt;&gt;"Amélioratif"),"Type inconnu",IF(I1982="","Statut manquant",IF(AND(I1982&lt;&gt;"Terminée",I1982&lt;&gt;"En cours",I1982&lt;&gt;"À faire",I1982&lt;&gt;"Annulée"),"Statut inconnu",IF(AND(E1982="Préventif",F1982=""),"Plan manquant (préventif)",IF(AND(F1982&lt;&gt;"",ISNA(MATCH(F1982,pl_num,0))),"Plan inconnu",IF(AND(F1982&lt;&gt;"",IFERROR(INDEX(pl_eq,MATCH(F1982,pl_num,0))&amp;"",C1982)&lt;&gt;C1982),"Plan d'un autre équipement",IF(AND(J1982&lt;&gt;"",OR(NOT(ISNUMBER(J1982)),N(J1982)&lt;0)),"Compteur invalide",IF(OR(AND(K1982&lt;&gt;"",OR(NOT(ISNUMBER(K1982)),N(K1982)&lt;0)),AND(L1982&lt;&gt;"",OR(NOT(ISNUMBER(L1982)),N(L1982)&lt;0))),"Durée invalide",IF(OR(AND(N1982&lt;&gt;"",OR(NOT(ISNUMBER(N1982)),N(N1982)&lt;0)),AND(P1982&lt;&gt;"",OR(NOT(ISNUMBER(P1982)),N(P1982)&lt;0))),"Coût invalide",IF(AND(M1982&lt;&gt;"",ISNA(MATCH(M1982,tech_name,0))),"Technicien inconnu",IF(AND(I1982="Terminée",S1982&gt;p_today),"Terminée à une date future",IF(AND(I1982="Terminée",V1982=0),"Durée d'intervention manquante",IF(AND(I1982="Terminée",E1982="Préventif",T1982=0,OR(IFERROR(INDEX(pl_trig,MATCH(F1982,pl_num,0))&amp;"","")="Compteur",IFERROR(INDEX(pl_trig,MATCH(F1982,pl_num,0))&amp;"","")="Au premier des deux")),"Compteur manquant (plan au compteur)","OK"))))))))))))))))))</f>
        <v/>
      </c>
      <c r="S1982" s="67">
        <f>IF(AND(ISNUMBER(B1982),N(B1982)&gt;0),INT(B1982),0)</f>
        <v>0.0</v>
      </c>
      <c r="T1982" s="67">
        <f>IF(AND(ISNUMBER(J1982),N(J1982)&gt;=0),N(J1982),0)</f>
        <v>0.0</v>
      </c>
      <c r="U1982" s="67">
        <f>IF(AND(ISNUMBER(K1982),N(K1982)&gt;0),N(K1982),0)</f>
        <v>0.0</v>
      </c>
      <c r="V1982" s="67">
        <f>IF(AND(ISNUMBER(L1982),N(L1982)&gt;0),N(L1982),0)</f>
        <v>0.0</v>
      </c>
      <c r="W1982" s="67">
        <f>IF(AND(I1982="Terminée",S1982&gt;0,C1982&lt;&gt;"",ISNUMBER(MATCH(C1982,eq_code,0))),1,0)</f>
        <v>0.0</v>
      </c>
      <c r="X1982" s="67">
        <f>IF(AND(W1982=1,E1982="Préventif"),1,0)</f>
        <v>0.0</v>
      </c>
      <c r="Y1982" s="67">
        <f>IF(AND(ISNUMBER(N1982),N(N1982)&gt;0),N(N1982),0)</f>
        <v>0.0</v>
      </c>
      <c r="Z1982" s="67">
        <f>IF(AND(ISNUMBER(P1982),N(P1982)&gt;0),N(P1982),0)</f>
        <v>0.0</v>
      </c>
    </row>
    <row r="1983">
      <c r="A1983" s="79" t="str">
        <f>IF(COUNTA(B1983:C1983,E1983:G1983,I1983)=0,"","BI-"&amp;RIGHT("0000"&amp;(ROW()-5),4))</f>
        <v/>
      </c>
      <c r="B1983" s="72" t="n"/>
      <c r="C1983" s="66" t="n"/>
      <c r="D1983" s="67" t="str">
        <f>IF(C1983="","",IFERROR(INDEX(eq_des,MATCH(C1983,eq_code,0))&amp;"","Équipement inconnu"))</f>
        <v/>
      </c>
      <c r="E1983" s="68" t="n"/>
      <c r="F1983" s="68" t="n"/>
      <c r="G1983" s="66" t="n"/>
      <c r="H1983" s="66" t="n"/>
      <c r="I1983" s="68" t="n"/>
      <c r="J1983" s="73" t="n"/>
      <c r="K1983" s="71" t="n"/>
      <c r="L1983" s="71" t="n"/>
      <c r="M1983" s="66" t="n"/>
      <c r="N1983" s="80" t="n"/>
      <c r="O1983" s="81" t="str">
        <f>IF(A1983="","",ROUND(V1983*IFERROR(N(INDEX(tech_rate,MATCH(M1983,tech_name,0))),0),2))</f>
        <v/>
      </c>
      <c r="P1983" s="80" t="n"/>
      <c r="Q1983" s="81" t="str">
        <f>IF(A1983="","",ROUND(Y1983+O1983+Z1983,2))</f>
        <v/>
      </c>
      <c r="R1983" s="79" t="str">
        <f>IF(A1983="","",IF(S1983=0,"Date manquante ou invalide",IF(C1983="","Équipement manquant",IF(ISNA(MATCH(C1983,eq_code,0)),"Équipement inconnu",IF(E1983="","Type manquant",IF(AND(E1983&lt;&gt;"Préventif",E1983&lt;&gt;"Correctif",E1983&lt;&gt;"Amélioratif"),"Type inconnu",IF(I1983="","Statut manquant",IF(AND(I1983&lt;&gt;"Terminée",I1983&lt;&gt;"En cours",I1983&lt;&gt;"À faire",I1983&lt;&gt;"Annulée"),"Statut inconnu",IF(AND(E1983="Préventif",F1983=""),"Plan manquant (préventif)",IF(AND(F1983&lt;&gt;"",ISNA(MATCH(F1983,pl_num,0))),"Plan inconnu",IF(AND(F1983&lt;&gt;"",IFERROR(INDEX(pl_eq,MATCH(F1983,pl_num,0))&amp;"",C1983)&lt;&gt;C1983),"Plan d'un autre équipement",IF(AND(J1983&lt;&gt;"",OR(NOT(ISNUMBER(J1983)),N(J1983)&lt;0)),"Compteur invalide",IF(OR(AND(K1983&lt;&gt;"",OR(NOT(ISNUMBER(K1983)),N(K1983)&lt;0)),AND(L1983&lt;&gt;"",OR(NOT(ISNUMBER(L1983)),N(L1983)&lt;0))),"Durée invalide",IF(OR(AND(N1983&lt;&gt;"",OR(NOT(ISNUMBER(N1983)),N(N1983)&lt;0)),AND(P1983&lt;&gt;"",OR(NOT(ISNUMBER(P1983)),N(P1983)&lt;0))),"Coût invalide",IF(AND(M1983&lt;&gt;"",ISNA(MATCH(M1983,tech_name,0))),"Technicien inconnu",IF(AND(I1983="Terminée",S1983&gt;p_today),"Terminée à une date future",IF(AND(I1983="Terminée",V1983=0),"Durée d'intervention manquante",IF(AND(I1983="Terminée",E1983="Préventif",T1983=0,OR(IFERROR(INDEX(pl_trig,MATCH(F1983,pl_num,0))&amp;"","")="Compteur",IFERROR(INDEX(pl_trig,MATCH(F1983,pl_num,0))&amp;"","")="Au premier des deux")),"Compteur manquant (plan au compteur)","OK"))))))))))))))))))</f>
        <v/>
      </c>
      <c r="S1983" s="67">
        <f>IF(AND(ISNUMBER(B1983),N(B1983)&gt;0),INT(B1983),0)</f>
        <v>0.0</v>
      </c>
      <c r="T1983" s="67">
        <f>IF(AND(ISNUMBER(J1983),N(J1983)&gt;=0),N(J1983),0)</f>
        <v>0.0</v>
      </c>
      <c r="U1983" s="67">
        <f>IF(AND(ISNUMBER(K1983),N(K1983)&gt;0),N(K1983),0)</f>
        <v>0.0</v>
      </c>
      <c r="V1983" s="67">
        <f>IF(AND(ISNUMBER(L1983),N(L1983)&gt;0),N(L1983),0)</f>
        <v>0.0</v>
      </c>
      <c r="W1983" s="67">
        <f>IF(AND(I1983="Terminée",S1983&gt;0,C1983&lt;&gt;"",ISNUMBER(MATCH(C1983,eq_code,0))),1,0)</f>
        <v>0.0</v>
      </c>
      <c r="X1983" s="67">
        <f>IF(AND(W1983=1,E1983="Préventif"),1,0)</f>
        <v>0.0</v>
      </c>
      <c r="Y1983" s="67">
        <f>IF(AND(ISNUMBER(N1983),N(N1983)&gt;0),N(N1983),0)</f>
        <v>0.0</v>
      </c>
      <c r="Z1983" s="67">
        <f>IF(AND(ISNUMBER(P1983),N(P1983)&gt;0),N(P1983),0)</f>
        <v>0.0</v>
      </c>
    </row>
    <row r="1984">
      <c r="A1984" s="79" t="str">
        <f>IF(COUNTA(B1984:C1984,E1984:G1984,I1984)=0,"","BI-"&amp;RIGHT("0000"&amp;(ROW()-5),4))</f>
        <v/>
      </c>
      <c r="B1984" s="72" t="n"/>
      <c r="C1984" s="66" t="n"/>
      <c r="D1984" s="67" t="str">
        <f>IF(C1984="","",IFERROR(INDEX(eq_des,MATCH(C1984,eq_code,0))&amp;"","Équipement inconnu"))</f>
        <v/>
      </c>
      <c r="E1984" s="68" t="n"/>
      <c r="F1984" s="68" t="n"/>
      <c r="G1984" s="66" t="n"/>
      <c r="H1984" s="66" t="n"/>
      <c r="I1984" s="68" t="n"/>
      <c r="J1984" s="73" t="n"/>
      <c r="K1984" s="71" t="n"/>
      <c r="L1984" s="71" t="n"/>
      <c r="M1984" s="66" t="n"/>
      <c r="N1984" s="80" t="n"/>
      <c r="O1984" s="81" t="str">
        <f>IF(A1984="","",ROUND(V1984*IFERROR(N(INDEX(tech_rate,MATCH(M1984,tech_name,0))),0),2))</f>
        <v/>
      </c>
      <c r="P1984" s="80" t="n"/>
      <c r="Q1984" s="81" t="str">
        <f>IF(A1984="","",ROUND(Y1984+O1984+Z1984,2))</f>
        <v/>
      </c>
      <c r="R1984" s="79" t="str">
        <f>IF(A1984="","",IF(S1984=0,"Date manquante ou invalide",IF(C1984="","Équipement manquant",IF(ISNA(MATCH(C1984,eq_code,0)),"Équipement inconnu",IF(E1984="","Type manquant",IF(AND(E1984&lt;&gt;"Préventif",E1984&lt;&gt;"Correctif",E1984&lt;&gt;"Amélioratif"),"Type inconnu",IF(I1984="","Statut manquant",IF(AND(I1984&lt;&gt;"Terminée",I1984&lt;&gt;"En cours",I1984&lt;&gt;"À faire",I1984&lt;&gt;"Annulée"),"Statut inconnu",IF(AND(E1984="Préventif",F1984=""),"Plan manquant (préventif)",IF(AND(F1984&lt;&gt;"",ISNA(MATCH(F1984,pl_num,0))),"Plan inconnu",IF(AND(F1984&lt;&gt;"",IFERROR(INDEX(pl_eq,MATCH(F1984,pl_num,0))&amp;"",C1984)&lt;&gt;C1984),"Plan d'un autre équipement",IF(AND(J1984&lt;&gt;"",OR(NOT(ISNUMBER(J1984)),N(J1984)&lt;0)),"Compteur invalide",IF(OR(AND(K1984&lt;&gt;"",OR(NOT(ISNUMBER(K1984)),N(K1984)&lt;0)),AND(L1984&lt;&gt;"",OR(NOT(ISNUMBER(L1984)),N(L1984)&lt;0))),"Durée invalide",IF(OR(AND(N1984&lt;&gt;"",OR(NOT(ISNUMBER(N1984)),N(N1984)&lt;0)),AND(P1984&lt;&gt;"",OR(NOT(ISNUMBER(P1984)),N(P1984)&lt;0))),"Coût invalide",IF(AND(M1984&lt;&gt;"",ISNA(MATCH(M1984,tech_name,0))),"Technicien inconnu",IF(AND(I1984="Terminée",S1984&gt;p_today),"Terminée à une date future",IF(AND(I1984="Terminée",V1984=0),"Durée d'intervention manquante",IF(AND(I1984="Terminée",E1984="Préventif",T1984=0,OR(IFERROR(INDEX(pl_trig,MATCH(F1984,pl_num,0))&amp;"","")="Compteur",IFERROR(INDEX(pl_trig,MATCH(F1984,pl_num,0))&amp;"","")="Au premier des deux")),"Compteur manquant (plan au compteur)","OK"))))))))))))))))))</f>
        <v/>
      </c>
      <c r="S1984" s="67">
        <f>IF(AND(ISNUMBER(B1984),N(B1984)&gt;0),INT(B1984),0)</f>
        <v>0.0</v>
      </c>
      <c r="T1984" s="67">
        <f>IF(AND(ISNUMBER(J1984),N(J1984)&gt;=0),N(J1984),0)</f>
        <v>0.0</v>
      </c>
      <c r="U1984" s="67">
        <f>IF(AND(ISNUMBER(K1984),N(K1984)&gt;0),N(K1984),0)</f>
        <v>0.0</v>
      </c>
      <c r="V1984" s="67">
        <f>IF(AND(ISNUMBER(L1984),N(L1984)&gt;0),N(L1984),0)</f>
        <v>0.0</v>
      </c>
      <c r="W1984" s="67">
        <f>IF(AND(I1984="Terminée",S1984&gt;0,C1984&lt;&gt;"",ISNUMBER(MATCH(C1984,eq_code,0))),1,0)</f>
        <v>0.0</v>
      </c>
      <c r="X1984" s="67">
        <f>IF(AND(W1984=1,E1984="Préventif"),1,0)</f>
        <v>0.0</v>
      </c>
      <c r="Y1984" s="67">
        <f>IF(AND(ISNUMBER(N1984),N(N1984)&gt;0),N(N1984),0)</f>
        <v>0.0</v>
      </c>
      <c r="Z1984" s="67">
        <f>IF(AND(ISNUMBER(P1984),N(P1984)&gt;0),N(P1984),0)</f>
        <v>0.0</v>
      </c>
    </row>
    <row r="1985">
      <c r="A1985" s="79" t="str">
        <f>IF(COUNTA(B1985:C1985,E1985:G1985,I1985)=0,"","BI-"&amp;RIGHT("0000"&amp;(ROW()-5),4))</f>
        <v/>
      </c>
      <c r="B1985" s="72" t="n"/>
      <c r="C1985" s="66" t="n"/>
      <c r="D1985" s="67" t="str">
        <f>IF(C1985="","",IFERROR(INDEX(eq_des,MATCH(C1985,eq_code,0))&amp;"","Équipement inconnu"))</f>
        <v/>
      </c>
      <c r="E1985" s="68" t="n"/>
      <c r="F1985" s="68" t="n"/>
      <c r="G1985" s="66" t="n"/>
      <c r="H1985" s="66" t="n"/>
      <c r="I1985" s="68" t="n"/>
      <c r="J1985" s="73" t="n"/>
      <c r="K1985" s="71" t="n"/>
      <c r="L1985" s="71" t="n"/>
      <c r="M1985" s="66" t="n"/>
      <c r="N1985" s="80" t="n"/>
      <c r="O1985" s="81" t="str">
        <f>IF(A1985="","",ROUND(V1985*IFERROR(N(INDEX(tech_rate,MATCH(M1985,tech_name,0))),0),2))</f>
        <v/>
      </c>
      <c r="P1985" s="80" t="n"/>
      <c r="Q1985" s="81" t="str">
        <f>IF(A1985="","",ROUND(Y1985+O1985+Z1985,2))</f>
        <v/>
      </c>
      <c r="R1985" s="79" t="str">
        <f>IF(A1985="","",IF(S1985=0,"Date manquante ou invalide",IF(C1985="","Équipement manquant",IF(ISNA(MATCH(C1985,eq_code,0)),"Équipement inconnu",IF(E1985="","Type manquant",IF(AND(E1985&lt;&gt;"Préventif",E1985&lt;&gt;"Correctif",E1985&lt;&gt;"Amélioratif"),"Type inconnu",IF(I1985="","Statut manquant",IF(AND(I1985&lt;&gt;"Terminée",I1985&lt;&gt;"En cours",I1985&lt;&gt;"À faire",I1985&lt;&gt;"Annulée"),"Statut inconnu",IF(AND(E1985="Préventif",F1985=""),"Plan manquant (préventif)",IF(AND(F1985&lt;&gt;"",ISNA(MATCH(F1985,pl_num,0))),"Plan inconnu",IF(AND(F1985&lt;&gt;"",IFERROR(INDEX(pl_eq,MATCH(F1985,pl_num,0))&amp;"",C1985)&lt;&gt;C1985),"Plan d'un autre équipement",IF(AND(J1985&lt;&gt;"",OR(NOT(ISNUMBER(J1985)),N(J1985)&lt;0)),"Compteur invalide",IF(OR(AND(K1985&lt;&gt;"",OR(NOT(ISNUMBER(K1985)),N(K1985)&lt;0)),AND(L1985&lt;&gt;"",OR(NOT(ISNUMBER(L1985)),N(L1985)&lt;0))),"Durée invalide",IF(OR(AND(N1985&lt;&gt;"",OR(NOT(ISNUMBER(N1985)),N(N1985)&lt;0)),AND(P1985&lt;&gt;"",OR(NOT(ISNUMBER(P1985)),N(P1985)&lt;0))),"Coût invalide",IF(AND(M1985&lt;&gt;"",ISNA(MATCH(M1985,tech_name,0))),"Technicien inconnu",IF(AND(I1985="Terminée",S1985&gt;p_today),"Terminée à une date future",IF(AND(I1985="Terminée",V1985=0),"Durée d'intervention manquante",IF(AND(I1985="Terminée",E1985="Préventif",T1985=0,OR(IFERROR(INDEX(pl_trig,MATCH(F1985,pl_num,0))&amp;"","")="Compteur",IFERROR(INDEX(pl_trig,MATCH(F1985,pl_num,0))&amp;"","")="Au premier des deux")),"Compteur manquant (plan au compteur)","OK"))))))))))))))))))</f>
        <v/>
      </c>
      <c r="S1985" s="67">
        <f>IF(AND(ISNUMBER(B1985),N(B1985)&gt;0),INT(B1985),0)</f>
        <v>0.0</v>
      </c>
      <c r="T1985" s="67">
        <f>IF(AND(ISNUMBER(J1985),N(J1985)&gt;=0),N(J1985),0)</f>
        <v>0.0</v>
      </c>
      <c r="U1985" s="67">
        <f>IF(AND(ISNUMBER(K1985),N(K1985)&gt;0),N(K1985),0)</f>
        <v>0.0</v>
      </c>
      <c r="V1985" s="67">
        <f>IF(AND(ISNUMBER(L1985),N(L1985)&gt;0),N(L1985),0)</f>
        <v>0.0</v>
      </c>
      <c r="W1985" s="67">
        <f>IF(AND(I1985="Terminée",S1985&gt;0,C1985&lt;&gt;"",ISNUMBER(MATCH(C1985,eq_code,0))),1,0)</f>
        <v>0.0</v>
      </c>
      <c r="X1985" s="67">
        <f>IF(AND(W1985=1,E1985="Préventif"),1,0)</f>
        <v>0.0</v>
      </c>
      <c r="Y1985" s="67">
        <f>IF(AND(ISNUMBER(N1985),N(N1985)&gt;0),N(N1985),0)</f>
        <v>0.0</v>
      </c>
      <c r="Z1985" s="67">
        <f>IF(AND(ISNUMBER(P1985),N(P1985)&gt;0),N(P1985),0)</f>
        <v>0.0</v>
      </c>
    </row>
    <row r="1986">
      <c r="A1986" s="79" t="str">
        <f>IF(COUNTA(B1986:C1986,E1986:G1986,I1986)=0,"","BI-"&amp;RIGHT("0000"&amp;(ROW()-5),4))</f>
        <v/>
      </c>
      <c r="B1986" s="72" t="n"/>
      <c r="C1986" s="66" t="n"/>
      <c r="D1986" s="67" t="str">
        <f>IF(C1986="","",IFERROR(INDEX(eq_des,MATCH(C1986,eq_code,0))&amp;"","Équipement inconnu"))</f>
        <v/>
      </c>
      <c r="E1986" s="68" t="n"/>
      <c r="F1986" s="68" t="n"/>
      <c r="G1986" s="66" t="n"/>
      <c r="H1986" s="66" t="n"/>
      <c r="I1986" s="68" t="n"/>
      <c r="J1986" s="73" t="n"/>
      <c r="K1986" s="71" t="n"/>
      <c r="L1986" s="71" t="n"/>
      <c r="M1986" s="66" t="n"/>
      <c r="N1986" s="80" t="n"/>
      <c r="O1986" s="81" t="str">
        <f>IF(A1986="","",ROUND(V1986*IFERROR(N(INDEX(tech_rate,MATCH(M1986,tech_name,0))),0),2))</f>
        <v/>
      </c>
      <c r="P1986" s="80" t="n"/>
      <c r="Q1986" s="81" t="str">
        <f>IF(A1986="","",ROUND(Y1986+O1986+Z1986,2))</f>
        <v/>
      </c>
      <c r="R1986" s="79" t="str">
        <f>IF(A1986="","",IF(S1986=0,"Date manquante ou invalide",IF(C1986="","Équipement manquant",IF(ISNA(MATCH(C1986,eq_code,0)),"Équipement inconnu",IF(E1986="","Type manquant",IF(AND(E1986&lt;&gt;"Préventif",E1986&lt;&gt;"Correctif",E1986&lt;&gt;"Amélioratif"),"Type inconnu",IF(I1986="","Statut manquant",IF(AND(I1986&lt;&gt;"Terminée",I1986&lt;&gt;"En cours",I1986&lt;&gt;"À faire",I1986&lt;&gt;"Annulée"),"Statut inconnu",IF(AND(E1986="Préventif",F1986=""),"Plan manquant (préventif)",IF(AND(F1986&lt;&gt;"",ISNA(MATCH(F1986,pl_num,0))),"Plan inconnu",IF(AND(F1986&lt;&gt;"",IFERROR(INDEX(pl_eq,MATCH(F1986,pl_num,0))&amp;"",C1986)&lt;&gt;C1986),"Plan d'un autre équipement",IF(AND(J1986&lt;&gt;"",OR(NOT(ISNUMBER(J1986)),N(J1986)&lt;0)),"Compteur invalide",IF(OR(AND(K1986&lt;&gt;"",OR(NOT(ISNUMBER(K1986)),N(K1986)&lt;0)),AND(L1986&lt;&gt;"",OR(NOT(ISNUMBER(L1986)),N(L1986)&lt;0))),"Durée invalide",IF(OR(AND(N1986&lt;&gt;"",OR(NOT(ISNUMBER(N1986)),N(N1986)&lt;0)),AND(P1986&lt;&gt;"",OR(NOT(ISNUMBER(P1986)),N(P1986)&lt;0))),"Coût invalide",IF(AND(M1986&lt;&gt;"",ISNA(MATCH(M1986,tech_name,0))),"Technicien inconnu",IF(AND(I1986="Terminée",S1986&gt;p_today),"Terminée à une date future",IF(AND(I1986="Terminée",V1986=0),"Durée d'intervention manquante",IF(AND(I1986="Terminée",E1986="Préventif",T1986=0,OR(IFERROR(INDEX(pl_trig,MATCH(F1986,pl_num,0))&amp;"","")="Compteur",IFERROR(INDEX(pl_trig,MATCH(F1986,pl_num,0))&amp;"","")="Au premier des deux")),"Compteur manquant (plan au compteur)","OK"))))))))))))))))))</f>
        <v/>
      </c>
      <c r="S1986" s="67">
        <f>IF(AND(ISNUMBER(B1986),N(B1986)&gt;0),INT(B1986),0)</f>
        <v>0.0</v>
      </c>
      <c r="T1986" s="67">
        <f>IF(AND(ISNUMBER(J1986),N(J1986)&gt;=0),N(J1986),0)</f>
        <v>0.0</v>
      </c>
      <c r="U1986" s="67">
        <f>IF(AND(ISNUMBER(K1986),N(K1986)&gt;0),N(K1986),0)</f>
        <v>0.0</v>
      </c>
      <c r="V1986" s="67">
        <f>IF(AND(ISNUMBER(L1986),N(L1986)&gt;0),N(L1986),0)</f>
        <v>0.0</v>
      </c>
      <c r="W1986" s="67">
        <f>IF(AND(I1986="Terminée",S1986&gt;0,C1986&lt;&gt;"",ISNUMBER(MATCH(C1986,eq_code,0))),1,0)</f>
        <v>0.0</v>
      </c>
      <c r="X1986" s="67">
        <f>IF(AND(W1986=1,E1986="Préventif"),1,0)</f>
        <v>0.0</v>
      </c>
      <c r="Y1986" s="67">
        <f>IF(AND(ISNUMBER(N1986),N(N1986)&gt;0),N(N1986),0)</f>
        <v>0.0</v>
      </c>
      <c r="Z1986" s="67">
        <f>IF(AND(ISNUMBER(P1986),N(P1986)&gt;0),N(P1986),0)</f>
        <v>0.0</v>
      </c>
    </row>
    <row r="1987">
      <c r="A1987" s="79" t="str">
        <f>IF(COUNTA(B1987:C1987,E1987:G1987,I1987)=0,"","BI-"&amp;RIGHT("0000"&amp;(ROW()-5),4))</f>
        <v/>
      </c>
      <c r="B1987" s="72" t="n"/>
      <c r="C1987" s="66" t="n"/>
      <c r="D1987" s="67" t="str">
        <f>IF(C1987="","",IFERROR(INDEX(eq_des,MATCH(C1987,eq_code,0))&amp;"","Équipement inconnu"))</f>
        <v/>
      </c>
      <c r="E1987" s="68" t="n"/>
      <c r="F1987" s="68" t="n"/>
      <c r="G1987" s="66" t="n"/>
      <c r="H1987" s="66" t="n"/>
      <c r="I1987" s="68" t="n"/>
      <c r="J1987" s="73" t="n"/>
      <c r="K1987" s="71" t="n"/>
      <c r="L1987" s="71" t="n"/>
      <c r="M1987" s="66" t="n"/>
      <c r="N1987" s="80" t="n"/>
      <c r="O1987" s="81" t="str">
        <f>IF(A1987="","",ROUND(V1987*IFERROR(N(INDEX(tech_rate,MATCH(M1987,tech_name,0))),0),2))</f>
        <v/>
      </c>
      <c r="P1987" s="80" t="n"/>
      <c r="Q1987" s="81" t="str">
        <f>IF(A1987="","",ROUND(Y1987+O1987+Z1987,2))</f>
        <v/>
      </c>
      <c r="R1987" s="79" t="str">
        <f>IF(A1987="","",IF(S1987=0,"Date manquante ou invalide",IF(C1987="","Équipement manquant",IF(ISNA(MATCH(C1987,eq_code,0)),"Équipement inconnu",IF(E1987="","Type manquant",IF(AND(E1987&lt;&gt;"Préventif",E1987&lt;&gt;"Correctif",E1987&lt;&gt;"Amélioratif"),"Type inconnu",IF(I1987="","Statut manquant",IF(AND(I1987&lt;&gt;"Terminée",I1987&lt;&gt;"En cours",I1987&lt;&gt;"À faire",I1987&lt;&gt;"Annulée"),"Statut inconnu",IF(AND(E1987="Préventif",F1987=""),"Plan manquant (préventif)",IF(AND(F1987&lt;&gt;"",ISNA(MATCH(F1987,pl_num,0))),"Plan inconnu",IF(AND(F1987&lt;&gt;"",IFERROR(INDEX(pl_eq,MATCH(F1987,pl_num,0))&amp;"",C1987)&lt;&gt;C1987),"Plan d'un autre équipement",IF(AND(J1987&lt;&gt;"",OR(NOT(ISNUMBER(J1987)),N(J1987)&lt;0)),"Compteur invalide",IF(OR(AND(K1987&lt;&gt;"",OR(NOT(ISNUMBER(K1987)),N(K1987)&lt;0)),AND(L1987&lt;&gt;"",OR(NOT(ISNUMBER(L1987)),N(L1987)&lt;0))),"Durée invalide",IF(OR(AND(N1987&lt;&gt;"",OR(NOT(ISNUMBER(N1987)),N(N1987)&lt;0)),AND(P1987&lt;&gt;"",OR(NOT(ISNUMBER(P1987)),N(P1987)&lt;0))),"Coût invalide",IF(AND(M1987&lt;&gt;"",ISNA(MATCH(M1987,tech_name,0))),"Technicien inconnu",IF(AND(I1987="Terminée",S1987&gt;p_today),"Terminée à une date future",IF(AND(I1987="Terminée",V1987=0),"Durée d'intervention manquante",IF(AND(I1987="Terminée",E1987="Préventif",T1987=0,OR(IFERROR(INDEX(pl_trig,MATCH(F1987,pl_num,0))&amp;"","")="Compteur",IFERROR(INDEX(pl_trig,MATCH(F1987,pl_num,0))&amp;"","")="Au premier des deux")),"Compteur manquant (plan au compteur)","OK"))))))))))))))))))</f>
        <v/>
      </c>
      <c r="S1987" s="67">
        <f>IF(AND(ISNUMBER(B1987),N(B1987)&gt;0),INT(B1987),0)</f>
        <v>0.0</v>
      </c>
      <c r="T1987" s="67">
        <f>IF(AND(ISNUMBER(J1987),N(J1987)&gt;=0),N(J1987),0)</f>
        <v>0.0</v>
      </c>
      <c r="U1987" s="67">
        <f>IF(AND(ISNUMBER(K1987),N(K1987)&gt;0),N(K1987),0)</f>
        <v>0.0</v>
      </c>
      <c r="V1987" s="67">
        <f>IF(AND(ISNUMBER(L1987),N(L1987)&gt;0),N(L1987),0)</f>
        <v>0.0</v>
      </c>
      <c r="W1987" s="67">
        <f>IF(AND(I1987="Terminée",S1987&gt;0,C1987&lt;&gt;"",ISNUMBER(MATCH(C1987,eq_code,0))),1,0)</f>
        <v>0.0</v>
      </c>
      <c r="X1987" s="67">
        <f>IF(AND(W1987=1,E1987="Préventif"),1,0)</f>
        <v>0.0</v>
      </c>
      <c r="Y1987" s="67">
        <f>IF(AND(ISNUMBER(N1987),N(N1987)&gt;0),N(N1987),0)</f>
        <v>0.0</v>
      </c>
      <c r="Z1987" s="67">
        <f>IF(AND(ISNUMBER(P1987),N(P1987)&gt;0),N(P1987),0)</f>
        <v>0.0</v>
      </c>
    </row>
    <row r="1988">
      <c r="A1988" s="79" t="str">
        <f>IF(COUNTA(B1988:C1988,E1988:G1988,I1988)=0,"","BI-"&amp;RIGHT("0000"&amp;(ROW()-5),4))</f>
        <v/>
      </c>
      <c r="B1988" s="72" t="n"/>
      <c r="C1988" s="66" t="n"/>
      <c r="D1988" s="67" t="str">
        <f>IF(C1988="","",IFERROR(INDEX(eq_des,MATCH(C1988,eq_code,0))&amp;"","Équipement inconnu"))</f>
        <v/>
      </c>
      <c r="E1988" s="68" t="n"/>
      <c r="F1988" s="68" t="n"/>
      <c r="G1988" s="66" t="n"/>
      <c r="H1988" s="66" t="n"/>
      <c r="I1988" s="68" t="n"/>
      <c r="J1988" s="73" t="n"/>
      <c r="K1988" s="71" t="n"/>
      <c r="L1988" s="71" t="n"/>
      <c r="M1988" s="66" t="n"/>
      <c r="N1988" s="80" t="n"/>
      <c r="O1988" s="81" t="str">
        <f>IF(A1988="","",ROUND(V1988*IFERROR(N(INDEX(tech_rate,MATCH(M1988,tech_name,0))),0),2))</f>
        <v/>
      </c>
      <c r="P1988" s="80" t="n"/>
      <c r="Q1988" s="81" t="str">
        <f>IF(A1988="","",ROUND(Y1988+O1988+Z1988,2))</f>
        <v/>
      </c>
      <c r="R1988" s="79" t="str">
        <f>IF(A1988="","",IF(S1988=0,"Date manquante ou invalide",IF(C1988="","Équipement manquant",IF(ISNA(MATCH(C1988,eq_code,0)),"Équipement inconnu",IF(E1988="","Type manquant",IF(AND(E1988&lt;&gt;"Préventif",E1988&lt;&gt;"Correctif",E1988&lt;&gt;"Amélioratif"),"Type inconnu",IF(I1988="","Statut manquant",IF(AND(I1988&lt;&gt;"Terminée",I1988&lt;&gt;"En cours",I1988&lt;&gt;"À faire",I1988&lt;&gt;"Annulée"),"Statut inconnu",IF(AND(E1988="Préventif",F1988=""),"Plan manquant (préventif)",IF(AND(F1988&lt;&gt;"",ISNA(MATCH(F1988,pl_num,0))),"Plan inconnu",IF(AND(F1988&lt;&gt;"",IFERROR(INDEX(pl_eq,MATCH(F1988,pl_num,0))&amp;"",C1988)&lt;&gt;C1988),"Plan d'un autre équipement",IF(AND(J1988&lt;&gt;"",OR(NOT(ISNUMBER(J1988)),N(J1988)&lt;0)),"Compteur invalide",IF(OR(AND(K1988&lt;&gt;"",OR(NOT(ISNUMBER(K1988)),N(K1988)&lt;0)),AND(L1988&lt;&gt;"",OR(NOT(ISNUMBER(L1988)),N(L1988)&lt;0))),"Durée invalide",IF(OR(AND(N1988&lt;&gt;"",OR(NOT(ISNUMBER(N1988)),N(N1988)&lt;0)),AND(P1988&lt;&gt;"",OR(NOT(ISNUMBER(P1988)),N(P1988)&lt;0))),"Coût invalide",IF(AND(M1988&lt;&gt;"",ISNA(MATCH(M1988,tech_name,0))),"Technicien inconnu",IF(AND(I1988="Terminée",S1988&gt;p_today),"Terminée à une date future",IF(AND(I1988="Terminée",V1988=0),"Durée d'intervention manquante",IF(AND(I1988="Terminée",E1988="Préventif",T1988=0,OR(IFERROR(INDEX(pl_trig,MATCH(F1988,pl_num,0))&amp;"","")="Compteur",IFERROR(INDEX(pl_trig,MATCH(F1988,pl_num,0))&amp;"","")="Au premier des deux")),"Compteur manquant (plan au compteur)","OK"))))))))))))))))))</f>
        <v/>
      </c>
      <c r="S1988" s="67">
        <f>IF(AND(ISNUMBER(B1988),N(B1988)&gt;0),INT(B1988),0)</f>
        <v>0.0</v>
      </c>
      <c r="T1988" s="67">
        <f>IF(AND(ISNUMBER(J1988),N(J1988)&gt;=0),N(J1988),0)</f>
        <v>0.0</v>
      </c>
      <c r="U1988" s="67">
        <f>IF(AND(ISNUMBER(K1988),N(K1988)&gt;0),N(K1988),0)</f>
        <v>0.0</v>
      </c>
      <c r="V1988" s="67">
        <f>IF(AND(ISNUMBER(L1988),N(L1988)&gt;0),N(L1988),0)</f>
        <v>0.0</v>
      </c>
      <c r="W1988" s="67">
        <f>IF(AND(I1988="Terminée",S1988&gt;0,C1988&lt;&gt;"",ISNUMBER(MATCH(C1988,eq_code,0))),1,0)</f>
        <v>0.0</v>
      </c>
      <c r="X1988" s="67">
        <f>IF(AND(W1988=1,E1988="Préventif"),1,0)</f>
        <v>0.0</v>
      </c>
      <c r="Y1988" s="67">
        <f>IF(AND(ISNUMBER(N1988),N(N1988)&gt;0),N(N1988),0)</f>
        <v>0.0</v>
      </c>
      <c r="Z1988" s="67">
        <f>IF(AND(ISNUMBER(P1988),N(P1988)&gt;0),N(P1988),0)</f>
        <v>0.0</v>
      </c>
    </row>
    <row r="1989">
      <c r="A1989" s="79" t="str">
        <f>IF(COUNTA(B1989:C1989,E1989:G1989,I1989)=0,"","BI-"&amp;RIGHT("0000"&amp;(ROW()-5),4))</f>
        <v/>
      </c>
      <c r="B1989" s="72" t="n"/>
      <c r="C1989" s="66" t="n"/>
      <c r="D1989" s="67" t="str">
        <f>IF(C1989="","",IFERROR(INDEX(eq_des,MATCH(C1989,eq_code,0))&amp;"","Équipement inconnu"))</f>
        <v/>
      </c>
      <c r="E1989" s="68" t="n"/>
      <c r="F1989" s="68" t="n"/>
      <c r="G1989" s="66" t="n"/>
      <c r="H1989" s="66" t="n"/>
      <c r="I1989" s="68" t="n"/>
      <c r="J1989" s="73" t="n"/>
      <c r="K1989" s="71" t="n"/>
      <c r="L1989" s="71" t="n"/>
      <c r="M1989" s="66" t="n"/>
      <c r="N1989" s="80" t="n"/>
      <c r="O1989" s="81" t="str">
        <f>IF(A1989="","",ROUND(V1989*IFERROR(N(INDEX(tech_rate,MATCH(M1989,tech_name,0))),0),2))</f>
        <v/>
      </c>
      <c r="P1989" s="80" t="n"/>
      <c r="Q1989" s="81" t="str">
        <f>IF(A1989="","",ROUND(Y1989+O1989+Z1989,2))</f>
        <v/>
      </c>
      <c r="R1989" s="79" t="str">
        <f>IF(A1989="","",IF(S1989=0,"Date manquante ou invalide",IF(C1989="","Équipement manquant",IF(ISNA(MATCH(C1989,eq_code,0)),"Équipement inconnu",IF(E1989="","Type manquant",IF(AND(E1989&lt;&gt;"Préventif",E1989&lt;&gt;"Correctif",E1989&lt;&gt;"Amélioratif"),"Type inconnu",IF(I1989="","Statut manquant",IF(AND(I1989&lt;&gt;"Terminée",I1989&lt;&gt;"En cours",I1989&lt;&gt;"À faire",I1989&lt;&gt;"Annulée"),"Statut inconnu",IF(AND(E1989="Préventif",F1989=""),"Plan manquant (préventif)",IF(AND(F1989&lt;&gt;"",ISNA(MATCH(F1989,pl_num,0))),"Plan inconnu",IF(AND(F1989&lt;&gt;"",IFERROR(INDEX(pl_eq,MATCH(F1989,pl_num,0))&amp;"",C1989)&lt;&gt;C1989),"Plan d'un autre équipement",IF(AND(J1989&lt;&gt;"",OR(NOT(ISNUMBER(J1989)),N(J1989)&lt;0)),"Compteur invalide",IF(OR(AND(K1989&lt;&gt;"",OR(NOT(ISNUMBER(K1989)),N(K1989)&lt;0)),AND(L1989&lt;&gt;"",OR(NOT(ISNUMBER(L1989)),N(L1989)&lt;0))),"Durée invalide",IF(OR(AND(N1989&lt;&gt;"",OR(NOT(ISNUMBER(N1989)),N(N1989)&lt;0)),AND(P1989&lt;&gt;"",OR(NOT(ISNUMBER(P1989)),N(P1989)&lt;0))),"Coût invalide",IF(AND(M1989&lt;&gt;"",ISNA(MATCH(M1989,tech_name,0))),"Technicien inconnu",IF(AND(I1989="Terminée",S1989&gt;p_today),"Terminée à une date future",IF(AND(I1989="Terminée",V1989=0),"Durée d'intervention manquante",IF(AND(I1989="Terminée",E1989="Préventif",T1989=0,OR(IFERROR(INDEX(pl_trig,MATCH(F1989,pl_num,0))&amp;"","")="Compteur",IFERROR(INDEX(pl_trig,MATCH(F1989,pl_num,0))&amp;"","")="Au premier des deux")),"Compteur manquant (plan au compteur)","OK"))))))))))))))))))</f>
        <v/>
      </c>
      <c r="S1989" s="67">
        <f>IF(AND(ISNUMBER(B1989),N(B1989)&gt;0),INT(B1989),0)</f>
        <v>0.0</v>
      </c>
      <c r="T1989" s="67">
        <f>IF(AND(ISNUMBER(J1989),N(J1989)&gt;=0),N(J1989),0)</f>
        <v>0.0</v>
      </c>
      <c r="U1989" s="67">
        <f>IF(AND(ISNUMBER(K1989),N(K1989)&gt;0),N(K1989),0)</f>
        <v>0.0</v>
      </c>
      <c r="V1989" s="67">
        <f>IF(AND(ISNUMBER(L1989),N(L1989)&gt;0),N(L1989),0)</f>
        <v>0.0</v>
      </c>
      <c r="W1989" s="67">
        <f>IF(AND(I1989="Terminée",S1989&gt;0,C1989&lt;&gt;"",ISNUMBER(MATCH(C1989,eq_code,0))),1,0)</f>
        <v>0.0</v>
      </c>
      <c r="X1989" s="67">
        <f>IF(AND(W1989=1,E1989="Préventif"),1,0)</f>
        <v>0.0</v>
      </c>
      <c r="Y1989" s="67">
        <f>IF(AND(ISNUMBER(N1989),N(N1989)&gt;0),N(N1989),0)</f>
        <v>0.0</v>
      </c>
      <c r="Z1989" s="67">
        <f>IF(AND(ISNUMBER(P1989),N(P1989)&gt;0),N(P1989),0)</f>
        <v>0.0</v>
      </c>
    </row>
    <row r="1990">
      <c r="A1990" s="79" t="str">
        <f>IF(COUNTA(B1990:C1990,E1990:G1990,I1990)=0,"","BI-"&amp;RIGHT("0000"&amp;(ROW()-5),4))</f>
        <v/>
      </c>
      <c r="B1990" s="72" t="n"/>
      <c r="C1990" s="66" t="n"/>
      <c r="D1990" s="67" t="str">
        <f>IF(C1990="","",IFERROR(INDEX(eq_des,MATCH(C1990,eq_code,0))&amp;"","Équipement inconnu"))</f>
        <v/>
      </c>
      <c r="E1990" s="68" t="n"/>
      <c r="F1990" s="68" t="n"/>
      <c r="G1990" s="66" t="n"/>
      <c r="H1990" s="66" t="n"/>
      <c r="I1990" s="68" t="n"/>
      <c r="J1990" s="73" t="n"/>
      <c r="K1990" s="71" t="n"/>
      <c r="L1990" s="71" t="n"/>
      <c r="M1990" s="66" t="n"/>
      <c r="N1990" s="80" t="n"/>
      <c r="O1990" s="81" t="str">
        <f>IF(A1990="","",ROUND(V1990*IFERROR(N(INDEX(tech_rate,MATCH(M1990,tech_name,0))),0),2))</f>
        <v/>
      </c>
      <c r="P1990" s="80" t="n"/>
      <c r="Q1990" s="81" t="str">
        <f>IF(A1990="","",ROUND(Y1990+O1990+Z1990,2))</f>
        <v/>
      </c>
      <c r="R1990" s="79" t="str">
        <f>IF(A1990="","",IF(S1990=0,"Date manquante ou invalide",IF(C1990="","Équipement manquant",IF(ISNA(MATCH(C1990,eq_code,0)),"Équipement inconnu",IF(E1990="","Type manquant",IF(AND(E1990&lt;&gt;"Préventif",E1990&lt;&gt;"Correctif",E1990&lt;&gt;"Amélioratif"),"Type inconnu",IF(I1990="","Statut manquant",IF(AND(I1990&lt;&gt;"Terminée",I1990&lt;&gt;"En cours",I1990&lt;&gt;"À faire",I1990&lt;&gt;"Annulée"),"Statut inconnu",IF(AND(E1990="Préventif",F1990=""),"Plan manquant (préventif)",IF(AND(F1990&lt;&gt;"",ISNA(MATCH(F1990,pl_num,0))),"Plan inconnu",IF(AND(F1990&lt;&gt;"",IFERROR(INDEX(pl_eq,MATCH(F1990,pl_num,0))&amp;"",C1990)&lt;&gt;C1990),"Plan d'un autre équipement",IF(AND(J1990&lt;&gt;"",OR(NOT(ISNUMBER(J1990)),N(J1990)&lt;0)),"Compteur invalide",IF(OR(AND(K1990&lt;&gt;"",OR(NOT(ISNUMBER(K1990)),N(K1990)&lt;0)),AND(L1990&lt;&gt;"",OR(NOT(ISNUMBER(L1990)),N(L1990)&lt;0))),"Durée invalide",IF(OR(AND(N1990&lt;&gt;"",OR(NOT(ISNUMBER(N1990)),N(N1990)&lt;0)),AND(P1990&lt;&gt;"",OR(NOT(ISNUMBER(P1990)),N(P1990)&lt;0))),"Coût invalide",IF(AND(M1990&lt;&gt;"",ISNA(MATCH(M1990,tech_name,0))),"Technicien inconnu",IF(AND(I1990="Terminée",S1990&gt;p_today),"Terminée à une date future",IF(AND(I1990="Terminée",V1990=0),"Durée d'intervention manquante",IF(AND(I1990="Terminée",E1990="Préventif",T1990=0,OR(IFERROR(INDEX(pl_trig,MATCH(F1990,pl_num,0))&amp;"","")="Compteur",IFERROR(INDEX(pl_trig,MATCH(F1990,pl_num,0))&amp;"","")="Au premier des deux")),"Compteur manquant (plan au compteur)","OK"))))))))))))))))))</f>
        <v/>
      </c>
      <c r="S1990" s="67">
        <f>IF(AND(ISNUMBER(B1990),N(B1990)&gt;0),INT(B1990),0)</f>
        <v>0.0</v>
      </c>
      <c r="T1990" s="67">
        <f>IF(AND(ISNUMBER(J1990),N(J1990)&gt;=0),N(J1990),0)</f>
        <v>0.0</v>
      </c>
      <c r="U1990" s="67">
        <f>IF(AND(ISNUMBER(K1990),N(K1990)&gt;0),N(K1990),0)</f>
        <v>0.0</v>
      </c>
      <c r="V1990" s="67">
        <f>IF(AND(ISNUMBER(L1990),N(L1990)&gt;0),N(L1990),0)</f>
        <v>0.0</v>
      </c>
      <c r="W1990" s="67">
        <f>IF(AND(I1990="Terminée",S1990&gt;0,C1990&lt;&gt;"",ISNUMBER(MATCH(C1990,eq_code,0))),1,0)</f>
        <v>0.0</v>
      </c>
      <c r="X1990" s="67">
        <f>IF(AND(W1990=1,E1990="Préventif"),1,0)</f>
        <v>0.0</v>
      </c>
      <c r="Y1990" s="67">
        <f>IF(AND(ISNUMBER(N1990),N(N1990)&gt;0),N(N1990),0)</f>
        <v>0.0</v>
      </c>
      <c r="Z1990" s="67">
        <f>IF(AND(ISNUMBER(P1990),N(P1990)&gt;0),N(P1990),0)</f>
        <v>0.0</v>
      </c>
    </row>
    <row r="1991">
      <c r="A1991" s="79" t="str">
        <f>IF(COUNTA(B1991:C1991,E1991:G1991,I1991)=0,"","BI-"&amp;RIGHT("0000"&amp;(ROW()-5),4))</f>
        <v/>
      </c>
      <c r="B1991" s="72" t="n"/>
      <c r="C1991" s="66" t="n"/>
      <c r="D1991" s="67" t="str">
        <f>IF(C1991="","",IFERROR(INDEX(eq_des,MATCH(C1991,eq_code,0))&amp;"","Équipement inconnu"))</f>
        <v/>
      </c>
      <c r="E1991" s="68" t="n"/>
      <c r="F1991" s="68" t="n"/>
      <c r="G1991" s="66" t="n"/>
      <c r="H1991" s="66" t="n"/>
      <c r="I1991" s="68" t="n"/>
      <c r="J1991" s="73" t="n"/>
      <c r="K1991" s="71" t="n"/>
      <c r="L1991" s="71" t="n"/>
      <c r="M1991" s="66" t="n"/>
      <c r="N1991" s="80" t="n"/>
      <c r="O1991" s="81" t="str">
        <f>IF(A1991="","",ROUND(V1991*IFERROR(N(INDEX(tech_rate,MATCH(M1991,tech_name,0))),0),2))</f>
        <v/>
      </c>
      <c r="P1991" s="80" t="n"/>
      <c r="Q1991" s="81" t="str">
        <f>IF(A1991="","",ROUND(Y1991+O1991+Z1991,2))</f>
        <v/>
      </c>
      <c r="R1991" s="79" t="str">
        <f>IF(A1991="","",IF(S1991=0,"Date manquante ou invalide",IF(C1991="","Équipement manquant",IF(ISNA(MATCH(C1991,eq_code,0)),"Équipement inconnu",IF(E1991="","Type manquant",IF(AND(E1991&lt;&gt;"Préventif",E1991&lt;&gt;"Correctif",E1991&lt;&gt;"Amélioratif"),"Type inconnu",IF(I1991="","Statut manquant",IF(AND(I1991&lt;&gt;"Terminée",I1991&lt;&gt;"En cours",I1991&lt;&gt;"À faire",I1991&lt;&gt;"Annulée"),"Statut inconnu",IF(AND(E1991="Préventif",F1991=""),"Plan manquant (préventif)",IF(AND(F1991&lt;&gt;"",ISNA(MATCH(F1991,pl_num,0))),"Plan inconnu",IF(AND(F1991&lt;&gt;"",IFERROR(INDEX(pl_eq,MATCH(F1991,pl_num,0))&amp;"",C1991)&lt;&gt;C1991),"Plan d'un autre équipement",IF(AND(J1991&lt;&gt;"",OR(NOT(ISNUMBER(J1991)),N(J1991)&lt;0)),"Compteur invalide",IF(OR(AND(K1991&lt;&gt;"",OR(NOT(ISNUMBER(K1991)),N(K1991)&lt;0)),AND(L1991&lt;&gt;"",OR(NOT(ISNUMBER(L1991)),N(L1991)&lt;0))),"Durée invalide",IF(OR(AND(N1991&lt;&gt;"",OR(NOT(ISNUMBER(N1991)),N(N1991)&lt;0)),AND(P1991&lt;&gt;"",OR(NOT(ISNUMBER(P1991)),N(P1991)&lt;0))),"Coût invalide",IF(AND(M1991&lt;&gt;"",ISNA(MATCH(M1991,tech_name,0))),"Technicien inconnu",IF(AND(I1991="Terminée",S1991&gt;p_today),"Terminée à une date future",IF(AND(I1991="Terminée",V1991=0),"Durée d'intervention manquante",IF(AND(I1991="Terminée",E1991="Préventif",T1991=0,OR(IFERROR(INDEX(pl_trig,MATCH(F1991,pl_num,0))&amp;"","")="Compteur",IFERROR(INDEX(pl_trig,MATCH(F1991,pl_num,0))&amp;"","")="Au premier des deux")),"Compteur manquant (plan au compteur)","OK"))))))))))))))))))</f>
        <v/>
      </c>
      <c r="S1991" s="67">
        <f>IF(AND(ISNUMBER(B1991),N(B1991)&gt;0),INT(B1991),0)</f>
        <v>0.0</v>
      </c>
      <c r="T1991" s="67">
        <f>IF(AND(ISNUMBER(J1991),N(J1991)&gt;=0),N(J1991),0)</f>
        <v>0.0</v>
      </c>
      <c r="U1991" s="67">
        <f>IF(AND(ISNUMBER(K1991),N(K1991)&gt;0),N(K1991),0)</f>
        <v>0.0</v>
      </c>
      <c r="V1991" s="67">
        <f>IF(AND(ISNUMBER(L1991),N(L1991)&gt;0),N(L1991),0)</f>
        <v>0.0</v>
      </c>
      <c r="W1991" s="67">
        <f>IF(AND(I1991="Terminée",S1991&gt;0,C1991&lt;&gt;"",ISNUMBER(MATCH(C1991,eq_code,0))),1,0)</f>
        <v>0.0</v>
      </c>
      <c r="X1991" s="67">
        <f>IF(AND(W1991=1,E1991="Préventif"),1,0)</f>
        <v>0.0</v>
      </c>
      <c r="Y1991" s="67">
        <f>IF(AND(ISNUMBER(N1991),N(N1991)&gt;0),N(N1991),0)</f>
        <v>0.0</v>
      </c>
      <c r="Z1991" s="67">
        <f>IF(AND(ISNUMBER(P1991),N(P1991)&gt;0),N(P1991),0)</f>
        <v>0.0</v>
      </c>
    </row>
    <row r="1992">
      <c r="A1992" s="79" t="str">
        <f>IF(COUNTA(B1992:C1992,E1992:G1992,I1992)=0,"","BI-"&amp;RIGHT("0000"&amp;(ROW()-5),4))</f>
        <v/>
      </c>
      <c r="B1992" s="72" t="n"/>
      <c r="C1992" s="66" t="n"/>
      <c r="D1992" s="67" t="str">
        <f>IF(C1992="","",IFERROR(INDEX(eq_des,MATCH(C1992,eq_code,0))&amp;"","Équipement inconnu"))</f>
        <v/>
      </c>
      <c r="E1992" s="68" t="n"/>
      <c r="F1992" s="68" t="n"/>
      <c r="G1992" s="66" t="n"/>
      <c r="H1992" s="66" t="n"/>
      <c r="I1992" s="68" t="n"/>
      <c r="J1992" s="73" t="n"/>
      <c r="K1992" s="71" t="n"/>
      <c r="L1992" s="71" t="n"/>
      <c r="M1992" s="66" t="n"/>
      <c r="N1992" s="80" t="n"/>
      <c r="O1992" s="81" t="str">
        <f>IF(A1992="","",ROUND(V1992*IFERROR(N(INDEX(tech_rate,MATCH(M1992,tech_name,0))),0),2))</f>
        <v/>
      </c>
      <c r="P1992" s="80" t="n"/>
      <c r="Q1992" s="81" t="str">
        <f>IF(A1992="","",ROUND(Y1992+O1992+Z1992,2))</f>
        <v/>
      </c>
      <c r="R1992" s="79" t="str">
        <f>IF(A1992="","",IF(S1992=0,"Date manquante ou invalide",IF(C1992="","Équipement manquant",IF(ISNA(MATCH(C1992,eq_code,0)),"Équipement inconnu",IF(E1992="","Type manquant",IF(AND(E1992&lt;&gt;"Préventif",E1992&lt;&gt;"Correctif",E1992&lt;&gt;"Amélioratif"),"Type inconnu",IF(I1992="","Statut manquant",IF(AND(I1992&lt;&gt;"Terminée",I1992&lt;&gt;"En cours",I1992&lt;&gt;"À faire",I1992&lt;&gt;"Annulée"),"Statut inconnu",IF(AND(E1992="Préventif",F1992=""),"Plan manquant (préventif)",IF(AND(F1992&lt;&gt;"",ISNA(MATCH(F1992,pl_num,0))),"Plan inconnu",IF(AND(F1992&lt;&gt;"",IFERROR(INDEX(pl_eq,MATCH(F1992,pl_num,0))&amp;"",C1992)&lt;&gt;C1992),"Plan d'un autre équipement",IF(AND(J1992&lt;&gt;"",OR(NOT(ISNUMBER(J1992)),N(J1992)&lt;0)),"Compteur invalide",IF(OR(AND(K1992&lt;&gt;"",OR(NOT(ISNUMBER(K1992)),N(K1992)&lt;0)),AND(L1992&lt;&gt;"",OR(NOT(ISNUMBER(L1992)),N(L1992)&lt;0))),"Durée invalide",IF(OR(AND(N1992&lt;&gt;"",OR(NOT(ISNUMBER(N1992)),N(N1992)&lt;0)),AND(P1992&lt;&gt;"",OR(NOT(ISNUMBER(P1992)),N(P1992)&lt;0))),"Coût invalide",IF(AND(M1992&lt;&gt;"",ISNA(MATCH(M1992,tech_name,0))),"Technicien inconnu",IF(AND(I1992="Terminée",S1992&gt;p_today),"Terminée à une date future",IF(AND(I1992="Terminée",V1992=0),"Durée d'intervention manquante",IF(AND(I1992="Terminée",E1992="Préventif",T1992=0,OR(IFERROR(INDEX(pl_trig,MATCH(F1992,pl_num,0))&amp;"","")="Compteur",IFERROR(INDEX(pl_trig,MATCH(F1992,pl_num,0))&amp;"","")="Au premier des deux")),"Compteur manquant (plan au compteur)","OK"))))))))))))))))))</f>
        <v/>
      </c>
      <c r="S1992" s="67">
        <f>IF(AND(ISNUMBER(B1992),N(B1992)&gt;0),INT(B1992),0)</f>
        <v>0.0</v>
      </c>
      <c r="T1992" s="67">
        <f>IF(AND(ISNUMBER(J1992),N(J1992)&gt;=0),N(J1992),0)</f>
        <v>0.0</v>
      </c>
      <c r="U1992" s="67">
        <f>IF(AND(ISNUMBER(K1992),N(K1992)&gt;0),N(K1992),0)</f>
        <v>0.0</v>
      </c>
      <c r="V1992" s="67">
        <f>IF(AND(ISNUMBER(L1992),N(L1992)&gt;0),N(L1992),0)</f>
        <v>0.0</v>
      </c>
      <c r="W1992" s="67">
        <f>IF(AND(I1992="Terminée",S1992&gt;0,C1992&lt;&gt;"",ISNUMBER(MATCH(C1992,eq_code,0))),1,0)</f>
        <v>0.0</v>
      </c>
      <c r="X1992" s="67">
        <f>IF(AND(W1992=1,E1992="Préventif"),1,0)</f>
        <v>0.0</v>
      </c>
      <c r="Y1992" s="67">
        <f>IF(AND(ISNUMBER(N1992),N(N1992)&gt;0),N(N1992),0)</f>
        <v>0.0</v>
      </c>
      <c r="Z1992" s="67">
        <f>IF(AND(ISNUMBER(P1992),N(P1992)&gt;0),N(P1992),0)</f>
        <v>0.0</v>
      </c>
    </row>
    <row r="1993">
      <c r="A1993" s="79" t="str">
        <f>IF(COUNTA(B1993:C1993,E1993:G1993,I1993)=0,"","BI-"&amp;RIGHT("0000"&amp;(ROW()-5),4))</f>
        <v/>
      </c>
      <c r="B1993" s="72" t="n"/>
      <c r="C1993" s="66" t="n"/>
      <c r="D1993" s="67" t="str">
        <f>IF(C1993="","",IFERROR(INDEX(eq_des,MATCH(C1993,eq_code,0))&amp;"","Équipement inconnu"))</f>
        <v/>
      </c>
      <c r="E1993" s="68" t="n"/>
      <c r="F1993" s="68" t="n"/>
      <c r="G1993" s="66" t="n"/>
      <c r="H1993" s="66" t="n"/>
      <c r="I1993" s="68" t="n"/>
      <c r="J1993" s="73" t="n"/>
      <c r="K1993" s="71" t="n"/>
      <c r="L1993" s="71" t="n"/>
      <c r="M1993" s="66" t="n"/>
      <c r="N1993" s="80" t="n"/>
      <c r="O1993" s="81" t="str">
        <f>IF(A1993="","",ROUND(V1993*IFERROR(N(INDEX(tech_rate,MATCH(M1993,tech_name,0))),0),2))</f>
        <v/>
      </c>
      <c r="P1993" s="80" t="n"/>
      <c r="Q1993" s="81" t="str">
        <f>IF(A1993="","",ROUND(Y1993+O1993+Z1993,2))</f>
        <v/>
      </c>
      <c r="R1993" s="79" t="str">
        <f>IF(A1993="","",IF(S1993=0,"Date manquante ou invalide",IF(C1993="","Équipement manquant",IF(ISNA(MATCH(C1993,eq_code,0)),"Équipement inconnu",IF(E1993="","Type manquant",IF(AND(E1993&lt;&gt;"Préventif",E1993&lt;&gt;"Correctif",E1993&lt;&gt;"Amélioratif"),"Type inconnu",IF(I1993="","Statut manquant",IF(AND(I1993&lt;&gt;"Terminée",I1993&lt;&gt;"En cours",I1993&lt;&gt;"À faire",I1993&lt;&gt;"Annulée"),"Statut inconnu",IF(AND(E1993="Préventif",F1993=""),"Plan manquant (préventif)",IF(AND(F1993&lt;&gt;"",ISNA(MATCH(F1993,pl_num,0))),"Plan inconnu",IF(AND(F1993&lt;&gt;"",IFERROR(INDEX(pl_eq,MATCH(F1993,pl_num,0))&amp;"",C1993)&lt;&gt;C1993),"Plan d'un autre équipement",IF(AND(J1993&lt;&gt;"",OR(NOT(ISNUMBER(J1993)),N(J1993)&lt;0)),"Compteur invalide",IF(OR(AND(K1993&lt;&gt;"",OR(NOT(ISNUMBER(K1993)),N(K1993)&lt;0)),AND(L1993&lt;&gt;"",OR(NOT(ISNUMBER(L1993)),N(L1993)&lt;0))),"Durée invalide",IF(OR(AND(N1993&lt;&gt;"",OR(NOT(ISNUMBER(N1993)),N(N1993)&lt;0)),AND(P1993&lt;&gt;"",OR(NOT(ISNUMBER(P1993)),N(P1993)&lt;0))),"Coût invalide",IF(AND(M1993&lt;&gt;"",ISNA(MATCH(M1993,tech_name,0))),"Technicien inconnu",IF(AND(I1993="Terminée",S1993&gt;p_today),"Terminée à une date future",IF(AND(I1993="Terminée",V1993=0),"Durée d'intervention manquante",IF(AND(I1993="Terminée",E1993="Préventif",T1993=0,OR(IFERROR(INDEX(pl_trig,MATCH(F1993,pl_num,0))&amp;"","")="Compteur",IFERROR(INDEX(pl_trig,MATCH(F1993,pl_num,0))&amp;"","")="Au premier des deux")),"Compteur manquant (plan au compteur)","OK"))))))))))))))))))</f>
        <v/>
      </c>
      <c r="S1993" s="67">
        <f>IF(AND(ISNUMBER(B1993),N(B1993)&gt;0),INT(B1993),0)</f>
        <v>0.0</v>
      </c>
      <c r="T1993" s="67">
        <f>IF(AND(ISNUMBER(J1993),N(J1993)&gt;=0),N(J1993),0)</f>
        <v>0.0</v>
      </c>
      <c r="U1993" s="67">
        <f>IF(AND(ISNUMBER(K1993),N(K1993)&gt;0),N(K1993),0)</f>
        <v>0.0</v>
      </c>
      <c r="V1993" s="67">
        <f>IF(AND(ISNUMBER(L1993),N(L1993)&gt;0),N(L1993),0)</f>
        <v>0.0</v>
      </c>
      <c r="W1993" s="67">
        <f>IF(AND(I1993="Terminée",S1993&gt;0,C1993&lt;&gt;"",ISNUMBER(MATCH(C1993,eq_code,0))),1,0)</f>
        <v>0.0</v>
      </c>
      <c r="X1993" s="67">
        <f>IF(AND(W1993=1,E1993="Préventif"),1,0)</f>
        <v>0.0</v>
      </c>
      <c r="Y1993" s="67">
        <f>IF(AND(ISNUMBER(N1993),N(N1993)&gt;0),N(N1993),0)</f>
        <v>0.0</v>
      </c>
      <c r="Z1993" s="67">
        <f>IF(AND(ISNUMBER(P1993),N(P1993)&gt;0),N(P1993),0)</f>
        <v>0.0</v>
      </c>
    </row>
    <row r="1994">
      <c r="A1994" s="79" t="str">
        <f>IF(COUNTA(B1994:C1994,E1994:G1994,I1994)=0,"","BI-"&amp;RIGHT("0000"&amp;(ROW()-5),4))</f>
        <v/>
      </c>
      <c r="B1994" s="72" t="n"/>
      <c r="C1994" s="66" t="n"/>
      <c r="D1994" s="67" t="str">
        <f>IF(C1994="","",IFERROR(INDEX(eq_des,MATCH(C1994,eq_code,0))&amp;"","Équipement inconnu"))</f>
        <v/>
      </c>
      <c r="E1994" s="68" t="n"/>
      <c r="F1994" s="68" t="n"/>
      <c r="G1994" s="66" t="n"/>
      <c r="H1994" s="66" t="n"/>
      <c r="I1994" s="68" t="n"/>
      <c r="J1994" s="73" t="n"/>
      <c r="K1994" s="71" t="n"/>
      <c r="L1994" s="71" t="n"/>
      <c r="M1994" s="66" t="n"/>
      <c r="N1994" s="80" t="n"/>
      <c r="O1994" s="81" t="str">
        <f>IF(A1994="","",ROUND(V1994*IFERROR(N(INDEX(tech_rate,MATCH(M1994,tech_name,0))),0),2))</f>
        <v/>
      </c>
      <c r="P1994" s="80" t="n"/>
      <c r="Q1994" s="81" t="str">
        <f>IF(A1994="","",ROUND(Y1994+O1994+Z1994,2))</f>
        <v/>
      </c>
      <c r="R1994" s="79" t="str">
        <f>IF(A1994="","",IF(S1994=0,"Date manquante ou invalide",IF(C1994="","Équipement manquant",IF(ISNA(MATCH(C1994,eq_code,0)),"Équipement inconnu",IF(E1994="","Type manquant",IF(AND(E1994&lt;&gt;"Préventif",E1994&lt;&gt;"Correctif",E1994&lt;&gt;"Amélioratif"),"Type inconnu",IF(I1994="","Statut manquant",IF(AND(I1994&lt;&gt;"Terminée",I1994&lt;&gt;"En cours",I1994&lt;&gt;"À faire",I1994&lt;&gt;"Annulée"),"Statut inconnu",IF(AND(E1994="Préventif",F1994=""),"Plan manquant (préventif)",IF(AND(F1994&lt;&gt;"",ISNA(MATCH(F1994,pl_num,0))),"Plan inconnu",IF(AND(F1994&lt;&gt;"",IFERROR(INDEX(pl_eq,MATCH(F1994,pl_num,0))&amp;"",C1994)&lt;&gt;C1994),"Plan d'un autre équipement",IF(AND(J1994&lt;&gt;"",OR(NOT(ISNUMBER(J1994)),N(J1994)&lt;0)),"Compteur invalide",IF(OR(AND(K1994&lt;&gt;"",OR(NOT(ISNUMBER(K1994)),N(K1994)&lt;0)),AND(L1994&lt;&gt;"",OR(NOT(ISNUMBER(L1994)),N(L1994)&lt;0))),"Durée invalide",IF(OR(AND(N1994&lt;&gt;"",OR(NOT(ISNUMBER(N1994)),N(N1994)&lt;0)),AND(P1994&lt;&gt;"",OR(NOT(ISNUMBER(P1994)),N(P1994)&lt;0))),"Coût invalide",IF(AND(M1994&lt;&gt;"",ISNA(MATCH(M1994,tech_name,0))),"Technicien inconnu",IF(AND(I1994="Terminée",S1994&gt;p_today),"Terminée à une date future",IF(AND(I1994="Terminée",V1994=0),"Durée d'intervention manquante",IF(AND(I1994="Terminée",E1994="Préventif",T1994=0,OR(IFERROR(INDEX(pl_trig,MATCH(F1994,pl_num,0))&amp;"","")="Compteur",IFERROR(INDEX(pl_trig,MATCH(F1994,pl_num,0))&amp;"","")="Au premier des deux")),"Compteur manquant (plan au compteur)","OK"))))))))))))))))))</f>
        <v/>
      </c>
      <c r="S1994" s="67">
        <f>IF(AND(ISNUMBER(B1994),N(B1994)&gt;0),INT(B1994),0)</f>
        <v>0.0</v>
      </c>
      <c r="T1994" s="67">
        <f>IF(AND(ISNUMBER(J1994),N(J1994)&gt;=0),N(J1994),0)</f>
        <v>0.0</v>
      </c>
      <c r="U1994" s="67">
        <f>IF(AND(ISNUMBER(K1994),N(K1994)&gt;0),N(K1994),0)</f>
        <v>0.0</v>
      </c>
      <c r="V1994" s="67">
        <f>IF(AND(ISNUMBER(L1994),N(L1994)&gt;0),N(L1994),0)</f>
        <v>0.0</v>
      </c>
      <c r="W1994" s="67">
        <f>IF(AND(I1994="Terminée",S1994&gt;0,C1994&lt;&gt;"",ISNUMBER(MATCH(C1994,eq_code,0))),1,0)</f>
        <v>0.0</v>
      </c>
      <c r="X1994" s="67">
        <f>IF(AND(W1994=1,E1994="Préventif"),1,0)</f>
        <v>0.0</v>
      </c>
      <c r="Y1994" s="67">
        <f>IF(AND(ISNUMBER(N1994),N(N1994)&gt;0),N(N1994),0)</f>
        <v>0.0</v>
      </c>
      <c r="Z1994" s="67">
        <f>IF(AND(ISNUMBER(P1994),N(P1994)&gt;0),N(P1994),0)</f>
        <v>0.0</v>
      </c>
    </row>
    <row r="1995">
      <c r="A1995" s="79" t="str">
        <f>IF(COUNTA(B1995:C1995,E1995:G1995,I1995)=0,"","BI-"&amp;RIGHT("0000"&amp;(ROW()-5),4))</f>
        <v/>
      </c>
      <c r="B1995" s="72" t="n"/>
      <c r="C1995" s="66" t="n"/>
      <c r="D1995" s="67" t="str">
        <f>IF(C1995="","",IFERROR(INDEX(eq_des,MATCH(C1995,eq_code,0))&amp;"","Équipement inconnu"))</f>
        <v/>
      </c>
      <c r="E1995" s="68" t="n"/>
      <c r="F1995" s="68" t="n"/>
      <c r="G1995" s="66" t="n"/>
      <c r="H1995" s="66" t="n"/>
      <c r="I1995" s="68" t="n"/>
      <c r="J1995" s="73" t="n"/>
      <c r="K1995" s="71" t="n"/>
      <c r="L1995" s="71" t="n"/>
      <c r="M1995" s="66" t="n"/>
      <c r="N1995" s="80" t="n"/>
      <c r="O1995" s="81" t="str">
        <f>IF(A1995="","",ROUND(V1995*IFERROR(N(INDEX(tech_rate,MATCH(M1995,tech_name,0))),0),2))</f>
        <v/>
      </c>
      <c r="P1995" s="80" t="n"/>
      <c r="Q1995" s="81" t="str">
        <f>IF(A1995="","",ROUND(Y1995+O1995+Z1995,2))</f>
        <v/>
      </c>
      <c r="R1995" s="79" t="str">
        <f>IF(A1995="","",IF(S1995=0,"Date manquante ou invalide",IF(C1995="","Équipement manquant",IF(ISNA(MATCH(C1995,eq_code,0)),"Équipement inconnu",IF(E1995="","Type manquant",IF(AND(E1995&lt;&gt;"Préventif",E1995&lt;&gt;"Correctif",E1995&lt;&gt;"Amélioratif"),"Type inconnu",IF(I1995="","Statut manquant",IF(AND(I1995&lt;&gt;"Terminée",I1995&lt;&gt;"En cours",I1995&lt;&gt;"À faire",I1995&lt;&gt;"Annulée"),"Statut inconnu",IF(AND(E1995="Préventif",F1995=""),"Plan manquant (préventif)",IF(AND(F1995&lt;&gt;"",ISNA(MATCH(F1995,pl_num,0))),"Plan inconnu",IF(AND(F1995&lt;&gt;"",IFERROR(INDEX(pl_eq,MATCH(F1995,pl_num,0))&amp;"",C1995)&lt;&gt;C1995),"Plan d'un autre équipement",IF(AND(J1995&lt;&gt;"",OR(NOT(ISNUMBER(J1995)),N(J1995)&lt;0)),"Compteur invalide",IF(OR(AND(K1995&lt;&gt;"",OR(NOT(ISNUMBER(K1995)),N(K1995)&lt;0)),AND(L1995&lt;&gt;"",OR(NOT(ISNUMBER(L1995)),N(L1995)&lt;0))),"Durée invalide",IF(OR(AND(N1995&lt;&gt;"",OR(NOT(ISNUMBER(N1995)),N(N1995)&lt;0)),AND(P1995&lt;&gt;"",OR(NOT(ISNUMBER(P1995)),N(P1995)&lt;0))),"Coût invalide",IF(AND(M1995&lt;&gt;"",ISNA(MATCH(M1995,tech_name,0))),"Technicien inconnu",IF(AND(I1995="Terminée",S1995&gt;p_today),"Terminée à une date future",IF(AND(I1995="Terminée",V1995=0),"Durée d'intervention manquante",IF(AND(I1995="Terminée",E1995="Préventif",T1995=0,OR(IFERROR(INDEX(pl_trig,MATCH(F1995,pl_num,0))&amp;"","")="Compteur",IFERROR(INDEX(pl_trig,MATCH(F1995,pl_num,0))&amp;"","")="Au premier des deux")),"Compteur manquant (plan au compteur)","OK"))))))))))))))))))</f>
        <v/>
      </c>
      <c r="S1995" s="67">
        <f>IF(AND(ISNUMBER(B1995),N(B1995)&gt;0),INT(B1995),0)</f>
        <v>0.0</v>
      </c>
      <c r="T1995" s="67">
        <f>IF(AND(ISNUMBER(J1995),N(J1995)&gt;=0),N(J1995),0)</f>
        <v>0.0</v>
      </c>
      <c r="U1995" s="67">
        <f>IF(AND(ISNUMBER(K1995),N(K1995)&gt;0),N(K1995),0)</f>
        <v>0.0</v>
      </c>
      <c r="V1995" s="67">
        <f>IF(AND(ISNUMBER(L1995),N(L1995)&gt;0),N(L1995),0)</f>
        <v>0.0</v>
      </c>
      <c r="W1995" s="67">
        <f>IF(AND(I1995="Terminée",S1995&gt;0,C1995&lt;&gt;"",ISNUMBER(MATCH(C1995,eq_code,0))),1,0)</f>
        <v>0.0</v>
      </c>
      <c r="X1995" s="67">
        <f>IF(AND(W1995=1,E1995="Préventif"),1,0)</f>
        <v>0.0</v>
      </c>
      <c r="Y1995" s="67">
        <f>IF(AND(ISNUMBER(N1995),N(N1995)&gt;0),N(N1995),0)</f>
        <v>0.0</v>
      </c>
      <c r="Z1995" s="67">
        <f>IF(AND(ISNUMBER(P1995),N(P1995)&gt;0),N(P1995),0)</f>
        <v>0.0</v>
      </c>
    </row>
    <row r="1996">
      <c r="A1996" s="79" t="str">
        <f>IF(COUNTA(B1996:C1996,E1996:G1996,I1996)=0,"","BI-"&amp;RIGHT("0000"&amp;(ROW()-5),4))</f>
        <v/>
      </c>
      <c r="B1996" s="72" t="n"/>
      <c r="C1996" s="66" t="n"/>
      <c r="D1996" s="67" t="str">
        <f>IF(C1996="","",IFERROR(INDEX(eq_des,MATCH(C1996,eq_code,0))&amp;"","Équipement inconnu"))</f>
        <v/>
      </c>
      <c r="E1996" s="68" t="n"/>
      <c r="F1996" s="68" t="n"/>
      <c r="G1996" s="66" t="n"/>
      <c r="H1996" s="66" t="n"/>
      <c r="I1996" s="68" t="n"/>
      <c r="J1996" s="73" t="n"/>
      <c r="K1996" s="71" t="n"/>
      <c r="L1996" s="71" t="n"/>
      <c r="M1996" s="66" t="n"/>
      <c r="N1996" s="80" t="n"/>
      <c r="O1996" s="81" t="str">
        <f>IF(A1996="","",ROUND(V1996*IFERROR(N(INDEX(tech_rate,MATCH(M1996,tech_name,0))),0),2))</f>
        <v/>
      </c>
      <c r="P1996" s="80" t="n"/>
      <c r="Q1996" s="81" t="str">
        <f>IF(A1996="","",ROUND(Y1996+O1996+Z1996,2))</f>
        <v/>
      </c>
      <c r="R1996" s="79" t="str">
        <f>IF(A1996="","",IF(S1996=0,"Date manquante ou invalide",IF(C1996="","Équipement manquant",IF(ISNA(MATCH(C1996,eq_code,0)),"Équipement inconnu",IF(E1996="","Type manquant",IF(AND(E1996&lt;&gt;"Préventif",E1996&lt;&gt;"Correctif",E1996&lt;&gt;"Amélioratif"),"Type inconnu",IF(I1996="","Statut manquant",IF(AND(I1996&lt;&gt;"Terminée",I1996&lt;&gt;"En cours",I1996&lt;&gt;"À faire",I1996&lt;&gt;"Annulée"),"Statut inconnu",IF(AND(E1996="Préventif",F1996=""),"Plan manquant (préventif)",IF(AND(F1996&lt;&gt;"",ISNA(MATCH(F1996,pl_num,0))),"Plan inconnu",IF(AND(F1996&lt;&gt;"",IFERROR(INDEX(pl_eq,MATCH(F1996,pl_num,0))&amp;"",C1996)&lt;&gt;C1996),"Plan d'un autre équipement",IF(AND(J1996&lt;&gt;"",OR(NOT(ISNUMBER(J1996)),N(J1996)&lt;0)),"Compteur invalide",IF(OR(AND(K1996&lt;&gt;"",OR(NOT(ISNUMBER(K1996)),N(K1996)&lt;0)),AND(L1996&lt;&gt;"",OR(NOT(ISNUMBER(L1996)),N(L1996)&lt;0))),"Durée invalide",IF(OR(AND(N1996&lt;&gt;"",OR(NOT(ISNUMBER(N1996)),N(N1996)&lt;0)),AND(P1996&lt;&gt;"",OR(NOT(ISNUMBER(P1996)),N(P1996)&lt;0))),"Coût invalide",IF(AND(M1996&lt;&gt;"",ISNA(MATCH(M1996,tech_name,0))),"Technicien inconnu",IF(AND(I1996="Terminée",S1996&gt;p_today),"Terminée à une date future",IF(AND(I1996="Terminée",V1996=0),"Durée d'intervention manquante",IF(AND(I1996="Terminée",E1996="Préventif",T1996=0,OR(IFERROR(INDEX(pl_trig,MATCH(F1996,pl_num,0))&amp;"","")="Compteur",IFERROR(INDEX(pl_trig,MATCH(F1996,pl_num,0))&amp;"","")="Au premier des deux")),"Compteur manquant (plan au compteur)","OK"))))))))))))))))))</f>
        <v/>
      </c>
      <c r="S1996" s="67">
        <f>IF(AND(ISNUMBER(B1996),N(B1996)&gt;0),INT(B1996),0)</f>
        <v>0.0</v>
      </c>
      <c r="T1996" s="67">
        <f>IF(AND(ISNUMBER(J1996),N(J1996)&gt;=0),N(J1996),0)</f>
        <v>0.0</v>
      </c>
      <c r="U1996" s="67">
        <f>IF(AND(ISNUMBER(K1996),N(K1996)&gt;0),N(K1996),0)</f>
        <v>0.0</v>
      </c>
      <c r="V1996" s="67">
        <f>IF(AND(ISNUMBER(L1996),N(L1996)&gt;0),N(L1996),0)</f>
        <v>0.0</v>
      </c>
      <c r="W1996" s="67">
        <f>IF(AND(I1996="Terminée",S1996&gt;0,C1996&lt;&gt;"",ISNUMBER(MATCH(C1996,eq_code,0))),1,0)</f>
        <v>0.0</v>
      </c>
      <c r="X1996" s="67">
        <f>IF(AND(W1996=1,E1996="Préventif"),1,0)</f>
        <v>0.0</v>
      </c>
      <c r="Y1996" s="67">
        <f>IF(AND(ISNUMBER(N1996),N(N1996)&gt;0),N(N1996),0)</f>
        <v>0.0</v>
      </c>
      <c r="Z1996" s="67">
        <f>IF(AND(ISNUMBER(P1996),N(P1996)&gt;0),N(P1996),0)</f>
        <v>0.0</v>
      </c>
    </row>
    <row r="1997">
      <c r="A1997" s="79" t="str">
        <f>IF(COUNTA(B1997:C1997,E1997:G1997,I1997)=0,"","BI-"&amp;RIGHT("0000"&amp;(ROW()-5),4))</f>
        <v/>
      </c>
      <c r="B1997" s="72" t="n"/>
      <c r="C1997" s="66" t="n"/>
      <c r="D1997" s="67" t="str">
        <f>IF(C1997="","",IFERROR(INDEX(eq_des,MATCH(C1997,eq_code,0))&amp;"","Équipement inconnu"))</f>
        <v/>
      </c>
      <c r="E1997" s="68" t="n"/>
      <c r="F1997" s="68" t="n"/>
      <c r="G1997" s="66" t="n"/>
      <c r="H1997" s="66" t="n"/>
      <c r="I1997" s="68" t="n"/>
      <c r="J1997" s="73" t="n"/>
      <c r="K1997" s="71" t="n"/>
      <c r="L1997" s="71" t="n"/>
      <c r="M1997" s="66" t="n"/>
      <c r="N1997" s="80" t="n"/>
      <c r="O1997" s="81" t="str">
        <f>IF(A1997="","",ROUND(V1997*IFERROR(N(INDEX(tech_rate,MATCH(M1997,tech_name,0))),0),2))</f>
        <v/>
      </c>
      <c r="P1997" s="80" t="n"/>
      <c r="Q1997" s="81" t="str">
        <f>IF(A1997="","",ROUND(Y1997+O1997+Z1997,2))</f>
        <v/>
      </c>
      <c r="R1997" s="79" t="str">
        <f>IF(A1997="","",IF(S1997=0,"Date manquante ou invalide",IF(C1997="","Équipement manquant",IF(ISNA(MATCH(C1997,eq_code,0)),"Équipement inconnu",IF(E1997="","Type manquant",IF(AND(E1997&lt;&gt;"Préventif",E1997&lt;&gt;"Correctif",E1997&lt;&gt;"Amélioratif"),"Type inconnu",IF(I1997="","Statut manquant",IF(AND(I1997&lt;&gt;"Terminée",I1997&lt;&gt;"En cours",I1997&lt;&gt;"À faire",I1997&lt;&gt;"Annulée"),"Statut inconnu",IF(AND(E1997="Préventif",F1997=""),"Plan manquant (préventif)",IF(AND(F1997&lt;&gt;"",ISNA(MATCH(F1997,pl_num,0))),"Plan inconnu",IF(AND(F1997&lt;&gt;"",IFERROR(INDEX(pl_eq,MATCH(F1997,pl_num,0))&amp;"",C1997)&lt;&gt;C1997),"Plan d'un autre équipement",IF(AND(J1997&lt;&gt;"",OR(NOT(ISNUMBER(J1997)),N(J1997)&lt;0)),"Compteur invalide",IF(OR(AND(K1997&lt;&gt;"",OR(NOT(ISNUMBER(K1997)),N(K1997)&lt;0)),AND(L1997&lt;&gt;"",OR(NOT(ISNUMBER(L1997)),N(L1997)&lt;0))),"Durée invalide",IF(OR(AND(N1997&lt;&gt;"",OR(NOT(ISNUMBER(N1997)),N(N1997)&lt;0)),AND(P1997&lt;&gt;"",OR(NOT(ISNUMBER(P1997)),N(P1997)&lt;0))),"Coût invalide",IF(AND(M1997&lt;&gt;"",ISNA(MATCH(M1997,tech_name,0))),"Technicien inconnu",IF(AND(I1997="Terminée",S1997&gt;p_today),"Terminée à une date future",IF(AND(I1997="Terminée",V1997=0),"Durée d'intervention manquante",IF(AND(I1997="Terminée",E1997="Préventif",T1997=0,OR(IFERROR(INDEX(pl_trig,MATCH(F1997,pl_num,0))&amp;"","")="Compteur",IFERROR(INDEX(pl_trig,MATCH(F1997,pl_num,0))&amp;"","")="Au premier des deux")),"Compteur manquant (plan au compteur)","OK"))))))))))))))))))</f>
        <v/>
      </c>
      <c r="S1997" s="67">
        <f>IF(AND(ISNUMBER(B1997),N(B1997)&gt;0),INT(B1997),0)</f>
        <v>0.0</v>
      </c>
      <c r="T1997" s="67">
        <f>IF(AND(ISNUMBER(J1997),N(J1997)&gt;=0),N(J1997),0)</f>
        <v>0.0</v>
      </c>
      <c r="U1997" s="67">
        <f>IF(AND(ISNUMBER(K1997),N(K1997)&gt;0),N(K1997),0)</f>
        <v>0.0</v>
      </c>
      <c r="V1997" s="67">
        <f>IF(AND(ISNUMBER(L1997),N(L1997)&gt;0),N(L1997),0)</f>
        <v>0.0</v>
      </c>
      <c r="W1997" s="67">
        <f>IF(AND(I1997="Terminée",S1997&gt;0,C1997&lt;&gt;"",ISNUMBER(MATCH(C1997,eq_code,0))),1,0)</f>
        <v>0.0</v>
      </c>
      <c r="X1997" s="67">
        <f>IF(AND(W1997=1,E1997="Préventif"),1,0)</f>
        <v>0.0</v>
      </c>
      <c r="Y1997" s="67">
        <f>IF(AND(ISNUMBER(N1997),N(N1997)&gt;0),N(N1997),0)</f>
        <v>0.0</v>
      </c>
      <c r="Z1997" s="67">
        <f>IF(AND(ISNUMBER(P1997),N(P1997)&gt;0),N(P1997),0)</f>
        <v>0.0</v>
      </c>
    </row>
    <row r="1998">
      <c r="A1998" s="79" t="str">
        <f>IF(COUNTA(B1998:C1998,E1998:G1998,I1998)=0,"","BI-"&amp;RIGHT("0000"&amp;(ROW()-5),4))</f>
        <v/>
      </c>
      <c r="B1998" s="72" t="n"/>
      <c r="C1998" s="66" t="n"/>
      <c r="D1998" s="67" t="str">
        <f>IF(C1998="","",IFERROR(INDEX(eq_des,MATCH(C1998,eq_code,0))&amp;"","Équipement inconnu"))</f>
        <v/>
      </c>
      <c r="E1998" s="68" t="n"/>
      <c r="F1998" s="68" t="n"/>
      <c r="G1998" s="66" t="n"/>
      <c r="H1998" s="66" t="n"/>
      <c r="I1998" s="68" t="n"/>
      <c r="J1998" s="73" t="n"/>
      <c r="K1998" s="71" t="n"/>
      <c r="L1998" s="71" t="n"/>
      <c r="M1998" s="66" t="n"/>
      <c r="N1998" s="80" t="n"/>
      <c r="O1998" s="81" t="str">
        <f>IF(A1998="","",ROUND(V1998*IFERROR(N(INDEX(tech_rate,MATCH(M1998,tech_name,0))),0),2))</f>
        <v/>
      </c>
      <c r="P1998" s="80" t="n"/>
      <c r="Q1998" s="81" t="str">
        <f>IF(A1998="","",ROUND(Y1998+O1998+Z1998,2))</f>
        <v/>
      </c>
      <c r="R1998" s="79" t="str">
        <f>IF(A1998="","",IF(S1998=0,"Date manquante ou invalide",IF(C1998="","Équipement manquant",IF(ISNA(MATCH(C1998,eq_code,0)),"Équipement inconnu",IF(E1998="","Type manquant",IF(AND(E1998&lt;&gt;"Préventif",E1998&lt;&gt;"Correctif",E1998&lt;&gt;"Amélioratif"),"Type inconnu",IF(I1998="","Statut manquant",IF(AND(I1998&lt;&gt;"Terminée",I1998&lt;&gt;"En cours",I1998&lt;&gt;"À faire",I1998&lt;&gt;"Annulée"),"Statut inconnu",IF(AND(E1998="Préventif",F1998=""),"Plan manquant (préventif)",IF(AND(F1998&lt;&gt;"",ISNA(MATCH(F1998,pl_num,0))),"Plan inconnu",IF(AND(F1998&lt;&gt;"",IFERROR(INDEX(pl_eq,MATCH(F1998,pl_num,0))&amp;"",C1998)&lt;&gt;C1998),"Plan d'un autre équipement",IF(AND(J1998&lt;&gt;"",OR(NOT(ISNUMBER(J1998)),N(J1998)&lt;0)),"Compteur invalide",IF(OR(AND(K1998&lt;&gt;"",OR(NOT(ISNUMBER(K1998)),N(K1998)&lt;0)),AND(L1998&lt;&gt;"",OR(NOT(ISNUMBER(L1998)),N(L1998)&lt;0))),"Durée invalide",IF(OR(AND(N1998&lt;&gt;"",OR(NOT(ISNUMBER(N1998)),N(N1998)&lt;0)),AND(P1998&lt;&gt;"",OR(NOT(ISNUMBER(P1998)),N(P1998)&lt;0))),"Coût invalide",IF(AND(M1998&lt;&gt;"",ISNA(MATCH(M1998,tech_name,0))),"Technicien inconnu",IF(AND(I1998="Terminée",S1998&gt;p_today),"Terminée à une date future",IF(AND(I1998="Terminée",V1998=0),"Durée d'intervention manquante",IF(AND(I1998="Terminée",E1998="Préventif",T1998=0,OR(IFERROR(INDEX(pl_trig,MATCH(F1998,pl_num,0))&amp;"","")="Compteur",IFERROR(INDEX(pl_trig,MATCH(F1998,pl_num,0))&amp;"","")="Au premier des deux")),"Compteur manquant (plan au compteur)","OK"))))))))))))))))))</f>
        <v/>
      </c>
      <c r="S1998" s="67">
        <f>IF(AND(ISNUMBER(B1998),N(B1998)&gt;0),INT(B1998),0)</f>
        <v>0.0</v>
      </c>
      <c r="T1998" s="67">
        <f>IF(AND(ISNUMBER(J1998),N(J1998)&gt;=0),N(J1998),0)</f>
        <v>0.0</v>
      </c>
      <c r="U1998" s="67">
        <f>IF(AND(ISNUMBER(K1998),N(K1998)&gt;0),N(K1998),0)</f>
        <v>0.0</v>
      </c>
      <c r="V1998" s="67">
        <f>IF(AND(ISNUMBER(L1998),N(L1998)&gt;0),N(L1998),0)</f>
        <v>0.0</v>
      </c>
      <c r="W1998" s="67">
        <f>IF(AND(I1998="Terminée",S1998&gt;0,C1998&lt;&gt;"",ISNUMBER(MATCH(C1998,eq_code,0))),1,0)</f>
        <v>0.0</v>
      </c>
      <c r="X1998" s="67">
        <f>IF(AND(W1998=1,E1998="Préventif"),1,0)</f>
        <v>0.0</v>
      </c>
      <c r="Y1998" s="67">
        <f>IF(AND(ISNUMBER(N1998),N(N1998)&gt;0),N(N1998),0)</f>
        <v>0.0</v>
      </c>
      <c r="Z1998" s="67">
        <f>IF(AND(ISNUMBER(P1998),N(P1998)&gt;0),N(P1998),0)</f>
        <v>0.0</v>
      </c>
    </row>
    <row r="1999">
      <c r="A1999" s="79" t="str">
        <f>IF(COUNTA(B1999:C1999,E1999:G1999,I1999)=0,"","BI-"&amp;RIGHT("0000"&amp;(ROW()-5),4))</f>
        <v/>
      </c>
      <c r="B1999" s="72" t="n"/>
      <c r="C1999" s="66" t="n"/>
      <c r="D1999" s="67" t="str">
        <f>IF(C1999="","",IFERROR(INDEX(eq_des,MATCH(C1999,eq_code,0))&amp;"","Équipement inconnu"))</f>
        <v/>
      </c>
      <c r="E1999" s="68" t="n"/>
      <c r="F1999" s="68" t="n"/>
      <c r="G1999" s="66" t="n"/>
      <c r="H1999" s="66" t="n"/>
      <c r="I1999" s="68" t="n"/>
      <c r="J1999" s="73" t="n"/>
      <c r="K1999" s="71" t="n"/>
      <c r="L1999" s="71" t="n"/>
      <c r="M1999" s="66" t="n"/>
      <c r="N1999" s="80" t="n"/>
      <c r="O1999" s="81" t="str">
        <f>IF(A1999="","",ROUND(V1999*IFERROR(N(INDEX(tech_rate,MATCH(M1999,tech_name,0))),0),2))</f>
        <v/>
      </c>
      <c r="P1999" s="80" t="n"/>
      <c r="Q1999" s="81" t="str">
        <f>IF(A1999="","",ROUND(Y1999+O1999+Z1999,2))</f>
        <v/>
      </c>
      <c r="R1999" s="79" t="str">
        <f>IF(A1999="","",IF(S1999=0,"Date manquante ou invalide",IF(C1999="","Équipement manquant",IF(ISNA(MATCH(C1999,eq_code,0)),"Équipement inconnu",IF(E1999="","Type manquant",IF(AND(E1999&lt;&gt;"Préventif",E1999&lt;&gt;"Correctif",E1999&lt;&gt;"Amélioratif"),"Type inconnu",IF(I1999="","Statut manquant",IF(AND(I1999&lt;&gt;"Terminée",I1999&lt;&gt;"En cours",I1999&lt;&gt;"À faire",I1999&lt;&gt;"Annulée"),"Statut inconnu",IF(AND(E1999="Préventif",F1999=""),"Plan manquant (préventif)",IF(AND(F1999&lt;&gt;"",ISNA(MATCH(F1999,pl_num,0))),"Plan inconnu",IF(AND(F1999&lt;&gt;"",IFERROR(INDEX(pl_eq,MATCH(F1999,pl_num,0))&amp;"",C1999)&lt;&gt;C1999),"Plan d'un autre équipement",IF(AND(J1999&lt;&gt;"",OR(NOT(ISNUMBER(J1999)),N(J1999)&lt;0)),"Compteur invalide",IF(OR(AND(K1999&lt;&gt;"",OR(NOT(ISNUMBER(K1999)),N(K1999)&lt;0)),AND(L1999&lt;&gt;"",OR(NOT(ISNUMBER(L1999)),N(L1999)&lt;0))),"Durée invalide",IF(OR(AND(N1999&lt;&gt;"",OR(NOT(ISNUMBER(N1999)),N(N1999)&lt;0)),AND(P1999&lt;&gt;"",OR(NOT(ISNUMBER(P1999)),N(P1999)&lt;0))),"Coût invalide",IF(AND(M1999&lt;&gt;"",ISNA(MATCH(M1999,tech_name,0))),"Technicien inconnu",IF(AND(I1999="Terminée",S1999&gt;p_today),"Terminée à une date future",IF(AND(I1999="Terminée",V1999=0),"Durée d'intervention manquante",IF(AND(I1999="Terminée",E1999="Préventif",T1999=0,OR(IFERROR(INDEX(pl_trig,MATCH(F1999,pl_num,0))&amp;"","")="Compteur",IFERROR(INDEX(pl_trig,MATCH(F1999,pl_num,0))&amp;"","")="Au premier des deux")),"Compteur manquant (plan au compteur)","OK"))))))))))))))))))</f>
        <v/>
      </c>
      <c r="S1999" s="67">
        <f>IF(AND(ISNUMBER(B1999),N(B1999)&gt;0),INT(B1999),0)</f>
        <v>0.0</v>
      </c>
      <c r="T1999" s="67">
        <f>IF(AND(ISNUMBER(J1999),N(J1999)&gt;=0),N(J1999),0)</f>
        <v>0.0</v>
      </c>
      <c r="U1999" s="67">
        <f>IF(AND(ISNUMBER(K1999),N(K1999)&gt;0),N(K1999),0)</f>
        <v>0.0</v>
      </c>
      <c r="V1999" s="67">
        <f>IF(AND(ISNUMBER(L1999),N(L1999)&gt;0),N(L1999),0)</f>
        <v>0.0</v>
      </c>
      <c r="W1999" s="67">
        <f>IF(AND(I1999="Terminée",S1999&gt;0,C1999&lt;&gt;"",ISNUMBER(MATCH(C1999,eq_code,0))),1,0)</f>
        <v>0.0</v>
      </c>
      <c r="X1999" s="67">
        <f>IF(AND(W1999=1,E1999="Préventif"),1,0)</f>
        <v>0.0</v>
      </c>
      <c r="Y1999" s="67">
        <f>IF(AND(ISNUMBER(N1999),N(N1999)&gt;0),N(N1999),0)</f>
        <v>0.0</v>
      </c>
      <c r="Z1999" s="67">
        <f>IF(AND(ISNUMBER(P1999),N(P1999)&gt;0),N(P1999),0)</f>
        <v>0.0</v>
      </c>
    </row>
    <row r="2000">
      <c r="A2000" s="79" t="str">
        <f>IF(COUNTA(B2000:C2000,E2000:G2000,I2000)=0,"","BI-"&amp;RIGHT("0000"&amp;(ROW()-5),4))</f>
        <v/>
      </c>
      <c r="B2000" s="72" t="n"/>
      <c r="C2000" s="66" t="n"/>
      <c r="D2000" s="67" t="str">
        <f>IF(C2000="","",IFERROR(INDEX(eq_des,MATCH(C2000,eq_code,0))&amp;"","Équipement inconnu"))</f>
        <v/>
      </c>
      <c r="E2000" s="68" t="n"/>
      <c r="F2000" s="68" t="n"/>
      <c r="G2000" s="66" t="n"/>
      <c r="H2000" s="66" t="n"/>
      <c r="I2000" s="68" t="n"/>
      <c r="J2000" s="73" t="n"/>
      <c r="K2000" s="71" t="n"/>
      <c r="L2000" s="71" t="n"/>
      <c r="M2000" s="66" t="n"/>
      <c r="N2000" s="80" t="n"/>
      <c r="O2000" s="81" t="str">
        <f>IF(A2000="","",ROUND(V2000*IFERROR(N(INDEX(tech_rate,MATCH(M2000,tech_name,0))),0),2))</f>
        <v/>
      </c>
      <c r="P2000" s="80" t="n"/>
      <c r="Q2000" s="81" t="str">
        <f>IF(A2000="","",ROUND(Y2000+O2000+Z2000,2))</f>
        <v/>
      </c>
      <c r="R2000" s="79" t="str">
        <f>IF(A2000="","",IF(S2000=0,"Date manquante ou invalide",IF(C2000="","Équipement manquant",IF(ISNA(MATCH(C2000,eq_code,0)),"Équipement inconnu",IF(E2000="","Type manquant",IF(AND(E2000&lt;&gt;"Préventif",E2000&lt;&gt;"Correctif",E2000&lt;&gt;"Amélioratif"),"Type inconnu",IF(I2000="","Statut manquant",IF(AND(I2000&lt;&gt;"Terminée",I2000&lt;&gt;"En cours",I2000&lt;&gt;"À faire",I2000&lt;&gt;"Annulée"),"Statut inconnu",IF(AND(E2000="Préventif",F2000=""),"Plan manquant (préventif)",IF(AND(F2000&lt;&gt;"",ISNA(MATCH(F2000,pl_num,0))),"Plan inconnu",IF(AND(F2000&lt;&gt;"",IFERROR(INDEX(pl_eq,MATCH(F2000,pl_num,0))&amp;"",C2000)&lt;&gt;C2000),"Plan d'un autre équipement",IF(AND(J2000&lt;&gt;"",OR(NOT(ISNUMBER(J2000)),N(J2000)&lt;0)),"Compteur invalide",IF(OR(AND(K2000&lt;&gt;"",OR(NOT(ISNUMBER(K2000)),N(K2000)&lt;0)),AND(L2000&lt;&gt;"",OR(NOT(ISNUMBER(L2000)),N(L2000)&lt;0))),"Durée invalide",IF(OR(AND(N2000&lt;&gt;"",OR(NOT(ISNUMBER(N2000)),N(N2000)&lt;0)),AND(P2000&lt;&gt;"",OR(NOT(ISNUMBER(P2000)),N(P2000)&lt;0))),"Coût invalide",IF(AND(M2000&lt;&gt;"",ISNA(MATCH(M2000,tech_name,0))),"Technicien inconnu",IF(AND(I2000="Terminée",S2000&gt;p_today),"Terminée à une date future",IF(AND(I2000="Terminée",V2000=0),"Durée d'intervention manquante",IF(AND(I2000="Terminée",E2000="Préventif",T2000=0,OR(IFERROR(INDEX(pl_trig,MATCH(F2000,pl_num,0))&amp;"","")="Compteur",IFERROR(INDEX(pl_trig,MATCH(F2000,pl_num,0))&amp;"","")="Au premier des deux")),"Compteur manquant (plan au compteur)","OK"))))))))))))))))))</f>
        <v/>
      </c>
      <c r="S2000" s="67">
        <f>IF(AND(ISNUMBER(B2000),N(B2000)&gt;0),INT(B2000),0)</f>
        <v>0.0</v>
      </c>
      <c r="T2000" s="67">
        <f>IF(AND(ISNUMBER(J2000),N(J2000)&gt;=0),N(J2000),0)</f>
        <v>0.0</v>
      </c>
      <c r="U2000" s="67">
        <f>IF(AND(ISNUMBER(K2000),N(K2000)&gt;0),N(K2000),0)</f>
        <v>0.0</v>
      </c>
      <c r="V2000" s="67">
        <f>IF(AND(ISNUMBER(L2000),N(L2000)&gt;0),N(L2000),0)</f>
        <v>0.0</v>
      </c>
      <c r="W2000" s="67">
        <f>IF(AND(I2000="Terminée",S2000&gt;0,C2000&lt;&gt;"",ISNUMBER(MATCH(C2000,eq_code,0))),1,0)</f>
        <v>0.0</v>
      </c>
      <c r="X2000" s="67">
        <f>IF(AND(W2000=1,E2000="Préventif"),1,0)</f>
        <v>0.0</v>
      </c>
      <c r="Y2000" s="67">
        <f>IF(AND(ISNUMBER(N2000),N(N2000)&gt;0),N(N2000),0)</f>
        <v>0.0</v>
      </c>
      <c r="Z2000" s="67">
        <f>IF(AND(ISNUMBER(P2000),N(P2000)&gt;0),N(P2000),0)</f>
        <v>0.0</v>
      </c>
    </row>
    <row r="2001">
      <c r="A2001" s="79" t="str">
        <f>IF(COUNTA(B2001:C2001,E2001:G2001,I2001)=0,"","BI-"&amp;RIGHT("0000"&amp;(ROW()-5),4))</f>
        <v/>
      </c>
      <c r="B2001" s="72" t="n"/>
      <c r="C2001" s="66" t="n"/>
      <c r="D2001" s="67" t="str">
        <f>IF(C2001="","",IFERROR(INDEX(eq_des,MATCH(C2001,eq_code,0))&amp;"","Équipement inconnu"))</f>
        <v/>
      </c>
      <c r="E2001" s="68" t="n"/>
      <c r="F2001" s="68" t="n"/>
      <c r="G2001" s="66" t="n"/>
      <c r="H2001" s="66" t="n"/>
      <c r="I2001" s="68" t="n"/>
      <c r="J2001" s="73" t="n"/>
      <c r="K2001" s="71" t="n"/>
      <c r="L2001" s="71" t="n"/>
      <c r="M2001" s="66" t="n"/>
      <c r="N2001" s="80" t="n"/>
      <c r="O2001" s="81" t="str">
        <f>IF(A2001="","",ROUND(V2001*IFERROR(N(INDEX(tech_rate,MATCH(M2001,tech_name,0))),0),2))</f>
        <v/>
      </c>
      <c r="P2001" s="80" t="n"/>
      <c r="Q2001" s="81" t="str">
        <f>IF(A2001="","",ROUND(Y2001+O2001+Z2001,2))</f>
        <v/>
      </c>
      <c r="R2001" s="79" t="str">
        <f>IF(A2001="","",IF(S2001=0,"Date manquante ou invalide",IF(C2001="","Équipement manquant",IF(ISNA(MATCH(C2001,eq_code,0)),"Équipement inconnu",IF(E2001="","Type manquant",IF(AND(E2001&lt;&gt;"Préventif",E2001&lt;&gt;"Correctif",E2001&lt;&gt;"Amélioratif"),"Type inconnu",IF(I2001="","Statut manquant",IF(AND(I2001&lt;&gt;"Terminée",I2001&lt;&gt;"En cours",I2001&lt;&gt;"À faire",I2001&lt;&gt;"Annulée"),"Statut inconnu",IF(AND(E2001="Préventif",F2001=""),"Plan manquant (préventif)",IF(AND(F2001&lt;&gt;"",ISNA(MATCH(F2001,pl_num,0))),"Plan inconnu",IF(AND(F2001&lt;&gt;"",IFERROR(INDEX(pl_eq,MATCH(F2001,pl_num,0))&amp;"",C2001)&lt;&gt;C2001),"Plan d'un autre équipement",IF(AND(J2001&lt;&gt;"",OR(NOT(ISNUMBER(J2001)),N(J2001)&lt;0)),"Compteur invalide",IF(OR(AND(K2001&lt;&gt;"",OR(NOT(ISNUMBER(K2001)),N(K2001)&lt;0)),AND(L2001&lt;&gt;"",OR(NOT(ISNUMBER(L2001)),N(L2001)&lt;0))),"Durée invalide",IF(OR(AND(N2001&lt;&gt;"",OR(NOT(ISNUMBER(N2001)),N(N2001)&lt;0)),AND(P2001&lt;&gt;"",OR(NOT(ISNUMBER(P2001)),N(P2001)&lt;0))),"Coût invalide",IF(AND(M2001&lt;&gt;"",ISNA(MATCH(M2001,tech_name,0))),"Technicien inconnu",IF(AND(I2001="Terminée",S2001&gt;p_today),"Terminée à une date future",IF(AND(I2001="Terminée",V2001=0),"Durée d'intervention manquante",IF(AND(I2001="Terminée",E2001="Préventif",T2001=0,OR(IFERROR(INDEX(pl_trig,MATCH(F2001,pl_num,0))&amp;"","")="Compteur",IFERROR(INDEX(pl_trig,MATCH(F2001,pl_num,0))&amp;"","")="Au premier des deux")),"Compteur manquant (plan au compteur)","OK"))))))))))))))))))</f>
        <v/>
      </c>
      <c r="S2001" s="67">
        <f>IF(AND(ISNUMBER(B2001),N(B2001)&gt;0),INT(B2001),0)</f>
        <v>0.0</v>
      </c>
      <c r="T2001" s="67">
        <f>IF(AND(ISNUMBER(J2001),N(J2001)&gt;=0),N(J2001),0)</f>
        <v>0.0</v>
      </c>
      <c r="U2001" s="67">
        <f>IF(AND(ISNUMBER(K2001),N(K2001)&gt;0),N(K2001),0)</f>
        <v>0.0</v>
      </c>
      <c r="V2001" s="67">
        <f>IF(AND(ISNUMBER(L2001),N(L2001)&gt;0),N(L2001),0)</f>
        <v>0.0</v>
      </c>
      <c r="W2001" s="67">
        <f>IF(AND(I2001="Terminée",S2001&gt;0,C2001&lt;&gt;"",ISNUMBER(MATCH(C2001,eq_code,0))),1,0)</f>
        <v>0.0</v>
      </c>
      <c r="X2001" s="67">
        <f>IF(AND(W2001=1,E2001="Préventif"),1,0)</f>
        <v>0.0</v>
      </c>
      <c r="Y2001" s="67">
        <f>IF(AND(ISNUMBER(N2001),N(N2001)&gt;0),N(N2001),0)</f>
        <v>0.0</v>
      </c>
      <c r="Z2001" s="67">
        <f>IF(AND(ISNUMBER(P2001),N(P2001)&gt;0),N(P2001),0)</f>
        <v>0.0</v>
      </c>
    </row>
    <row r="2002">
      <c r="A2002" s="79" t="str">
        <f>IF(COUNTA(B2002:C2002,E2002:G2002,I2002)=0,"","BI-"&amp;RIGHT("0000"&amp;(ROW()-5),4))</f>
        <v/>
      </c>
      <c r="B2002" s="72" t="n"/>
      <c r="C2002" s="66" t="n"/>
      <c r="D2002" s="67" t="str">
        <f>IF(C2002="","",IFERROR(INDEX(eq_des,MATCH(C2002,eq_code,0))&amp;"","Équipement inconnu"))</f>
        <v/>
      </c>
      <c r="E2002" s="68" t="n"/>
      <c r="F2002" s="68" t="n"/>
      <c r="G2002" s="66" t="n"/>
      <c r="H2002" s="66" t="n"/>
      <c r="I2002" s="68" t="n"/>
      <c r="J2002" s="73" t="n"/>
      <c r="K2002" s="71" t="n"/>
      <c r="L2002" s="71" t="n"/>
      <c r="M2002" s="66" t="n"/>
      <c r="N2002" s="80" t="n"/>
      <c r="O2002" s="81" t="str">
        <f>IF(A2002="","",ROUND(V2002*IFERROR(N(INDEX(tech_rate,MATCH(M2002,tech_name,0))),0),2))</f>
        <v/>
      </c>
      <c r="P2002" s="80" t="n"/>
      <c r="Q2002" s="81" t="str">
        <f>IF(A2002="","",ROUND(Y2002+O2002+Z2002,2))</f>
        <v/>
      </c>
      <c r="R2002" s="79" t="str">
        <f>IF(A2002="","",IF(S2002=0,"Date manquante ou invalide",IF(C2002="","Équipement manquant",IF(ISNA(MATCH(C2002,eq_code,0)),"Équipement inconnu",IF(E2002="","Type manquant",IF(AND(E2002&lt;&gt;"Préventif",E2002&lt;&gt;"Correctif",E2002&lt;&gt;"Amélioratif"),"Type inconnu",IF(I2002="","Statut manquant",IF(AND(I2002&lt;&gt;"Terminée",I2002&lt;&gt;"En cours",I2002&lt;&gt;"À faire",I2002&lt;&gt;"Annulée"),"Statut inconnu",IF(AND(E2002="Préventif",F2002=""),"Plan manquant (préventif)",IF(AND(F2002&lt;&gt;"",ISNA(MATCH(F2002,pl_num,0))),"Plan inconnu",IF(AND(F2002&lt;&gt;"",IFERROR(INDEX(pl_eq,MATCH(F2002,pl_num,0))&amp;"",C2002)&lt;&gt;C2002),"Plan d'un autre équipement",IF(AND(J2002&lt;&gt;"",OR(NOT(ISNUMBER(J2002)),N(J2002)&lt;0)),"Compteur invalide",IF(OR(AND(K2002&lt;&gt;"",OR(NOT(ISNUMBER(K2002)),N(K2002)&lt;0)),AND(L2002&lt;&gt;"",OR(NOT(ISNUMBER(L2002)),N(L2002)&lt;0))),"Durée invalide",IF(OR(AND(N2002&lt;&gt;"",OR(NOT(ISNUMBER(N2002)),N(N2002)&lt;0)),AND(P2002&lt;&gt;"",OR(NOT(ISNUMBER(P2002)),N(P2002)&lt;0))),"Coût invalide",IF(AND(M2002&lt;&gt;"",ISNA(MATCH(M2002,tech_name,0))),"Technicien inconnu",IF(AND(I2002="Terminée",S2002&gt;p_today),"Terminée à une date future",IF(AND(I2002="Terminée",V2002=0),"Durée d'intervention manquante",IF(AND(I2002="Terminée",E2002="Préventif",T2002=0,OR(IFERROR(INDEX(pl_trig,MATCH(F2002,pl_num,0))&amp;"","")="Compteur",IFERROR(INDEX(pl_trig,MATCH(F2002,pl_num,0))&amp;"","")="Au premier des deux")),"Compteur manquant (plan au compteur)","OK"))))))))))))))))))</f>
        <v/>
      </c>
      <c r="S2002" s="67">
        <f>IF(AND(ISNUMBER(B2002),N(B2002)&gt;0),INT(B2002),0)</f>
        <v>0.0</v>
      </c>
      <c r="T2002" s="67">
        <f>IF(AND(ISNUMBER(J2002),N(J2002)&gt;=0),N(J2002),0)</f>
        <v>0.0</v>
      </c>
      <c r="U2002" s="67">
        <f>IF(AND(ISNUMBER(K2002),N(K2002)&gt;0),N(K2002),0)</f>
        <v>0.0</v>
      </c>
      <c r="V2002" s="67">
        <f>IF(AND(ISNUMBER(L2002),N(L2002)&gt;0),N(L2002),0)</f>
        <v>0.0</v>
      </c>
      <c r="W2002" s="67">
        <f>IF(AND(I2002="Terminée",S2002&gt;0,C2002&lt;&gt;"",ISNUMBER(MATCH(C2002,eq_code,0))),1,0)</f>
        <v>0.0</v>
      </c>
      <c r="X2002" s="67">
        <f>IF(AND(W2002=1,E2002="Préventif"),1,0)</f>
        <v>0.0</v>
      </c>
      <c r="Y2002" s="67">
        <f>IF(AND(ISNUMBER(N2002),N(N2002)&gt;0),N(N2002),0)</f>
        <v>0.0</v>
      </c>
      <c r="Z2002" s="67">
        <f>IF(AND(ISNUMBER(P2002),N(P2002)&gt;0),N(P2002),0)</f>
        <v>0.0</v>
      </c>
    </row>
    <row r="2003">
      <c r="A2003" s="79" t="str">
        <f>IF(COUNTA(B2003:C2003,E2003:G2003,I2003)=0,"","BI-"&amp;RIGHT("0000"&amp;(ROW()-5),4))</f>
        <v/>
      </c>
      <c r="B2003" s="72" t="n"/>
      <c r="C2003" s="66" t="n"/>
      <c r="D2003" s="67" t="str">
        <f>IF(C2003="","",IFERROR(INDEX(eq_des,MATCH(C2003,eq_code,0))&amp;"","Équipement inconnu"))</f>
        <v/>
      </c>
      <c r="E2003" s="68" t="n"/>
      <c r="F2003" s="68" t="n"/>
      <c r="G2003" s="66" t="n"/>
      <c r="H2003" s="66" t="n"/>
      <c r="I2003" s="68" t="n"/>
      <c r="J2003" s="73" t="n"/>
      <c r="K2003" s="71" t="n"/>
      <c r="L2003" s="71" t="n"/>
      <c r="M2003" s="66" t="n"/>
      <c r="N2003" s="80" t="n"/>
      <c r="O2003" s="81" t="str">
        <f>IF(A2003="","",ROUND(V2003*IFERROR(N(INDEX(tech_rate,MATCH(M2003,tech_name,0))),0),2))</f>
        <v/>
      </c>
      <c r="P2003" s="80" t="n"/>
      <c r="Q2003" s="81" t="str">
        <f>IF(A2003="","",ROUND(Y2003+O2003+Z2003,2))</f>
        <v/>
      </c>
      <c r="R2003" s="79" t="str">
        <f>IF(A2003="","",IF(S2003=0,"Date manquante ou invalide",IF(C2003="","Équipement manquant",IF(ISNA(MATCH(C2003,eq_code,0)),"Équipement inconnu",IF(E2003="","Type manquant",IF(AND(E2003&lt;&gt;"Préventif",E2003&lt;&gt;"Correctif",E2003&lt;&gt;"Amélioratif"),"Type inconnu",IF(I2003="","Statut manquant",IF(AND(I2003&lt;&gt;"Terminée",I2003&lt;&gt;"En cours",I2003&lt;&gt;"À faire",I2003&lt;&gt;"Annulée"),"Statut inconnu",IF(AND(E2003="Préventif",F2003=""),"Plan manquant (préventif)",IF(AND(F2003&lt;&gt;"",ISNA(MATCH(F2003,pl_num,0))),"Plan inconnu",IF(AND(F2003&lt;&gt;"",IFERROR(INDEX(pl_eq,MATCH(F2003,pl_num,0))&amp;"",C2003)&lt;&gt;C2003),"Plan d'un autre équipement",IF(AND(J2003&lt;&gt;"",OR(NOT(ISNUMBER(J2003)),N(J2003)&lt;0)),"Compteur invalide",IF(OR(AND(K2003&lt;&gt;"",OR(NOT(ISNUMBER(K2003)),N(K2003)&lt;0)),AND(L2003&lt;&gt;"",OR(NOT(ISNUMBER(L2003)),N(L2003)&lt;0))),"Durée invalide",IF(OR(AND(N2003&lt;&gt;"",OR(NOT(ISNUMBER(N2003)),N(N2003)&lt;0)),AND(P2003&lt;&gt;"",OR(NOT(ISNUMBER(P2003)),N(P2003)&lt;0))),"Coût invalide",IF(AND(M2003&lt;&gt;"",ISNA(MATCH(M2003,tech_name,0))),"Technicien inconnu",IF(AND(I2003="Terminée",S2003&gt;p_today),"Terminée à une date future",IF(AND(I2003="Terminée",V2003=0),"Durée d'intervention manquante",IF(AND(I2003="Terminée",E2003="Préventif",T2003=0,OR(IFERROR(INDEX(pl_trig,MATCH(F2003,pl_num,0))&amp;"","")="Compteur",IFERROR(INDEX(pl_trig,MATCH(F2003,pl_num,0))&amp;"","")="Au premier des deux")),"Compteur manquant (plan au compteur)","OK"))))))))))))))))))</f>
        <v/>
      </c>
      <c r="S2003" s="67">
        <f>IF(AND(ISNUMBER(B2003),N(B2003)&gt;0),INT(B2003),0)</f>
        <v>0.0</v>
      </c>
      <c r="T2003" s="67">
        <f>IF(AND(ISNUMBER(J2003),N(J2003)&gt;=0),N(J2003),0)</f>
        <v>0.0</v>
      </c>
      <c r="U2003" s="67">
        <f>IF(AND(ISNUMBER(K2003),N(K2003)&gt;0),N(K2003),0)</f>
        <v>0.0</v>
      </c>
      <c r="V2003" s="67">
        <f>IF(AND(ISNUMBER(L2003),N(L2003)&gt;0),N(L2003),0)</f>
        <v>0.0</v>
      </c>
      <c r="W2003" s="67">
        <f>IF(AND(I2003="Terminée",S2003&gt;0,C2003&lt;&gt;"",ISNUMBER(MATCH(C2003,eq_code,0))),1,0)</f>
        <v>0.0</v>
      </c>
      <c r="X2003" s="67">
        <f>IF(AND(W2003=1,E2003="Préventif"),1,0)</f>
        <v>0.0</v>
      </c>
      <c r="Y2003" s="67">
        <f>IF(AND(ISNUMBER(N2003),N(N2003)&gt;0),N(N2003),0)</f>
        <v>0.0</v>
      </c>
      <c r="Z2003" s="67">
        <f>IF(AND(ISNUMBER(P2003),N(P2003)&gt;0),N(P2003),0)</f>
        <v>0.0</v>
      </c>
    </row>
    <row r="2004">
      <c r="A2004" s="79" t="str">
        <f>IF(COUNTA(B2004:C2004,E2004:G2004,I2004)=0,"","BI-"&amp;RIGHT("0000"&amp;(ROW()-5),4))</f>
        <v/>
      </c>
      <c r="B2004" s="72" t="n"/>
      <c r="C2004" s="66" t="n"/>
      <c r="D2004" s="67" t="str">
        <f>IF(C2004="","",IFERROR(INDEX(eq_des,MATCH(C2004,eq_code,0))&amp;"","Équipement inconnu"))</f>
        <v/>
      </c>
      <c r="E2004" s="68" t="n"/>
      <c r="F2004" s="68" t="n"/>
      <c r="G2004" s="66" t="n"/>
      <c r="H2004" s="66" t="n"/>
      <c r="I2004" s="68" t="n"/>
      <c r="J2004" s="73" t="n"/>
      <c r="K2004" s="71" t="n"/>
      <c r="L2004" s="71" t="n"/>
      <c r="M2004" s="66" t="n"/>
      <c r="N2004" s="80" t="n"/>
      <c r="O2004" s="81" t="str">
        <f>IF(A2004="","",ROUND(V2004*IFERROR(N(INDEX(tech_rate,MATCH(M2004,tech_name,0))),0),2))</f>
        <v/>
      </c>
      <c r="P2004" s="80" t="n"/>
      <c r="Q2004" s="81" t="str">
        <f>IF(A2004="","",ROUND(Y2004+O2004+Z2004,2))</f>
        <v/>
      </c>
      <c r="R2004" s="79" t="str">
        <f>IF(A2004="","",IF(S2004=0,"Date manquante ou invalide",IF(C2004="","Équipement manquant",IF(ISNA(MATCH(C2004,eq_code,0)),"Équipement inconnu",IF(E2004="","Type manquant",IF(AND(E2004&lt;&gt;"Préventif",E2004&lt;&gt;"Correctif",E2004&lt;&gt;"Amélioratif"),"Type inconnu",IF(I2004="","Statut manquant",IF(AND(I2004&lt;&gt;"Terminée",I2004&lt;&gt;"En cours",I2004&lt;&gt;"À faire",I2004&lt;&gt;"Annulée"),"Statut inconnu",IF(AND(E2004="Préventif",F2004=""),"Plan manquant (préventif)",IF(AND(F2004&lt;&gt;"",ISNA(MATCH(F2004,pl_num,0))),"Plan inconnu",IF(AND(F2004&lt;&gt;"",IFERROR(INDEX(pl_eq,MATCH(F2004,pl_num,0))&amp;"",C2004)&lt;&gt;C2004),"Plan d'un autre équipement",IF(AND(J2004&lt;&gt;"",OR(NOT(ISNUMBER(J2004)),N(J2004)&lt;0)),"Compteur invalide",IF(OR(AND(K2004&lt;&gt;"",OR(NOT(ISNUMBER(K2004)),N(K2004)&lt;0)),AND(L2004&lt;&gt;"",OR(NOT(ISNUMBER(L2004)),N(L2004)&lt;0))),"Durée invalide",IF(OR(AND(N2004&lt;&gt;"",OR(NOT(ISNUMBER(N2004)),N(N2004)&lt;0)),AND(P2004&lt;&gt;"",OR(NOT(ISNUMBER(P2004)),N(P2004)&lt;0))),"Coût invalide",IF(AND(M2004&lt;&gt;"",ISNA(MATCH(M2004,tech_name,0))),"Technicien inconnu",IF(AND(I2004="Terminée",S2004&gt;p_today),"Terminée à une date future",IF(AND(I2004="Terminée",V2004=0),"Durée d'intervention manquante",IF(AND(I2004="Terminée",E2004="Préventif",T2004=0,OR(IFERROR(INDEX(pl_trig,MATCH(F2004,pl_num,0))&amp;"","")="Compteur",IFERROR(INDEX(pl_trig,MATCH(F2004,pl_num,0))&amp;"","")="Au premier des deux")),"Compteur manquant (plan au compteur)","OK"))))))))))))))))))</f>
        <v/>
      </c>
      <c r="S2004" s="67">
        <f>IF(AND(ISNUMBER(B2004),N(B2004)&gt;0),INT(B2004),0)</f>
        <v>0.0</v>
      </c>
      <c r="T2004" s="67">
        <f>IF(AND(ISNUMBER(J2004),N(J2004)&gt;=0),N(J2004),0)</f>
        <v>0.0</v>
      </c>
      <c r="U2004" s="67">
        <f>IF(AND(ISNUMBER(K2004),N(K2004)&gt;0),N(K2004),0)</f>
        <v>0.0</v>
      </c>
      <c r="V2004" s="67">
        <f>IF(AND(ISNUMBER(L2004),N(L2004)&gt;0),N(L2004),0)</f>
        <v>0.0</v>
      </c>
      <c r="W2004" s="67">
        <f>IF(AND(I2004="Terminée",S2004&gt;0,C2004&lt;&gt;"",ISNUMBER(MATCH(C2004,eq_code,0))),1,0)</f>
        <v>0.0</v>
      </c>
      <c r="X2004" s="67">
        <f>IF(AND(W2004=1,E2004="Préventif"),1,0)</f>
        <v>0.0</v>
      </c>
      <c r="Y2004" s="67">
        <f>IF(AND(ISNUMBER(N2004),N(N2004)&gt;0),N(N2004),0)</f>
        <v>0.0</v>
      </c>
      <c r="Z2004" s="67">
        <f>IF(AND(ISNUMBER(P2004),N(P2004)&gt;0),N(P2004),0)</f>
        <v>0.0</v>
      </c>
    </row>
    <row r="2005">
      <c r="A2005" s="79" t="str">
        <f>IF(COUNTA(B2005:C2005,E2005:G2005,I2005)=0,"","BI-"&amp;RIGHT("0000"&amp;(ROW()-5),4))</f>
        <v/>
      </c>
      <c r="B2005" s="72" t="n"/>
      <c r="C2005" s="66" t="n"/>
      <c r="D2005" s="67" t="str">
        <f>IF(C2005="","",IFERROR(INDEX(eq_des,MATCH(C2005,eq_code,0))&amp;"","Équipement inconnu"))</f>
        <v/>
      </c>
      <c r="E2005" s="68" t="n"/>
      <c r="F2005" s="68" t="n"/>
      <c r="G2005" s="66" t="n"/>
      <c r="H2005" s="66" t="n"/>
      <c r="I2005" s="68" t="n"/>
      <c r="J2005" s="73" t="n"/>
      <c r="K2005" s="71" t="n"/>
      <c r="L2005" s="71" t="n"/>
      <c r="M2005" s="66" t="n"/>
      <c r="N2005" s="80" t="n"/>
      <c r="O2005" s="81" t="str">
        <f>IF(A2005="","",ROUND(V2005*IFERROR(N(INDEX(tech_rate,MATCH(M2005,tech_name,0))),0),2))</f>
        <v/>
      </c>
      <c r="P2005" s="80" t="n"/>
      <c r="Q2005" s="81" t="str">
        <f>IF(A2005="","",ROUND(Y2005+O2005+Z2005,2))</f>
        <v/>
      </c>
      <c r="R2005" s="79" t="str">
        <f>IF(A2005="","",IF(S2005=0,"Date manquante ou invalide",IF(C2005="","Équipement manquant",IF(ISNA(MATCH(C2005,eq_code,0)),"Équipement inconnu",IF(E2005="","Type manquant",IF(AND(E2005&lt;&gt;"Préventif",E2005&lt;&gt;"Correctif",E2005&lt;&gt;"Amélioratif"),"Type inconnu",IF(I2005="","Statut manquant",IF(AND(I2005&lt;&gt;"Terminée",I2005&lt;&gt;"En cours",I2005&lt;&gt;"À faire",I2005&lt;&gt;"Annulée"),"Statut inconnu",IF(AND(E2005="Préventif",F2005=""),"Plan manquant (préventif)",IF(AND(F2005&lt;&gt;"",ISNA(MATCH(F2005,pl_num,0))),"Plan inconnu",IF(AND(F2005&lt;&gt;"",IFERROR(INDEX(pl_eq,MATCH(F2005,pl_num,0))&amp;"",C2005)&lt;&gt;C2005),"Plan d'un autre équipement",IF(AND(J2005&lt;&gt;"",OR(NOT(ISNUMBER(J2005)),N(J2005)&lt;0)),"Compteur invalide",IF(OR(AND(K2005&lt;&gt;"",OR(NOT(ISNUMBER(K2005)),N(K2005)&lt;0)),AND(L2005&lt;&gt;"",OR(NOT(ISNUMBER(L2005)),N(L2005)&lt;0))),"Durée invalide",IF(OR(AND(N2005&lt;&gt;"",OR(NOT(ISNUMBER(N2005)),N(N2005)&lt;0)),AND(P2005&lt;&gt;"",OR(NOT(ISNUMBER(P2005)),N(P2005)&lt;0))),"Coût invalide",IF(AND(M2005&lt;&gt;"",ISNA(MATCH(M2005,tech_name,0))),"Technicien inconnu",IF(AND(I2005="Terminée",S2005&gt;p_today),"Terminée à une date future",IF(AND(I2005="Terminée",V2005=0),"Durée d'intervention manquante",IF(AND(I2005="Terminée",E2005="Préventif",T2005=0,OR(IFERROR(INDEX(pl_trig,MATCH(F2005,pl_num,0))&amp;"","")="Compteur",IFERROR(INDEX(pl_trig,MATCH(F2005,pl_num,0))&amp;"","")="Au premier des deux")),"Compteur manquant (plan au compteur)","OK"))))))))))))))))))</f>
        <v/>
      </c>
      <c r="S2005" s="67">
        <f>IF(AND(ISNUMBER(B2005),N(B2005)&gt;0),INT(B2005),0)</f>
        <v>0.0</v>
      </c>
      <c r="T2005" s="67">
        <f>IF(AND(ISNUMBER(J2005),N(J2005)&gt;=0),N(J2005),0)</f>
        <v>0.0</v>
      </c>
      <c r="U2005" s="67">
        <f>IF(AND(ISNUMBER(K2005),N(K2005)&gt;0),N(K2005),0)</f>
        <v>0.0</v>
      </c>
      <c r="V2005" s="67">
        <f>IF(AND(ISNUMBER(L2005),N(L2005)&gt;0),N(L2005),0)</f>
        <v>0.0</v>
      </c>
      <c r="W2005" s="67">
        <f>IF(AND(I2005="Terminée",S2005&gt;0,C2005&lt;&gt;"",ISNUMBER(MATCH(C2005,eq_code,0))),1,0)</f>
        <v>0.0</v>
      </c>
      <c r="X2005" s="67">
        <f>IF(AND(W2005=1,E2005="Préventif"),1,0)</f>
        <v>0.0</v>
      </c>
      <c r="Y2005" s="67">
        <f>IF(AND(ISNUMBER(N2005),N(N2005)&gt;0),N(N2005),0)</f>
        <v>0.0</v>
      </c>
      <c r="Z2005" s="67">
        <f>IF(AND(ISNUMBER(P2005),N(P2005)&gt;0),N(P2005),0)</f>
        <v>0.0</v>
      </c>
    </row>
  </sheetData>
  <autoFilter ref="A5:R2005"/>
  <mergeCells count="1">
    <mergeCell ref="P1:R1"/>
  </mergeCells>
  <conditionalFormatting sqref="E6:E2005">
    <cfRule type="expression" priority="1" dxfId="0">
      <formula>$E6="Préventif"</formula>
    </cfRule>
    <cfRule type="expression" priority="2" dxfId="1">
      <formula>$E6="Correctif"</formula>
    </cfRule>
    <cfRule type="expression" priority="3" dxfId="2">
      <formula>$E6="Amélioratif"</formula>
    </cfRule>
  </conditionalFormatting>
  <conditionalFormatting sqref="I6:I2005">
    <cfRule type="expression" priority="4" dxfId="0">
      <formula>$I6="Terminée"</formula>
    </cfRule>
    <cfRule type="expression" priority="5" dxfId="9">
      <formula>$I6="En cours"</formula>
    </cfRule>
    <cfRule type="expression" priority="6" dxfId="10">
      <formula>$I6="À faire"</formula>
    </cfRule>
    <cfRule type="expression" priority="7" dxfId="5">
      <formula>$I6="Annulée"</formula>
    </cfRule>
  </conditionalFormatting>
  <conditionalFormatting sqref="R6:R2005">
    <cfRule type="expression" priority="8" dxfId="0">
      <formula>$R6="OK"</formula>
    </cfRule>
    <cfRule type="expression" priority="9" dxfId="3">
      <formula>AND($R6&lt;&gt;"",$R6&lt;&gt;"OK")</formula>
    </cfRule>
  </conditionalFormatting>
  <conditionalFormatting sqref="N6:N2005">
    <cfRule type="expression" priority="10" dxfId="11">
      <formula>p_currency="MAD"</formula>
    </cfRule>
    <cfRule type="expression" priority="14" dxfId="12">
      <formula>p_currency="EUR"</formula>
    </cfRule>
    <cfRule type="expression" priority="18" dxfId="13">
      <formula>p_currency="USD"</formula>
    </cfRule>
  </conditionalFormatting>
  <conditionalFormatting sqref="O6:O2005">
    <cfRule type="expression" priority="11" dxfId="11">
      <formula>p_currency="MAD"</formula>
    </cfRule>
    <cfRule type="expression" priority="15" dxfId="12">
      <formula>p_currency="EUR"</formula>
    </cfRule>
    <cfRule type="expression" priority="19" dxfId="13">
      <formula>p_currency="USD"</formula>
    </cfRule>
  </conditionalFormatting>
  <conditionalFormatting sqref="P6:P2005">
    <cfRule type="expression" priority="12" dxfId="11">
      <formula>p_currency="MAD"</formula>
    </cfRule>
    <cfRule type="expression" priority="16" dxfId="12">
      <formula>p_currency="EUR"</formula>
    </cfRule>
    <cfRule type="expression" priority="20" dxfId="13">
      <formula>p_currency="USD"</formula>
    </cfRule>
  </conditionalFormatting>
  <conditionalFormatting sqref="Q6:Q2005">
    <cfRule type="expression" priority="13" dxfId="11">
      <formula>p_currency="MAD"</formula>
    </cfRule>
    <cfRule type="expression" priority="17" dxfId="12">
      <formula>p_currency="EUR"</formula>
    </cfRule>
    <cfRule type="expression" priority="21" dxfId="13">
      <formula>p_currency="USD"</formula>
    </cfRule>
  </conditionalFormatting>
  <dataValidations count="13">
    <dataValidation sqref="B6:B2005" showDropDown="0" showInputMessage="1" showErrorMessage="1" allowBlank="1" errorTitle="Date" error="Date de l'intervention (jj/mm/aaaa). Pour un travail à faire : la date prévue." promptTitle="Date" prompt="Date de l'intervention (jj/mm/aaaa). Pour un travail à faire : la date prévue." type="date" operator="between">
      <formula1>36526</formula1>
      <formula2>73051</formula2>
    </dataValidation>
    <dataValidation sqref="C6:C2005" showDropDown="0" showInputMessage="1" showErrorMessage="1" allowBlank="1" errorTitle="Équipement" error="Choisissez l'équipement dans la liste (feuille Équipements)." promptTitle="Équipement" prompt="Choisissez l'équipement dans la liste (feuille Équipements)." type="list">
      <formula1>=eq_code</formula1>
    </dataValidation>
    <dataValidation sqref="E6:E2005" showDropDown="0" showInputMessage="1" showErrorMessage="1" allowBlank="1" errorTitle="Type" error="Préventif (lié à un plan), Correctif (après une panne) ou Amélioratif." promptTitle="Type" prompt="Préventif (lié à un plan), Correctif (après une panne) ou Amélioratif." type="list">
      <formula1>"Préventif,Correctif,Amélioratif"</formula1>
    </dataValidation>
    <dataValidation sqref="F6:F2005" showDropDown="0" showInputMessage="1" showErrorMessage="1" allowBlank="1" errorTitle="Plan lié" error="Obligatoire pour un préventif : le N° du plan réalisé. Il met à jour la dernière réalisation du plan." promptTitle="Plan lié" prompt="Obligatoire pour un préventif : le N° du plan réalisé. Il met à jour la dernière réalisation du plan." type="list">
      <formula1>=pl_num</formula1>
    </dataValidation>
    <dataValidation sqref="G6:G2005" showDropDown="0" showInputMessage="1" showErrorMessage="1" allowBlank="1" errorTitle="Description" error="Texte de 250 caractères au plus." promptTitle="Description" prompt="Panne constatée ou travail réalisé, en une phrase." type="textLength" operator="lessThanOrEqual">
      <formula1>250</formula1>
    </dataValidation>
    <dataValidation sqref="H6:H2005" showDropDown="0" showInputMessage="1" showErrorMessage="1" allowBlank="1" errorTitle="Cause" error="Texte de 200 caractères au plus." promptTitle="Cause" prompt="Facultatif. Cause trouvée : roulement usé, connecteur oxydé..." type="textLength" operator="lessThanOrEqual">
      <formula1>200</formula1>
    </dataValidation>
    <dataValidation sqref="I6:I2005" showDropDown="0" showInputMessage="1" showErrorMessage="1" allowBlank="1" errorTitle="Statut" error="Terminée, En cours, À faire ou Annulée. Seules les interventions terminées comptent dans les indicateurs." promptTitle="Statut" prompt="Terminée, En cours, À faire ou Annulée. Seules les interventions terminées comptent dans les indicateurs." type="list">
      <formula1>"Terminée,En cours,À faire,Annulée"</formula1>
    </dataValidation>
    <dataValidation sqref="J6:J2005" showDropDown="0" showInputMessage="1" showErrorMessage="1" allowBlank="1" errorTitle="Compteur relevé" error="Valeur du compteur de la machine au moment de l'intervention." promptTitle="Compteur relevé" prompt="Valeur du compteur de la machine au moment de l'intervention." type="decimal" operator="greaterThanOrEqual">
      <formula1>0</formula1>
    </dataValidation>
    <dataValidation sqref="K6:K2005" showDropDown="0" showInputMessage="1" showErrorMessage="1" allowBlank="1" errorTitle="Durée d'arrêt" error="Heures pendant lesquelles la machine n'a pas produit, attente comprise (0 si elle a continué)." promptTitle="Durée d'arrêt" prompt="Heures pendant lesquelles la machine n'a pas produit, attente comprise (0 si elle a continué)." type="decimal" operator="greaterThanOrEqual">
      <formula1>0</formula1>
    </dataValidation>
    <dataValidation sqref="L6:L2005" showDropDown="0" showInputMessage="1" showErrorMessage="1" allowBlank="1" errorTitle="Durée d'intervention" error="Heures de travail du technicien (1,5 = 1 h 30)." promptTitle="Durée d'intervention" prompt="Heures de travail du technicien (1,5 = 1 h 30)." type="decimal" operator="greaterThanOrEqual">
      <formula1>0</formula1>
    </dataValidation>
    <dataValidation sqref="M6:M2005" showDropDown="0" showInputMessage="1" showErrorMessage="1" allowBlank="1" errorTitle="Technicien" error="Technicien qui a réalisé l'intervention (liste de la feuille Paramètres)." promptTitle="Technicien" prompt="Technicien qui a réalisé l'intervention (liste de la feuille Paramètres)." type="list">
      <formula1>=tech_name</formula1>
    </dataValidation>
    <dataValidation sqref="N6:N2005" showDropDown="0" showInputMessage="1" showErrorMessage="1" allowBlank="1" errorTitle="Coût pièces" error="Coût des pièces et consommables utilisés, hors taxes." promptTitle="Coût pièces" prompt="Coût des pièces et consommables utilisés, hors taxes." type="decimal" operator="greaterThanOrEqual">
      <formula1>0</formula1>
    </dataValidation>
    <dataValidation sqref="P6:P2005" showDropDown="0" showInputMessage="1" showErrorMessage="1" allowBlank="1" errorTitle="Autres coûts" error="Prestataire, sous-traitance, location, déplacement, hors taxes." promptTitle="Autres coûts" prompt="Prestataire, sous-traitance, location, déplacement, hors taxes." type="decimal" operator="greaterThanOrEqual">
      <formula1>0</formula1>
    </dataValidation>
  </dataValidations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U509"/>
  <sheetViews>
    <sheetView showGridLines="0" tabSelected="0" zoomScale="100" workbookViewId="0">
      <pane xSplit="6" ySplit="9" topLeftCell="G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34" customWidth="1" min="3" max="3"/>
    <col width="12" customWidth="1" min="4" max="4"/>
    <col width="12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38" customHeight="1">
      <c r="A1" s="2" t="inlineStr">
        <is>
          <t>Calendrier des échéances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4" t="inlineStr">
        <is>
          <t>Nombre de réalisations prévues par plan et par semaine, à partir de l'échéance et de la périodicité.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18" customHeight="1">
      <c r="A3" s="82" t="inlineStr">
        <is>
          <t>Légende :</t>
        </is>
      </c>
      <c r="B3" s="83" t="inlineStr">
        <is>
          <t>En retard</t>
        </is>
      </c>
      <c r="C3" s="84" t="inlineStr">
        <is>
          <t>Bientôt</t>
        </is>
      </c>
      <c r="D3" s="85" t="inlineStr">
        <is>
          <t>À jour</t>
        </is>
      </c>
      <c r="E3" s="86" t="inlineStr">
        <is>
          <t>Un plan en retard est placé cette semaine, puis répété à sa périodicité.</t>
        </is>
      </c>
    </row>
    <row r="5" ht="20" customHeight="1">
      <c r="A5" s="43" t="inlineStr">
        <is>
          <t>N° plan</t>
        </is>
      </c>
      <c r="B5" s="43" t="inlineStr">
        <is>
          <t>Équipement</t>
        </is>
      </c>
      <c r="C5" s="43" t="inlineStr">
        <is>
          <t>Tâche</t>
        </is>
      </c>
      <c r="D5" s="43" t="inlineStr">
        <is>
          <t>Échéance</t>
        </is>
      </c>
      <c r="E5" s="43" t="inlineStr">
        <is>
          <t>Statut</t>
        </is>
      </c>
      <c r="F5" s="43" t="inlineStr">
        <is>
          <t>Retard</t>
        </is>
      </c>
      <c r="G5" s="43" t="str">
        <f>"S"&amp;WEEKNUM(p_monday+0,21)</f>
        <v>S45</v>
      </c>
      <c r="H5" s="43" t="str">
        <f>"S"&amp;WEEKNUM(p_monday+7,21)</f>
        <v>S46</v>
      </c>
      <c r="I5" s="43" t="str">
        <f>"S"&amp;WEEKNUM(p_monday+14,21)</f>
        <v>S47</v>
      </c>
      <c r="J5" s="43" t="str">
        <f>"S"&amp;WEEKNUM(p_monday+21,21)</f>
        <v>S48</v>
      </c>
      <c r="K5" s="43" t="str">
        <f>"S"&amp;WEEKNUM(p_monday+28,21)</f>
        <v>S49</v>
      </c>
      <c r="L5" s="43" t="str">
        <f>"S"&amp;WEEKNUM(p_monday+35,21)</f>
        <v>S50</v>
      </c>
      <c r="M5" s="43" t="str">
        <f>"S"&amp;WEEKNUM(p_monday+42,21)</f>
        <v>S51</v>
      </c>
      <c r="N5" s="43" t="str">
        <f>"S"&amp;WEEKNUM(p_monday+49,21)</f>
        <v>S52</v>
      </c>
      <c r="O5" s="43" t="str">
        <f>"S"&amp;WEEKNUM(p_monday+56,21)</f>
        <v>S53</v>
      </c>
      <c r="P5" s="43" t="str">
        <f>"S"&amp;WEEKNUM(p_monday+63,21)</f>
        <v>S1</v>
      </c>
      <c r="Q5" s="43" t="str">
        <f>"S"&amp;WEEKNUM(p_monday+70,21)</f>
        <v>S2</v>
      </c>
      <c r="R5" s="43" t="str">
        <f>"S"&amp;WEEKNUM(p_monday+77,21)</f>
        <v>S3</v>
      </c>
    </row>
    <row r="6">
      <c r="A6" s="87" t="n"/>
      <c r="B6" s="87" t="n"/>
      <c r="C6" s="88" t="inlineStr">
        <is>
          <t>Semaine du</t>
        </is>
      </c>
      <c r="D6" s="87" t="n"/>
      <c r="E6" s="87" t="n"/>
      <c r="F6" s="87" t="n"/>
      <c r="G6" s="89">
        <f>p_monday+0</f>
        <v>46328.0</v>
      </c>
      <c r="H6" s="89">
        <f>p_monday+7</f>
        <v>46335.0</v>
      </c>
      <c r="I6" s="89">
        <f>p_monday+14</f>
        <v>46342.0</v>
      </c>
      <c r="J6" s="89">
        <f>p_monday+21</f>
        <v>46349.0</v>
      </c>
      <c r="K6" s="89">
        <f>p_monday+28</f>
        <v>46356.0</v>
      </c>
      <c r="L6" s="89">
        <f>p_monday+35</f>
        <v>46363.0</v>
      </c>
      <c r="M6" s="89">
        <f>p_monday+42</f>
        <v>46370.0</v>
      </c>
      <c r="N6" s="89">
        <f>p_monday+49</f>
        <v>46377.0</v>
      </c>
      <c r="O6" s="89">
        <f>p_monday+56</f>
        <v>46384.0</v>
      </c>
      <c r="P6" s="89">
        <f>p_monday+63</f>
        <v>46391.0</v>
      </c>
      <c r="Q6" s="89">
        <f>p_monday+70</f>
        <v>46398.0</v>
      </c>
      <c r="R6" s="89">
        <f>p_monday+77</f>
        <v>46405.0</v>
      </c>
    </row>
    <row r="7">
      <c r="A7" s="87" t="n"/>
      <c r="B7" s="87" t="n"/>
      <c r="C7" s="90" t="inlineStr">
        <is>
          <t>Réalisations prévues</t>
        </is>
      </c>
      <c r="D7" s="87" t="n"/>
      <c r="E7" s="87" t="n"/>
      <c r="F7" s="87" t="n"/>
      <c r="G7" s="91">
        <f>SUM(G10:G509)</f>
        <v>0.0</v>
      </c>
      <c r="H7" s="91">
        <f>SUM(H10:H509)</f>
        <v>0.0</v>
      </c>
      <c r="I7" s="91">
        <f>SUM(I10:I509)</f>
        <v>0.0</v>
      </c>
      <c r="J7" s="91">
        <f>SUM(J10:J509)</f>
        <v>0.0</v>
      </c>
      <c r="K7" s="91">
        <f>SUM(K10:K509)</f>
        <v>0.0</v>
      </c>
      <c r="L7" s="91">
        <f>SUM(L10:L509)</f>
        <v>0.0</v>
      </c>
      <c r="M7" s="91">
        <f>SUM(M10:M509)</f>
        <v>0.0</v>
      </c>
      <c r="N7" s="91">
        <f>SUM(N10:N509)</f>
        <v>0.0</v>
      </c>
      <c r="O7" s="91">
        <f>SUM(O10:O509)</f>
        <v>0.0</v>
      </c>
      <c r="P7" s="91">
        <f>SUM(P10:P509)</f>
        <v>0.0</v>
      </c>
      <c r="Q7" s="91">
        <f>SUM(Q10:Q509)</f>
        <v>0.0</v>
      </c>
      <c r="R7" s="91">
        <f>SUM(R10:R509)</f>
        <v>0.0</v>
      </c>
    </row>
    <row r="8">
      <c r="A8" s="87" t="n"/>
      <c r="B8" s="87" t="n"/>
      <c r="C8" s="90" t="inlineStr">
        <is>
          <t>Heures prévues</t>
        </is>
      </c>
      <c r="D8" s="87" t="n"/>
      <c r="E8" s="87" t="n"/>
      <c r="F8" s="87" t="n"/>
      <c r="G8" s="92">
        <f>SUMPRODUCT(G10:G509,$U$10:$U$509)</f>
        <v>0.0</v>
      </c>
      <c r="H8" s="92">
        <f>SUMPRODUCT(H10:H509,$U$10:$U$509)</f>
        <v>0.0</v>
      </c>
      <c r="I8" s="92">
        <f>SUMPRODUCT(I10:I509,$U$10:$U$509)</f>
        <v>0.0</v>
      </c>
      <c r="J8" s="92">
        <f>SUMPRODUCT(J10:J509,$U$10:$U$509)</f>
        <v>0.0</v>
      </c>
      <c r="K8" s="92">
        <f>SUMPRODUCT(K10:K509,$U$10:$U$509)</f>
        <v>0.0</v>
      </c>
      <c r="L8" s="92">
        <f>SUMPRODUCT(L10:L509,$U$10:$U$509)</f>
        <v>0.0</v>
      </c>
      <c r="M8" s="92">
        <f>SUMPRODUCT(M10:M509,$U$10:$U$509)</f>
        <v>0.0</v>
      </c>
      <c r="N8" s="92">
        <f>SUMPRODUCT(N10:N509,$U$10:$U$509)</f>
        <v>0.0</v>
      </c>
      <c r="O8" s="92">
        <f>SUMPRODUCT(O10:O509,$U$10:$U$509)</f>
        <v>0.0</v>
      </c>
      <c r="P8" s="92">
        <f>SUMPRODUCT(P10:P509,$U$10:$U$509)</f>
        <v>0.0</v>
      </c>
      <c r="Q8" s="92">
        <f>SUMPRODUCT(Q10:Q509,$U$10:$U$509)</f>
        <v>0.0</v>
      </c>
      <c r="R8" s="92">
        <f>SUMPRODUCT(R10:R509,$U$10:$U$509)</f>
        <v>0.0</v>
      </c>
    </row>
    <row r="9" ht="6" customHeight="1"/>
    <row r="10">
      <c r="A10" s="93" t="str">
        <f>IF(INDEX(pl_status,1)="","",INDEX(pl_num,1)&amp;"")</f>
        <v/>
      </c>
      <c r="B10" s="93" t="str">
        <f>IF(INDEX(pl_status,1)="","",INDEX(pl_eq,1)&amp;"")</f>
        <v/>
      </c>
      <c r="C10" s="93" t="str">
        <f>IF(INDEX(pl_status,1)="","",INDEX(pl_task,1)&amp;"")</f>
        <v/>
      </c>
      <c r="D10" s="94" t="str">
        <f>IF(ISNUMBER(INDEX(pl_due,1)),INDEX(pl_due,1),"")</f>
        <v/>
      </c>
      <c r="E10" s="95" t="str">
        <f>INDEX(pl_status,1)&amp;""</f>
        <v/>
      </c>
      <c r="F10" s="96" t="str">
        <f>IF(E10="En retard","●","")</f>
        <v/>
      </c>
      <c r="G10" s="97">
        <f>IF(ISNUMBER($S10),MAX(0,INT((G$6+6-$S10)/$T10)-MAX(0,-INT(-(G$6-$S10)/$T10))+1),0)</f>
        <v>0.0</v>
      </c>
      <c r="H10" s="97">
        <f>IF(ISNUMBER($S10),MAX(0,INT((H$6+6-$S10)/$T10)-MAX(0,-INT(-(H$6-$S10)/$T10))+1),0)</f>
        <v>0.0</v>
      </c>
      <c r="I10" s="97">
        <f>IF(ISNUMBER($S10),MAX(0,INT((I$6+6-$S10)/$T10)-MAX(0,-INT(-(I$6-$S10)/$T10))+1),0)</f>
        <v>0.0</v>
      </c>
      <c r="J10" s="97">
        <f>IF(ISNUMBER($S10),MAX(0,INT((J$6+6-$S10)/$T10)-MAX(0,-INT(-(J$6-$S10)/$T10))+1),0)</f>
        <v>0.0</v>
      </c>
      <c r="K10" s="97">
        <f>IF(ISNUMBER($S10),MAX(0,INT((K$6+6-$S10)/$T10)-MAX(0,-INT(-(K$6-$S10)/$T10))+1),0)</f>
        <v>0.0</v>
      </c>
      <c r="L10" s="97">
        <f>IF(ISNUMBER($S10),MAX(0,INT((L$6+6-$S10)/$T10)-MAX(0,-INT(-(L$6-$S10)/$T10))+1),0)</f>
        <v>0.0</v>
      </c>
      <c r="M10" s="97">
        <f>IF(ISNUMBER($S10),MAX(0,INT((M$6+6-$S10)/$T10)-MAX(0,-INT(-(M$6-$S10)/$T10))+1),0)</f>
        <v>0.0</v>
      </c>
      <c r="N10" s="97">
        <f>IF(ISNUMBER($S10),MAX(0,INT((N$6+6-$S10)/$T10)-MAX(0,-INT(-(N$6-$S10)/$T10))+1),0)</f>
        <v>0.0</v>
      </c>
      <c r="O10" s="97">
        <f>IF(ISNUMBER($S10),MAX(0,INT((O$6+6-$S10)/$T10)-MAX(0,-INT(-(O$6-$S10)/$T10))+1),0)</f>
        <v>0.0</v>
      </c>
      <c r="P10" s="97">
        <f>IF(ISNUMBER($S10),MAX(0,INT((P$6+6-$S10)/$T10)-MAX(0,-INT(-(P$6-$S10)/$T10))+1),0)</f>
        <v>0.0</v>
      </c>
      <c r="Q10" s="97">
        <f>IF(ISNUMBER($S10),MAX(0,INT((Q$6+6-$S10)/$T10)-MAX(0,-INT(-(Q$6-$S10)/$T10))+1),0)</f>
        <v>0.0</v>
      </c>
      <c r="R10" s="97">
        <f>IF(ISNUMBER($S10),MAX(0,INT((R$6+6-$S10)/$T10)-MAX(0,-INT(-(R$6-$S10)/$T10))+1),0)</f>
        <v>0.0</v>
      </c>
      <c r="S10" t="str">
        <f>IF(ISNUMBER(INDEX(pl_period,1)),MAX(INDEX(pl_due,1),p_today),"")</f>
        <v/>
      </c>
      <c r="T10" t="str">
        <f>IF(ISNUMBER(INDEX(pl_period,1)),INDEX(pl_period,1),"")</f>
        <v/>
      </c>
      <c r="U10">
        <f>N(INDEX(pl_dur,1))</f>
        <v>0.0</v>
      </c>
    </row>
    <row r="11">
      <c r="A11" s="93" t="str">
        <f>IF(INDEX(pl_status,2)="","",INDEX(pl_num,2)&amp;"")</f>
        <v/>
      </c>
      <c r="B11" s="93" t="str">
        <f>IF(INDEX(pl_status,2)="","",INDEX(pl_eq,2)&amp;"")</f>
        <v/>
      </c>
      <c r="C11" s="93" t="str">
        <f>IF(INDEX(pl_status,2)="","",INDEX(pl_task,2)&amp;"")</f>
        <v/>
      </c>
      <c r="D11" s="94" t="str">
        <f>IF(ISNUMBER(INDEX(pl_due,2)),INDEX(pl_due,2),"")</f>
        <v/>
      </c>
      <c r="E11" s="95" t="str">
        <f>INDEX(pl_status,2)&amp;""</f>
        <v/>
      </c>
      <c r="F11" s="96" t="str">
        <f>IF(E11="En retard","●","")</f>
        <v/>
      </c>
      <c r="G11" s="97">
        <f>IF(ISNUMBER($S11),MAX(0,INT((G$6+6-$S11)/$T11)-MAX(0,-INT(-(G$6-$S11)/$T11))+1),0)</f>
        <v>0.0</v>
      </c>
      <c r="H11" s="97">
        <f>IF(ISNUMBER($S11),MAX(0,INT((H$6+6-$S11)/$T11)-MAX(0,-INT(-(H$6-$S11)/$T11))+1),0)</f>
        <v>0.0</v>
      </c>
      <c r="I11" s="97">
        <f>IF(ISNUMBER($S11),MAX(0,INT((I$6+6-$S11)/$T11)-MAX(0,-INT(-(I$6-$S11)/$T11))+1),0)</f>
        <v>0.0</v>
      </c>
      <c r="J11" s="97">
        <f>IF(ISNUMBER($S11),MAX(0,INT((J$6+6-$S11)/$T11)-MAX(0,-INT(-(J$6-$S11)/$T11))+1),0)</f>
        <v>0.0</v>
      </c>
      <c r="K11" s="97">
        <f>IF(ISNUMBER($S11),MAX(0,INT((K$6+6-$S11)/$T11)-MAX(0,-INT(-(K$6-$S11)/$T11))+1),0)</f>
        <v>0.0</v>
      </c>
      <c r="L11" s="97">
        <f>IF(ISNUMBER($S11),MAX(0,INT((L$6+6-$S11)/$T11)-MAX(0,-INT(-(L$6-$S11)/$T11))+1),0)</f>
        <v>0.0</v>
      </c>
      <c r="M11" s="97">
        <f>IF(ISNUMBER($S11),MAX(0,INT((M$6+6-$S11)/$T11)-MAX(0,-INT(-(M$6-$S11)/$T11))+1),0)</f>
        <v>0.0</v>
      </c>
      <c r="N11" s="97">
        <f>IF(ISNUMBER($S11),MAX(0,INT((N$6+6-$S11)/$T11)-MAX(0,-INT(-(N$6-$S11)/$T11))+1),0)</f>
        <v>0.0</v>
      </c>
      <c r="O11" s="97">
        <f>IF(ISNUMBER($S11),MAX(0,INT((O$6+6-$S11)/$T11)-MAX(0,-INT(-(O$6-$S11)/$T11))+1),0)</f>
        <v>0.0</v>
      </c>
      <c r="P11" s="97">
        <f>IF(ISNUMBER($S11),MAX(0,INT((P$6+6-$S11)/$T11)-MAX(0,-INT(-(P$6-$S11)/$T11))+1),0)</f>
        <v>0.0</v>
      </c>
      <c r="Q11" s="97">
        <f>IF(ISNUMBER($S11),MAX(0,INT((Q$6+6-$S11)/$T11)-MAX(0,-INT(-(Q$6-$S11)/$T11))+1),0)</f>
        <v>0.0</v>
      </c>
      <c r="R11" s="97">
        <f>IF(ISNUMBER($S11),MAX(0,INT((R$6+6-$S11)/$T11)-MAX(0,-INT(-(R$6-$S11)/$T11))+1),0)</f>
        <v>0.0</v>
      </c>
      <c r="S11" t="str">
        <f>IF(ISNUMBER(INDEX(pl_period,2)),MAX(INDEX(pl_due,2),p_today),"")</f>
        <v/>
      </c>
      <c r="T11" t="str">
        <f>IF(ISNUMBER(INDEX(pl_period,2)),INDEX(pl_period,2),"")</f>
        <v/>
      </c>
      <c r="U11">
        <f>N(INDEX(pl_dur,2))</f>
        <v>0.0</v>
      </c>
    </row>
    <row r="12">
      <c r="A12" s="93" t="str">
        <f>IF(INDEX(pl_status,3)="","",INDEX(pl_num,3)&amp;"")</f>
        <v/>
      </c>
      <c r="B12" s="93" t="str">
        <f>IF(INDEX(pl_status,3)="","",INDEX(pl_eq,3)&amp;"")</f>
        <v/>
      </c>
      <c r="C12" s="93" t="str">
        <f>IF(INDEX(pl_status,3)="","",INDEX(pl_task,3)&amp;"")</f>
        <v/>
      </c>
      <c r="D12" s="94" t="str">
        <f>IF(ISNUMBER(INDEX(pl_due,3)),INDEX(pl_due,3),"")</f>
        <v/>
      </c>
      <c r="E12" s="95" t="str">
        <f>INDEX(pl_status,3)&amp;""</f>
        <v/>
      </c>
      <c r="F12" s="96" t="str">
        <f>IF(E12="En retard","●","")</f>
        <v/>
      </c>
      <c r="G12" s="97">
        <f>IF(ISNUMBER($S12),MAX(0,INT((G$6+6-$S12)/$T12)-MAX(0,-INT(-(G$6-$S12)/$T12))+1),0)</f>
        <v>0.0</v>
      </c>
      <c r="H12" s="97">
        <f>IF(ISNUMBER($S12),MAX(0,INT((H$6+6-$S12)/$T12)-MAX(0,-INT(-(H$6-$S12)/$T12))+1),0)</f>
        <v>0.0</v>
      </c>
      <c r="I12" s="97">
        <f>IF(ISNUMBER($S12),MAX(0,INT((I$6+6-$S12)/$T12)-MAX(0,-INT(-(I$6-$S12)/$T12))+1),0)</f>
        <v>0.0</v>
      </c>
      <c r="J12" s="97">
        <f>IF(ISNUMBER($S12),MAX(0,INT((J$6+6-$S12)/$T12)-MAX(0,-INT(-(J$6-$S12)/$T12))+1),0)</f>
        <v>0.0</v>
      </c>
      <c r="K12" s="97">
        <f>IF(ISNUMBER($S12),MAX(0,INT((K$6+6-$S12)/$T12)-MAX(0,-INT(-(K$6-$S12)/$T12))+1),0)</f>
        <v>0.0</v>
      </c>
      <c r="L12" s="97">
        <f>IF(ISNUMBER($S12),MAX(0,INT((L$6+6-$S12)/$T12)-MAX(0,-INT(-(L$6-$S12)/$T12))+1),0)</f>
        <v>0.0</v>
      </c>
      <c r="M12" s="97">
        <f>IF(ISNUMBER($S12),MAX(0,INT((M$6+6-$S12)/$T12)-MAX(0,-INT(-(M$6-$S12)/$T12))+1),0)</f>
        <v>0.0</v>
      </c>
      <c r="N12" s="97">
        <f>IF(ISNUMBER($S12),MAX(0,INT((N$6+6-$S12)/$T12)-MAX(0,-INT(-(N$6-$S12)/$T12))+1),0)</f>
        <v>0.0</v>
      </c>
      <c r="O12" s="97">
        <f>IF(ISNUMBER($S12),MAX(0,INT((O$6+6-$S12)/$T12)-MAX(0,-INT(-(O$6-$S12)/$T12))+1),0)</f>
        <v>0.0</v>
      </c>
      <c r="P12" s="97">
        <f>IF(ISNUMBER($S12),MAX(0,INT((P$6+6-$S12)/$T12)-MAX(0,-INT(-(P$6-$S12)/$T12))+1),0)</f>
        <v>0.0</v>
      </c>
      <c r="Q12" s="97">
        <f>IF(ISNUMBER($S12),MAX(0,INT((Q$6+6-$S12)/$T12)-MAX(0,-INT(-(Q$6-$S12)/$T12))+1),0)</f>
        <v>0.0</v>
      </c>
      <c r="R12" s="97">
        <f>IF(ISNUMBER($S12),MAX(0,INT((R$6+6-$S12)/$T12)-MAX(0,-INT(-(R$6-$S12)/$T12))+1),0)</f>
        <v>0.0</v>
      </c>
      <c r="S12" t="str">
        <f>IF(ISNUMBER(INDEX(pl_period,3)),MAX(INDEX(pl_due,3),p_today),"")</f>
        <v/>
      </c>
      <c r="T12" t="str">
        <f>IF(ISNUMBER(INDEX(pl_period,3)),INDEX(pl_period,3),"")</f>
        <v/>
      </c>
      <c r="U12">
        <f>N(INDEX(pl_dur,3))</f>
        <v>0.0</v>
      </c>
    </row>
    <row r="13">
      <c r="A13" s="93" t="str">
        <f>IF(INDEX(pl_status,4)="","",INDEX(pl_num,4)&amp;"")</f>
        <v/>
      </c>
      <c r="B13" s="93" t="str">
        <f>IF(INDEX(pl_status,4)="","",INDEX(pl_eq,4)&amp;"")</f>
        <v/>
      </c>
      <c r="C13" s="93" t="str">
        <f>IF(INDEX(pl_status,4)="","",INDEX(pl_task,4)&amp;"")</f>
        <v/>
      </c>
      <c r="D13" s="94" t="str">
        <f>IF(ISNUMBER(INDEX(pl_due,4)),INDEX(pl_due,4),"")</f>
        <v/>
      </c>
      <c r="E13" s="95" t="str">
        <f>INDEX(pl_status,4)&amp;""</f>
        <v/>
      </c>
      <c r="F13" s="96" t="str">
        <f>IF(E13="En retard","●","")</f>
        <v/>
      </c>
      <c r="G13" s="97">
        <f>IF(ISNUMBER($S13),MAX(0,INT((G$6+6-$S13)/$T13)-MAX(0,-INT(-(G$6-$S13)/$T13))+1),0)</f>
        <v>0.0</v>
      </c>
      <c r="H13" s="97">
        <f>IF(ISNUMBER($S13),MAX(0,INT((H$6+6-$S13)/$T13)-MAX(0,-INT(-(H$6-$S13)/$T13))+1),0)</f>
        <v>0.0</v>
      </c>
      <c r="I13" s="97">
        <f>IF(ISNUMBER($S13),MAX(0,INT((I$6+6-$S13)/$T13)-MAX(0,-INT(-(I$6-$S13)/$T13))+1),0)</f>
        <v>0.0</v>
      </c>
      <c r="J13" s="97">
        <f>IF(ISNUMBER($S13),MAX(0,INT((J$6+6-$S13)/$T13)-MAX(0,-INT(-(J$6-$S13)/$T13))+1),0)</f>
        <v>0.0</v>
      </c>
      <c r="K13" s="97">
        <f>IF(ISNUMBER($S13),MAX(0,INT((K$6+6-$S13)/$T13)-MAX(0,-INT(-(K$6-$S13)/$T13))+1),0)</f>
        <v>0.0</v>
      </c>
      <c r="L13" s="97">
        <f>IF(ISNUMBER($S13),MAX(0,INT((L$6+6-$S13)/$T13)-MAX(0,-INT(-(L$6-$S13)/$T13))+1),0)</f>
        <v>0.0</v>
      </c>
      <c r="M13" s="97">
        <f>IF(ISNUMBER($S13),MAX(0,INT((M$6+6-$S13)/$T13)-MAX(0,-INT(-(M$6-$S13)/$T13))+1),0)</f>
        <v>0.0</v>
      </c>
      <c r="N13" s="97">
        <f>IF(ISNUMBER($S13),MAX(0,INT((N$6+6-$S13)/$T13)-MAX(0,-INT(-(N$6-$S13)/$T13))+1),0)</f>
        <v>0.0</v>
      </c>
      <c r="O13" s="97">
        <f>IF(ISNUMBER($S13),MAX(0,INT((O$6+6-$S13)/$T13)-MAX(0,-INT(-(O$6-$S13)/$T13))+1),0)</f>
        <v>0.0</v>
      </c>
      <c r="P13" s="97">
        <f>IF(ISNUMBER($S13),MAX(0,INT((P$6+6-$S13)/$T13)-MAX(0,-INT(-(P$6-$S13)/$T13))+1),0)</f>
        <v>0.0</v>
      </c>
      <c r="Q13" s="97">
        <f>IF(ISNUMBER($S13),MAX(0,INT((Q$6+6-$S13)/$T13)-MAX(0,-INT(-(Q$6-$S13)/$T13))+1),0)</f>
        <v>0.0</v>
      </c>
      <c r="R13" s="97">
        <f>IF(ISNUMBER($S13),MAX(0,INT((R$6+6-$S13)/$T13)-MAX(0,-INT(-(R$6-$S13)/$T13))+1),0)</f>
        <v>0.0</v>
      </c>
      <c r="S13" t="str">
        <f>IF(ISNUMBER(INDEX(pl_period,4)),MAX(INDEX(pl_due,4),p_today),"")</f>
        <v/>
      </c>
      <c r="T13" t="str">
        <f>IF(ISNUMBER(INDEX(pl_period,4)),INDEX(pl_period,4),"")</f>
        <v/>
      </c>
      <c r="U13">
        <f>N(INDEX(pl_dur,4))</f>
        <v>0.0</v>
      </c>
    </row>
    <row r="14">
      <c r="A14" s="93" t="str">
        <f>IF(INDEX(pl_status,5)="","",INDEX(pl_num,5)&amp;"")</f>
        <v/>
      </c>
      <c r="B14" s="93" t="str">
        <f>IF(INDEX(pl_status,5)="","",INDEX(pl_eq,5)&amp;"")</f>
        <v/>
      </c>
      <c r="C14" s="93" t="str">
        <f>IF(INDEX(pl_status,5)="","",INDEX(pl_task,5)&amp;"")</f>
        <v/>
      </c>
      <c r="D14" s="94" t="str">
        <f>IF(ISNUMBER(INDEX(pl_due,5)),INDEX(pl_due,5),"")</f>
        <v/>
      </c>
      <c r="E14" s="95" t="str">
        <f>INDEX(pl_status,5)&amp;""</f>
        <v/>
      </c>
      <c r="F14" s="96" t="str">
        <f>IF(E14="En retard","●","")</f>
        <v/>
      </c>
      <c r="G14" s="97">
        <f>IF(ISNUMBER($S14),MAX(0,INT((G$6+6-$S14)/$T14)-MAX(0,-INT(-(G$6-$S14)/$T14))+1),0)</f>
        <v>0.0</v>
      </c>
      <c r="H14" s="97">
        <f>IF(ISNUMBER($S14),MAX(0,INT((H$6+6-$S14)/$T14)-MAX(0,-INT(-(H$6-$S14)/$T14))+1),0)</f>
        <v>0.0</v>
      </c>
      <c r="I14" s="97">
        <f>IF(ISNUMBER($S14),MAX(0,INT((I$6+6-$S14)/$T14)-MAX(0,-INT(-(I$6-$S14)/$T14))+1),0)</f>
        <v>0.0</v>
      </c>
      <c r="J14" s="97">
        <f>IF(ISNUMBER($S14),MAX(0,INT((J$6+6-$S14)/$T14)-MAX(0,-INT(-(J$6-$S14)/$T14))+1),0)</f>
        <v>0.0</v>
      </c>
      <c r="K14" s="97">
        <f>IF(ISNUMBER($S14),MAX(0,INT((K$6+6-$S14)/$T14)-MAX(0,-INT(-(K$6-$S14)/$T14))+1),0)</f>
        <v>0.0</v>
      </c>
      <c r="L14" s="97">
        <f>IF(ISNUMBER($S14),MAX(0,INT((L$6+6-$S14)/$T14)-MAX(0,-INT(-(L$6-$S14)/$T14))+1),0)</f>
        <v>0.0</v>
      </c>
      <c r="M14" s="97">
        <f>IF(ISNUMBER($S14),MAX(0,INT((M$6+6-$S14)/$T14)-MAX(0,-INT(-(M$6-$S14)/$T14))+1),0)</f>
        <v>0.0</v>
      </c>
      <c r="N14" s="97">
        <f>IF(ISNUMBER($S14),MAX(0,INT((N$6+6-$S14)/$T14)-MAX(0,-INT(-(N$6-$S14)/$T14))+1),0)</f>
        <v>0.0</v>
      </c>
      <c r="O14" s="97">
        <f>IF(ISNUMBER($S14),MAX(0,INT((O$6+6-$S14)/$T14)-MAX(0,-INT(-(O$6-$S14)/$T14))+1),0)</f>
        <v>0.0</v>
      </c>
      <c r="P14" s="97">
        <f>IF(ISNUMBER($S14),MAX(0,INT((P$6+6-$S14)/$T14)-MAX(0,-INT(-(P$6-$S14)/$T14))+1),0)</f>
        <v>0.0</v>
      </c>
      <c r="Q14" s="97">
        <f>IF(ISNUMBER($S14),MAX(0,INT((Q$6+6-$S14)/$T14)-MAX(0,-INT(-(Q$6-$S14)/$T14))+1),0)</f>
        <v>0.0</v>
      </c>
      <c r="R14" s="97">
        <f>IF(ISNUMBER($S14),MAX(0,INT((R$6+6-$S14)/$T14)-MAX(0,-INT(-(R$6-$S14)/$T14))+1),0)</f>
        <v>0.0</v>
      </c>
      <c r="S14" t="str">
        <f>IF(ISNUMBER(INDEX(pl_period,5)),MAX(INDEX(pl_due,5),p_today),"")</f>
        <v/>
      </c>
      <c r="T14" t="str">
        <f>IF(ISNUMBER(INDEX(pl_period,5)),INDEX(pl_period,5),"")</f>
        <v/>
      </c>
      <c r="U14">
        <f>N(INDEX(pl_dur,5))</f>
        <v>0.0</v>
      </c>
    </row>
    <row r="15">
      <c r="A15" s="93" t="str">
        <f>IF(INDEX(pl_status,6)="","",INDEX(pl_num,6)&amp;"")</f>
        <v/>
      </c>
      <c r="B15" s="93" t="str">
        <f>IF(INDEX(pl_status,6)="","",INDEX(pl_eq,6)&amp;"")</f>
        <v/>
      </c>
      <c r="C15" s="93" t="str">
        <f>IF(INDEX(pl_status,6)="","",INDEX(pl_task,6)&amp;"")</f>
        <v/>
      </c>
      <c r="D15" s="94" t="str">
        <f>IF(ISNUMBER(INDEX(pl_due,6)),INDEX(pl_due,6),"")</f>
        <v/>
      </c>
      <c r="E15" s="95" t="str">
        <f>INDEX(pl_status,6)&amp;""</f>
        <v/>
      </c>
      <c r="F15" s="96" t="str">
        <f>IF(E15="En retard","●","")</f>
        <v/>
      </c>
      <c r="G15" s="97">
        <f>IF(ISNUMBER($S15),MAX(0,INT((G$6+6-$S15)/$T15)-MAX(0,-INT(-(G$6-$S15)/$T15))+1),0)</f>
        <v>0.0</v>
      </c>
      <c r="H15" s="97">
        <f>IF(ISNUMBER($S15),MAX(0,INT((H$6+6-$S15)/$T15)-MAX(0,-INT(-(H$6-$S15)/$T15))+1),0)</f>
        <v>0.0</v>
      </c>
      <c r="I15" s="97">
        <f>IF(ISNUMBER($S15),MAX(0,INT((I$6+6-$S15)/$T15)-MAX(0,-INT(-(I$6-$S15)/$T15))+1),0)</f>
        <v>0.0</v>
      </c>
      <c r="J15" s="97">
        <f>IF(ISNUMBER($S15),MAX(0,INT((J$6+6-$S15)/$T15)-MAX(0,-INT(-(J$6-$S15)/$T15))+1),0)</f>
        <v>0.0</v>
      </c>
      <c r="K15" s="97">
        <f>IF(ISNUMBER($S15),MAX(0,INT((K$6+6-$S15)/$T15)-MAX(0,-INT(-(K$6-$S15)/$T15))+1),0)</f>
        <v>0.0</v>
      </c>
      <c r="L15" s="97">
        <f>IF(ISNUMBER($S15),MAX(0,INT((L$6+6-$S15)/$T15)-MAX(0,-INT(-(L$6-$S15)/$T15))+1),0)</f>
        <v>0.0</v>
      </c>
      <c r="M15" s="97">
        <f>IF(ISNUMBER($S15),MAX(0,INT((M$6+6-$S15)/$T15)-MAX(0,-INT(-(M$6-$S15)/$T15))+1),0)</f>
        <v>0.0</v>
      </c>
      <c r="N15" s="97">
        <f>IF(ISNUMBER($S15),MAX(0,INT((N$6+6-$S15)/$T15)-MAX(0,-INT(-(N$6-$S15)/$T15))+1),0)</f>
        <v>0.0</v>
      </c>
      <c r="O15" s="97">
        <f>IF(ISNUMBER($S15),MAX(0,INT((O$6+6-$S15)/$T15)-MAX(0,-INT(-(O$6-$S15)/$T15))+1),0)</f>
        <v>0.0</v>
      </c>
      <c r="P15" s="97">
        <f>IF(ISNUMBER($S15),MAX(0,INT((P$6+6-$S15)/$T15)-MAX(0,-INT(-(P$6-$S15)/$T15))+1),0)</f>
        <v>0.0</v>
      </c>
      <c r="Q15" s="97">
        <f>IF(ISNUMBER($S15),MAX(0,INT((Q$6+6-$S15)/$T15)-MAX(0,-INT(-(Q$6-$S15)/$T15))+1),0)</f>
        <v>0.0</v>
      </c>
      <c r="R15" s="97">
        <f>IF(ISNUMBER($S15),MAX(0,INT((R$6+6-$S15)/$T15)-MAX(0,-INT(-(R$6-$S15)/$T15))+1),0)</f>
        <v>0.0</v>
      </c>
      <c r="S15" t="str">
        <f>IF(ISNUMBER(INDEX(pl_period,6)),MAX(INDEX(pl_due,6),p_today),"")</f>
        <v/>
      </c>
      <c r="T15" t="str">
        <f>IF(ISNUMBER(INDEX(pl_period,6)),INDEX(pl_period,6),"")</f>
        <v/>
      </c>
      <c r="U15">
        <f>N(INDEX(pl_dur,6))</f>
        <v>0.0</v>
      </c>
    </row>
    <row r="16">
      <c r="A16" s="93" t="str">
        <f>IF(INDEX(pl_status,7)="","",INDEX(pl_num,7)&amp;"")</f>
        <v/>
      </c>
      <c r="B16" s="93" t="str">
        <f>IF(INDEX(pl_status,7)="","",INDEX(pl_eq,7)&amp;"")</f>
        <v/>
      </c>
      <c r="C16" s="93" t="str">
        <f>IF(INDEX(pl_status,7)="","",INDEX(pl_task,7)&amp;"")</f>
        <v/>
      </c>
      <c r="D16" s="94" t="str">
        <f>IF(ISNUMBER(INDEX(pl_due,7)),INDEX(pl_due,7),"")</f>
        <v/>
      </c>
      <c r="E16" s="95" t="str">
        <f>INDEX(pl_status,7)&amp;""</f>
        <v/>
      </c>
      <c r="F16" s="96" t="str">
        <f>IF(E16="En retard","●","")</f>
        <v/>
      </c>
      <c r="G16" s="97">
        <f>IF(ISNUMBER($S16),MAX(0,INT((G$6+6-$S16)/$T16)-MAX(0,-INT(-(G$6-$S16)/$T16))+1),0)</f>
        <v>0.0</v>
      </c>
      <c r="H16" s="97">
        <f>IF(ISNUMBER($S16),MAX(0,INT((H$6+6-$S16)/$T16)-MAX(0,-INT(-(H$6-$S16)/$T16))+1),0)</f>
        <v>0.0</v>
      </c>
      <c r="I16" s="97">
        <f>IF(ISNUMBER($S16),MAX(0,INT((I$6+6-$S16)/$T16)-MAX(0,-INT(-(I$6-$S16)/$T16))+1),0)</f>
        <v>0.0</v>
      </c>
      <c r="J16" s="97">
        <f>IF(ISNUMBER($S16),MAX(0,INT((J$6+6-$S16)/$T16)-MAX(0,-INT(-(J$6-$S16)/$T16))+1),0)</f>
        <v>0.0</v>
      </c>
      <c r="K16" s="97">
        <f>IF(ISNUMBER($S16),MAX(0,INT((K$6+6-$S16)/$T16)-MAX(0,-INT(-(K$6-$S16)/$T16))+1),0)</f>
        <v>0.0</v>
      </c>
      <c r="L16" s="97">
        <f>IF(ISNUMBER($S16),MAX(0,INT((L$6+6-$S16)/$T16)-MAX(0,-INT(-(L$6-$S16)/$T16))+1),0)</f>
        <v>0.0</v>
      </c>
      <c r="M16" s="97">
        <f>IF(ISNUMBER($S16),MAX(0,INT((M$6+6-$S16)/$T16)-MAX(0,-INT(-(M$6-$S16)/$T16))+1),0)</f>
        <v>0.0</v>
      </c>
      <c r="N16" s="97">
        <f>IF(ISNUMBER($S16),MAX(0,INT((N$6+6-$S16)/$T16)-MAX(0,-INT(-(N$6-$S16)/$T16))+1),0)</f>
        <v>0.0</v>
      </c>
      <c r="O16" s="97">
        <f>IF(ISNUMBER($S16),MAX(0,INT((O$6+6-$S16)/$T16)-MAX(0,-INT(-(O$6-$S16)/$T16))+1),0)</f>
        <v>0.0</v>
      </c>
      <c r="P16" s="97">
        <f>IF(ISNUMBER($S16),MAX(0,INT((P$6+6-$S16)/$T16)-MAX(0,-INT(-(P$6-$S16)/$T16))+1),0)</f>
        <v>0.0</v>
      </c>
      <c r="Q16" s="97">
        <f>IF(ISNUMBER($S16),MAX(0,INT((Q$6+6-$S16)/$T16)-MAX(0,-INT(-(Q$6-$S16)/$T16))+1),0)</f>
        <v>0.0</v>
      </c>
      <c r="R16" s="97">
        <f>IF(ISNUMBER($S16),MAX(0,INT((R$6+6-$S16)/$T16)-MAX(0,-INT(-(R$6-$S16)/$T16))+1),0)</f>
        <v>0.0</v>
      </c>
      <c r="S16" t="str">
        <f>IF(ISNUMBER(INDEX(pl_period,7)),MAX(INDEX(pl_due,7),p_today),"")</f>
        <v/>
      </c>
      <c r="T16" t="str">
        <f>IF(ISNUMBER(INDEX(pl_period,7)),INDEX(pl_period,7),"")</f>
        <v/>
      </c>
      <c r="U16">
        <f>N(INDEX(pl_dur,7))</f>
        <v>0.0</v>
      </c>
    </row>
    <row r="17">
      <c r="A17" s="93" t="str">
        <f>IF(INDEX(pl_status,8)="","",INDEX(pl_num,8)&amp;"")</f>
        <v/>
      </c>
      <c r="B17" s="93" t="str">
        <f>IF(INDEX(pl_status,8)="","",INDEX(pl_eq,8)&amp;"")</f>
        <v/>
      </c>
      <c r="C17" s="93" t="str">
        <f>IF(INDEX(pl_status,8)="","",INDEX(pl_task,8)&amp;"")</f>
        <v/>
      </c>
      <c r="D17" s="94" t="str">
        <f>IF(ISNUMBER(INDEX(pl_due,8)),INDEX(pl_due,8),"")</f>
        <v/>
      </c>
      <c r="E17" s="95" t="str">
        <f>INDEX(pl_status,8)&amp;""</f>
        <v/>
      </c>
      <c r="F17" s="96" t="str">
        <f>IF(E17="En retard","●","")</f>
        <v/>
      </c>
      <c r="G17" s="97">
        <f>IF(ISNUMBER($S17),MAX(0,INT((G$6+6-$S17)/$T17)-MAX(0,-INT(-(G$6-$S17)/$T17))+1),0)</f>
        <v>0.0</v>
      </c>
      <c r="H17" s="97">
        <f>IF(ISNUMBER($S17),MAX(0,INT((H$6+6-$S17)/$T17)-MAX(0,-INT(-(H$6-$S17)/$T17))+1),0)</f>
        <v>0.0</v>
      </c>
      <c r="I17" s="97">
        <f>IF(ISNUMBER($S17),MAX(0,INT((I$6+6-$S17)/$T17)-MAX(0,-INT(-(I$6-$S17)/$T17))+1),0)</f>
        <v>0.0</v>
      </c>
      <c r="J17" s="97">
        <f>IF(ISNUMBER($S17),MAX(0,INT((J$6+6-$S17)/$T17)-MAX(0,-INT(-(J$6-$S17)/$T17))+1),0)</f>
        <v>0.0</v>
      </c>
      <c r="K17" s="97">
        <f>IF(ISNUMBER($S17),MAX(0,INT((K$6+6-$S17)/$T17)-MAX(0,-INT(-(K$6-$S17)/$T17))+1),0)</f>
        <v>0.0</v>
      </c>
      <c r="L17" s="97">
        <f>IF(ISNUMBER($S17),MAX(0,INT((L$6+6-$S17)/$T17)-MAX(0,-INT(-(L$6-$S17)/$T17))+1),0)</f>
        <v>0.0</v>
      </c>
      <c r="M17" s="97">
        <f>IF(ISNUMBER($S17),MAX(0,INT((M$6+6-$S17)/$T17)-MAX(0,-INT(-(M$6-$S17)/$T17))+1),0)</f>
        <v>0.0</v>
      </c>
      <c r="N17" s="97">
        <f>IF(ISNUMBER($S17),MAX(0,INT((N$6+6-$S17)/$T17)-MAX(0,-INT(-(N$6-$S17)/$T17))+1),0)</f>
        <v>0.0</v>
      </c>
      <c r="O17" s="97">
        <f>IF(ISNUMBER($S17),MAX(0,INT((O$6+6-$S17)/$T17)-MAX(0,-INT(-(O$6-$S17)/$T17))+1),0)</f>
        <v>0.0</v>
      </c>
      <c r="P17" s="97">
        <f>IF(ISNUMBER($S17),MAX(0,INT((P$6+6-$S17)/$T17)-MAX(0,-INT(-(P$6-$S17)/$T17))+1),0)</f>
        <v>0.0</v>
      </c>
      <c r="Q17" s="97">
        <f>IF(ISNUMBER($S17),MAX(0,INT((Q$6+6-$S17)/$T17)-MAX(0,-INT(-(Q$6-$S17)/$T17))+1),0)</f>
        <v>0.0</v>
      </c>
      <c r="R17" s="97">
        <f>IF(ISNUMBER($S17),MAX(0,INT((R$6+6-$S17)/$T17)-MAX(0,-INT(-(R$6-$S17)/$T17))+1),0)</f>
        <v>0.0</v>
      </c>
      <c r="S17" t="str">
        <f>IF(ISNUMBER(INDEX(pl_period,8)),MAX(INDEX(pl_due,8),p_today),"")</f>
        <v/>
      </c>
      <c r="T17" t="str">
        <f>IF(ISNUMBER(INDEX(pl_period,8)),INDEX(pl_period,8),"")</f>
        <v/>
      </c>
      <c r="U17">
        <f>N(INDEX(pl_dur,8))</f>
        <v>0.0</v>
      </c>
    </row>
    <row r="18">
      <c r="A18" s="93" t="str">
        <f>IF(INDEX(pl_status,9)="","",INDEX(pl_num,9)&amp;"")</f>
        <v/>
      </c>
      <c r="B18" s="93" t="str">
        <f>IF(INDEX(pl_status,9)="","",INDEX(pl_eq,9)&amp;"")</f>
        <v/>
      </c>
      <c r="C18" s="93" t="str">
        <f>IF(INDEX(pl_status,9)="","",INDEX(pl_task,9)&amp;"")</f>
        <v/>
      </c>
      <c r="D18" s="94" t="str">
        <f>IF(ISNUMBER(INDEX(pl_due,9)),INDEX(pl_due,9),"")</f>
        <v/>
      </c>
      <c r="E18" s="95" t="str">
        <f>INDEX(pl_status,9)&amp;""</f>
        <v/>
      </c>
      <c r="F18" s="96" t="str">
        <f>IF(E18="En retard","●","")</f>
        <v/>
      </c>
      <c r="G18" s="97">
        <f>IF(ISNUMBER($S18),MAX(0,INT((G$6+6-$S18)/$T18)-MAX(0,-INT(-(G$6-$S18)/$T18))+1),0)</f>
        <v>0.0</v>
      </c>
      <c r="H18" s="97">
        <f>IF(ISNUMBER($S18),MAX(0,INT((H$6+6-$S18)/$T18)-MAX(0,-INT(-(H$6-$S18)/$T18))+1),0)</f>
        <v>0.0</v>
      </c>
      <c r="I18" s="97">
        <f>IF(ISNUMBER($S18),MAX(0,INT((I$6+6-$S18)/$T18)-MAX(0,-INT(-(I$6-$S18)/$T18))+1),0)</f>
        <v>0.0</v>
      </c>
      <c r="J18" s="97">
        <f>IF(ISNUMBER($S18),MAX(0,INT((J$6+6-$S18)/$T18)-MAX(0,-INT(-(J$6-$S18)/$T18))+1),0)</f>
        <v>0.0</v>
      </c>
      <c r="K18" s="97">
        <f>IF(ISNUMBER($S18),MAX(0,INT((K$6+6-$S18)/$T18)-MAX(0,-INT(-(K$6-$S18)/$T18))+1),0)</f>
        <v>0.0</v>
      </c>
      <c r="L18" s="97">
        <f>IF(ISNUMBER($S18),MAX(0,INT((L$6+6-$S18)/$T18)-MAX(0,-INT(-(L$6-$S18)/$T18))+1),0)</f>
        <v>0.0</v>
      </c>
      <c r="M18" s="97">
        <f>IF(ISNUMBER($S18),MAX(0,INT((M$6+6-$S18)/$T18)-MAX(0,-INT(-(M$6-$S18)/$T18))+1),0)</f>
        <v>0.0</v>
      </c>
      <c r="N18" s="97">
        <f>IF(ISNUMBER($S18),MAX(0,INT((N$6+6-$S18)/$T18)-MAX(0,-INT(-(N$6-$S18)/$T18))+1),0)</f>
        <v>0.0</v>
      </c>
      <c r="O18" s="97">
        <f>IF(ISNUMBER($S18),MAX(0,INT((O$6+6-$S18)/$T18)-MAX(0,-INT(-(O$6-$S18)/$T18))+1),0)</f>
        <v>0.0</v>
      </c>
      <c r="P18" s="97">
        <f>IF(ISNUMBER($S18),MAX(0,INT((P$6+6-$S18)/$T18)-MAX(0,-INT(-(P$6-$S18)/$T18))+1),0)</f>
        <v>0.0</v>
      </c>
      <c r="Q18" s="97">
        <f>IF(ISNUMBER($S18),MAX(0,INT((Q$6+6-$S18)/$T18)-MAX(0,-INT(-(Q$6-$S18)/$T18))+1),0)</f>
        <v>0.0</v>
      </c>
      <c r="R18" s="97">
        <f>IF(ISNUMBER($S18),MAX(0,INT((R$6+6-$S18)/$T18)-MAX(0,-INT(-(R$6-$S18)/$T18))+1),0)</f>
        <v>0.0</v>
      </c>
      <c r="S18" t="str">
        <f>IF(ISNUMBER(INDEX(pl_period,9)),MAX(INDEX(pl_due,9),p_today),"")</f>
        <v/>
      </c>
      <c r="T18" t="str">
        <f>IF(ISNUMBER(INDEX(pl_period,9)),INDEX(pl_period,9),"")</f>
        <v/>
      </c>
      <c r="U18">
        <f>N(INDEX(pl_dur,9))</f>
        <v>0.0</v>
      </c>
    </row>
    <row r="19">
      <c r="A19" s="93" t="str">
        <f>IF(INDEX(pl_status,10)="","",INDEX(pl_num,10)&amp;"")</f>
        <v/>
      </c>
      <c r="B19" s="93" t="str">
        <f>IF(INDEX(pl_status,10)="","",INDEX(pl_eq,10)&amp;"")</f>
        <v/>
      </c>
      <c r="C19" s="93" t="str">
        <f>IF(INDEX(pl_status,10)="","",INDEX(pl_task,10)&amp;"")</f>
        <v/>
      </c>
      <c r="D19" s="94" t="str">
        <f>IF(ISNUMBER(INDEX(pl_due,10)),INDEX(pl_due,10),"")</f>
        <v/>
      </c>
      <c r="E19" s="95" t="str">
        <f>INDEX(pl_status,10)&amp;""</f>
        <v/>
      </c>
      <c r="F19" s="96" t="str">
        <f>IF(E19="En retard","●","")</f>
        <v/>
      </c>
      <c r="G19" s="97">
        <f>IF(ISNUMBER($S19),MAX(0,INT((G$6+6-$S19)/$T19)-MAX(0,-INT(-(G$6-$S19)/$T19))+1),0)</f>
        <v>0.0</v>
      </c>
      <c r="H19" s="97">
        <f>IF(ISNUMBER($S19),MAX(0,INT((H$6+6-$S19)/$T19)-MAX(0,-INT(-(H$6-$S19)/$T19))+1),0)</f>
        <v>0.0</v>
      </c>
      <c r="I19" s="97">
        <f>IF(ISNUMBER($S19),MAX(0,INT((I$6+6-$S19)/$T19)-MAX(0,-INT(-(I$6-$S19)/$T19))+1),0)</f>
        <v>0.0</v>
      </c>
      <c r="J19" s="97">
        <f>IF(ISNUMBER($S19),MAX(0,INT((J$6+6-$S19)/$T19)-MAX(0,-INT(-(J$6-$S19)/$T19))+1),0)</f>
        <v>0.0</v>
      </c>
      <c r="K19" s="97">
        <f>IF(ISNUMBER($S19),MAX(0,INT((K$6+6-$S19)/$T19)-MAX(0,-INT(-(K$6-$S19)/$T19))+1),0)</f>
        <v>0.0</v>
      </c>
      <c r="L19" s="97">
        <f>IF(ISNUMBER($S19),MAX(0,INT((L$6+6-$S19)/$T19)-MAX(0,-INT(-(L$6-$S19)/$T19))+1),0)</f>
        <v>0.0</v>
      </c>
      <c r="M19" s="97">
        <f>IF(ISNUMBER($S19),MAX(0,INT((M$6+6-$S19)/$T19)-MAX(0,-INT(-(M$6-$S19)/$T19))+1),0)</f>
        <v>0.0</v>
      </c>
      <c r="N19" s="97">
        <f>IF(ISNUMBER($S19),MAX(0,INT((N$6+6-$S19)/$T19)-MAX(0,-INT(-(N$6-$S19)/$T19))+1),0)</f>
        <v>0.0</v>
      </c>
      <c r="O19" s="97">
        <f>IF(ISNUMBER($S19),MAX(0,INT((O$6+6-$S19)/$T19)-MAX(0,-INT(-(O$6-$S19)/$T19))+1),0)</f>
        <v>0.0</v>
      </c>
      <c r="P19" s="97">
        <f>IF(ISNUMBER($S19),MAX(0,INT((P$6+6-$S19)/$T19)-MAX(0,-INT(-(P$6-$S19)/$T19))+1),0)</f>
        <v>0.0</v>
      </c>
      <c r="Q19" s="97">
        <f>IF(ISNUMBER($S19),MAX(0,INT((Q$6+6-$S19)/$T19)-MAX(0,-INT(-(Q$6-$S19)/$T19))+1),0)</f>
        <v>0.0</v>
      </c>
      <c r="R19" s="97">
        <f>IF(ISNUMBER($S19),MAX(0,INT((R$6+6-$S19)/$T19)-MAX(0,-INT(-(R$6-$S19)/$T19))+1),0)</f>
        <v>0.0</v>
      </c>
      <c r="S19" t="str">
        <f>IF(ISNUMBER(INDEX(pl_period,10)),MAX(INDEX(pl_due,10),p_today),"")</f>
        <v/>
      </c>
      <c r="T19" t="str">
        <f>IF(ISNUMBER(INDEX(pl_period,10)),INDEX(pl_period,10),"")</f>
        <v/>
      </c>
      <c r="U19">
        <f>N(INDEX(pl_dur,10))</f>
        <v>0.0</v>
      </c>
    </row>
    <row r="20">
      <c r="A20" s="93" t="str">
        <f>IF(INDEX(pl_status,11)="","",INDEX(pl_num,11)&amp;"")</f>
        <v/>
      </c>
      <c r="B20" s="93" t="str">
        <f>IF(INDEX(pl_status,11)="","",INDEX(pl_eq,11)&amp;"")</f>
        <v/>
      </c>
      <c r="C20" s="93" t="str">
        <f>IF(INDEX(pl_status,11)="","",INDEX(pl_task,11)&amp;"")</f>
        <v/>
      </c>
      <c r="D20" s="94" t="str">
        <f>IF(ISNUMBER(INDEX(pl_due,11)),INDEX(pl_due,11),"")</f>
        <v/>
      </c>
      <c r="E20" s="95" t="str">
        <f>INDEX(pl_status,11)&amp;""</f>
        <v/>
      </c>
      <c r="F20" s="96" t="str">
        <f>IF(E20="En retard","●","")</f>
        <v/>
      </c>
      <c r="G20" s="97">
        <f>IF(ISNUMBER($S20),MAX(0,INT((G$6+6-$S20)/$T20)-MAX(0,-INT(-(G$6-$S20)/$T20))+1),0)</f>
        <v>0.0</v>
      </c>
      <c r="H20" s="97">
        <f>IF(ISNUMBER($S20),MAX(0,INT((H$6+6-$S20)/$T20)-MAX(0,-INT(-(H$6-$S20)/$T20))+1),0)</f>
        <v>0.0</v>
      </c>
      <c r="I20" s="97">
        <f>IF(ISNUMBER($S20),MAX(0,INT((I$6+6-$S20)/$T20)-MAX(0,-INT(-(I$6-$S20)/$T20))+1),0)</f>
        <v>0.0</v>
      </c>
      <c r="J20" s="97">
        <f>IF(ISNUMBER($S20),MAX(0,INT((J$6+6-$S20)/$T20)-MAX(0,-INT(-(J$6-$S20)/$T20))+1),0)</f>
        <v>0.0</v>
      </c>
      <c r="K20" s="97">
        <f>IF(ISNUMBER($S20),MAX(0,INT((K$6+6-$S20)/$T20)-MAX(0,-INT(-(K$6-$S20)/$T20))+1),0)</f>
        <v>0.0</v>
      </c>
      <c r="L20" s="97">
        <f>IF(ISNUMBER($S20),MAX(0,INT((L$6+6-$S20)/$T20)-MAX(0,-INT(-(L$6-$S20)/$T20))+1),0)</f>
        <v>0.0</v>
      </c>
      <c r="M20" s="97">
        <f>IF(ISNUMBER($S20),MAX(0,INT((M$6+6-$S20)/$T20)-MAX(0,-INT(-(M$6-$S20)/$T20))+1),0)</f>
        <v>0.0</v>
      </c>
      <c r="N20" s="97">
        <f>IF(ISNUMBER($S20),MAX(0,INT((N$6+6-$S20)/$T20)-MAX(0,-INT(-(N$6-$S20)/$T20))+1),0)</f>
        <v>0.0</v>
      </c>
      <c r="O20" s="97">
        <f>IF(ISNUMBER($S20),MAX(0,INT((O$6+6-$S20)/$T20)-MAX(0,-INT(-(O$6-$S20)/$T20))+1),0)</f>
        <v>0.0</v>
      </c>
      <c r="P20" s="97">
        <f>IF(ISNUMBER($S20),MAX(0,INT((P$6+6-$S20)/$T20)-MAX(0,-INT(-(P$6-$S20)/$T20))+1),0)</f>
        <v>0.0</v>
      </c>
      <c r="Q20" s="97">
        <f>IF(ISNUMBER($S20),MAX(0,INT((Q$6+6-$S20)/$T20)-MAX(0,-INT(-(Q$6-$S20)/$T20))+1),0)</f>
        <v>0.0</v>
      </c>
      <c r="R20" s="97">
        <f>IF(ISNUMBER($S20),MAX(0,INT((R$6+6-$S20)/$T20)-MAX(0,-INT(-(R$6-$S20)/$T20))+1),0)</f>
        <v>0.0</v>
      </c>
      <c r="S20" t="str">
        <f>IF(ISNUMBER(INDEX(pl_period,11)),MAX(INDEX(pl_due,11),p_today),"")</f>
        <v/>
      </c>
      <c r="T20" t="str">
        <f>IF(ISNUMBER(INDEX(pl_period,11)),INDEX(pl_period,11),"")</f>
        <v/>
      </c>
      <c r="U20">
        <f>N(INDEX(pl_dur,11))</f>
        <v>0.0</v>
      </c>
    </row>
    <row r="21">
      <c r="A21" s="93" t="str">
        <f>IF(INDEX(pl_status,12)="","",INDEX(pl_num,12)&amp;"")</f>
        <v/>
      </c>
      <c r="B21" s="93" t="str">
        <f>IF(INDEX(pl_status,12)="","",INDEX(pl_eq,12)&amp;"")</f>
        <v/>
      </c>
      <c r="C21" s="93" t="str">
        <f>IF(INDEX(pl_status,12)="","",INDEX(pl_task,12)&amp;"")</f>
        <v/>
      </c>
      <c r="D21" s="94" t="str">
        <f>IF(ISNUMBER(INDEX(pl_due,12)),INDEX(pl_due,12),"")</f>
        <v/>
      </c>
      <c r="E21" s="95" t="str">
        <f>INDEX(pl_status,12)&amp;""</f>
        <v/>
      </c>
      <c r="F21" s="96" t="str">
        <f>IF(E21="En retard","●","")</f>
        <v/>
      </c>
      <c r="G21" s="97">
        <f>IF(ISNUMBER($S21),MAX(0,INT((G$6+6-$S21)/$T21)-MAX(0,-INT(-(G$6-$S21)/$T21))+1),0)</f>
        <v>0.0</v>
      </c>
      <c r="H21" s="97">
        <f>IF(ISNUMBER($S21),MAX(0,INT((H$6+6-$S21)/$T21)-MAX(0,-INT(-(H$6-$S21)/$T21))+1),0)</f>
        <v>0.0</v>
      </c>
      <c r="I21" s="97">
        <f>IF(ISNUMBER($S21),MAX(0,INT((I$6+6-$S21)/$T21)-MAX(0,-INT(-(I$6-$S21)/$T21))+1),0)</f>
        <v>0.0</v>
      </c>
      <c r="J21" s="97">
        <f>IF(ISNUMBER($S21),MAX(0,INT((J$6+6-$S21)/$T21)-MAX(0,-INT(-(J$6-$S21)/$T21))+1),0)</f>
        <v>0.0</v>
      </c>
      <c r="K21" s="97">
        <f>IF(ISNUMBER($S21),MAX(0,INT((K$6+6-$S21)/$T21)-MAX(0,-INT(-(K$6-$S21)/$T21))+1),0)</f>
        <v>0.0</v>
      </c>
      <c r="L21" s="97">
        <f>IF(ISNUMBER($S21),MAX(0,INT((L$6+6-$S21)/$T21)-MAX(0,-INT(-(L$6-$S21)/$T21))+1),0)</f>
        <v>0.0</v>
      </c>
      <c r="M21" s="97">
        <f>IF(ISNUMBER($S21),MAX(0,INT((M$6+6-$S21)/$T21)-MAX(0,-INT(-(M$6-$S21)/$T21))+1),0)</f>
        <v>0.0</v>
      </c>
      <c r="N21" s="97">
        <f>IF(ISNUMBER($S21),MAX(0,INT((N$6+6-$S21)/$T21)-MAX(0,-INT(-(N$6-$S21)/$T21))+1),0)</f>
        <v>0.0</v>
      </c>
      <c r="O21" s="97">
        <f>IF(ISNUMBER($S21),MAX(0,INT((O$6+6-$S21)/$T21)-MAX(0,-INT(-(O$6-$S21)/$T21))+1),0)</f>
        <v>0.0</v>
      </c>
      <c r="P21" s="97">
        <f>IF(ISNUMBER($S21),MAX(0,INT((P$6+6-$S21)/$T21)-MAX(0,-INT(-(P$6-$S21)/$T21))+1),0)</f>
        <v>0.0</v>
      </c>
      <c r="Q21" s="97">
        <f>IF(ISNUMBER($S21),MAX(0,INT((Q$6+6-$S21)/$T21)-MAX(0,-INT(-(Q$6-$S21)/$T21))+1),0)</f>
        <v>0.0</v>
      </c>
      <c r="R21" s="97">
        <f>IF(ISNUMBER($S21),MAX(0,INT((R$6+6-$S21)/$T21)-MAX(0,-INT(-(R$6-$S21)/$T21))+1),0)</f>
        <v>0.0</v>
      </c>
      <c r="S21" t="str">
        <f>IF(ISNUMBER(INDEX(pl_period,12)),MAX(INDEX(pl_due,12),p_today),"")</f>
        <v/>
      </c>
      <c r="T21" t="str">
        <f>IF(ISNUMBER(INDEX(pl_period,12)),INDEX(pl_period,12),"")</f>
        <v/>
      </c>
      <c r="U21">
        <f>N(INDEX(pl_dur,12))</f>
        <v>0.0</v>
      </c>
    </row>
    <row r="22">
      <c r="A22" s="93" t="str">
        <f>IF(INDEX(pl_status,13)="","",INDEX(pl_num,13)&amp;"")</f>
        <v/>
      </c>
      <c r="B22" s="93" t="str">
        <f>IF(INDEX(pl_status,13)="","",INDEX(pl_eq,13)&amp;"")</f>
        <v/>
      </c>
      <c r="C22" s="93" t="str">
        <f>IF(INDEX(pl_status,13)="","",INDEX(pl_task,13)&amp;"")</f>
        <v/>
      </c>
      <c r="D22" s="94" t="str">
        <f>IF(ISNUMBER(INDEX(pl_due,13)),INDEX(pl_due,13),"")</f>
        <v/>
      </c>
      <c r="E22" s="95" t="str">
        <f>INDEX(pl_status,13)&amp;""</f>
        <v/>
      </c>
      <c r="F22" s="96" t="str">
        <f>IF(E22="En retard","●","")</f>
        <v/>
      </c>
      <c r="G22" s="97">
        <f>IF(ISNUMBER($S22),MAX(0,INT((G$6+6-$S22)/$T22)-MAX(0,-INT(-(G$6-$S22)/$T22))+1),0)</f>
        <v>0.0</v>
      </c>
      <c r="H22" s="97">
        <f>IF(ISNUMBER($S22),MAX(0,INT((H$6+6-$S22)/$T22)-MAX(0,-INT(-(H$6-$S22)/$T22))+1),0)</f>
        <v>0.0</v>
      </c>
      <c r="I22" s="97">
        <f>IF(ISNUMBER($S22),MAX(0,INT((I$6+6-$S22)/$T22)-MAX(0,-INT(-(I$6-$S22)/$T22))+1),0)</f>
        <v>0.0</v>
      </c>
      <c r="J22" s="97">
        <f>IF(ISNUMBER($S22),MAX(0,INT((J$6+6-$S22)/$T22)-MAX(0,-INT(-(J$6-$S22)/$T22))+1),0)</f>
        <v>0.0</v>
      </c>
      <c r="K22" s="97">
        <f>IF(ISNUMBER($S22),MAX(0,INT((K$6+6-$S22)/$T22)-MAX(0,-INT(-(K$6-$S22)/$T22))+1),0)</f>
        <v>0.0</v>
      </c>
      <c r="L22" s="97">
        <f>IF(ISNUMBER($S22),MAX(0,INT((L$6+6-$S22)/$T22)-MAX(0,-INT(-(L$6-$S22)/$T22))+1),0)</f>
        <v>0.0</v>
      </c>
      <c r="M22" s="97">
        <f>IF(ISNUMBER($S22),MAX(0,INT((M$6+6-$S22)/$T22)-MAX(0,-INT(-(M$6-$S22)/$T22))+1),0)</f>
        <v>0.0</v>
      </c>
      <c r="N22" s="97">
        <f>IF(ISNUMBER($S22),MAX(0,INT((N$6+6-$S22)/$T22)-MAX(0,-INT(-(N$6-$S22)/$T22))+1),0)</f>
        <v>0.0</v>
      </c>
      <c r="O22" s="97">
        <f>IF(ISNUMBER($S22),MAX(0,INT((O$6+6-$S22)/$T22)-MAX(0,-INT(-(O$6-$S22)/$T22))+1),0)</f>
        <v>0.0</v>
      </c>
      <c r="P22" s="97">
        <f>IF(ISNUMBER($S22),MAX(0,INT((P$6+6-$S22)/$T22)-MAX(0,-INT(-(P$6-$S22)/$T22))+1),0)</f>
        <v>0.0</v>
      </c>
      <c r="Q22" s="97">
        <f>IF(ISNUMBER($S22),MAX(0,INT((Q$6+6-$S22)/$T22)-MAX(0,-INT(-(Q$6-$S22)/$T22))+1),0)</f>
        <v>0.0</v>
      </c>
      <c r="R22" s="97">
        <f>IF(ISNUMBER($S22),MAX(0,INT((R$6+6-$S22)/$T22)-MAX(0,-INT(-(R$6-$S22)/$T22))+1),0)</f>
        <v>0.0</v>
      </c>
      <c r="S22" t="str">
        <f>IF(ISNUMBER(INDEX(pl_period,13)),MAX(INDEX(pl_due,13),p_today),"")</f>
        <v/>
      </c>
      <c r="T22" t="str">
        <f>IF(ISNUMBER(INDEX(pl_period,13)),INDEX(pl_period,13),"")</f>
        <v/>
      </c>
      <c r="U22">
        <f>N(INDEX(pl_dur,13))</f>
        <v>0.0</v>
      </c>
    </row>
    <row r="23">
      <c r="A23" s="93" t="str">
        <f>IF(INDEX(pl_status,14)="","",INDEX(pl_num,14)&amp;"")</f>
        <v/>
      </c>
      <c r="B23" s="93" t="str">
        <f>IF(INDEX(pl_status,14)="","",INDEX(pl_eq,14)&amp;"")</f>
        <v/>
      </c>
      <c r="C23" s="93" t="str">
        <f>IF(INDEX(pl_status,14)="","",INDEX(pl_task,14)&amp;"")</f>
        <v/>
      </c>
      <c r="D23" s="94" t="str">
        <f>IF(ISNUMBER(INDEX(pl_due,14)),INDEX(pl_due,14),"")</f>
        <v/>
      </c>
      <c r="E23" s="95" t="str">
        <f>INDEX(pl_status,14)&amp;""</f>
        <v/>
      </c>
      <c r="F23" s="96" t="str">
        <f>IF(E23="En retard","●","")</f>
        <v/>
      </c>
      <c r="G23" s="97">
        <f>IF(ISNUMBER($S23),MAX(0,INT((G$6+6-$S23)/$T23)-MAX(0,-INT(-(G$6-$S23)/$T23))+1),0)</f>
        <v>0.0</v>
      </c>
      <c r="H23" s="97">
        <f>IF(ISNUMBER($S23),MAX(0,INT((H$6+6-$S23)/$T23)-MAX(0,-INT(-(H$6-$S23)/$T23))+1),0)</f>
        <v>0.0</v>
      </c>
      <c r="I23" s="97">
        <f>IF(ISNUMBER($S23),MAX(0,INT((I$6+6-$S23)/$T23)-MAX(0,-INT(-(I$6-$S23)/$T23))+1),0)</f>
        <v>0.0</v>
      </c>
      <c r="J23" s="97">
        <f>IF(ISNUMBER($S23),MAX(0,INT((J$6+6-$S23)/$T23)-MAX(0,-INT(-(J$6-$S23)/$T23))+1),0)</f>
        <v>0.0</v>
      </c>
      <c r="K23" s="97">
        <f>IF(ISNUMBER($S23),MAX(0,INT((K$6+6-$S23)/$T23)-MAX(0,-INT(-(K$6-$S23)/$T23))+1),0)</f>
        <v>0.0</v>
      </c>
      <c r="L23" s="97">
        <f>IF(ISNUMBER($S23),MAX(0,INT((L$6+6-$S23)/$T23)-MAX(0,-INT(-(L$6-$S23)/$T23))+1),0)</f>
        <v>0.0</v>
      </c>
      <c r="M23" s="97">
        <f>IF(ISNUMBER($S23),MAX(0,INT((M$6+6-$S23)/$T23)-MAX(0,-INT(-(M$6-$S23)/$T23))+1),0)</f>
        <v>0.0</v>
      </c>
      <c r="N23" s="97">
        <f>IF(ISNUMBER($S23),MAX(0,INT((N$6+6-$S23)/$T23)-MAX(0,-INT(-(N$6-$S23)/$T23))+1),0)</f>
        <v>0.0</v>
      </c>
      <c r="O23" s="97">
        <f>IF(ISNUMBER($S23),MAX(0,INT((O$6+6-$S23)/$T23)-MAX(0,-INT(-(O$6-$S23)/$T23))+1),0)</f>
        <v>0.0</v>
      </c>
      <c r="P23" s="97">
        <f>IF(ISNUMBER($S23),MAX(0,INT((P$6+6-$S23)/$T23)-MAX(0,-INT(-(P$6-$S23)/$T23))+1),0)</f>
        <v>0.0</v>
      </c>
      <c r="Q23" s="97">
        <f>IF(ISNUMBER($S23),MAX(0,INT((Q$6+6-$S23)/$T23)-MAX(0,-INT(-(Q$6-$S23)/$T23))+1),0)</f>
        <v>0.0</v>
      </c>
      <c r="R23" s="97">
        <f>IF(ISNUMBER($S23),MAX(0,INT((R$6+6-$S23)/$T23)-MAX(0,-INT(-(R$6-$S23)/$T23))+1),0)</f>
        <v>0.0</v>
      </c>
      <c r="S23" t="str">
        <f>IF(ISNUMBER(INDEX(pl_period,14)),MAX(INDEX(pl_due,14),p_today),"")</f>
        <v/>
      </c>
      <c r="T23" t="str">
        <f>IF(ISNUMBER(INDEX(pl_period,14)),INDEX(pl_period,14),"")</f>
        <v/>
      </c>
      <c r="U23">
        <f>N(INDEX(pl_dur,14))</f>
        <v>0.0</v>
      </c>
    </row>
    <row r="24">
      <c r="A24" s="93" t="str">
        <f>IF(INDEX(pl_status,15)="","",INDEX(pl_num,15)&amp;"")</f>
        <v/>
      </c>
      <c r="B24" s="93" t="str">
        <f>IF(INDEX(pl_status,15)="","",INDEX(pl_eq,15)&amp;"")</f>
        <v/>
      </c>
      <c r="C24" s="93" t="str">
        <f>IF(INDEX(pl_status,15)="","",INDEX(pl_task,15)&amp;"")</f>
        <v/>
      </c>
      <c r="D24" s="94" t="str">
        <f>IF(ISNUMBER(INDEX(pl_due,15)),INDEX(pl_due,15),"")</f>
        <v/>
      </c>
      <c r="E24" s="95" t="str">
        <f>INDEX(pl_status,15)&amp;""</f>
        <v/>
      </c>
      <c r="F24" s="96" t="str">
        <f>IF(E24="En retard","●","")</f>
        <v/>
      </c>
      <c r="G24" s="97">
        <f>IF(ISNUMBER($S24),MAX(0,INT((G$6+6-$S24)/$T24)-MAX(0,-INT(-(G$6-$S24)/$T24))+1),0)</f>
        <v>0.0</v>
      </c>
      <c r="H24" s="97">
        <f>IF(ISNUMBER($S24),MAX(0,INT((H$6+6-$S24)/$T24)-MAX(0,-INT(-(H$6-$S24)/$T24))+1),0)</f>
        <v>0.0</v>
      </c>
      <c r="I24" s="97">
        <f>IF(ISNUMBER($S24),MAX(0,INT((I$6+6-$S24)/$T24)-MAX(0,-INT(-(I$6-$S24)/$T24))+1),0)</f>
        <v>0.0</v>
      </c>
      <c r="J24" s="97">
        <f>IF(ISNUMBER($S24),MAX(0,INT((J$6+6-$S24)/$T24)-MAX(0,-INT(-(J$6-$S24)/$T24))+1),0)</f>
        <v>0.0</v>
      </c>
      <c r="K24" s="97">
        <f>IF(ISNUMBER($S24),MAX(0,INT((K$6+6-$S24)/$T24)-MAX(0,-INT(-(K$6-$S24)/$T24))+1),0)</f>
        <v>0.0</v>
      </c>
      <c r="L24" s="97">
        <f>IF(ISNUMBER($S24),MAX(0,INT((L$6+6-$S24)/$T24)-MAX(0,-INT(-(L$6-$S24)/$T24))+1),0)</f>
        <v>0.0</v>
      </c>
      <c r="M24" s="97">
        <f>IF(ISNUMBER($S24),MAX(0,INT((M$6+6-$S24)/$T24)-MAX(0,-INT(-(M$6-$S24)/$T24))+1),0)</f>
        <v>0.0</v>
      </c>
      <c r="N24" s="97">
        <f>IF(ISNUMBER($S24),MAX(0,INT((N$6+6-$S24)/$T24)-MAX(0,-INT(-(N$6-$S24)/$T24))+1),0)</f>
        <v>0.0</v>
      </c>
      <c r="O24" s="97">
        <f>IF(ISNUMBER($S24),MAX(0,INT((O$6+6-$S24)/$T24)-MAX(0,-INT(-(O$6-$S24)/$T24))+1),0)</f>
        <v>0.0</v>
      </c>
      <c r="P24" s="97">
        <f>IF(ISNUMBER($S24),MAX(0,INT((P$6+6-$S24)/$T24)-MAX(0,-INT(-(P$6-$S24)/$T24))+1),0)</f>
        <v>0.0</v>
      </c>
      <c r="Q24" s="97">
        <f>IF(ISNUMBER($S24),MAX(0,INT((Q$6+6-$S24)/$T24)-MAX(0,-INT(-(Q$6-$S24)/$T24))+1),0)</f>
        <v>0.0</v>
      </c>
      <c r="R24" s="97">
        <f>IF(ISNUMBER($S24),MAX(0,INT((R$6+6-$S24)/$T24)-MAX(0,-INT(-(R$6-$S24)/$T24))+1),0)</f>
        <v>0.0</v>
      </c>
      <c r="S24" t="str">
        <f>IF(ISNUMBER(INDEX(pl_period,15)),MAX(INDEX(pl_due,15),p_today),"")</f>
        <v/>
      </c>
      <c r="T24" t="str">
        <f>IF(ISNUMBER(INDEX(pl_period,15)),INDEX(pl_period,15),"")</f>
        <v/>
      </c>
      <c r="U24">
        <f>N(INDEX(pl_dur,15))</f>
        <v>0.0</v>
      </c>
    </row>
    <row r="25">
      <c r="A25" s="93" t="str">
        <f>IF(INDEX(pl_status,16)="","",INDEX(pl_num,16)&amp;"")</f>
        <v/>
      </c>
      <c r="B25" s="93" t="str">
        <f>IF(INDEX(pl_status,16)="","",INDEX(pl_eq,16)&amp;"")</f>
        <v/>
      </c>
      <c r="C25" s="93" t="str">
        <f>IF(INDEX(pl_status,16)="","",INDEX(pl_task,16)&amp;"")</f>
        <v/>
      </c>
      <c r="D25" s="94" t="str">
        <f>IF(ISNUMBER(INDEX(pl_due,16)),INDEX(pl_due,16),"")</f>
        <v/>
      </c>
      <c r="E25" s="95" t="str">
        <f>INDEX(pl_status,16)&amp;""</f>
        <v/>
      </c>
      <c r="F25" s="96" t="str">
        <f>IF(E25="En retard","●","")</f>
        <v/>
      </c>
      <c r="G25" s="97">
        <f>IF(ISNUMBER($S25),MAX(0,INT((G$6+6-$S25)/$T25)-MAX(0,-INT(-(G$6-$S25)/$T25))+1),0)</f>
        <v>0.0</v>
      </c>
      <c r="H25" s="97">
        <f>IF(ISNUMBER($S25),MAX(0,INT((H$6+6-$S25)/$T25)-MAX(0,-INT(-(H$6-$S25)/$T25))+1),0)</f>
        <v>0.0</v>
      </c>
      <c r="I25" s="97">
        <f>IF(ISNUMBER($S25),MAX(0,INT((I$6+6-$S25)/$T25)-MAX(0,-INT(-(I$6-$S25)/$T25))+1),0)</f>
        <v>0.0</v>
      </c>
      <c r="J25" s="97">
        <f>IF(ISNUMBER($S25),MAX(0,INT((J$6+6-$S25)/$T25)-MAX(0,-INT(-(J$6-$S25)/$T25))+1),0)</f>
        <v>0.0</v>
      </c>
      <c r="K25" s="97">
        <f>IF(ISNUMBER($S25),MAX(0,INT((K$6+6-$S25)/$T25)-MAX(0,-INT(-(K$6-$S25)/$T25))+1),0)</f>
        <v>0.0</v>
      </c>
      <c r="L25" s="97">
        <f>IF(ISNUMBER($S25),MAX(0,INT((L$6+6-$S25)/$T25)-MAX(0,-INT(-(L$6-$S25)/$T25))+1),0)</f>
        <v>0.0</v>
      </c>
      <c r="M25" s="97">
        <f>IF(ISNUMBER($S25),MAX(0,INT((M$6+6-$S25)/$T25)-MAX(0,-INT(-(M$6-$S25)/$T25))+1),0)</f>
        <v>0.0</v>
      </c>
      <c r="N25" s="97">
        <f>IF(ISNUMBER($S25),MAX(0,INT((N$6+6-$S25)/$T25)-MAX(0,-INT(-(N$6-$S25)/$T25))+1),0)</f>
        <v>0.0</v>
      </c>
      <c r="O25" s="97">
        <f>IF(ISNUMBER($S25),MAX(0,INT((O$6+6-$S25)/$T25)-MAX(0,-INT(-(O$6-$S25)/$T25))+1),0)</f>
        <v>0.0</v>
      </c>
      <c r="P25" s="97">
        <f>IF(ISNUMBER($S25),MAX(0,INT((P$6+6-$S25)/$T25)-MAX(0,-INT(-(P$6-$S25)/$T25))+1),0)</f>
        <v>0.0</v>
      </c>
      <c r="Q25" s="97">
        <f>IF(ISNUMBER($S25),MAX(0,INT((Q$6+6-$S25)/$T25)-MAX(0,-INT(-(Q$6-$S25)/$T25))+1),0)</f>
        <v>0.0</v>
      </c>
      <c r="R25" s="97">
        <f>IF(ISNUMBER($S25),MAX(0,INT((R$6+6-$S25)/$T25)-MAX(0,-INT(-(R$6-$S25)/$T25))+1),0)</f>
        <v>0.0</v>
      </c>
      <c r="S25" t="str">
        <f>IF(ISNUMBER(INDEX(pl_period,16)),MAX(INDEX(pl_due,16),p_today),"")</f>
        <v/>
      </c>
      <c r="T25" t="str">
        <f>IF(ISNUMBER(INDEX(pl_period,16)),INDEX(pl_period,16),"")</f>
        <v/>
      </c>
      <c r="U25">
        <f>N(INDEX(pl_dur,16))</f>
        <v>0.0</v>
      </c>
    </row>
    <row r="26">
      <c r="A26" s="93" t="str">
        <f>IF(INDEX(pl_status,17)="","",INDEX(pl_num,17)&amp;"")</f>
        <v/>
      </c>
      <c r="B26" s="93" t="str">
        <f>IF(INDEX(pl_status,17)="","",INDEX(pl_eq,17)&amp;"")</f>
        <v/>
      </c>
      <c r="C26" s="93" t="str">
        <f>IF(INDEX(pl_status,17)="","",INDEX(pl_task,17)&amp;"")</f>
        <v/>
      </c>
      <c r="D26" s="94" t="str">
        <f>IF(ISNUMBER(INDEX(pl_due,17)),INDEX(pl_due,17),"")</f>
        <v/>
      </c>
      <c r="E26" s="95" t="str">
        <f>INDEX(pl_status,17)&amp;""</f>
        <v/>
      </c>
      <c r="F26" s="96" t="str">
        <f>IF(E26="En retard","●","")</f>
        <v/>
      </c>
      <c r="G26" s="97">
        <f>IF(ISNUMBER($S26),MAX(0,INT((G$6+6-$S26)/$T26)-MAX(0,-INT(-(G$6-$S26)/$T26))+1),0)</f>
        <v>0.0</v>
      </c>
      <c r="H26" s="97">
        <f>IF(ISNUMBER($S26),MAX(0,INT((H$6+6-$S26)/$T26)-MAX(0,-INT(-(H$6-$S26)/$T26))+1),0)</f>
        <v>0.0</v>
      </c>
      <c r="I26" s="97">
        <f>IF(ISNUMBER($S26),MAX(0,INT((I$6+6-$S26)/$T26)-MAX(0,-INT(-(I$6-$S26)/$T26))+1),0)</f>
        <v>0.0</v>
      </c>
      <c r="J26" s="97">
        <f>IF(ISNUMBER($S26),MAX(0,INT((J$6+6-$S26)/$T26)-MAX(0,-INT(-(J$6-$S26)/$T26))+1),0)</f>
        <v>0.0</v>
      </c>
      <c r="K26" s="97">
        <f>IF(ISNUMBER($S26),MAX(0,INT((K$6+6-$S26)/$T26)-MAX(0,-INT(-(K$6-$S26)/$T26))+1),0)</f>
        <v>0.0</v>
      </c>
      <c r="L26" s="97">
        <f>IF(ISNUMBER($S26),MAX(0,INT((L$6+6-$S26)/$T26)-MAX(0,-INT(-(L$6-$S26)/$T26))+1),0)</f>
        <v>0.0</v>
      </c>
      <c r="M26" s="97">
        <f>IF(ISNUMBER($S26),MAX(0,INT((M$6+6-$S26)/$T26)-MAX(0,-INT(-(M$6-$S26)/$T26))+1),0)</f>
        <v>0.0</v>
      </c>
      <c r="N26" s="97">
        <f>IF(ISNUMBER($S26),MAX(0,INT((N$6+6-$S26)/$T26)-MAX(0,-INT(-(N$6-$S26)/$T26))+1),0)</f>
        <v>0.0</v>
      </c>
      <c r="O26" s="97">
        <f>IF(ISNUMBER($S26),MAX(0,INT((O$6+6-$S26)/$T26)-MAX(0,-INT(-(O$6-$S26)/$T26))+1),0)</f>
        <v>0.0</v>
      </c>
      <c r="P26" s="97">
        <f>IF(ISNUMBER($S26),MAX(0,INT((P$6+6-$S26)/$T26)-MAX(0,-INT(-(P$6-$S26)/$T26))+1),0)</f>
        <v>0.0</v>
      </c>
      <c r="Q26" s="97">
        <f>IF(ISNUMBER($S26),MAX(0,INT((Q$6+6-$S26)/$T26)-MAX(0,-INT(-(Q$6-$S26)/$T26))+1),0)</f>
        <v>0.0</v>
      </c>
      <c r="R26" s="97">
        <f>IF(ISNUMBER($S26),MAX(0,INT((R$6+6-$S26)/$T26)-MAX(0,-INT(-(R$6-$S26)/$T26))+1),0)</f>
        <v>0.0</v>
      </c>
      <c r="S26" t="str">
        <f>IF(ISNUMBER(INDEX(pl_period,17)),MAX(INDEX(pl_due,17),p_today),"")</f>
        <v/>
      </c>
      <c r="T26" t="str">
        <f>IF(ISNUMBER(INDEX(pl_period,17)),INDEX(pl_period,17),"")</f>
        <v/>
      </c>
      <c r="U26">
        <f>N(INDEX(pl_dur,17))</f>
        <v>0.0</v>
      </c>
    </row>
    <row r="27">
      <c r="A27" s="93" t="str">
        <f>IF(INDEX(pl_status,18)="","",INDEX(pl_num,18)&amp;"")</f>
        <v/>
      </c>
      <c r="B27" s="93" t="str">
        <f>IF(INDEX(pl_status,18)="","",INDEX(pl_eq,18)&amp;"")</f>
        <v/>
      </c>
      <c r="C27" s="93" t="str">
        <f>IF(INDEX(pl_status,18)="","",INDEX(pl_task,18)&amp;"")</f>
        <v/>
      </c>
      <c r="D27" s="94" t="str">
        <f>IF(ISNUMBER(INDEX(pl_due,18)),INDEX(pl_due,18),"")</f>
        <v/>
      </c>
      <c r="E27" s="95" t="str">
        <f>INDEX(pl_status,18)&amp;""</f>
        <v/>
      </c>
      <c r="F27" s="96" t="str">
        <f>IF(E27="En retard","●","")</f>
        <v/>
      </c>
      <c r="G27" s="97">
        <f>IF(ISNUMBER($S27),MAX(0,INT((G$6+6-$S27)/$T27)-MAX(0,-INT(-(G$6-$S27)/$T27))+1),0)</f>
        <v>0.0</v>
      </c>
      <c r="H27" s="97">
        <f>IF(ISNUMBER($S27),MAX(0,INT((H$6+6-$S27)/$T27)-MAX(0,-INT(-(H$6-$S27)/$T27))+1),0)</f>
        <v>0.0</v>
      </c>
      <c r="I27" s="97">
        <f>IF(ISNUMBER($S27),MAX(0,INT((I$6+6-$S27)/$T27)-MAX(0,-INT(-(I$6-$S27)/$T27))+1),0)</f>
        <v>0.0</v>
      </c>
      <c r="J27" s="97">
        <f>IF(ISNUMBER($S27),MAX(0,INT((J$6+6-$S27)/$T27)-MAX(0,-INT(-(J$6-$S27)/$T27))+1),0)</f>
        <v>0.0</v>
      </c>
      <c r="K27" s="97">
        <f>IF(ISNUMBER($S27),MAX(0,INT((K$6+6-$S27)/$T27)-MAX(0,-INT(-(K$6-$S27)/$T27))+1),0)</f>
        <v>0.0</v>
      </c>
      <c r="L27" s="97">
        <f>IF(ISNUMBER($S27),MAX(0,INT((L$6+6-$S27)/$T27)-MAX(0,-INT(-(L$6-$S27)/$T27))+1),0)</f>
        <v>0.0</v>
      </c>
      <c r="M27" s="97">
        <f>IF(ISNUMBER($S27),MAX(0,INT((M$6+6-$S27)/$T27)-MAX(0,-INT(-(M$6-$S27)/$T27))+1),0)</f>
        <v>0.0</v>
      </c>
      <c r="N27" s="97">
        <f>IF(ISNUMBER($S27),MAX(0,INT((N$6+6-$S27)/$T27)-MAX(0,-INT(-(N$6-$S27)/$T27))+1),0)</f>
        <v>0.0</v>
      </c>
      <c r="O27" s="97">
        <f>IF(ISNUMBER($S27),MAX(0,INT((O$6+6-$S27)/$T27)-MAX(0,-INT(-(O$6-$S27)/$T27))+1),0)</f>
        <v>0.0</v>
      </c>
      <c r="P27" s="97">
        <f>IF(ISNUMBER($S27),MAX(0,INT((P$6+6-$S27)/$T27)-MAX(0,-INT(-(P$6-$S27)/$T27))+1),0)</f>
        <v>0.0</v>
      </c>
      <c r="Q27" s="97">
        <f>IF(ISNUMBER($S27),MAX(0,INT((Q$6+6-$S27)/$T27)-MAX(0,-INT(-(Q$6-$S27)/$T27))+1),0)</f>
        <v>0.0</v>
      </c>
      <c r="R27" s="97">
        <f>IF(ISNUMBER($S27),MAX(0,INT((R$6+6-$S27)/$T27)-MAX(0,-INT(-(R$6-$S27)/$T27))+1),0)</f>
        <v>0.0</v>
      </c>
      <c r="S27" t="str">
        <f>IF(ISNUMBER(INDEX(pl_period,18)),MAX(INDEX(pl_due,18),p_today),"")</f>
        <v/>
      </c>
      <c r="T27" t="str">
        <f>IF(ISNUMBER(INDEX(pl_period,18)),INDEX(pl_period,18),"")</f>
        <v/>
      </c>
      <c r="U27">
        <f>N(INDEX(pl_dur,18))</f>
        <v>0.0</v>
      </c>
    </row>
    <row r="28">
      <c r="A28" s="93" t="str">
        <f>IF(INDEX(pl_status,19)="","",INDEX(pl_num,19)&amp;"")</f>
        <v/>
      </c>
      <c r="B28" s="93" t="str">
        <f>IF(INDEX(pl_status,19)="","",INDEX(pl_eq,19)&amp;"")</f>
        <v/>
      </c>
      <c r="C28" s="93" t="str">
        <f>IF(INDEX(pl_status,19)="","",INDEX(pl_task,19)&amp;"")</f>
        <v/>
      </c>
      <c r="D28" s="94" t="str">
        <f>IF(ISNUMBER(INDEX(pl_due,19)),INDEX(pl_due,19),"")</f>
        <v/>
      </c>
      <c r="E28" s="95" t="str">
        <f>INDEX(pl_status,19)&amp;""</f>
        <v/>
      </c>
      <c r="F28" s="96" t="str">
        <f>IF(E28="En retard","●","")</f>
        <v/>
      </c>
      <c r="G28" s="97">
        <f>IF(ISNUMBER($S28),MAX(0,INT((G$6+6-$S28)/$T28)-MAX(0,-INT(-(G$6-$S28)/$T28))+1),0)</f>
        <v>0.0</v>
      </c>
      <c r="H28" s="97">
        <f>IF(ISNUMBER($S28),MAX(0,INT((H$6+6-$S28)/$T28)-MAX(0,-INT(-(H$6-$S28)/$T28))+1),0)</f>
        <v>0.0</v>
      </c>
      <c r="I28" s="97">
        <f>IF(ISNUMBER($S28),MAX(0,INT((I$6+6-$S28)/$T28)-MAX(0,-INT(-(I$6-$S28)/$T28))+1),0)</f>
        <v>0.0</v>
      </c>
      <c r="J28" s="97">
        <f>IF(ISNUMBER($S28),MAX(0,INT((J$6+6-$S28)/$T28)-MAX(0,-INT(-(J$6-$S28)/$T28))+1),0)</f>
        <v>0.0</v>
      </c>
      <c r="K28" s="97">
        <f>IF(ISNUMBER($S28),MAX(0,INT((K$6+6-$S28)/$T28)-MAX(0,-INT(-(K$6-$S28)/$T28))+1),0)</f>
        <v>0.0</v>
      </c>
      <c r="L28" s="97">
        <f>IF(ISNUMBER($S28),MAX(0,INT((L$6+6-$S28)/$T28)-MAX(0,-INT(-(L$6-$S28)/$T28))+1),0)</f>
        <v>0.0</v>
      </c>
      <c r="M28" s="97">
        <f>IF(ISNUMBER($S28),MAX(0,INT((M$6+6-$S28)/$T28)-MAX(0,-INT(-(M$6-$S28)/$T28))+1),0)</f>
        <v>0.0</v>
      </c>
      <c r="N28" s="97">
        <f>IF(ISNUMBER($S28),MAX(0,INT((N$6+6-$S28)/$T28)-MAX(0,-INT(-(N$6-$S28)/$T28))+1),0)</f>
        <v>0.0</v>
      </c>
      <c r="O28" s="97">
        <f>IF(ISNUMBER($S28),MAX(0,INT((O$6+6-$S28)/$T28)-MAX(0,-INT(-(O$6-$S28)/$T28))+1),0)</f>
        <v>0.0</v>
      </c>
      <c r="P28" s="97">
        <f>IF(ISNUMBER($S28),MAX(0,INT((P$6+6-$S28)/$T28)-MAX(0,-INT(-(P$6-$S28)/$T28))+1),0)</f>
        <v>0.0</v>
      </c>
      <c r="Q28" s="97">
        <f>IF(ISNUMBER($S28),MAX(0,INT((Q$6+6-$S28)/$T28)-MAX(0,-INT(-(Q$6-$S28)/$T28))+1),0)</f>
        <v>0.0</v>
      </c>
      <c r="R28" s="97">
        <f>IF(ISNUMBER($S28),MAX(0,INT((R$6+6-$S28)/$T28)-MAX(0,-INT(-(R$6-$S28)/$T28))+1),0)</f>
        <v>0.0</v>
      </c>
      <c r="S28" t="str">
        <f>IF(ISNUMBER(INDEX(pl_period,19)),MAX(INDEX(pl_due,19),p_today),"")</f>
        <v/>
      </c>
      <c r="T28" t="str">
        <f>IF(ISNUMBER(INDEX(pl_period,19)),INDEX(pl_period,19),"")</f>
        <v/>
      </c>
      <c r="U28">
        <f>N(INDEX(pl_dur,19))</f>
        <v>0.0</v>
      </c>
    </row>
    <row r="29">
      <c r="A29" s="93" t="str">
        <f>IF(INDEX(pl_status,20)="","",INDEX(pl_num,20)&amp;"")</f>
        <v/>
      </c>
      <c r="B29" s="93" t="str">
        <f>IF(INDEX(pl_status,20)="","",INDEX(pl_eq,20)&amp;"")</f>
        <v/>
      </c>
      <c r="C29" s="93" t="str">
        <f>IF(INDEX(pl_status,20)="","",INDEX(pl_task,20)&amp;"")</f>
        <v/>
      </c>
      <c r="D29" s="94" t="str">
        <f>IF(ISNUMBER(INDEX(pl_due,20)),INDEX(pl_due,20),"")</f>
        <v/>
      </c>
      <c r="E29" s="95" t="str">
        <f>INDEX(pl_status,20)&amp;""</f>
        <v/>
      </c>
      <c r="F29" s="96" t="str">
        <f>IF(E29="En retard","●","")</f>
        <v/>
      </c>
      <c r="G29" s="97">
        <f>IF(ISNUMBER($S29),MAX(0,INT((G$6+6-$S29)/$T29)-MAX(0,-INT(-(G$6-$S29)/$T29))+1),0)</f>
        <v>0.0</v>
      </c>
      <c r="H29" s="97">
        <f>IF(ISNUMBER($S29),MAX(0,INT((H$6+6-$S29)/$T29)-MAX(0,-INT(-(H$6-$S29)/$T29))+1),0)</f>
        <v>0.0</v>
      </c>
      <c r="I29" s="97">
        <f>IF(ISNUMBER($S29),MAX(0,INT((I$6+6-$S29)/$T29)-MAX(0,-INT(-(I$6-$S29)/$T29))+1),0)</f>
        <v>0.0</v>
      </c>
      <c r="J29" s="97">
        <f>IF(ISNUMBER($S29),MAX(0,INT((J$6+6-$S29)/$T29)-MAX(0,-INT(-(J$6-$S29)/$T29))+1),0)</f>
        <v>0.0</v>
      </c>
      <c r="K29" s="97">
        <f>IF(ISNUMBER($S29),MAX(0,INT((K$6+6-$S29)/$T29)-MAX(0,-INT(-(K$6-$S29)/$T29))+1),0)</f>
        <v>0.0</v>
      </c>
      <c r="L29" s="97">
        <f>IF(ISNUMBER($S29),MAX(0,INT((L$6+6-$S29)/$T29)-MAX(0,-INT(-(L$6-$S29)/$T29))+1),0)</f>
        <v>0.0</v>
      </c>
      <c r="M29" s="97">
        <f>IF(ISNUMBER($S29),MAX(0,INT((M$6+6-$S29)/$T29)-MAX(0,-INT(-(M$6-$S29)/$T29))+1),0)</f>
        <v>0.0</v>
      </c>
      <c r="N29" s="97">
        <f>IF(ISNUMBER($S29),MAX(0,INT((N$6+6-$S29)/$T29)-MAX(0,-INT(-(N$6-$S29)/$T29))+1),0)</f>
        <v>0.0</v>
      </c>
      <c r="O29" s="97">
        <f>IF(ISNUMBER($S29),MAX(0,INT((O$6+6-$S29)/$T29)-MAX(0,-INT(-(O$6-$S29)/$T29))+1),0)</f>
        <v>0.0</v>
      </c>
      <c r="P29" s="97">
        <f>IF(ISNUMBER($S29),MAX(0,INT((P$6+6-$S29)/$T29)-MAX(0,-INT(-(P$6-$S29)/$T29))+1),0)</f>
        <v>0.0</v>
      </c>
      <c r="Q29" s="97">
        <f>IF(ISNUMBER($S29),MAX(0,INT((Q$6+6-$S29)/$T29)-MAX(0,-INT(-(Q$6-$S29)/$T29))+1),0)</f>
        <v>0.0</v>
      </c>
      <c r="R29" s="97">
        <f>IF(ISNUMBER($S29),MAX(0,INT((R$6+6-$S29)/$T29)-MAX(0,-INT(-(R$6-$S29)/$T29))+1),0)</f>
        <v>0.0</v>
      </c>
      <c r="S29" t="str">
        <f>IF(ISNUMBER(INDEX(pl_period,20)),MAX(INDEX(pl_due,20),p_today),"")</f>
        <v/>
      </c>
      <c r="T29" t="str">
        <f>IF(ISNUMBER(INDEX(pl_period,20)),INDEX(pl_period,20),"")</f>
        <v/>
      </c>
      <c r="U29">
        <f>N(INDEX(pl_dur,20))</f>
        <v>0.0</v>
      </c>
    </row>
    <row r="30">
      <c r="A30" s="93" t="str">
        <f>IF(INDEX(pl_status,21)="","",INDEX(pl_num,21)&amp;"")</f>
        <v/>
      </c>
      <c r="B30" s="93" t="str">
        <f>IF(INDEX(pl_status,21)="","",INDEX(pl_eq,21)&amp;"")</f>
        <v/>
      </c>
      <c r="C30" s="93" t="str">
        <f>IF(INDEX(pl_status,21)="","",INDEX(pl_task,21)&amp;"")</f>
        <v/>
      </c>
      <c r="D30" s="94" t="str">
        <f>IF(ISNUMBER(INDEX(pl_due,21)),INDEX(pl_due,21),"")</f>
        <v/>
      </c>
      <c r="E30" s="95" t="str">
        <f>INDEX(pl_status,21)&amp;""</f>
        <v/>
      </c>
      <c r="F30" s="96" t="str">
        <f>IF(E30="En retard","●","")</f>
        <v/>
      </c>
      <c r="G30" s="97">
        <f>IF(ISNUMBER($S30),MAX(0,INT((G$6+6-$S30)/$T30)-MAX(0,-INT(-(G$6-$S30)/$T30))+1),0)</f>
        <v>0.0</v>
      </c>
      <c r="H30" s="97">
        <f>IF(ISNUMBER($S30),MAX(0,INT((H$6+6-$S30)/$T30)-MAX(0,-INT(-(H$6-$S30)/$T30))+1),0)</f>
        <v>0.0</v>
      </c>
      <c r="I30" s="97">
        <f>IF(ISNUMBER($S30),MAX(0,INT((I$6+6-$S30)/$T30)-MAX(0,-INT(-(I$6-$S30)/$T30))+1),0)</f>
        <v>0.0</v>
      </c>
      <c r="J30" s="97">
        <f>IF(ISNUMBER($S30),MAX(0,INT((J$6+6-$S30)/$T30)-MAX(0,-INT(-(J$6-$S30)/$T30))+1),0)</f>
        <v>0.0</v>
      </c>
      <c r="K30" s="97">
        <f>IF(ISNUMBER($S30),MAX(0,INT((K$6+6-$S30)/$T30)-MAX(0,-INT(-(K$6-$S30)/$T30))+1),0)</f>
        <v>0.0</v>
      </c>
      <c r="L30" s="97">
        <f>IF(ISNUMBER($S30),MAX(0,INT((L$6+6-$S30)/$T30)-MAX(0,-INT(-(L$6-$S30)/$T30))+1),0)</f>
        <v>0.0</v>
      </c>
      <c r="M30" s="97">
        <f>IF(ISNUMBER($S30),MAX(0,INT((M$6+6-$S30)/$T30)-MAX(0,-INT(-(M$6-$S30)/$T30))+1),0)</f>
        <v>0.0</v>
      </c>
      <c r="N30" s="97">
        <f>IF(ISNUMBER($S30),MAX(0,INT((N$6+6-$S30)/$T30)-MAX(0,-INT(-(N$6-$S30)/$T30))+1),0)</f>
        <v>0.0</v>
      </c>
      <c r="O30" s="97">
        <f>IF(ISNUMBER($S30),MAX(0,INT((O$6+6-$S30)/$T30)-MAX(0,-INT(-(O$6-$S30)/$T30))+1),0)</f>
        <v>0.0</v>
      </c>
      <c r="P30" s="97">
        <f>IF(ISNUMBER($S30),MAX(0,INT((P$6+6-$S30)/$T30)-MAX(0,-INT(-(P$6-$S30)/$T30))+1),0)</f>
        <v>0.0</v>
      </c>
      <c r="Q30" s="97">
        <f>IF(ISNUMBER($S30),MAX(0,INT((Q$6+6-$S30)/$T30)-MAX(0,-INT(-(Q$6-$S30)/$T30))+1),0)</f>
        <v>0.0</v>
      </c>
      <c r="R30" s="97">
        <f>IF(ISNUMBER($S30),MAX(0,INT((R$6+6-$S30)/$T30)-MAX(0,-INT(-(R$6-$S30)/$T30))+1),0)</f>
        <v>0.0</v>
      </c>
      <c r="S30" t="str">
        <f>IF(ISNUMBER(INDEX(pl_period,21)),MAX(INDEX(pl_due,21),p_today),"")</f>
        <v/>
      </c>
      <c r="T30" t="str">
        <f>IF(ISNUMBER(INDEX(pl_period,21)),INDEX(pl_period,21),"")</f>
        <v/>
      </c>
      <c r="U30">
        <f>N(INDEX(pl_dur,21))</f>
        <v>0.0</v>
      </c>
    </row>
    <row r="31">
      <c r="A31" s="93" t="str">
        <f>IF(INDEX(pl_status,22)="","",INDEX(pl_num,22)&amp;"")</f>
        <v/>
      </c>
      <c r="B31" s="93" t="str">
        <f>IF(INDEX(pl_status,22)="","",INDEX(pl_eq,22)&amp;"")</f>
        <v/>
      </c>
      <c r="C31" s="93" t="str">
        <f>IF(INDEX(pl_status,22)="","",INDEX(pl_task,22)&amp;"")</f>
        <v/>
      </c>
      <c r="D31" s="94" t="str">
        <f>IF(ISNUMBER(INDEX(pl_due,22)),INDEX(pl_due,22),"")</f>
        <v/>
      </c>
      <c r="E31" s="95" t="str">
        <f>INDEX(pl_status,22)&amp;""</f>
        <v/>
      </c>
      <c r="F31" s="96" t="str">
        <f>IF(E31="En retard","●","")</f>
        <v/>
      </c>
      <c r="G31" s="97">
        <f>IF(ISNUMBER($S31),MAX(0,INT((G$6+6-$S31)/$T31)-MAX(0,-INT(-(G$6-$S31)/$T31))+1),0)</f>
        <v>0.0</v>
      </c>
      <c r="H31" s="97">
        <f>IF(ISNUMBER($S31),MAX(0,INT((H$6+6-$S31)/$T31)-MAX(0,-INT(-(H$6-$S31)/$T31))+1),0)</f>
        <v>0.0</v>
      </c>
      <c r="I31" s="97">
        <f>IF(ISNUMBER($S31),MAX(0,INT((I$6+6-$S31)/$T31)-MAX(0,-INT(-(I$6-$S31)/$T31))+1),0)</f>
        <v>0.0</v>
      </c>
      <c r="J31" s="97">
        <f>IF(ISNUMBER($S31),MAX(0,INT((J$6+6-$S31)/$T31)-MAX(0,-INT(-(J$6-$S31)/$T31))+1),0)</f>
        <v>0.0</v>
      </c>
      <c r="K31" s="97">
        <f>IF(ISNUMBER($S31),MAX(0,INT((K$6+6-$S31)/$T31)-MAX(0,-INT(-(K$6-$S31)/$T31))+1),0)</f>
        <v>0.0</v>
      </c>
      <c r="L31" s="97">
        <f>IF(ISNUMBER($S31),MAX(0,INT((L$6+6-$S31)/$T31)-MAX(0,-INT(-(L$6-$S31)/$T31))+1),0)</f>
        <v>0.0</v>
      </c>
      <c r="M31" s="97">
        <f>IF(ISNUMBER($S31),MAX(0,INT((M$6+6-$S31)/$T31)-MAX(0,-INT(-(M$6-$S31)/$T31))+1),0)</f>
        <v>0.0</v>
      </c>
      <c r="N31" s="97">
        <f>IF(ISNUMBER($S31),MAX(0,INT((N$6+6-$S31)/$T31)-MAX(0,-INT(-(N$6-$S31)/$T31))+1),0)</f>
        <v>0.0</v>
      </c>
      <c r="O31" s="97">
        <f>IF(ISNUMBER($S31),MAX(0,INT((O$6+6-$S31)/$T31)-MAX(0,-INT(-(O$6-$S31)/$T31))+1),0)</f>
        <v>0.0</v>
      </c>
      <c r="P31" s="97">
        <f>IF(ISNUMBER($S31),MAX(0,INT((P$6+6-$S31)/$T31)-MAX(0,-INT(-(P$6-$S31)/$T31))+1),0)</f>
        <v>0.0</v>
      </c>
      <c r="Q31" s="97">
        <f>IF(ISNUMBER($S31),MAX(0,INT((Q$6+6-$S31)/$T31)-MAX(0,-INT(-(Q$6-$S31)/$T31))+1),0)</f>
        <v>0.0</v>
      </c>
      <c r="R31" s="97">
        <f>IF(ISNUMBER($S31),MAX(0,INT((R$6+6-$S31)/$T31)-MAX(0,-INT(-(R$6-$S31)/$T31))+1),0)</f>
        <v>0.0</v>
      </c>
      <c r="S31" t="str">
        <f>IF(ISNUMBER(INDEX(pl_period,22)),MAX(INDEX(pl_due,22),p_today),"")</f>
        <v/>
      </c>
      <c r="T31" t="str">
        <f>IF(ISNUMBER(INDEX(pl_period,22)),INDEX(pl_period,22),"")</f>
        <v/>
      </c>
      <c r="U31">
        <f>N(INDEX(pl_dur,22))</f>
        <v>0.0</v>
      </c>
    </row>
    <row r="32">
      <c r="A32" s="93" t="str">
        <f>IF(INDEX(pl_status,23)="","",INDEX(pl_num,23)&amp;"")</f>
        <v/>
      </c>
      <c r="B32" s="93" t="str">
        <f>IF(INDEX(pl_status,23)="","",INDEX(pl_eq,23)&amp;"")</f>
        <v/>
      </c>
      <c r="C32" s="93" t="str">
        <f>IF(INDEX(pl_status,23)="","",INDEX(pl_task,23)&amp;"")</f>
        <v/>
      </c>
      <c r="D32" s="94" t="str">
        <f>IF(ISNUMBER(INDEX(pl_due,23)),INDEX(pl_due,23),"")</f>
        <v/>
      </c>
      <c r="E32" s="95" t="str">
        <f>INDEX(pl_status,23)&amp;""</f>
        <v/>
      </c>
      <c r="F32" s="96" t="str">
        <f>IF(E32="En retard","●","")</f>
        <v/>
      </c>
      <c r="G32" s="97">
        <f>IF(ISNUMBER($S32),MAX(0,INT((G$6+6-$S32)/$T32)-MAX(0,-INT(-(G$6-$S32)/$T32))+1),0)</f>
        <v>0.0</v>
      </c>
      <c r="H32" s="97">
        <f>IF(ISNUMBER($S32),MAX(0,INT((H$6+6-$S32)/$T32)-MAX(0,-INT(-(H$6-$S32)/$T32))+1),0)</f>
        <v>0.0</v>
      </c>
      <c r="I32" s="97">
        <f>IF(ISNUMBER($S32),MAX(0,INT((I$6+6-$S32)/$T32)-MAX(0,-INT(-(I$6-$S32)/$T32))+1),0)</f>
        <v>0.0</v>
      </c>
      <c r="J32" s="97">
        <f>IF(ISNUMBER($S32),MAX(0,INT((J$6+6-$S32)/$T32)-MAX(0,-INT(-(J$6-$S32)/$T32))+1),0)</f>
        <v>0.0</v>
      </c>
      <c r="K32" s="97">
        <f>IF(ISNUMBER($S32),MAX(0,INT((K$6+6-$S32)/$T32)-MAX(0,-INT(-(K$6-$S32)/$T32))+1),0)</f>
        <v>0.0</v>
      </c>
      <c r="L32" s="97">
        <f>IF(ISNUMBER($S32),MAX(0,INT((L$6+6-$S32)/$T32)-MAX(0,-INT(-(L$6-$S32)/$T32))+1),0)</f>
        <v>0.0</v>
      </c>
      <c r="M32" s="97">
        <f>IF(ISNUMBER($S32),MAX(0,INT((M$6+6-$S32)/$T32)-MAX(0,-INT(-(M$6-$S32)/$T32))+1),0)</f>
        <v>0.0</v>
      </c>
      <c r="N32" s="97">
        <f>IF(ISNUMBER($S32),MAX(0,INT((N$6+6-$S32)/$T32)-MAX(0,-INT(-(N$6-$S32)/$T32))+1),0)</f>
        <v>0.0</v>
      </c>
      <c r="O32" s="97">
        <f>IF(ISNUMBER($S32),MAX(0,INT((O$6+6-$S32)/$T32)-MAX(0,-INT(-(O$6-$S32)/$T32))+1),0)</f>
        <v>0.0</v>
      </c>
      <c r="P32" s="97">
        <f>IF(ISNUMBER($S32),MAX(0,INT((P$6+6-$S32)/$T32)-MAX(0,-INT(-(P$6-$S32)/$T32))+1),0)</f>
        <v>0.0</v>
      </c>
      <c r="Q32" s="97">
        <f>IF(ISNUMBER($S32),MAX(0,INT((Q$6+6-$S32)/$T32)-MAX(0,-INT(-(Q$6-$S32)/$T32))+1),0)</f>
        <v>0.0</v>
      </c>
      <c r="R32" s="97">
        <f>IF(ISNUMBER($S32),MAX(0,INT((R$6+6-$S32)/$T32)-MAX(0,-INT(-(R$6-$S32)/$T32))+1),0)</f>
        <v>0.0</v>
      </c>
      <c r="S32" t="str">
        <f>IF(ISNUMBER(INDEX(pl_period,23)),MAX(INDEX(pl_due,23),p_today),"")</f>
        <v/>
      </c>
      <c r="T32" t="str">
        <f>IF(ISNUMBER(INDEX(pl_period,23)),INDEX(pl_period,23),"")</f>
        <v/>
      </c>
      <c r="U32">
        <f>N(INDEX(pl_dur,23))</f>
        <v>0.0</v>
      </c>
    </row>
    <row r="33">
      <c r="A33" s="93" t="str">
        <f>IF(INDEX(pl_status,24)="","",INDEX(pl_num,24)&amp;"")</f>
        <v/>
      </c>
      <c r="B33" s="93" t="str">
        <f>IF(INDEX(pl_status,24)="","",INDEX(pl_eq,24)&amp;"")</f>
        <v/>
      </c>
      <c r="C33" s="93" t="str">
        <f>IF(INDEX(pl_status,24)="","",INDEX(pl_task,24)&amp;"")</f>
        <v/>
      </c>
      <c r="D33" s="94" t="str">
        <f>IF(ISNUMBER(INDEX(pl_due,24)),INDEX(pl_due,24),"")</f>
        <v/>
      </c>
      <c r="E33" s="95" t="str">
        <f>INDEX(pl_status,24)&amp;""</f>
        <v/>
      </c>
      <c r="F33" s="96" t="str">
        <f>IF(E33="En retard","●","")</f>
        <v/>
      </c>
      <c r="G33" s="97">
        <f>IF(ISNUMBER($S33),MAX(0,INT((G$6+6-$S33)/$T33)-MAX(0,-INT(-(G$6-$S33)/$T33))+1),0)</f>
        <v>0.0</v>
      </c>
      <c r="H33" s="97">
        <f>IF(ISNUMBER($S33),MAX(0,INT((H$6+6-$S33)/$T33)-MAX(0,-INT(-(H$6-$S33)/$T33))+1),0)</f>
        <v>0.0</v>
      </c>
      <c r="I33" s="97">
        <f>IF(ISNUMBER($S33),MAX(0,INT((I$6+6-$S33)/$T33)-MAX(0,-INT(-(I$6-$S33)/$T33))+1),0)</f>
        <v>0.0</v>
      </c>
      <c r="J33" s="97">
        <f>IF(ISNUMBER($S33),MAX(0,INT((J$6+6-$S33)/$T33)-MAX(0,-INT(-(J$6-$S33)/$T33))+1),0)</f>
        <v>0.0</v>
      </c>
      <c r="K33" s="97">
        <f>IF(ISNUMBER($S33),MAX(0,INT((K$6+6-$S33)/$T33)-MAX(0,-INT(-(K$6-$S33)/$T33))+1),0)</f>
        <v>0.0</v>
      </c>
      <c r="L33" s="97">
        <f>IF(ISNUMBER($S33),MAX(0,INT((L$6+6-$S33)/$T33)-MAX(0,-INT(-(L$6-$S33)/$T33))+1),0)</f>
        <v>0.0</v>
      </c>
      <c r="M33" s="97">
        <f>IF(ISNUMBER($S33),MAX(0,INT((M$6+6-$S33)/$T33)-MAX(0,-INT(-(M$6-$S33)/$T33))+1),0)</f>
        <v>0.0</v>
      </c>
      <c r="N33" s="97">
        <f>IF(ISNUMBER($S33),MAX(0,INT((N$6+6-$S33)/$T33)-MAX(0,-INT(-(N$6-$S33)/$T33))+1),0)</f>
        <v>0.0</v>
      </c>
      <c r="O33" s="97">
        <f>IF(ISNUMBER($S33),MAX(0,INT((O$6+6-$S33)/$T33)-MAX(0,-INT(-(O$6-$S33)/$T33))+1),0)</f>
        <v>0.0</v>
      </c>
      <c r="P33" s="97">
        <f>IF(ISNUMBER($S33),MAX(0,INT((P$6+6-$S33)/$T33)-MAX(0,-INT(-(P$6-$S33)/$T33))+1),0)</f>
        <v>0.0</v>
      </c>
      <c r="Q33" s="97">
        <f>IF(ISNUMBER($S33),MAX(0,INT((Q$6+6-$S33)/$T33)-MAX(0,-INT(-(Q$6-$S33)/$T33))+1),0)</f>
        <v>0.0</v>
      </c>
      <c r="R33" s="97">
        <f>IF(ISNUMBER($S33),MAX(0,INT((R$6+6-$S33)/$T33)-MAX(0,-INT(-(R$6-$S33)/$T33))+1),0)</f>
        <v>0.0</v>
      </c>
      <c r="S33" t="str">
        <f>IF(ISNUMBER(INDEX(pl_period,24)),MAX(INDEX(pl_due,24),p_today),"")</f>
        <v/>
      </c>
      <c r="T33" t="str">
        <f>IF(ISNUMBER(INDEX(pl_period,24)),INDEX(pl_period,24),"")</f>
        <v/>
      </c>
      <c r="U33">
        <f>N(INDEX(pl_dur,24))</f>
        <v>0.0</v>
      </c>
    </row>
    <row r="34">
      <c r="A34" s="93" t="str">
        <f>IF(INDEX(pl_status,25)="","",INDEX(pl_num,25)&amp;"")</f>
        <v/>
      </c>
      <c r="B34" s="93" t="str">
        <f>IF(INDEX(pl_status,25)="","",INDEX(pl_eq,25)&amp;"")</f>
        <v/>
      </c>
      <c r="C34" s="93" t="str">
        <f>IF(INDEX(pl_status,25)="","",INDEX(pl_task,25)&amp;"")</f>
        <v/>
      </c>
      <c r="D34" s="94" t="str">
        <f>IF(ISNUMBER(INDEX(pl_due,25)),INDEX(pl_due,25),"")</f>
        <v/>
      </c>
      <c r="E34" s="95" t="str">
        <f>INDEX(pl_status,25)&amp;""</f>
        <v/>
      </c>
      <c r="F34" s="96" t="str">
        <f>IF(E34="En retard","●","")</f>
        <v/>
      </c>
      <c r="G34" s="97">
        <f>IF(ISNUMBER($S34),MAX(0,INT((G$6+6-$S34)/$T34)-MAX(0,-INT(-(G$6-$S34)/$T34))+1),0)</f>
        <v>0.0</v>
      </c>
      <c r="H34" s="97">
        <f>IF(ISNUMBER($S34),MAX(0,INT((H$6+6-$S34)/$T34)-MAX(0,-INT(-(H$6-$S34)/$T34))+1),0)</f>
        <v>0.0</v>
      </c>
      <c r="I34" s="97">
        <f>IF(ISNUMBER($S34),MAX(0,INT((I$6+6-$S34)/$T34)-MAX(0,-INT(-(I$6-$S34)/$T34))+1),0)</f>
        <v>0.0</v>
      </c>
      <c r="J34" s="97">
        <f>IF(ISNUMBER($S34),MAX(0,INT((J$6+6-$S34)/$T34)-MAX(0,-INT(-(J$6-$S34)/$T34))+1),0)</f>
        <v>0.0</v>
      </c>
      <c r="K34" s="97">
        <f>IF(ISNUMBER($S34),MAX(0,INT((K$6+6-$S34)/$T34)-MAX(0,-INT(-(K$6-$S34)/$T34))+1),0)</f>
        <v>0.0</v>
      </c>
      <c r="L34" s="97">
        <f>IF(ISNUMBER($S34),MAX(0,INT((L$6+6-$S34)/$T34)-MAX(0,-INT(-(L$6-$S34)/$T34))+1),0)</f>
        <v>0.0</v>
      </c>
      <c r="M34" s="97">
        <f>IF(ISNUMBER($S34),MAX(0,INT((M$6+6-$S34)/$T34)-MAX(0,-INT(-(M$6-$S34)/$T34))+1),0)</f>
        <v>0.0</v>
      </c>
      <c r="N34" s="97">
        <f>IF(ISNUMBER($S34),MAX(0,INT((N$6+6-$S34)/$T34)-MAX(0,-INT(-(N$6-$S34)/$T34))+1),0)</f>
        <v>0.0</v>
      </c>
      <c r="O34" s="97">
        <f>IF(ISNUMBER($S34),MAX(0,INT((O$6+6-$S34)/$T34)-MAX(0,-INT(-(O$6-$S34)/$T34))+1),0)</f>
        <v>0.0</v>
      </c>
      <c r="P34" s="97">
        <f>IF(ISNUMBER($S34),MAX(0,INT((P$6+6-$S34)/$T34)-MAX(0,-INT(-(P$6-$S34)/$T34))+1),0)</f>
        <v>0.0</v>
      </c>
      <c r="Q34" s="97">
        <f>IF(ISNUMBER($S34),MAX(0,INT((Q$6+6-$S34)/$T34)-MAX(0,-INT(-(Q$6-$S34)/$T34))+1),0)</f>
        <v>0.0</v>
      </c>
      <c r="R34" s="97">
        <f>IF(ISNUMBER($S34),MAX(0,INT((R$6+6-$S34)/$T34)-MAX(0,-INT(-(R$6-$S34)/$T34))+1),0)</f>
        <v>0.0</v>
      </c>
      <c r="S34" t="str">
        <f>IF(ISNUMBER(INDEX(pl_period,25)),MAX(INDEX(pl_due,25),p_today),"")</f>
        <v/>
      </c>
      <c r="T34" t="str">
        <f>IF(ISNUMBER(INDEX(pl_period,25)),INDEX(pl_period,25),"")</f>
        <v/>
      </c>
      <c r="U34">
        <f>N(INDEX(pl_dur,25))</f>
        <v>0.0</v>
      </c>
    </row>
    <row r="35">
      <c r="A35" s="93" t="str">
        <f>IF(INDEX(pl_status,26)="","",INDEX(pl_num,26)&amp;"")</f>
        <v/>
      </c>
      <c r="B35" s="93" t="str">
        <f>IF(INDEX(pl_status,26)="","",INDEX(pl_eq,26)&amp;"")</f>
        <v/>
      </c>
      <c r="C35" s="93" t="str">
        <f>IF(INDEX(pl_status,26)="","",INDEX(pl_task,26)&amp;"")</f>
        <v/>
      </c>
      <c r="D35" s="94" t="str">
        <f>IF(ISNUMBER(INDEX(pl_due,26)),INDEX(pl_due,26),"")</f>
        <v/>
      </c>
      <c r="E35" s="95" t="str">
        <f>INDEX(pl_status,26)&amp;""</f>
        <v/>
      </c>
      <c r="F35" s="96" t="str">
        <f>IF(E35="En retard","●","")</f>
        <v/>
      </c>
      <c r="G35" s="97">
        <f>IF(ISNUMBER($S35),MAX(0,INT((G$6+6-$S35)/$T35)-MAX(0,-INT(-(G$6-$S35)/$T35))+1),0)</f>
        <v>0.0</v>
      </c>
      <c r="H35" s="97">
        <f>IF(ISNUMBER($S35),MAX(0,INT((H$6+6-$S35)/$T35)-MAX(0,-INT(-(H$6-$S35)/$T35))+1),0)</f>
        <v>0.0</v>
      </c>
      <c r="I35" s="97">
        <f>IF(ISNUMBER($S35),MAX(0,INT((I$6+6-$S35)/$T35)-MAX(0,-INT(-(I$6-$S35)/$T35))+1),0)</f>
        <v>0.0</v>
      </c>
      <c r="J35" s="97">
        <f>IF(ISNUMBER($S35),MAX(0,INT((J$6+6-$S35)/$T35)-MAX(0,-INT(-(J$6-$S35)/$T35))+1),0)</f>
        <v>0.0</v>
      </c>
      <c r="K35" s="97">
        <f>IF(ISNUMBER($S35),MAX(0,INT((K$6+6-$S35)/$T35)-MAX(0,-INT(-(K$6-$S35)/$T35))+1),0)</f>
        <v>0.0</v>
      </c>
      <c r="L35" s="97">
        <f>IF(ISNUMBER($S35),MAX(0,INT((L$6+6-$S35)/$T35)-MAX(0,-INT(-(L$6-$S35)/$T35))+1),0)</f>
        <v>0.0</v>
      </c>
      <c r="M35" s="97">
        <f>IF(ISNUMBER($S35),MAX(0,INT((M$6+6-$S35)/$T35)-MAX(0,-INT(-(M$6-$S35)/$T35))+1),0)</f>
        <v>0.0</v>
      </c>
      <c r="N35" s="97">
        <f>IF(ISNUMBER($S35),MAX(0,INT((N$6+6-$S35)/$T35)-MAX(0,-INT(-(N$6-$S35)/$T35))+1),0)</f>
        <v>0.0</v>
      </c>
      <c r="O35" s="97">
        <f>IF(ISNUMBER($S35),MAX(0,INT((O$6+6-$S35)/$T35)-MAX(0,-INT(-(O$6-$S35)/$T35))+1),0)</f>
        <v>0.0</v>
      </c>
      <c r="P35" s="97">
        <f>IF(ISNUMBER($S35),MAX(0,INT((P$6+6-$S35)/$T35)-MAX(0,-INT(-(P$6-$S35)/$T35))+1),0)</f>
        <v>0.0</v>
      </c>
      <c r="Q35" s="97">
        <f>IF(ISNUMBER($S35),MAX(0,INT((Q$6+6-$S35)/$T35)-MAX(0,-INT(-(Q$6-$S35)/$T35))+1),0)</f>
        <v>0.0</v>
      </c>
      <c r="R35" s="97">
        <f>IF(ISNUMBER($S35),MAX(0,INT((R$6+6-$S35)/$T35)-MAX(0,-INT(-(R$6-$S35)/$T35))+1),0)</f>
        <v>0.0</v>
      </c>
      <c r="S35" t="str">
        <f>IF(ISNUMBER(INDEX(pl_period,26)),MAX(INDEX(pl_due,26),p_today),"")</f>
        <v/>
      </c>
      <c r="T35" t="str">
        <f>IF(ISNUMBER(INDEX(pl_period,26)),INDEX(pl_period,26),"")</f>
        <v/>
      </c>
      <c r="U35">
        <f>N(INDEX(pl_dur,26))</f>
        <v>0.0</v>
      </c>
    </row>
    <row r="36">
      <c r="A36" s="93" t="str">
        <f>IF(INDEX(pl_status,27)="","",INDEX(pl_num,27)&amp;"")</f>
        <v/>
      </c>
      <c r="B36" s="93" t="str">
        <f>IF(INDEX(pl_status,27)="","",INDEX(pl_eq,27)&amp;"")</f>
        <v/>
      </c>
      <c r="C36" s="93" t="str">
        <f>IF(INDEX(pl_status,27)="","",INDEX(pl_task,27)&amp;"")</f>
        <v/>
      </c>
      <c r="D36" s="94" t="str">
        <f>IF(ISNUMBER(INDEX(pl_due,27)),INDEX(pl_due,27),"")</f>
        <v/>
      </c>
      <c r="E36" s="95" t="str">
        <f>INDEX(pl_status,27)&amp;""</f>
        <v/>
      </c>
      <c r="F36" s="96" t="str">
        <f>IF(E36="En retard","●","")</f>
        <v/>
      </c>
      <c r="G36" s="97">
        <f>IF(ISNUMBER($S36),MAX(0,INT((G$6+6-$S36)/$T36)-MAX(0,-INT(-(G$6-$S36)/$T36))+1),0)</f>
        <v>0.0</v>
      </c>
      <c r="H36" s="97">
        <f>IF(ISNUMBER($S36),MAX(0,INT((H$6+6-$S36)/$T36)-MAX(0,-INT(-(H$6-$S36)/$T36))+1),0)</f>
        <v>0.0</v>
      </c>
      <c r="I36" s="97">
        <f>IF(ISNUMBER($S36),MAX(0,INT((I$6+6-$S36)/$T36)-MAX(0,-INT(-(I$6-$S36)/$T36))+1),0)</f>
        <v>0.0</v>
      </c>
      <c r="J36" s="97">
        <f>IF(ISNUMBER($S36),MAX(0,INT((J$6+6-$S36)/$T36)-MAX(0,-INT(-(J$6-$S36)/$T36))+1),0)</f>
        <v>0.0</v>
      </c>
      <c r="K36" s="97">
        <f>IF(ISNUMBER($S36),MAX(0,INT((K$6+6-$S36)/$T36)-MAX(0,-INT(-(K$6-$S36)/$T36))+1),0)</f>
        <v>0.0</v>
      </c>
      <c r="L36" s="97">
        <f>IF(ISNUMBER($S36),MAX(0,INT((L$6+6-$S36)/$T36)-MAX(0,-INT(-(L$6-$S36)/$T36))+1),0)</f>
        <v>0.0</v>
      </c>
      <c r="M36" s="97">
        <f>IF(ISNUMBER($S36),MAX(0,INT((M$6+6-$S36)/$T36)-MAX(0,-INT(-(M$6-$S36)/$T36))+1),0)</f>
        <v>0.0</v>
      </c>
      <c r="N36" s="97">
        <f>IF(ISNUMBER($S36),MAX(0,INT((N$6+6-$S36)/$T36)-MAX(0,-INT(-(N$6-$S36)/$T36))+1),0)</f>
        <v>0.0</v>
      </c>
      <c r="O36" s="97">
        <f>IF(ISNUMBER($S36),MAX(0,INT((O$6+6-$S36)/$T36)-MAX(0,-INT(-(O$6-$S36)/$T36))+1),0)</f>
        <v>0.0</v>
      </c>
      <c r="P36" s="97">
        <f>IF(ISNUMBER($S36),MAX(0,INT((P$6+6-$S36)/$T36)-MAX(0,-INT(-(P$6-$S36)/$T36))+1),0)</f>
        <v>0.0</v>
      </c>
      <c r="Q36" s="97">
        <f>IF(ISNUMBER($S36),MAX(0,INT((Q$6+6-$S36)/$T36)-MAX(0,-INT(-(Q$6-$S36)/$T36))+1),0)</f>
        <v>0.0</v>
      </c>
      <c r="R36" s="97">
        <f>IF(ISNUMBER($S36),MAX(0,INT((R$6+6-$S36)/$T36)-MAX(0,-INT(-(R$6-$S36)/$T36))+1),0)</f>
        <v>0.0</v>
      </c>
      <c r="S36" t="str">
        <f>IF(ISNUMBER(INDEX(pl_period,27)),MAX(INDEX(pl_due,27),p_today),"")</f>
        <v/>
      </c>
      <c r="T36" t="str">
        <f>IF(ISNUMBER(INDEX(pl_period,27)),INDEX(pl_period,27),"")</f>
        <v/>
      </c>
      <c r="U36">
        <f>N(INDEX(pl_dur,27))</f>
        <v>0.0</v>
      </c>
    </row>
    <row r="37">
      <c r="A37" s="93" t="str">
        <f>IF(INDEX(pl_status,28)="","",INDEX(pl_num,28)&amp;"")</f>
        <v/>
      </c>
      <c r="B37" s="93" t="str">
        <f>IF(INDEX(pl_status,28)="","",INDEX(pl_eq,28)&amp;"")</f>
        <v/>
      </c>
      <c r="C37" s="93" t="str">
        <f>IF(INDEX(pl_status,28)="","",INDEX(pl_task,28)&amp;"")</f>
        <v/>
      </c>
      <c r="D37" s="94" t="str">
        <f>IF(ISNUMBER(INDEX(pl_due,28)),INDEX(pl_due,28),"")</f>
        <v/>
      </c>
      <c r="E37" s="95" t="str">
        <f>INDEX(pl_status,28)&amp;""</f>
        <v/>
      </c>
      <c r="F37" s="96" t="str">
        <f>IF(E37="En retard","●","")</f>
        <v/>
      </c>
      <c r="G37" s="97">
        <f>IF(ISNUMBER($S37),MAX(0,INT((G$6+6-$S37)/$T37)-MAX(0,-INT(-(G$6-$S37)/$T37))+1),0)</f>
        <v>0.0</v>
      </c>
      <c r="H37" s="97">
        <f>IF(ISNUMBER($S37),MAX(0,INT((H$6+6-$S37)/$T37)-MAX(0,-INT(-(H$6-$S37)/$T37))+1),0)</f>
        <v>0.0</v>
      </c>
      <c r="I37" s="97">
        <f>IF(ISNUMBER($S37),MAX(0,INT((I$6+6-$S37)/$T37)-MAX(0,-INT(-(I$6-$S37)/$T37))+1),0)</f>
        <v>0.0</v>
      </c>
      <c r="J37" s="97">
        <f>IF(ISNUMBER($S37),MAX(0,INT((J$6+6-$S37)/$T37)-MAX(0,-INT(-(J$6-$S37)/$T37))+1),0)</f>
        <v>0.0</v>
      </c>
      <c r="K37" s="97">
        <f>IF(ISNUMBER($S37),MAX(0,INT((K$6+6-$S37)/$T37)-MAX(0,-INT(-(K$6-$S37)/$T37))+1),0)</f>
        <v>0.0</v>
      </c>
      <c r="L37" s="97">
        <f>IF(ISNUMBER($S37),MAX(0,INT((L$6+6-$S37)/$T37)-MAX(0,-INT(-(L$6-$S37)/$T37))+1),0)</f>
        <v>0.0</v>
      </c>
      <c r="M37" s="97">
        <f>IF(ISNUMBER($S37),MAX(0,INT((M$6+6-$S37)/$T37)-MAX(0,-INT(-(M$6-$S37)/$T37))+1),0)</f>
        <v>0.0</v>
      </c>
      <c r="N37" s="97">
        <f>IF(ISNUMBER($S37),MAX(0,INT((N$6+6-$S37)/$T37)-MAX(0,-INT(-(N$6-$S37)/$T37))+1),0)</f>
        <v>0.0</v>
      </c>
      <c r="O37" s="97">
        <f>IF(ISNUMBER($S37),MAX(0,INT((O$6+6-$S37)/$T37)-MAX(0,-INT(-(O$6-$S37)/$T37))+1),0)</f>
        <v>0.0</v>
      </c>
      <c r="P37" s="97">
        <f>IF(ISNUMBER($S37),MAX(0,INT((P$6+6-$S37)/$T37)-MAX(0,-INT(-(P$6-$S37)/$T37))+1),0)</f>
        <v>0.0</v>
      </c>
      <c r="Q37" s="97">
        <f>IF(ISNUMBER($S37),MAX(0,INT((Q$6+6-$S37)/$T37)-MAX(0,-INT(-(Q$6-$S37)/$T37))+1),0)</f>
        <v>0.0</v>
      </c>
      <c r="R37" s="97">
        <f>IF(ISNUMBER($S37),MAX(0,INT((R$6+6-$S37)/$T37)-MAX(0,-INT(-(R$6-$S37)/$T37))+1),0)</f>
        <v>0.0</v>
      </c>
      <c r="S37" t="str">
        <f>IF(ISNUMBER(INDEX(pl_period,28)),MAX(INDEX(pl_due,28),p_today),"")</f>
        <v/>
      </c>
      <c r="T37" t="str">
        <f>IF(ISNUMBER(INDEX(pl_period,28)),INDEX(pl_period,28),"")</f>
        <v/>
      </c>
      <c r="U37">
        <f>N(INDEX(pl_dur,28))</f>
        <v>0.0</v>
      </c>
    </row>
    <row r="38">
      <c r="A38" s="93" t="str">
        <f>IF(INDEX(pl_status,29)="","",INDEX(pl_num,29)&amp;"")</f>
        <v/>
      </c>
      <c r="B38" s="93" t="str">
        <f>IF(INDEX(pl_status,29)="","",INDEX(pl_eq,29)&amp;"")</f>
        <v/>
      </c>
      <c r="C38" s="93" t="str">
        <f>IF(INDEX(pl_status,29)="","",INDEX(pl_task,29)&amp;"")</f>
        <v/>
      </c>
      <c r="D38" s="94" t="str">
        <f>IF(ISNUMBER(INDEX(pl_due,29)),INDEX(pl_due,29),"")</f>
        <v/>
      </c>
      <c r="E38" s="95" t="str">
        <f>INDEX(pl_status,29)&amp;""</f>
        <v/>
      </c>
      <c r="F38" s="96" t="str">
        <f>IF(E38="En retard","●","")</f>
        <v/>
      </c>
      <c r="G38" s="97">
        <f>IF(ISNUMBER($S38),MAX(0,INT((G$6+6-$S38)/$T38)-MAX(0,-INT(-(G$6-$S38)/$T38))+1),0)</f>
        <v>0.0</v>
      </c>
      <c r="H38" s="97">
        <f>IF(ISNUMBER($S38),MAX(0,INT((H$6+6-$S38)/$T38)-MAX(0,-INT(-(H$6-$S38)/$T38))+1),0)</f>
        <v>0.0</v>
      </c>
      <c r="I38" s="97">
        <f>IF(ISNUMBER($S38),MAX(0,INT((I$6+6-$S38)/$T38)-MAX(0,-INT(-(I$6-$S38)/$T38))+1),0)</f>
        <v>0.0</v>
      </c>
      <c r="J38" s="97">
        <f>IF(ISNUMBER($S38),MAX(0,INT((J$6+6-$S38)/$T38)-MAX(0,-INT(-(J$6-$S38)/$T38))+1),0)</f>
        <v>0.0</v>
      </c>
      <c r="K38" s="97">
        <f>IF(ISNUMBER($S38),MAX(0,INT((K$6+6-$S38)/$T38)-MAX(0,-INT(-(K$6-$S38)/$T38))+1),0)</f>
        <v>0.0</v>
      </c>
      <c r="L38" s="97">
        <f>IF(ISNUMBER($S38),MAX(0,INT((L$6+6-$S38)/$T38)-MAX(0,-INT(-(L$6-$S38)/$T38))+1),0)</f>
        <v>0.0</v>
      </c>
      <c r="M38" s="97">
        <f>IF(ISNUMBER($S38),MAX(0,INT((M$6+6-$S38)/$T38)-MAX(0,-INT(-(M$6-$S38)/$T38))+1),0)</f>
        <v>0.0</v>
      </c>
      <c r="N38" s="97">
        <f>IF(ISNUMBER($S38),MAX(0,INT((N$6+6-$S38)/$T38)-MAX(0,-INT(-(N$6-$S38)/$T38))+1),0)</f>
        <v>0.0</v>
      </c>
      <c r="O38" s="97">
        <f>IF(ISNUMBER($S38),MAX(0,INT((O$6+6-$S38)/$T38)-MAX(0,-INT(-(O$6-$S38)/$T38))+1),0)</f>
        <v>0.0</v>
      </c>
      <c r="P38" s="97">
        <f>IF(ISNUMBER($S38),MAX(0,INT((P$6+6-$S38)/$T38)-MAX(0,-INT(-(P$6-$S38)/$T38))+1),0)</f>
        <v>0.0</v>
      </c>
      <c r="Q38" s="97">
        <f>IF(ISNUMBER($S38),MAX(0,INT((Q$6+6-$S38)/$T38)-MAX(0,-INT(-(Q$6-$S38)/$T38))+1),0)</f>
        <v>0.0</v>
      </c>
      <c r="R38" s="97">
        <f>IF(ISNUMBER($S38),MAX(0,INT((R$6+6-$S38)/$T38)-MAX(0,-INT(-(R$6-$S38)/$T38))+1),0)</f>
        <v>0.0</v>
      </c>
      <c r="S38" t="str">
        <f>IF(ISNUMBER(INDEX(pl_period,29)),MAX(INDEX(pl_due,29),p_today),"")</f>
        <v/>
      </c>
      <c r="T38" t="str">
        <f>IF(ISNUMBER(INDEX(pl_period,29)),INDEX(pl_period,29),"")</f>
        <v/>
      </c>
      <c r="U38">
        <f>N(INDEX(pl_dur,29))</f>
        <v>0.0</v>
      </c>
    </row>
    <row r="39">
      <c r="A39" s="93" t="str">
        <f>IF(INDEX(pl_status,30)="","",INDEX(pl_num,30)&amp;"")</f>
        <v/>
      </c>
      <c r="B39" s="93" t="str">
        <f>IF(INDEX(pl_status,30)="","",INDEX(pl_eq,30)&amp;"")</f>
        <v/>
      </c>
      <c r="C39" s="93" t="str">
        <f>IF(INDEX(pl_status,30)="","",INDEX(pl_task,30)&amp;"")</f>
        <v/>
      </c>
      <c r="D39" s="94" t="str">
        <f>IF(ISNUMBER(INDEX(pl_due,30)),INDEX(pl_due,30),"")</f>
        <v/>
      </c>
      <c r="E39" s="95" t="str">
        <f>INDEX(pl_status,30)&amp;""</f>
        <v/>
      </c>
      <c r="F39" s="96" t="str">
        <f>IF(E39="En retard","●","")</f>
        <v/>
      </c>
      <c r="G39" s="97">
        <f>IF(ISNUMBER($S39),MAX(0,INT((G$6+6-$S39)/$T39)-MAX(0,-INT(-(G$6-$S39)/$T39))+1),0)</f>
        <v>0.0</v>
      </c>
      <c r="H39" s="97">
        <f>IF(ISNUMBER($S39),MAX(0,INT((H$6+6-$S39)/$T39)-MAX(0,-INT(-(H$6-$S39)/$T39))+1),0)</f>
        <v>0.0</v>
      </c>
      <c r="I39" s="97">
        <f>IF(ISNUMBER($S39),MAX(0,INT((I$6+6-$S39)/$T39)-MAX(0,-INT(-(I$6-$S39)/$T39))+1),0)</f>
        <v>0.0</v>
      </c>
      <c r="J39" s="97">
        <f>IF(ISNUMBER($S39),MAX(0,INT((J$6+6-$S39)/$T39)-MAX(0,-INT(-(J$6-$S39)/$T39))+1),0)</f>
        <v>0.0</v>
      </c>
      <c r="K39" s="97">
        <f>IF(ISNUMBER($S39),MAX(0,INT((K$6+6-$S39)/$T39)-MAX(0,-INT(-(K$6-$S39)/$T39))+1),0)</f>
        <v>0.0</v>
      </c>
      <c r="L39" s="97">
        <f>IF(ISNUMBER($S39),MAX(0,INT((L$6+6-$S39)/$T39)-MAX(0,-INT(-(L$6-$S39)/$T39))+1),0)</f>
        <v>0.0</v>
      </c>
      <c r="M39" s="97">
        <f>IF(ISNUMBER($S39),MAX(0,INT((M$6+6-$S39)/$T39)-MAX(0,-INT(-(M$6-$S39)/$T39))+1),0)</f>
        <v>0.0</v>
      </c>
      <c r="N39" s="97">
        <f>IF(ISNUMBER($S39),MAX(0,INT((N$6+6-$S39)/$T39)-MAX(0,-INT(-(N$6-$S39)/$T39))+1),0)</f>
        <v>0.0</v>
      </c>
      <c r="O39" s="97">
        <f>IF(ISNUMBER($S39),MAX(0,INT((O$6+6-$S39)/$T39)-MAX(0,-INT(-(O$6-$S39)/$T39))+1),0)</f>
        <v>0.0</v>
      </c>
      <c r="P39" s="97">
        <f>IF(ISNUMBER($S39),MAX(0,INT((P$6+6-$S39)/$T39)-MAX(0,-INT(-(P$6-$S39)/$T39))+1),0)</f>
        <v>0.0</v>
      </c>
      <c r="Q39" s="97">
        <f>IF(ISNUMBER($S39),MAX(0,INT((Q$6+6-$S39)/$T39)-MAX(0,-INT(-(Q$6-$S39)/$T39))+1),0)</f>
        <v>0.0</v>
      </c>
      <c r="R39" s="97">
        <f>IF(ISNUMBER($S39),MAX(0,INT((R$6+6-$S39)/$T39)-MAX(0,-INT(-(R$6-$S39)/$T39))+1),0)</f>
        <v>0.0</v>
      </c>
      <c r="S39" t="str">
        <f>IF(ISNUMBER(INDEX(pl_period,30)),MAX(INDEX(pl_due,30),p_today),"")</f>
        <v/>
      </c>
      <c r="T39" t="str">
        <f>IF(ISNUMBER(INDEX(pl_period,30)),INDEX(pl_period,30),"")</f>
        <v/>
      </c>
      <c r="U39">
        <f>N(INDEX(pl_dur,30))</f>
        <v>0.0</v>
      </c>
    </row>
    <row r="40">
      <c r="A40" s="93" t="str">
        <f>IF(INDEX(pl_status,31)="","",INDEX(pl_num,31)&amp;"")</f>
        <v/>
      </c>
      <c r="B40" s="93" t="str">
        <f>IF(INDEX(pl_status,31)="","",INDEX(pl_eq,31)&amp;"")</f>
        <v/>
      </c>
      <c r="C40" s="93" t="str">
        <f>IF(INDEX(pl_status,31)="","",INDEX(pl_task,31)&amp;"")</f>
        <v/>
      </c>
      <c r="D40" s="94" t="str">
        <f>IF(ISNUMBER(INDEX(pl_due,31)),INDEX(pl_due,31),"")</f>
        <v/>
      </c>
      <c r="E40" s="95" t="str">
        <f>INDEX(pl_status,31)&amp;""</f>
        <v/>
      </c>
      <c r="F40" s="96" t="str">
        <f>IF(E40="En retard","●","")</f>
        <v/>
      </c>
      <c r="G40" s="97">
        <f>IF(ISNUMBER($S40),MAX(0,INT((G$6+6-$S40)/$T40)-MAX(0,-INT(-(G$6-$S40)/$T40))+1),0)</f>
        <v>0.0</v>
      </c>
      <c r="H40" s="97">
        <f>IF(ISNUMBER($S40),MAX(0,INT((H$6+6-$S40)/$T40)-MAX(0,-INT(-(H$6-$S40)/$T40))+1),0)</f>
        <v>0.0</v>
      </c>
      <c r="I40" s="97">
        <f>IF(ISNUMBER($S40),MAX(0,INT((I$6+6-$S40)/$T40)-MAX(0,-INT(-(I$6-$S40)/$T40))+1),0)</f>
        <v>0.0</v>
      </c>
      <c r="J40" s="97">
        <f>IF(ISNUMBER($S40),MAX(0,INT((J$6+6-$S40)/$T40)-MAX(0,-INT(-(J$6-$S40)/$T40))+1),0)</f>
        <v>0.0</v>
      </c>
      <c r="K40" s="97">
        <f>IF(ISNUMBER($S40),MAX(0,INT((K$6+6-$S40)/$T40)-MAX(0,-INT(-(K$6-$S40)/$T40))+1),0)</f>
        <v>0.0</v>
      </c>
      <c r="L40" s="97">
        <f>IF(ISNUMBER($S40),MAX(0,INT((L$6+6-$S40)/$T40)-MAX(0,-INT(-(L$6-$S40)/$T40))+1),0)</f>
        <v>0.0</v>
      </c>
      <c r="M40" s="97">
        <f>IF(ISNUMBER($S40),MAX(0,INT((M$6+6-$S40)/$T40)-MAX(0,-INT(-(M$6-$S40)/$T40))+1),0)</f>
        <v>0.0</v>
      </c>
      <c r="N40" s="97">
        <f>IF(ISNUMBER($S40),MAX(0,INT((N$6+6-$S40)/$T40)-MAX(0,-INT(-(N$6-$S40)/$T40))+1),0)</f>
        <v>0.0</v>
      </c>
      <c r="O40" s="97">
        <f>IF(ISNUMBER($S40),MAX(0,INT((O$6+6-$S40)/$T40)-MAX(0,-INT(-(O$6-$S40)/$T40))+1),0)</f>
        <v>0.0</v>
      </c>
      <c r="P40" s="97">
        <f>IF(ISNUMBER($S40),MAX(0,INT((P$6+6-$S40)/$T40)-MAX(0,-INT(-(P$6-$S40)/$T40))+1),0)</f>
        <v>0.0</v>
      </c>
      <c r="Q40" s="97">
        <f>IF(ISNUMBER($S40),MAX(0,INT((Q$6+6-$S40)/$T40)-MAX(0,-INT(-(Q$6-$S40)/$T40))+1),0)</f>
        <v>0.0</v>
      </c>
      <c r="R40" s="97">
        <f>IF(ISNUMBER($S40),MAX(0,INT((R$6+6-$S40)/$T40)-MAX(0,-INT(-(R$6-$S40)/$T40))+1),0)</f>
        <v>0.0</v>
      </c>
      <c r="S40" t="str">
        <f>IF(ISNUMBER(INDEX(pl_period,31)),MAX(INDEX(pl_due,31),p_today),"")</f>
        <v/>
      </c>
      <c r="T40" t="str">
        <f>IF(ISNUMBER(INDEX(pl_period,31)),INDEX(pl_period,31),"")</f>
        <v/>
      </c>
      <c r="U40">
        <f>N(INDEX(pl_dur,31))</f>
        <v>0.0</v>
      </c>
    </row>
    <row r="41">
      <c r="A41" s="93" t="str">
        <f>IF(INDEX(pl_status,32)="","",INDEX(pl_num,32)&amp;"")</f>
        <v/>
      </c>
      <c r="B41" s="93" t="str">
        <f>IF(INDEX(pl_status,32)="","",INDEX(pl_eq,32)&amp;"")</f>
        <v/>
      </c>
      <c r="C41" s="93" t="str">
        <f>IF(INDEX(pl_status,32)="","",INDEX(pl_task,32)&amp;"")</f>
        <v/>
      </c>
      <c r="D41" s="94" t="str">
        <f>IF(ISNUMBER(INDEX(pl_due,32)),INDEX(pl_due,32),"")</f>
        <v/>
      </c>
      <c r="E41" s="95" t="str">
        <f>INDEX(pl_status,32)&amp;""</f>
        <v/>
      </c>
      <c r="F41" s="96" t="str">
        <f>IF(E41="En retard","●","")</f>
        <v/>
      </c>
      <c r="G41" s="97">
        <f>IF(ISNUMBER($S41),MAX(0,INT((G$6+6-$S41)/$T41)-MAX(0,-INT(-(G$6-$S41)/$T41))+1),0)</f>
        <v>0.0</v>
      </c>
      <c r="H41" s="97">
        <f>IF(ISNUMBER($S41),MAX(0,INT((H$6+6-$S41)/$T41)-MAX(0,-INT(-(H$6-$S41)/$T41))+1),0)</f>
        <v>0.0</v>
      </c>
      <c r="I41" s="97">
        <f>IF(ISNUMBER($S41),MAX(0,INT((I$6+6-$S41)/$T41)-MAX(0,-INT(-(I$6-$S41)/$T41))+1),0)</f>
        <v>0.0</v>
      </c>
      <c r="J41" s="97">
        <f>IF(ISNUMBER($S41),MAX(0,INT((J$6+6-$S41)/$T41)-MAX(0,-INT(-(J$6-$S41)/$T41))+1),0)</f>
        <v>0.0</v>
      </c>
      <c r="K41" s="97">
        <f>IF(ISNUMBER($S41),MAX(0,INT((K$6+6-$S41)/$T41)-MAX(0,-INT(-(K$6-$S41)/$T41))+1),0)</f>
        <v>0.0</v>
      </c>
      <c r="L41" s="97">
        <f>IF(ISNUMBER($S41),MAX(0,INT((L$6+6-$S41)/$T41)-MAX(0,-INT(-(L$6-$S41)/$T41))+1),0)</f>
        <v>0.0</v>
      </c>
      <c r="M41" s="97">
        <f>IF(ISNUMBER($S41),MAX(0,INT((M$6+6-$S41)/$T41)-MAX(0,-INT(-(M$6-$S41)/$T41))+1),0)</f>
        <v>0.0</v>
      </c>
      <c r="N41" s="97">
        <f>IF(ISNUMBER($S41),MAX(0,INT((N$6+6-$S41)/$T41)-MAX(0,-INT(-(N$6-$S41)/$T41))+1),0)</f>
        <v>0.0</v>
      </c>
      <c r="O41" s="97">
        <f>IF(ISNUMBER($S41),MAX(0,INT((O$6+6-$S41)/$T41)-MAX(0,-INT(-(O$6-$S41)/$T41))+1),0)</f>
        <v>0.0</v>
      </c>
      <c r="P41" s="97">
        <f>IF(ISNUMBER($S41),MAX(0,INT((P$6+6-$S41)/$T41)-MAX(0,-INT(-(P$6-$S41)/$T41))+1),0)</f>
        <v>0.0</v>
      </c>
      <c r="Q41" s="97">
        <f>IF(ISNUMBER($S41),MAX(0,INT((Q$6+6-$S41)/$T41)-MAX(0,-INT(-(Q$6-$S41)/$T41))+1),0)</f>
        <v>0.0</v>
      </c>
      <c r="R41" s="97">
        <f>IF(ISNUMBER($S41),MAX(0,INT((R$6+6-$S41)/$T41)-MAX(0,-INT(-(R$6-$S41)/$T41))+1),0)</f>
        <v>0.0</v>
      </c>
      <c r="S41" t="str">
        <f>IF(ISNUMBER(INDEX(pl_period,32)),MAX(INDEX(pl_due,32),p_today),"")</f>
        <v/>
      </c>
      <c r="T41" t="str">
        <f>IF(ISNUMBER(INDEX(pl_period,32)),INDEX(pl_period,32),"")</f>
        <v/>
      </c>
      <c r="U41">
        <f>N(INDEX(pl_dur,32))</f>
        <v>0.0</v>
      </c>
    </row>
    <row r="42">
      <c r="A42" s="93" t="str">
        <f>IF(INDEX(pl_status,33)="","",INDEX(pl_num,33)&amp;"")</f>
        <v/>
      </c>
      <c r="B42" s="93" t="str">
        <f>IF(INDEX(pl_status,33)="","",INDEX(pl_eq,33)&amp;"")</f>
        <v/>
      </c>
      <c r="C42" s="93" t="str">
        <f>IF(INDEX(pl_status,33)="","",INDEX(pl_task,33)&amp;"")</f>
        <v/>
      </c>
      <c r="D42" s="94" t="str">
        <f>IF(ISNUMBER(INDEX(pl_due,33)),INDEX(pl_due,33),"")</f>
        <v/>
      </c>
      <c r="E42" s="95" t="str">
        <f>INDEX(pl_status,33)&amp;""</f>
        <v/>
      </c>
      <c r="F42" s="96" t="str">
        <f>IF(E42="En retard","●","")</f>
        <v/>
      </c>
      <c r="G42" s="97">
        <f>IF(ISNUMBER($S42),MAX(0,INT((G$6+6-$S42)/$T42)-MAX(0,-INT(-(G$6-$S42)/$T42))+1),0)</f>
        <v>0.0</v>
      </c>
      <c r="H42" s="97">
        <f>IF(ISNUMBER($S42),MAX(0,INT((H$6+6-$S42)/$T42)-MAX(0,-INT(-(H$6-$S42)/$T42))+1),0)</f>
        <v>0.0</v>
      </c>
      <c r="I42" s="97">
        <f>IF(ISNUMBER($S42),MAX(0,INT((I$6+6-$S42)/$T42)-MAX(0,-INT(-(I$6-$S42)/$T42))+1),0)</f>
        <v>0.0</v>
      </c>
      <c r="J42" s="97">
        <f>IF(ISNUMBER($S42),MAX(0,INT((J$6+6-$S42)/$T42)-MAX(0,-INT(-(J$6-$S42)/$T42))+1),0)</f>
        <v>0.0</v>
      </c>
      <c r="K42" s="97">
        <f>IF(ISNUMBER($S42),MAX(0,INT((K$6+6-$S42)/$T42)-MAX(0,-INT(-(K$6-$S42)/$T42))+1),0)</f>
        <v>0.0</v>
      </c>
      <c r="L42" s="97">
        <f>IF(ISNUMBER($S42),MAX(0,INT((L$6+6-$S42)/$T42)-MAX(0,-INT(-(L$6-$S42)/$T42))+1),0)</f>
        <v>0.0</v>
      </c>
      <c r="M42" s="97">
        <f>IF(ISNUMBER($S42),MAX(0,INT((M$6+6-$S42)/$T42)-MAX(0,-INT(-(M$6-$S42)/$T42))+1),0)</f>
        <v>0.0</v>
      </c>
      <c r="N42" s="97">
        <f>IF(ISNUMBER($S42),MAX(0,INT((N$6+6-$S42)/$T42)-MAX(0,-INT(-(N$6-$S42)/$T42))+1),0)</f>
        <v>0.0</v>
      </c>
      <c r="O42" s="97">
        <f>IF(ISNUMBER($S42),MAX(0,INT((O$6+6-$S42)/$T42)-MAX(0,-INT(-(O$6-$S42)/$T42))+1),0)</f>
        <v>0.0</v>
      </c>
      <c r="P42" s="97">
        <f>IF(ISNUMBER($S42),MAX(0,INT((P$6+6-$S42)/$T42)-MAX(0,-INT(-(P$6-$S42)/$T42))+1),0)</f>
        <v>0.0</v>
      </c>
      <c r="Q42" s="97">
        <f>IF(ISNUMBER($S42),MAX(0,INT((Q$6+6-$S42)/$T42)-MAX(0,-INT(-(Q$6-$S42)/$T42))+1),0)</f>
        <v>0.0</v>
      </c>
      <c r="R42" s="97">
        <f>IF(ISNUMBER($S42),MAX(0,INT((R$6+6-$S42)/$T42)-MAX(0,-INT(-(R$6-$S42)/$T42))+1),0)</f>
        <v>0.0</v>
      </c>
      <c r="S42" t="str">
        <f>IF(ISNUMBER(INDEX(pl_period,33)),MAX(INDEX(pl_due,33),p_today),"")</f>
        <v/>
      </c>
      <c r="T42" t="str">
        <f>IF(ISNUMBER(INDEX(pl_period,33)),INDEX(pl_period,33),"")</f>
        <v/>
      </c>
      <c r="U42">
        <f>N(INDEX(pl_dur,33))</f>
        <v>0.0</v>
      </c>
    </row>
    <row r="43">
      <c r="A43" s="93" t="str">
        <f>IF(INDEX(pl_status,34)="","",INDEX(pl_num,34)&amp;"")</f>
        <v/>
      </c>
      <c r="B43" s="93" t="str">
        <f>IF(INDEX(pl_status,34)="","",INDEX(pl_eq,34)&amp;"")</f>
        <v/>
      </c>
      <c r="C43" s="93" t="str">
        <f>IF(INDEX(pl_status,34)="","",INDEX(pl_task,34)&amp;"")</f>
        <v/>
      </c>
      <c r="D43" s="94" t="str">
        <f>IF(ISNUMBER(INDEX(pl_due,34)),INDEX(pl_due,34),"")</f>
        <v/>
      </c>
      <c r="E43" s="95" t="str">
        <f>INDEX(pl_status,34)&amp;""</f>
        <v/>
      </c>
      <c r="F43" s="96" t="str">
        <f>IF(E43="En retard","●","")</f>
        <v/>
      </c>
      <c r="G43" s="97">
        <f>IF(ISNUMBER($S43),MAX(0,INT((G$6+6-$S43)/$T43)-MAX(0,-INT(-(G$6-$S43)/$T43))+1),0)</f>
        <v>0.0</v>
      </c>
      <c r="H43" s="97">
        <f>IF(ISNUMBER($S43),MAX(0,INT((H$6+6-$S43)/$T43)-MAX(0,-INT(-(H$6-$S43)/$T43))+1),0)</f>
        <v>0.0</v>
      </c>
      <c r="I43" s="97">
        <f>IF(ISNUMBER($S43),MAX(0,INT((I$6+6-$S43)/$T43)-MAX(0,-INT(-(I$6-$S43)/$T43))+1),0)</f>
        <v>0.0</v>
      </c>
      <c r="J43" s="97">
        <f>IF(ISNUMBER($S43),MAX(0,INT((J$6+6-$S43)/$T43)-MAX(0,-INT(-(J$6-$S43)/$T43))+1),0)</f>
        <v>0.0</v>
      </c>
      <c r="K43" s="97">
        <f>IF(ISNUMBER($S43),MAX(0,INT((K$6+6-$S43)/$T43)-MAX(0,-INT(-(K$6-$S43)/$T43))+1),0)</f>
        <v>0.0</v>
      </c>
      <c r="L43" s="97">
        <f>IF(ISNUMBER($S43),MAX(0,INT((L$6+6-$S43)/$T43)-MAX(0,-INT(-(L$6-$S43)/$T43))+1),0)</f>
        <v>0.0</v>
      </c>
      <c r="M43" s="97">
        <f>IF(ISNUMBER($S43),MAX(0,INT((M$6+6-$S43)/$T43)-MAX(0,-INT(-(M$6-$S43)/$T43))+1),0)</f>
        <v>0.0</v>
      </c>
      <c r="N43" s="97">
        <f>IF(ISNUMBER($S43),MAX(0,INT((N$6+6-$S43)/$T43)-MAX(0,-INT(-(N$6-$S43)/$T43))+1),0)</f>
        <v>0.0</v>
      </c>
      <c r="O43" s="97">
        <f>IF(ISNUMBER($S43),MAX(0,INT((O$6+6-$S43)/$T43)-MAX(0,-INT(-(O$6-$S43)/$T43))+1),0)</f>
        <v>0.0</v>
      </c>
      <c r="P43" s="97">
        <f>IF(ISNUMBER($S43),MAX(0,INT((P$6+6-$S43)/$T43)-MAX(0,-INT(-(P$6-$S43)/$T43))+1),0)</f>
        <v>0.0</v>
      </c>
      <c r="Q43" s="97">
        <f>IF(ISNUMBER($S43),MAX(0,INT((Q$6+6-$S43)/$T43)-MAX(0,-INT(-(Q$6-$S43)/$T43))+1),0)</f>
        <v>0.0</v>
      </c>
      <c r="R43" s="97">
        <f>IF(ISNUMBER($S43),MAX(0,INT((R$6+6-$S43)/$T43)-MAX(0,-INT(-(R$6-$S43)/$T43))+1),0)</f>
        <v>0.0</v>
      </c>
      <c r="S43" t="str">
        <f>IF(ISNUMBER(INDEX(pl_period,34)),MAX(INDEX(pl_due,34),p_today),"")</f>
        <v/>
      </c>
      <c r="T43" t="str">
        <f>IF(ISNUMBER(INDEX(pl_period,34)),INDEX(pl_period,34),"")</f>
        <v/>
      </c>
      <c r="U43">
        <f>N(INDEX(pl_dur,34))</f>
        <v>0.0</v>
      </c>
    </row>
    <row r="44">
      <c r="A44" s="93" t="str">
        <f>IF(INDEX(pl_status,35)="","",INDEX(pl_num,35)&amp;"")</f>
        <v/>
      </c>
      <c r="B44" s="93" t="str">
        <f>IF(INDEX(pl_status,35)="","",INDEX(pl_eq,35)&amp;"")</f>
        <v/>
      </c>
      <c r="C44" s="93" t="str">
        <f>IF(INDEX(pl_status,35)="","",INDEX(pl_task,35)&amp;"")</f>
        <v/>
      </c>
      <c r="D44" s="94" t="str">
        <f>IF(ISNUMBER(INDEX(pl_due,35)),INDEX(pl_due,35),"")</f>
        <v/>
      </c>
      <c r="E44" s="95" t="str">
        <f>INDEX(pl_status,35)&amp;""</f>
        <v/>
      </c>
      <c r="F44" s="96" t="str">
        <f>IF(E44="En retard","●","")</f>
        <v/>
      </c>
      <c r="G44" s="97">
        <f>IF(ISNUMBER($S44),MAX(0,INT((G$6+6-$S44)/$T44)-MAX(0,-INT(-(G$6-$S44)/$T44))+1),0)</f>
        <v>0.0</v>
      </c>
      <c r="H44" s="97">
        <f>IF(ISNUMBER($S44),MAX(0,INT((H$6+6-$S44)/$T44)-MAX(0,-INT(-(H$6-$S44)/$T44))+1),0)</f>
        <v>0.0</v>
      </c>
      <c r="I44" s="97">
        <f>IF(ISNUMBER($S44),MAX(0,INT((I$6+6-$S44)/$T44)-MAX(0,-INT(-(I$6-$S44)/$T44))+1),0)</f>
        <v>0.0</v>
      </c>
      <c r="J44" s="97">
        <f>IF(ISNUMBER($S44),MAX(0,INT((J$6+6-$S44)/$T44)-MAX(0,-INT(-(J$6-$S44)/$T44))+1),0)</f>
        <v>0.0</v>
      </c>
      <c r="K44" s="97">
        <f>IF(ISNUMBER($S44),MAX(0,INT((K$6+6-$S44)/$T44)-MAX(0,-INT(-(K$6-$S44)/$T44))+1),0)</f>
        <v>0.0</v>
      </c>
      <c r="L44" s="97">
        <f>IF(ISNUMBER($S44),MAX(0,INT((L$6+6-$S44)/$T44)-MAX(0,-INT(-(L$6-$S44)/$T44))+1),0)</f>
        <v>0.0</v>
      </c>
      <c r="M44" s="97">
        <f>IF(ISNUMBER($S44),MAX(0,INT((M$6+6-$S44)/$T44)-MAX(0,-INT(-(M$6-$S44)/$T44))+1),0)</f>
        <v>0.0</v>
      </c>
      <c r="N44" s="97">
        <f>IF(ISNUMBER($S44),MAX(0,INT((N$6+6-$S44)/$T44)-MAX(0,-INT(-(N$6-$S44)/$T44))+1),0)</f>
        <v>0.0</v>
      </c>
      <c r="O44" s="97">
        <f>IF(ISNUMBER($S44),MAX(0,INT((O$6+6-$S44)/$T44)-MAX(0,-INT(-(O$6-$S44)/$T44))+1),0)</f>
        <v>0.0</v>
      </c>
      <c r="P44" s="97">
        <f>IF(ISNUMBER($S44),MAX(0,INT((P$6+6-$S44)/$T44)-MAX(0,-INT(-(P$6-$S44)/$T44))+1),0)</f>
        <v>0.0</v>
      </c>
      <c r="Q44" s="97">
        <f>IF(ISNUMBER($S44),MAX(0,INT((Q$6+6-$S44)/$T44)-MAX(0,-INT(-(Q$6-$S44)/$T44))+1),0)</f>
        <v>0.0</v>
      </c>
      <c r="R44" s="97">
        <f>IF(ISNUMBER($S44),MAX(0,INT((R$6+6-$S44)/$T44)-MAX(0,-INT(-(R$6-$S44)/$T44))+1),0)</f>
        <v>0.0</v>
      </c>
      <c r="S44" t="str">
        <f>IF(ISNUMBER(INDEX(pl_period,35)),MAX(INDEX(pl_due,35),p_today),"")</f>
        <v/>
      </c>
      <c r="T44" t="str">
        <f>IF(ISNUMBER(INDEX(pl_period,35)),INDEX(pl_period,35),"")</f>
        <v/>
      </c>
      <c r="U44">
        <f>N(INDEX(pl_dur,35))</f>
        <v>0.0</v>
      </c>
    </row>
    <row r="45">
      <c r="A45" s="93" t="str">
        <f>IF(INDEX(pl_status,36)="","",INDEX(pl_num,36)&amp;"")</f>
        <v/>
      </c>
      <c r="B45" s="93" t="str">
        <f>IF(INDEX(pl_status,36)="","",INDEX(pl_eq,36)&amp;"")</f>
        <v/>
      </c>
      <c r="C45" s="93" t="str">
        <f>IF(INDEX(pl_status,36)="","",INDEX(pl_task,36)&amp;"")</f>
        <v/>
      </c>
      <c r="D45" s="94" t="str">
        <f>IF(ISNUMBER(INDEX(pl_due,36)),INDEX(pl_due,36),"")</f>
        <v/>
      </c>
      <c r="E45" s="95" t="str">
        <f>INDEX(pl_status,36)&amp;""</f>
        <v/>
      </c>
      <c r="F45" s="96" t="str">
        <f>IF(E45="En retard","●","")</f>
        <v/>
      </c>
      <c r="G45" s="97">
        <f>IF(ISNUMBER($S45),MAX(0,INT((G$6+6-$S45)/$T45)-MAX(0,-INT(-(G$6-$S45)/$T45))+1),0)</f>
        <v>0.0</v>
      </c>
      <c r="H45" s="97">
        <f>IF(ISNUMBER($S45),MAX(0,INT((H$6+6-$S45)/$T45)-MAX(0,-INT(-(H$6-$S45)/$T45))+1),0)</f>
        <v>0.0</v>
      </c>
      <c r="I45" s="97">
        <f>IF(ISNUMBER($S45),MAX(0,INT((I$6+6-$S45)/$T45)-MAX(0,-INT(-(I$6-$S45)/$T45))+1),0)</f>
        <v>0.0</v>
      </c>
      <c r="J45" s="97">
        <f>IF(ISNUMBER($S45),MAX(0,INT((J$6+6-$S45)/$T45)-MAX(0,-INT(-(J$6-$S45)/$T45))+1),0)</f>
        <v>0.0</v>
      </c>
      <c r="K45" s="97">
        <f>IF(ISNUMBER($S45),MAX(0,INT((K$6+6-$S45)/$T45)-MAX(0,-INT(-(K$6-$S45)/$T45))+1),0)</f>
        <v>0.0</v>
      </c>
      <c r="L45" s="97">
        <f>IF(ISNUMBER($S45),MAX(0,INT((L$6+6-$S45)/$T45)-MAX(0,-INT(-(L$6-$S45)/$T45))+1),0)</f>
        <v>0.0</v>
      </c>
      <c r="M45" s="97">
        <f>IF(ISNUMBER($S45),MAX(0,INT((M$6+6-$S45)/$T45)-MAX(0,-INT(-(M$6-$S45)/$T45))+1),0)</f>
        <v>0.0</v>
      </c>
      <c r="N45" s="97">
        <f>IF(ISNUMBER($S45),MAX(0,INT((N$6+6-$S45)/$T45)-MAX(0,-INT(-(N$6-$S45)/$T45))+1),0)</f>
        <v>0.0</v>
      </c>
      <c r="O45" s="97">
        <f>IF(ISNUMBER($S45),MAX(0,INT((O$6+6-$S45)/$T45)-MAX(0,-INT(-(O$6-$S45)/$T45))+1),0)</f>
        <v>0.0</v>
      </c>
      <c r="P45" s="97">
        <f>IF(ISNUMBER($S45),MAX(0,INT((P$6+6-$S45)/$T45)-MAX(0,-INT(-(P$6-$S45)/$T45))+1),0)</f>
        <v>0.0</v>
      </c>
      <c r="Q45" s="97">
        <f>IF(ISNUMBER($S45),MAX(0,INT((Q$6+6-$S45)/$T45)-MAX(0,-INT(-(Q$6-$S45)/$T45))+1),0)</f>
        <v>0.0</v>
      </c>
      <c r="R45" s="97">
        <f>IF(ISNUMBER($S45),MAX(0,INT((R$6+6-$S45)/$T45)-MAX(0,-INT(-(R$6-$S45)/$T45))+1),0)</f>
        <v>0.0</v>
      </c>
      <c r="S45" t="str">
        <f>IF(ISNUMBER(INDEX(pl_period,36)),MAX(INDEX(pl_due,36),p_today),"")</f>
        <v/>
      </c>
      <c r="T45" t="str">
        <f>IF(ISNUMBER(INDEX(pl_period,36)),INDEX(pl_period,36),"")</f>
        <v/>
      </c>
      <c r="U45">
        <f>N(INDEX(pl_dur,36))</f>
        <v>0.0</v>
      </c>
    </row>
    <row r="46">
      <c r="A46" s="93" t="str">
        <f>IF(INDEX(pl_status,37)="","",INDEX(pl_num,37)&amp;"")</f>
        <v/>
      </c>
      <c r="B46" s="93" t="str">
        <f>IF(INDEX(pl_status,37)="","",INDEX(pl_eq,37)&amp;"")</f>
        <v/>
      </c>
      <c r="C46" s="93" t="str">
        <f>IF(INDEX(pl_status,37)="","",INDEX(pl_task,37)&amp;"")</f>
        <v/>
      </c>
      <c r="D46" s="94" t="str">
        <f>IF(ISNUMBER(INDEX(pl_due,37)),INDEX(pl_due,37),"")</f>
        <v/>
      </c>
      <c r="E46" s="95" t="str">
        <f>INDEX(pl_status,37)&amp;""</f>
        <v/>
      </c>
      <c r="F46" s="96" t="str">
        <f>IF(E46="En retard","●","")</f>
        <v/>
      </c>
      <c r="G46" s="97">
        <f>IF(ISNUMBER($S46),MAX(0,INT((G$6+6-$S46)/$T46)-MAX(0,-INT(-(G$6-$S46)/$T46))+1),0)</f>
        <v>0.0</v>
      </c>
      <c r="H46" s="97">
        <f>IF(ISNUMBER($S46),MAX(0,INT((H$6+6-$S46)/$T46)-MAX(0,-INT(-(H$6-$S46)/$T46))+1),0)</f>
        <v>0.0</v>
      </c>
      <c r="I46" s="97">
        <f>IF(ISNUMBER($S46),MAX(0,INT((I$6+6-$S46)/$T46)-MAX(0,-INT(-(I$6-$S46)/$T46))+1),0)</f>
        <v>0.0</v>
      </c>
      <c r="J46" s="97">
        <f>IF(ISNUMBER($S46),MAX(0,INT((J$6+6-$S46)/$T46)-MAX(0,-INT(-(J$6-$S46)/$T46))+1),0)</f>
        <v>0.0</v>
      </c>
      <c r="K46" s="97">
        <f>IF(ISNUMBER($S46),MAX(0,INT((K$6+6-$S46)/$T46)-MAX(0,-INT(-(K$6-$S46)/$T46))+1),0)</f>
        <v>0.0</v>
      </c>
      <c r="L46" s="97">
        <f>IF(ISNUMBER($S46),MAX(0,INT((L$6+6-$S46)/$T46)-MAX(0,-INT(-(L$6-$S46)/$T46))+1),0)</f>
        <v>0.0</v>
      </c>
      <c r="M46" s="97">
        <f>IF(ISNUMBER($S46),MAX(0,INT((M$6+6-$S46)/$T46)-MAX(0,-INT(-(M$6-$S46)/$T46))+1),0)</f>
        <v>0.0</v>
      </c>
      <c r="N46" s="97">
        <f>IF(ISNUMBER($S46),MAX(0,INT((N$6+6-$S46)/$T46)-MAX(0,-INT(-(N$6-$S46)/$T46))+1),0)</f>
        <v>0.0</v>
      </c>
      <c r="O46" s="97">
        <f>IF(ISNUMBER($S46),MAX(0,INT((O$6+6-$S46)/$T46)-MAX(0,-INT(-(O$6-$S46)/$T46))+1),0)</f>
        <v>0.0</v>
      </c>
      <c r="P46" s="97">
        <f>IF(ISNUMBER($S46),MAX(0,INT((P$6+6-$S46)/$T46)-MAX(0,-INT(-(P$6-$S46)/$T46))+1),0)</f>
        <v>0.0</v>
      </c>
      <c r="Q46" s="97">
        <f>IF(ISNUMBER($S46),MAX(0,INT((Q$6+6-$S46)/$T46)-MAX(0,-INT(-(Q$6-$S46)/$T46))+1),0)</f>
        <v>0.0</v>
      </c>
      <c r="R46" s="97">
        <f>IF(ISNUMBER($S46),MAX(0,INT((R$6+6-$S46)/$T46)-MAX(0,-INT(-(R$6-$S46)/$T46))+1),0)</f>
        <v>0.0</v>
      </c>
      <c r="S46" t="str">
        <f>IF(ISNUMBER(INDEX(pl_period,37)),MAX(INDEX(pl_due,37),p_today),"")</f>
        <v/>
      </c>
      <c r="T46" t="str">
        <f>IF(ISNUMBER(INDEX(pl_period,37)),INDEX(pl_period,37),"")</f>
        <v/>
      </c>
      <c r="U46">
        <f>N(INDEX(pl_dur,37))</f>
        <v>0.0</v>
      </c>
    </row>
    <row r="47">
      <c r="A47" s="93" t="str">
        <f>IF(INDEX(pl_status,38)="","",INDEX(pl_num,38)&amp;"")</f>
        <v/>
      </c>
      <c r="B47" s="93" t="str">
        <f>IF(INDEX(pl_status,38)="","",INDEX(pl_eq,38)&amp;"")</f>
        <v/>
      </c>
      <c r="C47" s="93" t="str">
        <f>IF(INDEX(pl_status,38)="","",INDEX(pl_task,38)&amp;"")</f>
        <v/>
      </c>
      <c r="D47" s="94" t="str">
        <f>IF(ISNUMBER(INDEX(pl_due,38)),INDEX(pl_due,38),"")</f>
        <v/>
      </c>
      <c r="E47" s="95" t="str">
        <f>INDEX(pl_status,38)&amp;""</f>
        <v/>
      </c>
      <c r="F47" s="96" t="str">
        <f>IF(E47="En retard","●","")</f>
        <v/>
      </c>
      <c r="G47" s="97">
        <f>IF(ISNUMBER($S47),MAX(0,INT((G$6+6-$S47)/$T47)-MAX(0,-INT(-(G$6-$S47)/$T47))+1),0)</f>
        <v>0.0</v>
      </c>
      <c r="H47" s="97">
        <f>IF(ISNUMBER($S47),MAX(0,INT((H$6+6-$S47)/$T47)-MAX(0,-INT(-(H$6-$S47)/$T47))+1),0)</f>
        <v>0.0</v>
      </c>
      <c r="I47" s="97">
        <f>IF(ISNUMBER($S47),MAX(0,INT((I$6+6-$S47)/$T47)-MAX(0,-INT(-(I$6-$S47)/$T47))+1),0)</f>
        <v>0.0</v>
      </c>
      <c r="J47" s="97">
        <f>IF(ISNUMBER($S47),MAX(0,INT((J$6+6-$S47)/$T47)-MAX(0,-INT(-(J$6-$S47)/$T47))+1),0)</f>
        <v>0.0</v>
      </c>
      <c r="K47" s="97">
        <f>IF(ISNUMBER($S47),MAX(0,INT((K$6+6-$S47)/$T47)-MAX(0,-INT(-(K$6-$S47)/$T47))+1),0)</f>
        <v>0.0</v>
      </c>
      <c r="L47" s="97">
        <f>IF(ISNUMBER($S47),MAX(0,INT((L$6+6-$S47)/$T47)-MAX(0,-INT(-(L$6-$S47)/$T47))+1),0)</f>
        <v>0.0</v>
      </c>
      <c r="M47" s="97">
        <f>IF(ISNUMBER($S47),MAX(0,INT((M$6+6-$S47)/$T47)-MAX(0,-INT(-(M$6-$S47)/$T47))+1),0)</f>
        <v>0.0</v>
      </c>
      <c r="N47" s="97">
        <f>IF(ISNUMBER($S47),MAX(0,INT((N$6+6-$S47)/$T47)-MAX(0,-INT(-(N$6-$S47)/$T47))+1),0)</f>
        <v>0.0</v>
      </c>
      <c r="O47" s="97">
        <f>IF(ISNUMBER($S47),MAX(0,INT((O$6+6-$S47)/$T47)-MAX(0,-INT(-(O$6-$S47)/$T47))+1),0)</f>
        <v>0.0</v>
      </c>
      <c r="P47" s="97">
        <f>IF(ISNUMBER($S47),MAX(0,INT((P$6+6-$S47)/$T47)-MAX(0,-INT(-(P$6-$S47)/$T47))+1),0)</f>
        <v>0.0</v>
      </c>
      <c r="Q47" s="97">
        <f>IF(ISNUMBER($S47),MAX(0,INT((Q$6+6-$S47)/$T47)-MAX(0,-INT(-(Q$6-$S47)/$T47))+1),0)</f>
        <v>0.0</v>
      </c>
      <c r="R47" s="97">
        <f>IF(ISNUMBER($S47),MAX(0,INT((R$6+6-$S47)/$T47)-MAX(0,-INT(-(R$6-$S47)/$T47))+1),0)</f>
        <v>0.0</v>
      </c>
      <c r="S47" t="str">
        <f>IF(ISNUMBER(INDEX(pl_period,38)),MAX(INDEX(pl_due,38),p_today),"")</f>
        <v/>
      </c>
      <c r="T47" t="str">
        <f>IF(ISNUMBER(INDEX(pl_period,38)),INDEX(pl_period,38),"")</f>
        <v/>
      </c>
      <c r="U47">
        <f>N(INDEX(pl_dur,38))</f>
        <v>0.0</v>
      </c>
    </row>
    <row r="48">
      <c r="A48" s="93" t="str">
        <f>IF(INDEX(pl_status,39)="","",INDEX(pl_num,39)&amp;"")</f>
        <v/>
      </c>
      <c r="B48" s="93" t="str">
        <f>IF(INDEX(pl_status,39)="","",INDEX(pl_eq,39)&amp;"")</f>
        <v/>
      </c>
      <c r="C48" s="93" t="str">
        <f>IF(INDEX(pl_status,39)="","",INDEX(pl_task,39)&amp;"")</f>
        <v/>
      </c>
      <c r="D48" s="94" t="str">
        <f>IF(ISNUMBER(INDEX(pl_due,39)),INDEX(pl_due,39),"")</f>
        <v/>
      </c>
      <c r="E48" s="95" t="str">
        <f>INDEX(pl_status,39)&amp;""</f>
        <v/>
      </c>
      <c r="F48" s="96" t="str">
        <f>IF(E48="En retard","●","")</f>
        <v/>
      </c>
      <c r="G48" s="97">
        <f>IF(ISNUMBER($S48),MAX(0,INT((G$6+6-$S48)/$T48)-MAX(0,-INT(-(G$6-$S48)/$T48))+1),0)</f>
        <v>0.0</v>
      </c>
      <c r="H48" s="97">
        <f>IF(ISNUMBER($S48),MAX(0,INT((H$6+6-$S48)/$T48)-MAX(0,-INT(-(H$6-$S48)/$T48))+1),0)</f>
        <v>0.0</v>
      </c>
      <c r="I48" s="97">
        <f>IF(ISNUMBER($S48),MAX(0,INT((I$6+6-$S48)/$T48)-MAX(0,-INT(-(I$6-$S48)/$T48))+1),0)</f>
        <v>0.0</v>
      </c>
      <c r="J48" s="97">
        <f>IF(ISNUMBER($S48),MAX(0,INT((J$6+6-$S48)/$T48)-MAX(0,-INT(-(J$6-$S48)/$T48))+1),0)</f>
        <v>0.0</v>
      </c>
      <c r="K48" s="97">
        <f>IF(ISNUMBER($S48),MAX(0,INT((K$6+6-$S48)/$T48)-MAX(0,-INT(-(K$6-$S48)/$T48))+1),0)</f>
        <v>0.0</v>
      </c>
      <c r="L48" s="97">
        <f>IF(ISNUMBER($S48),MAX(0,INT((L$6+6-$S48)/$T48)-MAX(0,-INT(-(L$6-$S48)/$T48))+1),0)</f>
        <v>0.0</v>
      </c>
      <c r="M48" s="97">
        <f>IF(ISNUMBER($S48),MAX(0,INT((M$6+6-$S48)/$T48)-MAX(0,-INT(-(M$6-$S48)/$T48))+1),0)</f>
        <v>0.0</v>
      </c>
      <c r="N48" s="97">
        <f>IF(ISNUMBER($S48),MAX(0,INT((N$6+6-$S48)/$T48)-MAX(0,-INT(-(N$6-$S48)/$T48))+1),0)</f>
        <v>0.0</v>
      </c>
      <c r="O48" s="97">
        <f>IF(ISNUMBER($S48),MAX(0,INT((O$6+6-$S48)/$T48)-MAX(0,-INT(-(O$6-$S48)/$T48))+1),0)</f>
        <v>0.0</v>
      </c>
      <c r="P48" s="97">
        <f>IF(ISNUMBER($S48),MAX(0,INT((P$6+6-$S48)/$T48)-MAX(0,-INT(-(P$6-$S48)/$T48))+1),0)</f>
        <v>0.0</v>
      </c>
      <c r="Q48" s="97">
        <f>IF(ISNUMBER($S48),MAX(0,INT((Q$6+6-$S48)/$T48)-MAX(0,-INT(-(Q$6-$S48)/$T48))+1),0)</f>
        <v>0.0</v>
      </c>
      <c r="R48" s="97">
        <f>IF(ISNUMBER($S48),MAX(0,INT((R$6+6-$S48)/$T48)-MAX(0,-INT(-(R$6-$S48)/$T48))+1),0)</f>
        <v>0.0</v>
      </c>
      <c r="S48" t="str">
        <f>IF(ISNUMBER(INDEX(pl_period,39)),MAX(INDEX(pl_due,39),p_today),"")</f>
        <v/>
      </c>
      <c r="T48" t="str">
        <f>IF(ISNUMBER(INDEX(pl_period,39)),INDEX(pl_period,39),"")</f>
        <v/>
      </c>
      <c r="U48">
        <f>N(INDEX(pl_dur,39))</f>
        <v>0.0</v>
      </c>
    </row>
    <row r="49">
      <c r="A49" s="93" t="str">
        <f>IF(INDEX(pl_status,40)="","",INDEX(pl_num,40)&amp;"")</f>
        <v/>
      </c>
      <c r="B49" s="93" t="str">
        <f>IF(INDEX(pl_status,40)="","",INDEX(pl_eq,40)&amp;"")</f>
        <v/>
      </c>
      <c r="C49" s="93" t="str">
        <f>IF(INDEX(pl_status,40)="","",INDEX(pl_task,40)&amp;"")</f>
        <v/>
      </c>
      <c r="D49" s="94" t="str">
        <f>IF(ISNUMBER(INDEX(pl_due,40)),INDEX(pl_due,40),"")</f>
        <v/>
      </c>
      <c r="E49" s="95" t="str">
        <f>INDEX(pl_status,40)&amp;""</f>
        <v/>
      </c>
      <c r="F49" s="96" t="str">
        <f>IF(E49="En retard","●","")</f>
        <v/>
      </c>
      <c r="G49" s="97">
        <f>IF(ISNUMBER($S49),MAX(0,INT((G$6+6-$S49)/$T49)-MAX(0,-INT(-(G$6-$S49)/$T49))+1),0)</f>
        <v>0.0</v>
      </c>
      <c r="H49" s="97">
        <f>IF(ISNUMBER($S49),MAX(0,INT((H$6+6-$S49)/$T49)-MAX(0,-INT(-(H$6-$S49)/$T49))+1),0)</f>
        <v>0.0</v>
      </c>
      <c r="I49" s="97">
        <f>IF(ISNUMBER($S49),MAX(0,INT((I$6+6-$S49)/$T49)-MAX(0,-INT(-(I$6-$S49)/$T49))+1),0)</f>
        <v>0.0</v>
      </c>
      <c r="J49" s="97">
        <f>IF(ISNUMBER($S49),MAX(0,INT((J$6+6-$S49)/$T49)-MAX(0,-INT(-(J$6-$S49)/$T49))+1),0)</f>
        <v>0.0</v>
      </c>
      <c r="K49" s="97">
        <f>IF(ISNUMBER($S49),MAX(0,INT((K$6+6-$S49)/$T49)-MAX(0,-INT(-(K$6-$S49)/$T49))+1),0)</f>
        <v>0.0</v>
      </c>
      <c r="L49" s="97">
        <f>IF(ISNUMBER($S49),MAX(0,INT((L$6+6-$S49)/$T49)-MAX(0,-INT(-(L$6-$S49)/$T49))+1),0)</f>
        <v>0.0</v>
      </c>
      <c r="M49" s="97">
        <f>IF(ISNUMBER($S49),MAX(0,INT((M$6+6-$S49)/$T49)-MAX(0,-INT(-(M$6-$S49)/$T49))+1),0)</f>
        <v>0.0</v>
      </c>
      <c r="N49" s="97">
        <f>IF(ISNUMBER($S49),MAX(0,INT((N$6+6-$S49)/$T49)-MAX(0,-INT(-(N$6-$S49)/$T49))+1),0)</f>
        <v>0.0</v>
      </c>
      <c r="O49" s="97">
        <f>IF(ISNUMBER($S49),MAX(0,INT((O$6+6-$S49)/$T49)-MAX(0,-INT(-(O$6-$S49)/$T49))+1),0)</f>
        <v>0.0</v>
      </c>
      <c r="P49" s="97">
        <f>IF(ISNUMBER($S49),MAX(0,INT((P$6+6-$S49)/$T49)-MAX(0,-INT(-(P$6-$S49)/$T49))+1),0)</f>
        <v>0.0</v>
      </c>
      <c r="Q49" s="97">
        <f>IF(ISNUMBER($S49),MAX(0,INT((Q$6+6-$S49)/$T49)-MAX(0,-INT(-(Q$6-$S49)/$T49))+1),0)</f>
        <v>0.0</v>
      </c>
      <c r="R49" s="97">
        <f>IF(ISNUMBER($S49),MAX(0,INT((R$6+6-$S49)/$T49)-MAX(0,-INT(-(R$6-$S49)/$T49))+1),0)</f>
        <v>0.0</v>
      </c>
      <c r="S49" t="str">
        <f>IF(ISNUMBER(INDEX(pl_period,40)),MAX(INDEX(pl_due,40),p_today),"")</f>
        <v/>
      </c>
      <c r="T49" t="str">
        <f>IF(ISNUMBER(INDEX(pl_period,40)),INDEX(pl_period,40),"")</f>
        <v/>
      </c>
      <c r="U49">
        <f>N(INDEX(pl_dur,40))</f>
        <v>0.0</v>
      </c>
    </row>
    <row r="50">
      <c r="A50" s="93" t="str">
        <f>IF(INDEX(pl_status,41)="","",INDEX(pl_num,41)&amp;"")</f>
        <v/>
      </c>
      <c r="B50" s="93" t="str">
        <f>IF(INDEX(pl_status,41)="","",INDEX(pl_eq,41)&amp;"")</f>
        <v/>
      </c>
      <c r="C50" s="93" t="str">
        <f>IF(INDEX(pl_status,41)="","",INDEX(pl_task,41)&amp;"")</f>
        <v/>
      </c>
      <c r="D50" s="94" t="str">
        <f>IF(ISNUMBER(INDEX(pl_due,41)),INDEX(pl_due,41),"")</f>
        <v/>
      </c>
      <c r="E50" s="95" t="str">
        <f>INDEX(pl_status,41)&amp;""</f>
        <v/>
      </c>
      <c r="F50" s="96" t="str">
        <f>IF(E50="En retard","●","")</f>
        <v/>
      </c>
      <c r="G50" s="97">
        <f>IF(ISNUMBER($S50),MAX(0,INT((G$6+6-$S50)/$T50)-MAX(0,-INT(-(G$6-$S50)/$T50))+1),0)</f>
        <v>0.0</v>
      </c>
      <c r="H50" s="97">
        <f>IF(ISNUMBER($S50),MAX(0,INT((H$6+6-$S50)/$T50)-MAX(0,-INT(-(H$6-$S50)/$T50))+1),0)</f>
        <v>0.0</v>
      </c>
      <c r="I50" s="97">
        <f>IF(ISNUMBER($S50),MAX(0,INT((I$6+6-$S50)/$T50)-MAX(0,-INT(-(I$6-$S50)/$T50))+1),0)</f>
        <v>0.0</v>
      </c>
      <c r="J50" s="97">
        <f>IF(ISNUMBER($S50),MAX(0,INT((J$6+6-$S50)/$T50)-MAX(0,-INT(-(J$6-$S50)/$T50))+1),0)</f>
        <v>0.0</v>
      </c>
      <c r="K50" s="97">
        <f>IF(ISNUMBER($S50),MAX(0,INT((K$6+6-$S50)/$T50)-MAX(0,-INT(-(K$6-$S50)/$T50))+1),0)</f>
        <v>0.0</v>
      </c>
      <c r="L50" s="97">
        <f>IF(ISNUMBER($S50),MAX(0,INT((L$6+6-$S50)/$T50)-MAX(0,-INT(-(L$6-$S50)/$T50))+1),0)</f>
        <v>0.0</v>
      </c>
      <c r="M50" s="97">
        <f>IF(ISNUMBER($S50),MAX(0,INT((M$6+6-$S50)/$T50)-MAX(0,-INT(-(M$6-$S50)/$T50))+1),0)</f>
        <v>0.0</v>
      </c>
      <c r="N50" s="97">
        <f>IF(ISNUMBER($S50),MAX(0,INT((N$6+6-$S50)/$T50)-MAX(0,-INT(-(N$6-$S50)/$T50))+1),0)</f>
        <v>0.0</v>
      </c>
      <c r="O50" s="97">
        <f>IF(ISNUMBER($S50),MAX(0,INT((O$6+6-$S50)/$T50)-MAX(0,-INT(-(O$6-$S50)/$T50))+1),0)</f>
        <v>0.0</v>
      </c>
      <c r="P50" s="97">
        <f>IF(ISNUMBER($S50),MAX(0,INT((P$6+6-$S50)/$T50)-MAX(0,-INT(-(P$6-$S50)/$T50))+1),0)</f>
        <v>0.0</v>
      </c>
      <c r="Q50" s="97">
        <f>IF(ISNUMBER($S50),MAX(0,INT((Q$6+6-$S50)/$T50)-MAX(0,-INT(-(Q$6-$S50)/$T50))+1),0)</f>
        <v>0.0</v>
      </c>
      <c r="R50" s="97">
        <f>IF(ISNUMBER($S50),MAX(0,INT((R$6+6-$S50)/$T50)-MAX(0,-INT(-(R$6-$S50)/$T50))+1),0)</f>
        <v>0.0</v>
      </c>
      <c r="S50" t="str">
        <f>IF(ISNUMBER(INDEX(pl_period,41)),MAX(INDEX(pl_due,41),p_today),"")</f>
        <v/>
      </c>
      <c r="T50" t="str">
        <f>IF(ISNUMBER(INDEX(pl_period,41)),INDEX(pl_period,41),"")</f>
        <v/>
      </c>
      <c r="U50">
        <f>N(INDEX(pl_dur,41))</f>
        <v>0.0</v>
      </c>
    </row>
    <row r="51">
      <c r="A51" s="93" t="str">
        <f>IF(INDEX(pl_status,42)="","",INDEX(pl_num,42)&amp;"")</f>
        <v/>
      </c>
      <c r="B51" s="93" t="str">
        <f>IF(INDEX(pl_status,42)="","",INDEX(pl_eq,42)&amp;"")</f>
        <v/>
      </c>
      <c r="C51" s="93" t="str">
        <f>IF(INDEX(pl_status,42)="","",INDEX(pl_task,42)&amp;"")</f>
        <v/>
      </c>
      <c r="D51" s="94" t="str">
        <f>IF(ISNUMBER(INDEX(pl_due,42)),INDEX(pl_due,42),"")</f>
        <v/>
      </c>
      <c r="E51" s="95" t="str">
        <f>INDEX(pl_status,42)&amp;""</f>
        <v/>
      </c>
      <c r="F51" s="96" t="str">
        <f>IF(E51="En retard","●","")</f>
        <v/>
      </c>
      <c r="G51" s="97">
        <f>IF(ISNUMBER($S51),MAX(0,INT((G$6+6-$S51)/$T51)-MAX(0,-INT(-(G$6-$S51)/$T51))+1),0)</f>
        <v>0.0</v>
      </c>
      <c r="H51" s="97">
        <f>IF(ISNUMBER($S51),MAX(0,INT((H$6+6-$S51)/$T51)-MAX(0,-INT(-(H$6-$S51)/$T51))+1),0)</f>
        <v>0.0</v>
      </c>
      <c r="I51" s="97">
        <f>IF(ISNUMBER($S51),MAX(0,INT((I$6+6-$S51)/$T51)-MAX(0,-INT(-(I$6-$S51)/$T51))+1),0)</f>
        <v>0.0</v>
      </c>
      <c r="J51" s="97">
        <f>IF(ISNUMBER($S51),MAX(0,INT((J$6+6-$S51)/$T51)-MAX(0,-INT(-(J$6-$S51)/$T51))+1),0)</f>
        <v>0.0</v>
      </c>
      <c r="K51" s="97">
        <f>IF(ISNUMBER($S51),MAX(0,INT((K$6+6-$S51)/$T51)-MAX(0,-INT(-(K$6-$S51)/$T51))+1),0)</f>
        <v>0.0</v>
      </c>
      <c r="L51" s="97">
        <f>IF(ISNUMBER($S51),MAX(0,INT((L$6+6-$S51)/$T51)-MAX(0,-INT(-(L$6-$S51)/$T51))+1),0)</f>
        <v>0.0</v>
      </c>
      <c r="M51" s="97">
        <f>IF(ISNUMBER($S51),MAX(0,INT((M$6+6-$S51)/$T51)-MAX(0,-INT(-(M$6-$S51)/$T51))+1),0)</f>
        <v>0.0</v>
      </c>
      <c r="N51" s="97">
        <f>IF(ISNUMBER($S51),MAX(0,INT((N$6+6-$S51)/$T51)-MAX(0,-INT(-(N$6-$S51)/$T51))+1),0)</f>
        <v>0.0</v>
      </c>
      <c r="O51" s="97">
        <f>IF(ISNUMBER($S51),MAX(0,INT((O$6+6-$S51)/$T51)-MAX(0,-INT(-(O$6-$S51)/$T51))+1),0)</f>
        <v>0.0</v>
      </c>
      <c r="P51" s="97">
        <f>IF(ISNUMBER($S51),MAX(0,INT((P$6+6-$S51)/$T51)-MAX(0,-INT(-(P$6-$S51)/$T51))+1),0)</f>
        <v>0.0</v>
      </c>
      <c r="Q51" s="97">
        <f>IF(ISNUMBER($S51),MAX(0,INT((Q$6+6-$S51)/$T51)-MAX(0,-INT(-(Q$6-$S51)/$T51))+1),0)</f>
        <v>0.0</v>
      </c>
      <c r="R51" s="97">
        <f>IF(ISNUMBER($S51),MAX(0,INT((R$6+6-$S51)/$T51)-MAX(0,-INT(-(R$6-$S51)/$T51))+1),0)</f>
        <v>0.0</v>
      </c>
      <c r="S51" t="str">
        <f>IF(ISNUMBER(INDEX(pl_period,42)),MAX(INDEX(pl_due,42),p_today),"")</f>
        <v/>
      </c>
      <c r="T51" t="str">
        <f>IF(ISNUMBER(INDEX(pl_period,42)),INDEX(pl_period,42),"")</f>
        <v/>
      </c>
      <c r="U51">
        <f>N(INDEX(pl_dur,42))</f>
        <v>0.0</v>
      </c>
    </row>
    <row r="52">
      <c r="A52" s="93" t="str">
        <f>IF(INDEX(pl_status,43)="","",INDEX(pl_num,43)&amp;"")</f>
        <v/>
      </c>
      <c r="B52" s="93" t="str">
        <f>IF(INDEX(pl_status,43)="","",INDEX(pl_eq,43)&amp;"")</f>
        <v/>
      </c>
      <c r="C52" s="93" t="str">
        <f>IF(INDEX(pl_status,43)="","",INDEX(pl_task,43)&amp;"")</f>
        <v/>
      </c>
      <c r="D52" s="94" t="str">
        <f>IF(ISNUMBER(INDEX(pl_due,43)),INDEX(pl_due,43),"")</f>
        <v/>
      </c>
      <c r="E52" s="95" t="str">
        <f>INDEX(pl_status,43)&amp;""</f>
        <v/>
      </c>
      <c r="F52" s="96" t="str">
        <f>IF(E52="En retard","●","")</f>
        <v/>
      </c>
      <c r="G52" s="97">
        <f>IF(ISNUMBER($S52),MAX(0,INT((G$6+6-$S52)/$T52)-MAX(0,-INT(-(G$6-$S52)/$T52))+1),0)</f>
        <v>0.0</v>
      </c>
      <c r="H52" s="97">
        <f>IF(ISNUMBER($S52),MAX(0,INT((H$6+6-$S52)/$T52)-MAX(0,-INT(-(H$6-$S52)/$T52))+1),0)</f>
        <v>0.0</v>
      </c>
      <c r="I52" s="97">
        <f>IF(ISNUMBER($S52),MAX(0,INT((I$6+6-$S52)/$T52)-MAX(0,-INT(-(I$6-$S52)/$T52))+1),0)</f>
        <v>0.0</v>
      </c>
      <c r="J52" s="97">
        <f>IF(ISNUMBER($S52),MAX(0,INT((J$6+6-$S52)/$T52)-MAX(0,-INT(-(J$6-$S52)/$T52))+1),0)</f>
        <v>0.0</v>
      </c>
      <c r="K52" s="97">
        <f>IF(ISNUMBER($S52),MAX(0,INT((K$6+6-$S52)/$T52)-MAX(0,-INT(-(K$6-$S52)/$T52))+1),0)</f>
        <v>0.0</v>
      </c>
      <c r="L52" s="97">
        <f>IF(ISNUMBER($S52),MAX(0,INT((L$6+6-$S52)/$T52)-MAX(0,-INT(-(L$6-$S52)/$T52))+1),0)</f>
        <v>0.0</v>
      </c>
      <c r="M52" s="97">
        <f>IF(ISNUMBER($S52),MAX(0,INT((M$6+6-$S52)/$T52)-MAX(0,-INT(-(M$6-$S52)/$T52))+1),0)</f>
        <v>0.0</v>
      </c>
      <c r="N52" s="97">
        <f>IF(ISNUMBER($S52),MAX(0,INT((N$6+6-$S52)/$T52)-MAX(0,-INT(-(N$6-$S52)/$T52))+1),0)</f>
        <v>0.0</v>
      </c>
      <c r="O52" s="97">
        <f>IF(ISNUMBER($S52),MAX(0,INT((O$6+6-$S52)/$T52)-MAX(0,-INT(-(O$6-$S52)/$T52))+1),0)</f>
        <v>0.0</v>
      </c>
      <c r="P52" s="97">
        <f>IF(ISNUMBER($S52),MAX(0,INT((P$6+6-$S52)/$T52)-MAX(0,-INT(-(P$6-$S52)/$T52))+1),0)</f>
        <v>0.0</v>
      </c>
      <c r="Q52" s="97">
        <f>IF(ISNUMBER($S52),MAX(0,INT((Q$6+6-$S52)/$T52)-MAX(0,-INT(-(Q$6-$S52)/$T52))+1),0)</f>
        <v>0.0</v>
      </c>
      <c r="R52" s="97">
        <f>IF(ISNUMBER($S52),MAX(0,INT((R$6+6-$S52)/$T52)-MAX(0,-INT(-(R$6-$S52)/$T52))+1),0)</f>
        <v>0.0</v>
      </c>
      <c r="S52" t="str">
        <f>IF(ISNUMBER(INDEX(pl_period,43)),MAX(INDEX(pl_due,43),p_today),"")</f>
        <v/>
      </c>
      <c r="T52" t="str">
        <f>IF(ISNUMBER(INDEX(pl_period,43)),INDEX(pl_period,43),"")</f>
        <v/>
      </c>
      <c r="U52">
        <f>N(INDEX(pl_dur,43))</f>
        <v>0.0</v>
      </c>
    </row>
    <row r="53">
      <c r="A53" s="93" t="str">
        <f>IF(INDEX(pl_status,44)="","",INDEX(pl_num,44)&amp;"")</f>
        <v/>
      </c>
      <c r="B53" s="93" t="str">
        <f>IF(INDEX(pl_status,44)="","",INDEX(pl_eq,44)&amp;"")</f>
        <v/>
      </c>
      <c r="C53" s="93" t="str">
        <f>IF(INDEX(pl_status,44)="","",INDEX(pl_task,44)&amp;"")</f>
        <v/>
      </c>
      <c r="D53" s="94" t="str">
        <f>IF(ISNUMBER(INDEX(pl_due,44)),INDEX(pl_due,44),"")</f>
        <v/>
      </c>
      <c r="E53" s="95" t="str">
        <f>INDEX(pl_status,44)&amp;""</f>
        <v/>
      </c>
      <c r="F53" s="96" t="str">
        <f>IF(E53="En retard","●","")</f>
        <v/>
      </c>
      <c r="G53" s="97">
        <f>IF(ISNUMBER($S53),MAX(0,INT((G$6+6-$S53)/$T53)-MAX(0,-INT(-(G$6-$S53)/$T53))+1),0)</f>
        <v>0.0</v>
      </c>
      <c r="H53" s="97">
        <f>IF(ISNUMBER($S53),MAX(0,INT((H$6+6-$S53)/$T53)-MAX(0,-INT(-(H$6-$S53)/$T53))+1),0)</f>
        <v>0.0</v>
      </c>
      <c r="I53" s="97">
        <f>IF(ISNUMBER($S53),MAX(0,INT((I$6+6-$S53)/$T53)-MAX(0,-INT(-(I$6-$S53)/$T53))+1),0)</f>
        <v>0.0</v>
      </c>
      <c r="J53" s="97">
        <f>IF(ISNUMBER($S53),MAX(0,INT((J$6+6-$S53)/$T53)-MAX(0,-INT(-(J$6-$S53)/$T53))+1),0)</f>
        <v>0.0</v>
      </c>
      <c r="K53" s="97">
        <f>IF(ISNUMBER($S53),MAX(0,INT((K$6+6-$S53)/$T53)-MAX(0,-INT(-(K$6-$S53)/$T53))+1),0)</f>
        <v>0.0</v>
      </c>
      <c r="L53" s="97">
        <f>IF(ISNUMBER($S53),MAX(0,INT((L$6+6-$S53)/$T53)-MAX(0,-INT(-(L$6-$S53)/$T53))+1),0)</f>
        <v>0.0</v>
      </c>
      <c r="M53" s="97">
        <f>IF(ISNUMBER($S53),MAX(0,INT((M$6+6-$S53)/$T53)-MAX(0,-INT(-(M$6-$S53)/$T53))+1),0)</f>
        <v>0.0</v>
      </c>
      <c r="N53" s="97">
        <f>IF(ISNUMBER($S53),MAX(0,INT((N$6+6-$S53)/$T53)-MAX(0,-INT(-(N$6-$S53)/$T53))+1),0)</f>
        <v>0.0</v>
      </c>
      <c r="O53" s="97">
        <f>IF(ISNUMBER($S53),MAX(0,INT((O$6+6-$S53)/$T53)-MAX(0,-INT(-(O$6-$S53)/$T53))+1),0)</f>
        <v>0.0</v>
      </c>
      <c r="P53" s="97">
        <f>IF(ISNUMBER($S53),MAX(0,INT((P$6+6-$S53)/$T53)-MAX(0,-INT(-(P$6-$S53)/$T53))+1),0)</f>
        <v>0.0</v>
      </c>
      <c r="Q53" s="97">
        <f>IF(ISNUMBER($S53),MAX(0,INT((Q$6+6-$S53)/$T53)-MAX(0,-INT(-(Q$6-$S53)/$T53))+1),0)</f>
        <v>0.0</v>
      </c>
      <c r="R53" s="97">
        <f>IF(ISNUMBER($S53),MAX(0,INT((R$6+6-$S53)/$T53)-MAX(0,-INT(-(R$6-$S53)/$T53))+1),0)</f>
        <v>0.0</v>
      </c>
      <c r="S53" t="str">
        <f>IF(ISNUMBER(INDEX(pl_period,44)),MAX(INDEX(pl_due,44),p_today),"")</f>
        <v/>
      </c>
      <c r="T53" t="str">
        <f>IF(ISNUMBER(INDEX(pl_period,44)),INDEX(pl_period,44),"")</f>
        <v/>
      </c>
      <c r="U53">
        <f>N(INDEX(pl_dur,44))</f>
        <v>0.0</v>
      </c>
    </row>
    <row r="54">
      <c r="A54" s="93" t="str">
        <f>IF(INDEX(pl_status,45)="","",INDEX(pl_num,45)&amp;"")</f>
        <v/>
      </c>
      <c r="B54" s="93" t="str">
        <f>IF(INDEX(pl_status,45)="","",INDEX(pl_eq,45)&amp;"")</f>
        <v/>
      </c>
      <c r="C54" s="93" t="str">
        <f>IF(INDEX(pl_status,45)="","",INDEX(pl_task,45)&amp;"")</f>
        <v/>
      </c>
      <c r="D54" s="94" t="str">
        <f>IF(ISNUMBER(INDEX(pl_due,45)),INDEX(pl_due,45),"")</f>
        <v/>
      </c>
      <c r="E54" s="95" t="str">
        <f>INDEX(pl_status,45)&amp;""</f>
        <v/>
      </c>
      <c r="F54" s="96" t="str">
        <f>IF(E54="En retard","●","")</f>
        <v/>
      </c>
      <c r="G54" s="97">
        <f>IF(ISNUMBER($S54),MAX(0,INT((G$6+6-$S54)/$T54)-MAX(0,-INT(-(G$6-$S54)/$T54))+1),0)</f>
        <v>0.0</v>
      </c>
      <c r="H54" s="97">
        <f>IF(ISNUMBER($S54),MAX(0,INT((H$6+6-$S54)/$T54)-MAX(0,-INT(-(H$6-$S54)/$T54))+1),0)</f>
        <v>0.0</v>
      </c>
      <c r="I54" s="97">
        <f>IF(ISNUMBER($S54),MAX(0,INT((I$6+6-$S54)/$T54)-MAX(0,-INT(-(I$6-$S54)/$T54))+1),0)</f>
        <v>0.0</v>
      </c>
      <c r="J54" s="97">
        <f>IF(ISNUMBER($S54),MAX(0,INT((J$6+6-$S54)/$T54)-MAX(0,-INT(-(J$6-$S54)/$T54))+1),0)</f>
        <v>0.0</v>
      </c>
      <c r="K54" s="97">
        <f>IF(ISNUMBER($S54),MAX(0,INT((K$6+6-$S54)/$T54)-MAX(0,-INT(-(K$6-$S54)/$T54))+1),0)</f>
        <v>0.0</v>
      </c>
      <c r="L54" s="97">
        <f>IF(ISNUMBER($S54),MAX(0,INT((L$6+6-$S54)/$T54)-MAX(0,-INT(-(L$6-$S54)/$T54))+1),0)</f>
        <v>0.0</v>
      </c>
      <c r="M54" s="97">
        <f>IF(ISNUMBER($S54),MAX(0,INT((M$6+6-$S54)/$T54)-MAX(0,-INT(-(M$6-$S54)/$T54))+1),0)</f>
        <v>0.0</v>
      </c>
      <c r="N54" s="97">
        <f>IF(ISNUMBER($S54),MAX(0,INT((N$6+6-$S54)/$T54)-MAX(0,-INT(-(N$6-$S54)/$T54))+1),0)</f>
        <v>0.0</v>
      </c>
      <c r="O54" s="97">
        <f>IF(ISNUMBER($S54),MAX(0,INT((O$6+6-$S54)/$T54)-MAX(0,-INT(-(O$6-$S54)/$T54))+1),0)</f>
        <v>0.0</v>
      </c>
      <c r="P54" s="97">
        <f>IF(ISNUMBER($S54),MAX(0,INT((P$6+6-$S54)/$T54)-MAX(0,-INT(-(P$6-$S54)/$T54))+1),0)</f>
        <v>0.0</v>
      </c>
      <c r="Q54" s="97">
        <f>IF(ISNUMBER($S54),MAX(0,INT((Q$6+6-$S54)/$T54)-MAX(0,-INT(-(Q$6-$S54)/$T54))+1),0)</f>
        <v>0.0</v>
      </c>
      <c r="R54" s="97">
        <f>IF(ISNUMBER($S54),MAX(0,INT((R$6+6-$S54)/$T54)-MAX(0,-INT(-(R$6-$S54)/$T54))+1),0)</f>
        <v>0.0</v>
      </c>
      <c r="S54" t="str">
        <f>IF(ISNUMBER(INDEX(pl_period,45)),MAX(INDEX(pl_due,45),p_today),"")</f>
        <v/>
      </c>
      <c r="T54" t="str">
        <f>IF(ISNUMBER(INDEX(pl_period,45)),INDEX(pl_period,45),"")</f>
        <v/>
      </c>
      <c r="U54">
        <f>N(INDEX(pl_dur,45))</f>
        <v>0.0</v>
      </c>
    </row>
    <row r="55">
      <c r="A55" s="93" t="str">
        <f>IF(INDEX(pl_status,46)="","",INDEX(pl_num,46)&amp;"")</f>
        <v/>
      </c>
      <c r="B55" s="93" t="str">
        <f>IF(INDEX(pl_status,46)="","",INDEX(pl_eq,46)&amp;"")</f>
        <v/>
      </c>
      <c r="C55" s="93" t="str">
        <f>IF(INDEX(pl_status,46)="","",INDEX(pl_task,46)&amp;"")</f>
        <v/>
      </c>
      <c r="D55" s="94" t="str">
        <f>IF(ISNUMBER(INDEX(pl_due,46)),INDEX(pl_due,46),"")</f>
        <v/>
      </c>
      <c r="E55" s="95" t="str">
        <f>INDEX(pl_status,46)&amp;""</f>
        <v/>
      </c>
      <c r="F55" s="96" t="str">
        <f>IF(E55="En retard","●","")</f>
        <v/>
      </c>
      <c r="G55" s="97">
        <f>IF(ISNUMBER($S55),MAX(0,INT((G$6+6-$S55)/$T55)-MAX(0,-INT(-(G$6-$S55)/$T55))+1),0)</f>
        <v>0.0</v>
      </c>
      <c r="H55" s="97">
        <f>IF(ISNUMBER($S55),MAX(0,INT((H$6+6-$S55)/$T55)-MAX(0,-INT(-(H$6-$S55)/$T55))+1),0)</f>
        <v>0.0</v>
      </c>
      <c r="I55" s="97">
        <f>IF(ISNUMBER($S55),MAX(0,INT((I$6+6-$S55)/$T55)-MAX(0,-INT(-(I$6-$S55)/$T55))+1),0)</f>
        <v>0.0</v>
      </c>
      <c r="J55" s="97">
        <f>IF(ISNUMBER($S55),MAX(0,INT((J$6+6-$S55)/$T55)-MAX(0,-INT(-(J$6-$S55)/$T55))+1),0)</f>
        <v>0.0</v>
      </c>
      <c r="K55" s="97">
        <f>IF(ISNUMBER($S55),MAX(0,INT((K$6+6-$S55)/$T55)-MAX(0,-INT(-(K$6-$S55)/$T55))+1),0)</f>
        <v>0.0</v>
      </c>
      <c r="L55" s="97">
        <f>IF(ISNUMBER($S55),MAX(0,INT((L$6+6-$S55)/$T55)-MAX(0,-INT(-(L$6-$S55)/$T55))+1),0)</f>
        <v>0.0</v>
      </c>
      <c r="M55" s="97">
        <f>IF(ISNUMBER($S55),MAX(0,INT((M$6+6-$S55)/$T55)-MAX(0,-INT(-(M$6-$S55)/$T55))+1),0)</f>
        <v>0.0</v>
      </c>
      <c r="N55" s="97">
        <f>IF(ISNUMBER($S55),MAX(0,INT((N$6+6-$S55)/$T55)-MAX(0,-INT(-(N$6-$S55)/$T55))+1),0)</f>
        <v>0.0</v>
      </c>
      <c r="O55" s="97">
        <f>IF(ISNUMBER($S55),MAX(0,INT((O$6+6-$S55)/$T55)-MAX(0,-INT(-(O$6-$S55)/$T55))+1),0)</f>
        <v>0.0</v>
      </c>
      <c r="P55" s="97">
        <f>IF(ISNUMBER($S55),MAX(0,INT((P$6+6-$S55)/$T55)-MAX(0,-INT(-(P$6-$S55)/$T55))+1),0)</f>
        <v>0.0</v>
      </c>
      <c r="Q55" s="97">
        <f>IF(ISNUMBER($S55),MAX(0,INT((Q$6+6-$S55)/$T55)-MAX(0,-INT(-(Q$6-$S55)/$T55))+1),0)</f>
        <v>0.0</v>
      </c>
      <c r="R55" s="97">
        <f>IF(ISNUMBER($S55),MAX(0,INT((R$6+6-$S55)/$T55)-MAX(0,-INT(-(R$6-$S55)/$T55))+1),0)</f>
        <v>0.0</v>
      </c>
      <c r="S55" t="str">
        <f>IF(ISNUMBER(INDEX(pl_period,46)),MAX(INDEX(pl_due,46),p_today),"")</f>
        <v/>
      </c>
      <c r="T55" t="str">
        <f>IF(ISNUMBER(INDEX(pl_period,46)),INDEX(pl_period,46),"")</f>
        <v/>
      </c>
      <c r="U55">
        <f>N(INDEX(pl_dur,46))</f>
        <v>0.0</v>
      </c>
    </row>
    <row r="56">
      <c r="A56" s="93" t="str">
        <f>IF(INDEX(pl_status,47)="","",INDEX(pl_num,47)&amp;"")</f>
        <v/>
      </c>
      <c r="B56" s="93" t="str">
        <f>IF(INDEX(pl_status,47)="","",INDEX(pl_eq,47)&amp;"")</f>
        <v/>
      </c>
      <c r="C56" s="93" t="str">
        <f>IF(INDEX(pl_status,47)="","",INDEX(pl_task,47)&amp;"")</f>
        <v/>
      </c>
      <c r="D56" s="94" t="str">
        <f>IF(ISNUMBER(INDEX(pl_due,47)),INDEX(pl_due,47),"")</f>
        <v/>
      </c>
      <c r="E56" s="95" t="str">
        <f>INDEX(pl_status,47)&amp;""</f>
        <v/>
      </c>
      <c r="F56" s="96" t="str">
        <f>IF(E56="En retard","●","")</f>
        <v/>
      </c>
      <c r="G56" s="97">
        <f>IF(ISNUMBER($S56),MAX(0,INT((G$6+6-$S56)/$T56)-MAX(0,-INT(-(G$6-$S56)/$T56))+1),0)</f>
        <v>0.0</v>
      </c>
      <c r="H56" s="97">
        <f>IF(ISNUMBER($S56),MAX(0,INT((H$6+6-$S56)/$T56)-MAX(0,-INT(-(H$6-$S56)/$T56))+1),0)</f>
        <v>0.0</v>
      </c>
      <c r="I56" s="97">
        <f>IF(ISNUMBER($S56),MAX(0,INT((I$6+6-$S56)/$T56)-MAX(0,-INT(-(I$6-$S56)/$T56))+1),0)</f>
        <v>0.0</v>
      </c>
      <c r="J56" s="97">
        <f>IF(ISNUMBER($S56),MAX(0,INT((J$6+6-$S56)/$T56)-MAX(0,-INT(-(J$6-$S56)/$T56))+1),0)</f>
        <v>0.0</v>
      </c>
      <c r="K56" s="97">
        <f>IF(ISNUMBER($S56),MAX(0,INT((K$6+6-$S56)/$T56)-MAX(0,-INT(-(K$6-$S56)/$T56))+1),0)</f>
        <v>0.0</v>
      </c>
      <c r="L56" s="97">
        <f>IF(ISNUMBER($S56),MAX(0,INT((L$6+6-$S56)/$T56)-MAX(0,-INT(-(L$6-$S56)/$T56))+1),0)</f>
        <v>0.0</v>
      </c>
      <c r="M56" s="97">
        <f>IF(ISNUMBER($S56),MAX(0,INT((M$6+6-$S56)/$T56)-MAX(0,-INT(-(M$6-$S56)/$T56))+1),0)</f>
        <v>0.0</v>
      </c>
      <c r="N56" s="97">
        <f>IF(ISNUMBER($S56),MAX(0,INT((N$6+6-$S56)/$T56)-MAX(0,-INT(-(N$6-$S56)/$T56))+1),0)</f>
        <v>0.0</v>
      </c>
      <c r="O56" s="97">
        <f>IF(ISNUMBER($S56),MAX(0,INT((O$6+6-$S56)/$T56)-MAX(0,-INT(-(O$6-$S56)/$T56))+1),0)</f>
        <v>0.0</v>
      </c>
      <c r="P56" s="97">
        <f>IF(ISNUMBER($S56),MAX(0,INT((P$6+6-$S56)/$T56)-MAX(0,-INT(-(P$6-$S56)/$T56))+1),0)</f>
        <v>0.0</v>
      </c>
      <c r="Q56" s="97">
        <f>IF(ISNUMBER($S56),MAX(0,INT((Q$6+6-$S56)/$T56)-MAX(0,-INT(-(Q$6-$S56)/$T56))+1),0)</f>
        <v>0.0</v>
      </c>
      <c r="R56" s="97">
        <f>IF(ISNUMBER($S56),MAX(0,INT((R$6+6-$S56)/$T56)-MAX(0,-INT(-(R$6-$S56)/$T56))+1),0)</f>
        <v>0.0</v>
      </c>
      <c r="S56" t="str">
        <f>IF(ISNUMBER(INDEX(pl_period,47)),MAX(INDEX(pl_due,47),p_today),"")</f>
        <v/>
      </c>
      <c r="T56" t="str">
        <f>IF(ISNUMBER(INDEX(pl_period,47)),INDEX(pl_period,47),"")</f>
        <v/>
      </c>
      <c r="U56">
        <f>N(INDEX(pl_dur,47))</f>
        <v>0.0</v>
      </c>
    </row>
    <row r="57">
      <c r="A57" s="93" t="str">
        <f>IF(INDEX(pl_status,48)="","",INDEX(pl_num,48)&amp;"")</f>
        <v/>
      </c>
      <c r="B57" s="93" t="str">
        <f>IF(INDEX(pl_status,48)="","",INDEX(pl_eq,48)&amp;"")</f>
        <v/>
      </c>
      <c r="C57" s="93" t="str">
        <f>IF(INDEX(pl_status,48)="","",INDEX(pl_task,48)&amp;"")</f>
        <v/>
      </c>
      <c r="D57" s="94" t="str">
        <f>IF(ISNUMBER(INDEX(pl_due,48)),INDEX(pl_due,48),"")</f>
        <v/>
      </c>
      <c r="E57" s="95" t="str">
        <f>INDEX(pl_status,48)&amp;""</f>
        <v/>
      </c>
      <c r="F57" s="96" t="str">
        <f>IF(E57="En retard","●","")</f>
        <v/>
      </c>
      <c r="G57" s="97">
        <f>IF(ISNUMBER($S57),MAX(0,INT((G$6+6-$S57)/$T57)-MAX(0,-INT(-(G$6-$S57)/$T57))+1),0)</f>
        <v>0.0</v>
      </c>
      <c r="H57" s="97">
        <f>IF(ISNUMBER($S57),MAX(0,INT((H$6+6-$S57)/$T57)-MAX(0,-INT(-(H$6-$S57)/$T57))+1),0)</f>
        <v>0.0</v>
      </c>
      <c r="I57" s="97">
        <f>IF(ISNUMBER($S57),MAX(0,INT((I$6+6-$S57)/$T57)-MAX(0,-INT(-(I$6-$S57)/$T57))+1),0)</f>
        <v>0.0</v>
      </c>
      <c r="J57" s="97">
        <f>IF(ISNUMBER($S57),MAX(0,INT((J$6+6-$S57)/$T57)-MAX(0,-INT(-(J$6-$S57)/$T57))+1),0)</f>
        <v>0.0</v>
      </c>
      <c r="K57" s="97">
        <f>IF(ISNUMBER($S57),MAX(0,INT((K$6+6-$S57)/$T57)-MAX(0,-INT(-(K$6-$S57)/$T57))+1),0)</f>
        <v>0.0</v>
      </c>
      <c r="L57" s="97">
        <f>IF(ISNUMBER($S57),MAX(0,INT((L$6+6-$S57)/$T57)-MAX(0,-INT(-(L$6-$S57)/$T57))+1),0)</f>
        <v>0.0</v>
      </c>
      <c r="M57" s="97">
        <f>IF(ISNUMBER($S57),MAX(0,INT((M$6+6-$S57)/$T57)-MAX(0,-INT(-(M$6-$S57)/$T57))+1),0)</f>
        <v>0.0</v>
      </c>
      <c r="N57" s="97">
        <f>IF(ISNUMBER($S57),MAX(0,INT((N$6+6-$S57)/$T57)-MAX(0,-INT(-(N$6-$S57)/$T57))+1),0)</f>
        <v>0.0</v>
      </c>
      <c r="O57" s="97">
        <f>IF(ISNUMBER($S57),MAX(0,INT((O$6+6-$S57)/$T57)-MAX(0,-INT(-(O$6-$S57)/$T57))+1),0)</f>
        <v>0.0</v>
      </c>
      <c r="P57" s="97">
        <f>IF(ISNUMBER($S57),MAX(0,INT((P$6+6-$S57)/$T57)-MAX(0,-INT(-(P$6-$S57)/$T57))+1),0)</f>
        <v>0.0</v>
      </c>
      <c r="Q57" s="97">
        <f>IF(ISNUMBER($S57),MAX(0,INT((Q$6+6-$S57)/$T57)-MAX(0,-INT(-(Q$6-$S57)/$T57))+1),0)</f>
        <v>0.0</v>
      </c>
      <c r="R57" s="97">
        <f>IF(ISNUMBER($S57),MAX(0,INT((R$6+6-$S57)/$T57)-MAX(0,-INT(-(R$6-$S57)/$T57))+1),0)</f>
        <v>0.0</v>
      </c>
      <c r="S57" t="str">
        <f>IF(ISNUMBER(INDEX(pl_period,48)),MAX(INDEX(pl_due,48),p_today),"")</f>
        <v/>
      </c>
      <c r="T57" t="str">
        <f>IF(ISNUMBER(INDEX(pl_period,48)),INDEX(pl_period,48),"")</f>
        <v/>
      </c>
      <c r="U57">
        <f>N(INDEX(pl_dur,48))</f>
        <v>0.0</v>
      </c>
    </row>
    <row r="58">
      <c r="A58" s="93" t="str">
        <f>IF(INDEX(pl_status,49)="","",INDEX(pl_num,49)&amp;"")</f>
        <v/>
      </c>
      <c r="B58" s="93" t="str">
        <f>IF(INDEX(pl_status,49)="","",INDEX(pl_eq,49)&amp;"")</f>
        <v/>
      </c>
      <c r="C58" s="93" t="str">
        <f>IF(INDEX(pl_status,49)="","",INDEX(pl_task,49)&amp;"")</f>
        <v/>
      </c>
      <c r="D58" s="94" t="str">
        <f>IF(ISNUMBER(INDEX(pl_due,49)),INDEX(pl_due,49),"")</f>
        <v/>
      </c>
      <c r="E58" s="95" t="str">
        <f>INDEX(pl_status,49)&amp;""</f>
        <v/>
      </c>
      <c r="F58" s="96" t="str">
        <f>IF(E58="En retard","●","")</f>
        <v/>
      </c>
      <c r="G58" s="97">
        <f>IF(ISNUMBER($S58),MAX(0,INT((G$6+6-$S58)/$T58)-MAX(0,-INT(-(G$6-$S58)/$T58))+1),0)</f>
        <v>0.0</v>
      </c>
      <c r="H58" s="97">
        <f>IF(ISNUMBER($S58),MAX(0,INT((H$6+6-$S58)/$T58)-MAX(0,-INT(-(H$6-$S58)/$T58))+1),0)</f>
        <v>0.0</v>
      </c>
      <c r="I58" s="97">
        <f>IF(ISNUMBER($S58),MAX(0,INT((I$6+6-$S58)/$T58)-MAX(0,-INT(-(I$6-$S58)/$T58))+1),0)</f>
        <v>0.0</v>
      </c>
      <c r="J58" s="97">
        <f>IF(ISNUMBER($S58),MAX(0,INT((J$6+6-$S58)/$T58)-MAX(0,-INT(-(J$6-$S58)/$T58))+1),0)</f>
        <v>0.0</v>
      </c>
      <c r="K58" s="97">
        <f>IF(ISNUMBER($S58),MAX(0,INT((K$6+6-$S58)/$T58)-MAX(0,-INT(-(K$6-$S58)/$T58))+1),0)</f>
        <v>0.0</v>
      </c>
      <c r="L58" s="97">
        <f>IF(ISNUMBER($S58),MAX(0,INT((L$6+6-$S58)/$T58)-MAX(0,-INT(-(L$6-$S58)/$T58))+1),0)</f>
        <v>0.0</v>
      </c>
      <c r="M58" s="97">
        <f>IF(ISNUMBER($S58),MAX(0,INT((M$6+6-$S58)/$T58)-MAX(0,-INT(-(M$6-$S58)/$T58))+1),0)</f>
        <v>0.0</v>
      </c>
      <c r="N58" s="97">
        <f>IF(ISNUMBER($S58),MAX(0,INT((N$6+6-$S58)/$T58)-MAX(0,-INT(-(N$6-$S58)/$T58))+1),0)</f>
        <v>0.0</v>
      </c>
      <c r="O58" s="97">
        <f>IF(ISNUMBER($S58),MAX(0,INT((O$6+6-$S58)/$T58)-MAX(0,-INT(-(O$6-$S58)/$T58))+1),0)</f>
        <v>0.0</v>
      </c>
      <c r="P58" s="97">
        <f>IF(ISNUMBER($S58),MAX(0,INT((P$6+6-$S58)/$T58)-MAX(0,-INT(-(P$6-$S58)/$T58))+1),0)</f>
        <v>0.0</v>
      </c>
      <c r="Q58" s="97">
        <f>IF(ISNUMBER($S58),MAX(0,INT((Q$6+6-$S58)/$T58)-MAX(0,-INT(-(Q$6-$S58)/$T58))+1),0)</f>
        <v>0.0</v>
      </c>
      <c r="R58" s="97">
        <f>IF(ISNUMBER($S58),MAX(0,INT((R$6+6-$S58)/$T58)-MAX(0,-INT(-(R$6-$S58)/$T58))+1),0)</f>
        <v>0.0</v>
      </c>
      <c r="S58" t="str">
        <f>IF(ISNUMBER(INDEX(pl_period,49)),MAX(INDEX(pl_due,49),p_today),"")</f>
        <v/>
      </c>
      <c r="T58" t="str">
        <f>IF(ISNUMBER(INDEX(pl_period,49)),INDEX(pl_period,49),"")</f>
        <v/>
      </c>
      <c r="U58">
        <f>N(INDEX(pl_dur,49))</f>
        <v>0.0</v>
      </c>
    </row>
    <row r="59">
      <c r="A59" s="93" t="str">
        <f>IF(INDEX(pl_status,50)="","",INDEX(pl_num,50)&amp;"")</f>
        <v/>
      </c>
      <c r="B59" s="93" t="str">
        <f>IF(INDEX(pl_status,50)="","",INDEX(pl_eq,50)&amp;"")</f>
        <v/>
      </c>
      <c r="C59" s="93" t="str">
        <f>IF(INDEX(pl_status,50)="","",INDEX(pl_task,50)&amp;"")</f>
        <v/>
      </c>
      <c r="D59" s="94" t="str">
        <f>IF(ISNUMBER(INDEX(pl_due,50)),INDEX(pl_due,50),"")</f>
        <v/>
      </c>
      <c r="E59" s="95" t="str">
        <f>INDEX(pl_status,50)&amp;""</f>
        <v/>
      </c>
      <c r="F59" s="96" t="str">
        <f>IF(E59="En retard","●","")</f>
        <v/>
      </c>
      <c r="G59" s="97">
        <f>IF(ISNUMBER($S59),MAX(0,INT((G$6+6-$S59)/$T59)-MAX(0,-INT(-(G$6-$S59)/$T59))+1),0)</f>
        <v>0.0</v>
      </c>
      <c r="H59" s="97">
        <f>IF(ISNUMBER($S59),MAX(0,INT((H$6+6-$S59)/$T59)-MAX(0,-INT(-(H$6-$S59)/$T59))+1),0)</f>
        <v>0.0</v>
      </c>
      <c r="I59" s="97">
        <f>IF(ISNUMBER($S59),MAX(0,INT((I$6+6-$S59)/$T59)-MAX(0,-INT(-(I$6-$S59)/$T59))+1),0)</f>
        <v>0.0</v>
      </c>
      <c r="J59" s="97">
        <f>IF(ISNUMBER($S59),MAX(0,INT((J$6+6-$S59)/$T59)-MAX(0,-INT(-(J$6-$S59)/$T59))+1),0)</f>
        <v>0.0</v>
      </c>
      <c r="K59" s="97">
        <f>IF(ISNUMBER($S59),MAX(0,INT((K$6+6-$S59)/$T59)-MAX(0,-INT(-(K$6-$S59)/$T59))+1),0)</f>
        <v>0.0</v>
      </c>
      <c r="L59" s="97">
        <f>IF(ISNUMBER($S59),MAX(0,INT((L$6+6-$S59)/$T59)-MAX(0,-INT(-(L$6-$S59)/$T59))+1),0)</f>
        <v>0.0</v>
      </c>
      <c r="M59" s="97">
        <f>IF(ISNUMBER($S59),MAX(0,INT((M$6+6-$S59)/$T59)-MAX(0,-INT(-(M$6-$S59)/$T59))+1),0)</f>
        <v>0.0</v>
      </c>
      <c r="N59" s="97">
        <f>IF(ISNUMBER($S59),MAX(0,INT((N$6+6-$S59)/$T59)-MAX(0,-INT(-(N$6-$S59)/$T59))+1),0)</f>
        <v>0.0</v>
      </c>
      <c r="O59" s="97">
        <f>IF(ISNUMBER($S59),MAX(0,INT((O$6+6-$S59)/$T59)-MAX(0,-INT(-(O$6-$S59)/$T59))+1),0)</f>
        <v>0.0</v>
      </c>
      <c r="P59" s="97">
        <f>IF(ISNUMBER($S59),MAX(0,INT((P$6+6-$S59)/$T59)-MAX(0,-INT(-(P$6-$S59)/$T59))+1),0)</f>
        <v>0.0</v>
      </c>
      <c r="Q59" s="97">
        <f>IF(ISNUMBER($S59),MAX(0,INT((Q$6+6-$S59)/$T59)-MAX(0,-INT(-(Q$6-$S59)/$T59))+1),0)</f>
        <v>0.0</v>
      </c>
      <c r="R59" s="97">
        <f>IF(ISNUMBER($S59),MAX(0,INT((R$6+6-$S59)/$T59)-MAX(0,-INT(-(R$6-$S59)/$T59))+1),0)</f>
        <v>0.0</v>
      </c>
      <c r="S59" t="str">
        <f>IF(ISNUMBER(INDEX(pl_period,50)),MAX(INDEX(pl_due,50),p_today),"")</f>
        <v/>
      </c>
      <c r="T59" t="str">
        <f>IF(ISNUMBER(INDEX(pl_period,50)),INDEX(pl_period,50),"")</f>
        <v/>
      </c>
      <c r="U59">
        <f>N(INDEX(pl_dur,50))</f>
        <v>0.0</v>
      </c>
    </row>
    <row r="60">
      <c r="A60" s="93" t="str">
        <f>IF(INDEX(pl_status,51)="","",INDEX(pl_num,51)&amp;"")</f>
        <v/>
      </c>
      <c r="B60" s="93" t="str">
        <f>IF(INDEX(pl_status,51)="","",INDEX(pl_eq,51)&amp;"")</f>
        <v/>
      </c>
      <c r="C60" s="93" t="str">
        <f>IF(INDEX(pl_status,51)="","",INDEX(pl_task,51)&amp;"")</f>
        <v/>
      </c>
      <c r="D60" s="94" t="str">
        <f>IF(ISNUMBER(INDEX(pl_due,51)),INDEX(pl_due,51),"")</f>
        <v/>
      </c>
      <c r="E60" s="95" t="str">
        <f>INDEX(pl_status,51)&amp;""</f>
        <v/>
      </c>
      <c r="F60" s="96" t="str">
        <f>IF(E60="En retard","●","")</f>
        <v/>
      </c>
      <c r="G60" s="97">
        <f>IF(ISNUMBER($S60),MAX(0,INT((G$6+6-$S60)/$T60)-MAX(0,-INT(-(G$6-$S60)/$T60))+1),0)</f>
        <v>0.0</v>
      </c>
      <c r="H60" s="97">
        <f>IF(ISNUMBER($S60),MAX(0,INT((H$6+6-$S60)/$T60)-MAX(0,-INT(-(H$6-$S60)/$T60))+1),0)</f>
        <v>0.0</v>
      </c>
      <c r="I60" s="97">
        <f>IF(ISNUMBER($S60),MAX(0,INT((I$6+6-$S60)/$T60)-MAX(0,-INT(-(I$6-$S60)/$T60))+1),0)</f>
        <v>0.0</v>
      </c>
      <c r="J60" s="97">
        <f>IF(ISNUMBER($S60),MAX(0,INT((J$6+6-$S60)/$T60)-MAX(0,-INT(-(J$6-$S60)/$T60))+1),0)</f>
        <v>0.0</v>
      </c>
      <c r="K60" s="97">
        <f>IF(ISNUMBER($S60),MAX(0,INT((K$6+6-$S60)/$T60)-MAX(0,-INT(-(K$6-$S60)/$T60))+1),0)</f>
        <v>0.0</v>
      </c>
      <c r="L60" s="97">
        <f>IF(ISNUMBER($S60),MAX(0,INT((L$6+6-$S60)/$T60)-MAX(0,-INT(-(L$6-$S60)/$T60))+1),0)</f>
        <v>0.0</v>
      </c>
      <c r="M60" s="97">
        <f>IF(ISNUMBER($S60),MAX(0,INT((M$6+6-$S60)/$T60)-MAX(0,-INT(-(M$6-$S60)/$T60))+1),0)</f>
        <v>0.0</v>
      </c>
      <c r="N60" s="97">
        <f>IF(ISNUMBER($S60),MAX(0,INT((N$6+6-$S60)/$T60)-MAX(0,-INT(-(N$6-$S60)/$T60))+1),0)</f>
        <v>0.0</v>
      </c>
      <c r="O60" s="97">
        <f>IF(ISNUMBER($S60),MAX(0,INT((O$6+6-$S60)/$T60)-MAX(0,-INT(-(O$6-$S60)/$T60))+1),0)</f>
        <v>0.0</v>
      </c>
      <c r="P60" s="97">
        <f>IF(ISNUMBER($S60),MAX(0,INT((P$6+6-$S60)/$T60)-MAX(0,-INT(-(P$6-$S60)/$T60))+1),0)</f>
        <v>0.0</v>
      </c>
      <c r="Q60" s="97">
        <f>IF(ISNUMBER($S60),MAX(0,INT((Q$6+6-$S60)/$T60)-MAX(0,-INT(-(Q$6-$S60)/$T60))+1),0)</f>
        <v>0.0</v>
      </c>
      <c r="R60" s="97">
        <f>IF(ISNUMBER($S60),MAX(0,INT((R$6+6-$S60)/$T60)-MAX(0,-INT(-(R$6-$S60)/$T60))+1),0)</f>
        <v>0.0</v>
      </c>
      <c r="S60" t="str">
        <f>IF(ISNUMBER(INDEX(pl_period,51)),MAX(INDEX(pl_due,51),p_today),"")</f>
        <v/>
      </c>
      <c r="T60" t="str">
        <f>IF(ISNUMBER(INDEX(pl_period,51)),INDEX(pl_period,51),"")</f>
        <v/>
      </c>
      <c r="U60">
        <f>N(INDEX(pl_dur,51))</f>
        <v>0.0</v>
      </c>
    </row>
    <row r="61">
      <c r="A61" s="93" t="str">
        <f>IF(INDEX(pl_status,52)="","",INDEX(pl_num,52)&amp;"")</f>
        <v/>
      </c>
      <c r="B61" s="93" t="str">
        <f>IF(INDEX(pl_status,52)="","",INDEX(pl_eq,52)&amp;"")</f>
        <v/>
      </c>
      <c r="C61" s="93" t="str">
        <f>IF(INDEX(pl_status,52)="","",INDEX(pl_task,52)&amp;"")</f>
        <v/>
      </c>
      <c r="D61" s="94" t="str">
        <f>IF(ISNUMBER(INDEX(pl_due,52)),INDEX(pl_due,52),"")</f>
        <v/>
      </c>
      <c r="E61" s="95" t="str">
        <f>INDEX(pl_status,52)&amp;""</f>
        <v/>
      </c>
      <c r="F61" s="96" t="str">
        <f>IF(E61="En retard","●","")</f>
        <v/>
      </c>
      <c r="G61" s="97">
        <f>IF(ISNUMBER($S61),MAX(0,INT((G$6+6-$S61)/$T61)-MAX(0,-INT(-(G$6-$S61)/$T61))+1),0)</f>
        <v>0.0</v>
      </c>
      <c r="H61" s="97">
        <f>IF(ISNUMBER($S61),MAX(0,INT((H$6+6-$S61)/$T61)-MAX(0,-INT(-(H$6-$S61)/$T61))+1),0)</f>
        <v>0.0</v>
      </c>
      <c r="I61" s="97">
        <f>IF(ISNUMBER($S61),MAX(0,INT((I$6+6-$S61)/$T61)-MAX(0,-INT(-(I$6-$S61)/$T61))+1),0)</f>
        <v>0.0</v>
      </c>
      <c r="J61" s="97">
        <f>IF(ISNUMBER($S61),MAX(0,INT((J$6+6-$S61)/$T61)-MAX(0,-INT(-(J$6-$S61)/$T61))+1),0)</f>
        <v>0.0</v>
      </c>
      <c r="K61" s="97">
        <f>IF(ISNUMBER($S61),MAX(0,INT((K$6+6-$S61)/$T61)-MAX(0,-INT(-(K$6-$S61)/$T61))+1),0)</f>
        <v>0.0</v>
      </c>
      <c r="L61" s="97">
        <f>IF(ISNUMBER($S61),MAX(0,INT((L$6+6-$S61)/$T61)-MAX(0,-INT(-(L$6-$S61)/$T61))+1),0)</f>
        <v>0.0</v>
      </c>
      <c r="M61" s="97">
        <f>IF(ISNUMBER($S61),MAX(0,INT((M$6+6-$S61)/$T61)-MAX(0,-INT(-(M$6-$S61)/$T61))+1),0)</f>
        <v>0.0</v>
      </c>
      <c r="N61" s="97">
        <f>IF(ISNUMBER($S61),MAX(0,INT((N$6+6-$S61)/$T61)-MAX(0,-INT(-(N$6-$S61)/$T61))+1),0)</f>
        <v>0.0</v>
      </c>
      <c r="O61" s="97">
        <f>IF(ISNUMBER($S61),MAX(0,INT((O$6+6-$S61)/$T61)-MAX(0,-INT(-(O$6-$S61)/$T61))+1),0)</f>
        <v>0.0</v>
      </c>
      <c r="P61" s="97">
        <f>IF(ISNUMBER($S61),MAX(0,INT((P$6+6-$S61)/$T61)-MAX(0,-INT(-(P$6-$S61)/$T61))+1),0)</f>
        <v>0.0</v>
      </c>
      <c r="Q61" s="97">
        <f>IF(ISNUMBER($S61),MAX(0,INT((Q$6+6-$S61)/$T61)-MAX(0,-INT(-(Q$6-$S61)/$T61))+1),0)</f>
        <v>0.0</v>
      </c>
      <c r="R61" s="97">
        <f>IF(ISNUMBER($S61),MAX(0,INT((R$6+6-$S61)/$T61)-MAX(0,-INT(-(R$6-$S61)/$T61))+1),0)</f>
        <v>0.0</v>
      </c>
      <c r="S61" t="str">
        <f>IF(ISNUMBER(INDEX(pl_period,52)),MAX(INDEX(pl_due,52),p_today),"")</f>
        <v/>
      </c>
      <c r="T61" t="str">
        <f>IF(ISNUMBER(INDEX(pl_period,52)),INDEX(pl_period,52),"")</f>
        <v/>
      </c>
      <c r="U61">
        <f>N(INDEX(pl_dur,52))</f>
        <v>0.0</v>
      </c>
    </row>
    <row r="62">
      <c r="A62" s="93" t="str">
        <f>IF(INDEX(pl_status,53)="","",INDEX(pl_num,53)&amp;"")</f>
        <v/>
      </c>
      <c r="B62" s="93" t="str">
        <f>IF(INDEX(pl_status,53)="","",INDEX(pl_eq,53)&amp;"")</f>
        <v/>
      </c>
      <c r="C62" s="93" t="str">
        <f>IF(INDEX(pl_status,53)="","",INDEX(pl_task,53)&amp;"")</f>
        <v/>
      </c>
      <c r="D62" s="94" t="str">
        <f>IF(ISNUMBER(INDEX(pl_due,53)),INDEX(pl_due,53),"")</f>
        <v/>
      </c>
      <c r="E62" s="95" t="str">
        <f>INDEX(pl_status,53)&amp;""</f>
        <v/>
      </c>
      <c r="F62" s="96" t="str">
        <f>IF(E62="En retard","●","")</f>
        <v/>
      </c>
      <c r="G62" s="97">
        <f>IF(ISNUMBER($S62),MAX(0,INT((G$6+6-$S62)/$T62)-MAX(0,-INT(-(G$6-$S62)/$T62))+1),0)</f>
        <v>0.0</v>
      </c>
      <c r="H62" s="97">
        <f>IF(ISNUMBER($S62),MAX(0,INT((H$6+6-$S62)/$T62)-MAX(0,-INT(-(H$6-$S62)/$T62))+1),0)</f>
        <v>0.0</v>
      </c>
      <c r="I62" s="97">
        <f>IF(ISNUMBER($S62),MAX(0,INT((I$6+6-$S62)/$T62)-MAX(0,-INT(-(I$6-$S62)/$T62))+1),0)</f>
        <v>0.0</v>
      </c>
      <c r="J62" s="97">
        <f>IF(ISNUMBER($S62),MAX(0,INT((J$6+6-$S62)/$T62)-MAX(0,-INT(-(J$6-$S62)/$T62))+1),0)</f>
        <v>0.0</v>
      </c>
      <c r="K62" s="97">
        <f>IF(ISNUMBER($S62),MAX(0,INT((K$6+6-$S62)/$T62)-MAX(0,-INT(-(K$6-$S62)/$T62))+1),0)</f>
        <v>0.0</v>
      </c>
      <c r="L62" s="97">
        <f>IF(ISNUMBER($S62),MAX(0,INT((L$6+6-$S62)/$T62)-MAX(0,-INT(-(L$6-$S62)/$T62))+1),0)</f>
        <v>0.0</v>
      </c>
      <c r="M62" s="97">
        <f>IF(ISNUMBER($S62),MAX(0,INT((M$6+6-$S62)/$T62)-MAX(0,-INT(-(M$6-$S62)/$T62))+1),0)</f>
        <v>0.0</v>
      </c>
      <c r="N62" s="97">
        <f>IF(ISNUMBER($S62),MAX(0,INT((N$6+6-$S62)/$T62)-MAX(0,-INT(-(N$6-$S62)/$T62))+1),0)</f>
        <v>0.0</v>
      </c>
      <c r="O62" s="97">
        <f>IF(ISNUMBER($S62),MAX(0,INT((O$6+6-$S62)/$T62)-MAX(0,-INT(-(O$6-$S62)/$T62))+1),0)</f>
        <v>0.0</v>
      </c>
      <c r="P62" s="97">
        <f>IF(ISNUMBER($S62),MAX(0,INT((P$6+6-$S62)/$T62)-MAX(0,-INT(-(P$6-$S62)/$T62))+1),0)</f>
        <v>0.0</v>
      </c>
      <c r="Q62" s="97">
        <f>IF(ISNUMBER($S62),MAX(0,INT((Q$6+6-$S62)/$T62)-MAX(0,-INT(-(Q$6-$S62)/$T62))+1),0)</f>
        <v>0.0</v>
      </c>
      <c r="R62" s="97">
        <f>IF(ISNUMBER($S62),MAX(0,INT((R$6+6-$S62)/$T62)-MAX(0,-INT(-(R$6-$S62)/$T62))+1),0)</f>
        <v>0.0</v>
      </c>
      <c r="S62" t="str">
        <f>IF(ISNUMBER(INDEX(pl_period,53)),MAX(INDEX(pl_due,53),p_today),"")</f>
        <v/>
      </c>
      <c r="T62" t="str">
        <f>IF(ISNUMBER(INDEX(pl_period,53)),INDEX(pl_period,53),"")</f>
        <v/>
      </c>
      <c r="U62">
        <f>N(INDEX(pl_dur,53))</f>
        <v>0.0</v>
      </c>
    </row>
    <row r="63">
      <c r="A63" s="93" t="str">
        <f>IF(INDEX(pl_status,54)="","",INDEX(pl_num,54)&amp;"")</f>
        <v/>
      </c>
      <c r="B63" s="93" t="str">
        <f>IF(INDEX(pl_status,54)="","",INDEX(pl_eq,54)&amp;"")</f>
        <v/>
      </c>
      <c r="C63" s="93" t="str">
        <f>IF(INDEX(pl_status,54)="","",INDEX(pl_task,54)&amp;"")</f>
        <v/>
      </c>
      <c r="D63" s="94" t="str">
        <f>IF(ISNUMBER(INDEX(pl_due,54)),INDEX(pl_due,54),"")</f>
        <v/>
      </c>
      <c r="E63" s="95" t="str">
        <f>INDEX(pl_status,54)&amp;""</f>
        <v/>
      </c>
      <c r="F63" s="96" t="str">
        <f>IF(E63="En retard","●","")</f>
        <v/>
      </c>
      <c r="G63" s="97">
        <f>IF(ISNUMBER($S63),MAX(0,INT((G$6+6-$S63)/$T63)-MAX(0,-INT(-(G$6-$S63)/$T63))+1),0)</f>
        <v>0.0</v>
      </c>
      <c r="H63" s="97">
        <f>IF(ISNUMBER($S63),MAX(0,INT((H$6+6-$S63)/$T63)-MAX(0,-INT(-(H$6-$S63)/$T63))+1),0)</f>
        <v>0.0</v>
      </c>
      <c r="I63" s="97">
        <f>IF(ISNUMBER($S63),MAX(0,INT((I$6+6-$S63)/$T63)-MAX(0,-INT(-(I$6-$S63)/$T63))+1),0)</f>
        <v>0.0</v>
      </c>
      <c r="J63" s="97">
        <f>IF(ISNUMBER($S63),MAX(0,INT((J$6+6-$S63)/$T63)-MAX(0,-INT(-(J$6-$S63)/$T63))+1),0)</f>
        <v>0.0</v>
      </c>
      <c r="K63" s="97">
        <f>IF(ISNUMBER($S63),MAX(0,INT((K$6+6-$S63)/$T63)-MAX(0,-INT(-(K$6-$S63)/$T63))+1),0)</f>
        <v>0.0</v>
      </c>
      <c r="L63" s="97">
        <f>IF(ISNUMBER($S63),MAX(0,INT((L$6+6-$S63)/$T63)-MAX(0,-INT(-(L$6-$S63)/$T63))+1),0)</f>
        <v>0.0</v>
      </c>
      <c r="M63" s="97">
        <f>IF(ISNUMBER($S63),MAX(0,INT((M$6+6-$S63)/$T63)-MAX(0,-INT(-(M$6-$S63)/$T63))+1),0)</f>
        <v>0.0</v>
      </c>
      <c r="N63" s="97">
        <f>IF(ISNUMBER($S63),MAX(0,INT((N$6+6-$S63)/$T63)-MAX(0,-INT(-(N$6-$S63)/$T63))+1),0)</f>
        <v>0.0</v>
      </c>
      <c r="O63" s="97">
        <f>IF(ISNUMBER($S63),MAX(0,INT((O$6+6-$S63)/$T63)-MAX(0,-INT(-(O$6-$S63)/$T63))+1),0)</f>
        <v>0.0</v>
      </c>
      <c r="P63" s="97">
        <f>IF(ISNUMBER($S63),MAX(0,INT((P$6+6-$S63)/$T63)-MAX(0,-INT(-(P$6-$S63)/$T63))+1),0)</f>
        <v>0.0</v>
      </c>
      <c r="Q63" s="97">
        <f>IF(ISNUMBER($S63),MAX(0,INT((Q$6+6-$S63)/$T63)-MAX(0,-INT(-(Q$6-$S63)/$T63))+1),0)</f>
        <v>0.0</v>
      </c>
      <c r="R63" s="97">
        <f>IF(ISNUMBER($S63),MAX(0,INT((R$6+6-$S63)/$T63)-MAX(0,-INT(-(R$6-$S63)/$T63))+1),0)</f>
        <v>0.0</v>
      </c>
      <c r="S63" t="str">
        <f>IF(ISNUMBER(INDEX(pl_period,54)),MAX(INDEX(pl_due,54),p_today),"")</f>
        <v/>
      </c>
      <c r="T63" t="str">
        <f>IF(ISNUMBER(INDEX(pl_period,54)),INDEX(pl_period,54),"")</f>
        <v/>
      </c>
      <c r="U63">
        <f>N(INDEX(pl_dur,54))</f>
        <v>0.0</v>
      </c>
    </row>
    <row r="64">
      <c r="A64" s="93" t="str">
        <f>IF(INDEX(pl_status,55)="","",INDEX(pl_num,55)&amp;"")</f>
        <v/>
      </c>
      <c r="B64" s="93" t="str">
        <f>IF(INDEX(pl_status,55)="","",INDEX(pl_eq,55)&amp;"")</f>
        <v/>
      </c>
      <c r="C64" s="93" t="str">
        <f>IF(INDEX(pl_status,55)="","",INDEX(pl_task,55)&amp;"")</f>
        <v/>
      </c>
      <c r="D64" s="94" t="str">
        <f>IF(ISNUMBER(INDEX(pl_due,55)),INDEX(pl_due,55),"")</f>
        <v/>
      </c>
      <c r="E64" s="95" t="str">
        <f>INDEX(pl_status,55)&amp;""</f>
        <v/>
      </c>
      <c r="F64" s="96" t="str">
        <f>IF(E64="En retard","●","")</f>
        <v/>
      </c>
      <c r="G64" s="97">
        <f>IF(ISNUMBER($S64),MAX(0,INT((G$6+6-$S64)/$T64)-MAX(0,-INT(-(G$6-$S64)/$T64))+1),0)</f>
        <v>0.0</v>
      </c>
      <c r="H64" s="97">
        <f>IF(ISNUMBER($S64),MAX(0,INT((H$6+6-$S64)/$T64)-MAX(0,-INT(-(H$6-$S64)/$T64))+1),0)</f>
        <v>0.0</v>
      </c>
      <c r="I64" s="97">
        <f>IF(ISNUMBER($S64),MAX(0,INT((I$6+6-$S64)/$T64)-MAX(0,-INT(-(I$6-$S64)/$T64))+1),0)</f>
        <v>0.0</v>
      </c>
      <c r="J64" s="97">
        <f>IF(ISNUMBER($S64),MAX(0,INT((J$6+6-$S64)/$T64)-MAX(0,-INT(-(J$6-$S64)/$T64))+1),0)</f>
        <v>0.0</v>
      </c>
      <c r="K64" s="97">
        <f>IF(ISNUMBER($S64),MAX(0,INT((K$6+6-$S64)/$T64)-MAX(0,-INT(-(K$6-$S64)/$T64))+1),0)</f>
        <v>0.0</v>
      </c>
      <c r="L64" s="97">
        <f>IF(ISNUMBER($S64),MAX(0,INT((L$6+6-$S64)/$T64)-MAX(0,-INT(-(L$6-$S64)/$T64))+1),0)</f>
        <v>0.0</v>
      </c>
      <c r="M64" s="97">
        <f>IF(ISNUMBER($S64),MAX(0,INT((M$6+6-$S64)/$T64)-MAX(0,-INT(-(M$6-$S64)/$T64))+1),0)</f>
        <v>0.0</v>
      </c>
      <c r="N64" s="97">
        <f>IF(ISNUMBER($S64),MAX(0,INT((N$6+6-$S64)/$T64)-MAX(0,-INT(-(N$6-$S64)/$T64))+1),0)</f>
        <v>0.0</v>
      </c>
      <c r="O64" s="97">
        <f>IF(ISNUMBER($S64),MAX(0,INT((O$6+6-$S64)/$T64)-MAX(0,-INT(-(O$6-$S64)/$T64))+1),0)</f>
        <v>0.0</v>
      </c>
      <c r="P64" s="97">
        <f>IF(ISNUMBER($S64),MAX(0,INT((P$6+6-$S64)/$T64)-MAX(0,-INT(-(P$6-$S64)/$T64))+1),0)</f>
        <v>0.0</v>
      </c>
      <c r="Q64" s="97">
        <f>IF(ISNUMBER($S64),MAX(0,INT((Q$6+6-$S64)/$T64)-MAX(0,-INT(-(Q$6-$S64)/$T64))+1),0)</f>
        <v>0.0</v>
      </c>
      <c r="R64" s="97">
        <f>IF(ISNUMBER($S64),MAX(0,INT((R$6+6-$S64)/$T64)-MAX(0,-INT(-(R$6-$S64)/$T64))+1),0)</f>
        <v>0.0</v>
      </c>
      <c r="S64" t="str">
        <f>IF(ISNUMBER(INDEX(pl_period,55)),MAX(INDEX(pl_due,55),p_today),"")</f>
        <v/>
      </c>
      <c r="T64" t="str">
        <f>IF(ISNUMBER(INDEX(pl_period,55)),INDEX(pl_period,55),"")</f>
        <v/>
      </c>
      <c r="U64">
        <f>N(INDEX(pl_dur,55))</f>
        <v>0.0</v>
      </c>
    </row>
    <row r="65">
      <c r="A65" s="93" t="str">
        <f>IF(INDEX(pl_status,56)="","",INDEX(pl_num,56)&amp;"")</f>
        <v/>
      </c>
      <c r="B65" s="93" t="str">
        <f>IF(INDEX(pl_status,56)="","",INDEX(pl_eq,56)&amp;"")</f>
        <v/>
      </c>
      <c r="C65" s="93" t="str">
        <f>IF(INDEX(pl_status,56)="","",INDEX(pl_task,56)&amp;"")</f>
        <v/>
      </c>
      <c r="D65" s="94" t="str">
        <f>IF(ISNUMBER(INDEX(pl_due,56)),INDEX(pl_due,56),"")</f>
        <v/>
      </c>
      <c r="E65" s="95" t="str">
        <f>INDEX(pl_status,56)&amp;""</f>
        <v/>
      </c>
      <c r="F65" s="96" t="str">
        <f>IF(E65="En retard","●","")</f>
        <v/>
      </c>
      <c r="G65" s="97">
        <f>IF(ISNUMBER($S65),MAX(0,INT((G$6+6-$S65)/$T65)-MAX(0,-INT(-(G$6-$S65)/$T65))+1),0)</f>
        <v>0.0</v>
      </c>
      <c r="H65" s="97">
        <f>IF(ISNUMBER($S65),MAX(0,INT((H$6+6-$S65)/$T65)-MAX(0,-INT(-(H$6-$S65)/$T65))+1),0)</f>
        <v>0.0</v>
      </c>
      <c r="I65" s="97">
        <f>IF(ISNUMBER($S65),MAX(0,INT((I$6+6-$S65)/$T65)-MAX(0,-INT(-(I$6-$S65)/$T65))+1),0)</f>
        <v>0.0</v>
      </c>
      <c r="J65" s="97">
        <f>IF(ISNUMBER($S65),MAX(0,INT((J$6+6-$S65)/$T65)-MAX(0,-INT(-(J$6-$S65)/$T65))+1),0)</f>
        <v>0.0</v>
      </c>
      <c r="K65" s="97">
        <f>IF(ISNUMBER($S65),MAX(0,INT((K$6+6-$S65)/$T65)-MAX(0,-INT(-(K$6-$S65)/$T65))+1),0)</f>
        <v>0.0</v>
      </c>
      <c r="L65" s="97">
        <f>IF(ISNUMBER($S65),MAX(0,INT((L$6+6-$S65)/$T65)-MAX(0,-INT(-(L$6-$S65)/$T65))+1),0)</f>
        <v>0.0</v>
      </c>
      <c r="M65" s="97">
        <f>IF(ISNUMBER($S65),MAX(0,INT((M$6+6-$S65)/$T65)-MAX(0,-INT(-(M$6-$S65)/$T65))+1),0)</f>
        <v>0.0</v>
      </c>
      <c r="N65" s="97">
        <f>IF(ISNUMBER($S65),MAX(0,INT((N$6+6-$S65)/$T65)-MAX(0,-INT(-(N$6-$S65)/$T65))+1),0)</f>
        <v>0.0</v>
      </c>
      <c r="O65" s="97">
        <f>IF(ISNUMBER($S65),MAX(0,INT((O$6+6-$S65)/$T65)-MAX(0,-INT(-(O$6-$S65)/$T65))+1),0)</f>
        <v>0.0</v>
      </c>
      <c r="P65" s="97">
        <f>IF(ISNUMBER($S65),MAX(0,INT((P$6+6-$S65)/$T65)-MAX(0,-INT(-(P$6-$S65)/$T65))+1),0)</f>
        <v>0.0</v>
      </c>
      <c r="Q65" s="97">
        <f>IF(ISNUMBER($S65),MAX(0,INT((Q$6+6-$S65)/$T65)-MAX(0,-INT(-(Q$6-$S65)/$T65))+1),0)</f>
        <v>0.0</v>
      </c>
      <c r="R65" s="97">
        <f>IF(ISNUMBER($S65),MAX(0,INT((R$6+6-$S65)/$T65)-MAX(0,-INT(-(R$6-$S65)/$T65))+1),0)</f>
        <v>0.0</v>
      </c>
      <c r="S65" t="str">
        <f>IF(ISNUMBER(INDEX(pl_period,56)),MAX(INDEX(pl_due,56),p_today),"")</f>
        <v/>
      </c>
      <c r="T65" t="str">
        <f>IF(ISNUMBER(INDEX(pl_period,56)),INDEX(pl_period,56),"")</f>
        <v/>
      </c>
      <c r="U65">
        <f>N(INDEX(pl_dur,56))</f>
        <v>0.0</v>
      </c>
    </row>
    <row r="66">
      <c r="A66" s="93" t="str">
        <f>IF(INDEX(pl_status,57)="","",INDEX(pl_num,57)&amp;"")</f>
        <v/>
      </c>
      <c r="B66" s="93" t="str">
        <f>IF(INDEX(pl_status,57)="","",INDEX(pl_eq,57)&amp;"")</f>
        <v/>
      </c>
      <c r="C66" s="93" t="str">
        <f>IF(INDEX(pl_status,57)="","",INDEX(pl_task,57)&amp;"")</f>
        <v/>
      </c>
      <c r="D66" s="94" t="str">
        <f>IF(ISNUMBER(INDEX(pl_due,57)),INDEX(pl_due,57),"")</f>
        <v/>
      </c>
      <c r="E66" s="95" t="str">
        <f>INDEX(pl_status,57)&amp;""</f>
        <v/>
      </c>
      <c r="F66" s="96" t="str">
        <f>IF(E66="En retard","●","")</f>
        <v/>
      </c>
      <c r="G66" s="97">
        <f>IF(ISNUMBER($S66),MAX(0,INT((G$6+6-$S66)/$T66)-MAX(0,-INT(-(G$6-$S66)/$T66))+1),0)</f>
        <v>0.0</v>
      </c>
      <c r="H66" s="97">
        <f>IF(ISNUMBER($S66),MAX(0,INT((H$6+6-$S66)/$T66)-MAX(0,-INT(-(H$6-$S66)/$T66))+1),0)</f>
        <v>0.0</v>
      </c>
      <c r="I66" s="97">
        <f>IF(ISNUMBER($S66),MAX(0,INT((I$6+6-$S66)/$T66)-MAX(0,-INT(-(I$6-$S66)/$T66))+1),0)</f>
        <v>0.0</v>
      </c>
      <c r="J66" s="97">
        <f>IF(ISNUMBER($S66),MAX(0,INT((J$6+6-$S66)/$T66)-MAX(0,-INT(-(J$6-$S66)/$T66))+1),0)</f>
        <v>0.0</v>
      </c>
      <c r="K66" s="97">
        <f>IF(ISNUMBER($S66),MAX(0,INT((K$6+6-$S66)/$T66)-MAX(0,-INT(-(K$6-$S66)/$T66))+1),0)</f>
        <v>0.0</v>
      </c>
      <c r="L66" s="97">
        <f>IF(ISNUMBER($S66),MAX(0,INT((L$6+6-$S66)/$T66)-MAX(0,-INT(-(L$6-$S66)/$T66))+1),0)</f>
        <v>0.0</v>
      </c>
      <c r="M66" s="97">
        <f>IF(ISNUMBER($S66),MAX(0,INT((M$6+6-$S66)/$T66)-MAX(0,-INT(-(M$6-$S66)/$T66))+1),0)</f>
        <v>0.0</v>
      </c>
      <c r="N66" s="97">
        <f>IF(ISNUMBER($S66),MAX(0,INT((N$6+6-$S66)/$T66)-MAX(0,-INT(-(N$6-$S66)/$T66))+1),0)</f>
        <v>0.0</v>
      </c>
      <c r="O66" s="97">
        <f>IF(ISNUMBER($S66),MAX(0,INT((O$6+6-$S66)/$T66)-MAX(0,-INT(-(O$6-$S66)/$T66))+1),0)</f>
        <v>0.0</v>
      </c>
      <c r="P66" s="97">
        <f>IF(ISNUMBER($S66),MAX(0,INT((P$6+6-$S66)/$T66)-MAX(0,-INT(-(P$6-$S66)/$T66))+1),0)</f>
        <v>0.0</v>
      </c>
      <c r="Q66" s="97">
        <f>IF(ISNUMBER($S66),MAX(0,INT((Q$6+6-$S66)/$T66)-MAX(0,-INT(-(Q$6-$S66)/$T66))+1),0)</f>
        <v>0.0</v>
      </c>
      <c r="R66" s="97">
        <f>IF(ISNUMBER($S66),MAX(0,INT((R$6+6-$S66)/$T66)-MAX(0,-INT(-(R$6-$S66)/$T66))+1),0)</f>
        <v>0.0</v>
      </c>
      <c r="S66" t="str">
        <f>IF(ISNUMBER(INDEX(pl_period,57)),MAX(INDEX(pl_due,57),p_today),"")</f>
        <v/>
      </c>
      <c r="T66" t="str">
        <f>IF(ISNUMBER(INDEX(pl_period,57)),INDEX(pl_period,57),"")</f>
        <v/>
      </c>
      <c r="U66">
        <f>N(INDEX(pl_dur,57))</f>
        <v>0.0</v>
      </c>
    </row>
    <row r="67">
      <c r="A67" s="93" t="str">
        <f>IF(INDEX(pl_status,58)="","",INDEX(pl_num,58)&amp;"")</f>
        <v/>
      </c>
      <c r="B67" s="93" t="str">
        <f>IF(INDEX(pl_status,58)="","",INDEX(pl_eq,58)&amp;"")</f>
        <v/>
      </c>
      <c r="C67" s="93" t="str">
        <f>IF(INDEX(pl_status,58)="","",INDEX(pl_task,58)&amp;"")</f>
        <v/>
      </c>
      <c r="D67" s="94" t="str">
        <f>IF(ISNUMBER(INDEX(pl_due,58)),INDEX(pl_due,58),"")</f>
        <v/>
      </c>
      <c r="E67" s="95" t="str">
        <f>INDEX(pl_status,58)&amp;""</f>
        <v/>
      </c>
      <c r="F67" s="96" t="str">
        <f>IF(E67="En retard","●","")</f>
        <v/>
      </c>
      <c r="G67" s="97">
        <f>IF(ISNUMBER($S67),MAX(0,INT((G$6+6-$S67)/$T67)-MAX(0,-INT(-(G$6-$S67)/$T67))+1),0)</f>
        <v>0.0</v>
      </c>
      <c r="H67" s="97">
        <f>IF(ISNUMBER($S67),MAX(0,INT((H$6+6-$S67)/$T67)-MAX(0,-INT(-(H$6-$S67)/$T67))+1),0)</f>
        <v>0.0</v>
      </c>
      <c r="I67" s="97">
        <f>IF(ISNUMBER($S67),MAX(0,INT((I$6+6-$S67)/$T67)-MAX(0,-INT(-(I$6-$S67)/$T67))+1),0)</f>
        <v>0.0</v>
      </c>
      <c r="J67" s="97">
        <f>IF(ISNUMBER($S67),MAX(0,INT((J$6+6-$S67)/$T67)-MAX(0,-INT(-(J$6-$S67)/$T67))+1),0)</f>
        <v>0.0</v>
      </c>
      <c r="K67" s="97">
        <f>IF(ISNUMBER($S67),MAX(0,INT((K$6+6-$S67)/$T67)-MAX(0,-INT(-(K$6-$S67)/$T67))+1),0)</f>
        <v>0.0</v>
      </c>
      <c r="L67" s="97">
        <f>IF(ISNUMBER($S67),MAX(0,INT((L$6+6-$S67)/$T67)-MAX(0,-INT(-(L$6-$S67)/$T67))+1),0)</f>
        <v>0.0</v>
      </c>
      <c r="M67" s="97">
        <f>IF(ISNUMBER($S67),MAX(0,INT((M$6+6-$S67)/$T67)-MAX(0,-INT(-(M$6-$S67)/$T67))+1),0)</f>
        <v>0.0</v>
      </c>
      <c r="N67" s="97">
        <f>IF(ISNUMBER($S67),MAX(0,INT((N$6+6-$S67)/$T67)-MAX(0,-INT(-(N$6-$S67)/$T67))+1),0)</f>
        <v>0.0</v>
      </c>
      <c r="O67" s="97">
        <f>IF(ISNUMBER($S67),MAX(0,INT((O$6+6-$S67)/$T67)-MAX(0,-INT(-(O$6-$S67)/$T67))+1),0)</f>
        <v>0.0</v>
      </c>
      <c r="P67" s="97">
        <f>IF(ISNUMBER($S67),MAX(0,INT((P$6+6-$S67)/$T67)-MAX(0,-INT(-(P$6-$S67)/$T67))+1),0)</f>
        <v>0.0</v>
      </c>
      <c r="Q67" s="97">
        <f>IF(ISNUMBER($S67),MAX(0,INT((Q$6+6-$S67)/$T67)-MAX(0,-INT(-(Q$6-$S67)/$T67))+1),0)</f>
        <v>0.0</v>
      </c>
      <c r="R67" s="97">
        <f>IF(ISNUMBER($S67),MAX(0,INT((R$6+6-$S67)/$T67)-MAX(0,-INT(-(R$6-$S67)/$T67))+1),0)</f>
        <v>0.0</v>
      </c>
      <c r="S67" t="str">
        <f>IF(ISNUMBER(INDEX(pl_period,58)),MAX(INDEX(pl_due,58),p_today),"")</f>
        <v/>
      </c>
      <c r="T67" t="str">
        <f>IF(ISNUMBER(INDEX(pl_period,58)),INDEX(pl_period,58),"")</f>
        <v/>
      </c>
      <c r="U67">
        <f>N(INDEX(pl_dur,58))</f>
        <v>0.0</v>
      </c>
    </row>
    <row r="68">
      <c r="A68" s="93" t="str">
        <f>IF(INDEX(pl_status,59)="","",INDEX(pl_num,59)&amp;"")</f>
        <v/>
      </c>
      <c r="B68" s="93" t="str">
        <f>IF(INDEX(pl_status,59)="","",INDEX(pl_eq,59)&amp;"")</f>
        <v/>
      </c>
      <c r="C68" s="93" t="str">
        <f>IF(INDEX(pl_status,59)="","",INDEX(pl_task,59)&amp;"")</f>
        <v/>
      </c>
      <c r="D68" s="94" t="str">
        <f>IF(ISNUMBER(INDEX(pl_due,59)),INDEX(pl_due,59),"")</f>
        <v/>
      </c>
      <c r="E68" s="95" t="str">
        <f>INDEX(pl_status,59)&amp;""</f>
        <v/>
      </c>
      <c r="F68" s="96" t="str">
        <f>IF(E68="En retard","●","")</f>
        <v/>
      </c>
      <c r="G68" s="97">
        <f>IF(ISNUMBER($S68),MAX(0,INT((G$6+6-$S68)/$T68)-MAX(0,-INT(-(G$6-$S68)/$T68))+1),0)</f>
        <v>0.0</v>
      </c>
      <c r="H68" s="97">
        <f>IF(ISNUMBER($S68),MAX(0,INT((H$6+6-$S68)/$T68)-MAX(0,-INT(-(H$6-$S68)/$T68))+1),0)</f>
        <v>0.0</v>
      </c>
      <c r="I68" s="97">
        <f>IF(ISNUMBER($S68),MAX(0,INT((I$6+6-$S68)/$T68)-MAX(0,-INT(-(I$6-$S68)/$T68))+1),0)</f>
        <v>0.0</v>
      </c>
      <c r="J68" s="97">
        <f>IF(ISNUMBER($S68),MAX(0,INT((J$6+6-$S68)/$T68)-MAX(0,-INT(-(J$6-$S68)/$T68))+1),0)</f>
        <v>0.0</v>
      </c>
      <c r="K68" s="97">
        <f>IF(ISNUMBER($S68),MAX(0,INT((K$6+6-$S68)/$T68)-MAX(0,-INT(-(K$6-$S68)/$T68))+1),0)</f>
        <v>0.0</v>
      </c>
      <c r="L68" s="97">
        <f>IF(ISNUMBER($S68),MAX(0,INT((L$6+6-$S68)/$T68)-MAX(0,-INT(-(L$6-$S68)/$T68))+1),0)</f>
        <v>0.0</v>
      </c>
      <c r="M68" s="97">
        <f>IF(ISNUMBER($S68),MAX(0,INT((M$6+6-$S68)/$T68)-MAX(0,-INT(-(M$6-$S68)/$T68))+1),0)</f>
        <v>0.0</v>
      </c>
      <c r="N68" s="97">
        <f>IF(ISNUMBER($S68),MAX(0,INT((N$6+6-$S68)/$T68)-MAX(0,-INT(-(N$6-$S68)/$T68))+1),0)</f>
        <v>0.0</v>
      </c>
      <c r="O68" s="97">
        <f>IF(ISNUMBER($S68),MAX(0,INT((O$6+6-$S68)/$T68)-MAX(0,-INT(-(O$6-$S68)/$T68))+1),0)</f>
        <v>0.0</v>
      </c>
      <c r="P68" s="97">
        <f>IF(ISNUMBER($S68),MAX(0,INT((P$6+6-$S68)/$T68)-MAX(0,-INT(-(P$6-$S68)/$T68))+1),0)</f>
        <v>0.0</v>
      </c>
      <c r="Q68" s="97">
        <f>IF(ISNUMBER($S68),MAX(0,INT((Q$6+6-$S68)/$T68)-MAX(0,-INT(-(Q$6-$S68)/$T68))+1),0)</f>
        <v>0.0</v>
      </c>
      <c r="R68" s="97">
        <f>IF(ISNUMBER($S68),MAX(0,INT((R$6+6-$S68)/$T68)-MAX(0,-INT(-(R$6-$S68)/$T68))+1),0)</f>
        <v>0.0</v>
      </c>
      <c r="S68" t="str">
        <f>IF(ISNUMBER(INDEX(pl_period,59)),MAX(INDEX(pl_due,59),p_today),"")</f>
        <v/>
      </c>
      <c r="T68" t="str">
        <f>IF(ISNUMBER(INDEX(pl_period,59)),INDEX(pl_period,59),"")</f>
        <v/>
      </c>
      <c r="U68">
        <f>N(INDEX(pl_dur,59))</f>
        <v>0.0</v>
      </c>
    </row>
    <row r="69">
      <c r="A69" s="93" t="str">
        <f>IF(INDEX(pl_status,60)="","",INDEX(pl_num,60)&amp;"")</f>
        <v/>
      </c>
      <c r="B69" s="93" t="str">
        <f>IF(INDEX(pl_status,60)="","",INDEX(pl_eq,60)&amp;"")</f>
        <v/>
      </c>
      <c r="C69" s="93" t="str">
        <f>IF(INDEX(pl_status,60)="","",INDEX(pl_task,60)&amp;"")</f>
        <v/>
      </c>
      <c r="D69" s="94" t="str">
        <f>IF(ISNUMBER(INDEX(pl_due,60)),INDEX(pl_due,60),"")</f>
        <v/>
      </c>
      <c r="E69" s="95" t="str">
        <f>INDEX(pl_status,60)&amp;""</f>
        <v/>
      </c>
      <c r="F69" s="96" t="str">
        <f>IF(E69="En retard","●","")</f>
        <v/>
      </c>
      <c r="G69" s="97">
        <f>IF(ISNUMBER($S69),MAX(0,INT((G$6+6-$S69)/$T69)-MAX(0,-INT(-(G$6-$S69)/$T69))+1),0)</f>
        <v>0.0</v>
      </c>
      <c r="H69" s="97">
        <f>IF(ISNUMBER($S69),MAX(0,INT((H$6+6-$S69)/$T69)-MAX(0,-INT(-(H$6-$S69)/$T69))+1),0)</f>
        <v>0.0</v>
      </c>
      <c r="I69" s="97">
        <f>IF(ISNUMBER($S69),MAX(0,INT((I$6+6-$S69)/$T69)-MAX(0,-INT(-(I$6-$S69)/$T69))+1),0)</f>
        <v>0.0</v>
      </c>
      <c r="J69" s="97">
        <f>IF(ISNUMBER($S69),MAX(0,INT((J$6+6-$S69)/$T69)-MAX(0,-INT(-(J$6-$S69)/$T69))+1),0)</f>
        <v>0.0</v>
      </c>
      <c r="K69" s="97">
        <f>IF(ISNUMBER($S69),MAX(0,INT((K$6+6-$S69)/$T69)-MAX(0,-INT(-(K$6-$S69)/$T69))+1),0)</f>
        <v>0.0</v>
      </c>
      <c r="L69" s="97">
        <f>IF(ISNUMBER($S69),MAX(0,INT((L$6+6-$S69)/$T69)-MAX(0,-INT(-(L$6-$S69)/$T69))+1),0)</f>
        <v>0.0</v>
      </c>
      <c r="M69" s="97">
        <f>IF(ISNUMBER($S69),MAX(0,INT((M$6+6-$S69)/$T69)-MAX(0,-INT(-(M$6-$S69)/$T69))+1),0)</f>
        <v>0.0</v>
      </c>
      <c r="N69" s="97">
        <f>IF(ISNUMBER($S69),MAX(0,INT((N$6+6-$S69)/$T69)-MAX(0,-INT(-(N$6-$S69)/$T69))+1),0)</f>
        <v>0.0</v>
      </c>
      <c r="O69" s="97">
        <f>IF(ISNUMBER($S69),MAX(0,INT((O$6+6-$S69)/$T69)-MAX(0,-INT(-(O$6-$S69)/$T69))+1),0)</f>
        <v>0.0</v>
      </c>
      <c r="P69" s="97">
        <f>IF(ISNUMBER($S69),MAX(0,INT((P$6+6-$S69)/$T69)-MAX(0,-INT(-(P$6-$S69)/$T69))+1),0)</f>
        <v>0.0</v>
      </c>
      <c r="Q69" s="97">
        <f>IF(ISNUMBER($S69),MAX(0,INT((Q$6+6-$S69)/$T69)-MAX(0,-INT(-(Q$6-$S69)/$T69))+1),0)</f>
        <v>0.0</v>
      </c>
      <c r="R69" s="97">
        <f>IF(ISNUMBER($S69),MAX(0,INT((R$6+6-$S69)/$T69)-MAX(0,-INT(-(R$6-$S69)/$T69))+1),0)</f>
        <v>0.0</v>
      </c>
      <c r="S69" t="str">
        <f>IF(ISNUMBER(INDEX(pl_period,60)),MAX(INDEX(pl_due,60),p_today),"")</f>
        <v/>
      </c>
      <c r="T69" t="str">
        <f>IF(ISNUMBER(INDEX(pl_period,60)),INDEX(pl_period,60),"")</f>
        <v/>
      </c>
      <c r="U69">
        <f>N(INDEX(pl_dur,60))</f>
        <v>0.0</v>
      </c>
    </row>
    <row r="70">
      <c r="A70" s="93" t="str">
        <f>IF(INDEX(pl_status,61)="","",INDEX(pl_num,61)&amp;"")</f>
        <v/>
      </c>
      <c r="B70" s="93" t="str">
        <f>IF(INDEX(pl_status,61)="","",INDEX(pl_eq,61)&amp;"")</f>
        <v/>
      </c>
      <c r="C70" s="93" t="str">
        <f>IF(INDEX(pl_status,61)="","",INDEX(pl_task,61)&amp;"")</f>
        <v/>
      </c>
      <c r="D70" s="94" t="str">
        <f>IF(ISNUMBER(INDEX(pl_due,61)),INDEX(pl_due,61),"")</f>
        <v/>
      </c>
      <c r="E70" s="95" t="str">
        <f>INDEX(pl_status,61)&amp;""</f>
        <v/>
      </c>
      <c r="F70" s="96" t="str">
        <f>IF(E70="En retard","●","")</f>
        <v/>
      </c>
      <c r="G70" s="97">
        <f>IF(ISNUMBER($S70),MAX(0,INT((G$6+6-$S70)/$T70)-MAX(0,-INT(-(G$6-$S70)/$T70))+1),0)</f>
        <v>0.0</v>
      </c>
      <c r="H70" s="97">
        <f>IF(ISNUMBER($S70),MAX(0,INT((H$6+6-$S70)/$T70)-MAX(0,-INT(-(H$6-$S70)/$T70))+1),0)</f>
        <v>0.0</v>
      </c>
      <c r="I70" s="97">
        <f>IF(ISNUMBER($S70),MAX(0,INT((I$6+6-$S70)/$T70)-MAX(0,-INT(-(I$6-$S70)/$T70))+1),0)</f>
        <v>0.0</v>
      </c>
      <c r="J70" s="97">
        <f>IF(ISNUMBER($S70),MAX(0,INT((J$6+6-$S70)/$T70)-MAX(0,-INT(-(J$6-$S70)/$T70))+1),0)</f>
        <v>0.0</v>
      </c>
      <c r="K70" s="97">
        <f>IF(ISNUMBER($S70),MAX(0,INT((K$6+6-$S70)/$T70)-MAX(0,-INT(-(K$6-$S70)/$T70))+1),0)</f>
        <v>0.0</v>
      </c>
      <c r="L70" s="97">
        <f>IF(ISNUMBER($S70),MAX(0,INT((L$6+6-$S70)/$T70)-MAX(0,-INT(-(L$6-$S70)/$T70))+1),0)</f>
        <v>0.0</v>
      </c>
      <c r="M70" s="97">
        <f>IF(ISNUMBER($S70),MAX(0,INT((M$6+6-$S70)/$T70)-MAX(0,-INT(-(M$6-$S70)/$T70))+1),0)</f>
        <v>0.0</v>
      </c>
      <c r="N70" s="97">
        <f>IF(ISNUMBER($S70),MAX(0,INT((N$6+6-$S70)/$T70)-MAX(0,-INT(-(N$6-$S70)/$T70))+1),0)</f>
        <v>0.0</v>
      </c>
      <c r="O70" s="97">
        <f>IF(ISNUMBER($S70),MAX(0,INT((O$6+6-$S70)/$T70)-MAX(0,-INT(-(O$6-$S70)/$T70))+1),0)</f>
        <v>0.0</v>
      </c>
      <c r="P70" s="97">
        <f>IF(ISNUMBER($S70),MAX(0,INT((P$6+6-$S70)/$T70)-MAX(0,-INT(-(P$6-$S70)/$T70))+1),0)</f>
        <v>0.0</v>
      </c>
      <c r="Q70" s="97">
        <f>IF(ISNUMBER($S70),MAX(0,INT((Q$6+6-$S70)/$T70)-MAX(0,-INT(-(Q$6-$S70)/$T70))+1),0)</f>
        <v>0.0</v>
      </c>
      <c r="R70" s="97">
        <f>IF(ISNUMBER($S70),MAX(0,INT((R$6+6-$S70)/$T70)-MAX(0,-INT(-(R$6-$S70)/$T70))+1),0)</f>
        <v>0.0</v>
      </c>
      <c r="S70" t="str">
        <f>IF(ISNUMBER(INDEX(pl_period,61)),MAX(INDEX(pl_due,61),p_today),"")</f>
        <v/>
      </c>
      <c r="T70" t="str">
        <f>IF(ISNUMBER(INDEX(pl_period,61)),INDEX(pl_period,61),"")</f>
        <v/>
      </c>
      <c r="U70">
        <f>N(INDEX(pl_dur,61))</f>
        <v>0.0</v>
      </c>
    </row>
    <row r="71">
      <c r="A71" s="93" t="str">
        <f>IF(INDEX(pl_status,62)="","",INDEX(pl_num,62)&amp;"")</f>
        <v/>
      </c>
      <c r="B71" s="93" t="str">
        <f>IF(INDEX(pl_status,62)="","",INDEX(pl_eq,62)&amp;"")</f>
        <v/>
      </c>
      <c r="C71" s="93" t="str">
        <f>IF(INDEX(pl_status,62)="","",INDEX(pl_task,62)&amp;"")</f>
        <v/>
      </c>
      <c r="D71" s="94" t="str">
        <f>IF(ISNUMBER(INDEX(pl_due,62)),INDEX(pl_due,62),"")</f>
        <v/>
      </c>
      <c r="E71" s="95" t="str">
        <f>INDEX(pl_status,62)&amp;""</f>
        <v/>
      </c>
      <c r="F71" s="96" t="str">
        <f>IF(E71="En retard","●","")</f>
        <v/>
      </c>
      <c r="G71" s="97">
        <f>IF(ISNUMBER($S71),MAX(0,INT((G$6+6-$S71)/$T71)-MAX(0,-INT(-(G$6-$S71)/$T71))+1),0)</f>
        <v>0.0</v>
      </c>
      <c r="H71" s="97">
        <f>IF(ISNUMBER($S71),MAX(0,INT((H$6+6-$S71)/$T71)-MAX(0,-INT(-(H$6-$S71)/$T71))+1),0)</f>
        <v>0.0</v>
      </c>
      <c r="I71" s="97">
        <f>IF(ISNUMBER($S71),MAX(0,INT((I$6+6-$S71)/$T71)-MAX(0,-INT(-(I$6-$S71)/$T71))+1),0)</f>
        <v>0.0</v>
      </c>
      <c r="J71" s="97">
        <f>IF(ISNUMBER($S71),MAX(0,INT((J$6+6-$S71)/$T71)-MAX(0,-INT(-(J$6-$S71)/$T71))+1),0)</f>
        <v>0.0</v>
      </c>
      <c r="K71" s="97">
        <f>IF(ISNUMBER($S71),MAX(0,INT((K$6+6-$S71)/$T71)-MAX(0,-INT(-(K$6-$S71)/$T71))+1),0)</f>
        <v>0.0</v>
      </c>
      <c r="L71" s="97">
        <f>IF(ISNUMBER($S71),MAX(0,INT((L$6+6-$S71)/$T71)-MAX(0,-INT(-(L$6-$S71)/$T71))+1),0)</f>
        <v>0.0</v>
      </c>
      <c r="M71" s="97">
        <f>IF(ISNUMBER($S71),MAX(0,INT((M$6+6-$S71)/$T71)-MAX(0,-INT(-(M$6-$S71)/$T71))+1),0)</f>
        <v>0.0</v>
      </c>
      <c r="N71" s="97">
        <f>IF(ISNUMBER($S71),MAX(0,INT((N$6+6-$S71)/$T71)-MAX(0,-INT(-(N$6-$S71)/$T71))+1),0)</f>
        <v>0.0</v>
      </c>
      <c r="O71" s="97">
        <f>IF(ISNUMBER($S71),MAX(0,INT((O$6+6-$S71)/$T71)-MAX(0,-INT(-(O$6-$S71)/$T71))+1),0)</f>
        <v>0.0</v>
      </c>
      <c r="P71" s="97">
        <f>IF(ISNUMBER($S71),MAX(0,INT((P$6+6-$S71)/$T71)-MAX(0,-INT(-(P$6-$S71)/$T71))+1),0)</f>
        <v>0.0</v>
      </c>
      <c r="Q71" s="97">
        <f>IF(ISNUMBER($S71),MAX(0,INT((Q$6+6-$S71)/$T71)-MAX(0,-INT(-(Q$6-$S71)/$T71))+1),0)</f>
        <v>0.0</v>
      </c>
      <c r="R71" s="97">
        <f>IF(ISNUMBER($S71),MAX(0,INT((R$6+6-$S71)/$T71)-MAX(0,-INT(-(R$6-$S71)/$T71))+1),0)</f>
        <v>0.0</v>
      </c>
      <c r="S71" t="str">
        <f>IF(ISNUMBER(INDEX(pl_period,62)),MAX(INDEX(pl_due,62),p_today),"")</f>
        <v/>
      </c>
      <c r="T71" t="str">
        <f>IF(ISNUMBER(INDEX(pl_period,62)),INDEX(pl_period,62),"")</f>
        <v/>
      </c>
      <c r="U71">
        <f>N(INDEX(pl_dur,62))</f>
        <v>0.0</v>
      </c>
    </row>
    <row r="72">
      <c r="A72" s="93" t="str">
        <f>IF(INDEX(pl_status,63)="","",INDEX(pl_num,63)&amp;"")</f>
        <v/>
      </c>
      <c r="B72" s="93" t="str">
        <f>IF(INDEX(pl_status,63)="","",INDEX(pl_eq,63)&amp;"")</f>
        <v/>
      </c>
      <c r="C72" s="93" t="str">
        <f>IF(INDEX(pl_status,63)="","",INDEX(pl_task,63)&amp;"")</f>
        <v/>
      </c>
      <c r="D72" s="94" t="str">
        <f>IF(ISNUMBER(INDEX(pl_due,63)),INDEX(pl_due,63),"")</f>
        <v/>
      </c>
      <c r="E72" s="95" t="str">
        <f>INDEX(pl_status,63)&amp;""</f>
        <v/>
      </c>
      <c r="F72" s="96" t="str">
        <f>IF(E72="En retard","●","")</f>
        <v/>
      </c>
      <c r="G72" s="97">
        <f>IF(ISNUMBER($S72),MAX(0,INT((G$6+6-$S72)/$T72)-MAX(0,-INT(-(G$6-$S72)/$T72))+1),0)</f>
        <v>0.0</v>
      </c>
      <c r="H72" s="97">
        <f>IF(ISNUMBER($S72),MAX(0,INT((H$6+6-$S72)/$T72)-MAX(0,-INT(-(H$6-$S72)/$T72))+1),0)</f>
        <v>0.0</v>
      </c>
      <c r="I72" s="97">
        <f>IF(ISNUMBER($S72),MAX(0,INT((I$6+6-$S72)/$T72)-MAX(0,-INT(-(I$6-$S72)/$T72))+1),0)</f>
        <v>0.0</v>
      </c>
      <c r="J72" s="97">
        <f>IF(ISNUMBER($S72),MAX(0,INT((J$6+6-$S72)/$T72)-MAX(0,-INT(-(J$6-$S72)/$T72))+1),0)</f>
        <v>0.0</v>
      </c>
      <c r="K72" s="97">
        <f>IF(ISNUMBER($S72),MAX(0,INT((K$6+6-$S72)/$T72)-MAX(0,-INT(-(K$6-$S72)/$T72))+1),0)</f>
        <v>0.0</v>
      </c>
      <c r="L72" s="97">
        <f>IF(ISNUMBER($S72),MAX(0,INT((L$6+6-$S72)/$T72)-MAX(0,-INT(-(L$6-$S72)/$T72))+1),0)</f>
        <v>0.0</v>
      </c>
      <c r="M72" s="97">
        <f>IF(ISNUMBER($S72),MAX(0,INT((M$6+6-$S72)/$T72)-MAX(0,-INT(-(M$6-$S72)/$T72))+1),0)</f>
        <v>0.0</v>
      </c>
      <c r="N72" s="97">
        <f>IF(ISNUMBER($S72),MAX(0,INT((N$6+6-$S72)/$T72)-MAX(0,-INT(-(N$6-$S72)/$T72))+1),0)</f>
        <v>0.0</v>
      </c>
      <c r="O72" s="97">
        <f>IF(ISNUMBER($S72),MAX(0,INT((O$6+6-$S72)/$T72)-MAX(0,-INT(-(O$6-$S72)/$T72))+1),0)</f>
        <v>0.0</v>
      </c>
      <c r="P72" s="97">
        <f>IF(ISNUMBER($S72),MAX(0,INT((P$6+6-$S72)/$T72)-MAX(0,-INT(-(P$6-$S72)/$T72))+1),0)</f>
        <v>0.0</v>
      </c>
      <c r="Q72" s="97">
        <f>IF(ISNUMBER($S72),MAX(0,INT((Q$6+6-$S72)/$T72)-MAX(0,-INT(-(Q$6-$S72)/$T72))+1),0)</f>
        <v>0.0</v>
      </c>
      <c r="R72" s="97">
        <f>IF(ISNUMBER($S72),MAX(0,INT((R$6+6-$S72)/$T72)-MAX(0,-INT(-(R$6-$S72)/$T72))+1),0)</f>
        <v>0.0</v>
      </c>
      <c r="S72" t="str">
        <f>IF(ISNUMBER(INDEX(pl_period,63)),MAX(INDEX(pl_due,63),p_today),"")</f>
        <v/>
      </c>
      <c r="T72" t="str">
        <f>IF(ISNUMBER(INDEX(pl_period,63)),INDEX(pl_period,63),"")</f>
        <v/>
      </c>
      <c r="U72">
        <f>N(INDEX(pl_dur,63))</f>
        <v>0.0</v>
      </c>
    </row>
    <row r="73">
      <c r="A73" s="93" t="str">
        <f>IF(INDEX(pl_status,64)="","",INDEX(pl_num,64)&amp;"")</f>
        <v/>
      </c>
      <c r="B73" s="93" t="str">
        <f>IF(INDEX(pl_status,64)="","",INDEX(pl_eq,64)&amp;"")</f>
        <v/>
      </c>
      <c r="C73" s="93" t="str">
        <f>IF(INDEX(pl_status,64)="","",INDEX(pl_task,64)&amp;"")</f>
        <v/>
      </c>
      <c r="D73" s="94" t="str">
        <f>IF(ISNUMBER(INDEX(pl_due,64)),INDEX(pl_due,64),"")</f>
        <v/>
      </c>
      <c r="E73" s="95" t="str">
        <f>INDEX(pl_status,64)&amp;""</f>
        <v/>
      </c>
      <c r="F73" s="96" t="str">
        <f>IF(E73="En retard","●","")</f>
        <v/>
      </c>
      <c r="G73" s="97">
        <f>IF(ISNUMBER($S73),MAX(0,INT((G$6+6-$S73)/$T73)-MAX(0,-INT(-(G$6-$S73)/$T73))+1),0)</f>
        <v>0.0</v>
      </c>
      <c r="H73" s="97">
        <f>IF(ISNUMBER($S73),MAX(0,INT((H$6+6-$S73)/$T73)-MAX(0,-INT(-(H$6-$S73)/$T73))+1),0)</f>
        <v>0.0</v>
      </c>
      <c r="I73" s="97">
        <f>IF(ISNUMBER($S73),MAX(0,INT((I$6+6-$S73)/$T73)-MAX(0,-INT(-(I$6-$S73)/$T73))+1),0)</f>
        <v>0.0</v>
      </c>
      <c r="J73" s="97">
        <f>IF(ISNUMBER($S73),MAX(0,INT((J$6+6-$S73)/$T73)-MAX(0,-INT(-(J$6-$S73)/$T73))+1),0)</f>
        <v>0.0</v>
      </c>
      <c r="K73" s="97">
        <f>IF(ISNUMBER($S73),MAX(0,INT((K$6+6-$S73)/$T73)-MAX(0,-INT(-(K$6-$S73)/$T73))+1),0)</f>
        <v>0.0</v>
      </c>
      <c r="L73" s="97">
        <f>IF(ISNUMBER($S73),MAX(0,INT((L$6+6-$S73)/$T73)-MAX(0,-INT(-(L$6-$S73)/$T73))+1),0)</f>
        <v>0.0</v>
      </c>
      <c r="M73" s="97">
        <f>IF(ISNUMBER($S73),MAX(0,INT((M$6+6-$S73)/$T73)-MAX(0,-INT(-(M$6-$S73)/$T73))+1),0)</f>
        <v>0.0</v>
      </c>
      <c r="N73" s="97">
        <f>IF(ISNUMBER($S73),MAX(0,INT((N$6+6-$S73)/$T73)-MAX(0,-INT(-(N$6-$S73)/$T73))+1),0)</f>
        <v>0.0</v>
      </c>
      <c r="O73" s="97">
        <f>IF(ISNUMBER($S73),MAX(0,INT((O$6+6-$S73)/$T73)-MAX(0,-INT(-(O$6-$S73)/$T73))+1),0)</f>
        <v>0.0</v>
      </c>
      <c r="P73" s="97">
        <f>IF(ISNUMBER($S73),MAX(0,INT((P$6+6-$S73)/$T73)-MAX(0,-INT(-(P$6-$S73)/$T73))+1),0)</f>
        <v>0.0</v>
      </c>
      <c r="Q73" s="97">
        <f>IF(ISNUMBER($S73),MAX(0,INT((Q$6+6-$S73)/$T73)-MAX(0,-INT(-(Q$6-$S73)/$T73))+1),0)</f>
        <v>0.0</v>
      </c>
      <c r="R73" s="97">
        <f>IF(ISNUMBER($S73),MAX(0,INT((R$6+6-$S73)/$T73)-MAX(0,-INT(-(R$6-$S73)/$T73))+1),0)</f>
        <v>0.0</v>
      </c>
      <c r="S73" t="str">
        <f>IF(ISNUMBER(INDEX(pl_period,64)),MAX(INDEX(pl_due,64),p_today),"")</f>
        <v/>
      </c>
      <c r="T73" t="str">
        <f>IF(ISNUMBER(INDEX(pl_period,64)),INDEX(pl_period,64),"")</f>
        <v/>
      </c>
      <c r="U73">
        <f>N(INDEX(pl_dur,64))</f>
        <v>0.0</v>
      </c>
    </row>
    <row r="74">
      <c r="A74" s="93" t="str">
        <f>IF(INDEX(pl_status,65)="","",INDEX(pl_num,65)&amp;"")</f>
        <v/>
      </c>
      <c r="B74" s="93" t="str">
        <f>IF(INDEX(pl_status,65)="","",INDEX(pl_eq,65)&amp;"")</f>
        <v/>
      </c>
      <c r="C74" s="93" t="str">
        <f>IF(INDEX(pl_status,65)="","",INDEX(pl_task,65)&amp;"")</f>
        <v/>
      </c>
      <c r="D74" s="94" t="str">
        <f>IF(ISNUMBER(INDEX(pl_due,65)),INDEX(pl_due,65),"")</f>
        <v/>
      </c>
      <c r="E74" s="95" t="str">
        <f>INDEX(pl_status,65)&amp;""</f>
        <v/>
      </c>
      <c r="F74" s="96" t="str">
        <f>IF(E74="En retard","●","")</f>
        <v/>
      </c>
      <c r="G74" s="97">
        <f>IF(ISNUMBER($S74),MAX(0,INT((G$6+6-$S74)/$T74)-MAX(0,-INT(-(G$6-$S74)/$T74))+1),0)</f>
        <v>0.0</v>
      </c>
      <c r="H74" s="97">
        <f>IF(ISNUMBER($S74),MAX(0,INT((H$6+6-$S74)/$T74)-MAX(0,-INT(-(H$6-$S74)/$T74))+1),0)</f>
        <v>0.0</v>
      </c>
      <c r="I74" s="97">
        <f>IF(ISNUMBER($S74),MAX(0,INT((I$6+6-$S74)/$T74)-MAX(0,-INT(-(I$6-$S74)/$T74))+1),0)</f>
        <v>0.0</v>
      </c>
      <c r="J74" s="97">
        <f>IF(ISNUMBER($S74),MAX(0,INT((J$6+6-$S74)/$T74)-MAX(0,-INT(-(J$6-$S74)/$T74))+1),0)</f>
        <v>0.0</v>
      </c>
      <c r="K74" s="97">
        <f>IF(ISNUMBER($S74),MAX(0,INT((K$6+6-$S74)/$T74)-MAX(0,-INT(-(K$6-$S74)/$T74))+1),0)</f>
        <v>0.0</v>
      </c>
      <c r="L74" s="97">
        <f>IF(ISNUMBER($S74),MAX(0,INT((L$6+6-$S74)/$T74)-MAX(0,-INT(-(L$6-$S74)/$T74))+1),0)</f>
        <v>0.0</v>
      </c>
      <c r="M74" s="97">
        <f>IF(ISNUMBER($S74),MAX(0,INT((M$6+6-$S74)/$T74)-MAX(0,-INT(-(M$6-$S74)/$T74))+1),0)</f>
        <v>0.0</v>
      </c>
      <c r="N74" s="97">
        <f>IF(ISNUMBER($S74),MAX(0,INT((N$6+6-$S74)/$T74)-MAX(0,-INT(-(N$6-$S74)/$T74))+1),0)</f>
        <v>0.0</v>
      </c>
      <c r="O74" s="97">
        <f>IF(ISNUMBER($S74),MAX(0,INT((O$6+6-$S74)/$T74)-MAX(0,-INT(-(O$6-$S74)/$T74))+1),0)</f>
        <v>0.0</v>
      </c>
      <c r="P74" s="97">
        <f>IF(ISNUMBER($S74),MAX(0,INT((P$6+6-$S74)/$T74)-MAX(0,-INT(-(P$6-$S74)/$T74))+1),0)</f>
        <v>0.0</v>
      </c>
      <c r="Q74" s="97">
        <f>IF(ISNUMBER($S74),MAX(0,INT((Q$6+6-$S74)/$T74)-MAX(0,-INT(-(Q$6-$S74)/$T74))+1),0)</f>
        <v>0.0</v>
      </c>
      <c r="R74" s="97">
        <f>IF(ISNUMBER($S74),MAX(0,INT((R$6+6-$S74)/$T74)-MAX(0,-INT(-(R$6-$S74)/$T74))+1),0)</f>
        <v>0.0</v>
      </c>
      <c r="S74" t="str">
        <f>IF(ISNUMBER(INDEX(pl_period,65)),MAX(INDEX(pl_due,65),p_today),"")</f>
        <v/>
      </c>
      <c r="T74" t="str">
        <f>IF(ISNUMBER(INDEX(pl_period,65)),INDEX(pl_period,65),"")</f>
        <v/>
      </c>
      <c r="U74">
        <f>N(INDEX(pl_dur,65))</f>
        <v>0.0</v>
      </c>
    </row>
    <row r="75">
      <c r="A75" s="93" t="str">
        <f>IF(INDEX(pl_status,66)="","",INDEX(pl_num,66)&amp;"")</f>
        <v/>
      </c>
      <c r="B75" s="93" t="str">
        <f>IF(INDEX(pl_status,66)="","",INDEX(pl_eq,66)&amp;"")</f>
        <v/>
      </c>
      <c r="C75" s="93" t="str">
        <f>IF(INDEX(pl_status,66)="","",INDEX(pl_task,66)&amp;"")</f>
        <v/>
      </c>
      <c r="D75" s="94" t="str">
        <f>IF(ISNUMBER(INDEX(pl_due,66)),INDEX(pl_due,66),"")</f>
        <v/>
      </c>
      <c r="E75" s="95" t="str">
        <f>INDEX(pl_status,66)&amp;""</f>
        <v/>
      </c>
      <c r="F75" s="96" t="str">
        <f>IF(E75="En retard","●","")</f>
        <v/>
      </c>
      <c r="G75" s="97">
        <f>IF(ISNUMBER($S75),MAX(0,INT((G$6+6-$S75)/$T75)-MAX(0,-INT(-(G$6-$S75)/$T75))+1),0)</f>
        <v>0.0</v>
      </c>
      <c r="H75" s="97">
        <f>IF(ISNUMBER($S75),MAX(0,INT((H$6+6-$S75)/$T75)-MAX(0,-INT(-(H$6-$S75)/$T75))+1),0)</f>
        <v>0.0</v>
      </c>
      <c r="I75" s="97">
        <f>IF(ISNUMBER($S75),MAX(0,INT((I$6+6-$S75)/$T75)-MAX(0,-INT(-(I$6-$S75)/$T75))+1),0)</f>
        <v>0.0</v>
      </c>
      <c r="J75" s="97">
        <f>IF(ISNUMBER($S75),MAX(0,INT((J$6+6-$S75)/$T75)-MAX(0,-INT(-(J$6-$S75)/$T75))+1),0)</f>
        <v>0.0</v>
      </c>
      <c r="K75" s="97">
        <f>IF(ISNUMBER($S75),MAX(0,INT((K$6+6-$S75)/$T75)-MAX(0,-INT(-(K$6-$S75)/$T75))+1),0)</f>
        <v>0.0</v>
      </c>
      <c r="L75" s="97">
        <f>IF(ISNUMBER($S75),MAX(0,INT((L$6+6-$S75)/$T75)-MAX(0,-INT(-(L$6-$S75)/$T75))+1),0)</f>
        <v>0.0</v>
      </c>
      <c r="M75" s="97">
        <f>IF(ISNUMBER($S75),MAX(0,INT((M$6+6-$S75)/$T75)-MAX(0,-INT(-(M$6-$S75)/$T75))+1),0)</f>
        <v>0.0</v>
      </c>
      <c r="N75" s="97">
        <f>IF(ISNUMBER($S75),MAX(0,INT((N$6+6-$S75)/$T75)-MAX(0,-INT(-(N$6-$S75)/$T75))+1),0)</f>
        <v>0.0</v>
      </c>
      <c r="O75" s="97">
        <f>IF(ISNUMBER($S75),MAX(0,INT((O$6+6-$S75)/$T75)-MAX(0,-INT(-(O$6-$S75)/$T75))+1),0)</f>
        <v>0.0</v>
      </c>
      <c r="P75" s="97">
        <f>IF(ISNUMBER($S75),MAX(0,INT((P$6+6-$S75)/$T75)-MAX(0,-INT(-(P$6-$S75)/$T75))+1),0)</f>
        <v>0.0</v>
      </c>
      <c r="Q75" s="97">
        <f>IF(ISNUMBER($S75),MAX(0,INT((Q$6+6-$S75)/$T75)-MAX(0,-INT(-(Q$6-$S75)/$T75))+1),0)</f>
        <v>0.0</v>
      </c>
      <c r="R75" s="97">
        <f>IF(ISNUMBER($S75),MAX(0,INT((R$6+6-$S75)/$T75)-MAX(0,-INT(-(R$6-$S75)/$T75))+1),0)</f>
        <v>0.0</v>
      </c>
      <c r="S75" t="str">
        <f>IF(ISNUMBER(INDEX(pl_period,66)),MAX(INDEX(pl_due,66),p_today),"")</f>
        <v/>
      </c>
      <c r="T75" t="str">
        <f>IF(ISNUMBER(INDEX(pl_period,66)),INDEX(pl_period,66),"")</f>
        <v/>
      </c>
      <c r="U75">
        <f>N(INDEX(pl_dur,66))</f>
        <v>0.0</v>
      </c>
    </row>
    <row r="76">
      <c r="A76" s="93" t="str">
        <f>IF(INDEX(pl_status,67)="","",INDEX(pl_num,67)&amp;"")</f>
        <v/>
      </c>
      <c r="B76" s="93" t="str">
        <f>IF(INDEX(pl_status,67)="","",INDEX(pl_eq,67)&amp;"")</f>
        <v/>
      </c>
      <c r="C76" s="93" t="str">
        <f>IF(INDEX(pl_status,67)="","",INDEX(pl_task,67)&amp;"")</f>
        <v/>
      </c>
      <c r="D76" s="94" t="str">
        <f>IF(ISNUMBER(INDEX(pl_due,67)),INDEX(pl_due,67),"")</f>
        <v/>
      </c>
      <c r="E76" s="95" t="str">
        <f>INDEX(pl_status,67)&amp;""</f>
        <v/>
      </c>
      <c r="F76" s="96" t="str">
        <f>IF(E76="En retard","●","")</f>
        <v/>
      </c>
      <c r="G76" s="97">
        <f>IF(ISNUMBER($S76),MAX(0,INT((G$6+6-$S76)/$T76)-MAX(0,-INT(-(G$6-$S76)/$T76))+1),0)</f>
        <v>0.0</v>
      </c>
      <c r="H76" s="97">
        <f>IF(ISNUMBER($S76),MAX(0,INT((H$6+6-$S76)/$T76)-MAX(0,-INT(-(H$6-$S76)/$T76))+1),0)</f>
        <v>0.0</v>
      </c>
      <c r="I76" s="97">
        <f>IF(ISNUMBER($S76),MAX(0,INT((I$6+6-$S76)/$T76)-MAX(0,-INT(-(I$6-$S76)/$T76))+1),0)</f>
        <v>0.0</v>
      </c>
      <c r="J76" s="97">
        <f>IF(ISNUMBER($S76),MAX(0,INT((J$6+6-$S76)/$T76)-MAX(0,-INT(-(J$6-$S76)/$T76))+1),0)</f>
        <v>0.0</v>
      </c>
      <c r="K76" s="97">
        <f>IF(ISNUMBER($S76),MAX(0,INT((K$6+6-$S76)/$T76)-MAX(0,-INT(-(K$6-$S76)/$T76))+1),0)</f>
        <v>0.0</v>
      </c>
      <c r="L76" s="97">
        <f>IF(ISNUMBER($S76),MAX(0,INT((L$6+6-$S76)/$T76)-MAX(0,-INT(-(L$6-$S76)/$T76))+1),0)</f>
        <v>0.0</v>
      </c>
      <c r="M76" s="97">
        <f>IF(ISNUMBER($S76),MAX(0,INT((M$6+6-$S76)/$T76)-MAX(0,-INT(-(M$6-$S76)/$T76))+1),0)</f>
        <v>0.0</v>
      </c>
      <c r="N76" s="97">
        <f>IF(ISNUMBER($S76),MAX(0,INT((N$6+6-$S76)/$T76)-MAX(0,-INT(-(N$6-$S76)/$T76))+1),0)</f>
        <v>0.0</v>
      </c>
      <c r="O76" s="97">
        <f>IF(ISNUMBER($S76),MAX(0,INT((O$6+6-$S76)/$T76)-MAX(0,-INT(-(O$6-$S76)/$T76))+1),0)</f>
        <v>0.0</v>
      </c>
      <c r="P76" s="97">
        <f>IF(ISNUMBER($S76),MAX(0,INT((P$6+6-$S76)/$T76)-MAX(0,-INT(-(P$6-$S76)/$T76))+1),0)</f>
        <v>0.0</v>
      </c>
      <c r="Q76" s="97">
        <f>IF(ISNUMBER($S76),MAX(0,INT((Q$6+6-$S76)/$T76)-MAX(0,-INT(-(Q$6-$S76)/$T76))+1),0)</f>
        <v>0.0</v>
      </c>
      <c r="R76" s="97">
        <f>IF(ISNUMBER($S76),MAX(0,INT((R$6+6-$S76)/$T76)-MAX(0,-INT(-(R$6-$S76)/$T76))+1),0)</f>
        <v>0.0</v>
      </c>
      <c r="S76" t="str">
        <f>IF(ISNUMBER(INDEX(pl_period,67)),MAX(INDEX(pl_due,67),p_today),"")</f>
        <v/>
      </c>
      <c r="T76" t="str">
        <f>IF(ISNUMBER(INDEX(pl_period,67)),INDEX(pl_period,67),"")</f>
        <v/>
      </c>
      <c r="U76">
        <f>N(INDEX(pl_dur,67))</f>
        <v>0.0</v>
      </c>
    </row>
    <row r="77">
      <c r="A77" s="93" t="str">
        <f>IF(INDEX(pl_status,68)="","",INDEX(pl_num,68)&amp;"")</f>
        <v/>
      </c>
      <c r="B77" s="93" t="str">
        <f>IF(INDEX(pl_status,68)="","",INDEX(pl_eq,68)&amp;"")</f>
        <v/>
      </c>
      <c r="C77" s="93" t="str">
        <f>IF(INDEX(pl_status,68)="","",INDEX(pl_task,68)&amp;"")</f>
        <v/>
      </c>
      <c r="D77" s="94" t="str">
        <f>IF(ISNUMBER(INDEX(pl_due,68)),INDEX(pl_due,68),"")</f>
        <v/>
      </c>
      <c r="E77" s="95" t="str">
        <f>INDEX(pl_status,68)&amp;""</f>
        <v/>
      </c>
      <c r="F77" s="96" t="str">
        <f>IF(E77="En retard","●","")</f>
        <v/>
      </c>
      <c r="G77" s="97">
        <f>IF(ISNUMBER($S77),MAX(0,INT((G$6+6-$S77)/$T77)-MAX(0,-INT(-(G$6-$S77)/$T77))+1),0)</f>
        <v>0.0</v>
      </c>
      <c r="H77" s="97">
        <f>IF(ISNUMBER($S77),MAX(0,INT((H$6+6-$S77)/$T77)-MAX(0,-INT(-(H$6-$S77)/$T77))+1),0)</f>
        <v>0.0</v>
      </c>
      <c r="I77" s="97">
        <f>IF(ISNUMBER($S77),MAX(0,INT((I$6+6-$S77)/$T77)-MAX(0,-INT(-(I$6-$S77)/$T77))+1),0)</f>
        <v>0.0</v>
      </c>
      <c r="J77" s="97">
        <f>IF(ISNUMBER($S77),MAX(0,INT((J$6+6-$S77)/$T77)-MAX(0,-INT(-(J$6-$S77)/$T77))+1),0)</f>
        <v>0.0</v>
      </c>
      <c r="K77" s="97">
        <f>IF(ISNUMBER($S77),MAX(0,INT((K$6+6-$S77)/$T77)-MAX(0,-INT(-(K$6-$S77)/$T77))+1),0)</f>
        <v>0.0</v>
      </c>
      <c r="L77" s="97">
        <f>IF(ISNUMBER($S77),MAX(0,INT((L$6+6-$S77)/$T77)-MAX(0,-INT(-(L$6-$S77)/$T77))+1),0)</f>
        <v>0.0</v>
      </c>
      <c r="M77" s="97">
        <f>IF(ISNUMBER($S77),MAX(0,INT((M$6+6-$S77)/$T77)-MAX(0,-INT(-(M$6-$S77)/$T77))+1),0)</f>
        <v>0.0</v>
      </c>
      <c r="N77" s="97">
        <f>IF(ISNUMBER($S77),MAX(0,INT((N$6+6-$S77)/$T77)-MAX(0,-INT(-(N$6-$S77)/$T77))+1),0)</f>
        <v>0.0</v>
      </c>
      <c r="O77" s="97">
        <f>IF(ISNUMBER($S77),MAX(0,INT((O$6+6-$S77)/$T77)-MAX(0,-INT(-(O$6-$S77)/$T77))+1),0)</f>
        <v>0.0</v>
      </c>
      <c r="P77" s="97">
        <f>IF(ISNUMBER($S77),MAX(0,INT((P$6+6-$S77)/$T77)-MAX(0,-INT(-(P$6-$S77)/$T77))+1),0)</f>
        <v>0.0</v>
      </c>
      <c r="Q77" s="97">
        <f>IF(ISNUMBER($S77),MAX(0,INT((Q$6+6-$S77)/$T77)-MAX(0,-INT(-(Q$6-$S77)/$T77))+1),0)</f>
        <v>0.0</v>
      </c>
      <c r="R77" s="97">
        <f>IF(ISNUMBER($S77),MAX(0,INT((R$6+6-$S77)/$T77)-MAX(0,-INT(-(R$6-$S77)/$T77))+1),0)</f>
        <v>0.0</v>
      </c>
      <c r="S77" t="str">
        <f>IF(ISNUMBER(INDEX(pl_period,68)),MAX(INDEX(pl_due,68),p_today),"")</f>
        <v/>
      </c>
      <c r="T77" t="str">
        <f>IF(ISNUMBER(INDEX(pl_period,68)),INDEX(pl_period,68),"")</f>
        <v/>
      </c>
      <c r="U77">
        <f>N(INDEX(pl_dur,68))</f>
        <v>0.0</v>
      </c>
    </row>
    <row r="78">
      <c r="A78" s="93" t="str">
        <f>IF(INDEX(pl_status,69)="","",INDEX(pl_num,69)&amp;"")</f>
        <v/>
      </c>
      <c r="B78" s="93" t="str">
        <f>IF(INDEX(pl_status,69)="","",INDEX(pl_eq,69)&amp;"")</f>
        <v/>
      </c>
      <c r="C78" s="93" t="str">
        <f>IF(INDEX(pl_status,69)="","",INDEX(pl_task,69)&amp;"")</f>
        <v/>
      </c>
      <c r="D78" s="94" t="str">
        <f>IF(ISNUMBER(INDEX(pl_due,69)),INDEX(pl_due,69),"")</f>
        <v/>
      </c>
      <c r="E78" s="95" t="str">
        <f>INDEX(pl_status,69)&amp;""</f>
        <v/>
      </c>
      <c r="F78" s="96" t="str">
        <f>IF(E78="En retard","●","")</f>
        <v/>
      </c>
      <c r="G78" s="97">
        <f>IF(ISNUMBER($S78),MAX(0,INT((G$6+6-$S78)/$T78)-MAX(0,-INT(-(G$6-$S78)/$T78))+1),0)</f>
        <v>0.0</v>
      </c>
      <c r="H78" s="97">
        <f>IF(ISNUMBER($S78),MAX(0,INT((H$6+6-$S78)/$T78)-MAX(0,-INT(-(H$6-$S78)/$T78))+1),0)</f>
        <v>0.0</v>
      </c>
      <c r="I78" s="97">
        <f>IF(ISNUMBER($S78),MAX(0,INT((I$6+6-$S78)/$T78)-MAX(0,-INT(-(I$6-$S78)/$T78))+1),0)</f>
        <v>0.0</v>
      </c>
      <c r="J78" s="97">
        <f>IF(ISNUMBER($S78),MAX(0,INT((J$6+6-$S78)/$T78)-MAX(0,-INT(-(J$6-$S78)/$T78))+1),0)</f>
        <v>0.0</v>
      </c>
      <c r="K78" s="97">
        <f>IF(ISNUMBER($S78),MAX(0,INT((K$6+6-$S78)/$T78)-MAX(0,-INT(-(K$6-$S78)/$T78))+1),0)</f>
        <v>0.0</v>
      </c>
      <c r="L78" s="97">
        <f>IF(ISNUMBER($S78),MAX(0,INT((L$6+6-$S78)/$T78)-MAX(0,-INT(-(L$6-$S78)/$T78))+1),0)</f>
        <v>0.0</v>
      </c>
      <c r="M78" s="97">
        <f>IF(ISNUMBER($S78),MAX(0,INT((M$6+6-$S78)/$T78)-MAX(0,-INT(-(M$6-$S78)/$T78))+1),0)</f>
        <v>0.0</v>
      </c>
      <c r="N78" s="97">
        <f>IF(ISNUMBER($S78),MAX(0,INT((N$6+6-$S78)/$T78)-MAX(0,-INT(-(N$6-$S78)/$T78))+1),0)</f>
        <v>0.0</v>
      </c>
      <c r="O78" s="97">
        <f>IF(ISNUMBER($S78),MAX(0,INT((O$6+6-$S78)/$T78)-MAX(0,-INT(-(O$6-$S78)/$T78))+1),0)</f>
        <v>0.0</v>
      </c>
      <c r="P78" s="97">
        <f>IF(ISNUMBER($S78),MAX(0,INT((P$6+6-$S78)/$T78)-MAX(0,-INT(-(P$6-$S78)/$T78))+1),0)</f>
        <v>0.0</v>
      </c>
      <c r="Q78" s="97">
        <f>IF(ISNUMBER($S78),MAX(0,INT((Q$6+6-$S78)/$T78)-MAX(0,-INT(-(Q$6-$S78)/$T78))+1),0)</f>
        <v>0.0</v>
      </c>
      <c r="R78" s="97">
        <f>IF(ISNUMBER($S78),MAX(0,INT((R$6+6-$S78)/$T78)-MAX(0,-INT(-(R$6-$S78)/$T78))+1),0)</f>
        <v>0.0</v>
      </c>
      <c r="S78" t="str">
        <f>IF(ISNUMBER(INDEX(pl_period,69)),MAX(INDEX(pl_due,69),p_today),"")</f>
        <v/>
      </c>
      <c r="T78" t="str">
        <f>IF(ISNUMBER(INDEX(pl_period,69)),INDEX(pl_period,69),"")</f>
        <v/>
      </c>
      <c r="U78">
        <f>N(INDEX(pl_dur,69))</f>
        <v>0.0</v>
      </c>
    </row>
    <row r="79">
      <c r="A79" s="93" t="str">
        <f>IF(INDEX(pl_status,70)="","",INDEX(pl_num,70)&amp;"")</f>
        <v/>
      </c>
      <c r="B79" s="93" t="str">
        <f>IF(INDEX(pl_status,70)="","",INDEX(pl_eq,70)&amp;"")</f>
        <v/>
      </c>
      <c r="C79" s="93" t="str">
        <f>IF(INDEX(pl_status,70)="","",INDEX(pl_task,70)&amp;"")</f>
        <v/>
      </c>
      <c r="D79" s="94" t="str">
        <f>IF(ISNUMBER(INDEX(pl_due,70)),INDEX(pl_due,70),"")</f>
        <v/>
      </c>
      <c r="E79" s="95" t="str">
        <f>INDEX(pl_status,70)&amp;""</f>
        <v/>
      </c>
      <c r="F79" s="96" t="str">
        <f>IF(E79="En retard","●","")</f>
        <v/>
      </c>
      <c r="G79" s="97">
        <f>IF(ISNUMBER($S79),MAX(0,INT((G$6+6-$S79)/$T79)-MAX(0,-INT(-(G$6-$S79)/$T79))+1),0)</f>
        <v>0.0</v>
      </c>
      <c r="H79" s="97">
        <f>IF(ISNUMBER($S79),MAX(0,INT((H$6+6-$S79)/$T79)-MAX(0,-INT(-(H$6-$S79)/$T79))+1),0)</f>
        <v>0.0</v>
      </c>
      <c r="I79" s="97">
        <f>IF(ISNUMBER($S79),MAX(0,INT((I$6+6-$S79)/$T79)-MAX(0,-INT(-(I$6-$S79)/$T79))+1),0)</f>
        <v>0.0</v>
      </c>
      <c r="J79" s="97">
        <f>IF(ISNUMBER($S79),MAX(0,INT((J$6+6-$S79)/$T79)-MAX(0,-INT(-(J$6-$S79)/$T79))+1),0)</f>
        <v>0.0</v>
      </c>
      <c r="K79" s="97">
        <f>IF(ISNUMBER($S79),MAX(0,INT((K$6+6-$S79)/$T79)-MAX(0,-INT(-(K$6-$S79)/$T79))+1),0)</f>
        <v>0.0</v>
      </c>
      <c r="L79" s="97">
        <f>IF(ISNUMBER($S79),MAX(0,INT((L$6+6-$S79)/$T79)-MAX(0,-INT(-(L$6-$S79)/$T79))+1),0)</f>
        <v>0.0</v>
      </c>
      <c r="M79" s="97">
        <f>IF(ISNUMBER($S79),MAX(0,INT((M$6+6-$S79)/$T79)-MAX(0,-INT(-(M$6-$S79)/$T79))+1),0)</f>
        <v>0.0</v>
      </c>
      <c r="N79" s="97">
        <f>IF(ISNUMBER($S79),MAX(0,INT((N$6+6-$S79)/$T79)-MAX(0,-INT(-(N$6-$S79)/$T79))+1),0)</f>
        <v>0.0</v>
      </c>
      <c r="O79" s="97">
        <f>IF(ISNUMBER($S79),MAX(0,INT((O$6+6-$S79)/$T79)-MAX(0,-INT(-(O$6-$S79)/$T79))+1),0)</f>
        <v>0.0</v>
      </c>
      <c r="P79" s="97">
        <f>IF(ISNUMBER($S79),MAX(0,INT((P$6+6-$S79)/$T79)-MAX(0,-INT(-(P$6-$S79)/$T79))+1),0)</f>
        <v>0.0</v>
      </c>
      <c r="Q79" s="97">
        <f>IF(ISNUMBER($S79),MAX(0,INT((Q$6+6-$S79)/$T79)-MAX(0,-INT(-(Q$6-$S79)/$T79))+1),0)</f>
        <v>0.0</v>
      </c>
      <c r="R79" s="97">
        <f>IF(ISNUMBER($S79),MAX(0,INT((R$6+6-$S79)/$T79)-MAX(0,-INT(-(R$6-$S79)/$T79))+1),0)</f>
        <v>0.0</v>
      </c>
      <c r="S79" t="str">
        <f>IF(ISNUMBER(INDEX(pl_period,70)),MAX(INDEX(pl_due,70),p_today),"")</f>
        <v/>
      </c>
      <c r="T79" t="str">
        <f>IF(ISNUMBER(INDEX(pl_period,70)),INDEX(pl_period,70),"")</f>
        <v/>
      </c>
      <c r="U79">
        <f>N(INDEX(pl_dur,70))</f>
        <v>0.0</v>
      </c>
    </row>
    <row r="80">
      <c r="A80" s="93" t="str">
        <f>IF(INDEX(pl_status,71)="","",INDEX(pl_num,71)&amp;"")</f>
        <v/>
      </c>
      <c r="B80" s="93" t="str">
        <f>IF(INDEX(pl_status,71)="","",INDEX(pl_eq,71)&amp;"")</f>
        <v/>
      </c>
      <c r="C80" s="93" t="str">
        <f>IF(INDEX(pl_status,71)="","",INDEX(pl_task,71)&amp;"")</f>
        <v/>
      </c>
      <c r="D80" s="94" t="str">
        <f>IF(ISNUMBER(INDEX(pl_due,71)),INDEX(pl_due,71),"")</f>
        <v/>
      </c>
      <c r="E80" s="95" t="str">
        <f>INDEX(pl_status,71)&amp;""</f>
        <v/>
      </c>
      <c r="F80" s="96" t="str">
        <f>IF(E80="En retard","●","")</f>
        <v/>
      </c>
      <c r="G80" s="97">
        <f>IF(ISNUMBER($S80),MAX(0,INT((G$6+6-$S80)/$T80)-MAX(0,-INT(-(G$6-$S80)/$T80))+1),0)</f>
        <v>0.0</v>
      </c>
      <c r="H80" s="97">
        <f>IF(ISNUMBER($S80),MAX(0,INT((H$6+6-$S80)/$T80)-MAX(0,-INT(-(H$6-$S80)/$T80))+1),0)</f>
        <v>0.0</v>
      </c>
      <c r="I80" s="97">
        <f>IF(ISNUMBER($S80),MAX(0,INT((I$6+6-$S80)/$T80)-MAX(0,-INT(-(I$6-$S80)/$T80))+1),0)</f>
        <v>0.0</v>
      </c>
      <c r="J80" s="97">
        <f>IF(ISNUMBER($S80),MAX(0,INT((J$6+6-$S80)/$T80)-MAX(0,-INT(-(J$6-$S80)/$T80))+1),0)</f>
        <v>0.0</v>
      </c>
      <c r="K80" s="97">
        <f>IF(ISNUMBER($S80),MAX(0,INT((K$6+6-$S80)/$T80)-MAX(0,-INT(-(K$6-$S80)/$T80))+1),0)</f>
        <v>0.0</v>
      </c>
      <c r="L80" s="97">
        <f>IF(ISNUMBER($S80),MAX(0,INT((L$6+6-$S80)/$T80)-MAX(0,-INT(-(L$6-$S80)/$T80))+1),0)</f>
        <v>0.0</v>
      </c>
      <c r="M80" s="97">
        <f>IF(ISNUMBER($S80),MAX(0,INT((M$6+6-$S80)/$T80)-MAX(0,-INT(-(M$6-$S80)/$T80))+1),0)</f>
        <v>0.0</v>
      </c>
      <c r="N80" s="97">
        <f>IF(ISNUMBER($S80),MAX(0,INT((N$6+6-$S80)/$T80)-MAX(0,-INT(-(N$6-$S80)/$T80))+1),0)</f>
        <v>0.0</v>
      </c>
      <c r="O80" s="97">
        <f>IF(ISNUMBER($S80),MAX(0,INT((O$6+6-$S80)/$T80)-MAX(0,-INT(-(O$6-$S80)/$T80))+1),0)</f>
        <v>0.0</v>
      </c>
      <c r="P80" s="97">
        <f>IF(ISNUMBER($S80),MAX(0,INT((P$6+6-$S80)/$T80)-MAX(0,-INT(-(P$6-$S80)/$T80))+1),0)</f>
        <v>0.0</v>
      </c>
      <c r="Q80" s="97">
        <f>IF(ISNUMBER($S80),MAX(0,INT((Q$6+6-$S80)/$T80)-MAX(0,-INT(-(Q$6-$S80)/$T80))+1),0)</f>
        <v>0.0</v>
      </c>
      <c r="R80" s="97">
        <f>IF(ISNUMBER($S80),MAX(0,INT((R$6+6-$S80)/$T80)-MAX(0,-INT(-(R$6-$S80)/$T80))+1),0)</f>
        <v>0.0</v>
      </c>
      <c r="S80" t="str">
        <f>IF(ISNUMBER(INDEX(pl_period,71)),MAX(INDEX(pl_due,71),p_today),"")</f>
        <v/>
      </c>
      <c r="T80" t="str">
        <f>IF(ISNUMBER(INDEX(pl_period,71)),INDEX(pl_period,71),"")</f>
        <v/>
      </c>
      <c r="U80">
        <f>N(INDEX(pl_dur,71))</f>
        <v>0.0</v>
      </c>
    </row>
    <row r="81">
      <c r="A81" s="93" t="str">
        <f>IF(INDEX(pl_status,72)="","",INDEX(pl_num,72)&amp;"")</f>
        <v/>
      </c>
      <c r="B81" s="93" t="str">
        <f>IF(INDEX(pl_status,72)="","",INDEX(pl_eq,72)&amp;"")</f>
        <v/>
      </c>
      <c r="C81" s="93" t="str">
        <f>IF(INDEX(pl_status,72)="","",INDEX(pl_task,72)&amp;"")</f>
        <v/>
      </c>
      <c r="D81" s="94" t="str">
        <f>IF(ISNUMBER(INDEX(pl_due,72)),INDEX(pl_due,72),"")</f>
        <v/>
      </c>
      <c r="E81" s="95" t="str">
        <f>INDEX(pl_status,72)&amp;""</f>
        <v/>
      </c>
      <c r="F81" s="96" t="str">
        <f>IF(E81="En retard","●","")</f>
        <v/>
      </c>
      <c r="G81" s="97">
        <f>IF(ISNUMBER($S81),MAX(0,INT((G$6+6-$S81)/$T81)-MAX(0,-INT(-(G$6-$S81)/$T81))+1),0)</f>
        <v>0.0</v>
      </c>
      <c r="H81" s="97">
        <f>IF(ISNUMBER($S81),MAX(0,INT((H$6+6-$S81)/$T81)-MAX(0,-INT(-(H$6-$S81)/$T81))+1),0)</f>
        <v>0.0</v>
      </c>
      <c r="I81" s="97">
        <f>IF(ISNUMBER($S81),MAX(0,INT((I$6+6-$S81)/$T81)-MAX(0,-INT(-(I$6-$S81)/$T81))+1),0)</f>
        <v>0.0</v>
      </c>
      <c r="J81" s="97">
        <f>IF(ISNUMBER($S81),MAX(0,INT((J$6+6-$S81)/$T81)-MAX(0,-INT(-(J$6-$S81)/$T81))+1),0)</f>
        <v>0.0</v>
      </c>
      <c r="K81" s="97">
        <f>IF(ISNUMBER($S81),MAX(0,INT((K$6+6-$S81)/$T81)-MAX(0,-INT(-(K$6-$S81)/$T81))+1),0)</f>
        <v>0.0</v>
      </c>
      <c r="L81" s="97">
        <f>IF(ISNUMBER($S81),MAX(0,INT((L$6+6-$S81)/$T81)-MAX(0,-INT(-(L$6-$S81)/$T81))+1),0)</f>
        <v>0.0</v>
      </c>
      <c r="M81" s="97">
        <f>IF(ISNUMBER($S81),MAX(0,INT((M$6+6-$S81)/$T81)-MAX(0,-INT(-(M$6-$S81)/$T81))+1),0)</f>
        <v>0.0</v>
      </c>
      <c r="N81" s="97">
        <f>IF(ISNUMBER($S81),MAX(0,INT((N$6+6-$S81)/$T81)-MAX(0,-INT(-(N$6-$S81)/$T81))+1),0)</f>
        <v>0.0</v>
      </c>
      <c r="O81" s="97">
        <f>IF(ISNUMBER($S81),MAX(0,INT((O$6+6-$S81)/$T81)-MAX(0,-INT(-(O$6-$S81)/$T81))+1),0)</f>
        <v>0.0</v>
      </c>
      <c r="P81" s="97">
        <f>IF(ISNUMBER($S81),MAX(0,INT((P$6+6-$S81)/$T81)-MAX(0,-INT(-(P$6-$S81)/$T81))+1),0)</f>
        <v>0.0</v>
      </c>
      <c r="Q81" s="97">
        <f>IF(ISNUMBER($S81),MAX(0,INT((Q$6+6-$S81)/$T81)-MAX(0,-INT(-(Q$6-$S81)/$T81))+1),0)</f>
        <v>0.0</v>
      </c>
      <c r="R81" s="97">
        <f>IF(ISNUMBER($S81),MAX(0,INT((R$6+6-$S81)/$T81)-MAX(0,-INT(-(R$6-$S81)/$T81))+1),0)</f>
        <v>0.0</v>
      </c>
      <c r="S81" t="str">
        <f>IF(ISNUMBER(INDEX(pl_period,72)),MAX(INDEX(pl_due,72),p_today),"")</f>
        <v/>
      </c>
      <c r="T81" t="str">
        <f>IF(ISNUMBER(INDEX(pl_period,72)),INDEX(pl_period,72),"")</f>
        <v/>
      </c>
      <c r="U81">
        <f>N(INDEX(pl_dur,72))</f>
        <v>0.0</v>
      </c>
    </row>
    <row r="82">
      <c r="A82" s="93" t="str">
        <f>IF(INDEX(pl_status,73)="","",INDEX(pl_num,73)&amp;"")</f>
        <v/>
      </c>
      <c r="B82" s="93" t="str">
        <f>IF(INDEX(pl_status,73)="","",INDEX(pl_eq,73)&amp;"")</f>
        <v/>
      </c>
      <c r="C82" s="93" t="str">
        <f>IF(INDEX(pl_status,73)="","",INDEX(pl_task,73)&amp;"")</f>
        <v/>
      </c>
      <c r="D82" s="94" t="str">
        <f>IF(ISNUMBER(INDEX(pl_due,73)),INDEX(pl_due,73),"")</f>
        <v/>
      </c>
      <c r="E82" s="95" t="str">
        <f>INDEX(pl_status,73)&amp;""</f>
        <v/>
      </c>
      <c r="F82" s="96" t="str">
        <f>IF(E82="En retard","●","")</f>
        <v/>
      </c>
      <c r="G82" s="97">
        <f>IF(ISNUMBER($S82),MAX(0,INT((G$6+6-$S82)/$T82)-MAX(0,-INT(-(G$6-$S82)/$T82))+1),0)</f>
        <v>0.0</v>
      </c>
      <c r="H82" s="97">
        <f>IF(ISNUMBER($S82),MAX(0,INT((H$6+6-$S82)/$T82)-MAX(0,-INT(-(H$6-$S82)/$T82))+1),0)</f>
        <v>0.0</v>
      </c>
      <c r="I82" s="97">
        <f>IF(ISNUMBER($S82),MAX(0,INT((I$6+6-$S82)/$T82)-MAX(0,-INT(-(I$6-$S82)/$T82))+1),0)</f>
        <v>0.0</v>
      </c>
      <c r="J82" s="97">
        <f>IF(ISNUMBER($S82),MAX(0,INT((J$6+6-$S82)/$T82)-MAX(0,-INT(-(J$6-$S82)/$T82))+1),0)</f>
        <v>0.0</v>
      </c>
      <c r="K82" s="97">
        <f>IF(ISNUMBER($S82),MAX(0,INT((K$6+6-$S82)/$T82)-MAX(0,-INT(-(K$6-$S82)/$T82))+1),0)</f>
        <v>0.0</v>
      </c>
      <c r="L82" s="97">
        <f>IF(ISNUMBER($S82),MAX(0,INT((L$6+6-$S82)/$T82)-MAX(0,-INT(-(L$6-$S82)/$T82))+1),0)</f>
        <v>0.0</v>
      </c>
      <c r="M82" s="97">
        <f>IF(ISNUMBER($S82),MAX(0,INT((M$6+6-$S82)/$T82)-MAX(0,-INT(-(M$6-$S82)/$T82))+1),0)</f>
        <v>0.0</v>
      </c>
      <c r="N82" s="97">
        <f>IF(ISNUMBER($S82),MAX(0,INT((N$6+6-$S82)/$T82)-MAX(0,-INT(-(N$6-$S82)/$T82))+1),0)</f>
        <v>0.0</v>
      </c>
      <c r="O82" s="97">
        <f>IF(ISNUMBER($S82),MAX(0,INT((O$6+6-$S82)/$T82)-MAX(0,-INT(-(O$6-$S82)/$T82))+1),0)</f>
        <v>0.0</v>
      </c>
      <c r="P82" s="97">
        <f>IF(ISNUMBER($S82),MAX(0,INT((P$6+6-$S82)/$T82)-MAX(0,-INT(-(P$6-$S82)/$T82))+1),0)</f>
        <v>0.0</v>
      </c>
      <c r="Q82" s="97">
        <f>IF(ISNUMBER($S82),MAX(0,INT((Q$6+6-$S82)/$T82)-MAX(0,-INT(-(Q$6-$S82)/$T82))+1),0)</f>
        <v>0.0</v>
      </c>
      <c r="R82" s="97">
        <f>IF(ISNUMBER($S82),MAX(0,INT((R$6+6-$S82)/$T82)-MAX(0,-INT(-(R$6-$S82)/$T82))+1),0)</f>
        <v>0.0</v>
      </c>
      <c r="S82" t="str">
        <f>IF(ISNUMBER(INDEX(pl_period,73)),MAX(INDEX(pl_due,73),p_today),"")</f>
        <v/>
      </c>
      <c r="T82" t="str">
        <f>IF(ISNUMBER(INDEX(pl_period,73)),INDEX(pl_period,73),"")</f>
        <v/>
      </c>
      <c r="U82">
        <f>N(INDEX(pl_dur,73))</f>
        <v>0.0</v>
      </c>
    </row>
    <row r="83">
      <c r="A83" s="93" t="str">
        <f>IF(INDEX(pl_status,74)="","",INDEX(pl_num,74)&amp;"")</f>
        <v/>
      </c>
      <c r="B83" s="93" t="str">
        <f>IF(INDEX(pl_status,74)="","",INDEX(pl_eq,74)&amp;"")</f>
        <v/>
      </c>
      <c r="C83" s="93" t="str">
        <f>IF(INDEX(pl_status,74)="","",INDEX(pl_task,74)&amp;"")</f>
        <v/>
      </c>
      <c r="D83" s="94" t="str">
        <f>IF(ISNUMBER(INDEX(pl_due,74)),INDEX(pl_due,74),"")</f>
        <v/>
      </c>
      <c r="E83" s="95" t="str">
        <f>INDEX(pl_status,74)&amp;""</f>
        <v/>
      </c>
      <c r="F83" s="96" t="str">
        <f>IF(E83="En retard","●","")</f>
        <v/>
      </c>
      <c r="G83" s="97">
        <f>IF(ISNUMBER($S83),MAX(0,INT((G$6+6-$S83)/$T83)-MAX(0,-INT(-(G$6-$S83)/$T83))+1),0)</f>
        <v>0.0</v>
      </c>
      <c r="H83" s="97">
        <f>IF(ISNUMBER($S83),MAX(0,INT((H$6+6-$S83)/$T83)-MAX(0,-INT(-(H$6-$S83)/$T83))+1),0)</f>
        <v>0.0</v>
      </c>
      <c r="I83" s="97">
        <f>IF(ISNUMBER($S83),MAX(0,INT((I$6+6-$S83)/$T83)-MAX(0,-INT(-(I$6-$S83)/$T83))+1),0)</f>
        <v>0.0</v>
      </c>
      <c r="J83" s="97">
        <f>IF(ISNUMBER($S83),MAX(0,INT((J$6+6-$S83)/$T83)-MAX(0,-INT(-(J$6-$S83)/$T83))+1),0)</f>
        <v>0.0</v>
      </c>
      <c r="K83" s="97">
        <f>IF(ISNUMBER($S83),MAX(0,INT((K$6+6-$S83)/$T83)-MAX(0,-INT(-(K$6-$S83)/$T83))+1),0)</f>
        <v>0.0</v>
      </c>
      <c r="L83" s="97">
        <f>IF(ISNUMBER($S83),MAX(0,INT((L$6+6-$S83)/$T83)-MAX(0,-INT(-(L$6-$S83)/$T83))+1),0)</f>
        <v>0.0</v>
      </c>
      <c r="M83" s="97">
        <f>IF(ISNUMBER($S83),MAX(0,INT((M$6+6-$S83)/$T83)-MAX(0,-INT(-(M$6-$S83)/$T83))+1),0)</f>
        <v>0.0</v>
      </c>
      <c r="N83" s="97">
        <f>IF(ISNUMBER($S83),MAX(0,INT((N$6+6-$S83)/$T83)-MAX(0,-INT(-(N$6-$S83)/$T83))+1),0)</f>
        <v>0.0</v>
      </c>
      <c r="O83" s="97">
        <f>IF(ISNUMBER($S83),MAX(0,INT((O$6+6-$S83)/$T83)-MAX(0,-INT(-(O$6-$S83)/$T83))+1),0)</f>
        <v>0.0</v>
      </c>
      <c r="P83" s="97">
        <f>IF(ISNUMBER($S83),MAX(0,INT((P$6+6-$S83)/$T83)-MAX(0,-INT(-(P$6-$S83)/$T83))+1),0)</f>
        <v>0.0</v>
      </c>
      <c r="Q83" s="97">
        <f>IF(ISNUMBER($S83),MAX(0,INT((Q$6+6-$S83)/$T83)-MAX(0,-INT(-(Q$6-$S83)/$T83))+1),0)</f>
        <v>0.0</v>
      </c>
      <c r="R83" s="97">
        <f>IF(ISNUMBER($S83),MAX(0,INT((R$6+6-$S83)/$T83)-MAX(0,-INT(-(R$6-$S83)/$T83))+1),0)</f>
        <v>0.0</v>
      </c>
      <c r="S83" t="str">
        <f>IF(ISNUMBER(INDEX(pl_period,74)),MAX(INDEX(pl_due,74),p_today),"")</f>
        <v/>
      </c>
      <c r="T83" t="str">
        <f>IF(ISNUMBER(INDEX(pl_period,74)),INDEX(pl_period,74),"")</f>
        <v/>
      </c>
      <c r="U83">
        <f>N(INDEX(pl_dur,74))</f>
        <v>0.0</v>
      </c>
    </row>
    <row r="84">
      <c r="A84" s="93" t="str">
        <f>IF(INDEX(pl_status,75)="","",INDEX(pl_num,75)&amp;"")</f>
        <v/>
      </c>
      <c r="B84" s="93" t="str">
        <f>IF(INDEX(pl_status,75)="","",INDEX(pl_eq,75)&amp;"")</f>
        <v/>
      </c>
      <c r="C84" s="93" t="str">
        <f>IF(INDEX(pl_status,75)="","",INDEX(pl_task,75)&amp;"")</f>
        <v/>
      </c>
      <c r="D84" s="94" t="str">
        <f>IF(ISNUMBER(INDEX(pl_due,75)),INDEX(pl_due,75),"")</f>
        <v/>
      </c>
      <c r="E84" s="95" t="str">
        <f>INDEX(pl_status,75)&amp;""</f>
        <v/>
      </c>
      <c r="F84" s="96" t="str">
        <f>IF(E84="En retard","●","")</f>
        <v/>
      </c>
      <c r="G84" s="97">
        <f>IF(ISNUMBER($S84),MAX(0,INT((G$6+6-$S84)/$T84)-MAX(0,-INT(-(G$6-$S84)/$T84))+1),0)</f>
        <v>0.0</v>
      </c>
      <c r="H84" s="97">
        <f>IF(ISNUMBER($S84),MAX(0,INT((H$6+6-$S84)/$T84)-MAX(0,-INT(-(H$6-$S84)/$T84))+1),0)</f>
        <v>0.0</v>
      </c>
      <c r="I84" s="97">
        <f>IF(ISNUMBER($S84),MAX(0,INT((I$6+6-$S84)/$T84)-MAX(0,-INT(-(I$6-$S84)/$T84))+1),0)</f>
        <v>0.0</v>
      </c>
      <c r="J84" s="97">
        <f>IF(ISNUMBER($S84),MAX(0,INT((J$6+6-$S84)/$T84)-MAX(0,-INT(-(J$6-$S84)/$T84))+1),0)</f>
        <v>0.0</v>
      </c>
      <c r="K84" s="97">
        <f>IF(ISNUMBER($S84),MAX(0,INT((K$6+6-$S84)/$T84)-MAX(0,-INT(-(K$6-$S84)/$T84))+1),0)</f>
        <v>0.0</v>
      </c>
      <c r="L84" s="97">
        <f>IF(ISNUMBER($S84),MAX(0,INT((L$6+6-$S84)/$T84)-MAX(0,-INT(-(L$6-$S84)/$T84))+1),0)</f>
        <v>0.0</v>
      </c>
      <c r="M84" s="97">
        <f>IF(ISNUMBER($S84),MAX(0,INT((M$6+6-$S84)/$T84)-MAX(0,-INT(-(M$6-$S84)/$T84))+1),0)</f>
        <v>0.0</v>
      </c>
      <c r="N84" s="97">
        <f>IF(ISNUMBER($S84),MAX(0,INT((N$6+6-$S84)/$T84)-MAX(0,-INT(-(N$6-$S84)/$T84))+1),0)</f>
        <v>0.0</v>
      </c>
      <c r="O84" s="97">
        <f>IF(ISNUMBER($S84),MAX(0,INT((O$6+6-$S84)/$T84)-MAX(0,-INT(-(O$6-$S84)/$T84))+1),0)</f>
        <v>0.0</v>
      </c>
      <c r="P84" s="97">
        <f>IF(ISNUMBER($S84),MAX(0,INT((P$6+6-$S84)/$T84)-MAX(0,-INT(-(P$6-$S84)/$T84))+1),0)</f>
        <v>0.0</v>
      </c>
      <c r="Q84" s="97">
        <f>IF(ISNUMBER($S84),MAX(0,INT((Q$6+6-$S84)/$T84)-MAX(0,-INT(-(Q$6-$S84)/$T84))+1),0)</f>
        <v>0.0</v>
      </c>
      <c r="R84" s="97">
        <f>IF(ISNUMBER($S84),MAX(0,INT((R$6+6-$S84)/$T84)-MAX(0,-INT(-(R$6-$S84)/$T84))+1),0)</f>
        <v>0.0</v>
      </c>
      <c r="S84" t="str">
        <f>IF(ISNUMBER(INDEX(pl_period,75)),MAX(INDEX(pl_due,75),p_today),"")</f>
        <v/>
      </c>
      <c r="T84" t="str">
        <f>IF(ISNUMBER(INDEX(pl_period,75)),INDEX(pl_period,75),"")</f>
        <v/>
      </c>
      <c r="U84">
        <f>N(INDEX(pl_dur,75))</f>
        <v>0.0</v>
      </c>
    </row>
    <row r="85">
      <c r="A85" s="93" t="str">
        <f>IF(INDEX(pl_status,76)="","",INDEX(pl_num,76)&amp;"")</f>
        <v/>
      </c>
      <c r="B85" s="93" t="str">
        <f>IF(INDEX(pl_status,76)="","",INDEX(pl_eq,76)&amp;"")</f>
        <v/>
      </c>
      <c r="C85" s="93" t="str">
        <f>IF(INDEX(pl_status,76)="","",INDEX(pl_task,76)&amp;"")</f>
        <v/>
      </c>
      <c r="D85" s="94" t="str">
        <f>IF(ISNUMBER(INDEX(pl_due,76)),INDEX(pl_due,76),"")</f>
        <v/>
      </c>
      <c r="E85" s="95" t="str">
        <f>INDEX(pl_status,76)&amp;""</f>
        <v/>
      </c>
      <c r="F85" s="96" t="str">
        <f>IF(E85="En retard","●","")</f>
        <v/>
      </c>
      <c r="G85" s="97">
        <f>IF(ISNUMBER($S85),MAX(0,INT((G$6+6-$S85)/$T85)-MAX(0,-INT(-(G$6-$S85)/$T85))+1),0)</f>
        <v>0.0</v>
      </c>
      <c r="H85" s="97">
        <f>IF(ISNUMBER($S85),MAX(0,INT((H$6+6-$S85)/$T85)-MAX(0,-INT(-(H$6-$S85)/$T85))+1),0)</f>
        <v>0.0</v>
      </c>
      <c r="I85" s="97">
        <f>IF(ISNUMBER($S85),MAX(0,INT((I$6+6-$S85)/$T85)-MAX(0,-INT(-(I$6-$S85)/$T85))+1),0)</f>
        <v>0.0</v>
      </c>
      <c r="J85" s="97">
        <f>IF(ISNUMBER($S85),MAX(0,INT((J$6+6-$S85)/$T85)-MAX(0,-INT(-(J$6-$S85)/$T85))+1),0)</f>
        <v>0.0</v>
      </c>
      <c r="K85" s="97">
        <f>IF(ISNUMBER($S85),MAX(0,INT((K$6+6-$S85)/$T85)-MAX(0,-INT(-(K$6-$S85)/$T85))+1),0)</f>
        <v>0.0</v>
      </c>
      <c r="L85" s="97">
        <f>IF(ISNUMBER($S85),MAX(0,INT((L$6+6-$S85)/$T85)-MAX(0,-INT(-(L$6-$S85)/$T85))+1),0)</f>
        <v>0.0</v>
      </c>
      <c r="M85" s="97">
        <f>IF(ISNUMBER($S85),MAX(0,INT((M$6+6-$S85)/$T85)-MAX(0,-INT(-(M$6-$S85)/$T85))+1),0)</f>
        <v>0.0</v>
      </c>
      <c r="N85" s="97">
        <f>IF(ISNUMBER($S85),MAX(0,INT((N$6+6-$S85)/$T85)-MAX(0,-INT(-(N$6-$S85)/$T85))+1),0)</f>
        <v>0.0</v>
      </c>
      <c r="O85" s="97">
        <f>IF(ISNUMBER($S85),MAX(0,INT((O$6+6-$S85)/$T85)-MAX(0,-INT(-(O$6-$S85)/$T85))+1),0)</f>
        <v>0.0</v>
      </c>
      <c r="P85" s="97">
        <f>IF(ISNUMBER($S85),MAX(0,INT((P$6+6-$S85)/$T85)-MAX(0,-INT(-(P$6-$S85)/$T85))+1),0)</f>
        <v>0.0</v>
      </c>
      <c r="Q85" s="97">
        <f>IF(ISNUMBER($S85),MAX(0,INT((Q$6+6-$S85)/$T85)-MAX(0,-INT(-(Q$6-$S85)/$T85))+1),0)</f>
        <v>0.0</v>
      </c>
      <c r="R85" s="97">
        <f>IF(ISNUMBER($S85),MAX(0,INT((R$6+6-$S85)/$T85)-MAX(0,-INT(-(R$6-$S85)/$T85))+1),0)</f>
        <v>0.0</v>
      </c>
      <c r="S85" t="str">
        <f>IF(ISNUMBER(INDEX(pl_period,76)),MAX(INDEX(pl_due,76),p_today),"")</f>
        <v/>
      </c>
      <c r="T85" t="str">
        <f>IF(ISNUMBER(INDEX(pl_period,76)),INDEX(pl_period,76),"")</f>
        <v/>
      </c>
      <c r="U85">
        <f>N(INDEX(pl_dur,76))</f>
        <v>0.0</v>
      </c>
    </row>
    <row r="86">
      <c r="A86" s="93" t="str">
        <f>IF(INDEX(pl_status,77)="","",INDEX(pl_num,77)&amp;"")</f>
        <v/>
      </c>
      <c r="B86" s="93" t="str">
        <f>IF(INDEX(pl_status,77)="","",INDEX(pl_eq,77)&amp;"")</f>
        <v/>
      </c>
      <c r="C86" s="93" t="str">
        <f>IF(INDEX(pl_status,77)="","",INDEX(pl_task,77)&amp;"")</f>
        <v/>
      </c>
      <c r="D86" s="94" t="str">
        <f>IF(ISNUMBER(INDEX(pl_due,77)),INDEX(pl_due,77),"")</f>
        <v/>
      </c>
      <c r="E86" s="95" t="str">
        <f>INDEX(pl_status,77)&amp;""</f>
        <v/>
      </c>
      <c r="F86" s="96" t="str">
        <f>IF(E86="En retard","●","")</f>
        <v/>
      </c>
      <c r="G86" s="97">
        <f>IF(ISNUMBER($S86),MAX(0,INT((G$6+6-$S86)/$T86)-MAX(0,-INT(-(G$6-$S86)/$T86))+1),0)</f>
        <v>0.0</v>
      </c>
      <c r="H86" s="97">
        <f>IF(ISNUMBER($S86),MAX(0,INT((H$6+6-$S86)/$T86)-MAX(0,-INT(-(H$6-$S86)/$T86))+1),0)</f>
        <v>0.0</v>
      </c>
      <c r="I86" s="97">
        <f>IF(ISNUMBER($S86),MAX(0,INT((I$6+6-$S86)/$T86)-MAX(0,-INT(-(I$6-$S86)/$T86))+1),0)</f>
        <v>0.0</v>
      </c>
      <c r="J86" s="97">
        <f>IF(ISNUMBER($S86),MAX(0,INT((J$6+6-$S86)/$T86)-MAX(0,-INT(-(J$6-$S86)/$T86))+1),0)</f>
        <v>0.0</v>
      </c>
      <c r="K86" s="97">
        <f>IF(ISNUMBER($S86),MAX(0,INT((K$6+6-$S86)/$T86)-MAX(0,-INT(-(K$6-$S86)/$T86))+1),0)</f>
        <v>0.0</v>
      </c>
      <c r="L86" s="97">
        <f>IF(ISNUMBER($S86),MAX(0,INT((L$6+6-$S86)/$T86)-MAX(0,-INT(-(L$6-$S86)/$T86))+1),0)</f>
        <v>0.0</v>
      </c>
      <c r="M86" s="97">
        <f>IF(ISNUMBER($S86),MAX(0,INT((M$6+6-$S86)/$T86)-MAX(0,-INT(-(M$6-$S86)/$T86))+1),0)</f>
        <v>0.0</v>
      </c>
      <c r="N86" s="97">
        <f>IF(ISNUMBER($S86),MAX(0,INT((N$6+6-$S86)/$T86)-MAX(0,-INT(-(N$6-$S86)/$T86))+1),0)</f>
        <v>0.0</v>
      </c>
      <c r="O86" s="97">
        <f>IF(ISNUMBER($S86),MAX(0,INT((O$6+6-$S86)/$T86)-MAX(0,-INT(-(O$6-$S86)/$T86))+1),0)</f>
        <v>0.0</v>
      </c>
      <c r="P86" s="97">
        <f>IF(ISNUMBER($S86),MAX(0,INT((P$6+6-$S86)/$T86)-MAX(0,-INT(-(P$6-$S86)/$T86))+1),0)</f>
        <v>0.0</v>
      </c>
      <c r="Q86" s="97">
        <f>IF(ISNUMBER($S86),MAX(0,INT((Q$6+6-$S86)/$T86)-MAX(0,-INT(-(Q$6-$S86)/$T86))+1),0)</f>
        <v>0.0</v>
      </c>
      <c r="R86" s="97">
        <f>IF(ISNUMBER($S86),MAX(0,INT((R$6+6-$S86)/$T86)-MAX(0,-INT(-(R$6-$S86)/$T86))+1),0)</f>
        <v>0.0</v>
      </c>
      <c r="S86" t="str">
        <f>IF(ISNUMBER(INDEX(pl_period,77)),MAX(INDEX(pl_due,77),p_today),"")</f>
        <v/>
      </c>
      <c r="T86" t="str">
        <f>IF(ISNUMBER(INDEX(pl_period,77)),INDEX(pl_period,77),"")</f>
        <v/>
      </c>
      <c r="U86">
        <f>N(INDEX(pl_dur,77))</f>
        <v>0.0</v>
      </c>
    </row>
    <row r="87">
      <c r="A87" s="93" t="str">
        <f>IF(INDEX(pl_status,78)="","",INDEX(pl_num,78)&amp;"")</f>
        <v/>
      </c>
      <c r="B87" s="93" t="str">
        <f>IF(INDEX(pl_status,78)="","",INDEX(pl_eq,78)&amp;"")</f>
        <v/>
      </c>
      <c r="C87" s="93" t="str">
        <f>IF(INDEX(pl_status,78)="","",INDEX(pl_task,78)&amp;"")</f>
        <v/>
      </c>
      <c r="D87" s="94" t="str">
        <f>IF(ISNUMBER(INDEX(pl_due,78)),INDEX(pl_due,78),"")</f>
        <v/>
      </c>
      <c r="E87" s="95" t="str">
        <f>INDEX(pl_status,78)&amp;""</f>
        <v/>
      </c>
      <c r="F87" s="96" t="str">
        <f>IF(E87="En retard","●","")</f>
        <v/>
      </c>
      <c r="G87" s="97">
        <f>IF(ISNUMBER($S87),MAX(0,INT((G$6+6-$S87)/$T87)-MAX(0,-INT(-(G$6-$S87)/$T87))+1),0)</f>
        <v>0.0</v>
      </c>
      <c r="H87" s="97">
        <f>IF(ISNUMBER($S87),MAX(0,INT((H$6+6-$S87)/$T87)-MAX(0,-INT(-(H$6-$S87)/$T87))+1),0)</f>
        <v>0.0</v>
      </c>
      <c r="I87" s="97">
        <f>IF(ISNUMBER($S87),MAX(0,INT((I$6+6-$S87)/$T87)-MAX(0,-INT(-(I$6-$S87)/$T87))+1),0)</f>
        <v>0.0</v>
      </c>
      <c r="J87" s="97">
        <f>IF(ISNUMBER($S87),MAX(0,INT((J$6+6-$S87)/$T87)-MAX(0,-INT(-(J$6-$S87)/$T87))+1),0)</f>
        <v>0.0</v>
      </c>
      <c r="K87" s="97">
        <f>IF(ISNUMBER($S87),MAX(0,INT((K$6+6-$S87)/$T87)-MAX(0,-INT(-(K$6-$S87)/$T87))+1),0)</f>
        <v>0.0</v>
      </c>
      <c r="L87" s="97">
        <f>IF(ISNUMBER($S87),MAX(0,INT((L$6+6-$S87)/$T87)-MAX(0,-INT(-(L$6-$S87)/$T87))+1),0)</f>
        <v>0.0</v>
      </c>
      <c r="M87" s="97">
        <f>IF(ISNUMBER($S87),MAX(0,INT((M$6+6-$S87)/$T87)-MAX(0,-INT(-(M$6-$S87)/$T87))+1),0)</f>
        <v>0.0</v>
      </c>
      <c r="N87" s="97">
        <f>IF(ISNUMBER($S87),MAX(0,INT((N$6+6-$S87)/$T87)-MAX(0,-INT(-(N$6-$S87)/$T87))+1),0)</f>
        <v>0.0</v>
      </c>
      <c r="O87" s="97">
        <f>IF(ISNUMBER($S87),MAX(0,INT((O$6+6-$S87)/$T87)-MAX(0,-INT(-(O$6-$S87)/$T87))+1),0)</f>
        <v>0.0</v>
      </c>
      <c r="P87" s="97">
        <f>IF(ISNUMBER($S87),MAX(0,INT((P$6+6-$S87)/$T87)-MAX(0,-INT(-(P$6-$S87)/$T87))+1),0)</f>
        <v>0.0</v>
      </c>
      <c r="Q87" s="97">
        <f>IF(ISNUMBER($S87),MAX(0,INT((Q$6+6-$S87)/$T87)-MAX(0,-INT(-(Q$6-$S87)/$T87))+1),0)</f>
        <v>0.0</v>
      </c>
      <c r="R87" s="97">
        <f>IF(ISNUMBER($S87),MAX(0,INT((R$6+6-$S87)/$T87)-MAX(0,-INT(-(R$6-$S87)/$T87))+1),0)</f>
        <v>0.0</v>
      </c>
      <c r="S87" t="str">
        <f>IF(ISNUMBER(INDEX(pl_period,78)),MAX(INDEX(pl_due,78),p_today),"")</f>
        <v/>
      </c>
      <c r="T87" t="str">
        <f>IF(ISNUMBER(INDEX(pl_period,78)),INDEX(pl_period,78),"")</f>
        <v/>
      </c>
      <c r="U87">
        <f>N(INDEX(pl_dur,78))</f>
        <v>0.0</v>
      </c>
    </row>
    <row r="88">
      <c r="A88" s="93" t="str">
        <f>IF(INDEX(pl_status,79)="","",INDEX(pl_num,79)&amp;"")</f>
        <v/>
      </c>
      <c r="B88" s="93" t="str">
        <f>IF(INDEX(pl_status,79)="","",INDEX(pl_eq,79)&amp;"")</f>
        <v/>
      </c>
      <c r="C88" s="93" t="str">
        <f>IF(INDEX(pl_status,79)="","",INDEX(pl_task,79)&amp;"")</f>
        <v/>
      </c>
      <c r="D88" s="94" t="str">
        <f>IF(ISNUMBER(INDEX(pl_due,79)),INDEX(pl_due,79),"")</f>
        <v/>
      </c>
      <c r="E88" s="95" t="str">
        <f>INDEX(pl_status,79)&amp;""</f>
        <v/>
      </c>
      <c r="F88" s="96" t="str">
        <f>IF(E88="En retard","●","")</f>
        <v/>
      </c>
      <c r="G88" s="97">
        <f>IF(ISNUMBER($S88),MAX(0,INT((G$6+6-$S88)/$T88)-MAX(0,-INT(-(G$6-$S88)/$T88))+1),0)</f>
        <v>0.0</v>
      </c>
      <c r="H88" s="97">
        <f>IF(ISNUMBER($S88),MAX(0,INT((H$6+6-$S88)/$T88)-MAX(0,-INT(-(H$6-$S88)/$T88))+1),0)</f>
        <v>0.0</v>
      </c>
      <c r="I88" s="97">
        <f>IF(ISNUMBER($S88),MAX(0,INT((I$6+6-$S88)/$T88)-MAX(0,-INT(-(I$6-$S88)/$T88))+1),0)</f>
        <v>0.0</v>
      </c>
      <c r="J88" s="97">
        <f>IF(ISNUMBER($S88),MAX(0,INT((J$6+6-$S88)/$T88)-MAX(0,-INT(-(J$6-$S88)/$T88))+1),0)</f>
        <v>0.0</v>
      </c>
      <c r="K88" s="97">
        <f>IF(ISNUMBER($S88),MAX(0,INT((K$6+6-$S88)/$T88)-MAX(0,-INT(-(K$6-$S88)/$T88))+1),0)</f>
        <v>0.0</v>
      </c>
      <c r="L88" s="97">
        <f>IF(ISNUMBER($S88),MAX(0,INT((L$6+6-$S88)/$T88)-MAX(0,-INT(-(L$6-$S88)/$T88))+1),0)</f>
        <v>0.0</v>
      </c>
      <c r="M88" s="97">
        <f>IF(ISNUMBER($S88),MAX(0,INT((M$6+6-$S88)/$T88)-MAX(0,-INT(-(M$6-$S88)/$T88))+1),0)</f>
        <v>0.0</v>
      </c>
      <c r="N88" s="97">
        <f>IF(ISNUMBER($S88),MAX(0,INT((N$6+6-$S88)/$T88)-MAX(0,-INT(-(N$6-$S88)/$T88))+1),0)</f>
        <v>0.0</v>
      </c>
      <c r="O88" s="97">
        <f>IF(ISNUMBER($S88),MAX(0,INT((O$6+6-$S88)/$T88)-MAX(0,-INT(-(O$6-$S88)/$T88))+1),0)</f>
        <v>0.0</v>
      </c>
      <c r="P88" s="97">
        <f>IF(ISNUMBER($S88),MAX(0,INT((P$6+6-$S88)/$T88)-MAX(0,-INT(-(P$6-$S88)/$T88))+1),0)</f>
        <v>0.0</v>
      </c>
      <c r="Q88" s="97">
        <f>IF(ISNUMBER($S88),MAX(0,INT((Q$6+6-$S88)/$T88)-MAX(0,-INT(-(Q$6-$S88)/$T88))+1),0)</f>
        <v>0.0</v>
      </c>
      <c r="R88" s="97">
        <f>IF(ISNUMBER($S88),MAX(0,INT((R$6+6-$S88)/$T88)-MAX(0,-INT(-(R$6-$S88)/$T88))+1),0)</f>
        <v>0.0</v>
      </c>
      <c r="S88" t="str">
        <f>IF(ISNUMBER(INDEX(pl_period,79)),MAX(INDEX(pl_due,79),p_today),"")</f>
        <v/>
      </c>
      <c r="T88" t="str">
        <f>IF(ISNUMBER(INDEX(pl_period,79)),INDEX(pl_period,79),"")</f>
        <v/>
      </c>
      <c r="U88">
        <f>N(INDEX(pl_dur,79))</f>
        <v>0.0</v>
      </c>
    </row>
    <row r="89">
      <c r="A89" s="93" t="str">
        <f>IF(INDEX(pl_status,80)="","",INDEX(pl_num,80)&amp;"")</f>
        <v/>
      </c>
      <c r="B89" s="93" t="str">
        <f>IF(INDEX(pl_status,80)="","",INDEX(pl_eq,80)&amp;"")</f>
        <v/>
      </c>
      <c r="C89" s="93" t="str">
        <f>IF(INDEX(pl_status,80)="","",INDEX(pl_task,80)&amp;"")</f>
        <v/>
      </c>
      <c r="D89" s="94" t="str">
        <f>IF(ISNUMBER(INDEX(pl_due,80)),INDEX(pl_due,80),"")</f>
        <v/>
      </c>
      <c r="E89" s="95" t="str">
        <f>INDEX(pl_status,80)&amp;""</f>
        <v/>
      </c>
      <c r="F89" s="96" t="str">
        <f>IF(E89="En retard","●","")</f>
        <v/>
      </c>
      <c r="G89" s="97">
        <f>IF(ISNUMBER($S89),MAX(0,INT((G$6+6-$S89)/$T89)-MAX(0,-INT(-(G$6-$S89)/$T89))+1),0)</f>
        <v>0.0</v>
      </c>
      <c r="H89" s="97">
        <f>IF(ISNUMBER($S89),MAX(0,INT((H$6+6-$S89)/$T89)-MAX(0,-INT(-(H$6-$S89)/$T89))+1),0)</f>
        <v>0.0</v>
      </c>
      <c r="I89" s="97">
        <f>IF(ISNUMBER($S89),MAX(0,INT((I$6+6-$S89)/$T89)-MAX(0,-INT(-(I$6-$S89)/$T89))+1),0)</f>
        <v>0.0</v>
      </c>
      <c r="J89" s="97">
        <f>IF(ISNUMBER($S89),MAX(0,INT((J$6+6-$S89)/$T89)-MAX(0,-INT(-(J$6-$S89)/$T89))+1),0)</f>
        <v>0.0</v>
      </c>
      <c r="K89" s="97">
        <f>IF(ISNUMBER($S89),MAX(0,INT((K$6+6-$S89)/$T89)-MAX(0,-INT(-(K$6-$S89)/$T89))+1),0)</f>
        <v>0.0</v>
      </c>
      <c r="L89" s="97">
        <f>IF(ISNUMBER($S89),MAX(0,INT((L$6+6-$S89)/$T89)-MAX(0,-INT(-(L$6-$S89)/$T89))+1),0)</f>
        <v>0.0</v>
      </c>
      <c r="M89" s="97">
        <f>IF(ISNUMBER($S89),MAX(0,INT((M$6+6-$S89)/$T89)-MAX(0,-INT(-(M$6-$S89)/$T89))+1),0)</f>
        <v>0.0</v>
      </c>
      <c r="N89" s="97">
        <f>IF(ISNUMBER($S89),MAX(0,INT((N$6+6-$S89)/$T89)-MAX(0,-INT(-(N$6-$S89)/$T89))+1),0)</f>
        <v>0.0</v>
      </c>
      <c r="O89" s="97">
        <f>IF(ISNUMBER($S89),MAX(0,INT((O$6+6-$S89)/$T89)-MAX(0,-INT(-(O$6-$S89)/$T89))+1),0)</f>
        <v>0.0</v>
      </c>
      <c r="P89" s="97">
        <f>IF(ISNUMBER($S89),MAX(0,INT((P$6+6-$S89)/$T89)-MAX(0,-INT(-(P$6-$S89)/$T89))+1),0)</f>
        <v>0.0</v>
      </c>
      <c r="Q89" s="97">
        <f>IF(ISNUMBER($S89),MAX(0,INT((Q$6+6-$S89)/$T89)-MAX(0,-INT(-(Q$6-$S89)/$T89))+1),0)</f>
        <v>0.0</v>
      </c>
      <c r="R89" s="97">
        <f>IF(ISNUMBER($S89),MAX(0,INT((R$6+6-$S89)/$T89)-MAX(0,-INT(-(R$6-$S89)/$T89))+1),0)</f>
        <v>0.0</v>
      </c>
      <c r="S89" t="str">
        <f>IF(ISNUMBER(INDEX(pl_period,80)),MAX(INDEX(pl_due,80),p_today),"")</f>
        <v/>
      </c>
      <c r="T89" t="str">
        <f>IF(ISNUMBER(INDEX(pl_period,80)),INDEX(pl_period,80),"")</f>
        <v/>
      </c>
      <c r="U89">
        <f>N(INDEX(pl_dur,80))</f>
        <v>0.0</v>
      </c>
    </row>
    <row r="90">
      <c r="A90" s="93" t="str">
        <f>IF(INDEX(pl_status,81)="","",INDEX(pl_num,81)&amp;"")</f>
        <v/>
      </c>
      <c r="B90" s="93" t="str">
        <f>IF(INDEX(pl_status,81)="","",INDEX(pl_eq,81)&amp;"")</f>
        <v/>
      </c>
      <c r="C90" s="93" t="str">
        <f>IF(INDEX(pl_status,81)="","",INDEX(pl_task,81)&amp;"")</f>
        <v/>
      </c>
      <c r="D90" s="94" t="str">
        <f>IF(ISNUMBER(INDEX(pl_due,81)),INDEX(pl_due,81),"")</f>
        <v/>
      </c>
      <c r="E90" s="95" t="str">
        <f>INDEX(pl_status,81)&amp;""</f>
        <v/>
      </c>
      <c r="F90" s="96" t="str">
        <f>IF(E90="En retard","●","")</f>
        <v/>
      </c>
      <c r="G90" s="97">
        <f>IF(ISNUMBER($S90),MAX(0,INT((G$6+6-$S90)/$T90)-MAX(0,-INT(-(G$6-$S90)/$T90))+1),0)</f>
        <v>0.0</v>
      </c>
      <c r="H90" s="97">
        <f>IF(ISNUMBER($S90),MAX(0,INT((H$6+6-$S90)/$T90)-MAX(0,-INT(-(H$6-$S90)/$T90))+1),0)</f>
        <v>0.0</v>
      </c>
      <c r="I90" s="97">
        <f>IF(ISNUMBER($S90),MAX(0,INT((I$6+6-$S90)/$T90)-MAX(0,-INT(-(I$6-$S90)/$T90))+1),0)</f>
        <v>0.0</v>
      </c>
      <c r="J90" s="97">
        <f>IF(ISNUMBER($S90),MAX(0,INT((J$6+6-$S90)/$T90)-MAX(0,-INT(-(J$6-$S90)/$T90))+1),0)</f>
        <v>0.0</v>
      </c>
      <c r="K90" s="97">
        <f>IF(ISNUMBER($S90),MAX(0,INT((K$6+6-$S90)/$T90)-MAX(0,-INT(-(K$6-$S90)/$T90))+1),0)</f>
        <v>0.0</v>
      </c>
      <c r="L90" s="97">
        <f>IF(ISNUMBER($S90),MAX(0,INT((L$6+6-$S90)/$T90)-MAX(0,-INT(-(L$6-$S90)/$T90))+1),0)</f>
        <v>0.0</v>
      </c>
      <c r="M90" s="97">
        <f>IF(ISNUMBER($S90),MAX(0,INT((M$6+6-$S90)/$T90)-MAX(0,-INT(-(M$6-$S90)/$T90))+1),0)</f>
        <v>0.0</v>
      </c>
      <c r="N90" s="97">
        <f>IF(ISNUMBER($S90),MAX(0,INT((N$6+6-$S90)/$T90)-MAX(0,-INT(-(N$6-$S90)/$T90))+1),0)</f>
        <v>0.0</v>
      </c>
      <c r="O90" s="97">
        <f>IF(ISNUMBER($S90),MAX(0,INT((O$6+6-$S90)/$T90)-MAX(0,-INT(-(O$6-$S90)/$T90))+1),0)</f>
        <v>0.0</v>
      </c>
      <c r="P90" s="97">
        <f>IF(ISNUMBER($S90),MAX(0,INT((P$6+6-$S90)/$T90)-MAX(0,-INT(-(P$6-$S90)/$T90))+1),0)</f>
        <v>0.0</v>
      </c>
      <c r="Q90" s="97">
        <f>IF(ISNUMBER($S90),MAX(0,INT((Q$6+6-$S90)/$T90)-MAX(0,-INT(-(Q$6-$S90)/$T90))+1),0)</f>
        <v>0.0</v>
      </c>
      <c r="R90" s="97">
        <f>IF(ISNUMBER($S90),MAX(0,INT((R$6+6-$S90)/$T90)-MAX(0,-INT(-(R$6-$S90)/$T90))+1),0)</f>
        <v>0.0</v>
      </c>
      <c r="S90" t="str">
        <f>IF(ISNUMBER(INDEX(pl_period,81)),MAX(INDEX(pl_due,81),p_today),"")</f>
        <v/>
      </c>
      <c r="T90" t="str">
        <f>IF(ISNUMBER(INDEX(pl_period,81)),INDEX(pl_period,81),"")</f>
        <v/>
      </c>
      <c r="U90">
        <f>N(INDEX(pl_dur,81))</f>
        <v>0.0</v>
      </c>
    </row>
    <row r="91">
      <c r="A91" s="93" t="str">
        <f>IF(INDEX(pl_status,82)="","",INDEX(pl_num,82)&amp;"")</f>
        <v/>
      </c>
      <c r="B91" s="93" t="str">
        <f>IF(INDEX(pl_status,82)="","",INDEX(pl_eq,82)&amp;"")</f>
        <v/>
      </c>
      <c r="C91" s="93" t="str">
        <f>IF(INDEX(pl_status,82)="","",INDEX(pl_task,82)&amp;"")</f>
        <v/>
      </c>
      <c r="D91" s="94" t="str">
        <f>IF(ISNUMBER(INDEX(pl_due,82)),INDEX(pl_due,82),"")</f>
        <v/>
      </c>
      <c r="E91" s="95" t="str">
        <f>INDEX(pl_status,82)&amp;""</f>
        <v/>
      </c>
      <c r="F91" s="96" t="str">
        <f>IF(E91="En retard","●","")</f>
        <v/>
      </c>
      <c r="G91" s="97">
        <f>IF(ISNUMBER($S91),MAX(0,INT((G$6+6-$S91)/$T91)-MAX(0,-INT(-(G$6-$S91)/$T91))+1),0)</f>
        <v>0.0</v>
      </c>
      <c r="H91" s="97">
        <f>IF(ISNUMBER($S91),MAX(0,INT((H$6+6-$S91)/$T91)-MAX(0,-INT(-(H$6-$S91)/$T91))+1),0)</f>
        <v>0.0</v>
      </c>
      <c r="I91" s="97">
        <f>IF(ISNUMBER($S91),MAX(0,INT((I$6+6-$S91)/$T91)-MAX(0,-INT(-(I$6-$S91)/$T91))+1),0)</f>
        <v>0.0</v>
      </c>
      <c r="J91" s="97">
        <f>IF(ISNUMBER($S91),MAX(0,INT((J$6+6-$S91)/$T91)-MAX(0,-INT(-(J$6-$S91)/$T91))+1),0)</f>
        <v>0.0</v>
      </c>
      <c r="K91" s="97">
        <f>IF(ISNUMBER($S91),MAX(0,INT((K$6+6-$S91)/$T91)-MAX(0,-INT(-(K$6-$S91)/$T91))+1),0)</f>
        <v>0.0</v>
      </c>
      <c r="L91" s="97">
        <f>IF(ISNUMBER($S91),MAX(0,INT((L$6+6-$S91)/$T91)-MAX(0,-INT(-(L$6-$S91)/$T91))+1),0)</f>
        <v>0.0</v>
      </c>
      <c r="M91" s="97">
        <f>IF(ISNUMBER($S91),MAX(0,INT((M$6+6-$S91)/$T91)-MAX(0,-INT(-(M$6-$S91)/$T91))+1),0)</f>
        <v>0.0</v>
      </c>
      <c r="N91" s="97">
        <f>IF(ISNUMBER($S91),MAX(0,INT((N$6+6-$S91)/$T91)-MAX(0,-INT(-(N$6-$S91)/$T91))+1),0)</f>
        <v>0.0</v>
      </c>
      <c r="O91" s="97">
        <f>IF(ISNUMBER($S91),MAX(0,INT((O$6+6-$S91)/$T91)-MAX(0,-INT(-(O$6-$S91)/$T91))+1),0)</f>
        <v>0.0</v>
      </c>
      <c r="P91" s="97">
        <f>IF(ISNUMBER($S91),MAX(0,INT((P$6+6-$S91)/$T91)-MAX(0,-INT(-(P$6-$S91)/$T91))+1),0)</f>
        <v>0.0</v>
      </c>
      <c r="Q91" s="97">
        <f>IF(ISNUMBER($S91),MAX(0,INT((Q$6+6-$S91)/$T91)-MAX(0,-INT(-(Q$6-$S91)/$T91))+1),0)</f>
        <v>0.0</v>
      </c>
      <c r="R91" s="97">
        <f>IF(ISNUMBER($S91),MAX(0,INT((R$6+6-$S91)/$T91)-MAX(0,-INT(-(R$6-$S91)/$T91))+1),0)</f>
        <v>0.0</v>
      </c>
      <c r="S91" t="str">
        <f>IF(ISNUMBER(INDEX(pl_period,82)),MAX(INDEX(pl_due,82),p_today),"")</f>
        <v/>
      </c>
      <c r="T91" t="str">
        <f>IF(ISNUMBER(INDEX(pl_period,82)),INDEX(pl_period,82),"")</f>
        <v/>
      </c>
      <c r="U91">
        <f>N(INDEX(pl_dur,82))</f>
        <v>0.0</v>
      </c>
    </row>
    <row r="92">
      <c r="A92" s="93" t="str">
        <f>IF(INDEX(pl_status,83)="","",INDEX(pl_num,83)&amp;"")</f>
        <v/>
      </c>
      <c r="B92" s="93" t="str">
        <f>IF(INDEX(pl_status,83)="","",INDEX(pl_eq,83)&amp;"")</f>
        <v/>
      </c>
      <c r="C92" s="93" t="str">
        <f>IF(INDEX(pl_status,83)="","",INDEX(pl_task,83)&amp;"")</f>
        <v/>
      </c>
      <c r="D92" s="94" t="str">
        <f>IF(ISNUMBER(INDEX(pl_due,83)),INDEX(pl_due,83),"")</f>
        <v/>
      </c>
      <c r="E92" s="95" t="str">
        <f>INDEX(pl_status,83)&amp;""</f>
        <v/>
      </c>
      <c r="F92" s="96" t="str">
        <f>IF(E92="En retard","●","")</f>
        <v/>
      </c>
      <c r="G92" s="97">
        <f>IF(ISNUMBER($S92),MAX(0,INT((G$6+6-$S92)/$T92)-MAX(0,-INT(-(G$6-$S92)/$T92))+1),0)</f>
        <v>0.0</v>
      </c>
      <c r="H92" s="97">
        <f>IF(ISNUMBER($S92),MAX(0,INT((H$6+6-$S92)/$T92)-MAX(0,-INT(-(H$6-$S92)/$T92))+1),0)</f>
        <v>0.0</v>
      </c>
      <c r="I92" s="97">
        <f>IF(ISNUMBER($S92),MAX(0,INT((I$6+6-$S92)/$T92)-MAX(0,-INT(-(I$6-$S92)/$T92))+1),0)</f>
        <v>0.0</v>
      </c>
      <c r="J92" s="97">
        <f>IF(ISNUMBER($S92),MAX(0,INT((J$6+6-$S92)/$T92)-MAX(0,-INT(-(J$6-$S92)/$T92))+1),0)</f>
        <v>0.0</v>
      </c>
      <c r="K92" s="97">
        <f>IF(ISNUMBER($S92),MAX(0,INT((K$6+6-$S92)/$T92)-MAX(0,-INT(-(K$6-$S92)/$T92))+1),0)</f>
        <v>0.0</v>
      </c>
      <c r="L92" s="97">
        <f>IF(ISNUMBER($S92),MAX(0,INT((L$6+6-$S92)/$T92)-MAX(0,-INT(-(L$6-$S92)/$T92))+1),0)</f>
        <v>0.0</v>
      </c>
      <c r="M92" s="97">
        <f>IF(ISNUMBER($S92),MAX(0,INT((M$6+6-$S92)/$T92)-MAX(0,-INT(-(M$6-$S92)/$T92))+1),0)</f>
        <v>0.0</v>
      </c>
      <c r="N92" s="97">
        <f>IF(ISNUMBER($S92),MAX(0,INT((N$6+6-$S92)/$T92)-MAX(0,-INT(-(N$6-$S92)/$T92))+1),0)</f>
        <v>0.0</v>
      </c>
      <c r="O92" s="97">
        <f>IF(ISNUMBER($S92),MAX(0,INT((O$6+6-$S92)/$T92)-MAX(0,-INT(-(O$6-$S92)/$T92))+1),0)</f>
        <v>0.0</v>
      </c>
      <c r="P92" s="97">
        <f>IF(ISNUMBER($S92),MAX(0,INT((P$6+6-$S92)/$T92)-MAX(0,-INT(-(P$6-$S92)/$T92))+1),0)</f>
        <v>0.0</v>
      </c>
      <c r="Q92" s="97">
        <f>IF(ISNUMBER($S92),MAX(0,INT((Q$6+6-$S92)/$T92)-MAX(0,-INT(-(Q$6-$S92)/$T92))+1),0)</f>
        <v>0.0</v>
      </c>
      <c r="R92" s="97">
        <f>IF(ISNUMBER($S92),MAX(0,INT((R$6+6-$S92)/$T92)-MAX(0,-INT(-(R$6-$S92)/$T92))+1),0)</f>
        <v>0.0</v>
      </c>
      <c r="S92" t="str">
        <f>IF(ISNUMBER(INDEX(pl_period,83)),MAX(INDEX(pl_due,83),p_today),"")</f>
        <v/>
      </c>
      <c r="T92" t="str">
        <f>IF(ISNUMBER(INDEX(pl_period,83)),INDEX(pl_period,83),"")</f>
        <v/>
      </c>
      <c r="U92">
        <f>N(INDEX(pl_dur,83))</f>
        <v>0.0</v>
      </c>
    </row>
    <row r="93">
      <c r="A93" s="93" t="str">
        <f>IF(INDEX(pl_status,84)="","",INDEX(pl_num,84)&amp;"")</f>
        <v/>
      </c>
      <c r="B93" s="93" t="str">
        <f>IF(INDEX(pl_status,84)="","",INDEX(pl_eq,84)&amp;"")</f>
        <v/>
      </c>
      <c r="C93" s="93" t="str">
        <f>IF(INDEX(pl_status,84)="","",INDEX(pl_task,84)&amp;"")</f>
        <v/>
      </c>
      <c r="D93" s="94" t="str">
        <f>IF(ISNUMBER(INDEX(pl_due,84)),INDEX(pl_due,84),"")</f>
        <v/>
      </c>
      <c r="E93" s="95" t="str">
        <f>INDEX(pl_status,84)&amp;""</f>
        <v/>
      </c>
      <c r="F93" s="96" t="str">
        <f>IF(E93="En retard","●","")</f>
        <v/>
      </c>
      <c r="G93" s="97">
        <f>IF(ISNUMBER($S93),MAX(0,INT((G$6+6-$S93)/$T93)-MAX(0,-INT(-(G$6-$S93)/$T93))+1),0)</f>
        <v>0.0</v>
      </c>
      <c r="H93" s="97">
        <f>IF(ISNUMBER($S93),MAX(0,INT((H$6+6-$S93)/$T93)-MAX(0,-INT(-(H$6-$S93)/$T93))+1),0)</f>
        <v>0.0</v>
      </c>
      <c r="I93" s="97">
        <f>IF(ISNUMBER($S93),MAX(0,INT((I$6+6-$S93)/$T93)-MAX(0,-INT(-(I$6-$S93)/$T93))+1),0)</f>
        <v>0.0</v>
      </c>
      <c r="J93" s="97">
        <f>IF(ISNUMBER($S93),MAX(0,INT((J$6+6-$S93)/$T93)-MAX(0,-INT(-(J$6-$S93)/$T93))+1),0)</f>
        <v>0.0</v>
      </c>
      <c r="K93" s="97">
        <f>IF(ISNUMBER($S93),MAX(0,INT((K$6+6-$S93)/$T93)-MAX(0,-INT(-(K$6-$S93)/$T93))+1),0)</f>
        <v>0.0</v>
      </c>
      <c r="L93" s="97">
        <f>IF(ISNUMBER($S93),MAX(0,INT((L$6+6-$S93)/$T93)-MAX(0,-INT(-(L$6-$S93)/$T93))+1),0)</f>
        <v>0.0</v>
      </c>
      <c r="M93" s="97">
        <f>IF(ISNUMBER($S93),MAX(0,INT((M$6+6-$S93)/$T93)-MAX(0,-INT(-(M$6-$S93)/$T93))+1),0)</f>
        <v>0.0</v>
      </c>
      <c r="N93" s="97">
        <f>IF(ISNUMBER($S93),MAX(0,INT((N$6+6-$S93)/$T93)-MAX(0,-INT(-(N$6-$S93)/$T93))+1),0)</f>
        <v>0.0</v>
      </c>
      <c r="O93" s="97">
        <f>IF(ISNUMBER($S93),MAX(0,INT((O$6+6-$S93)/$T93)-MAX(0,-INT(-(O$6-$S93)/$T93))+1),0)</f>
        <v>0.0</v>
      </c>
      <c r="P93" s="97">
        <f>IF(ISNUMBER($S93),MAX(0,INT((P$6+6-$S93)/$T93)-MAX(0,-INT(-(P$6-$S93)/$T93))+1),0)</f>
        <v>0.0</v>
      </c>
      <c r="Q93" s="97">
        <f>IF(ISNUMBER($S93),MAX(0,INT((Q$6+6-$S93)/$T93)-MAX(0,-INT(-(Q$6-$S93)/$T93))+1),0)</f>
        <v>0.0</v>
      </c>
      <c r="R93" s="97">
        <f>IF(ISNUMBER($S93),MAX(0,INT((R$6+6-$S93)/$T93)-MAX(0,-INT(-(R$6-$S93)/$T93))+1),0)</f>
        <v>0.0</v>
      </c>
      <c r="S93" t="str">
        <f>IF(ISNUMBER(INDEX(pl_period,84)),MAX(INDEX(pl_due,84),p_today),"")</f>
        <v/>
      </c>
      <c r="T93" t="str">
        <f>IF(ISNUMBER(INDEX(pl_period,84)),INDEX(pl_period,84),"")</f>
        <v/>
      </c>
      <c r="U93">
        <f>N(INDEX(pl_dur,84))</f>
        <v>0.0</v>
      </c>
    </row>
    <row r="94">
      <c r="A94" s="93" t="str">
        <f>IF(INDEX(pl_status,85)="","",INDEX(pl_num,85)&amp;"")</f>
        <v/>
      </c>
      <c r="B94" s="93" t="str">
        <f>IF(INDEX(pl_status,85)="","",INDEX(pl_eq,85)&amp;"")</f>
        <v/>
      </c>
      <c r="C94" s="93" t="str">
        <f>IF(INDEX(pl_status,85)="","",INDEX(pl_task,85)&amp;"")</f>
        <v/>
      </c>
      <c r="D94" s="94" t="str">
        <f>IF(ISNUMBER(INDEX(pl_due,85)),INDEX(pl_due,85),"")</f>
        <v/>
      </c>
      <c r="E94" s="95" t="str">
        <f>INDEX(pl_status,85)&amp;""</f>
        <v/>
      </c>
      <c r="F94" s="96" t="str">
        <f>IF(E94="En retard","●","")</f>
        <v/>
      </c>
      <c r="G94" s="97">
        <f>IF(ISNUMBER($S94),MAX(0,INT((G$6+6-$S94)/$T94)-MAX(0,-INT(-(G$6-$S94)/$T94))+1),0)</f>
        <v>0.0</v>
      </c>
      <c r="H94" s="97">
        <f>IF(ISNUMBER($S94),MAX(0,INT((H$6+6-$S94)/$T94)-MAX(0,-INT(-(H$6-$S94)/$T94))+1),0)</f>
        <v>0.0</v>
      </c>
      <c r="I94" s="97">
        <f>IF(ISNUMBER($S94),MAX(0,INT((I$6+6-$S94)/$T94)-MAX(0,-INT(-(I$6-$S94)/$T94))+1),0)</f>
        <v>0.0</v>
      </c>
      <c r="J94" s="97">
        <f>IF(ISNUMBER($S94),MAX(0,INT((J$6+6-$S94)/$T94)-MAX(0,-INT(-(J$6-$S94)/$T94))+1),0)</f>
        <v>0.0</v>
      </c>
      <c r="K94" s="97">
        <f>IF(ISNUMBER($S94),MAX(0,INT((K$6+6-$S94)/$T94)-MAX(0,-INT(-(K$6-$S94)/$T94))+1),0)</f>
        <v>0.0</v>
      </c>
      <c r="L94" s="97">
        <f>IF(ISNUMBER($S94),MAX(0,INT((L$6+6-$S94)/$T94)-MAX(0,-INT(-(L$6-$S94)/$T94))+1),0)</f>
        <v>0.0</v>
      </c>
      <c r="M94" s="97">
        <f>IF(ISNUMBER($S94),MAX(0,INT((M$6+6-$S94)/$T94)-MAX(0,-INT(-(M$6-$S94)/$T94))+1),0)</f>
        <v>0.0</v>
      </c>
      <c r="N94" s="97">
        <f>IF(ISNUMBER($S94),MAX(0,INT((N$6+6-$S94)/$T94)-MAX(0,-INT(-(N$6-$S94)/$T94))+1),0)</f>
        <v>0.0</v>
      </c>
      <c r="O94" s="97">
        <f>IF(ISNUMBER($S94),MAX(0,INT((O$6+6-$S94)/$T94)-MAX(0,-INT(-(O$6-$S94)/$T94))+1),0)</f>
        <v>0.0</v>
      </c>
      <c r="P94" s="97">
        <f>IF(ISNUMBER($S94),MAX(0,INT((P$6+6-$S94)/$T94)-MAX(0,-INT(-(P$6-$S94)/$T94))+1),0)</f>
        <v>0.0</v>
      </c>
      <c r="Q94" s="97">
        <f>IF(ISNUMBER($S94),MAX(0,INT((Q$6+6-$S94)/$T94)-MAX(0,-INT(-(Q$6-$S94)/$T94))+1),0)</f>
        <v>0.0</v>
      </c>
      <c r="R94" s="97">
        <f>IF(ISNUMBER($S94),MAX(0,INT((R$6+6-$S94)/$T94)-MAX(0,-INT(-(R$6-$S94)/$T94))+1),0)</f>
        <v>0.0</v>
      </c>
      <c r="S94" t="str">
        <f>IF(ISNUMBER(INDEX(pl_period,85)),MAX(INDEX(pl_due,85),p_today),"")</f>
        <v/>
      </c>
      <c r="T94" t="str">
        <f>IF(ISNUMBER(INDEX(pl_period,85)),INDEX(pl_period,85),"")</f>
        <v/>
      </c>
      <c r="U94">
        <f>N(INDEX(pl_dur,85))</f>
        <v>0.0</v>
      </c>
    </row>
    <row r="95">
      <c r="A95" s="93" t="str">
        <f>IF(INDEX(pl_status,86)="","",INDEX(pl_num,86)&amp;"")</f>
        <v/>
      </c>
      <c r="B95" s="93" t="str">
        <f>IF(INDEX(pl_status,86)="","",INDEX(pl_eq,86)&amp;"")</f>
        <v/>
      </c>
      <c r="C95" s="93" t="str">
        <f>IF(INDEX(pl_status,86)="","",INDEX(pl_task,86)&amp;"")</f>
        <v/>
      </c>
      <c r="D95" s="94" t="str">
        <f>IF(ISNUMBER(INDEX(pl_due,86)),INDEX(pl_due,86),"")</f>
        <v/>
      </c>
      <c r="E95" s="95" t="str">
        <f>INDEX(pl_status,86)&amp;""</f>
        <v/>
      </c>
      <c r="F95" s="96" t="str">
        <f>IF(E95="En retard","●","")</f>
        <v/>
      </c>
      <c r="G95" s="97">
        <f>IF(ISNUMBER($S95),MAX(0,INT((G$6+6-$S95)/$T95)-MAX(0,-INT(-(G$6-$S95)/$T95))+1),0)</f>
        <v>0.0</v>
      </c>
      <c r="H95" s="97">
        <f>IF(ISNUMBER($S95),MAX(0,INT((H$6+6-$S95)/$T95)-MAX(0,-INT(-(H$6-$S95)/$T95))+1),0)</f>
        <v>0.0</v>
      </c>
      <c r="I95" s="97">
        <f>IF(ISNUMBER($S95),MAX(0,INT((I$6+6-$S95)/$T95)-MAX(0,-INT(-(I$6-$S95)/$T95))+1),0)</f>
        <v>0.0</v>
      </c>
      <c r="J95" s="97">
        <f>IF(ISNUMBER($S95),MAX(0,INT((J$6+6-$S95)/$T95)-MAX(0,-INT(-(J$6-$S95)/$T95))+1),0)</f>
        <v>0.0</v>
      </c>
      <c r="K95" s="97">
        <f>IF(ISNUMBER($S95),MAX(0,INT((K$6+6-$S95)/$T95)-MAX(0,-INT(-(K$6-$S95)/$T95))+1),0)</f>
        <v>0.0</v>
      </c>
      <c r="L95" s="97">
        <f>IF(ISNUMBER($S95),MAX(0,INT((L$6+6-$S95)/$T95)-MAX(0,-INT(-(L$6-$S95)/$T95))+1),0)</f>
        <v>0.0</v>
      </c>
      <c r="M95" s="97">
        <f>IF(ISNUMBER($S95),MAX(0,INT((M$6+6-$S95)/$T95)-MAX(0,-INT(-(M$6-$S95)/$T95))+1),0)</f>
        <v>0.0</v>
      </c>
      <c r="N95" s="97">
        <f>IF(ISNUMBER($S95),MAX(0,INT((N$6+6-$S95)/$T95)-MAX(0,-INT(-(N$6-$S95)/$T95))+1),0)</f>
        <v>0.0</v>
      </c>
      <c r="O95" s="97">
        <f>IF(ISNUMBER($S95),MAX(0,INT((O$6+6-$S95)/$T95)-MAX(0,-INT(-(O$6-$S95)/$T95))+1),0)</f>
        <v>0.0</v>
      </c>
      <c r="P95" s="97">
        <f>IF(ISNUMBER($S95),MAX(0,INT((P$6+6-$S95)/$T95)-MAX(0,-INT(-(P$6-$S95)/$T95))+1),0)</f>
        <v>0.0</v>
      </c>
      <c r="Q95" s="97">
        <f>IF(ISNUMBER($S95),MAX(0,INT((Q$6+6-$S95)/$T95)-MAX(0,-INT(-(Q$6-$S95)/$T95))+1),0)</f>
        <v>0.0</v>
      </c>
      <c r="R95" s="97">
        <f>IF(ISNUMBER($S95),MAX(0,INT((R$6+6-$S95)/$T95)-MAX(0,-INT(-(R$6-$S95)/$T95))+1),0)</f>
        <v>0.0</v>
      </c>
      <c r="S95" t="str">
        <f>IF(ISNUMBER(INDEX(pl_period,86)),MAX(INDEX(pl_due,86),p_today),"")</f>
        <v/>
      </c>
      <c r="T95" t="str">
        <f>IF(ISNUMBER(INDEX(pl_period,86)),INDEX(pl_period,86),"")</f>
        <v/>
      </c>
      <c r="U95">
        <f>N(INDEX(pl_dur,86))</f>
        <v>0.0</v>
      </c>
    </row>
    <row r="96">
      <c r="A96" s="93" t="str">
        <f>IF(INDEX(pl_status,87)="","",INDEX(pl_num,87)&amp;"")</f>
        <v/>
      </c>
      <c r="B96" s="93" t="str">
        <f>IF(INDEX(pl_status,87)="","",INDEX(pl_eq,87)&amp;"")</f>
        <v/>
      </c>
      <c r="C96" s="93" t="str">
        <f>IF(INDEX(pl_status,87)="","",INDEX(pl_task,87)&amp;"")</f>
        <v/>
      </c>
      <c r="D96" s="94" t="str">
        <f>IF(ISNUMBER(INDEX(pl_due,87)),INDEX(pl_due,87),"")</f>
        <v/>
      </c>
      <c r="E96" s="95" t="str">
        <f>INDEX(pl_status,87)&amp;""</f>
        <v/>
      </c>
      <c r="F96" s="96" t="str">
        <f>IF(E96="En retard","●","")</f>
        <v/>
      </c>
      <c r="G96" s="97">
        <f>IF(ISNUMBER($S96),MAX(0,INT((G$6+6-$S96)/$T96)-MAX(0,-INT(-(G$6-$S96)/$T96))+1),0)</f>
        <v>0.0</v>
      </c>
      <c r="H96" s="97">
        <f>IF(ISNUMBER($S96),MAX(0,INT((H$6+6-$S96)/$T96)-MAX(0,-INT(-(H$6-$S96)/$T96))+1),0)</f>
        <v>0.0</v>
      </c>
      <c r="I96" s="97">
        <f>IF(ISNUMBER($S96),MAX(0,INT((I$6+6-$S96)/$T96)-MAX(0,-INT(-(I$6-$S96)/$T96))+1),0)</f>
        <v>0.0</v>
      </c>
      <c r="J96" s="97">
        <f>IF(ISNUMBER($S96),MAX(0,INT((J$6+6-$S96)/$T96)-MAX(0,-INT(-(J$6-$S96)/$T96))+1),0)</f>
        <v>0.0</v>
      </c>
      <c r="K96" s="97">
        <f>IF(ISNUMBER($S96),MAX(0,INT((K$6+6-$S96)/$T96)-MAX(0,-INT(-(K$6-$S96)/$T96))+1),0)</f>
        <v>0.0</v>
      </c>
      <c r="L96" s="97">
        <f>IF(ISNUMBER($S96),MAX(0,INT((L$6+6-$S96)/$T96)-MAX(0,-INT(-(L$6-$S96)/$T96))+1),0)</f>
        <v>0.0</v>
      </c>
      <c r="M96" s="97">
        <f>IF(ISNUMBER($S96),MAX(0,INT((M$6+6-$S96)/$T96)-MAX(0,-INT(-(M$6-$S96)/$T96))+1),0)</f>
        <v>0.0</v>
      </c>
      <c r="N96" s="97">
        <f>IF(ISNUMBER($S96),MAX(0,INT((N$6+6-$S96)/$T96)-MAX(0,-INT(-(N$6-$S96)/$T96))+1),0)</f>
        <v>0.0</v>
      </c>
      <c r="O96" s="97">
        <f>IF(ISNUMBER($S96),MAX(0,INT((O$6+6-$S96)/$T96)-MAX(0,-INT(-(O$6-$S96)/$T96))+1),0)</f>
        <v>0.0</v>
      </c>
      <c r="P96" s="97">
        <f>IF(ISNUMBER($S96),MAX(0,INT((P$6+6-$S96)/$T96)-MAX(0,-INT(-(P$6-$S96)/$T96))+1),0)</f>
        <v>0.0</v>
      </c>
      <c r="Q96" s="97">
        <f>IF(ISNUMBER($S96),MAX(0,INT((Q$6+6-$S96)/$T96)-MAX(0,-INT(-(Q$6-$S96)/$T96))+1),0)</f>
        <v>0.0</v>
      </c>
      <c r="R96" s="97">
        <f>IF(ISNUMBER($S96),MAX(0,INT((R$6+6-$S96)/$T96)-MAX(0,-INT(-(R$6-$S96)/$T96))+1),0)</f>
        <v>0.0</v>
      </c>
      <c r="S96" t="str">
        <f>IF(ISNUMBER(INDEX(pl_period,87)),MAX(INDEX(pl_due,87),p_today),"")</f>
        <v/>
      </c>
      <c r="T96" t="str">
        <f>IF(ISNUMBER(INDEX(pl_period,87)),INDEX(pl_period,87),"")</f>
        <v/>
      </c>
      <c r="U96">
        <f>N(INDEX(pl_dur,87))</f>
        <v>0.0</v>
      </c>
    </row>
    <row r="97">
      <c r="A97" s="93" t="str">
        <f>IF(INDEX(pl_status,88)="","",INDEX(pl_num,88)&amp;"")</f>
        <v/>
      </c>
      <c r="B97" s="93" t="str">
        <f>IF(INDEX(pl_status,88)="","",INDEX(pl_eq,88)&amp;"")</f>
        <v/>
      </c>
      <c r="C97" s="93" t="str">
        <f>IF(INDEX(pl_status,88)="","",INDEX(pl_task,88)&amp;"")</f>
        <v/>
      </c>
      <c r="D97" s="94" t="str">
        <f>IF(ISNUMBER(INDEX(pl_due,88)),INDEX(pl_due,88),"")</f>
        <v/>
      </c>
      <c r="E97" s="95" t="str">
        <f>INDEX(pl_status,88)&amp;""</f>
        <v/>
      </c>
      <c r="F97" s="96" t="str">
        <f>IF(E97="En retard","●","")</f>
        <v/>
      </c>
      <c r="G97" s="97">
        <f>IF(ISNUMBER($S97),MAX(0,INT((G$6+6-$S97)/$T97)-MAX(0,-INT(-(G$6-$S97)/$T97))+1),0)</f>
        <v>0.0</v>
      </c>
      <c r="H97" s="97">
        <f>IF(ISNUMBER($S97),MAX(0,INT((H$6+6-$S97)/$T97)-MAX(0,-INT(-(H$6-$S97)/$T97))+1),0)</f>
        <v>0.0</v>
      </c>
      <c r="I97" s="97">
        <f>IF(ISNUMBER($S97),MAX(0,INT((I$6+6-$S97)/$T97)-MAX(0,-INT(-(I$6-$S97)/$T97))+1),0)</f>
        <v>0.0</v>
      </c>
      <c r="J97" s="97">
        <f>IF(ISNUMBER($S97),MAX(0,INT((J$6+6-$S97)/$T97)-MAX(0,-INT(-(J$6-$S97)/$T97))+1),0)</f>
        <v>0.0</v>
      </c>
      <c r="K97" s="97">
        <f>IF(ISNUMBER($S97),MAX(0,INT((K$6+6-$S97)/$T97)-MAX(0,-INT(-(K$6-$S97)/$T97))+1),0)</f>
        <v>0.0</v>
      </c>
      <c r="L97" s="97">
        <f>IF(ISNUMBER($S97),MAX(0,INT((L$6+6-$S97)/$T97)-MAX(0,-INT(-(L$6-$S97)/$T97))+1),0)</f>
        <v>0.0</v>
      </c>
      <c r="M97" s="97">
        <f>IF(ISNUMBER($S97),MAX(0,INT((M$6+6-$S97)/$T97)-MAX(0,-INT(-(M$6-$S97)/$T97))+1),0)</f>
        <v>0.0</v>
      </c>
      <c r="N97" s="97">
        <f>IF(ISNUMBER($S97),MAX(0,INT((N$6+6-$S97)/$T97)-MAX(0,-INT(-(N$6-$S97)/$T97))+1),0)</f>
        <v>0.0</v>
      </c>
      <c r="O97" s="97">
        <f>IF(ISNUMBER($S97),MAX(0,INT((O$6+6-$S97)/$T97)-MAX(0,-INT(-(O$6-$S97)/$T97))+1),0)</f>
        <v>0.0</v>
      </c>
      <c r="P97" s="97">
        <f>IF(ISNUMBER($S97),MAX(0,INT((P$6+6-$S97)/$T97)-MAX(0,-INT(-(P$6-$S97)/$T97))+1),0)</f>
        <v>0.0</v>
      </c>
      <c r="Q97" s="97">
        <f>IF(ISNUMBER($S97),MAX(0,INT((Q$6+6-$S97)/$T97)-MAX(0,-INT(-(Q$6-$S97)/$T97))+1),0)</f>
        <v>0.0</v>
      </c>
      <c r="R97" s="97">
        <f>IF(ISNUMBER($S97),MAX(0,INT((R$6+6-$S97)/$T97)-MAX(0,-INT(-(R$6-$S97)/$T97))+1),0)</f>
        <v>0.0</v>
      </c>
      <c r="S97" t="str">
        <f>IF(ISNUMBER(INDEX(pl_period,88)),MAX(INDEX(pl_due,88),p_today),"")</f>
        <v/>
      </c>
      <c r="T97" t="str">
        <f>IF(ISNUMBER(INDEX(pl_period,88)),INDEX(pl_period,88),"")</f>
        <v/>
      </c>
      <c r="U97">
        <f>N(INDEX(pl_dur,88))</f>
        <v>0.0</v>
      </c>
    </row>
    <row r="98">
      <c r="A98" s="93" t="str">
        <f>IF(INDEX(pl_status,89)="","",INDEX(pl_num,89)&amp;"")</f>
        <v/>
      </c>
      <c r="B98" s="93" t="str">
        <f>IF(INDEX(pl_status,89)="","",INDEX(pl_eq,89)&amp;"")</f>
        <v/>
      </c>
      <c r="C98" s="93" t="str">
        <f>IF(INDEX(pl_status,89)="","",INDEX(pl_task,89)&amp;"")</f>
        <v/>
      </c>
      <c r="D98" s="94" t="str">
        <f>IF(ISNUMBER(INDEX(pl_due,89)),INDEX(pl_due,89),"")</f>
        <v/>
      </c>
      <c r="E98" s="95" t="str">
        <f>INDEX(pl_status,89)&amp;""</f>
        <v/>
      </c>
      <c r="F98" s="96" t="str">
        <f>IF(E98="En retard","●","")</f>
        <v/>
      </c>
      <c r="G98" s="97">
        <f>IF(ISNUMBER($S98),MAX(0,INT((G$6+6-$S98)/$T98)-MAX(0,-INT(-(G$6-$S98)/$T98))+1),0)</f>
        <v>0.0</v>
      </c>
      <c r="H98" s="97">
        <f>IF(ISNUMBER($S98),MAX(0,INT((H$6+6-$S98)/$T98)-MAX(0,-INT(-(H$6-$S98)/$T98))+1),0)</f>
        <v>0.0</v>
      </c>
      <c r="I98" s="97">
        <f>IF(ISNUMBER($S98),MAX(0,INT((I$6+6-$S98)/$T98)-MAX(0,-INT(-(I$6-$S98)/$T98))+1),0)</f>
        <v>0.0</v>
      </c>
      <c r="J98" s="97">
        <f>IF(ISNUMBER($S98),MAX(0,INT((J$6+6-$S98)/$T98)-MAX(0,-INT(-(J$6-$S98)/$T98))+1),0)</f>
        <v>0.0</v>
      </c>
      <c r="K98" s="97">
        <f>IF(ISNUMBER($S98),MAX(0,INT((K$6+6-$S98)/$T98)-MAX(0,-INT(-(K$6-$S98)/$T98))+1),0)</f>
        <v>0.0</v>
      </c>
      <c r="L98" s="97">
        <f>IF(ISNUMBER($S98),MAX(0,INT((L$6+6-$S98)/$T98)-MAX(0,-INT(-(L$6-$S98)/$T98))+1),0)</f>
        <v>0.0</v>
      </c>
      <c r="M98" s="97">
        <f>IF(ISNUMBER($S98),MAX(0,INT((M$6+6-$S98)/$T98)-MAX(0,-INT(-(M$6-$S98)/$T98))+1),0)</f>
        <v>0.0</v>
      </c>
      <c r="N98" s="97">
        <f>IF(ISNUMBER($S98),MAX(0,INT((N$6+6-$S98)/$T98)-MAX(0,-INT(-(N$6-$S98)/$T98))+1),0)</f>
        <v>0.0</v>
      </c>
      <c r="O98" s="97">
        <f>IF(ISNUMBER($S98),MAX(0,INT((O$6+6-$S98)/$T98)-MAX(0,-INT(-(O$6-$S98)/$T98))+1),0)</f>
        <v>0.0</v>
      </c>
      <c r="P98" s="97">
        <f>IF(ISNUMBER($S98),MAX(0,INT((P$6+6-$S98)/$T98)-MAX(0,-INT(-(P$6-$S98)/$T98))+1),0)</f>
        <v>0.0</v>
      </c>
      <c r="Q98" s="97">
        <f>IF(ISNUMBER($S98),MAX(0,INT((Q$6+6-$S98)/$T98)-MAX(0,-INT(-(Q$6-$S98)/$T98))+1),0)</f>
        <v>0.0</v>
      </c>
      <c r="R98" s="97">
        <f>IF(ISNUMBER($S98),MAX(0,INT((R$6+6-$S98)/$T98)-MAX(0,-INT(-(R$6-$S98)/$T98))+1),0)</f>
        <v>0.0</v>
      </c>
      <c r="S98" t="str">
        <f>IF(ISNUMBER(INDEX(pl_period,89)),MAX(INDEX(pl_due,89),p_today),"")</f>
        <v/>
      </c>
      <c r="T98" t="str">
        <f>IF(ISNUMBER(INDEX(pl_period,89)),INDEX(pl_period,89),"")</f>
        <v/>
      </c>
      <c r="U98">
        <f>N(INDEX(pl_dur,89))</f>
        <v>0.0</v>
      </c>
    </row>
    <row r="99">
      <c r="A99" s="93" t="str">
        <f>IF(INDEX(pl_status,90)="","",INDEX(pl_num,90)&amp;"")</f>
        <v/>
      </c>
      <c r="B99" s="93" t="str">
        <f>IF(INDEX(pl_status,90)="","",INDEX(pl_eq,90)&amp;"")</f>
        <v/>
      </c>
      <c r="C99" s="93" t="str">
        <f>IF(INDEX(pl_status,90)="","",INDEX(pl_task,90)&amp;"")</f>
        <v/>
      </c>
      <c r="D99" s="94" t="str">
        <f>IF(ISNUMBER(INDEX(pl_due,90)),INDEX(pl_due,90),"")</f>
        <v/>
      </c>
      <c r="E99" s="95" t="str">
        <f>INDEX(pl_status,90)&amp;""</f>
        <v/>
      </c>
      <c r="F99" s="96" t="str">
        <f>IF(E99="En retard","●","")</f>
        <v/>
      </c>
      <c r="G99" s="97">
        <f>IF(ISNUMBER($S99),MAX(0,INT((G$6+6-$S99)/$T99)-MAX(0,-INT(-(G$6-$S99)/$T99))+1),0)</f>
        <v>0.0</v>
      </c>
      <c r="H99" s="97">
        <f>IF(ISNUMBER($S99),MAX(0,INT((H$6+6-$S99)/$T99)-MAX(0,-INT(-(H$6-$S99)/$T99))+1),0)</f>
        <v>0.0</v>
      </c>
      <c r="I99" s="97">
        <f>IF(ISNUMBER($S99),MAX(0,INT((I$6+6-$S99)/$T99)-MAX(0,-INT(-(I$6-$S99)/$T99))+1),0)</f>
        <v>0.0</v>
      </c>
      <c r="J99" s="97">
        <f>IF(ISNUMBER($S99),MAX(0,INT((J$6+6-$S99)/$T99)-MAX(0,-INT(-(J$6-$S99)/$T99))+1),0)</f>
        <v>0.0</v>
      </c>
      <c r="K99" s="97">
        <f>IF(ISNUMBER($S99),MAX(0,INT((K$6+6-$S99)/$T99)-MAX(0,-INT(-(K$6-$S99)/$T99))+1),0)</f>
        <v>0.0</v>
      </c>
      <c r="L99" s="97">
        <f>IF(ISNUMBER($S99),MAX(0,INT((L$6+6-$S99)/$T99)-MAX(0,-INT(-(L$6-$S99)/$T99))+1),0)</f>
        <v>0.0</v>
      </c>
      <c r="M99" s="97">
        <f>IF(ISNUMBER($S99),MAX(0,INT((M$6+6-$S99)/$T99)-MAX(0,-INT(-(M$6-$S99)/$T99))+1),0)</f>
        <v>0.0</v>
      </c>
      <c r="N99" s="97">
        <f>IF(ISNUMBER($S99),MAX(0,INT((N$6+6-$S99)/$T99)-MAX(0,-INT(-(N$6-$S99)/$T99))+1),0)</f>
        <v>0.0</v>
      </c>
      <c r="O99" s="97">
        <f>IF(ISNUMBER($S99),MAX(0,INT((O$6+6-$S99)/$T99)-MAX(0,-INT(-(O$6-$S99)/$T99))+1),0)</f>
        <v>0.0</v>
      </c>
      <c r="P99" s="97">
        <f>IF(ISNUMBER($S99),MAX(0,INT((P$6+6-$S99)/$T99)-MAX(0,-INT(-(P$6-$S99)/$T99))+1),0)</f>
        <v>0.0</v>
      </c>
      <c r="Q99" s="97">
        <f>IF(ISNUMBER($S99),MAX(0,INT((Q$6+6-$S99)/$T99)-MAX(0,-INT(-(Q$6-$S99)/$T99))+1),0)</f>
        <v>0.0</v>
      </c>
      <c r="R99" s="97">
        <f>IF(ISNUMBER($S99),MAX(0,INT((R$6+6-$S99)/$T99)-MAX(0,-INT(-(R$6-$S99)/$T99))+1),0)</f>
        <v>0.0</v>
      </c>
      <c r="S99" t="str">
        <f>IF(ISNUMBER(INDEX(pl_period,90)),MAX(INDEX(pl_due,90),p_today),"")</f>
        <v/>
      </c>
      <c r="T99" t="str">
        <f>IF(ISNUMBER(INDEX(pl_period,90)),INDEX(pl_period,90),"")</f>
        <v/>
      </c>
      <c r="U99">
        <f>N(INDEX(pl_dur,90))</f>
        <v>0.0</v>
      </c>
    </row>
    <row r="100">
      <c r="A100" s="93" t="str">
        <f>IF(INDEX(pl_status,91)="","",INDEX(pl_num,91)&amp;"")</f>
        <v/>
      </c>
      <c r="B100" s="93" t="str">
        <f>IF(INDEX(pl_status,91)="","",INDEX(pl_eq,91)&amp;"")</f>
        <v/>
      </c>
      <c r="C100" s="93" t="str">
        <f>IF(INDEX(pl_status,91)="","",INDEX(pl_task,91)&amp;"")</f>
        <v/>
      </c>
      <c r="D100" s="94" t="str">
        <f>IF(ISNUMBER(INDEX(pl_due,91)),INDEX(pl_due,91),"")</f>
        <v/>
      </c>
      <c r="E100" s="95" t="str">
        <f>INDEX(pl_status,91)&amp;""</f>
        <v/>
      </c>
      <c r="F100" s="96" t="str">
        <f>IF(E100="En retard","●","")</f>
        <v/>
      </c>
      <c r="G100" s="97">
        <f>IF(ISNUMBER($S100),MAX(0,INT((G$6+6-$S100)/$T100)-MAX(0,-INT(-(G$6-$S100)/$T100))+1),0)</f>
        <v>0.0</v>
      </c>
      <c r="H100" s="97">
        <f>IF(ISNUMBER($S100),MAX(0,INT((H$6+6-$S100)/$T100)-MAX(0,-INT(-(H$6-$S100)/$T100))+1),0)</f>
        <v>0.0</v>
      </c>
      <c r="I100" s="97">
        <f>IF(ISNUMBER($S100),MAX(0,INT((I$6+6-$S100)/$T100)-MAX(0,-INT(-(I$6-$S100)/$T100))+1),0)</f>
        <v>0.0</v>
      </c>
      <c r="J100" s="97">
        <f>IF(ISNUMBER($S100),MAX(0,INT((J$6+6-$S100)/$T100)-MAX(0,-INT(-(J$6-$S100)/$T100))+1),0)</f>
        <v>0.0</v>
      </c>
      <c r="K100" s="97">
        <f>IF(ISNUMBER($S100),MAX(0,INT((K$6+6-$S100)/$T100)-MAX(0,-INT(-(K$6-$S100)/$T100))+1),0)</f>
        <v>0.0</v>
      </c>
      <c r="L100" s="97">
        <f>IF(ISNUMBER($S100),MAX(0,INT((L$6+6-$S100)/$T100)-MAX(0,-INT(-(L$6-$S100)/$T100))+1),0)</f>
        <v>0.0</v>
      </c>
      <c r="M100" s="97">
        <f>IF(ISNUMBER($S100),MAX(0,INT((M$6+6-$S100)/$T100)-MAX(0,-INT(-(M$6-$S100)/$T100))+1),0)</f>
        <v>0.0</v>
      </c>
      <c r="N100" s="97">
        <f>IF(ISNUMBER($S100),MAX(0,INT((N$6+6-$S100)/$T100)-MAX(0,-INT(-(N$6-$S100)/$T100))+1),0)</f>
        <v>0.0</v>
      </c>
      <c r="O100" s="97">
        <f>IF(ISNUMBER($S100),MAX(0,INT((O$6+6-$S100)/$T100)-MAX(0,-INT(-(O$6-$S100)/$T100))+1),0)</f>
        <v>0.0</v>
      </c>
      <c r="P100" s="97">
        <f>IF(ISNUMBER($S100),MAX(0,INT((P$6+6-$S100)/$T100)-MAX(0,-INT(-(P$6-$S100)/$T100))+1),0)</f>
        <v>0.0</v>
      </c>
      <c r="Q100" s="97">
        <f>IF(ISNUMBER($S100),MAX(0,INT((Q$6+6-$S100)/$T100)-MAX(0,-INT(-(Q$6-$S100)/$T100))+1),0)</f>
        <v>0.0</v>
      </c>
      <c r="R100" s="97">
        <f>IF(ISNUMBER($S100),MAX(0,INT((R$6+6-$S100)/$T100)-MAX(0,-INT(-(R$6-$S100)/$T100))+1),0)</f>
        <v>0.0</v>
      </c>
      <c r="S100" t="str">
        <f>IF(ISNUMBER(INDEX(pl_period,91)),MAX(INDEX(pl_due,91),p_today),"")</f>
        <v/>
      </c>
      <c r="T100" t="str">
        <f>IF(ISNUMBER(INDEX(pl_period,91)),INDEX(pl_period,91),"")</f>
        <v/>
      </c>
      <c r="U100">
        <f>N(INDEX(pl_dur,91))</f>
        <v>0.0</v>
      </c>
    </row>
    <row r="101">
      <c r="A101" s="93" t="str">
        <f>IF(INDEX(pl_status,92)="","",INDEX(pl_num,92)&amp;"")</f>
        <v/>
      </c>
      <c r="B101" s="93" t="str">
        <f>IF(INDEX(pl_status,92)="","",INDEX(pl_eq,92)&amp;"")</f>
        <v/>
      </c>
      <c r="C101" s="93" t="str">
        <f>IF(INDEX(pl_status,92)="","",INDEX(pl_task,92)&amp;"")</f>
        <v/>
      </c>
      <c r="D101" s="94" t="str">
        <f>IF(ISNUMBER(INDEX(pl_due,92)),INDEX(pl_due,92),"")</f>
        <v/>
      </c>
      <c r="E101" s="95" t="str">
        <f>INDEX(pl_status,92)&amp;""</f>
        <v/>
      </c>
      <c r="F101" s="96" t="str">
        <f>IF(E101="En retard","●","")</f>
        <v/>
      </c>
      <c r="G101" s="97">
        <f>IF(ISNUMBER($S101),MAX(0,INT((G$6+6-$S101)/$T101)-MAX(0,-INT(-(G$6-$S101)/$T101))+1),0)</f>
        <v>0.0</v>
      </c>
      <c r="H101" s="97">
        <f>IF(ISNUMBER($S101),MAX(0,INT((H$6+6-$S101)/$T101)-MAX(0,-INT(-(H$6-$S101)/$T101))+1),0)</f>
        <v>0.0</v>
      </c>
      <c r="I101" s="97">
        <f>IF(ISNUMBER($S101),MAX(0,INT((I$6+6-$S101)/$T101)-MAX(0,-INT(-(I$6-$S101)/$T101))+1),0)</f>
        <v>0.0</v>
      </c>
      <c r="J101" s="97">
        <f>IF(ISNUMBER($S101),MAX(0,INT((J$6+6-$S101)/$T101)-MAX(0,-INT(-(J$6-$S101)/$T101))+1),0)</f>
        <v>0.0</v>
      </c>
      <c r="K101" s="97">
        <f>IF(ISNUMBER($S101),MAX(0,INT((K$6+6-$S101)/$T101)-MAX(0,-INT(-(K$6-$S101)/$T101))+1),0)</f>
        <v>0.0</v>
      </c>
      <c r="L101" s="97">
        <f>IF(ISNUMBER($S101),MAX(0,INT((L$6+6-$S101)/$T101)-MAX(0,-INT(-(L$6-$S101)/$T101))+1),0)</f>
        <v>0.0</v>
      </c>
      <c r="M101" s="97">
        <f>IF(ISNUMBER($S101),MAX(0,INT((M$6+6-$S101)/$T101)-MAX(0,-INT(-(M$6-$S101)/$T101))+1),0)</f>
        <v>0.0</v>
      </c>
      <c r="N101" s="97">
        <f>IF(ISNUMBER($S101),MAX(0,INT((N$6+6-$S101)/$T101)-MAX(0,-INT(-(N$6-$S101)/$T101))+1),0)</f>
        <v>0.0</v>
      </c>
      <c r="O101" s="97">
        <f>IF(ISNUMBER($S101),MAX(0,INT((O$6+6-$S101)/$T101)-MAX(0,-INT(-(O$6-$S101)/$T101))+1),0)</f>
        <v>0.0</v>
      </c>
      <c r="P101" s="97">
        <f>IF(ISNUMBER($S101),MAX(0,INT((P$6+6-$S101)/$T101)-MAX(0,-INT(-(P$6-$S101)/$T101))+1),0)</f>
        <v>0.0</v>
      </c>
      <c r="Q101" s="97">
        <f>IF(ISNUMBER($S101),MAX(0,INT((Q$6+6-$S101)/$T101)-MAX(0,-INT(-(Q$6-$S101)/$T101))+1),0)</f>
        <v>0.0</v>
      </c>
      <c r="R101" s="97">
        <f>IF(ISNUMBER($S101),MAX(0,INT((R$6+6-$S101)/$T101)-MAX(0,-INT(-(R$6-$S101)/$T101))+1),0)</f>
        <v>0.0</v>
      </c>
      <c r="S101" t="str">
        <f>IF(ISNUMBER(INDEX(pl_period,92)),MAX(INDEX(pl_due,92),p_today),"")</f>
        <v/>
      </c>
      <c r="T101" t="str">
        <f>IF(ISNUMBER(INDEX(pl_period,92)),INDEX(pl_period,92),"")</f>
        <v/>
      </c>
      <c r="U101">
        <f>N(INDEX(pl_dur,92))</f>
        <v>0.0</v>
      </c>
    </row>
    <row r="102">
      <c r="A102" s="93" t="str">
        <f>IF(INDEX(pl_status,93)="","",INDEX(pl_num,93)&amp;"")</f>
        <v/>
      </c>
      <c r="B102" s="93" t="str">
        <f>IF(INDEX(pl_status,93)="","",INDEX(pl_eq,93)&amp;"")</f>
        <v/>
      </c>
      <c r="C102" s="93" t="str">
        <f>IF(INDEX(pl_status,93)="","",INDEX(pl_task,93)&amp;"")</f>
        <v/>
      </c>
      <c r="D102" s="94" t="str">
        <f>IF(ISNUMBER(INDEX(pl_due,93)),INDEX(pl_due,93),"")</f>
        <v/>
      </c>
      <c r="E102" s="95" t="str">
        <f>INDEX(pl_status,93)&amp;""</f>
        <v/>
      </c>
      <c r="F102" s="96" t="str">
        <f>IF(E102="En retard","●","")</f>
        <v/>
      </c>
      <c r="G102" s="97">
        <f>IF(ISNUMBER($S102),MAX(0,INT((G$6+6-$S102)/$T102)-MAX(0,-INT(-(G$6-$S102)/$T102))+1),0)</f>
        <v>0.0</v>
      </c>
      <c r="H102" s="97">
        <f>IF(ISNUMBER($S102),MAX(0,INT((H$6+6-$S102)/$T102)-MAX(0,-INT(-(H$6-$S102)/$T102))+1),0)</f>
        <v>0.0</v>
      </c>
      <c r="I102" s="97">
        <f>IF(ISNUMBER($S102),MAX(0,INT((I$6+6-$S102)/$T102)-MAX(0,-INT(-(I$6-$S102)/$T102))+1),0)</f>
        <v>0.0</v>
      </c>
      <c r="J102" s="97">
        <f>IF(ISNUMBER($S102),MAX(0,INT((J$6+6-$S102)/$T102)-MAX(0,-INT(-(J$6-$S102)/$T102))+1),0)</f>
        <v>0.0</v>
      </c>
      <c r="K102" s="97">
        <f>IF(ISNUMBER($S102),MAX(0,INT((K$6+6-$S102)/$T102)-MAX(0,-INT(-(K$6-$S102)/$T102))+1),0)</f>
        <v>0.0</v>
      </c>
      <c r="L102" s="97">
        <f>IF(ISNUMBER($S102),MAX(0,INT((L$6+6-$S102)/$T102)-MAX(0,-INT(-(L$6-$S102)/$T102))+1),0)</f>
        <v>0.0</v>
      </c>
      <c r="M102" s="97">
        <f>IF(ISNUMBER($S102),MAX(0,INT((M$6+6-$S102)/$T102)-MAX(0,-INT(-(M$6-$S102)/$T102))+1),0)</f>
        <v>0.0</v>
      </c>
      <c r="N102" s="97">
        <f>IF(ISNUMBER($S102),MAX(0,INT((N$6+6-$S102)/$T102)-MAX(0,-INT(-(N$6-$S102)/$T102))+1),0)</f>
        <v>0.0</v>
      </c>
      <c r="O102" s="97">
        <f>IF(ISNUMBER($S102),MAX(0,INT((O$6+6-$S102)/$T102)-MAX(0,-INT(-(O$6-$S102)/$T102))+1),0)</f>
        <v>0.0</v>
      </c>
      <c r="P102" s="97">
        <f>IF(ISNUMBER($S102),MAX(0,INT((P$6+6-$S102)/$T102)-MAX(0,-INT(-(P$6-$S102)/$T102))+1),0)</f>
        <v>0.0</v>
      </c>
      <c r="Q102" s="97">
        <f>IF(ISNUMBER($S102),MAX(0,INT((Q$6+6-$S102)/$T102)-MAX(0,-INT(-(Q$6-$S102)/$T102))+1),0)</f>
        <v>0.0</v>
      </c>
      <c r="R102" s="97">
        <f>IF(ISNUMBER($S102),MAX(0,INT((R$6+6-$S102)/$T102)-MAX(0,-INT(-(R$6-$S102)/$T102))+1),0)</f>
        <v>0.0</v>
      </c>
      <c r="S102" t="str">
        <f>IF(ISNUMBER(INDEX(pl_period,93)),MAX(INDEX(pl_due,93),p_today),"")</f>
        <v/>
      </c>
      <c r="T102" t="str">
        <f>IF(ISNUMBER(INDEX(pl_period,93)),INDEX(pl_period,93),"")</f>
        <v/>
      </c>
      <c r="U102">
        <f>N(INDEX(pl_dur,93))</f>
        <v>0.0</v>
      </c>
    </row>
    <row r="103">
      <c r="A103" s="93" t="str">
        <f>IF(INDEX(pl_status,94)="","",INDEX(pl_num,94)&amp;"")</f>
        <v/>
      </c>
      <c r="B103" s="93" t="str">
        <f>IF(INDEX(pl_status,94)="","",INDEX(pl_eq,94)&amp;"")</f>
        <v/>
      </c>
      <c r="C103" s="93" t="str">
        <f>IF(INDEX(pl_status,94)="","",INDEX(pl_task,94)&amp;"")</f>
        <v/>
      </c>
      <c r="D103" s="94" t="str">
        <f>IF(ISNUMBER(INDEX(pl_due,94)),INDEX(pl_due,94),"")</f>
        <v/>
      </c>
      <c r="E103" s="95" t="str">
        <f>INDEX(pl_status,94)&amp;""</f>
        <v/>
      </c>
      <c r="F103" s="96" t="str">
        <f>IF(E103="En retard","●","")</f>
        <v/>
      </c>
      <c r="G103" s="97">
        <f>IF(ISNUMBER($S103),MAX(0,INT((G$6+6-$S103)/$T103)-MAX(0,-INT(-(G$6-$S103)/$T103))+1),0)</f>
        <v>0.0</v>
      </c>
      <c r="H103" s="97">
        <f>IF(ISNUMBER($S103),MAX(0,INT((H$6+6-$S103)/$T103)-MAX(0,-INT(-(H$6-$S103)/$T103))+1),0)</f>
        <v>0.0</v>
      </c>
      <c r="I103" s="97">
        <f>IF(ISNUMBER($S103),MAX(0,INT((I$6+6-$S103)/$T103)-MAX(0,-INT(-(I$6-$S103)/$T103))+1),0)</f>
        <v>0.0</v>
      </c>
      <c r="J103" s="97">
        <f>IF(ISNUMBER($S103),MAX(0,INT((J$6+6-$S103)/$T103)-MAX(0,-INT(-(J$6-$S103)/$T103))+1),0)</f>
        <v>0.0</v>
      </c>
      <c r="K103" s="97">
        <f>IF(ISNUMBER($S103),MAX(0,INT((K$6+6-$S103)/$T103)-MAX(0,-INT(-(K$6-$S103)/$T103))+1),0)</f>
        <v>0.0</v>
      </c>
      <c r="L103" s="97">
        <f>IF(ISNUMBER($S103),MAX(0,INT((L$6+6-$S103)/$T103)-MAX(0,-INT(-(L$6-$S103)/$T103))+1),0)</f>
        <v>0.0</v>
      </c>
      <c r="M103" s="97">
        <f>IF(ISNUMBER($S103),MAX(0,INT((M$6+6-$S103)/$T103)-MAX(0,-INT(-(M$6-$S103)/$T103))+1),0)</f>
        <v>0.0</v>
      </c>
      <c r="N103" s="97">
        <f>IF(ISNUMBER($S103),MAX(0,INT((N$6+6-$S103)/$T103)-MAX(0,-INT(-(N$6-$S103)/$T103))+1),0)</f>
        <v>0.0</v>
      </c>
      <c r="O103" s="97">
        <f>IF(ISNUMBER($S103),MAX(0,INT((O$6+6-$S103)/$T103)-MAX(0,-INT(-(O$6-$S103)/$T103))+1),0)</f>
        <v>0.0</v>
      </c>
      <c r="P103" s="97">
        <f>IF(ISNUMBER($S103),MAX(0,INT((P$6+6-$S103)/$T103)-MAX(0,-INT(-(P$6-$S103)/$T103))+1),0)</f>
        <v>0.0</v>
      </c>
      <c r="Q103" s="97">
        <f>IF(ISNUMBER($S103),MAX(0,INT((Q$6+6-$S103)/$T103)-MAX(0,-INT(-(Q$6-$S103)/$T103))+1),0)</f>
        <v>0.0</v>
      </c>
      <c r="R103" s="97">
        <f>IF(ISNUMBER($S103),MAX(0,INT((R$6+6-$S103)/$T103)-MAX(0,-INT(-(R$6-$S103)/$T103))+1),0)</f>
        <v>0.0</v>
      </c>
      <c r="S103" t="str">
        <f>IF(ISNUMBER(INDEX(pl_period,94)),MAX(INDEX(pl_due,94),p_today),"")</f>
        <v/>
      </c>
      <c r="T103" t="str">
        <f>IF(ISNUMBER(INDEX(pl_period,94)),INDEX(pl_period,94),"")</f>
        <v/>
      </c>
      <c r="U103">
        <f>N(INDEX(pl_dur,94))</f>
        <v>0.0</v>
      </c>
    </row>
    <row r="104">
      <c r="A104" s="93" t="str">
        <f>IF(INDEX(pl_status,95)="","",INDEX(pl_num,95)&amp;"")</f>
        <v/>
      </c>
      <c r="B104" s="93" t="str">
        <f>IF(INDEX(pl_status,95)="","",INDEX(pl_eq,95)&amp;"")</f>
        <v/>
      </c>
      <c r="C104" s="93" t="str">
        <f>IF(INDEX(pl_status,95)="","",INDEX(pl_task,95)&amp;"")</f>
        <v/>
      </c>
      <c r="D104" s="94" t="str">
        <f>IF(ISNUMBER(INDEX(pl_due,95)),INDEX(pl_due,95),"")</f>
        <v/>
      </c>
      <c r="E104" s="95" t="str">
        <f>INDEX(pl_status,95)&amp;""</f>
        <v/>
      </c>
      <c r="F104" s="96" t="str">
        <f>IF(E104="En retard","●","")</f>
        <v/>
      </c>
      <c r="G104" s="97">
        <f>IF(ISNUMBER($S104),MAX(0,INT((G$6+6-$S104)/$T104)-MAX(0,-INT(-(G$6-$S104)/$T104))+1),0)</f>
        <v>0.0</v>
      </c>
      <c r="H104" s="97">
        <f>IF(ISNUMBER($S104),MAX(0,INT((H$6+6-$S104)/$T104)-MAX(0,-INT(-(H$6-$S104)/$T104))+1),0)</f>
        <v>0.0</v>
      </c>
      <c r="I104" s="97">
        <f>IF(ISNUMBER($S104),MAX(0,INT((I$6+6-$S104)/$T104)-MAX(0,-INT(-(I$6-$S104)/$T104))+1),0)</f>
        <v>0.0</v>
      </c>
      <c r="J104" s="97">
        <f>IF(ISNUMBER($S104),MAX(0,INT((J$6+6-$S104)/$T104)-MAX(0,-INT(-(J$6-$S104)/$T104))+1),0)</f>
        <v>0.0</v>
      </c>
      <c r="K104" s="97">
        <f>IF(ISNUMBER($S104),MAX(0,INT((K$6+6-$S104)/$T104)-MAX(0,-INT(-(K$6-$S104)/$T104))+1),0)</f>
        <v>0.0</v>
      </c>
      <c r="L104" s="97">
        <f>IF(ISNUMBER($S104),MAX(0,INT((L$6+6-$S104)/$T104)-MAX(0,-INT(-(L$6-$S104)/$T104))+1),0)</f>
        <v>0.0</v>
      </c>
      <c r="M104" s="97">
        <f>IF(ISNUMBER($S104),MAX(0,INT((M$6+6-$S104)/$T104)-MAX(0,-INT(-(M$6-$S104)/$T104))+1),0)</f>
        <v>0.0</v>
      </c>
      <c r="N104" s="97">
        <f>IF(ISNUMBER($S104),MAX(0,INT((N$6+6-$S104)/$T104)-MAX(0,-INT(-(N$6-$S104)/$T104))+1),0)</f>
        <v>0.0</v>
      </c>
      <c r="O104" s="97">
        <f>IF(ISNUMBER($S104),MAX(0,INT((O$6+6-$S104)/$T104)-MAX(0,-INT(-(O$6-$S104)/$T104))+1),0)</f>
        <v>0.0</v>
      </c>
      <c r="P104" s="97">
        <f>IF(ISNUMBER($S104),MAX(0,INT((P$6+6-$S104)/$T104)-MAX(0,-INT(-(P$6-$S104)/$T104))+1),0)</f>
        <v>0.0</v>
      </c>
      <c r="Q104" s="97">
        <f>IF(ISNUMBER($S104),MAX(0,INT((Q$6+6-$S104)/$T104)-MAX(0,-INT(-(Q$6-$S104)/$T104))+1),0)</f>
        <v>0.0</v>
      </c>
      <c r="R104" s="97">
        <f>IF(ISNUMBER($S104),MAX(0,INT((R$6+6-$S104)/$T104)-MAX(0,-INT(-(R$6-$S104)/$T104))+1),0)</f>
        <v>0.0</v>
      </c>
      <c r="S104" t="str">
        <f>IF(ISNUMBER(INDEX(pl_period,95)),MAX(INDEX(pl_due,95),p_today),"")</f>
        <v/>
      </c>
      <c r="T104" t="str">
        <f>IF(ISNUMBER(INDEX(pl_period,95)),INDEX(pl_period,95),"")</f>
        <v/>
      </c>
      <c r="U104">
        <f>N(INDEX(pl_dur,95))</f>
        <v>0.0</v>
      </c>
    </row>
    <row r="105">
      <c r="A105" s="93" t="str">
        <f>IF(INDEX(pl_status,96)="","",INDEX(pl_num,96)&amp;"")</f>
        <v/>
      </c>
      <c r="B105" s="93" t="str">
        <f>IF(INDEX(pl_status,96)="","",INDEX(pl_eq,96)&amp;"")</f>
        <v/>
      </c>
      <c r="C105" s="93" t="str">
        <f>IF(INDEX(pl_status,96)="","",INDEX(pl_task,96)&amp;"")</f>
        <v/>
      </c>
      <c r="D105" s="94" t="str">
        <f>IF(ISNUMBER(INDEX(pl_due,96)),INDEX(pl_due,96),"")</f>
        <v/>
      </c>
      <c r="E105" s="95" t="str">
        <f>INDEX(pl_status,96)&amp;""</f>
        <v/>
      </c>
      <c r="F105" s="96" t="str">
        <f>IF(E105="En retard","●","")</f>
        <v/>
      </c>
      <c r="G105" s="97">
        <f>IF(ISNUMBER($S105),MAX(0,INT((G$6+6-$S105)/$T105)-MAX(0,-INT(-(G$6-$S105)/$T105))+1),0)</f>
        <v>0.0</v>
      </c>
      <c r="H105" s="97">
        <f>IF(ISNUMBER($S105),MAX(0,INT((H$6+6-$S105)/$T105)-MAX(0,-INT(-(H$6-$S105)/$T105))+1),0)</f>
        <v>0.0</v>
      </c>
      <c r="I105" s="97">
        <f>IF(ISNUMBER($S105),MAX(0,INT((I$6+6-$S105)/$T105)-MAX(0,-INT(-(I$6-$S105)/$T105))+1),0)</f>
        <v>0.0</v>
      </c>
      <c r="J105" s="97">
        <f>IF(ISNUMBER($S105),MAX(0,INT((J$6+6-$S105)/$T105)-MAX(0,-INT(-(J$6-$S105)/$T105))+1),0)</f>
        <v>0.0</v>
      </c>
      <c r="K105" s="97">
        <f>IF(ISNUMBER($S105),MAX(0,INT((K$6+6-$S105)/$T105)-MAX(0,-INT(-(K$6-$S105)/$T105))+1),0)</f>
        <v>0.0</v>
      </c>
      <c r="L105" s="97">
        <f>IF(ISNUMBER($S105),MAX(0,INT((L$6+6-$S105)/$T105)-MAX(0,-INT(-(L$6-$S105)/$T105))+1),0)</f>
        <v>0.0</v>
      </c>
      <c r="M105" s="97">
        <f>IF(ISNUMBER($S105),MAX(0,INT((M$6+6-$S105)/$T105)-MAX(0,-INT(-(M$6-$S105)/$T105))+1),0)</f>
        <v>0.0</v>
      </c>
      <c r="N105" s="97">
        <f>IF(ISNUMBER($S105),MAX(0,INT((N$6+6-$S105)/$T105)-MAX(0,-INT(-(N$6-$S105)/$T105))+1),0)</f>
        <v>0.0</v>
      </c>
      <c r="O105" s="97">
        <f>IF(ISNUMBER($S105),MAX(0,INT((O$6+6-$S105)/$T105)-MAX(0,-INT(-(O$6-$S105)/$T105))+1),0)</f>
        <v>0.0</v>
      </c>
      <c r="P105" s="97">
        <f>IF(ISNUMBER($S105),MAX(0,INT((P$6+6-$S105)/$T105)-MAX(0,-INT(-(P$6-$S105)/$T105))+1),0)</f>
        <v>0.0</v>
      </c>
      <c r="Q105" s="97">
        <f>IF(ISNUMBER($S105),MAX(0,INT((Q$6+6-$S105)/$T105)-MAX(0,-INT(-(Q$6-$S105)/$T105))+1),0)</f>
        <v>0.0</v>
      </c>
      <c r="R105" s="97">
        <f>IF(ISNUMBER($S105),MAX(0,INT((R$6+6-$S105)/$T105)-MAX(0,-INT(-(R$6-$S105)/$T105))+1),0)</f>
        <v>0.0</v>
      </c>
      <c r="S105" t="str">
        <f>IF(ISNUMBER(INDEX(pl_period,96)),MAX(INDEX(pl_due,96),p_today),"")</f>
        <v/>
      </c>
      <c r="T105" t="str">
        <f>IF(ISNUMBER(INDEX(pl_period,96)),INDEX(pl_period,96),"")</f>
        <v/>
      </c>
      <c r="U105">
        <f>N(INDEX(pl_dur,96))</f>
        <v>0.0</v>
      </c>
    </row>
    <row r="106">
      <c r="A106" s="93" t="str">
        <f>IF(INDEX(pl_status,97)="","",INDEX(pl_num,97)&amp;"")</f>
        <v/>
      </c>
      <c r="B106" s="93" t="str">
        <f>IF(INDEX(pl_status,97)="","",INDEX(pl_eq,97)&amp;"")</f>
        <v/>
      </c>
      <c r="C106" s="93" t="str">
        <f>IF(INDEX(pl_status,97)="","",INDEX(pl_task,97)&amp;"")</f>
        <v/>
      </c>
      <c r="D106" s="94" t="str">
        <f>IF(ISNUMBER(INDEX(pl_due,97)),INDEX(pl_due,97),"")</f>
        <v/>
      </c>
      <c r="E106" s="95" t="str">
        <f>INDEX(pl_status,97)&amp;""</f>
        <v/>
      </c>
      <c r="F106" s="96" t="str">
        <f>IF(E106="En retard","●","")</f>
        <v/>
      </c>
      <c r="G106" s="97">
        <f>IF(ISNUMBER($S106),MAX(0,INT((G$6+6-$S106)/$T106)-MAX(0,-INT(-(G$6-$S106)/$T106))+1),0)</f>
        <v>0.0</v>
      </c>
      <c r="H106" s="97">
        <f>IF(ISNUMBER($S106),MAX(0,INT((H$6+6-$S106)/$T106)-MAX(0,-INT(-(H$6-$S106)/$T106))+1),0)</f>
        <v>0.0</v>
      </c>
      <c r="I106" s="97">
        <f>IF(ISNUMBER($S106),MAX(0,INT((I$6+6-$S106)/$T106)-MAX(0,-INT(-(I$6-$S106)/$T106))+1),0)</f>
        <v>0.0</v>
      </c>
      <c r="J106" s="97">
        <f>IF(ISNUMBER($S106),MAX(0,INT((J$6+6-$S106)/$T106)-MAX(0,-INT(-(J$6-$S106)/$T106))+1),0)</f>
        <v>0.0</v>
      </c>
      <c r="K106" s="97">
        <f>IF(ISNUMBER($S106),MAX(0,INT((K$6+6-$S106)/$T106)-MAX(0,-INT(-(K$6-$S106)/$T106))+1),0)</f>
        <v>0.0</v>
      </c>
      <c r="L106" s="97">
        <f>IF(ISNUMBER($S106),MAX(0,INT((L$6+6-$S106)/$T106)-MAX(0,-INT(-(L$6-$S106)/$T106))+1),0)</f>
        <v>0.0</v>
      </c>
      <c r="M106" s="97">
        <f>IF(ISNUMBER($S106),MAX(0,INT((M$6+6-$S106)/$T106)-MAX(0,-INT(-(M$6-$S106)/$T106))+1),0)</f>
        <v>0.0</v>
      </c>
      <c r="N106" s="97">
        <f>IF(ISNUMBER($S106),MAX(0,INT((N$6+6-$S106)/$T106)-MAX(0,-INT(-(N$6-$S106)/$T106))+1),0)</f>
        <v>0.0</v>
      </c>
      <c r="O106" s="97">
        <f>IF(ISNUMBER($S106),MAX(0,INT((O$6+6-$S106)/$T106)-MAX(0,-INT(-(O$6-$S106)/$T106))+1),0)</f>
        <v>0.0</v>
      </c>
      <c r="P106" s="97">
        <f>IF(ISNUMBER($S106),MAX(0,INT((P$6+6-$S106)/$T106)-MAX(0,-INT(-(P$6-$S106)/$T106))+1),0)</f>
        <v>0.0</v>
      </c>
      <c r="Q106" s="97">
        <f>IF(ISNUMBER($S106),MAX(0,INT((Q$6+6-$S106)/$T106)-MAX(0,-INT(-(Q$6-$S106)/$T106))+1),0)</f>
        <v>0.0</v>
      </c>
      <c r="R106" s="97">
        <f>IF(ISNUMBER($S106),MAX(0,INT((R$6+6-$S106)/$T106)-MAX(0,-INT(-(R$6-$S106)/$T106))+1),0)</f>
        <v>0.0</v>
      </c>
      <c r="S106" t="str">
        <f>IF(ISNUMBER(INDEX(pl_period,97)),MAX(INDEX(pl_due,97),p_today),"")</f>
        <v/>
      </c>
      <c r="T106" t="str">
        <f>IF(ISNUMBER(INDEX(pl_period,97)),INDEX(pl_period,97),"")</f>
        <v/>
      </c>
      <c r="U106">
        <f>N(INDEX(pl_dur,97))</f>
        <v>0.0</v>
      </c>
    </row>
    <row r="107">
      <c r="A107" s="93" t="str">
        <f>IF(INDEX(pl_status,98)="","",INDEX(pl_num,98)&amp;"")</f>
        <v/>
      </c>
      <c r="B107" s="93" t="str">
        <f>IF(INDEX(pl_status,98)="","",INDEX(pl_eq,98)&amp;"")</f>
        <v/>
      </c>
      <c r="C107" s="93" t="str">
        <f>IF(INDEX(pl_status,98)="","",INDEX(pl_task,98)&amp;"")</f>
        <v/>
      </c>
      <c r="D107" s="94" t="str">
        <f>IF(ISNUMBER(INDEX(pl_due,98)),INDEX(pl_due,98),"")</f>
        <v/>
      </c>
      <c r="E107" s="95" t="str">
        <f>INDEX(pl_status,98)&amp;""</f>
        <v/>
      </c>
      <c r="F107" s="96" t="str">
        <f>IF(E107="En retard","●","")</f>
        <v/>
      </c>
      <c r="G107" s="97">
        <f>IF(ISNUMBER($S107),MAX(0,INT((G$6+6-$S107)/$T107)-MAX(0,-INT(-(G$6-$S107)/$T107))+1),0)</f>
        <v>0.0</v>
      </c>
      <c r="H107" s="97">
        <f>IF(ISNUMBER($S107),MAX(0,INT((H$6+6-$S107)/$T107)-MAX(0,-INT(-(H$6-$S107)/$T107))+1),0)</f>
        <v>0.0</v>
      </c>
      <c r="I107" s="97">
        <f>IF(ISNUMBER($S107),MAX(0,INT((I$6+6-$S107)/$T107)-MAX(0,-INT(-(I$6-$S107)/$T107))+1),0)</f>
        <v>0.0</v>
      </c>
      <c r="J107" s="97">
        <f>IF(ISNUMBER($S107),MAX(0,INT((J$6+6-$S107)/$T107)-MAX(0,-INT(-(J$6-$S107)/$T107))+1),0)</f>
        <v>0.0</v>
      </c>
      <c r="K107" s="97">
        <f>IF(ISNUMBER($S107),MAX(0,INT((K$6+6-$S107)/$T107)-MAX(0,-INT(-(K$6-$S107)/$T107))+1),0)</f>
        <v>0.0</v>
      </c>
      <c r="L107" s="97">
        <f>IF(ISNUMBER($S107),MAX(0,INT((L$6+6-$S107)/$T107)-MAX(0,-INT(-(L$6-$S107)/$T107))+1),0)</f>
        <v>0.0</v>
      </c>
      <c r="M107" s="97">
        <f>IF(ISNUMBER($S107),MAX(0,INT((M$6+6-$S107)/$T107)-MAX(0,-INT(-(M$6-$S107)/$T107))+1),0)</f>
        <v>0.0</v>
      </c>
      <c r="N107" s="97">
        <f>IF(ISNUMBER($S107),MAX(0,INT((N$6+6-$S107)/$T107)-MAX(0,-INT(-(N$6-$S107)/$T107))+1),0)</f>
        <v>0.0</v>
      </c>
      <c r="O107" s="97">
        <f>IF(ISNUMBER($S107),MAX(0,INT((O$6+6-$S107)/$T107)-MAX(0,-INT(-(O$6-$S107)/$T107))+1),0)</f>
        <v>0.0</v>
      </c>
      <c r="P107" s="97">
        <f>IF(ISNUMBER($S107),MAX(0,INT((P$6+6-$S107)/$T107)-MAX(0,-INT(-(P$6-$S107)/$T107))+1),0)</f>
        <v>0.0</v>
      </c>
      <c r="Q107" s="97">
        <f>IF(ISNUMBER($S107),MAX(0,INT((Q$6+6-$S107)/$T107)-MAX(0,-INT(-(Q$6-$S107)/$T107))+1),0)</f>
        <v>0.0</v>
      </c>
      <c r="R107" s="97">
        <f>IF(ISNUMBER($S107),MAX(0,INT((R$6+6-$S107)/$T107)-MAX(0,-INT(-(R$6-$S107)/$T107))+1),0)</f>
        <v>0.0</v>
      </c>
      <c r="S107" t="str">
        <f>IF(ISNUMBER(INDEX(pl_period,98)),MAX(INDEX(pl_due,98),p_today),"")</f>
        <v/>
      </c>
      <c r="T107" t="str">
        <f>IF(ISNUMBER(INDEX(pl_period,98)),INDEX(pl_period,98),"")</f>
        <v/>
      </c>
      <c r="U107">
        <f>N(INDEX(pl_dur,98))</f>
        <v>0.0</v>
      </c>
    </row>
    <row r="108">
      <c r="A108" s="93" t="str">
        <f>IF(INDEX(pl_status,99)="","",INDEX(pl_num,99)&amp;"")</f>
        <v/>
      </c>
      <c r="B108" s="93" t="str">
        <f>IF(INDEX(pl_status,99)="","",INDEX(pl_eq,99)&amp;"")</f>
        <v/>
      </c>
      <c r="C108" s="93" t="str">
        <f>IF(INDEX(pl_status,99)="","",INDEX(pl_task,99)&amp;"")</f>
        <v/>
      </c>
      <c r="D108" s="94" t="str">
        <f>IF(ISNUMBER(INDEX(pl_due,99)),INDEX(pl_due,99),"")</f>
        <v/>
      </c>
      <c r="E108" s="95" t="str">
        <f>INDEX(pl_status,99)&amp;""</f>
        <v/>
      </c>
      <c r="F108" s="96" t="str">
        <f>IF(E108="En retard","●","")</f>
        <v/>
      </c>
      <c r="G108" s="97">
        <f>IF(ISNUMBER($S108),MAX(0,INT((G$6+6-$S108)/$T108)-MAX(0,-INT(-(G$6-$S108)/$T108))+1),0)</f>
        <v>0.0</v>
      </c>
      <c r="H108" s="97">
        <f>IF(ISNUMBER($S108),MAX(0,INT((H$6+6-$S108)/$T108)-MAX(0,-INT(-(H$6-$S108)/$T108))+1),0)</f>
        <v>0.0</v>
      </c>
      <c r="I108" s="97">
        <f>IF(ISNUMBER($S108),MAX(0,INT((I$6+6-$S108)/$T108)-MAX(0,-INT(-(I$6-$S108)/$T108))+1),0)</f>
        <v>0.0</v>
      </c>
      <c r="J108" s="97">
        <f>IF(ISNUMBER($S108),MAX(0,INT((J$6+6-$S108)/$T108)-MAX(0,-INT(-(J$6-$S108)/$T108))+1),0)</f>
        <v>0.0</v>
      </c>
      <c r="K108" s="97">
        <f>IF(ISNUMBER($S108),MAX(0,INT((K$6+6-$S108)/$T108)-MAX(0,-INT(-(K$6-$S108)/$T108))+1),0)</f>
        <v>0.0</v>
      </c>
      <c r="L108" s="97">
        <f>IF(ISNUMBER($S108),MAX(0,INT((L$6+6-$S108)/$T108)-MAX(0,-INT(-(L$6-$S108)/$T108))+1),0)</f>
        <v>0.0</v>
      </c>
      <c r="M108" s="97">
        <f>IF(ISNUMBER($S108),MAX(0,INT((M$6+6-$S108)/$T108)-MAX(0,-INT(-(M$6-$S108)/$T108))+1),0)</f>
        <v>0.0</v>
      </c>
      <c r="N108" s="97">
        <f>IF(ISNUMBER($S108),MAX(0,INT((N$6+6-$S108)/$T108)-MAX(0,-INT(-(N$6-$S108)/$T108))+1),0)</f>
        <v>0.0</v>
      </c>
      <c r="O108" s="97">
        <f>IF(ISNUMBER($S108),MAX(0,INT((O$6+6-$S108)/$T108)-MAX(0,-INT(-(O$6-$S108)/$T108))+1),0)</f>
        <v>0.0</v>
      </c>
      <c r="P108" s="97">
        <f>IF(ISNUMBER($S108),MAX(0,INT((P$6+6-$S108)/$T108)-MAX(0,-INT(-(P$6-$S108)/$T108))+1),0)</f>
        <v>0.0</v>
      </c>
      <c r="Q108" s="97">
        <f>IF(ISNUMBER($S108),MAX(0,INT((Q$6+6-$S108)/$T108)-MAX(0,-INT(-(Q$6-$S108)/$T108))+1),0)</f>
        <v>0.0</v>
      </c>
      <c r="R108" s="97">
        <f>IF(ISNUMBER($S108),MAX(0,INT((R$6+6-$S108)/$T108)-MAX(0,-INT(-(R$6-$S108)/$T108))+1),0)</f>
        <v>0.0</v>
      </c>
      <c r="S108" t="str">
        <f>IF(ISNUMBER(INDEX(pl_period,99)),MAX(INDEX(pl_due,99),p_today),"")</f>
        <v/>
      </c>
      <c r="T108" t="str">
        <f>IF(ISNUMBER(INDEX(pl_period,99)),INDEX(pl_period,99),"")</f>
        <v/>
      </c>
      <c r="U108">
        <f>N(INDEX(pl_dur,99))</f>
        <v>0.0</v>
      </c>
    </row>
    <row r="109">
      <c r="A109" s="93" t="str">
        <f>IF(INDEX(pl_status,100)="","",INDEX(pl_num,100)&amp;"")</f>
        <v/>
      </c>
      <c r="B109" s="93" t="str">
        <f>IF(INDEX(pl_status,100)="","",INDEX(pl_eq,100)&amp;"")</f>
        <v/>
      </c>
      <c r="C109" s="93" t="str">
        <f>IF(INDEX(pl_status,100)="","",INDEX(pl_task,100)&amp;"")</f>
        <v/>
      </c>
      <c r="D109" s="94" t="str">
        <f>IF(ISNUMBER(INDEX(pl_due,100)),INDEX(pl_due,100),"")</f>
        <v/>
      </c>
      <c r="E109" s="95" t="str">
        <f>INDEX(pl_status,100)&amp;""</f>
        <v/>
      </c>
      <c r="F109" s="96" t="str">
        <f>IF(E109="En retard","●","")</f>
        <v/>
      </c>
      <c r="G109" s="97">
        <f>IF(ISNUMBER($S109),MAX(0,INT((G$6+6-$S109)/$T109)-MAX(0,-INT(-(G$6-$S109)/$T109))+1),0)</f>
        <v>0.0</v>
      </c>
      <c r="H109" s="97">
        <f>IF(ISNUMBER($S109),MAX(0,INT((H$6+6-$S109)/$T109)-MAX(0,-INT(-(H$6-$S109)/$T109))+1),0)</f>
        <v>0.0</v>
      </c>
      <c r="I109" s="97">
        <f>IF(ISNUMBER($S109),MAX(0,INT((I$6+6-$S109)/$T109)-MAX(0,-INT(-(I$6-$S109)/$T109))+1),0)</f>
        <v>0.0</v>
      </c>
      <c r="J109" s="97">
        <f>IF(ISNUMBER($S109),MAX(0,INT((J$6+6-$S109)/$T109)-MAX(0,-INT(-(J$6-$S109)/$T109))+1),0)</f>
        <v>0.0</v>
      </c>
      <c r="K109" s="97">
        <f>IF(ISNUMBER($S109),MAX(0,INT((K$6+6-$S109)/$T109)-MAX(0,-INT(-(K$6-$S109)/$T109))+1),0)</f>
        <v>0.0</v>
      </c>
      <c r="L109" s="97">
        <f>IF(ISNUMBER($S109),MAX(0,INT((L$6+6-$S109)/$T109)-MAX(0,-INT(-(L$6-$S109)/$T109))+1),0)</f>
        <v>0.0</v>
      </c>
      <c r="M109" s="97">
        <f>IF(ISNUMBER($S109),MAX(0,INT((M$6+6-$S109)/$T109)-MAX(0,-INT(-(M$6-$S109)/$T109))+1),0)</f>
        <v>0.0</v>
      </c>
      <c r="N109" s="97">
        <f>IF(ISNUMBER($S109),MAX(0,INT((N$6+6-$S109)/$T109)-MAX(0,-INT(-(N$6-$S109)/$T109))+1),0)</f>
        <v>0.0</v>
      </c>
      <c r="O109" s="97">
        <f>IF(ISNUMBER($S109),MAX(0,INT((O$6+6-$S109)/$T109)-MAX(0,-INT(-(O$6-$S109)/$T109))+1),0)</f>
        <v>0.0</v>
      </c>
      <c r="P109" s="97">
        <f>IF(ISNUMBER($S109),MAX(0,INT((P$6+6-$S109)/$T109)-MAX(0,-INT(-(P$6-$S109)/$T109))+1),0)</f>
        <v>0.0</v>
      </c>
      <c r="Q109" s="97">
        <f>IF(ISNUMBER($S109),MAX(0,INT((Q$6+6-$S109)/$T109)-MAX(0,-INT(-(Q$6-$S109)/$T109))+1),0)</f>
        <v>0.0</v>
      </c>
      <c r="R109" s="97">
        <f>IF(ISNUMBER($S109),MAX(0,INT((R$6+6-$S109)/$T109)-MAX(0,-INT(-(R$6-$S109)/$T109))+1),0)</f>
        <v>0.0</v>
      </c>
      <c r="S109" t="str">
        <f>IF(ISNUMBER(INDEX(pl_period,100)),MAX(INDEX(pl_due,100),p_today),"")</f>
        <v/>
      </c>
      <c r="T109" t="str">
        <f>IF(ISNUMBER(INDEX(pl_period,100)),INDEX(pl_period,100),"")</f>
        <v/>
      </c>
      <c r="U109">
        <f>N(INDEX(pl_dur,100))</f>
        <v>0.0</v>
      </c>
    </row>
    <row r="110">
      <c r="A110" s="93" t="str">
        <f>IF(INDEX(pl_status,101)="","",INDEX(pl_num,101)&amp;"")</f>
        <v/>
      </c>
      <c r="B110" s="93" t="str">
        <f>IF(INDEX(pl_status,101)="","",INDEX(pl_eq,101)&amp;"")</f>
        <v/>
      </c>
      <c r="C110" s="93" t="str">
        <f>IF(INDEX(pl_status,101)="","",INDEX(pl_task,101)&amp;"")</f>
        <v/>
      </c>
      <c r="D110" s="94" t="str">
        <f>IF(ISNUMBER(INDEX(pl_due,101)),INDEX(pl_due,101),"")</f>
        <v/>
      </c>
      <c r="E110" s="95" t="str">
        <f>INDEX(pl_status,101)&amp;""</f>
        <v/>
      </c>
      <c r="F110" s="96" t="str">
        <f>IF(E110="En retard","●","")</f>
        <v/>
      </c>
      <c r="G110" s="97">
        <f>IF(ISNUMBER($S110),MAX(0,INT((G$6+6-$S110)/$T110)-MAX(0,-INT(-(G$6-$S110)/$T110))+1),0)</f>
        <v>0.0</v>
      </c>
      <c r="H110" s="97">
        <f>IF(ISNUMBER($S110),MAX(0,INT((H$6+6-$S110)/$T110)-MAX(0,-INT(-(H$6-$S110)/$T110))+1),0)</f>
        <v>0.0</v>
      </c>
      <c r="I110" s="97">
        <f>IF(ISNUMBER($S110),MAX(0,INT((I$6+6-$S110)/$T110)-MAX(0,-INT(-(I$6-$S110)/$T110))+1),0)</f>
        <v>0.0</v>
      </c>
      <c r="J110" s="97">
        <f>IF(ISNUMBER($S110),MAX(0,INT((J$6+6-$S110)/$T110)-MAX(0,-INT(-(J$6-$S110)/$T110))+1),0)</f>
        <v>0.0</v>
      </c>
      <c r="K110" s="97">
        <f>IF(ISNUMBER($S110),MAX(0,INT((K$6+6-$S110)/$T110)-MAX(0,-INT(-(K$6-$S110)/$T110))+1),0)</f>
        <v>0.0</v>
      </c>
      <c r="L110" s="97">
        <f>IF(ISNUMBER($S110),MAX(0,INT((L$6+6-$S110)/$T110)-MAX(0,-INT(-(L$6-$S110)/$T110))+1),0)</f>
        <v>0.0</v>
      </c>
      <c r="M110" s="97">
        <f>IF(ISNUMBER($S110),MAX(0,INT((M$6+6-$S110)/$T110)-MAX(0,-INT(-(M$6-$S110)/$T110))+1),0)</f>
        <v>0.0</v>
      </c>
      <c r="N110" s="97">
        <f>IF(ISNUMBER($S110),MAX(0,INT((N$6+6-$S110)/$T110)-MAX(0,-INT(-(N$6-$S110)/$T110))+1),0)</f>
        <v>0.0</v>
      </c>
      <c r="O110" s="97">
        <f>IF(ISNUMBER($S110),MAX(0,INT((O$6+6-$S110)/$T110)-MAX(0,-INT(-(O$6-$S110)/$T110))+1),0)</f>
        <v>0.0</v>
      </c>
      <c r="P110" s="97">
        <f>IF(ISNUMBER($S110),MAX(0,INT((P$6+6-$S110)/$T110)-MAX(0,-INT(-(P$6-$S110)/$T110))+1),0)</f>
        <v>0.0</v>
      </c>
      <c r="Q110" s="97">
        <f>IF(ISNUMBER($S110),MAX(0,INT((Q$6+6-$S110)/$T110)-MAX(0,-INT(-(Q$6-$S110)/$T110))+1),0)</f>
        <v>0.0</v>
      </c>
      <c r="R110" s="97">
        <f>IF(ISNUMBER($S110),MAX(0,INT((R$6+6-$S110)/$T110)-MAX(0,-INT(-(R$6-$S110)/$T110))+1),0)</f>
        <v>0.0</v>
      </c>
      <c r="S110" t="str">
        <f>IF(ISNUMBER(INDEX(pl_period,101)),MAX(INDEX(pl_due,101),p_today),"")</f>
        <v/>
      </c>
      <c r="T110" t="str">
        <f>IF(ISNUMBER(INDEX(pl_period,101)),INDEX(pl_period,101),"")</f>
        <v/>
      </c>
      <c r="U110">
        <f>N(INDEX(pl_dur,101))</f>
        <v>0.0</v>
      </c>
    </row>
    <row r="111">
      <c r="A111" s="93" t="str">
        <f>IF(INDEX(pl_status,102)="","",INDEX(pl_num,102)&amp;"")</f>
        <v/>
      </c>
      <c r="B111" s="93" t="str">
        <f>IF(INDEX(pl_status,102)="","",INDEX(pl_eq,102)&amp;"")</f>
        <v/>
      </c>
      <c r="C111" s="93" t="str">
        <f>IF(INDEX(pl_status,102)="","",INDEX(pl_task,102)&amp;"")</f>
        <v/>
      </c>
      <c r="D111" s="94" t="str">
        <f>IF(ISNUMBER(INDEX(pl_due,102)),INDEX(pl_due,102),"")</f>
        <v/>
      </c>
      <c r="E111" s="95" t="str">
        <f>INDEX(pl_status,102)&amp;""</f>
        <v/>
      </c>
      <c r="F111" s="96" t="str">
        <f>IF(E111="En retard","●","")</f>
        <v/>
      </c>
      <c r="G111" s="97">
        <f>IF(ISNUMBER($S111),MAX(0,INT((G$6+6-$S111)/$T111)-MAX(0,-INT(-(G$6-$S111)/$T111))+1),0)</f>
        <v>0.0</v>
      </c>
      <c r="H111" s="97">
        <f>IF(ISNUMBER($S111),MAX(0,INT((H$6+6-$S111)/$T111)-MAX(0,-INT(-(H$6-$S111)/$T111))+1),0)</f>
        <v>0.0</v>
      </c>
      <c r="I111" s="97">
        <f>IF(ISNUMBER($S111),MAX(0,INT((I$6+6-$S111)/$T111)-MAX(0,-INT(-(I$6-$S111)/$T111))+1),0)</f>
        <v>0.0</v>
      </c>
      <c r="J111" s="97">
        <f>IF(ISNUMBER($S111),MAX(0,INT((J$6+6-$S111)/$T111)-MAX(0,-INT(-(J$6-$S111)/$T111))+1),0)</f>
        <v>0.0</v>
      </c>
      <c r="K111" s="97">
        <f>IF(ISNUMBER($S111),MAX(0,INT((K$6+6-$S111)/$T111)-MAX(0,-INT(-(K$6-$S111)/$T111))+1),0)</f>
        <v>0.0</v>
      </c>
      <c r="L111" s="97">
        <f>IF(ISNUMBER($S111),MAX(0,INT((L$6+6-$S111)/$T111)-MAX(0,-INT(-(L$6-$S111)/$T111))+1),0)</f>
        <v>0.0</v>
      </c>
      <c r="M111" s="97">
        <f>IF(ISNUMBER($S111),MAX(0,INT((M$6+6-$S111)/$T111)-MAX(0,-INT(-(M$6-$S111)/$T111))+1),0)</f>
        <v>0.0</v>
      </c>
      <c r="N111" s="97">
        <f>IF(ISNUMBER($S111),MAX(0,INT((N$6+6-$S111)/$T111)-MAX(0,-INT(-(N$6-$S111)/$T111))+1),0)</f>
        <v>0.0</v>
      </c>
      <c r="O111" s="97">
        <f>IF(ISNUMBER($S111),MAX(0,INT((O$6+6-$S111)/$T111)-MAX(0,-INT(-(O$6-$S111)/$T111))+1),0)</f>
        <v>0.0</v>
      </c>
      <c r="P111" s="97">
        <f>IF(ISNUMBER($S111),MAX(0,INT((P$6+6-$S111)/$T111)-MAX(0,-INT(-(P$6-$S111)/$T111))+1),0)</f>
        <v>0.0</v>
      </c>
      <c r="Q111" s="97">
        <f>IF(ISNUMBER($S111),MAX(0,INT((Q$6+6-$S111)/$T111)-MAX(0,-INT(-(Q$6-$S111)/$T111))+1),0)</f>
        <v>0.0</v>
      </c>
      <c r="R111" s="97">
        <f>IF(ISNUMBER($S111),MAX(0,INT((R$6+6-$S111)/$T111)-MAX(0,-INT(-(R$6-$S111)/$T111))+1),0)</f>
        <v>0.0</v>
      </c>
      <c r="S111" t="str">
        <f>IF(ISNUMBER(INDEX(pl_period,102)),MAX(INDEX(pl_due,102),p_today),"")</f>
        <v/>
      </c>
      <c r="T111" t="str">
        <f>IF(ISNUMBER(INDEX(pl_period,102)),INDEX(pl_period,102),"")</f>
        <v/>
      </c>
      <c r="U111">
        <f>N(INDEX(pl_dur,102))</f>
        <v>0.0</v>
      </c>
    </row>
    <row r="112">
      <c r="A112" s="93" t="str">
        <f>IF(INDEX(pl_status,103)="","",INDEX(pl_num,103)&amp;"")</f>
        <v/>
      </c>
      <c r="B112" s="93" t="str">
        <f>IF(INDEX(pl_status,103)="","",INDEX(pl_eq,103)&amp;"")</f>
        <v/>
      </c>
      <c r="C112" s="93" t="str">
        <f>IF(INDEX(pl_status,103)="","",INDEX(pl_task,103)&amp;"")</f>
        <v/>
      </c>
      <c r="D112" s="94" t="str">
        <f>IF(ISNUMBER(INDEX(pl_due,103)),INDEX(pl_due,103),"")</f>
        <v/>
      </c>
      <c r="E112" s="95" t="str">
        <f>INDEX(pl_status,103)&amp;""</f>
        <v/>
      </c>
      <c r="F112" s="96" t="str">
        <f>IF(E112="En retard","●","")</f>
        <v/>
      </c>
      <c r="G112" s="97">
        <f>IF(ISNUMBER($S112),MAX(0,INT((G$6+6-$S112)/$T112)-MAX(0,-INT(-(G$6-$S112)/$T112))+1),0)</f>
        <v>0.0</v>
      </c>
      <c r="H112" s="97">
        <f>IF(ISNUMBER($S112),MAX(0,INT((H$6+6-$S112)/$T112)-MAX(0,-INT(-(H$6-$S112)/$T112))+1),0)</f>
        <v>0.0</v>
      </c>
      <c r="I112" s="97">
        <f>IF(ISNUMBER($S112),MAX(0,INT((I$6+6-$S112)/$T112)-MAX(0,-INT(-(I$6-$S112)/$T112))+1),0)</f>
        <v>0.0</v>
      </c>
      <c r="J112" s="97">
        <f>IF(ISNUMBER($S112),MAX(0,INT((J$6+6-$S112)/$T112)-MAX(0,-INT(-(J$6-$S112)/$T112))+1),0)</f>
        <v>0.0</v>
      </c>
      <c r="K112" s="97">
        <f>IF(ISNUMBER($S112),MAX(0,INT((K$6+6-$S112)/$T112)-MAX(0,-INT(-(K$6-$S112)/$T112))+1),0)</f>
        <v>0.0</v>
      </c>
      <c r="L112" s="97">
        <f>IF(ISNUMBER($S112),MAX(0,INT((L$6+6-$S112)/$T112)-MAX(0,-INT(-(L$6-$S112)/$T112))+1),0)</f>
        <v>0.0</v>
      </c>
      <c r="M112" s="97">
        <f>IF(ISNUMBER($S112),MAX(0,INT((M$6+6-$S112)/$T112)-MAX(0,-INT(-(M$6-$S112)/$T112))+1),0)</f>
        <v>0.0</v>
      </c>
      <c r="N112" s="97">
        <f>IF(ISNUMBER($S112),MAX(0,INT((N$6+6-$S112)/$T112)-MAX(0,-INT(-(N$6-$S112)/$T112))+1),0)</f>
        <v>0.0</v>
      </c>
      <c r="O112" s="97">
        <f>IF(ISNUMBER($S112),MAX(0,INT((O$6+6-$S112)/$T112)-MAX(0,-INT(-(O$6-$S112)/$T112))+1),0)</f>
        <v>0.0</v>
      </c>
      <c r="P112" s="97">
        <f>IF(ISNUMBER($S112),MAX(0,INT((P$6+6-$S112)/$T112)-MAX(0,-INT(-(P$6-$S112)/$T112))+1),0)</f>
        <v>0.0</v>
      </c>
      <c r="Q112" s="97">
        <f>IF(ISNUMBER($S112),MAX(0,INT((Q$6+6-$S112)/$T112)-MAX(0,-INT(-(Q$6-$S112)/$T112))+1),0)</f>
        <v>0.0</v>
      </c>
      <c r="R112" s="97">
        <f>IF(ISNUMBER($S112),MAX(0,INT((R$6+6-$S112)/$T112)-MAX(0,-INT(-(R$6-$S112)/$T112))+1),0)</f>
        <v>0.0</v>
      </c>
      <c r="S112" t="str">
        <f>IF(ISNUMBER(INDEX(pl_period,103)),MAX(INDEX(pl_due,103),p_today),"")</f>
        <v/>
      </c>
      <c r="T112" t="str">
        <f>IF(ISNUMBER(INDEX(pl_period,103)),INDEX(pl_period,103),"")</f>
        <v/>
      </c>
      <c r="U112">
        <f>N(INDEX(pl_dur,103))</f>
        <v>0.0</v>
      </c>
    </row>
    <row r="113">
      <c r="A113" s="93" t="str">
        <f>IF(INDEX(pl_status,104)="","",INDEX(pl_num,104)&amp;"")</f>
        <v/>
      </c>
      <c r="B113" s="93" t="str">
        <f>IF(INDEX(pl_status,104)="","",INDEX(pl_eq,104)&amp;"")</f>
        <v/>
      </c>
      <c r="C113" s="93" t="str">
        <f>IF(INDEX(pl_status,104)="","",INDEX(pl_task,104)&amp;"")</f>
        <v/>
      </c>
      <c r="D113" s="94" t="str">
        <f>IF(ISNUMBER(INDEX(pl_due,104)),INDEX(pl_due,104),"")</f>
        <v/>
      </c>
      <c r="E113" s="95" t="str">
        <f>INDEX(pl_status,104)&amp;""</f>
        <v/>
      </c>
      <c r="F113" s="96" t="str">
        <f>IF(E113="En retard","●","")</f>
        <v/>
      </c>
      <c r="G113" s="97">
        <f>IF(ISNUMBER($S113),MAX(0,INT((G$6+6-$S113)/$T113)-MAX(0,-INT(-(G$6-$S113)/$T113))+1),0)</f>
        <v>0.0</v>
      </c>
      <c r="H113" s="97">
        <f>IF(ISNUMBER($S113),MAX(0,INT((H$6+6-$S113)/$T113)-MAX(0,-INT(-(H$6-$S113)/$T113))+1),0)</f>
        <v>0.0</v>
      </c>
      <c r="I113" s="97">
        <f>IF(ISNUMBER($S113),MAX(0,INT((I$6+6-$S113)/$T113)-MAX(0,-INT(-(I$6-$S113)/$T113))+1),0)</f>
        <v>0.0</v>
      </c>
      <c r="J113" s="97">
        <f>IF(ISNUMBER($S113),MAX(0,INT((J$6+6-$S113)/$T113)-MAX(0,-INT(-(J$6-$S113)/$T113))+1),0)</f>
        <v>0.0</v>
      </c>
      <c r="K113" s="97">
        <f>IF(ISNUMBER($S113),MAX(0,INT((K$6+6-$S113)/$T113)-MAX(0,-INT(-(K$6-$S113)/$T113))+1),0)</f>
        <v>0.0</v>
      </c>
      <c r="L113" s="97">
        <f>IF(ISNUMBER($S113),MAX(0,INT((L$6+6-$S113)/$T113)-MAX(0,-INT(-(L$6-$S113)/$T113))+1),0)</f>
        <v>0.0</v>
      </c>
      <c r="M113" s="97">
        <f>IF(ISNUMBER($S113),MAX(0,INT((M$6+6-$S113)/$T113)-MAX(0,-INT(-(M$6-$S113)/$T113))+1),0)</f>
        <v>0.0</v>
      </c>
      <c r="N113" s="97">
        <f>IF(ISNUMBER($S113),MAX(0,INT((N$6+6-$S113)/$T113)-MAX(0,-INT(-(N$6-$S113)/$T113))+1),0)</f>
        <v>0.0</v>
      </c>
      <c r="O113" s="97">
        <f>IF(ISNUMBER($S113),MAX(0,INT((O$6+6-$S113)/$T113)-MAX(0,-INT(-(O$6-$S113)/$T113))+1),0)</f>
        <v>0.0</v>
      </c>
      <c r="P113" s="97">
        <f>IF(ISNUMBER($S113),MAX(0,INT((P$6+6-$S113)/$T113)-MAX(0,-INT(-(P$6-$S113)/$T113))+1),0)</f>
        <v>0.0</v>
      </c>
      <c r="Q113" s="97">
        <f>IF(ISNUMBER($S113),MAX(0,INT((Q$6+6-$S113)/$T113)-MAX(0,-INT(-(Q$6-$S113)/$T113))+1),0)</f>
        <v>0.0</v>
      </c>
      <c r="R113" s="97">
        <f>IF(ISNUMBER($S113),MAX(0,INT((R$6+6-$S113)/$T113)-MAX(0,-INT(-(R$6-$S113)/$T113))+1),0)</f>
        <v>0.0</v>
      </c>
      <c r="S113" t="str">
        <f>IF(ISNUMBER(INDEX(pl_period,104)),MAX(INDEX(pl_due,104),p_today),"")</f>
        <v/>
      </c>
      <c r="T113" t="str">
        <f>IF(ISNUMBER(INDEX(pl_period,104)),INDEX(pl_period,104),"")</f>
        <v/>
      </c>
      <c r="U113">
        <f>N(INDEX(pl_dur,104))</f>
        <v>0.0</v>
      </c>
    </row>
    <row r="114">
      <c r="A114" s="93" t="str">
        <f>IF(INDEX(pl_status,105)="","",INDEX(pl_num,105)&amp;"")</f>
        <v/>
      </c>
      <c r="B114" s="93" t="str">
        <f>IF(INDEX(pl_status,105)="","",INDEX(pl_eq,105)&amp;"")</f>
        <v/>
      </c>
      <c r="C114" s="93" t="str">
        <f>IF(INDEX(pl_status,105)="","",INDEX(pl_task,105)&amp;"")</f>
        <v/>
      </c>
      <c r="D114" s="94" t="str">
        <f>IF(ISNUMBER(INDEX(pl_due,105)),INDEX(pl_due,105),"")</f>
        <v/>
      </c>
      <c r="E114" s="95" t="str">
        <f>INDEX(pl_status,105)&amp;""</f>
        <v/>
      </c>
      <c r="F114" s="96" t="str">
        <f>IF(E114="En retard","●","")</f>
        <v/>
      </c>
      <c r="G114" s="97">
        <f>IF(ISNUMBER($S114),MAX(0,INT((G$6+6-$S114)/$T114)-MAX(0,-INT(-(G$6-$S114)/$T114))+1),0)</f>
        <v>0.0</v>
      </c>
      <c r="H114" s="97">
        <f>IF(ISNUMBER($S114),MAX(0,INT((H$6+6-$S114)/$T114)-MAX(0,-INT(-(H$6-$S114)/$T114))+1),0)</f>
        <v>0.0</v>
      </c>
      <c r="I114" s="97">
        <f>IF(ISNUMBER($S114),MAX(0,INT((I$6+6-$S114)/$T114)-MAX(0,-INT(-(I$6-$S114)/$T114))+1),0)</f>
        <v>0.0</v>
      </c>
      <c r="J114" s="97">
        <f>IF(ISNUMBER($S114),MAX(0,INT((J$6+6-$S114)/$T114)-MAX(0,-INT(-(J$6-$S114)/$T114))+1),0)</f>
        <v>0.0</v>
      </c>
      <c r="K114" s="97">
        <f>IF(ISNUMBER($S114),MAX(0,INT((K$6+6-$S114)/$T114)-MAX(0,-INT(-(K$6-$S114)/$T114))+1),0)</f>
        <v>0.0</v>
      </c>
      <c r="L114" s="97">
        <f>IF(ISNUMBER($S114),MAX(0,INT((L$6+6-$S114)/$T114)-MAX(0,-INT(-(L$6-$S114)/$T114))+1),0)</f>
        <v>0.0</v>
      </c>
      <c r="M114" s="97">
        <f>IF(ISNUMBER($S114),MAX(0,INT((M$6+6-$S114)/$T114)-MAX(0,-INT(-(M$6-$S114)/$T114))+1),0)</f>
        <v>0.0</v>
      </c>
      <c r="N114" s="97">
        <f>IF(ISNUMBER($S114),MAX(0,INT((N$6+6-$S114)/$T114)-MAX(0,-INT(-(N$6-$S114)/$T114))+1),0)</f>
        <v>0.0</v>
      </c>
      <c r="O114" s="97">
        <f>IF(ISNUMBER($S114),MAX(0,INT((O$6+6-$S114)/$T114)-MAX(0,-INT(-(O$6-$S114)/$T114))+1),0)</f>
        <v>0.0</v>
      </c>
      <c r="P114" s="97">
        <f>IF(ISNUMBER($S114),MAX(0,INT((P$6+6-$S114)/$T114)-MAX(0,-INT(-(P$6-$S114)/$T114))+1),0)</f>
        <v>0.0</v>
      </c>
      <c r="Q114" s="97">
        <f>IF(ISNUMBER($S114),MAX(0,INT((Q$6+6-$S114)/$T114)-MAX(0,-INT(-(Q$6-$S114)/$T114))+1),0)</f>
        <v>0.0</v>
      </c>
      <c r="R114" s="97">
        <f>IF(ISNUMBER($S114),MAX(0,INT((R$6+6-$S114)/$T114)-MAX(0,-INT(-(R$6-$S114)/$T114))+1),0)</f>
        <v>0.0</v>
      </c>
      <c r="S114" t="str">
        <f>IF(ISNUMBER(INDEX(pl_period,105)),MAX(INDEX(pl_due,105),p_today),"")</f>
        <v/>
      </c>
      <c r="T114" t="str">
        <f>IF(ISNUMBER(INDEX(pl_period,105)),INDEX(pl_period,105),"")</f>
        <v/>
      </c>
      <c r="U114">
        <f>N(INDEX(pl_dur,105))</f>
        <v>0.0</v>
      </c>
    </row>
    <row r="115">
      <c r="A115" s="93" t="str">
        <f>IF(INDEX(pl_status,106)="","",INDEX(pl_num,106)&amp;"")</f>
        <v/>
      </c>
      <c r="B115" s="93" t="str">
        <f>IF(INDEX(pl_status,106)="","",INDEX(pl_eq,106)&amp;"")</f>
        <v/>
      </c>
      <c r="C115" s="93" t="str">
        <f>IF(INDEX(pl_status,106)="","",INDEX(pl_task,106)&amp;"")</f>
        <v/>
      </c>
      <c r="D115" s="94" t="str">
        <f>IF(ISNUMBER(INDEX(pl_due,106)),INDEX(pl_due,106),"")</f>
        <v/>
      </c>
      <c r="E115" s="95" t="str">
        <f>INDEX(pl_status,106)&amp;""</f>
        <v/>
      </c>
      <c r="F115" s="96" t="str">
        <f>IF(E115="En retard","●","")</f>
        <v/>
      </c>
      <c r="G115" s="97">
        <f>IF(ISNUMBER($S115),MAX(0,INT((G$6+6-$S115)/$T115)-MAX(0,-INT(-(G$6-$S115)/$T115))+1),0)</f>
        <v>0.0</v>
      </c>
      <c r="H115" s="97">
        <f>IF(ISNUMBER($S115),MAX(0,INT((H$6+6-$S115)/$T115)-MAX(0,-INT(-(H$6-$S115)/$T115))+1),0)</f>
        <v>0.0</v>
      </c>
      <c r="I115" s="97">
        <f>IF(ISNUMBER($S115),MAX(0,INT((I$6+6-$S115)/$T115)-MAX(0,-INT(-(I$6-$S115)/$T115))+1),0)</f>
        <v>0.0</v>
      </c>
      <c r="J115" s="97">
        <f>IF(ISNUMBER($S115),MAX(0,INT((J$6+6-$S115)/$T115)-MAX(0,-INT(-(J$6-$S115)/$T115))+1),0)</f>
        <v>0.0</v>
      </c>
      <c r="K115" s="97">
        <f>IF(ISNUMBER($S115),MAX(0,INT((K$6+6-$S115)/$T115)-MAX(0,-INT(-(K$6-$S115)/$T115))+1),0)</f>
        <v>0.0</v>
      </c>
      <c r="L115" s="97">
        <f>IF(ISNUMBER($S115),MAX(0,INT((L$6+6-$S115)/$T115)-MAX(0,-INT(-(L$6-$S115)/$T115))+1),0)</f>
        <v>0.0</v>
      </c>
      <c r="M115" s="97">
        <f>IF(ISNUMBER($S115),MAX(0,INT((M$6+6-$S115)/$T115)-MAX(0,-INT(-(M$6-$S115)/$T115))+1),0)</f>
        <v>0.0</v>
      </c>
      <c r="N115" s="97">
        <f>IF(ISNUMBER($S115),MAX(0,INT((N$6+6-$S115)/$T115)-MAX(0,-INT(-(N$6-$S115)/$T115))+1),0)</f>
        <v>0.0</v>
      </c>
      <c r="O115" s="97">
        <f>IF(ISNUMBER($S115),MAX(0,INT((O$6+6-$S115)/$T115)-MAX(0,-INT(-(O$6-$S115)/$T115))+1),0)</f>
        <v>0.0</v>
      </c>
      <c r="P115" s="97">
        <f>IF(ISNUMBER($S115),MAX(0,INT((P$6+6-$S115)/$T115)-MAX(0,-INT(-(P$6-$S115)/$T115))+1),0)</f>
        <v>0.0</v>
      </c>
      <c r="Q115" s="97">
        <f>IF(ISNUMBER($S115),MAX(0,INT((Q$6+6-$S115)/$T115)-MAX(0,-INT(-(Q$6-$S115)/$T115))+1),0)</f>
        <v>0.0</v>
      </c>
      <c r="R115" s="97">
        <f>IF(ISNUMBER($S115),MAX(0,INT((R$6+6-$S115)/$T115)-MAX(0,-INT(-(R$6-$S115)/$T115))+1),0)</f>
        <v>0.0</v>
      </c>
      <c r="S115" t="str">
        <f>IF(ISNUMBER(INDEX(pl_period,106)),MAX(INDEX(pl_due,106),p_today),"")</f>
        <v/>
      </c>
      <c r="T115" t="str">
        <f>IF(ISNUMBER(INDEX(pl_period,106)),INDEX(pl_period,106),"")</f>
        <v/>
      </c>
      <c r="U115">
        <f>N(INDEX(pl_dur,106))</f>
        <v>0.0</v>
      </c>
    </row>
    <row r="116">
      <c r="A116" s="93" t="str">
        <f>IF(INDEX(pl_status,107)="","",INDEX(pl_num,107)&amp;"")</f>
        <v/>
      </c>
      <c r="B116" s="93" t="str">
        <f>IF(INDEX(pl_status,107)="","",INDEX(pl_eq,107)&amp;"")</f>
        <v/>
      </c>
      <c r="C116" s="93" t="str">
        <f>IF(INDEX(pl_status,107)="","",INDEX(pl_task,107)&amp;"")</f>
        <v/>
      </c>
      <c r="D116" s="94" t="str">
        <f>IF(ISNUMBER(INDEX(pl_due,107)),INDEX(pl_due,107),"")</f>
        <v/>
      </c>
      <c r="E116" s="95" t="str">
        <f>INDEX(pl_status,107)&amp;""</f>
        <v/>
      </c>
      <c r="F116" s="96" t="str">
        <f>IF(E116="En retard","●","")</f>
        <v/>
      </c>
      <c r="G116" s="97">
        <f>IF(ISNUMBER($S116),MAX(0,INT((G$6+6-$S116)/$T116)-MAX(0,-INT(-(G$6-$S116)/$T116))+1),0)</f>
        <v>0.0</v>
      </c>
      <c r="H116" s="97">
        <f>IF(ISNUMBER($S116),MAX(0,INT((H$6+6-$S116)/$T116)-MAX(0,-INT(-(H$6-$S116)/$T116))+1),0)</f>
        <v>0.0</v>
      </c>
      <c r="I116" s="97">
        <f>IF(ISNUMBER($S116),MAX(0,INT((I$6+6-$S116)/$T116)-MAX(0,-INT(-(I$6-$S116)/$T116))+1),0)</f>
        <v>0.0</v>
      </c>
      <c r="J116" s="97">
        <f>IF(ISNUMBER($S116),MAX(0,INT((J$6+6-$S116)/$T116)-MAX(0,-INT(-(J$6-$S116)/$T116))+1),0)</f>
        <v>0.0</v>
      </c>
      <c r="K116" s="97">
        <f>IF(ISNUMBER($S116),MAX(0,INT((K$6+6-$S116)/$T116)-MAX(0,-INT(-(K$6-$S116)/$T116))+1),0)</f>
        <v>0.0</v>
      </c>
      <c r="L116" s="97">
        <f>IF(ISNUMBER($S116),MAX(0,INT((L$6+6-$S116)/$T116)-MAX(0,-INT(-(L$6-$S116)/$T116))+1),0)</f>
        <v>0.0</v>
      </c>
      <c r="M116" s="97">
        <f>IF(ISNUMBER($S116),MAX(0,INT((M$6+6-$S116)/$T116)-MAX(0,-INT(-(M$6-$S116)/$T116))+1),0)</f>
        <v>0.0</v>
      </c>
      <c r="N116" s="97">
        <f>IF(ISNUMBER($S116),MAX(0,INT((N$6+6-$S116)/$T116)-MAX(0,-INT(-(N$6-$S116)/$T116))+1),0)</f>
        <v>0.0</v>
      </c>
      <c r="O116" s="97">
        <f>IF(ISNUMBER($S116),MAX(0,INT((O$6+6-$S116)/$T116)-MAX(0,-INT(-(O$6-$S116)/$T116))+1),0)</f>
        <v>0.0</v>
      </c>
      <c r="P116" s="97">
        <f>IF(ISNUMBER($S116),MAX(0,INT((P$6+6-$S116)/$T116)-MAX(0,-INT(-(P$6-$S116)/$T116))+1),0)</f>
        <v>0.0</v>
      </c>
      <c r="Q116" s="97">
        <f>IF(ISNUMBER($S116),MAX(0,INT((Q$6+6-$S116)/$T116)-MAX(0,-INT(-(Q$6-$S116)/$T116))+1),0)</f>
        <v>0.0</v>
      </c>
      <c r="R116" s="97">
        <f>IF(ISNUMBER($S116),MAX(0,INT((R$6+6-$S116)/$T116)-MAX(0,-INT(-(R$6-$S116)/$T116))+1),0)</f>
        <v>0.0</v>
      </c>
      <c r="S116" t="str">
        <f>IF(ISNUMBER(INDEX(pl_period,107)),MAX(INDEX(pl_due,107),p_today),"")</f>
        <v/>
      </c>
      <c r="T116" t="str">
        <f>IF(ISNUMBER(INDEX(pl_period,107)),INDEX(pl_period,107),"")</f>
        <v/>
      </c>
      <c r="U116">
        <f>N(INDEX(pl_dur,107))</f>
        <v>0.0</v>
      </c>
    </row>
    <row r="117">
      <c r="A117" s="93" t="str">
        <f>IF(INDEX(pl_status,108)="","",INDEX(pl_num,108)&amp;"")</f>
        <v/>
      </c>
      <c r="B117" s="93" t="str">
        <f>IF(INDEX(pl_status,108)="","",INDEX(pl_eq,108)&amp;"")</f>
        <v/>
      </c>
      <c r="C117" s="93" t="str">
        <f>IF(INDEX(pl_status,108)="","",INDEX(pl_task,108)&amp;"")</f>
        <v/>
      </c>
      <c r="D117" s="94" t="str">
        <f>IF(ISNUMBER(INDEX(pl_due,108)),INDEX(pl_due,108),"")</f>
        <v/>
      </c>
      <c r="E117" s="95" t="str">
        <f>INDEX(pl_status,108)&amp;""</f>
        <v/>
      </c>
      <c r="F117" s="96" t="str">
        <f>IF(E117="En retard","●","")</f>
        <v/>
      </c>
      <c r="G117" s="97">
        <f>IF(ISNUMBER($S117),MAX(0,INT((G$6+6-$S117)/$T117)-MAX(0,-INT(-(G$6-$S117)/$T117))+1),0)</f>
        <v>0.0</v>
      </c>
      <c r="H117" s="97">
        <f>IF(ISNUMBER($S117),MAX(0,INT((H$6+6-$S117)/$T117)-MAX(0,-INT(-(H$6-$S117)/$T117))+1),0)</f>
        <v>0.0</v>
      </c>
      <c r="I117" s="97">
        <f>IF(ISNUMBER($S117),MAX(0,INT((I$6+6-$S117)/$T117)-MAX(0,-INT(-(I$6-$S117)/$T117))+1),0)</f>
        <v>0.0</v>
      </c>
      <c r="J117" s="97">
        <f>IF(ISNUMBER($S117),MAX(0,INT((J$6+6-$S117)/$T117)-MAX(0,-INT(-(J$6-$S117)/$T117))+1),0)</f>
        <v>0.0</v>
      </c>
      <c r="K117" s="97">
        <f>IF(ISNUMBER($S117),MAX(0,INT((K$6+6-$S117)/$T117)-MAX(0,-INT(-(K$6-$S117)/$T117))+1),0)</f>
        <v>0.0</v>
      </c>
      <c r="L117" s="97">
        <f>IF(ISNUMBER($S117),MAX(0,INT((L$6+6-$S117)/$T117)-MAX(0,-INT(-(L$6-$S117)/$T117))+1),0)</f>
        <v>0.0</v>
      </c>
      <c r="M117" s="97">
        <f>IF(ISNUMBER($S117),MAX(0,INT((M$6+6-$S117)/$T117)-MAX(0,-INT(-(M$6-$S117)/$T117))+1),0)</f>
        <v>0.0</v>
      </c>
      <c r="N117" s="97">
        <f>IF(ISNUMBER($S117),MAX(0,INT((N$6+6-$S117)/$T117)-MAX(0,-INT(-(N$6-$S117)/$T117))+1),0)</f>
        <v>0.0</v>
      </c>
      <c r="O117" s="97">
        <f>IF(ISNUMBER($S117),MAX(0,INT((O$6+6-$S117)/$T117)-MAX(0,-INT(-(O$6-$S117)/$T117))+1),0)</f>
        <v>0.0</v>
      </c>
      <c r="P117" s="97">
        <f>IF(ISNUMBER($S117),MAX(0,INT((P$6+6-$S117)/$T117)-MAX(0,-INT(-(P$6-$S117)/$T117))+1),0)</f>
        <v>0.0</v>
      </c>
      <c r="Q117" s="97">
        <f>IF(ISNUMBER($S117),MAX(0,INT((Q$6+6-$S117)/$T117)-MAX(0,-INT(-(Q$6-$S117)/$T117))+1),0)</f>
        <v>0.0</v>
      </c>
      <c r="R117" s="97">
        <f>IF(ISNUMBER($S117),MAX(0,INT((R$6+6-$S117)/$T117)-MAX(0,-INT(-(R$6-$S117)/$T117))+1),0)</f>
        <v>0.0</v>
      </c>
      <c r="S117" t="str">
        <f>IF(ISNUMBER(INDEX(pl_period,108)),MAX(INDEX(pl_due,108),p_today),"")</f>
        <v/>
      </c>
      <c r="T117" t="str">
        <f>IF(ISNUMBER(INDEX(pl_period,108)),INDEX(pl_period,108),"")</f>
        <v/>
      </c>
      <c r="U117">
        <f>N(INDEX(pl_dur,108))</f>
        <v>0.0</v>
      </c>
    </row>
    <row r="118">
      <c r="A118" s="93" t="str">
        <f>IF(INDEX(pl_status,109)="","",INDEX(pl_num,109)&amp;"")</f>
        <v/>
      </c>
      <c r="B118" s="93" t="str">
        <f>IF(INDEX(pl_status,109)="","",INDEX(pl_eq,109)&amp;"")</f>
        <v/>
      </c>
      <c r="C118" s="93" t="str">
        <f>IF(INDEX(pl_status,109)="","",INDEX(pl_task,109)&amp;"")</f>
        <v/>
      </c>
      <c r="D118" s="94" t="str">
        <f>IF(ISNUMBER(INDEX(pl_due,109)),INDEX(pl_due,109),"")</f>
        <v/>
      </c>
      <c r="E118" s="95" t="str">
        <f>INDEX(pl_status,109)&amp;""</f>
        <v/>
      </c>
      <c r="F118" s="96" t="str">
        <f>IF(E118="En retard","●","")</f>
        <v/>
      </c>
      <c r="G118" s="97">
        <f>IF(ISNUMBER($S118),MAX(0,INT((G$6+6-$S118)/$T118)-MAX(0,-INT(-(G$6-$S118)/$T118))+1),0)</f>
        <v>0.0</v>
      </c>
      <c r="H118" s="97">
        <f>IF(ISNUMBER($S118),MAX(0,INT((H$6+6-$S118)/$T118)-MAX(0,-INT(-(H$6-$S118)/$T118))+1),0)</f>
        <v>0.0</v>
      </c>
      <c r="I118" s="97">
        <f>IF(ISNUMBER($S118),MAX(0,INT((I$6+6-$S118)/$T118)-MAX(0,-INT(-(I$6-$S118)/$T118))+1),0)</f>
        <v>0.0</v>
      </c>
      <c r="J118" s="97">
        <f>IF(ISNUMBER($S118),MAX(0,INT((J$6+6-$S118)/$T118)-MAX(0,-INT(-(J$6-$S118)/$T118))+1),0)</f>
        <v>0.0</v>
      </c>
      <c r="K118" s="97">
        <f>IF(ISNUMBER($S118),MAX(0,INT((K$6+6-$S118)/$T118)-MAX(0,-INT(-(K$6-$S118)/$T118))+1),0)</f>
        <v>0.0</v>
      </c>
      <c r="L118" s="97">
        <f>IF(ISNUMBER($S118),MAX(0,INT((L$6+6-$S118)/$T118)-MAX(0,-INT(-(L$6-$S118)/$T118))+1),0)</f>
        <v>0.0</v>
      </c>
      <c r="M118" s="97">
        <f>IF(ISNUMBER($S118),MAX(0,INT((M$6+6-$S118)/$T118)-MAX(0,-INT(-(M$6-$S118)/$T118))+1),0)</f>
        <v>0.0</v>
      </c>
      <c r="N118" s="97">
        <f>IF(ISNUMBER($S118),MAX(0,INT((N$6+6-$S118)/$T118)-MAX(0,-INT(-(N$6-$S118)/$T118))+1),0)</f>
        <v>0.0</v>
      </c>
      <c r="O118" s="97">
        <f>IF(ISNUMBER($S118),MAX(0,INT((O$6+6-$S118)/$T118)-MAX(0,-INT(-(O$6-$S118)/$T118))+1),0)</f>
        <v>0.0</v>
      </c>
      <c r="P118" s="97">
        <f>IF(ISNUMBER($S118),MAX(0,INT((P$6+6-$S118)/$T118)-MAX(0,-INT(-(P$6-$S118)/$T118))+1),0)</f>
        <v>0.0</v>
      </c>
      <c r="Q118" s="97">
        <f>IF(ISNUMBER($S118),MAX(0,INT((Q$6+6-$S118)/$T118)-MAX(0,-INT(-(Q$6-$S118)/$T118))+1),0)</f>
        <v>0.0</v>
      </c>
      <c r="R118" s="97">
        <f>IF(ISNUMBER($S118),MAX(0,INT((R$6+6-$S118)/$T118)-MAX(0,-INT(-(R$6-$S118)/$T118))+1),0)</f>
        <v>0.0</v>
      </c>
      <c r="S118" t="str">
        <f>IF(ISNUMBER(INDEX(pl_period,109)),MAX(INDEX(pl_due,109),p_today),"")</f>
        <v/>
      </c>
      <c r="T118" t="str">
        <f>IF(ISNUMBER(INDEX(pl_period,109)),INDEX(pl_period,109),"")</f>
        <v/>
      </c>
      <c r="U118">
        <f>N(INDEX(pl_dur,109))</f>
        <v>0.0</v>
      </c>
    </row>
    <row r="119">
      <c r="A119" s="93" t="str">
        <f>IF(INDEX(pl_status,110)="","",INDEX(pl_num,110)&amp;"")</f>
        <v/>
      </c>
      <c r="B119" s="93" t="str">
        <f>IF(INDEX(pl_status,110)="","",INDEX(pl_eq,110)&amp;"")</f>
        <v/>
      </c>
      <c r="C119" s="93" t="str">
        <f>IF(INDEX(pl_status,110)="","",INDEX(pl_task,110)&amp;"")</f>
        <v/>
      </c>
      <c r="D119" s="94" t="str">
        <f>IF(ISNUMBER(INDEX(pl_due,110)),INDEX(pl_due,110),"")</f>
        <v/>
      </c>
      <c r="E119" s="95" t="str">
        <f>INDEX(pl_status,110)&amp;""</f>
        <v/>
      </c>
      <c r="F119" s="96" t="str">
        <f>IF(E119="En retard","●","")</f>
        <v/>
      </c>
      <c r="G119" s="97">
        <f>IF(ISNUMBER($S119),MAX(0,INT((G$6+6-$S119)/$T119)-MAX(0,-INT(-(G$6-$S119)/$T119))+1),0)</f>
        <v>0.0</v>
      </c>
      <c r="H119" s="97">
        <f>IF(ISNUMBER($S119),MAX(0,INT((H$6+6-$S119)/$T119)-MAX(0,-INT(-(H$6-$S119)/$T119))+1),0)</f>
        <v>0.0</v>
      </c>
      <c r="I119" s="97">
        <f>IF(ISNUMBER($S119),MAX(0,INT((I$6+6-$S119)/$T119)-MAX(0,-INT(-(I$6-$S119)/$T119))+1),0)</f>
        <v>0.0</v>
      </c>
      <c r="J119" s="97">
        <f>IF(ISNUMBER($S119),MAX(0,INT((J$6+6-$S119)/$T119)-MAX(0,-INT(-(J$6-$S119)/$T119))+1),0)</f>
        <v>0.0</v>
      </c>
      <c r="K119" s="97">
        <f>IF(ISNUMBER($S119),MAX(0,INT((K$6+6-$S119)/$T119)-MAX(0,-INT(-(K$6-$S119)/$T119))+1),0)</f>
        <v>0.0</v>
      </c>
      <c r="L119" s="97">
        <f>IF(ISNUMBER($S119),MAX(0,INT((L$6+6-$S119)/$T119)-MAX(0,-INT(-(L$6-$S119)/$T119))+1),0)</f>
        <v>0.0</v>
      </c>
      <c r="M119" s="97">
        <f>IF(ISNUMBER($S119),MAX(0,INT((M$6+6-$S119)/$T119)-MAX(0,-INT(-(M$6-$S119)/$T119))+1),0)</f>
        <v>0.0</v>
      </c>
      <c r="N119" s="97">
        <f>IF(ISNUMBER($S119),MAX(0,INT((N$6+6-$S119)/$T119)-MAX(0,-INT(-(N$6-$S119)/$T119))+1),0)</f>
        <v>0.0</v>
      </c>
      <c r="O119" s="97">
        <f>IF(ISNUMBER($S119),MAX(0,INT((O$6+6-$S119)/$T119)-MAX(0,-INT(-(O$6-$S119)/$T119))+1),0)</f>
        <v>0.0</v>
      </c>
      <c r="P119" s="97">
        <f>IF(ISNUMBER($S119),MAX(0,INT((P$6+6-$S119)/$T119)-MAX(0,-INT(-(P$6-$S119)/$T119))+1),0)</f>
        <v>0.0</v>
      </c>
      <c r="Q119" s="97">
        <f>IF(ISNUMBER($S119),MAX(0,INT((Q$6+6-$S119)/$T119)-MAX(0,-INT(-(Q$6-$S119)/$T119))+1),0)</f>
        <v>0.0</v>
      </c>
      <c r="R119" s="97">
        <f>IF(ISNUMBER($S119),MAX(0,INT((R$6+6-$S119)/$T119)-MAX(0,-INT(-(R$6-$S119)/$T119))+1),0)</f>
        <v>0.0</v>
      </c>
      <c r="S119" t="str">
        <f>IF(ISNUMBER(INDEX(pl_period,110)),MAX(INDEX(pl_due,110),p_today),"")</f>
        <v/>
      </c>
      <c r="T119" t="str">
        <f>IF(ISNUMBER(INDEX(pl_period,110)),INDEX(pl_period,110),"")</f>
        <v/>
      </c>
      <c r="U119">
        <f>N(INDEX(pl_dur,110))</f>
        <v>0.0</v>
      </c>
    </row>
    <row r="120">
      <c r="A120" s="93" t="str">
        <f>IF(INDEX(pl_status,111)="","",INDEX(pl_num,111)&amp;"")</f>
        <v/>
      </c>
      <c r="B120" s="93" t="str">
        <f>IF(INDEX(pl_status,111)="","",INDEX(pl_eq,111)&amp;"")</f>
        <v/>
      </c>
      <c r="C120" s="93" t="str">
        <f>IF(INDEX(pl_status,111)="","",INDEX(pl_task,111)&amp;"")</f>
        <v/>
      </c>
      <c r="D120" s="94" t="str">
        <f>IF(ISNUMBER(INDEX(pl_due,111)),INDEX(pl_due,111),"")</f>
        <v/>
      </c>
      <c r="E120" s="95" t="str">
        <f>INDEX(pl_status,111)&amp;""</f>
        <v/>
      </c>
      <c r="F120" s="96" t="str">
        <f>IF(E120="En retard","●","")</f>
        <v/>
      </c>
      <c r="G120" s="97">
        <f>IF(ISNUMBER($S120),MAX(0,INT((G$6+6-$S120)/$T120)-MAX(0,-INT(-(G$6-$S120)/$T120))+1),0)</f>
        <v>0.0</v>
      </c>
      <c r="H120" s="97">
        <f>IF(ISNUMBER($S120),MAX(0,INT((H$6+6-$S120)/$T120)-MAX(0,-INT(-(H$6-$S120)/$T120))+1),0)</f>
        <v>0.0</v>
      </c>
      <c r="I120" s="97">
        <f>IF(ISNUMBER($S120),MAX(0,INT((I$6+6-$S120)/$T120)-MAX(0,-INT(-(I$6-$S120)/$T120))+1),0)</f>
        <v>0.0</v>
      </c>
      <c r="J120" s="97">
        <f>IF(ISNUMBER($S120),MAX(0,INT((J$6+6-$S120)/$T120)-MAX(0,-INT(-(J$6-$S120)/$T120))+1),0)</f>
        <v>0.0</v>
      </c>
      <c r="K120" s="97">
        <f>IF(ISNUMBER($S120),MAX(0,INT((K$6+6-$S120)/$T120)-MAX(0,-INT(-(K$6-$S120)/$T120))+1),0)</f>
        <v>0.0</v>
      </c>
      <c r="L120" s="97">
        <f>IF(ISNUMBER($S120),MAX(0,INT((L$6+6-$S120)/$T120)-MAX(0,-INT(-(L$6-$S120)/$T120))+1),0)</f>
        <v>0.0</v>
      </c>
      <c r="M120" s="97">
        <f>IF(ISNUMBER($S120),MAX(0,INT((M$6+6-$S120)/$T120)-MAX(0,-INT(-(M$6-$S120)/$T120))+1),0)</f>
        <v>0.0</v>
      </c>
      <c r="N120" s="97">
        <f>IF(ISNUMBER($S120),MAX(0,INT((N$6+6-$S120)/$T120)-MAX(0,-INT(-(N$6-$S120)/$T120))+1),0)</f>
        <v>0.0</v>
      </c>
      <c r="O120" s="97">
        <f>IF(ISNUMBER($S120),MAX(0,INT((O$6+6-$S120)/$T120)-MAX(0,-INT(-(O$6-$S120)/$T120))+1),0)</f>
        <v>0.0</v>
      </c>
      <c r="P120" s="97">
        <f>IF(ISNUMBER($S120),MAX(0,INT((P$6+6-$S120)/$T120)-MAX(0,-INT(-(P$6-$S120)/$T120))+1),0)</f>
        <v>0.0</v>
      </c>
      <c r="Q120" s="97">
        <f>IF(ISNUMBER($S120),MAX(0,INT((Q$6+6-$S120)/$T120)-MAX(0,-INT(-(Q$6-$S120)/$T120))+1),0)</f>
        <v>0.0</v>
      </c>
      <c r="R120" s="97">
        <f>IF(ISNUMBER($S120),MAX(0,INT((R$6+6-$S120)/$T120)-MAX(0,-INT(-(R$6-$S120)/$T120))+1),0)</f>
        <v>0.0</v>
      </c>
      <c r="S120" t="str">
        <f>IF(ISNUMBER(INDEX(pl_period,111)),MAX(INDEX(pl_due,111),p_today),"")</f>
        <v/>
      </c>
      <c r="T120" t="str">
        <f>IF(ISNUMBER(INDEX(pl_period,111)),INDEX(pl_period,111),"")</f>
        <v/>
      </c>
      <c r="U120">
        <f>N(INDEX(pl_dur,111))</f>
        <v>0.0</v>
      </c>
    </row>
    <row r="121">
      <c r="A121" s="93" t="str">
        <f>IF(INDEX(pl_status,112)="","",INDEX(pl_num,112)&amp;"")</f>
        <v/>
      </c>
      <c r="B121" s="93" t="str">
        <f>IF(INDEX(pl_status,112)="","",INDEX(pl_eq,112)&amp;"")</f>
        <v/>
      </c>
      <c r="C121" s="93" t="str">
        <f>IF(INDEX(pl_status,112)="","",INDEX(pl_task,112)&amp;"")</f>
        <v/>
      </c>
      <c r="D121" s="94" t="str">
        <f>IF(ISNUMBER(INDEX(pl_due,112)),INDEX(pl_due,112),"")</f>
        <v/>
      </c>
      <c r="E121" s="95" t="str">
        <f>INDEX(pl_status,112)&amp;""</f>
        <v/>
      </c>
      <c r="F121" s="96" t="str">
        <f>IF(E121="En retard","●","")</f>
        <v/>
      </c>
      <c r="G121" s="97">
        <f>IF(ISNUMBER($S121),MAX(0,INT((G$6+6-$S121)/$T121)-MAX(0,-INT(-(G$6-$S121)/$T121))+1),0)</f>
        <v>0.0</v>
      </c>
      <c r="H121" s="97">
        <f>IF(ISNUMBER($S121),MAX(0,INT((H$6+6-$S121)/$T121)-MAX(0,-INT(-(H$6-$S121)/$T121))+1),0)</f>
        <v>0.0</v>
      </c>
      <c r="I121" s="97">
        <f>IF(ISNUMBER($S121),MAX(0,INT((I$6+6-$S121)/$T121)-MAX(0,-INT(-(I$6-$S121)/$T121))+1),0)</f>
        <v>0.0</v>
      </c>
      <c r="J121" s="97">
        <f>IF(ISNUMBER($S121),MAX(0,INT((J$6+6-$S121)/$T121)-MAX(0,-INT(-(J$6-$S121)/$T121))+1),0)</f>
        <v>0.0</v>
      </c>
      <c r="K121" s="97">
        <f>IF(ISNUMBER($S121),MAX(0,INT((K$6+6-$S121)/$T121)-MAX(0,-INT(-(K$6-$S121)/$T121))+1),0)</f>
        <v>0.0</v>
      </c>
      <c r="L121" s="97">
        <f>IF(ISNUMBER($S121),MAX(0,INT((L$6+6-$S121)/$T121)-MAX(0,-INT(-(L$6-$S121)/$T121))+1),0)</f>
        <v>0.0</v>
      </c>
      <c r="M121" s="97">
        <f>IF(ISNUMBER($S121),MAX(0,INT((M$6+6-$S121)/$T121)-MAX(0,-INT(-(M$6-$S121)/$T121))+1),0)</f>
        <v>0.0</v>
      </c>
      <c r="N121" s="97">
        <f>IF(ISNUMBER($S121),MAX(0,INT((N$6+6-$S121)/$T121)-MAX(0,-INT(-(N$6-$S121)/$T121))+1),0)</f>
        <v>0.0</v>
      </c>
      <c r="O121" s="97">
        <f>IF(ISNUMBER($S121),MAX(0,INT((O$6+6-$S121)/$T121)-MAX(0,-INT(-(O$6-$S121)/$T121))+1),0)</f>
        <v>0.0</v>
      </c>
      <c r="P121" s="97">
        <f>IF(ISNUMBER($S121),MAX(0,INT((P$6+6-$S121)/$T121)-MAX(0,-INT(-(P$6-$S121)/$T121))+1),0)</f>
        <v>0.0</v>
      </c>
      <c r="Q121" s="97">
        <f>IF(ISNUMBER($S121),MAX(0,INT((Q$6+6-$S121)/$T121)-MAX(0,-INT(-(Q$6-$S121)/$T121))+1),0)</f>
        <v>0.0</v>
      </c>
      <c r="R121" s="97">
        <f>IF(ISNUMBER($S121),MAX(0,INT((R$6+6-$S121)/$T121)-MAX(0,-INT(-(R$6-$S121)/$T121))+1),0)</f>
        <v>0.0</v>
      </c>
      <c r="S121" t="str">
        <f>IF(ISNUMBER(INDEX(pl_period,112)),MAX(INDEX(pl_due,112),p_today),"")</f>
        <v/>
      </c>
      <c r="T121" t="str">
        <f>IF(ISNUMBER(INDEX(pl_period,112)),INDEX(pl_period,112),"")</f>
        <v/>
      </c>
      <c r="U121">
        <f>N(INDEX(pl_dur,112))</f>
        <v>0.0</v>
      </c>
    </row>
    <row r="122">
      <c r="A122" s="93" t="str">
        <f>IF(INDEX(pl_status,113)="","",INDEX(pl_num,113)&amp;"")</f>
        <v/>
      </c>
      <c r="B122" s="93" t="str">
        <f>IF(INDEX(pl_status,113)="","",INDEX(pl_eq,113)&amp;"")</f>
        <v/>
      </c>
      <c r="C122" s="93" t="str">
        <f>IF(INDEX(pl_status,113)="","",INDEX(pl_task,113)&amp;"")</f>
        <v/>
      </c>
      <c r="D122" s="94" t="str">
        <f>IF(ISNUMBER(INDEX(pl_due,113)),INDEX(pl_due,113),"")</f>
        <v/>
      </c>
      <c r="E122" s="95" t="str">
        <f>INDEX(pl_status,113)&amp;""</f>
        <v/>
      </c>
      <c r="F122" s="96" t="str">
        <f>IF(E122="En retard","●","")</f>
        <v/>
      </c>
      <c r="G122" s="97">
        <f>IF(ISNUMBER($S122),MAX(0,INT((G$6+6-$S122)/$T122)-MAX(0,-INT(-(G$6-$S122)/$T122))+1),0)</f>
        <v>0.0</v>
      </c>
      <c r="H122" s="97">
        <f>IF(ISNUMBER($S122),MAX(0,INT((H$6+6-$S122)/$T122)-MAX(0,-INT(-(H$6-$S122)/$T122))+1),0)</f>
        <v>0.0</v>
      </c>
      <c r="I122" s="97">
        <f>IF(ISNUMBER($S122),MAX(0,INT((I$6+6-$S122)/$T122)-MAX(0,-INT(-(I$6-$S122)/$T122))+1),0)</f>
        <v>0.0</v>
      </c>
      <c r="J122" s="97">
        <f>IF(ISNUMBER($S122),MAX(0,INT((J$6+6-$S122)/$T122)-MAX(0,-INT(-(J$6-$S122)/$T122))+1),0)</f>
        <v>0.0</v>
      </c>
      <c r="K122" s="97">
        <f>IF(ISNUMBER($S122),MAX(0,INT((K$6+6-$S122)/$T122)-MAX(0,-INT(-(K$6-$S122)/$T122))+1),0)</f>
        <v>0.0</v>
      </c>
      <c r="L122" s="97">
        <f>IF(ISNUMBER($S122),MAX(0,INT((L$6+6-$S122)/$T122)-MAX(0,-INT(-(L$6-$S122)/$T122))+1),0)</f>
        <v>0.0</v>
      </c>
      <c r="M122" s="97">
        <f>IF(ISNUMBER($S122),MAX(0,INT((M$6+6-$S122)/$T122)-MAX(0,-INT(-(M$6-$S122)/$T122))+1),0)</f>
        <v>0.0</v>
      </c>
      <c r="N122" s="97">
        <f>IF(ISNUMBER($S122),MAX(0,INT((N$6+6-$S122)/$T122)-MAX(0,-INT(-(N$6-$S122)/$T122))+1),0)</f>
        <v>0.0</v>
      </c>
      <c r="O122" s="97">
        <f>IF(ISNUMBER($S122),MAX(0,INT((O$6+6-$S122)/$T122)-MAX(0,-INT(-(O$6-$S122)/$T122))+1),0)</f>
        <v>0.0</v>
      </c>
      <c r="P122" s="97">
        <f>IF(ISNUMBER($S122),MAX(0,INT((P$6+6-$S122)/$T122)-MAX(0,-INT(-(P$6-$S122)/$T122))+1),0)</f>
        <v>0.0</v>
      </c>
      <c r="Q122" s="97">
        <f>IF(ISNUMBER($S122),MAX(0,INT((Q$6+6-$S122)/$T122)-MAX(0,-INT(-(Q$6-$S122)/$T122))+1),0)</f>
        <v>0.0</v>
      </c>
      <c r="R122" s="97">
        <f>IF(ISNUMBER($S122),MAX(0,INT((R$6+6-$S122)/$T122)-MAX(0,-INT(-(R$6-$S122)/$T122))+1),0)</f>
        <v>0.0</v>
      </c>
      <c r="S122" t="str">
        <f>IF(ISNUMBER(INDEX(pl_period,113)),MAX(INDEX(pl_due,113),p_today),"")</f>
        <v/>
      </c>
      <c r="T122" t="str">
        <f>IF(ISNUMBER(INDEX(pl_period,113)),INDEX(pl_period,113),"")</f>
        <v/>
      </c>
      <c r="U122">
        <f>N(INDEX(pl_dur,113))</f>
        <v>0.0</v>
      </c>
    </row>
    <row r="123">
      <c r="A123" s="93" t="str">
        <f>IF(INDEX(pl_status,114)="","",INDEX(pl_num,114)&amp;"")</f>
        <v/>
      </c>
      <c r="B123" s="93" t="str">
        <f>IF(INDEX(pl_status,114)="","",INDEX(pl_eq,114)&amp;"")</f>
        <v/>
      </c>
      <c r="C123" s="93" t="str">
        <f>IF(INDEX(pl_status,114)="","",INDEX(pl_task,114)&amp;"")</f>
        <v/>
      </c>
      <c r="D123" s="94" t="str">
        <f>IF(ISNUMBER(INDEX(pl_due,114)),INDEX(pl_due,114),"")</f>
        <v/>
      </c>
      <c r="E123" s="95" t="str">
        <f>INDEX(pl_status,114)&amp;""</f>
        <v/>
      </c>
      <c r="F123" s="96" t="str">
        <f>IF(E123="En retard","●","")</f>
        <v/>
      </c>
      <c r="G123" s="97">
        <f>IF(ISNUMBER($S123),MAX(0,INT((G$6+6-$S123)/$T123)-MAX(0,-INT(-(G$6-$S123)/$T123))+1),0)</f>
        <v>0.0</v>
      </c>
      <c r="H123" s="97">
        <f>IF(ISNUMBER($S123),MAX(0,INT((H$6+6-$S123)/$T123)-MAX(0,-INT(-(H$6-$S123)/$T123))+1),0)</f>
        <v>0.0</v>
      </c>
      <c r="I123" s="97">
        <f>IF(ISNUMBER($S123),MAX(0,INT((I$6+6-$S123)/$T123)-MAX(0,-INT(-(I$6-$S123)/$T123))+1),0)</f>
        <v>0.0</v>
      </c>
      <c r="J123" s="97">
        <f>IF(ISNUMBER($S123),MAX(0,INT((J$6+6-$S123)/$T123)-MAX(0,-INT(-(J$6-$S123)/$T123))+1),0)</f>
        <v>0.0</v>
      </c>
      <c r="K123" s="97">
        <f>IF(ISNUMBER($S123),MAX(0,INT((K$6+6-$S123)/$T123)-MAX(0,-INT(-(K$6-$S123)/$T123))+1),0)</f>
        <v>0.0</v>
      </c>
      <c r="L123" s="97">
        <f>IF(ISNUMBER($S123),MAX(0,INT((L$6+6-$S123)/$T123)-MAX(0,-INT(-(L$6-$S123)/$T123))+1),0)</f>
        <v>0.0</v>
      </c>
      <c r="M123" s="97">
        <f>IF(ISNUMBER($S123),MAX(0,INT((M$6+6-$S123)/$T123)-MAX(0,-INT(-(M$6-$S123)/$T123))+1),0)</f>
        <v>0.0</v>
      </c>
      <c r="N123" s="97">
        <f>IF(ISNUMBER($S123),MAX(0,INT((N$6+6-$S123)/$T123)-MAX(0,-INT(-(N$6-$S123)/$T123))+1),0)</f>
        <v>0.0</v>
      </c>
      <c r="O123" s="97">
        <f>IF(ISNUMBER($S123),MAX(0,INT((O$6+6-$S123)/$T123)-MAX(0,-INT(-(O$6-$S123)/$T123))+1),0)</f>
        <v>0.0</v>
      </c>
      <c r="P123" s="97">
        <f>IF(ISNUMBER($S123),MAX(0,INT((P$6+6-$S123)/$T123)-MAX(0,-INT(-(P$6-$S123)/$T123))+1),0)</f>
        <v>0.0</v>
      </c>
      <c r="Q123" s="97">
        <f>IF(ISNUMBER($S123),MAX(0,INT((Q$6+6-$S123)/$T123)-MAX(0,-INT(-(Q$6-$S123)/$T123))+1),0)</f>
        <v>0.0</v>
      </c>
      <c r="R123" s="97">
        <f>IF(ISNUMBER($S123),MAX(0,INT((R$6+6-$S123)/$T123)-MAX(0,-INT(-(R$6-$S123)/$T123))+1),0)</f>
        <v>0.0</v>
      </c>
      <c r="S123" t="str">
        <f>IF(ISNUMBER(INDEX(pl_period,114)),MAX(INDEX(pl_due,114),p_today),"")</f>
        <v/>
      </c>
      <c r="T123" t="str">
        <f>IF(ISNUMBER(INDEX(pl_period,114)),INDEX(pl_period,114),"")</f>
        <v/>
      </c>
      <c r="U123">
        <f>N(INDEX(pl_dur,114))</f>
        <v>0.0</v>
      </c>
    </row>
    <row r="124">
      <c r="A124" s="93" t="str">
        <f>IF(INDEX(pl_status,115)="","",INDEX(pl_num,115)&amp;"")</f>
        <v/>
      </c>
      <c r="B124" s="93" t="str">
        <f>IF(INDEX(pl_status,115)="","",INDEX(pl_eq,115)&amp;"")</f>
        <v/>
      </c>
      <c r="C124" s="93" t="str">
        <f>IF(INDEX(pl_status,115)="","",INDEX(pl_task,115)&amp;"")</f>
        <v/>
      </c>
      <c r="D124" s="94" t="str">
        <f>IF(ISNUMBER(INDEX(pl_due,115)),INDEX(pl_due,115),"")</f>
        <v/>
      </c>
      <c r="E124" s="95" t="str">
        <f>INDEX(pl_status,115)&amp;""</f>
        <v/>
      </c>
      <c r="F124" s="96" t="str">
        <f>IF(E124="En retard","●","")</f>
        <v/>
      </c>
      <c r="G124" s="97">
        <f>IF(ISNUMBER($S124),MAX(0,INT((G$6+6-$S124)/$T124)-MAX(0,-INT(-(G$6-$S124)/$T124))+1),0)</f>
        <v>0.0</v>
      </c>
      <c r="H124" s="97">
        <f>IF(ISNUMBER($S124),MAX(0,INT((H$6+6-$S124)/$T124)-MAX(0,-INT(-(H$6-$S124)/$T124))+1),0)</f>
        <v>0.0</v>
      </c>
      <c r="I124" s="97">
        <f>IF(ISNUMBER($S124),MAX(0,INT((I$6+6-$S124)/$T124)-MAX(0,-INT(-(I$6-$S124)/$T124))+1),0)</f>
        <v>0.0</v>
      </c>
      <c r="J124" s="97">
        <f>IF(ISNUMBER($S124),MAX(0,INT((J$6+6-$S124)/$T124)-MAX(0,-INT(-(J$6-$S124)/$T124))+1),0)</f>
        <v>0.0</v>
      </c>
      <c r="K124" s="97">
        <f>IF(ISNUMBER($S124),MAX(0,INT((K$6+6-$S124)/$T124)-MAX(0,-INT(-(K$6-$S124)/$T124))+1),0)</f>
        <v>0.0</v>
      </c>
      <c r="L124" s="97">
        <f>IF(ISNUMBER($S124),MAX(0,INT((L$6+6-$S124)/$T124)-MAX(0,-INT(-(L$6-$S124)/$T124))+1),0)</f>
        <v>0.0</v>
      </c>
      <c r="M124" s="97">
        <f>IF(ISNUMBER($S124),MAX(0,INT((M$6+6-$S124)/$T124)-MAX(0,-INT(-(M$6-$S124)/$T124))+1),0)</f>
        <v>0.0</v>
      </c>
      <c r="N124" s="97">
        <f>IF(ISNUMBER($S124),MAX(0,INT((N$6+6-$S124)/$T124)-MAX(0,-INT(-(N$6-$S124)/$T124))+1),0)</f>
        <v>0.0</v>
      </c>
      <c r="O124" s="97">
        <f>IF(ISNUMBER($S124),MAX(0,INT((O$6+6-$S124)/$T124)-MAX(0,-INT(-(O$6-$S124)/$T124))+1),0)</f>
        <v>0.0</v>
      </c>
      <c r="P124" s="97">
        <f>IF(ISNUMBER($S124),MAX(0,INT((P$6+6-$S124)/$T124)-MAX(0,-INT(-(P$6-$S124)/$T124))+1),0)</f>
        <v>0.0</v>
      </c>
      <c r="Q124" s="97">
        <f>IF(ISNUMBER($S124),MAX(0,INT((Q$6+6-$S124)/$T124)-MAX(0,-INT(-(Q$6-$S124)/$T124))+1),0)</f>
        <v>0.0</v>
      </c>
      <c r="R124" s="97">
        <f>IF(ISNUMBER($S124),MAX(0,INT((R$6+6-$S124)/$T124)-MAX(0,-INT(-(R$6-$S124)/$T124))+1),0)</f>
        <v>0.0</v>
      </c>
      <c r="S124" t="str">
        <f>IF(ISNUMBER(INDEX(pl_period,115)),MAX(INDEX(pl_due,115),p_today),"")</f>
        <v/>
      </c>
      <c r="T124" t="str">
        <f>IF(ISNUMBER(INDEX(pl_period,115)),INDEX(pl_period,115),"")</f>
        <v/>
      </c>
      <c r="U124">
        <f>N(INDEX(pl_dur,115))</f>
        <v>0.0</v>
      </c>
    </row>
    <row r="125">
      <c r="A125" s="93" t="str">
        <f>IF(INDEX(pl_status,116)="","",INDEX(pl_num,116)&amp;"")</f>
        <v/>
      </c>
      <c r="B125" s="93" t="str">
        <f>IF(INDEX(pl_status,116)="","",INDEX(pl_eq,116)&amp;"")</f>
        <v/>
      </c>
      <c r="C125" s="93" t="str">
        <f>IF(INDEX(pl_status,116)="","",INDEX(pl_task,116)&amp;"")</f>
        <v/>
      </c>
      <c r="D125" s="94" t="str">
        <f>IF(ISNUMBER(INDEX(pl_due,116)),INDEX(pl_due,116),"")</f>
        <v/>
      </c>
      <c r="E125" s="95" t="str">
        <f>INDEX(pl_status,116)&amp;""</f>
        <v/>
      </c>
      <c r="F125" s="96" t="str">
        <f>IF(E125="En retard","●","")</f>
        <v/>
      </c>
      <c r="G125" s="97">
        <f>IF(ISNUMBER($S125),MAX(0,INT((G$6+6-$S125)/$T125)-MAX(0,-INT(-(G$6-$S125)/$T125))+1),0)</f>
        <v>0.0</v>
      </c>
      <c r="H125" s="97">
        <f>IF(ISNUMBER($S125),MAX(0,INT((H$6+6-$S125)/$T125)-MAX(0,-INT(-(H$6-$S125)/$T125))+1),0)</f>
        <v>0.0</v>
      </c>
      <c r="I125" s="97">
        <f>IF(ISNUMBER($S125),MAX(0,INT((I$6+6-$S125)/$T125)-MAX(0,-INT(-(I$6-$S125)/$T125))+1),0)</f>
        <v>0.0</v>
      </c>
      <c r="J125" s="97">
        <f>IF(ISNUMBER($S125),MAX(0,INT((J$6+6-$S125)/$T125)-MAX(0,-INT(-(J$6-$S125)/$T125))+1),0)</f>
        <v>0.0</v>
      </c>
      <c r="K125" s="97">
        <f>IF(ISNUMBER($S125),MAX(0,INT((K$6+6-$S125)/$T125)-MAX(0,-INT(-(K$6-$S125)/$T125))+1),0)</f>
        <v>0.0</v>
      </c>
      <c r="L125" s="97">
        <f>IF(ISNUMBER($S125),MAX(0,INT((L$6+6-$S125)/$T125)-MAX(0,-INT(-(L$6-$S125)/$T125))+1),0)</f>
        <v>0.0</v>
      </c>
      <c r="M125" s="97">
        <f>IF(ISNUMBER($S125),MAX(0,INT((M$6+6-$S125)/$T125)-MAX(0,-INT(-(M$6-$S125)/$T125))+1),0)</f>
        <v>0.0</v>
      </c>
      <c r="N125" s="97">
        <f>IF(ISNUMBER($S125),MAX(0,INT((N$6+6-$S125)/$T125)-MAX(0,-INT(-(N$6-$S125)/$T125))+1),0)</f>
        <v>0.0</v>
      </c>
      <c r="O125" s="97">
        <f>IF(ISNUMBER($S125),MAX(0,INT((O$6+6-$S125)/$T125)-MAX(0,-INT(-(O$6-$S125)/$T125))+1),0)</f>
        <v>0.0</v>
      </c>
      <c r="P125" s="97">
        <f>IF(ISNUMBER($S125),MAX(0,INT((P$6+6-$S125)/$T125)-MAX(0,-INT(-(P$6-$S125)/$T125))+1),0)</f>
        <v>0.0</v>
      </c>
      <c r="Q125" s="97">
        <f>IF(ISNUMBER($S125),MAX(0,INT((Q$6+6-$S125)/$T125)-MAX(0,-INT(-(Q$6-$S125)/$T125))+1),0)</f>
        <v>0.0</v>
      </c>
      <c r="R125" s="97">
        <f>IF(ISNUMBER($S125),MAX(0,INT((R$6+6-$S125)/$T125)-MAX(0,-INT(-(R$6-$S125)/$T125))+1),0)</f>
        <v>0.0</v>
      </c>
      <c r="S125" t="str">
        <f>IF(ISNUMBER(INDEX(pl_period,116)),MAX(INDEX(pl_due,116),p_today),"")</f>
        <v/>
      </c>
      <c r="T125" t="str">
        <f>IF(ISNUMBER(INDEX(pl_period,116)),INDEX(pl_period,116),"")</f>
        <v/>
      </c>
      <c r="U125">
        <f>N(INDEX(pl_dur,116))</f>
        <v>0.0</v>
      </c>
    </row>
    <row r="126">
      <c r="A126" s="93" t="str">
        <f>IF(INDEX(pl_status,117)="","",INDEX(pl_num,117)&amp;"")</f>
        <v/>
      </c>
      <c r="B126" s="93" t="str">
        <f>IF(INDEX(pl_status,117)="","",INDEX(pl_eq,117)&amp;"")</f>
        <v/>
      </c>
      <c r="C126" s="93" t="str">
        <f>IF(INDEX(pl_status,117)="","",INDEX(pl_task,117)&amp;"")</f>
        <v/>
      </c>
      <c r="D126" s="94" t="str">
        <f>IF(ISNUMBER(INDEX(pl_due,117)),INDEX(pl_due,117),"")</f>
        <v/>
      </c>
      <c r="E126" s="95" t="str">
        <f>INDEX(pl_status,117)&amp;""</f>
        <v/>
      </c>
      <c r="F126" s="96" t="str">
        <f>IF(E126="En retard","●","")</f>
        <v/>
      </c>
      <c r="G126" s="97">
        <f>IF(ISNUMBER($S126),MAX(0,INT((G$6+6-$S126)/$T126)-MAX(0,-INT(-(G$6-$S126)/$T126))+1),0)</f>
        <v>0.0</v>
      </c>
      <c r="H126" s="97">
        <f>IF(ISNUMBER($S126),MAX(0,INT((H$6+6-$S126)/$T126)-MAX(0,-INT(-(H$6-$S126)/$T126))+1),0)</f>
        <v>0.0</v>
      </c>
      <c r="I126" s="97">
        <f>IF(ISNUMBER($S126),MAX(0,INT((I$6+6-$S126)/$T126)-MAX(0,-INT(-(I$6-$S126)/$T126))+1),0)</f>
        <v>0.0</v>
      </c>
      <c r="J126" s="97">
        <f>IF(ISNUMBER($S126),MAX(0,INT((J$6+6-$S126)/$T126)-MAX(0,-INT(-(J$6-$S126)/$T126))+1),0)</f>
        <v>0.0</v>
      </c>
      <c r="K126" s="97">
        <f>IF(ISNUMBER($S126),MAX(0,INT((K$6+6-$S126)/$T126)-MAX(0,-INT(-(K$6-$S126)/$T126))+1),0)</f>
        <v>0.0</v>
      </c>
      <c r="L126" s="97">
        <f>IF(ISNUMBER($S126),MAX(0,INT((L$6+6-$S126)/$T126)-MAX(0,-INT(-(L$6-$S126)/$T126))+1),0)</f>
        <v>0.0</v>
      </c>
      <c r="M126" s="97">
        <f>IF(ISNUMBER($S126),MAX(0,INT((M$6+6-$S126)/$T126)-MAX(0,-INT(-(M$6-$S126)/$T126))+1),0)</f>
        <v>0.0</v>
      </c>
      <c r="N126" s="97">
        <f>IF(ISNUMBER($S126),MAX(0,INT((N$6+6-$S126)/$T126)-MAX(0,-INT(-(N$6-$S126)/$T126))+1),0)</f>
        <v>0.0</v>
      </c>
      <c r="O126" s="97">
        <f>IF(ISNUMBER($S126),MAX(0,INT((O$6+6-$S126)/$T126)-MAX(0,-INT(-(O$6-$S126)/$T126))+1),0)</f>
        <v>0.0</v>
      </c>
      <c r="P126" s="97">
        <f>IF(ISNUMBER($S126),MAX(0,INT((P$6+6-$S126)/$T126)-MAX(0,-INT(-(P$6-$S126)/$T126))+1),0)</f>
        <v>0.0</v>
      </c>
      <c r="Q126" s="97">
        <f>IF(ISNUMBER($S126),MAX(0,INT((Q$6+6-$S126)/$T126)-MAX(0,-INT(-(Q$6-$S126)/$T126))+1),0)</f>
        <v>0.0</v>
      </c>
      <c r="R126" s="97">
        <f>IF(ISNUMBER($S126),MAX(0,INT((R$6+6-$S126)/$T126)-MAX(0,-INT(-(R$6-$S126)/$T126))+1),0)</f>
        <v>0.0</v>
      </c>
      <c r="S126" t="str">
        <f>IF(ISNUMBER(INDEX(pl_period,117)),MAX(INDEX(pl_due,117),p_today),"")</f>
        <v/>
      </c>
      <c r="T126" t="str">
        <f>IF(ISNUMBER(INDEX(pl_period,117)),INDEX(pl_period,117),"")</f>
        <v/>
      </c>
      <c r="U126">
        <f>N(INDEX(pl_dur,117))</f>
        <v>0.0</v>
      </c>
    </row>
    <row r="127">
      <c r="A127" s="93" t="str">
        <f>IF(INDEX(pl_status,118)="","",INDEX(pl_num,118)&amp;"")</f>
        <v/>
      </c>
      <c r="B127" s="93" t="str">
        <f>IF(INDEX(pl_status,118)="","",INDEX(pl_eq,118)&amp;"")</f>
        <v/>
      </c>
      <c r="C127" s="93" t="str">
        <f>IF(INDEX(pl_status,118)="","",INDEX(pl_task,118)&amp;"")</f>
        <v/>
      </c>
      <c r="D127" s="94" t="str">
        <f>IF(ISNUMBER(INDEX(pl_due,118)),INDEX(pl_due,118),"")</f>
        <v/>
      </c>
      <c r="E127" s="95" t="str">
        <f>INDEX(pl_status,118)&amp;""</f>
        <v/>
      </c>
      <c r="F127" s="96" t="str">
        <f>IF(E127="En retard","●","")</f>
        <v/>
      </c>
      <c r="G127" s="97">
        <f>IF(ISNUMBER($S127),MAX(0,INT((G$6+6-$S127)/$T127)-MAX(0,-INT(-(G$6-$S127)/$T127))+1),0)</f>
        <v>0.0</v>
      </c>
      <c r="H127" s="97">
        <f>IF(ISNUMBER($S127),MAX(0,INT((H$6+6-$S127)/$T127)-MAX(0,-INT(-(H$6-$S127)/$T127))+1),0)</f>
        <v>0.0</v>
      </c>
      <c r="I127" s="97">
        <f>IF(ISNUMBER($S127),MAX(0,INT((I$6+6-$S127)/$T127)-MAX(0,-INT(-(I$6-$S127)/$T127))+1),0)</f>
        <v>0.0</v>
      </c>
      <c r="J127" s="97">
        <f>IF(ISNUMBER($S127),MAX(0,INT((J$6+6-$S127)/$T127)-MAX(0,-INT(-(J$6-$S127)/$T127))+1),0)</f>
        <v>0.0</v>
      </c>
      <c r="K127" s="97">
        <f>IF(ISNUMBER($S127),MAX(0,INT((K$6+6-$S127)/$T127)-MAX(0,-INT(-(K$6-$S127)/$T127))+1),0)</f>
        <v>0.0</v>
      </c>
      <c r="L127" s="97">
        <f>IF(ISNUMBER($S127),MAX(0,INT((L$6+6-$S127)/$T127)-MAX(0,-INT(-(L$6-$S127)/$T127))+1),0)</f>
        <v>0.0</v>
      </c>
      <c r="M127" s="97">
        <f>IF(ISNUMBER($S127),MAX(0,INT((M$6+6-$S127)/$T127)-MAX(0,-INT(-(M$6-$S127)/$T127))+1),0)</f>
        <v>0.0</v>
      </c>
      <c r="N127" s="97">
        <f>IF(ISNUMBER($S127),MAX(0,INT((N$6+6-$S127)/$T127)-MAX(0,-INT(-(N$6-$S127)/$T127))+1),0)</f>
        <v>0.0</v>
      </c>
      <c r="O127" s="97">
        <f>IF(ISNUMBER($S127),MAX(0,INT((O$6+6-$S127)/$T127)-MAX(0,-INT(-(O$6-$S127)/$T127))+1),0)</f>
        <v>0.0</v>
      </c>
      <c r="P127" s="97">
        <f>IF(ISNUMBER($S127),MAX(0,INT((P$6+6-$S127)/$T127)-MAX(0,-INT(-(P$6-$S127)/$T127))+1),0)</f>
        <v>0.0</v>
      </c>
      <c r="Q127" s="97">
        <f>IF(ISNUMBER($S127),MAX(0,INT((Q$6+6-$S127)/$T127)-MAX(0,-INT(-(Q$6-$S127)/$T127))+1),0)</f>
        <v>0.0</v>
      </c>
      <c r="R127" s="97">
        <f>IF(ISNUMBER($S127),MAX(0,INT((R$6+6-$S127)/$T127)-MAX(0,-INT(-(R$6-$S127)/$T127))+1),0)</f>
        <v>0.0</v>
      </c>
      <c r="S127" t="str">
        <f>IF(ISNUMBER(INDEX(pl_period,118)),MAX(INDEX(pl_due,118),p_today),"")</f>
        <v/>
      </c>
      <c r="T127" t="str">
        <f>IF(ISNUMBER(INDEX(pl_period,118)),INDEX(pl_period,118),"")</f>
        <v/>
      </c>
      <c r="U127">
        <f>N(INDEX(pl_dur,118))</f>
        <v>0.0</v>
      </c>
    </row>
    <row r="128">
      <c r="A128" s="93" t="str">
        <f>IF(INDEX(pl_status,119)="","",INDEX(pl_num,119)&amp;"")</f>
        <v/>
      </c>
      <c r="B128" s="93" t="str">
        <f>IF(INDEX(pl_status,119)="","",INDEX(pl_eq,119)&amp;"")</f>
        <v/>
      </c>
      <c r="C128" s="93" t="str">
        <f>IF(INDEX(pl_status,119)="","",INDEX(pl_task,119)&amp;"")</f>
        <v/>
      </c>
      <c r="D128" s="94" t="str">
        <f>IF(ISNUMBER(INDEX(pl_due,119)),INDEX(pl_due,119),"")</f>
        <v/>
      </c>
      <c r="E128" s="95" t="str">
        <f>INDEX(pl_status,119)&amp;""</f>
        <v/>
      </c>
      <c r="F128" s="96" t="str">
        <f>IF(E128="En retard","●","")</f>
        <v/>
      </c>
      <c r="G128" s="97">
        <f>IF(ISNUMBER($S128),MAX(0,INT((G$6+6-$S128)/$T128)-MAX(0,-INT(-(G$6-$S128)/$T128))+1),0)</f>
        <v>0.0</v>
      </c>
      <c r="H128" s="97">
        <f>IF(ISNUMBER($S128),MAX(0,INT((H$6+6-$S128)/$T128)-MAX(0,-INT(-(H$6-$S128)/$T128))+1),0)</f>
        <v>0.0</v>
      </c>
      <c r="I128" s="97">
        <f>IF(ISNUMBER($S128),MAX(0,INT((I$6+6-$S128)/$T128)-MAX(0,-INT(-(I$6-$S128)/$T128))+1),0)</f>
        <v>0.0</v>
      </c>
      <c r="J128" s="97">
        <f>IF(ISNUMBER($S128),MAX(0,INT((J$6+6-$S128)/$T128)-MAX(0,-INT(-(J$6-$S128)/$T128))+1),0)</f>
        <v>0.0</v>
      </c>
      <c r="K128" s="97">
        <f>IF(ISNUMBER($S128),MAX(0,INT((K$6+6-$S128)/$T128)-MAX(0,-INT(-(K$6-$S128)/$T128))+1),0)</f>
        <v>0.0</v>
      </c>
      <c r="L128" s="97">
        <f>IF(ISNUMBER($S128),MAX(0,INT((L$6+6-$S128)/$T128)-MAX(0,-INT(-(L$6-$S128)/$T128))+1),0)</f>
        <v>0.0</v>
      </c>
      <c r="M128" s="97">
        <f>IF(ISNUMBER($S128),MAX(0,INT((M$6+6-$S128)/$T128)-MAX(0,-INT(-(M$6-$S128)/$T128))+1),0)</f>
        <v>0.0</v>
      </c>
      <c r="N128" s="97">
        <f>IF(ISNUMBER($S128),MAX(0,INT((N$6+6-$S128)/$T128)-MAX(0,-INT(-(N$6-$S128)/$T128))+1),0)</f>
        <v>0.0</v>
      </c>
      <c r="O128" s="97">
        <f>IF(ISNUMBER($S128),MAX(0,INT((O$6+6-$S128)/$T128)-MAX(0,-INT(-(O$6-$S128)/$T128))+1),0)</f>
        <v>0.0</v>
      </c>
      <c r="P128" s="97">
        <f>IF(ISNUMBER($S128),MAX(0,INT((P$6+6-$S128)/$T128)-MAX(0,-INT(-(P$6-$S128)/$T128))+1),0)</f>
        <v>0.0</v>
      </c>
      <c r="Q128" s="97">
        <f>IF(ISNUMBER($S128),MAX(0,INT((Q$6+6-$S128)/$T128)-MAX(0,-INT(-(Q$6-$S128)/$T128))+1),0)</f>
        <v>0.0</v>
      </c>
      <c r="R128" s="97">
        <f>IF(ISNUMBER($S128),MAX(0,INT((R$6+6-$S128)/$T128)-MAX(0,-INT(-(R$6-$S128)/$T128))+1),0)</f>
        <v>0.0</v>
      </c>
      <c r="S128" t="str">
        <f>IF(ISNUMBER(INDEX(pl_period,119)),MAX(INDEX(pl_due,119),p_today),"")</f>
        <v/>
      </c>
      <c r="T128" t="str">
        <f>IF(ISNUMBER(INDEX(pl_period,119)),INDEX(pl_period,119),"")</f>
        <v/>
      </c>
      <c r="U128">
        <f>N(INDEX(pl_dur,119))</f>
        <v>0.0</v>
      </c>
    </row>
    <row r="129">
      <c r="A129" s="93" t="str">
        <f>IF(INDEX(pl_status,120)="","",INDEX(pl_num,120)&amp;"")</f>
        <v/>
      </c>
      <c r="B129" s="93" t="str">
        <f>IF(INDEX(pl_status,120)="","",INDEX(pl_eq,120)&amp;"")</f>
        <v/>
      </c>
      <c r="C129" s="93" t="str">
        <f>IF(INDEX(pl_status,120)="","",INDEX(pl_task,120)&amp;"")</f>
        <v/>
      </c>
      <c r="D129" s="94" t="str">
        <f>IF(ISNUMBER(INDEX(pl_due,120)),INDEX(pl_due,120),"")</f>
        <v/>
      </c>
      <c r="E129" s="95" t="str">
        <f>INDEX(pl_status,120)&amp;""</f>
        <v/>
      </c>
      <c r="F129" s="96" t="str">
        <f>IF(E129="En retard","●","")</f>
        <v/>
      </c>
      <c r="G129" s="97">
        <f>IF(ISNUMBER($S129),MAX(0,INT((G$6+6-$S129)/$T129)-MAX(0,-INT(-(G$6-$S129)/$T129))+1),0)</f>
        <v>0.0</v>
      </c>
      <c r="H129" s="97">
        <f>IF(ISNUMBER($S129),MAX(0,INT((H$6+6-$S129)/$T129)-MAX(0,-INT(-(H$6-$S129)/$T129))+1),0)</f>
        <v>0.0</v>
      </c>
      <c r="I129" s="97">
        <f>IF(ISNUMBER($S129),MAX(0,INT((I$6+6-$S129)/$T129)-MAX(0,-INT(-(I$6-$S129)/$T129))+1),0)</f>
        <v>0.0</v>
      </c>
      <c r="J129" s="97">
        <f>IF(ISNUMBER($S129),MAX(0,INT((J$6+6-$S129)/$T129)-MAX(0,-INT(-(J$6-$S129)/$T129))+1),0)</f>
        <v>0.0</v>
      </c>
      <c r="K129" s="97">
        <f>IF(ISNUMBER($S129),MAX(0,INT((K$6+6-$S129)/$T129)-MAX(0,-INT(-(K$6-$S129)/$T129))+1),0)</f>
        <v>0.0</v>
      </c>
      <c r="L129" s="97">
        <f>IF(ISNUMBER($S129),MAX(0,INT((L$6+6-$S129)/$T129)-MAX(0,-INT(-(L$6-$S129)/$T129))+1),0)</f>
        <v>0.0</v>
      </c>
      <c r="M129" s="97">
        <f>IF(ISNUMBER($S129),MAX(0,INT((M$6+6-$S129)/$T129)-MAX(0,-INT(-(M$6-$S129)/$T129))+1),0)</f>
        <v>0.0</v>
      </c>
      <c r="N129" s="97">
        <f>IF(ISNUMBER($S129),MAX(0,INT((N$6+6-$S129)/$T129)-MAX(0,-INT(-(N$6-$S129)/$T129))+1),0)</f>
        <v>0.0</v>
      </c>
      <c r="O129" s="97">
        <f>IF(ISNUMBER($S129),MAX(0,INT((O$6+6-$S129)/$T129)-MAX(0,-INT(-(O$6-$S129)/$T129))+1),0)</f>
        <v>0.0</v>
      </c>
      <c r="P129" s="97">
        <f>IF(ISNUMBER($S129),MAX(0,INT((P$6+6-$S129)/$T129)-MAX(0,-INT(-(P$6-$S129)/$T129))+1),0)</f>
        <v>0.0</v>
      </c>
      <c r="Q129" s="97">
        <f>IF(ISNUMBER($S129),MAX(0,INT((Q$6+6-$S129)/$T129)-MAX(0,-INT(-(Q$6-$S129)/$T129))+1),0)</f>
        <v>0.0</v>
      </c>
      <c r="R129" s="97">
        <f>IF(ISNUMBER($S129),MAX(0,INT((R$6+6-$S129)/$T129)-MAX(0,-INT(-(R$6-$S129)/$T129))+1),0)</f>
        <v>0.0</v>
      </c>
      <c r="S129" t="str">
        <f>IF(ISNUMBER(INDEX(pl_period,120)),MAX(INDEX(pl_due,120),p_today),"")</f>
        <v/>
      </c>
      <c r="T129" t="str">
        <f>IF(ISNUMBER(INDEX(pl_period,120)),INDEX(pl_period,120),"")</f>
        <v/>
      </c>
      <c r="U129">
        <f>N(INDEX(pl_dur,120))</f>
        <v>0.0</v>
      </c>
    </row>
    <row r="130">
      <c r="A130" s="93" t="str">
        <f>IF(INDEX(pl_status,121)="","",INDEX(pl_num,121)&amp;"")</f>
        <v/>
      </c>
      <c r="B130" s="93" t="str">
        <f>IF(INDEX(pl_status,121)="","",INDEX(pl_eq,121)&amp;"")</f>
        <v/>
      </c>
      <c r="C130" s="93" t="str">
        <f>IF(INDEX(pl_status,121)="","",INDEX(pl_task,121)&amp;"")</f>
        <v/>
      </c>
      <c r="D130" s="94" t="str">
        <f>IF(ISNUMBER(INDEX(pl_due,121)),INDEX(pl_due,121),"")</f>
        <v/>
      </c>
      <c r="E130" s="95" t="str">
        <f>INDEX(pl_status,121)&amp;""</f>
        <v/>
      </c>
      <c r="F130" s="96" t="str">
        <f>IF(E130="En retard","●","")</f>
        <v/>
      </c>
      <c r="G130" s="97">
        <f>IF(ISNUMBER($S130),MAX(0,INT((G$6+6-$S130)/$T130)-MAX(0,-INT(-(G$6-$S130)/$T130))+1),0)</f>
        <v>0.0</v>
      </c>
      <c r="H130" s="97">
        <f>IF(ISNUMBER($S130),MAX(0,INT((H$6+6-$S130)/$T130)-MAX(0,-INT(-(H$6-$S130)/$T130))+1),0)</f>
        <v>0.0</v>
      </c>
      <c r="I130" s="97">
        <f>IF(ISNUMBER($S130),MAX(0,INT((I$6+6-$S130)/$T130)-MAX(0,-INT(-(I$6-$S130)/$T130))+1),0)</f>
        <v>0.0</v>
      </c>
      <c r="J130" s="97">
        <f>IF(ISNUMBER($S130),MAX(0,INT((J$6+6-$S130)/$T130)-MAX(0,-INT(-(J$6-$S130)/$T130))+1),0)</f>
        <v>0.0</v>
      </c>
      <c r="K130" s="97">
        <f>IF(ISNUMBER($S130),MAX(0,INT((K$6+6-$S130)/$T130)-MAX(0,-INT(-(K$6-$S130)/$T130))+1),0)</f>
        <v>0.0</v>
      </c>
      <c r="L130" s="97">
        <f>IF(ISNUMBER($S130),MAX(0,INT((L$6+6-$S130)/$T130)-MAX(0,-INT(-(L$6-$S130)/$T130))+1),0)</f>
        <v>0.0</v>
      </c>
      <c r="M130" s="97">
        <f>IF(ISNUMBER($S130),MAX(0,INT((M$6+6-$S130)/$T130)-MAX(0,-INT(-(M$6-$S130)/$T130))+1),0)</f>
        <v>0.0</v>
      </c>
      <c r="N130" s="97">
        <f>IF(ISNUMBER($S130),MAX(0,INT((N$6+6-$S130)/$T130)-MAX(0,-INT(-(N$6-$S130)/$T130))+1),0)</f>
        <v>0.0</v>
      </c>
      <c r="O130" s="97">
        <f>IF(ISNUMBER($S130),MAX(0,INT((O$6+6-$S130)/$T130)-MAX(0,-INT(-(O$6-$S130)/$T130))+1),0)</f>
        <v>0.0</v>
      </c>
      <c r="P130" s="97">
        <f>IF(ISNUMBER($S130),MAX(0,INT((P$6+6-$S130)/$T130)-MAX(0,-INT(-(P$6-$S130)/$T130))+1),0)</f>
        <v>0.0</v>
      </c>
      <c r="Q130" s="97">
        <f>IF(ISNUMBER($S130),MAX(0,INT((Q$6+6-$S130)/$T130)-MAX(0,-INT(-(Q$6-$S130)/$T130))+1),0)</f>
        <v>0.0</v>
      </c>
      <c r="R130" s="97">
        <f>IF(ISNUMBER($S130),MAX(0,INT((R$6+6-$S130)/$T130)-MAX(0,-INT(-(R$6-$S130)/$T130))+1),0)</f>
        <v>0.0</v>
      </c>
      <c r="S130" t="str">
        <f>IF(ISNUMBER(INDEX(pl_period,121)),MAX(INDEX(pl_due,121),p_today),"")</f>
        <v/>
      </c>
      <c r="T130" t="str">
        <f>IF(ISNUMBER(INDEX(pl_period,121)),INDEX(pl_period,121),"")</f>
        <v/>
      </c>
      <c r="U130">
        <f>N(INDEX(pl_dur,121))</f>
        <v>0.0</v>
      </c>
    </row>
    <row r="131">
      <c r="A131" s="93" t="str">
        <f>IF(INDEX(pl_status,122)="","",INDEX(pl_num,122)&amp;"")</f>
        <v/>
      </c>
      <c r="B131" s="93" t="str">
        <f>IF(INDEX(pl_status,122)="","",INDEX(pl_eq,122)&amp;"")</f>
        <v/>
      </c>
      <c r="C131" s="93" t="str">
        <f>IF(INDEX(pl_status,122)="","",INDEX(pl_task,122)&amp;"")</f>
        <v/>
      </c>
      <c r="D131" s="94" t="str">
        <f>IF(ISNUMBER(INDEX(pl_due,122)),INDEX(pl_due,122),"")</f>
        <v/>
      </c>
      <c r="E131" s="95" t="str">
        <f>INDEX(pl_status,122)&amp;""</f>
        <v/>
      </c>
      <c r="F131" s="96" t="str">
        <f>IF(E131="En retard","●","")</f>
        <v/>
      </c>
      <c r="G131" s="97">
        <f>IF(ISNUMBER($S131),MAX(0,INT((G$6+6-$S131)/$T131)-MAX(0,-INT(-(G$6-$S131)/$T131))+1),0)</f>
        <v>0.0</v>
      </c>
      <c r="H131" s="97">
        <f>IF(ISNUMBER($S131),MAX(0,INT((H$6+6-$S131)/$T131)-MAX(0,-INT(-(H$6-$S131)/$T131))+1),0)</f>
        <v>0.0</v>
      </c>
      <c r="I131" s="97">
        <f>IF(ISNUMBER($S131),MAX(0,INT((I$6+6-$S131)/$T131)-MAX(0,-INT(-(I$6-$S131)/$T131))+1),0)</f>
        <v>0.0</v>
      </c>
      <c r="J131" s="97">
        <f>IF(ISNUMBER($S131),MAX(0,INT((J$6+6-$S131)/$T131)-MAX(0,-INT(-(J$6-$S131)/$T131))+1),0)</f>
        <v>0.0</v>
      </c>
      <c r="K131" s="97">
        <f>IF(ISNUMBER($S131),MAX(0,INT((K$6+6-$S131)/$T131)-MAX(0,-INT(-(K$6-$S131)/$T131))+1),0)</f>
        <v>0.0</v>
      </c>
      <c r="L131" s="97">
        <f>IF(ISNUMBER($S131),MAX(0,INT((L$6+6-$S131)/$T131)-MAX(0,-INT(-(L$6-$S131)/$T131))+1),0)</f>
        <v>0.0</v>
      </c>
      <c r="M131" s="97">
        <f>IF(ISNUMBER($S131),MAX(0,INT((M$6+6-$S131)/$T131)-MAX(0,-INT(-(M$6-$S131)/$T131))+1),0)</f>
        <v>0.0</v>
      </c>
      <c r="N131" s="97">
        <f>IF(ISNUMBER($S131),MAX(0,INT((N$6+6-$S131)/$T131)-MAX(0,-INT(-(N$6-$S131)/$T131))+1),0)</f>
        <v>0.0</v>
      </c>
      <c r="O131" s="97">
        <f>IF(ISNUMBER($S131),MAX(0,INT((O$6+6-$S131)/$T131)-MAX(0,-INT(-(O$6-$S131)/$T131))+1),0)</f>
        <v>0.0</v>
      </c>
      <c r="P131" s="97">
        <f>IF(ISNUMBER($S131),MAX(0,INT((P$6+6-$S131)/$T131)-MAX(0,-INT(-(P$6-$S131)/$T131))+1),0)</f>
        <v>0.0</v>
      </c>
      <c r="Q131" s="97">
        <f>IF(ISNUMBER($S131),MAX(0,INT((Q$6+6-$S131)/$T131)-MAX(0,-INT(-(Q$6-$S131)/$T131))+1),0)</f>
        <v>0.0</v>
      </c>
      <c r="R131" s="97">
        <f>IF(ISNUMBER($S131),MAX(0,INT((R$6+6-$S131)/$T131)-MAX(0,-INT(-(R$6-$S131)/$T131))+1),0)</f>
        <v>0.0</v>
      </c>
      <c r="S131" t="str">
        <f>IF(ISNUMBER(INDEX(pl_period,122)),MAX(INDEX(pl_due,122),p_today),"")</f>
        <v/>
      </c>
      <c r="T131" t="str">
        <f>IF(ISNUMBER(INDEX(pl_period,122)),INDEX(pl_period,122),"")</f>
        <v/>
      </c>
      <c r="U131">
        <f>N(INDEX(pl_dur,122))</f>
        <v>0.0</v>
      </c>
    </row>
    <row r="132">
      <c r="A132" s="93" t="str">
        <f>IF(INDEX(pl_status,123)="","",INDEX(pl_num,123)&amp;"")</f>
        <v/>
      </c>
      <c r="B132" s="93" t="str">
        <f>IF(INDEX(pl_status,123)="","",INDEX(pl_eq,123)&amp;"")</f>
        <v/>
      </c>
      <c r="C132" s="93" t="str">
        <f>IF(INDEX(pl_status,123)="","",INDEX(pl_task,123)&amp;"")</f>
        <v/>
      </c>
      <c r="D132" s="94" t="str">
        <f>IF(ISNUMBER(INDEX(pl_due,123)),INDEX(pl_due,123),"")</f>
        <v/>
      </c>
      <c r="E132" s="95" t="str">
        <f>INDEX(pl_status,123)&amp;""</f>
        <v/>
      </c>
      <c r="F132" s="96" t="str">
        <f>IF(E132="En retard","●","")</f>
        <v/>
      </c>
      <c r="G132" s="97">
        <f>IF(ISNUMBER($S132),MAX(0,INT((G$6+6-$S132)/$T132)-MAX(0,-INT(-(G$6-$S132)/$T132))+1),0)</f>
        <v>0.0</v>
      </c>
      <c r="H132" s="97">
        <f>IF(ISNUMBER($S132),MAX(0,INT((H$6+6-$S132)/$T132)-MAX(0,-INT(-(H$6-$S132)/$T132))+1),0)</f>
        <v>0.0</v>
      </c>
      <c r="I132" s="97">
        <f>IF(ISNUMBER($S132),MAX(0,INT((I$6+6-$S132)/$T132)-MAX(0,-INT(-(I$6-$S132)/$T132))+1),0)</f>
        <v>0.0</v>
      </c>
      <c r="J132" s="97">
        <f>IF(ISNUMBER($S132),MAX(0,INT((J$6+6-$S132)/$T132)-MAX(0,-INT(-(J$6-$S132)/$T132))+1),0)</f>
        <v>0.0</v>
      </c>
      <c r="K132" s="97">
        <f>IF(ISNUMBER($S132),MAX(0,INT((K$6+6-$S132)/$T132)-MAX(0,-INT(-(K$6-$S132)/$T132))+1),0)</f>
        <v>0.0</v>
      </c>
      <c r="L132" s="97">
        <f>IF(ISNUMBER($S132),MAX(0,INT((L$6+6-$S132)/$T132)-MAX(0,-INT(-(L$6-$S132)/$T132))+1),0)</f>
        <v>0.0</v>
      </c>
      <c r="M132" s="97">
        <f>IF(ISNUMBER($S132),MAX(0,INT((M$6+6-$S132)/$T132)-MAX(0,-INT(-(M$6-$S132)/$T132))+1),0)</f>
        <v>0.0</v>
      </c>
      <c r="N132" s="97">
        <f>IF(ISNUMBER($S132),MAX(0,INT((N$6+6-$S132)/$T132)-MAX(0,-INT(-(N$6-$S132)/$T132))+1),0)</f>
        <v>0.0</v>
      </c>
      <c r="O132" s="97">
        <f>IF(ISNUMBER($S132),MAX(0,INT((O$6+6-$S132)/$T132)-MAX(0,-INT(-(O$6-$S132)/$T132))+1),0)</f>
        <v>0.0</v>
      </c>
      <c r="P132" s="97">
        <f>IF(ISNUMBER($S132),MAX(0,INT((P$6+6-$S132)/$T132)-MAX(0,-INT(-(P$6-$S132)/$T132))+1),0)</f>
        <v>0.0</v>
      </c>
      <c r="Q132" s="97">
        <f>IF(ISNUMBER($S132),MAX(0,INT((Q$6+6-$S132)/$T132)-MAX(0,-INT(-(Q$6-$S132)/$T132))+1),0)</f>
        <v>0.0</v>
      </c>
      <c r="R132" s="97">
        <f>IF(ISNUMBER($S132),MAX(0,INT((R$6+6-$S132)/$T132)-MAX(0,-INT(-(R$6-$S132)/$T132))+1),0)</f>
        <v>0.0</v>
      </c>
      <c r="S132" t="str">
        <f>IF(ISNUMBER(INDEX(pl_period,123)),MAX(INDEX(pl_due,123),p_today),"")</f>
        <v/>
      </c>
      <c r="T132" t="str">
        <f>IF(ISNUMBER(INDEX(pl_period,123)),INDEX(pl_period,123),"")</f>
        <v/>
      </c>
      <c r="U132">
        <f>N(INDEX(pl_dur,123))</f>
        <v>0.0</v>
      </c>
    </row>
    <row r="133">
      <c r="A133" s="93" t="str">
        <f>IF(INDEX(pl_status,124)="","",INDEX(pl_num,124)&amp;"")</f>
        <v/>
      </c>
      <c r="B133" s="93" t="str">
        <f>IF(INDEX(pl_status,124)="","",INDEX(pl_eq,124)&amp;"")</f>
        <v/>
      </c>
      <c r="C133" s="93" t="str">
        <f>IF(INDEX(pl_status,124)="","",INDEX(pl_task,124)&amp;"")</f>
        <v/>
      </c>
      <c r="D133" s="94" t="str">
        <f>IF(ISNUMBER(INDEX(pl_due,124)),INDEX(pl_due,124),"")</f>
        <v/>
      </c>
      <c r="E133" s="95" t="str">
        <f>INDEX(pl_status,124)&amp;""</f>
        <v/>
      </c>
      <c r="F133" s="96" t="str">
        <f>IF(E133="En retard","●","")</f>
        <v/>
      </c>
      <c r="G133" s="97">
        <f>IF(ISNUMBER($S133),MAX(0,INT((G$6+6-$S133)/$T133)-MAX(0,-INT(-(G$6-$S133)/$T133))+1),0)</f>
        <v>0.0</v>
      </c>
      <c r="H133" s="97">
        <f>IF(ISNUMBER($S133),MAX(0,INT((H$6+6-$S133)/$T133)-MAX(0,-INT(-(H$6-$S133)/$T133))+1),0)</f>
        <v>0.0</v>
      </c>
      <c r="I133" s="97">
        <f>IF(ISNUMBER($S133),MAX(0,INT((I$6+6-$S133)/$T133)-MAX(0,-INT(-(I$6-$S133)/$T133))+1),0)</f>
        <v>0.0</v>
      </c>
      <c r="J133" s="97">
        <f>IF(ISNUMBER($S133),MAX(0,INT((J$6+6-$S133)/$T133)-MAX(0,-INT(-(J$6-$S133)/$T133))+1),0)</f>
        <v>0.0</v>
      </c>
      <c r="K133" s="97">
        <f>IF(ISNUMBER($S133),MAX(0,INT((K$6+6-$S133)/$T133)-MAX(0,-INT(-(K$6-$S133)/$T133))+1),0)</f>
        <v>0.0</v>
      </c>
      <c r="L133" s="97">
        <f>IF(ISNUMBER($S133),MAX(0,INT((L$6+6-$S133)/$T133)-MAX(0,-INT(-(L$6-$S133)/$T133))+1),0)</f>
        <v>0.0</v>
      </c>
      <c r="M133" s="97">
        <f>IF(ISNUMBER($S133),MAX(0,INT((M$6+6-$S133)/$T133)-MAX(0,-INT(-(M$6-$S133)/$T133))+1),0)</f>
        <v>0.0</v>
      </c>
      <c r="N133" s="97">
        <f>IF(ISNUMBER($S133),MAX(0,INT((N$6+6-$S133)/$T133)-MAX(0,-INT(-(N$6-$S133)/$T133))+1),0)</f>
        <v>0.0</v>
      </c>
      <c r="O133" s="97">
        <f>IF(ISNUMBER($S133),MAX(0,INT((O$6+6-$S133)/$T133)-MAX(0,-INT(-(O$6-$S133)/$T133))+1),0)</f>
        <v>0.0</v>
      </c>
      <c r="P133" s="97">
        <f>IF(ISNUMBER($S133),MAX(0,INT((P$6+6-$S133)/$T133)-MAX(0,-INT(-(P$6-$S133)/$T133))+1),0)</f>
        <v>0.0</v>
      </c>
      <c r="Q133" s="97">
        <f>IF(ISNUMBER($S133),MAX(0,INT((Q$6+6-$S133)/$T133)-MAX(0,-INT(-(Q$6-$S133)/$T133))+1),0)</f>
        <v>0.0</v>
      </c>
      <c r="R133" s="97">
        <f>IF(ISNUMBER($S133),MAX(0,INT((R$6+6-$S133)/$T133)-MAX(0,-INT(-(R$6-$S133)/$T133))+1),0)</f>
        <v>0.0</v>
      </c>
      <c r="S133" t="str">
        <f>IF(ISNUMBER(INDEX(pl_period,124)),MAX(INDEX(pl_due,124),p_today),"")</f>
        <v/>
      </c>
      <c r="T133" t="str">
        <f>IF(ISNUMBER(INDEX(pl_period,124)),INDEX(pl_period,124),"")</f>
        <v/>
      </c>
      <c r="U133">
        <f>N(INDEX(pl_dur,124))</f>
        <v>0.0</v>
      </c>
    </row>
    <row r="134">
      <c r="A134" s="93" t="str">
        <f>IF(INDEX(pl_status,125)="","",INDEX(pl_num,125)&amp;"")</f>
        <v/>
      </c>
      <c r="B134" s="93" t="str">
        <f>IF(INDEX(pl_status,125)="","",INDEX(pl_eq,125)&amp;"")</f>
        <v/>
      </c>
      <c r="C134" s="93" t="str">
        <f>IF(INDEX(pl_status,125)="","",INDEX(pl_task,125)&amp;"")</f>
        <v/>
      </c>
      <c r="D134" s="94" t="str">
        <f>IF(ISNUMBER(INDEX(pl_due,125)),INDEX(pl_due,125),"")</f>
        <v/>
      </c>
      <c r="E134" s="95" t="str">
        <f>INDEX(pl_status,125)&amp;""</f>
        <v/>
      </c>
      <c r="F134" s="96" t="str">
        <f>IF(E134="En retard","●","")</f>
        <v/>
      </c>
      <c r="G134" s="97">
        <f>IF(ISNUMBER($S134),MAX(0,INT((G$6+6-$S134)/$T134)-MAX(0,-INT(-(G$6-$S134)/$T134))+1),0)</f>
        <v>0.0</v>
      </c>
      <c r="H134" s="97">
        <f>IF(ISNUMBER($S134),MAX(0,INT((H$6+6-$S134)/$T134)-MAX(0,-INT(-(H$6-$S134)/$T134))+1),0)</f>
        <v>0.0</v>
      </c>
      <c r="I134" s="97">
        <f>IF(ISNUMBER($S134),MAX(0,INT((I$6+6-$S134)/$T134)-MAX(0,-INT(-(I$6-$S134)/$T134))+1),0)</f>
        <v>0.0</v>
      </c>
      <c r="J134" s="97">
        <f>IF(ISNUMBER($S134),MAX(0,INT((J$6+6-$S134)/$T134)-MAX(0,-INT(-(J$6-$S134)/$T134))+1),0)</f>
        <v>0.0</v>
      </c>
      <c r="K134" s="97">
        <f>IF(ISNUMBER($S134),MAX(0,INT((K$6+6-$S134)/$T134)-MAX(0,-INT(-(K$6-$S134)/$T134))+1),0)</f>
        <v>0.0</v>
      </c>
      <c r="L134" s="97">
        <f>IF(ISNUMBER($S134),MAX(0,INT((L$6+6-$S134)/$T134)-MAX(0,-INT(-(L$6-$S134)/$T134))+1),0)</f>
        <v>0.0</v>
      </c>
      <c r="M134" s="97">
        <f>IF(ISNUMBER($S134),MAX(0,INT((M$6+6-$S134)/$T134)-MAX(0,-INT(-(M$6-$S134)/$T134))+1),0)</f>
        <v>0.0</v>
      </c>
      <c r="N134" s="97">
        <f>IF(ISNUMBER($S134),MAX(0,INT((N$6+6-$S134)/$T134)-MAX(0,-INT(-(N$6-$S134)/$T134))+1),0)</f>
        <v>0.0</v>
      </c>
      <c r="O134" s="97">
        <f>IF(ISNUMBER($S134),MAX(0,INT((O$6+6-$S134)/$T134)-MAX(0,-INT(-(O$6-$S134)/$T134))+1),0)</f>
        <v>0.0</v>
      </c>
      <c r="P134" s="97">
        <f>IF(ISNUMBER($S134),MAX(0,INT((P$6+6-$S134)/$T134)-MAX(0,-INT(-(P$6-$S134)/$T134))+1),0)</f>
        <v>0.0</v>
      </c>
      <c r="Q134" s="97">
        <f>IF(ISNUMBER($S134),MAX(0,INT((Q$6+6-$S134)/$T134)-MAX(0,-INT(-(Q$6-$S134)/$T134))+1),0)</f>
        <v>0.0</v>
      </c>
      <c r="R134" s="97">
        <f>IF(ISNUMBER($S134),MAX(0,INT((R$6+6-$S134)/$T134)-MAX(0,-INT(-(R$6-$S134)/$T134))+1),0)</f>
        <v>0.0</v>
      </c>
      <c r="S134" t="str">
        <f>IF(ISNUMBER(INDEX(pl_period,125)),MAX(INDEX(pl_due,125),p_today),"")</f>
        <v/>
      </c>
      <c r="T134" t="str">
        <f>IF(ISNUMBER(INDEX(pl_period,125)),INDEX(pl_period,125),"")</f>
        <v/>
      </c>
      <c r="U134">
        <f>N(INDEX(pl_dur,125))</f>
        <v>0.0</v>
      </c>
    </row>
    <row r="135">
      <c r="A135" s="93" t="str">
        <f>IF(INDEX(pl_status,126)="","",INDEX(pl_num,126)&amp;"")</f>
        <v/>
      </c>
      <c r="B135" s="93" t="str">
        <f>IF(INDEX(pl_status,126)="","",INDEX(pl_eq,126)&amp;"")</f>
        <v/>
      </c>
      <c r="C135" s="93" t="str">
        <f>IF(INDEX(pl_status,126)="","",INDEX(pl_task,126)&amp;"")</f>
        <v/>
      </c>
      <c r="D135" s="94" t="str">
        <f>IF(ISNUMBER(INDEX(pl_due,126)),INDEX(pl_due,126),"")</f>
        <v/>
      </c>
      <c r="E135" s="95" t="str">
        <f>INDEX(pl_status,126)&amp;""</f>
        <v/>
      </c>
      <c r="F135" s="96" t="str">
        <f>IF(E135="En retard","●","")</f>
        <v/>
      </c>
      <c r="G135" s="97">
        <f>IF(ISNUMBER($S135),MAX(0,INT((G$6+6-$S135)/$T135)-MAX(0,-INT(-(G$6-$S135)/$T135))+1),0)</f>
        <v>0.0</v>
      </c>
      <c r="H135" s="97">
        <f>IF(ISNUMBER($S135),MAX(0,INT((H$6+6-$S135)/$T135)-MAX(0,-INT(-(H$6-$S135)/$T135))+1),0)</f>
        <v>0.0</v>
      </c>
      <c r="I135" s="97">
        <f>IF(ISNUMBER($S135),MAX(0,INT((I$6+6-$S135)/$T135)-MAX(0,-INT(-(I$6-$S135)/$T135))+1),0)</f>
        <v>0.0</v>
      </c>
      <c r="J135" s="97">
        <f>IF(ISNUMBER($S135),MAX(0,INT((J$6+6-$S135)/$T135)-MAX(0,-INT(-(J$6-$S135)/$T135))+1),0)</f>
        <v>0.0</v>
      </c>
      <c r="K135" s="97">
        <f>IF(ISNUMBER($S135),MAX(0,INT((K$6+6-$S135)/$T135)-MAX(0,-INT(-(K$6-$S135)/$T135))+1),0)</f>
        <v>0.0</v>
      </c>
      <c r="L135" s="97">
        <f>IF(ISNUMBER($S135),MAX(0,INT((L$6+6-$S135)/$T135)-MAX(0,-INT(-(L$6-$S135)/$T135))+1),0)</f>
        <v>0.0</v>
      </c>
      <c r="M135" s="97">
        <f>IF(ISNUMBER($S135),MAX(0,INT((M$6+6-$S135)/$T135)-MAX(0,-INT(-(M$6-$S135)/$T135))+1),0)</f>
        <v>0.0</v>
      </c>
      <c r="N135" s="97">
        <f>IF(ISNUMBER($S135),MAX(0,INT((N$6+6-$S135)/$T135)-MAX(0,-INT(-(N$6-$S135)/$T135))+1),0)</f>
        <v>0.0</v>
      </c>
      <c r="O135" s="97">
        <f>IF(ISNUMBER($S135),MAX(0,INT((O$6+6-$S135)/$T135)-MAX(0,-INT(-(O$6-$S135)/$T135))+1),0)</f>
        <v>0.0</v>
      </c>
      <c r="P135" s="97">
        <f>IF(ISNUMBER($S135),MAX(0,INT((P$6+6-$S135)/$T135)-MAX(0,-INT(-(P$6-$S135)/$T135))+1),0)</f>
        <v>0.0</v>
      </c>
      <c r="Q135" s="97">
        <f>IF(ISNUMBER($S135),MAX(0,INT((Q$6+6-$S135)/$T135)-MAX(0,-INT(-(Q$6-$S135)/$T135))+1),0)</f>
        <v>0.0</v>
      </c>
      <c r="R135" s="97">
        <f>IF(ISNUMBER($S135),MAX(0,INT((R$6+6-$S135)/$T135)-MAX(0,-INT(-(R$6-$S135)/$T135))+1),0)</f>
        <v>0.0</v>
      </c>
      <c r="S135" t="str">
        <f>IF(ISNUMBER(INDEX(pl_period,126)),MAX(INDEX(pl_due,126),p_today),"")</f>
        <v/>
      </c>
      <c r="T135" t="str">
        <f>IF(ISNUMBER(INDEX(pl_period,126)),INDEX(pl_period,126),"")</f>
        <v/>
      </c>
      <c r="U135">
        <f>N(INDEX(pl_dur,126))</f>
        <v>0.0</v>
      </c>
    </row>
    <row r="136">
      <c r="A136" s="93" t="str">
        <f>IF(INDEX(pl_status,127)="","",INDEX(pl_num,127)&amp;"")</f>
        <v/>
      </c>
      <c r="B136" s="93" t="str">
        <f>IF(INDEX(pl_status,127)="","",INDEX(pl_eq,127)&amp;"")</f>
        <v/>
      </c>
      <c r="C136" s="93" t="str">
        <f>IF(INDEX(pl_status,127)="","",INDEX(pl_task,127)&amp;"")</f>
        <v/>
      </c>
      <c r="D136" s="94" t="str">
        <f>IF(ISNUMBER(INDEX(pl_due,127)),INDEX(pl_due,127),"")</f>
        <v/>
      </c>
      <c r="E136" s="95" t="str">
        <f>INDEX(pl_status,127)&amp;""</f>
        <v/>
      </c>
      <c r="F136" s="96" t="str">
        <f>IF(E136="En retard","●","")</f>
        <v/>
      </c>
      <c r="G136" s="97">
        <f>IF(ISNUMBER($S136),MAX(0,INT((G$6+6-$S136)/$T136)-MAX(0,-INT(-(G$6-$S136)/$T136))+1),0)</f>
        <v>0.0</v>
      </c>
      <c r="H136" s="97">
        <f>IF(ISNUMBER($S136),MAX(0,INT((H$6+6-$S136)/$T136)-MAX(0,-INT(-(H$6-$S136)/$T136))+1),0)</f>
        <v>0.0</v>
      </c>
      <c r="I136" s="97">
        <f>IF(ISNUMBER($S136),MAX(0,INT((I$6+6-$S136)/$T136)-MAX(0,-INT(-(I$6-$S136)/$T136))+1),0)</f>
        <v>0.0</v>
      </c>
      <c r="J136" s="97">
        <f>IF(ISNUMBER($S136),MAX(0,INT((J$6+6-$S136)/$T136)-MAX(0,-INT(-(J$6-$S136)/$T136))+1),0)</f>
        <v>0.0</v>
      </c>
      <c r="K136" s="97">
        <f>IF(ISNUMBER($S136),MAX(0,INT((K$6+6-$S136)/$T136)-MAX(0,-INT(-(K$6-$S136)/$T136))+1),0)</f>
        <v>0.0</v>
      </c>
      <c r="L136" s="97">
        <f>IF(ISNUMBER($S136),MAX(0,INT((L$6+6-$S136)/$T136)-MAX(0,-INT(-(L$6-$S136)/$T136))+1),0)</f>
        <v>0.0</v>
      </c>
      <c r="M136" s="97">
        <f>IF(ISNUMBER($S136),MAX(0,INT((M$6+6-$S136)/$T136)-MAX(0,-INT(-(M$6-$S136)/$T136))+1),0)</f>
        <v>0.0</v>
      </c>
      <c r="N136" s="97">
        <f>IF(ISNUMBER($S136),MAX(0,INT((N$6+6-$S136)/$T136)-MAX(0,-INT(-(N$6-$S136)/$T136))+1),0)</f>
        <v>0.0</v>
      </c>
      <c r="O136" s="97">
        <f>IF(ISNUMBER($S136),MAX(0,INT((O$6+6-$S136)/$T136)-MAX(0,-INT(-(O$6-$S136)/$T136))+1),0)</f>
        <v>0.0</v>
      </c>
      <c r="P136" s="97">
        <f>IF(ISNUMBER($S136),MAX(0,INT((P$6+6-$S136)/$T136)-MAX(0,-INT(-(P$6-$S136)/$T136))+1),0)</f>
        <v>0.0</v>
      </c>
      <c r="Q136" s="97">
        <f>IF(ISNUMBER($S136),MAX(0,INT((Q$6+6-$S136)/$T136)-MAX(0,-INT(-(Q$6-$S136)/$T136))+1),0)</f>
        <v>0.0</v>
      </c>
      <c r="R136" s="97">
        <f>IF(ISNUMBER($S136),MAX(0,INT((R$6+6-$S136)/$T136)-MAX(0,-INT(-(R$6-$S136)/$T136))+1),0)</f>
        <v>0.0</v>
      </c>
      <c r="S136" t="str">
        <f>IF(ISNUMBER(INDEX(pl_period,127)),MAX(INDEX(pl_due,127),p_today),"")</f>
        <v/>
      </c>
      <c r="T136" t="str">
        <f>IF(ISNUMBER(INDEX(pl_period,127)),INDEX(pl_period,127),"")</f>
        <v/>
      </c>
      <c r="U136">
        <f>N(INDEX(pl_dur,127))</f>
        <v>0.0</v>
      </c>
    </row>
    <row r="137">
      <c r="A137" s="93" t="str">
        <f>IF(INDEX(pl_status,128)="","",INDEX(pl_num,128)&amp;"")</f>
        <v/>
      </c>
      <c r="B137" s="93" t="str">
        <f>IF(INDEX(pl_status,128)="","",INDEX(pl_eq,128)&amp;"")</f>
        <v/>
      </c>
      <c r="C137" s="93" t="str">
        <f>IF(INDEX(pl_status,128)="","",INDEX(pl_task,128)&amp;"")</f>
        <v/>
      </c>
      <c r="D137" s="94" t="str">
        <f>IF(ISNUMBER(INDEX(pl_due,128)),INDEX(pl_due,128),"")</f>
        <v/>
      </c>
      <c r="E137" s="95" t="str">
        <f>INDEX(pl_status,128)&amp;""</f>
        <v/>
      </c>
      <c r="F137" s="96" t="str">
        <f>IF(E137="En retard","●","")</f>
        <v/>
      </c>
      <c r="G137" s="97">
        <f>IF(ISNUMBER($S137),MAX(0,INT((G$6+6-$S137)/$T137)-MAX(0,-INT(-(G$6-$S137)/$T137))+1),0)</f>
        <v>0.0</v>
      </c>
      <c r="H137" s="97">
        <f>IF(ISNUMBER($S137),MAX(0,INT((H$6+6-$S137)/$T137)-MAX(0,-INT(-(H$6-$S137)/$T137))+1),0)</f>
        <v>0.0</v>
      </c>
      <c r="I137" s="97">
        <f>IF(ISNUMBER($S137),MAX(0,INT((I$6+6-$S137)/$T137)-MAX(0,-INT(-(I$6-$S137)/$T137))+1),0)</f>
        <v>0.0</v>
      </c>
      <c r="J137" s="97">
        <f>IF(ISNUMBER($S137),MAX(0,INT((J$6+6-$S137)/$T137)-MAX(0,-INT(-(J$6-$S137)/$T137))+1),0)</f>
        <v>0.0</v>
      </c>
      <c r="K137" s="97">
        <f>IF(ISNUMBER($S137),MAX(0,INT((K$6+6-$S137)/$T137)-MAX(0,-INT(-(K$6-$S137)/$T137))+1),0)</f>
        <v>0.0</v>
      </c>
      <c r="L137" s="97">
        <f>IF(ISNUMBER($S137),MAX(0,INT((L$6+6-$S137)/$T137)-MAX(0,-INT(-(L$6-$S137)/$T137))+1),0)</f>
        <v>0.0</v>
      </c>
      <c r="M137" s="97">
        <f>IF(ISNUMBER($S137),MAX(0,INT((M$6+6-$S137)/$T137)-MAX(0,-INT(-(M$6-$S137)/$T137))+1),0)</f>
        <v>0.0</v>
      </c>
      <c r="N137" s="97">
        <f>IF(ISNUMBER($S137),MAX(0,INT((N$6+6-$S137)/$T137)-MAX(0,-INT(-(N$6-$S137)/$T137))+1),0)</f>
        <v>0.0</v>
      </c>
      <c r="O137" s="97">
        <f>IF(ISNUMBER($S137),MAX(0,INT((O$6+6-$S137)/$T137)-MAX(0,-INT(-(O$6-$S137)/$T137))+1),0)</f>
        <v>0.0</v>
      </c>
      <c r="P137" s="97">
        <f>IF(ISNUMBER($S137),MAX(0,INT((P$6+6-$S137)/$T137)-MAX(0,-INT(-(P$6-$S137)/$T137))+1),0)</f>
        <v>0.0</v>
      </c>
      <c r="Q137" s="97">
        <f>IF(ISNUMBER($S137),MAX(0,INT((Q$6+6-$S137)/$T137)-MAX(0,-INT(-(Q$6-$S137)/$T137))+1),0)</f>
        <v>0.0</v>
      </c>
      <c r="R137" s="97">
        <f>IF(ISNUMBER($S137),MAX(0,INT((R$6+6-$S137)/$T137)-MAX(0,-INT(-(R$6-$S137)/$T137))+1),0)</f>
        <v>0.0</v>
      </c>
      <c r="S137" t="str">
        <f>IF(ISNUMBER(INDEX(pl_period,128)),MAX(INDEX(pl_due,128),p_today),"")</f>
        <v/>
      </c>
      <c r="T137" t="str">
        <f>IF(ISNUMBER(INDEX(pl_period,128)),INDEX(pl_period,128),"")</f>
        <v/>
      </c>
      <c r="U137">
        <f>N(INDEX(pl_dur,128))</f>
        <v>0.0</v>
      </c>
    </row>
    <row r="138">
      <c r="A138" s="93" t="str">
        <f>IF(INDEX(pl_status,129)="","",INDEX(pl_num,129)&amp;"")</f>
        <v/>
      </c>
      <c r="B138" s="93" t="str">
        <f>IF(INDEX(pl_status,129)="","",INDEX(pl_eq,129)&amp;"")</f>
        <v/>
      </c>
      <c r="C138" s="93" t="str">
        <f>IF(INDEX(pl_status,129)="","",INDEX(pl_task,129)&amp;"")</f>
        <v/>
      </c>
      <c r="D138" s="94" t="str">
        <f>IF(ISNUMBER(INDEX(pl_due,129)),INDEX(pl_due,129),"")</f>
        <v/>
      </c>
      <c r="E138" s="95" t="str">
        <f>INDEX(pl_status,129)&amp;""</f>
        <v/>
      </c>
      <c r="F138" s="96" t="str">
        <f>IF(E138="En retard","●","")</f>
        <v/>
      </c>
      <c r="G138" s="97">
        <f>IF(ISNUMBER($S138),MAX(0,INT((G$6+6-$S138)/$T138)-MAX(0,-INT(-(G$6-$S138)/$T138))+1),0)</f>
        <v>0.0</v>
      </c>
      <c r="H138" s="97">
        <f>IF(ISNUMBER($S138),MAX(0,INT((H$6+6-$S138)/$T138)-MAX(0,-INT(-(H$6-$S138)/$T138))+1),0)</f>
        <v>0.0</v>
      </c>
      <c r="I138" s="97">
        <f>IF(ISNUMBER($S138),MAX(0,INT((I$6+6-$S138)/$T138)-MAX(0,-INT(-(I$6-$S138)/$T138))+1),0)</f>
        <v>0.0</v>
      </c>
      <c r="J138" s="97">
        <f>IF(ISNUMBER($S138),MAX(0,INT((J$6+6-$S138)/$T138)-MAX(0,-INT(-(J$6-$S138)/$T138))+1),0)</f>
        <v>0.0</v>
      </c>
      <c r="K138" s="97">
        <f>IF(ISNUMBER($S138),MAX(0,INT((K$6+6-$S138)/$T138)-MAX(0,-INT(-(K$6-$S138)/$T138))+1),0)</f>
        <v>0.0</v>
      </c>
      <c r="L138" s="97">
        <f>IF(ISNUMBER($S138),MAX(0,INT((L$6+6-$S138)/$T138)-MAX(0,-INT(-(L$6-$S138)/$T138))+1),0)</f>
        <v>0.0</v>
      </c>
      <c r="M138" s="97">
        <f>IF(ISNUMBER($S138),MAX(0,INT((M$6+6-$S138)/$T138)-MAX(0,-INT(-(M$6-$S138)/$T138))+1),0)</f>
        <v>0.0</v>
      </c>
      <c r="N138" s="97">
        <f>IF(ISNUMBER($S138),MAX(0,INT((N$6+6-$S138)/$T138)-MAX(0,-INT(-(N$6-$S138)/$T138))+1),0)</f>
        <v>0.0</v>
      </c>
      <c r="O138" s="97">
        <f>IF(ISNUMBER($S138),MAX(0,INT((O$6+6-$S138)/$T138)-MAX(0,-INT(-(O$6-$S138)/$T138))+1),0)</f>
        <v>0.0</v>
      </c>
      <c r="P138" s="97">
        <f>IF(ISNUMBER($S138),MAX(0,INT((P$6+6-$S138)/$T138)-MAX(0,-INT(-(P$6-$S138)/$T138))+1),0)</f>
        <v>0.0</v>
      </c>
      <c r="Q138" s="97">
        <f>IF(ISNUMBER($S138),MAX(0,INT((Q$6+6-$S138)/$T138)-MAX(0,-INT(-(Q$6-$S138)/$T138))+1),0)</f>
        <v>0.0</v>
      </c>
      <c r="R138" s="97">
        <f>IF(ISNUMBER($S138),MAX(0,INT((R$6+6-$S138)/$T138)-MAX(0,-INT(-(R$6-$S138)/$T138))+1),0)</f>
        <v>0.0</v>
      </c>
      <c r="S138" t="str">
        <f>IF(ISNUMBER(INDEX(pl_period,129)),MAX(INDEX(pl_due,129),p_today),"")</f>
        <v/>
      </c>
      <c r="T138" t="str">
        <f>IF(ISNUMBER(INDEX(pl_period,129)),INDEX(pl_period,129),"")</f>
        <v/>
      </c>
      <c r="U138">
        <f>N(INDEX(pl_dur,129))</f>
        <v>0.0</v>
      </c>
    </row>
    <row r="139">
      <c r="A139" s="93" t="str">
        <f>IF(INDEX(pl_status,130)="","",INDEX(pl_num,130)&amp;"")</f>
        <v/>
      </c>
      <c r="B139" s="93" t="str">
        <f>IF(INDEX(pl_status,130)="","",INDEX(pl_eq,130)&amp;"")</f>
        <v/>
      </c>
      <c r="C139" s="93" t="str">
        <f>IF(INDEX(pl_status,130)="","",INDEX(pl_task,130)&amp;"")</f>
        <v/>
      </c>
      <c r="D139" s="94" t="str">
        <f>IF(ISNUMBER(INDEX(pl_due,130)),INDEX(pl_due,130),"")</f>
        <v/>
      </c>
      <c r="E139" s="95" t="str">
        <f>INDEX(pl_status,130)&amp;""</f>
        <v/>
      </c>
      <c r="F139" s="96" t="str">
        <f>IF(E139="En retard","●","")</f>
        <v/>
      </c>
      <c r="G139" s="97">
        <f>IF(ISNUMBER($S139),MAX(0,INT((G$6+6-$S139)/$T139)-MAX(0,-INT(-(G$6-$S139)/$T139))+1),0)</f>
        <v>0.0</v>
      </c>
      <c r="H139" s="97">
        <f>IF(ISNUMBER($S139),MAX(0,INT((H$6+6-$S139)/$T139)-MAX(0,-INT(-(H$6-$S139)/$T139))+1),0)</f>
        <v>0.0</v>
      </c>
      <c r="I139" s="97">
        <f>IF(ISNUMBER($S139),MAX(0,INT((I$6+6-$S139)/$T139)-MAX(0,-INT(-(I$6-$S139)/$T139))+1),0)</f>
        <v>0.0</v>
      </c>
      <c r="J139" s="97">
        <f>IF(ISNUMBER($S139),MAX(0,INT((J$6+6-$S139)/$T139)-MAX(0,-INT(-(J$6-$S139)/$T139))+1),0)</f>
        <v>0.0</v>
      </c>
      <c r="K139" s="97">
        <f>IF(ISNUMBER($S139),MAX(0,INT((K$6+6-$S139)/$T139)-MAX(0,-INT(-(K$6-$S139)/$T139))+1),0)</f>
        <v>0.0</v>
      </c>
      <c r="L139" s="97">
        <f>IF(ISNUMBER($S139),MAX(0,INT((L$6+6-$S139)/$T139)-MAX(0,-INT(-(L$6-$S139)/$T139))+1),0)</f>
        <v>0.0</v>
      </c>
      <c r="M139" s="97">
        <f>IF(ISNUMBER($S139),MAX(0,INT((M$6+6-$S139)/$T139)-MAX(0,-INT(-(M$6-$S139)/$T139))+1),0)</f>
        <v>0.0</v>
      </c>
      <c r="N139" s="97">
        <f>IF(ISNUMBER($S139),MAX(0,INT((N$6+6-$S139)/$T139)-MAX(0,-INT(-(N$6-$S139)/$T139))+1),0)</f>
        <v>0.0</v>
      </c>
      <c r="O139" s="97">
        <f>IF(ISNUMBER($S139),MAX(0,INT((O$6+6-$S139)/$T139)-MAX(0,-INT(-(O$6-$S139)/$T139))+1),0)</f>
        <v>0.0</v>
      </c>
      <c r="P139" s="97">
        <f>IF(ISNUMBER($S139),MAX(0,INT((P$6+6-$S139)/$T139)-MAX(0,-INT(-(P$6-$S139)/$T139))+1),0)</f>
        <v>0.0</v>
      </c>
      <c r="Q139" s="97">
        <f>IF(ISNUMBER($S139),MAX(0,INT((Q$6+6-$S139)/$T139)-MAX(0,-INT(-(Q$6-$S139)/$T139))+1),0)</f>
        <v>0.0</v>
      </c>
      <c r="R139" s="97">
        <f>IF(ISNUMBER($S139),MAX(0,INT((R$6+6-$S139)/$T139)-MAX(0,-INT(-(R$6-$S139)/$T139))+1),0)</f>
        <v>0.0</v>
      </c>
      <c r="S139" t="str">
        <f>IF(ISNUMBER(INDEX(pl_period,130)),MAX(INDEX(pl_due,130),p_today),"")</f>
        <v/>
      </c>
      <c r="T139" t="str">
        <f>IF(ISNUMBER(INDEX(pl_period,130)),INDEX(pl_period,130),"")</f>
        <v/>
      </c>
      <c r="U139">
        <f>N(INDEX(pl_dur,130))</f>
        <v>0.0</v>
      </c>
    </row>
    <row r="140">
      <c r="A140" s="93" t="str">
        <f>IF(INDEX(pl_status,131)="","",INDEX(pl_num,131)&amp;"")</f>
        <v/>
      </c>
      <c r="B140" s="93" t="str">
        <f>IF(INDEX(pl_status,131)="","",INDEX(pl_eq,131)&amp;"")</f>
        <v/>
      </c>
      <c r="C140" s="93" t="str">
        <f>IF(INDEX(pl_status,131)="","",INDEX(pl_task,131)&amp;"")</f>
        <v/>
      </c>
      <c r="D140" s="94" t="str">
        <f>IF(ISNUMBER(INDEX(pl_due,131)),INDEX(pl_due,131),"")</f>
        <v/>
      </c>
      <c r="E140" s="95" t="str">
        <f>INDEX(pl_status,131)&amp;""</f>
        <v/>
      </c>
      <c r="F140" s="96" t="str">
        <f>IF(E140="En retard","●","")</f>
        <v/>
      </c>
      <c r="G140" s="97">
        <f>IF(ISNUMBER($S140),MAX(0,INT((G$6+6-$S140)/$T140)-MAX(0,-INT(-(G$6-$S140)/$T140))+1),0)</f>
        <v>0.0</v>
      </c>
      <c r="H140" s="97">
        <f>IF(ISNUMBER($S140),MAX(0,INT((H$6+6-$S140)/$T140)-MAX(0,-INT(-(H$6-$S140)/$T140))+1),0)</f>
        <v>0.0</v>
      </c>
      <c r="I140" s="97">
        <f>IF(ISNUMBER($S140),MAX(0,INT((I$6+6-$S140)/$T140)-MAX(0,-INT(-(I$6-$S140)/$T140))+1),0)</f>
        <v>0.0</v>
      </c>
      <c r="J140" s="97">
        <f>IF(ISNUMBER($S140),MAX(0,INT((J$6+6-$S140)/$T140)-MAX(0,-INT(-(J$6-$S140)/$T140))+1),0)</f>
        <v>0.0</v>
      </c>
      <c r="K140" s="97">
        <f>IF(ISNUMBER($S140),MAX(0,INT((K$6+6-$S140)/$T140)-MAX(0,-INT(-(K$6-$S140)/$T140))+1),0)</f>
        <v>0.0</v>
      </c>
      <c r="L140" s="97">
        <f>IF(ISNUMBER($S140),MAX(0,INT((L$6+6-$S140)/$T140)-MAX(0,-INT(-(L$6-$S140)/$T140))+1),0)</f>
        <v>0.0</v>
      </c>
      <c r="M140" s="97">
        <f>IF(ISNUMBER($S140),MAX(0,INT((M$6+6-$S140)/$T140)-MAX(0,-INT(-(M$6-$S140)/$T140))+1),0)</f>
        <v>0.0</v>
      </c>
      <c r="N140" s="97">
        <f>IF(ISNUMBER($S140),MAX(0,INT((N$6+6-$S140)/$T140)-MAX(0,-INT(-(N$6-$S140)/$T140))+1),0)</f>
        <v>0.0</v>
      </c>
      <c r="O140" s="97">
        <f>IF(ISNUMBER($S140),MAX(0,INT((O$6+6-$S140)/$T140)-MAX(0,-INT(-(O$6-$S140)/$T140))+1),0)</f>
        <v>0.0</v>
      </c>
      <c r="P140" s="97">
        <f>IF(ISNUMBER($S140),MAX(0,INT((P$6+6-$S140)/$T140)-MAX(0,-INT(-(P$6-$S140)/$T140))+1),0)</f>
        <v>0.0</v>
      </c>
      <c r="Q140" s="97">
        <f>IF(ISNUMBER($S140),MAX(0,INT((Q$6+6-$S140)/$T140)-MAX(0,-INT(-(Q$6-$S140)/$T140))+1),0)</f>
        <v>0.0</v>
      </c>
      <c r="R140" s="97">
        <f>IF(ISNUMBER($S140),MAX(0,INT((R$6+6-$S140)/$T140)-MAX(0,-INT(-(R$6-$S140)/$T140))+1),0)</f>
        <v>0.0</v>
      </c>
      <c r="S140" t="str">
        <f>IF(ISNUMBER(INDEX(pl_period,131)),MAX(INDEX(pl_due,131),p_today),"")</f>
        <v/>
      </c>
      <c r="T140" t="str">
        <f>IF(ISNUMBER(INDEX(pl_period,131)),INDEX(pl_period,131),"")</f>
        <v/>
      </c>
      <c r="U140">
        <f>N(INDEX(pl_dur,131))</f>
        <v>0.0</v>
      </c>
    </row>
    <row r="141">
      <c r="A141" s="93" t="str">
        <f>IF(INDEX(pl_status,132)="","",INDEX(pl_num,132)&amp;"")</f>
        <v/>
      </c>
      <c r="B141" s="93" t="str">
        <f>IF(INDEX(pl_status,132)="","",INDEX(pl_eq,132)&amp;"")</f>
        <v/>
      </c>
      <c r="C141" s="93" t="str">
        <f>IF(INDEX(pl_status,132)="","",INDEX(pl_task,132)&amp;"")</f>
        <v/>
      </c>
      <c r="D141" s="94" t="str">
        <f>IF(ISNUMBER(INDEX(pl_due,132)),INDEX(pl_due,132),"")</f>
        <v/>
      </c>
      <c r="E141" s="95" t="str">
        <f>INDEX(pl_status,132)&amp;""</f>
        <v/>
      </c>
      <c r="F141" s="96" t="str">
        <f>IF(E141="En retard","●","")</f>
        <v/>
      </c>
      <c r="G141" s="97">
        <f>IF(ISNUMBER($S141),MAX(0,INT((G$6+6-$S141)/$T141)-MAX(0,-INT(-(G$6-$S141)/$T141))+1),0)</f>
        <v>0.0</v>
      </c>
      <c r="H141" s="97">
        <f>IF(ISNUMBER($S141),MAX(0,INT((H$6+6-$S141)/$T141)-MAX(0,-INT(-(H$6-$S141)/$T141))+1),0)</f>
        <v>0.0</v>
      </c>
      <c r="I141" s="97">
        <f>IF(ISNUMBER($S141),MAX(0,INT((I$6+6-$S141)/$T141)-MAX(0,-INT(-(I$6-$S141)/$T141))+1),0)</f>
        <v>0.0</v>
      </c>
      <c r="J141" s="97">
        <f>IF(ISNUMBER($S141),MAX(0,INT((J$6+6-$S141)/$T141)-MAX(0,-INT(-(J$6-$S141)/$T141))+1),0)</f>
        <v>0.0</v>
      </c>
      <c r="K141" s="97">
        <f>IF(ISNUMBER($S141),MAX(0,INT((K$6+6-$S141)/$T141)-MAX(0,-INT(-(K$6-$S141)/$T141))+1),0)</f>
        <v>0.0</v>
      </c>
      <c r="L141" s="97">
        <f>IF(ISNUMBER($S141),MAX(0,INT((L$6+6-$S141)/$T141)-MAX(0,-INT(-(L$6-$S141)/$T141))+1),0)</f>
        <v>0.0</v>
      </c>
      <c r="M141" s="97">
        <f>IF(ISNUMBER($S141),MAX(0,INT((M$6+6-$S141)/$T141)-MAX(0,-INT(-(M$6-$S141)/$T141))+1),0)</f>
        <v>0.0</v>
      </c>
      <c r="N141" s="97">
        <f>IF(ISNUMBER($S141),MAX(0,INT((N$6+6-$S141)/$T141)-MAX(0,-INT(-(N$6-$S141)/$T141))+1),0)</f>
        <v>0.0</v>
      </c>
      <c r="O141" s="97">
        <f>IF(ISNUMBER($S141),MAX(0,INT((O$6+6-$S141)/$T141)-MAX(0,-INT(-(O$6-$S141)/$T141))+1),0)</f>
        <v>0.0</v>
      </c>
      <c r="P141" s="97">
        <f>IF(ISNUMBER($S141),MAX(0,INT((P$6+6-$S141)/$T141)-MAX(0,-INT(-(P$6-$S141)/$T141))+1),0)</f>
        <v>0.0</v>
      </c>
      <c r="Q141" s="97">
        <f>IF(ISNUMBER($S141),MAX(0,INT((Q$6+6-$S141)/$T141)-MAX(0,-INT(-(Q$6-$S141)/$T141))+1),0)</f>
        <v>0.0</v>
      </c>
      <c r="R141" s="97">
        <f>IF(ISNUMBER($S141),MAX(0,INT((R$6+6-$S141)/$T141)-MAX(0,-INT(-(R$6-$S141)/$T141))+1),0)</f>
        <v>0.0</v>
      </c>
      <c r="S141" t="str">
        <f>IF(ISNUMBER(INDEX(pl_period,132)),MAX(INDEX(pl_due,132),p_today),"")</f>
        <v/>
      </c>
      <c r="T141" t="str">
        <f>IF(ISNUMBER(INDEX(pl_period,132)),INDEX(pl_period,132),"")</f>
        <v/>
      </c>
      <c r="U141">
        <f>N(INDEX(pl_dur,132))</f>
        <v>0.0</v>
      </c>
    </row>
    <row r="142">
      <c r="A142" s="93" t="str">
        <f>IF(INDEX(pl_status,133)="","",INDEX(pl_num,133)&amp;"")</f>
        <v/>
      </c>
      <c r="B142" s="93" t="str">
        <f>IF(INDEX(pl_status,133)="","",INDEX(pl_eq,133)&amp;"")</f>
        <v/>
      </c>
      <c r="C142" s="93" t="str">
        <f>IF(INDEX(pl_status,133)="","",INDEX(pl_task,133)&amp;"")</f>
        <v/>
      </c>
      <c r="D142" s="94" t="str">
        <f>IF(ISNUMBER(INDEX(pl_due,133)),INDEX(pl_due,133),"")</f>
        <v/>
      </c>
      <c r="E142" s="95" t="str">
        <f>INDEX(pl_status,133)&amp;""</f>
        <v/>
      </c>
      <c r="F142" s="96" t="str">
        <f>IF(E142="En retard","●","")</f>
        <v/>
      </c>
      <c r="G142" s="97">
        <f>IF(ISNUMBER($S142),MAX(0,INT((G$6+6-$S142)/$T142)-MAX(0,-INT(-(G$6-$S142)/$T142))+1),0)</f>
        <v>0.0</v>
      </c>
      <c r="H142" s="97">
        <f>IF(ISNUMBER($S142),MAX(0,INT((H$6+6-$S142)/$T142)-MAX(0,-INT(-(H$6-$S142)/$T142))+1),0)</f>
        <v>0.0</v>
      </c>
      <c r="I142" s="97">
        <f>IF(ISNUMBER($S142),MAX(0,INT((I$6+6-$S142)/$T142)-MAX(0,-INT(-(I$6-$S142)/$T142))+1),0)</f>
        <v>0.0</v>
      </c>
      <c r="J142" s="97">
        <f>IF(ISNUMBER($S142),MAX(0,INT((J$6+6-$S142)/$T142)-MAX(0,-INT(-(J$6-$S142)/$T142))+1),0)</f>
        <v>0.0</v>
      </c>
      <c r="K142" s="97">
        <f>IF(ISNUMBER($S142),MAX(0,INT((K$6+6-$S142)/$T142)-MAX(0,-INT(-(K$6-$S142)/$T142))+1),0)</f>
        <v>0.0</v>
      </c>
      <c r="L142" s="97">
        <f>IF(ISNUMBER($S142),MAX(0,INT((L$6+6-$S142)/$T142)-MAX(0,-INT(-(L$6-$S142)/$T142))+1),0)</f>
        <v>0.0</v>
      </c>
      <c r="M142" s="97">
        <f>IF(ISNUMBER($S142),MAX(0,INT((M$6+6-$S142)/$T142)-MAX(0,-INT(-(M$6-$S142)/$T142))+1),0)</f>
        <v>0.0</v>
      </c>
      <c r="N142" s="97">
        <f>IF(ISNUMBER($S142),MAX(0,INT((N$6+6-$S142)/$T142)-MAX(0,-INT(-(N$6-$S142)/$T142))+1),0)</f>
        <v>0.0</v>
      </c>
      <c r="O142" s="97">
        <f>IF(ISNUMBER($S142),MAX(0,INT((O$6+6-$S142)/$T142)-MAX(0,-INT(-(O$6-$S142)/$T142))+1),0)</f>
        <v>0.0</v>
      </c>
      <c r="P142" s="97">
        <f>IF(ISNUMBER($S142),MAX(0,INT((P$6+6-$S142)/$T142)-MAX(0,-INT(-(P$6-$S142)/$T142))+1),0)</f>
        <v>0.0</v>
      </c>
      <c r="Q142" s="97">
        <f>IF(ISNUMBER($S142),MAX(0,INT((Q$6+6-$S142)/$T142)-MAX(0,-INT(-(Q$6-$S142)/$T142))+1),0)</f>
        <v>0.0</v>
      </c>
      <c r="R142" s="97">
        <f>IF(ISNUMBER($S142),MAX(0,INT((R$6+6-$S142)/$T142)-MAX(0,-INT(-(R$6-$S142)/$T142))+1),0)</f>
        <v>0.0</v>
      </c>
      <c r="S142" t="str">
        <f>IF(ISNUMBER(INDEX(pl_period,133)),MAX(INDEX(pl_due,133),p_today),"")</f>
        <v/>
      </c>
      <c r="T142" t="str">
        <f>IF(ISNUMBER(INDEX(pl_period,133)),INDEX(pl_period,133),"")</f>
        <v/>
      </c>
      <c r="U142">
        <f>N(INDEX(pl_dur,133))</f>
        <v>0.0</v>
      </c>
    </row>
    <row r="143">
      <c r="A143" s="93" t="str">
        <f>IF(INDEX(pl_status,134)="","",INDEX(pl_num,134)&amp;"")</f>
        <v/>
      </c>
      <c r="B143" s="93" t="str">
        <f>IF(INDEX(pl_status,134)="","",INDEX(pl_eq,134)&amp;"")</f>
        <v/>
      </c>
      <c r="C143" s="93" t="str">
        <f>IF(INDEX(pl_status,134)="","",INDEX(pl_task,134)&amp;"")</f>
        <v/>
      </c>
      <c r="D143" s="94" t="str">
        <f>IF(ISNUMBER(INDEX(pl_due,134)),INDEX(pl_due,134),"")</f>
        <v/>
      </c>
      <c r="E143" s="95" t="str">
        <f>INDEX(pl_status,134)&amp;""</f>
        <v/>
      </c>
      <c r="F143" s="96" t="str">
        <f>IF(E143="En retard","●","")</f>
        <v/>
      </c>
      <c r="G143" s="97">
        <f>IF(ISNUMBER($S143),MAX(0,INT((G$6+6-$S143)/$T143)-MAX(0,-INT(-(G$6-$S143)/$T143))+1),0)</f>
        <v>0.0</v>
      </c>
      <c r="H143" s="97">
        <f>IF(ISNUMBER($S143),MAX(0,INT((H$6+6-$S143)/$T143)-MAX(0,-INT(-(H$6-$S143)/$T143))+1),0)</f>
        <v>0.0</v>
      </c>
      <c r="I143" s="97">
        <f>IF(ISNUMBER($S143),MAX(0,INT((I$6+6-$S143)/$T143)-MAX(0,-INT(-(I$6-$S143)/$T143))+1),0)</f>
        <v>0.0</v>
      </c>
      <c r="J143" s="97">
        <f>IF(ISNUMBER($S143),MAX(0,INT((J$6+6-$S143)/$T143)-MAX(0,-INT(-(J$6-$S143)/$T143))+1),0)</f>
        <v>0.0</v>
      </c>
      <c r="K143" s="97">
        <f>IF(ISNUMBER($S143),MAX(0,INT((K$6+6-$S143)/$T143)-MAX(0,-INT(-(K$6-$S143)/$T143))+1),0)</f>
        <v>0.0</v>
      </c>
      <c r="L143" s="97">
        <f>IF(ISNUMBER($S143),MAX(0,INT((L$6+6-$S143)/$T143)-MAX(0,-INT(-(L$6-$S143)/$T143))+1),0)</f>
        <v>0.0</v>
      </c>
      <c r="M143" s="97">
        <f>IF(ISNUMBER($S143),MAX(0,INT((M$6+6-$S143)/$T143)-MAX(0,-INT(-(M$6-$S143)/$T143))+1),0)</f>
        <v>0.0</v>
      </c>
      <c r="N143" s="97">
        <f>IF(ISNUMBER($S143),MAX(0,INT((N$6+6-$S143)/$T143)-MAX(0,-INT(-(N$6-$S143)/$T143))+1),0)</f>
        <v>0.0</v>
      </c>
      <c r="O143" s="97">
        <f>IF(ISNUMBER($S143),MAX(0,INT((O$6+6-$S143)/$T143)-MAX(0,-INT(-(O$6-$S143)/$T143))+1),0)</f>
        <v>0.0</v>
      </c>
      <c r="P143" s="97">
        <f>IF(ISNUMBER($S143),MAX(0,INT((P$6+6-$S143)/$T143)-MAX(0,-INT(-(P$6-$S143)/$T143))+1),0)</f>
        <v>0.0</v>
      </c>
      <c r="Q143" s="97">
        <f>IF(ISNUMBER($S143),MAX(0,INT((Q$6+6-$S143)/$T143)-MAX(0,-INT(-(Q$6-$S143)/$T143))+1),0)</f>
        <v>0.0</v>
      </c>
      <c r="R143" s="97">
        <f>IF(ISNUMBER($S143),MAX(0,INT((R$6+6-$S143)/$T143)-MAX(0,-INT(-(R$6-$S143)/$T143))+1),0)</f>
        <v>0.0</v>
      </c>
      <c r="S143" t="str">
        <f>IF(ISNUMBER(INDEX(pl_period,134)),MAX(INDEX(pl_due,134),p_today),"")</f>
        <v/>
      </c>
      <c r="T143" t="str">
        <f>IF(ISNUMBER(INDEX(pl_period,134)),INDEX(pl_period,134),"")</f>
        <v/>
      </c>
      <c r="U143">
        <f>N(INDEX(pl_dur,134))</f>
        <v>0.0</v>
      </c>
    </row>
    <row r="144">
      <c r="A144" s="93" t="str">
        <f>IF(INDEX(pl_status,135)="","",INDEX(pl_num,135)&amp;"")</f>
        <v/>
      </c>
      <c r="B144" s="93" t="str">
        <f>IF(INDEX(pl_status,135)="","",INDEX(pl_eq,135)&amp;"")</f>
        <v/>
      </c>
      <c r="C144" s="93" t="str">
        <f>IF(INDEX(pl_status,135)="","",INDEX(pl_task,135)&amp;"")</f>
        <v/>
      </c>
      <c r="D144" s="94" t="str">
        <f>IF(ISNUMBER(INDEX(pl_due,135)),INDEX(pl_due,135),"")</f>
        <v/>
      </c>
      <c r="E144" s="95" t="str">
        <f>INDEX(pl_status,135)&amp;""</f>
        <v/>
      </c>
      <c r="F144" s="96" t="str">
        <f>IF(E144="En retard","●","")</f>
        <v/>
      </c>
      <c r="G144" s="97">
        <f>IF(ISNUMBER($S144),MAX(0,INT((G$6+6-$S144)/$T144)-MAX(0,-INT(-(G$6-$S144)/$T144))+1),0)</f>
        <v>0.0</v>
      </c>
      <c r="H144" s="97">
        <f>IF(ISNUMBER($S144),MAX(0,INT((H$6+6-$S144)/$T144)-MAX(0,-INT(-(H$6-$S144)/$T144))+1),0)</f>
        <v>0.0</v>
      </c>
      <c r="I144" s="97">
        <f>IF(ISNUMBER($S144),MAX(0,INT((I$6+6-$S144)/$T144)-MAX(0,-INT(-(I$6-$S144)/$T144))+1),0)</f>
        <v>0.0</v>
      </c>
      <c r="J144" s="97">
        <f>IF(ISNUMBER($S144),MAX(0,INT((J$6+6-$S144)/$T144)-MAX(0,-INT(-(J$6-$S144)/$T144))+1),0)</f>
        <v>0.0</v>
      </c>
      <c r="K144" s="97">
        <f>IF(ISNUMBER($S144),MAX(0,INT((K$6+6-$S144)/$T144)-MAX(0,-INT(-(K$6-$S144)/$T144))+1),0)</f>
        <v>0.0</v>
      </c>
      <c r="L144" s="97">
        <f>IF(ISNUMBER($S144),MAX(0,INT((L$6+6-$S144)/$T144)-MAX(0,-INT(-(L$6-$S144)/$T144))+1),0)</f>
        <v>0.0</v>
      </c>
      <c r="M144" s="97">
        <f>IF(ISNUMBER($S144),MAX(0,INT((M$6+6-$S144)/$T144)-MAX(0,-INT(-(M$6-$S144)/$T144))+1),0)</f>
        <v>0.0</v>
      </c>
      <c r="N144" s="97">
        <f>IF(ISNUMBER($S144),MAX(0,INT((N$6+6-$S144)/$T144)-MAX(0,-INT(-(N$6-$S144)/$T144))+1),0)</f>
        <v>0.0</v>
      </c>
      <c r="O144" s="97">
        <f>IF(ISNUMBER($S144),MAX(0,INT((O$6+6-$S144)/$T144)-MAX(0,-INT(-(O$6-$S144)/$T144))+1),0)</f>
        <v>0.0</v>
      </c>
      <c r="P144" s="97">
        <f>IF(ISNUMBER($S144),MAX(0,INT((P$6+6-$S144)/$T144)-MAX(0,-INT(-(P$6-$S144)/$T144))+1),0)</f>
        <v>0.0</v>
      </c>
      <c r="Q144" s="97">
        <f>IF(ISNUMBER($S144),MAX(0,INT((Q$6+6-$S144)/$T144)-MAX(0,-INT(-(Q$6-$S144)/$T144))+1),0)</f>
        <v>0.0</v>
      </c>
      <c r="R144" s="97">
        <f>IF(ISNUMBER($S144),MAX(0,INT((R$6+6-$S144)/$T144)-MAX(0,-INT(-(R$6-$S144)/$T144))+1),0)</f>
        <v>0.0</v>
      </c>
      <c r="S144" t="str">
        <f>IF(ISNUMBER(INDEX(pl_period,135)),MAX(INDEX(pl_due,135),p_today),"")</f>
        <v/>
      </c>
      <c r="T144" t="str">
        <f>IF(ISNUMBER(INDEX(pl_period,135)),INDEX(pl_period,135),"")</f>
        <v/>
      </c>
      <c r="U144">
        <f>N(INDEX(pl_dur,135))</f>
        <v>0.0</v>
      </c>
    </row>
    <row r="145">
      <c r="A145" s="93" t="str">
        <f>IF(INDEX(pl_status,136)="","",INDEX(pl_num,136)&amp;"")</f>
        <v/>
      </c>
      <c r="B145" s="93" t="str">
        <f>IF(INDEX(pl_status,136)="","",INDEX(pl_eq,136)&amp;"")</f>
        <v/>
      </c>
      <c r="C145" s="93" t="str">
        <f>IF(INDEX(pl_status,136)="","",INDEX(pl_task,136)&amp;"")</f>
        <v/>
      </c>
      <c r="D145" s="94" t="str">
        <f>IF(ISNUMBER(INDEX(pl_due,136)),INDEX(pl_due,136),"")</f>
        <v/>
      </c>
      <c r="E145" s="95" t="str">
        <f>INDEX(pl_status,136)&amp;""</f>
        <v/>
      </c>
      <c r="F145" s="96" t="str">
        <f>IF(E145="En retard","●","")</f>
        <v/>
      </c>
      <c r="G145" s="97">
        <f>IF(ISNUMBER($S145),MAX(0,INT((G$6+6-$S145)/$T145)-MAX(0,-INT(-(G$6-$S145)/$T145))+1),0)</f>
        <v>0.0</v>
      </c>
      <c r="H145" s="97">
        <f>IF(ISNUMBER($S145),MAX(0,INT((H$6+6-$S145)/$T145)-MAX(0,-INT(-(H$6-$S145)/$T145))+1),0)</f>
        <v>0.0</v>
      </c>
      <c r="I145" s="97">
        <f>IF(ISNUMBER($S145),MAX(0,INT((I$6+6-$S145)/$T145)-MAX(0,-INT(-(I$6-$S145)/$T145))+1),0)</f>
        <v>0.0</v>
      </c>
      <c r="J145" s="97">
        <f>IF(ISNUMBER($S145),MAX(0,INT((J$6+6-$S145)/$T145)-MAX(0,-INT(-(J$6-$S145)/$T145))+1),0)</f>
        <v>0.0</v>
      </c>
      <c r="K145" s="97">
        <f>IF(ISNUMBER($S145),MAX(0,INT((K$6+6-$S145)/$T145)-MAX(0,-INT(-(K$6-$S145)/$T145))+1),0)</f>
        <v>0.0</v>
      </c>
      <c r="L145" s="97">
        <f>IF(ISNUMBER($S145),MAX(0,INT((L$6+6-$S145)/$T145)-MAX(0,-INT(-(L$6-$S145)/$T145))+1),0)</f>
        <v>0.0</v>
      </c>
      <c r="M145" s="97">
        <f>IF(ISNUMBER($S145),MAX(0,INT((M$6+6-$S145)/$T145)-MAX(0,-INT(-(M$6-$S145)/$T145))+1),0)</f>
        <v>0.0</v>
      </c>
      <c r="N145" s="97">
        <f>IF(ISNUMBER($S145),MAX(0,INT((N$6+6-$S145)/$T145)-MAX(0,-INT(-(N$6-$S145)/$T145))+1),0)</f>
        <v>0.0</v>
      </c>
      <c r="O145" s="97">
        <f>IF(ISNUMBER($S145),MAX(0,INT((O$6+6-$S145)/$T145)-MAX(0,-INT(-(O$6-$S145)/$T145))+1),0)</f>
        <v>0.0</v>
      </c>
      <c r="P145" s="97">
        <f>IF(ISNUMBER($S145),MAX(0,INT((P$6+6-$S145)/$T145)-MAX(0,-INT(-(P$6-$S145)/$T145))+1),0)</f>
        <v>0.0</v>
      </c>
      <c r="Q145" s="97">
        <f>IF(ISNUMBER($S145),MAX(0,INT((Q$6+6-$S145)/$T145)-MAX(0,-INT(-(Q$6-$S145)/$T145))+1),0)</f>
        <v>0.0</v>
      </c>
      <c r="R145" s="97">
        <f>IF(ISNUMBER($S145),MAX(0,INT((R$6+6-$S145)/$T145)-MAX(0,-INT(-(R$6-$S145)/$T145))+1),0)</f>
        <v>0.0</v>
      </c>
      <c r="S145" t="str">
        <f>IF(ISNUMBER(INDEX(pl_period,136)),MAX(INDEX(pl_due,136),p_today),"")</f>
        <v/>
      </c>
      <c r="T145" t="str">
        <f>IF(ISNUMBER(INDEX(pl_period,136)),INDEX(pl_period,136),"")</f>
        <v/>
      </c>
      <c r="U145">
        <f>N(INDEX(pl_dur,136))</f>
        <v>0.0</v>
      </c>
    </row>
    <row r="146">
      <c r="A146" s="93" t="str">
        <f>IF(INDEX(pl_status,137)="","",INDEX(pl_num,137)&amp;"")</f>
        <v/>
      </c>
      <c r="B146" s="93" t="str">
        <f>IF(INDEX(pl_status,137)="","",INDEX(pl_eq,137)&amp;"")</f>
        <v/>
      </c>
      <c r="C146" s="93" t="str">
        <f>IF(INDEX(pl_status,137)="","",INDEX(pl_task,137)&amp;"")</f>
        <v/>
      </c>
      <c r="D146" s="94" t="str">
        <f>IF(ISNUMBER(INDEX(pl_due,137)),INDEX(pl_due,137),"")</f>
        <v/>
      </c>
      <c r="E146" s="95" t="str">
        <f>INDEX(pl_status,137)&amp;""</f>
        <v/>
      </c>
      <c r="F146" s="96" t="str">
        <f>IF(E146="En retard","●","")</f>
        <v/>
      </c>
      <c r="G146" s="97">
        <f>IF(ISNUMBER($S146),MAX(0,INT((G$6+6-$S146)/$T146)-MAX(0,-INT(-(G$6-$S146)/$T146))+1),0)</f>
        <v>0.0</v>
      </c>
      <c r="H146" s="97">
        <f>IF(ISNUMBER($S146),MAX(0,INT((H$6+6-$S146)/$T146)-MAX(0,-INT(-(H$6-$S146)/$T146))+1),0)</f>
        <v>0.0</v>
      </c>
      <c r="I146" s="97">
        <f>IF(ISNUMBER($S146),MAX(0,INT((I$6+6-$S146)/$T146)-MAX(0,-INT(-(I$6-$S146)/$T146))+1),0)</f>
        <v>0.0</v>
      </c>
      <c r="J146" s="97">
        <f>IF(ISNUMBER($S146),MAX(0,INT((J$6+6-$S146)/$T146)-MAX(0,-INT(-(J$6-$S146)/$T146))+1),0)</f>
        <v>0.0</v>
      </c>
      <c r="K146" s="97">
        <f>IF(ISNUMBER($S146),MAX(0,INT((K$6+6-$S146)/$T146)-MAX(0,-INT(-(K$6-$S146)/$T146))+1),0)</f>
        <v>0.0</v>
      </c>
      <c r="L146" s="97">
        <f>IF(ISNUMBER($S146),MAX(0,INT((L$6+6-$S146)/$T146)-MAX(0,-INT(-(L$6-$S146)/$T146))+1),0)</f>
        <v>0.0</v>
      </c>
      <c r="M146" s="97">
        <f>IF(ISNUMBER($S146),MAX(0,INT((M$6+6-$S146)/$T146)-MAX(0,-INT(-(M$6-$S146)/$T146))+1),0)</f>
        <v>0.0</v>
      </c>
      <c r="N146" s="97">
        <f>IF(ISNUMBER($S146),MAX(0,INT((N$6+6-$S146)/$T146)-MAX(0,-INT(-(N$6-$S146)/$T146))+1),0)</f>
        <v>0.0</v>
      </c>
      <c r="O146" s="97">
        <f>IF(ISNUMBER($S146),MAX(0,INT((O$6+6-$S146)/$T146)-MAX(0,-INT(-(O$6-$S146)/$T146))+1),0)</f>
        <v>0.0</v>
      </c>
      <c r="P146" s="97">
        <f>IF(ISNUMBER($S146),MAX(0,INT((P$6+6-$S146)/$T146)-MAX(0,-INT(-(P$6-$S146)/$T146))+1),0)</f>
        <v>0.0</v>
      </c>
      <c r="Q146" s="97">
        <f>IF(ISNUMBER($S146),MAX(0,INT((Q$6+6-$S146)/$T146)-MAX(0,-INT(-(Q$6-$S146)/$T146))+1),0)</f>
        <v>0.0</v>
      </c>
      <c r="R146" s="97">
        <f>IF(ISNUMBER($S146),MAX(0,INT((R$6+6-$S146)/$T146)-MAX(0,-INT(-(R$6-$S146)/$T146))+1),0)</f>
        <v>0.0</v>
      </c>
      <c r="S146" t="str">
        <f>IF(ISNUMBER(INDEX(pl_period,137)),MAX(INDEX(pl_due,137),p_today),"")</f>
        <v/>
      </c>
      <c r="T146" t="str">
        <f>IF(ISNUMBER(INDEX(pl_period,137)),INDEX(pl_period,137),"")</f>
        <v/>
      </c>
      <c r="U146">
        <f>N(INDEX(pl_dur,137))</f>
        <v>0.0</v>
      </c>
    </row>
    <row r="147">
      <c r="A147" s="93" t="str">
        <f>IF(INDEX(pl_status,138)="","",INDEX(pl_num,138)&amp;"")</f>
        <v/>
      </c>
      <c r="B147" s="93" t="str">
        <f>IF(INDEX(pl_status,138)="","",INDEX(pl_eq,138)&amp;"")</f>
        <v/>
      </c>
      <c r="C147" s="93" t="str">
        <f>IF(INDEX(pl_status,138)="","",INDEX(pl_task,138)&amp;"")</f>
        <v/>
      </c>
      <c r="D147" s="94" t="str">
        <f>IF(ISNUMBER(INDEX(pl_due,138)),INDEX(pl_due,138),"")</f>
        <v/>
      </c>
      <c r="E147" s="95" t="str">
        <f>INDEX(pl_status,138)&amp;""</f>
        <v/>
      </c>
      <c r="F147" s="96" t="str">
        <f>IF(E147="En retard","●","")</f>
        <v/>
      </c>
      <c r="G147" s="97">
        <f>IF(ISNUMBER($S147),MAX(0,INT((G$6+6-$S147)/$T147)-MAX(0,-INT(-(G$6-$S147)/$T147))+1),0)</f>
        <v>0.0</v>
      </c>
      <c r="H147" s="97">
        <f>IF(ISNUMBER($S147),MAX(0,INT((H$6+6-$S147)/$T147)-MAX(0,-INT(-(H$6-$S147)/$T147))+1),0)</f>
        <v>0.0</v>
      </c>
      <c r="I147" s="97">
        <f>IF(ISNUMBER($S147),MAX(0,INT((I$6+6-$S147)/$T147)-MAX(0,-INT(-(I$6-$S147)/$T147))+1),0)</f>
        <v>0.0</v>
      </c>
      <c r="J147" s="97">
        <f>IF(ISNUMBER($S147),MAX(0,INT((J$6+6-$S147)/$T147)-MAX(0,-INT(-(J$6-$S147)/$T147))+1),0)</f>
        <v>0.0</v>
      </c>
      <c r="K147" s="97">
        <f>IF(ISNUMBER($S147),MAX(0,INT((K$6+6-$S147)/$T147)-MAX(0,-INT(-(K$6-$S147)/$T147))+1),0)</f>
        <v>0.0</v>
      </c>
      <c r="L147" s="97">
        <f>IF(ISNUMBER($S147),MAX(0,INT((L$6+6-$S147)/$T147)-MAX(0,-INT(-(L$6-$S147)/$T147))+1),0)</f>
        <v>0.0</v>
      </c>
      <c r="M147" s="97">
        <f>IF(ISNUMBER($S147),MAX(0,INT((M$6+6-$S147)/$T147)-MAX(0,-INT(-(M$6-$S147)/$T147))+1),0)</f>
        <v>0.0</v>
      </c>
      <c r="N147" s="97">
        <f>IF(ISNUMBER($S147),MAX(0,INT((N$6+6-$S147)/$T147)-MAX(0,-INT(-(N$6-$S147)/$T147))+1),0)</f>
        <v>0.0</v>
      </c>
      <c r="O147" s="97">
        <f>IF(ISNUMBER($S147),MAX(0,INT((O$6+6-$S147)/$T147)-MAX(0,-INT(-(O$6-$S147)/$T147))+1),0)</f>
        <v>0.0</v>
      </c>
      <c r="P147" s="97">
        <f>IF(ISNUMBER($S147),MAX(0,INT((P$6+6-$S147)/$T147)-MAX(0,-INT(-(P$6-$S147)/$T147))+1),0)</f>
        <v>0.0</v>
      </c>
      <c r="Q147" s="97">
        <f>IF(ISNUMBER($S147),MAX(0,INT((Q$6+6-$S147)/$T147)-MAX(0,-INT(-(Q$6-$S147)/$T147))+1),0)</f>
        <v>0.0</v>
      </c>
      <c r="R147" s="97">
        <f>IF(ISNUMBER($S147),MAX(0,INT((R$6+6-$S147)/$T147)-MAX(0,-INT(-(R$6-$S147)/$T147))+1),0)</f>
        <v>0.0</v>
      </c>
      <c r="S147" t="str">
        <f>IF(ISNUMBER(INDEX(pl_period,138)),MAX(INDEX(pl_due,138),p_today),"")</f>
        <v/>
      </c>
      <c r="T147" t="str">
        <f>IF(ISNUMBER(INDEX(pl_period,138)),INDEX(pl_period,138),"")</f>
        <v/>
      </c>
      <c r="U147">
        <f>N(INDEX(pl_dur,138))</f>
        <v>0.0</v>
      </c>
    </row>
    <row r="148">
      <c r="A148" s="93" t="str">
        <f>IF(INDEX(pl_status,139)="","",INDEX(pl_num,139)&amp;"")</f>
        <v/>
      </c>
      <c r="B148" s="93" t="str">
        <f>IF(INDEX(pl_status,139)="","",INDEX(pl_eq,139)&amp;"")</f>
        <v/>
      </c>
      <c r="C148" s="93" t="str">
        <f>IF(INDEX(pl_status,139)="","",INDEX(pl_task,139)&amp;"")</f>
        <v/>
      </c>
      <c r="D148" s="94" t="str">
        <f>IF(ISNUMBER(INDEX(pl_due,139)),INDEX(pl_due,139),"")</f>
        <v/>
      </c>
      <c r="E148" s="95" t="str">
        <f>INDEX(pl_status,139)&amp;""</f>
        <v/>
      </c>
      <c r="F148" s="96" t="str">
        <f>IF(E148="En retard","●","")</f>
        <v/>
      </c>
      <c r="G148" s="97">
        <f>IF(ISNUMBER($S148),MAX(0,INT((G$6+6-$S148)/$T148)-MAX(0,-INT(-(G$6-$S148)/$T148))+1),0)</f>
        <v>0.0</v>
      </c>
      <c r="H148" s="97">
        <f>IF(ISNUMBER($S148),MAX(0,INT((H$6+6-$S148)/$T148)-MAX(0,-INT(-(H$6-$S148)/$T148))+1),0)</f>
        <v>0.0</v>
      </c>
      <c r="I148" s="97">
        <f>IF(ISNUMBER($S148),MAX(0,INT((I$6+6-$S148)/$T148)-MAX(0,-INT(-(I$6-$S148)/$T148))+1),0)</f>
        <v>0.0</v>
      </c>
      <c r="J148" s="97">
        <f>IF(ISNUMBER($S148),MAX(0,INT((J$6+6-$S148)/$T148)-MAX(0,-INT(-(J$6-$S148)/$T148))+1),0)</f>
        <v>0.0</v>
      </c>
      <c r="K148" s="97">
        <f>IF(ISNUMBER($S148),MAX(0,INT((K$6+6-$S148)/$T148)-MAX(0,-INT(-(K$6-$S148)/$T148))+1),0)</f>
        <v>0.0</v>
      </c>
      <c r="L148" s="97">
        <f>IF(ISNUMBER($S148),MAX(0,INT((L$6+6-$S148)/$T148)-MAX(0,-INT(-(L$6-$S148)/$T148))+1),0)</f>
        <v>0.0</v>
      </c>
      <c r="M148" s="97">
        <f>IF(ISNUMBER($S148),MAX(0,INT((M$6+6-$S148)/$T148)-MAX(0,-INT(-(M$6-$S148)/$T148))+1),0)</f>
        <v>0.0</v>
      </c>
      <c r="N148" s="97">
        <f>IF(ISNUMBER($S148),MAX(0,INT((N$6+6-$S148)/$T148)-MAX(0,-INT(-(N$6-$S148)/$T148))+1),0)</f>
        <v>0.0</v>
      </c>
      <c r="O148" s="97">
        <f>IF(ISNUMBER($S148),MAX(0,INT((O$6+6-$S148)/$T148)-MAX(0,-INT(-(O$6-$S148)/$T148))+1),0)</f>
        <v>0.0</v>
      </c>
      <c r="P148" s="97">
        <f>IF(ISNUMBER($S148),MAX(0,INT((P$6+6-$S148)/$T148)-MAX(0,-INT(-(P$6-$S148)/$T148))+1),0)</f>
        <v>0.0</v>
      </c>
      <c r="Q148" s="97">
        <f>IF(ISNUMBER($S148),MAX(0,INT((Q$6+6-$S148)/$T148)-MAX(0,-INT(-(Q$6-$S148)/$T148))+1),0)</f>
        <v>0.0</v>
      </c>
      <c r="R148" s="97">
        <f>IF(ISNUMBER($S148),MAX(0,INT((R$6+6-$S148)/$T148)-MAX(0,-INT(-(R$6-$S148)/$T148))+1),0)</f>
        <v>0.0</v>
      </c>
      <c r="S148" t="str">
        <f>IF(ISNUMBER(INDEX(pl_period,139)),MAX(INDEX(pl_due,139),p_today),"")</f>
        <v/>
      </c>
      <c r="T148" t="str">
        <f>IF(ISNUMBER(INDEX(pl_period,139)),INDEX(pl_period,139),"")</f>
        <v/>
      </c>
      <c r="U148">
        <f>N(INDEX(pl_dur,139))</f>
        <v>0.0</v>
      </c>
    </row>
    <row r="149">
      <c r="A149" s="93" t="str">
        <f>IF(INDEX(pl_status,140)="","",INDEX(pl_num,140)&amp;"")</f>
        <v/>
      </c>
      <c r="B149" s="93" t="str">
        <f>IF(INDEX(pl_status,140)="","",INDEX(pl_eq,140)&amp;"")</f>
        <v/>
      </c>
      <c r="C149" s="93" t="str">
        <f>IF(INDEX(pl_status,140)="","",INDEX(pl_task,140)&amp;"")</f>
        <v/>
      </c>
      <c r="D149" s="94" t="str">
        <f>IF(ISNUMBER(INDEX(pl_due,140)),INDEX(pl_due,140),"")</f>
        <v/>
      </c>
      <c r="E149" s="95" t="str">
        <f>INDEX(pl_status,140)&amp;""</f>
        <v/>
      </c>
      <c r="F149" s="96" t="str">
        <f>IF(E149="En retard","●","")</f>
        <v/>
      </c>
      <c r="G149" s="97">
        <f>IF(ISNUMBER($S149),MAX(0,INT((G$6+6-$S149)/$T149)-MAX(0,-INT(-(G$6-$S149)/$T149))+1),0)</f>
        <v>0.0</v>
      </c>
      <c r="H149" s="97">
        <f>IF(ISNUMBER($S149),MAX(0,INT((H$6+6-$S149)/$T149)-MAX(0,-INT(-(H$6-$S149)/$T149))+1),0)</f>
        <v>0.0</v>
      </c>
      <c r="I149" s="97">
        <f>IF(ISNUMBER($S149),MAX(0,INT((I$6+6-$S149)/$T149)-MAX(0,-INT(-(I$6-$S149)/$T149))+1),0)</f>
        <v>0.0</v>
      </c>
      <c r="J149" s="97">
        <f>IF(ISNUMBER($S149),MAX(0,INT((J$6+6-$S149)/$T149)-MAX(0,-INT(-(J$6-$S149)/$T149))+1),0)</f>
        <v>0.0</v>
      </c>
      <c r="K149" s="97">
        <f>IF(ISNUMBER($S149),MAX(0,INT((K$6+6-$S149)/$T149)-MAX(0,-INT(-(K$6-$S149)/$T149))+1),0)</f>
        <v>0.0</v>
      </c>
      <c r="L149" s="97">
        <f>IF(ISNUMBER($S149),MAX(0,INT((L$6+6-$S149)/$T149)-MAX(0,-INT(-(L$6-$S149)/$T149))+1),0)</f>
        <v>0.0</v>
      </c>
      <c r="M149" s="97">
        <f>IF(ISNUMBER($S149),MAX(0,INT((M$6+6-$S149)/$T149)-MAX(0,-INT(-(M$6-$S149)/$T149))+1),0)</f>
        <v>0.0</v>
      </c>
      <c r="N149" s="97">
        <f>IF(ISNUMBER($S149),MAX(0,INT((N$6+6-$S149)/$T149)-MAX(0,-INT(-(N$6-$S149)/$T149))+1),0)</f>
        <v>0.0</v>
      </c>
      <c r="O149" s="97">
        <f>IF(ISNUMBER($S149),MAX(0,INT((O$6+6-$S149)/$T149)-MAX(0,-INT(-(O$6-$S149)/$T149))+1),0)</f>
        <v>0.0</v>
      </c>
      <c r="P149" s="97">
        <f>IF(ISNUMBER($S149),MAX(0,INT((P$6+6-$S149)/$T149)-MAX(0,-INT(-(P$6-$S149)/$T149))+1),0)</f>
        <v>0.0</v>
      </c>
      <c r="Q149" s="97">
        <f>IF(ISNUMBER($S149),MAX(0,INT((Q$6+6-$S149)/$T149)-MAX(0,-INT(-(Q$6-$S149)/$T149))+1),0)</f>
        <v>0.0</v>
      </c>
      <c r="R149" s="97">
        <f>IF(ISNUMBER($S149),MAX(0,INT((R$6+6-$S149)/$T149)-MAX(0,-INT(-(R$6-$S149)/$T149))+1),0)</f>
        <v>0.0</v>
      </c>
      <c r="S149" t="str">
        <f>IF(ISNUMBER(INDEX(pl_period,140)),MAX(INDEX(pl_due,140),p_today),"")</f>
        <v/>
      </c>
      <c r="T149" t="str">
        <f>IF(ISNUMBER(INDEX(pl_period,140)),INDEX(pl_period,140),"")</f>
        <v/>
      </c>
      <c r="U149">
        <f>N(INDEX(pl_dur,140))</f>
        <v>0.0</v>
      </c>
    </row>
    <row r="150">
      <c r="A150" s="93" t="str">
        <f>IF(INDEX(pl_status,141)="","",INDEX(pl_num,141)&amp;"")</f>
        <v/>
      </c>
      <c r="B150" s="93" t="str">
        <f>IF(INDEX(pl_status,141)="","",INDEX(pl_eq,141)&amp;"")</f>
        <v/>
      </c>
      <c r="C150" s="93" t="str">
        <f>IF(INDEX(pl_status,141)="","",INDEX(pl_task,141)&amp;"")</f>
        <v/>
      </c>
      <c r="D150" s="94" t="str">
        <f>IF(ISNUMBER(INDEX(pl_due,141)),INDEX(pl_due,141),"")</f>
        <v/>
      </c>
      <c r="E150" s="95" t="str">
        <f>INDEX(pl_status,141)&amp;""</f>
        <v/>
      </c>
      <c r="F150" s="96" t="str">
        <f>IF(E150="En retard","●","")</f>
        <v/>
      </c>
      <c r="G150" s="97">
        <f>IF(ISNUMBER($S150),MAX(0,INT((G$6+6-$S150)/$T150)-MAX(0,-INT(-(G$6-$S150)/$T150))+1),0)</f>
        <v>0.0</v>
      </c>
      <c r="H150" s="97">
        <f>IF(ISNUMBER($S150),MAX(0,INT((H$6+6-$S150)/$T150)-MAX(0,-INT(-(H$6-$S150)/$T150))+1),0)</f>
        <v>0.0</v>
      </c>
      <c r="I150" s="97">
        <f>IF(ISNUMBER($S150),MAX(0,INT((I$6+6-$S150)/$T150)-MAX(0,-INT(-(I$6-$S150)/$T150))+1),0)</f>
        <v>0.0</v>
      </c>
      <c r="J150" s="97">
        <f>IF(ISNUMBER($S150),MAX(0,INT((J$6+6-$S150)/$T150)-MAX(0,-INT(-(J$6-$S150)/$T150))+1),0)</f>
        <v>0.0</v>
      </c>
      <c r="K150" s="97">
        <f>IF(ISNUMBER($S150),MAX(0,INT((K$6+6-$S150)/$T150)-MAX(0,-INT(-(K$6-$S150)/$T150))+1),0)</f>
        <v>0.0</v>
      </c>
      <c r="L150" s="97">
        <f>IF(ISNUMBER($S150),MAX(0,INT((L$6+6-$S150)/$T150)-MAX(0,-INT(-(L$6-$S150)/$T150))+1),0)</f>
        <v>0.0</v>
      </c>
      <c r="M150" s="97">
        <f>IF(ISNUMBER($S150),MAX(0,INT((M$6+6-$S150)/$T150)-MAX(0,-INT(-(M$6-$S150)/$T150))+1),0)</f>
        <v>0.0</v>
      </c>
      <c r="N150" s="97">
        <f>IF(ISNUMBER($S150),MAX(0,INT((N$6+6-$S150)/$T150)-MAX(0,-INT(-(N$6-$S150)/$T150))+1),0)</f>
        <v>0.0</v>
      </c>
      <c r="O150" s="97">
        <f>IF(ISNUMBER($S150),MAX(0,INT((O$6+6-$S150)/$T150)-MAX(0,-INT(-(O$6-$S150)/$T150))+1),0)</f>
        <v>0.0</v>
      </c>
      <c r="P150" s="97">
        <f>IF(ISNUMBER($S150),MAX(0,INT((P$6+6-$S150)/$T150)-MAX(0,-INT(-(P$6-$S150)/$T150))+1),0)</f>
        <v>0.0</v>
      </c>
      <c r="Q150" s="97">
        <f>IF(ISNUMBER($S150),MAX(0,INT((Q$6+6-$S150)/$T150)-MAX(0,-INT(-(Q$6-$S150)/$T150))+1),0)</f>
        <v>0.0</v>
      </c>
      <c r="R150" s="97">
        <f>IF(ISNUMBER($S150),MAX(0,INT((R$6+6-$S150)/$T150)-MAX(0,-INT(-(R$6-$S150)/$T150))+1),0)</f>
        <v>0.0</v>
      </c>
      <c r="S150" t="str">
        <f>IF(ISNUMBER(INDEX(pl_period,141)),MAX(INDEX(pl_due,141),p_today),"")</f>
        <v/>
      </c>
      <c r="T150" t="str">
        <f>IF(ISNUMBER(INDEX(pl_period,141)),INDEX(pl_period,141),"")</f>
        <v/>
      </c>
      <c r="U150">
        <f>N(INDEX(pl_dur,141))</f>
        <v>0.0</v>
      </c>
    </row>
    <row r="151">
      <c r="A151" s="93" t="str">
        <f>IF(INDEX(pl_status,142)="","",INDEX(pl_num,142)&amp;"")</f>
        <v/>
      </c>
      <c r="B151" s="93" t="str">
        <f>IF(INDEX(pl_status,142)="","",INDEX(pl_eq,142)&amp;"")</f>
        <v/>
      </c>
      <c r="C151" s="93" t="str">
        <f>IF(INDEX(pl_status,142)="","",INDEX(pl_task,142)&amp;"")</f>
        <v/>
      </c>
      <c r="D151" s="94" t="str">
        <f>IF(ISNUMBER(INDEX(pl_due,142)),INDEX(pl_due,142),"")</f>
        <v/>
      </c>
      <c r="E151" s="95" t="str">
        <f>INDEX(pl_status,142)&amp;""</f>
        <v/>
      </c>
      <c r="F151" s="96" t="str">
        <f>IF(E151="En retard","●","")</f>
        <v/>
      </c>
      <c r="G151" s="97">
        <f>IF(ISNUMBER($S151),MAX(0,INT((G$6+6-$S151)/$T151)-MAX(0,-INT(-(G$6-$S151)/$T151))+1),0)</f>
        <v>0.0</v>
      </c>
      <c r="H151" s="97">
        <f>IF(ISNUMBER($S151),MAX(0,INT((H$6+6-$S151)/$T151)-MAX(0,-INT(-(H$6-$S151)/$T151))+1),0)</f>
        <v>0.0</v>
      </c>
      <c r="I151" s="97">
        <f>IF(ISNUMBER($S151),MAX(0,INT((I$6+6-$S151)/$T151)-MAX(0,-INT(-(I$6-$S151)/$T151))+1),0)</f>
        <v>0.0</v>
      </c>
      <c r="J151" s="97">
        <f>IF(ISNUMBER($S151),MAX(0,INT((J$6+6-$S151)/$T151)-MAX(0,-INT(-(J$6-$S151)/$T151))+1),0)</f>
        <v>0.0</v>
      </c>
      <c r="K151" s="97">
        <f>IF(ISNUMBER($S151),MAX(0,INT((K$6+6-$S151)/$T151)-MAX(0,-INT(-(K$6-$S151)/$T151))+1),0)</f>
        <v>0.0</v>
      </c>
      <c r="L151" s="97">
        <f>IF(ISNUMBER($S151),MAX(0,INT((L$6+6-$S151)/$T151)-MAX(0,-INT(-(L$6-$S151)/$T151))+1),0)</f>
        <v>0.0</v>
      </c>
      <c r="M151" s="97">
        <f>IF(ISNUMBER($S151),MAX(0,INT((M$6+6-$S151)/$T151)-MAX(0,-INT(-(M$6-$S151)/$T151))+1),0)</f>
        <v>0.0</v>
      </c>
      <c r="N151" s="97">
        <f>IF(ISNUMBER($S151),MAX(0,INT((N$6+6-$S151)/$T151)-MAX(0,-INT(-(N$6-$S151)/$T151))+1),0)</f>
        <v>0.0</v>
      </c>
      <c r="O151" s="97">
        <f>IF(ISNUMBER($S151),MAX(0,INT((O$6+6-$S151)/$T151)-MAX(0,-INT(-(O$6-$S151)/$T151))+1),0)</f>
        <v>0.0</v>
      </c>
      <c r="P151" s="97">
        <f>IF(ISNUMBER($S151),MAX(0,INT((P$6+6-$S151)/$T151)-MAX(0,-INT(-(P$6-$S151)/$T151))+1),0)</f>
        <v>0.0</v>
      </c>
      <c r="Q151" s="97">
        <f>IF(ISNUMBER($S151),MAX(0,INT((Q$6+6-$S151)/$T151)-MAX(0,-INT(-(Q$6-$S151)/$T151))+1),0)</f>
        <v>0.0</v>
      </c>
      <c r="R151" s="97">
        <f>IF(ISNUMBER($S151),MAX(0,INT((R$6+6-$S151)/$T151)-MAX(0,-INT(-(R$6-$S151)/$T151))+1),0)</f>
        <v>0.0</v>
      </c>
      <c r="S151" t="str">
        <f>IF(ISNUMBER(INDEX(pl_period,142)),MAX(INDEX(pl_due,142),p_today),"")</f>
        <v/>
      </c>
      <c r="T151" t="str">
        <f>IF(ISNUMBER(INDEX(pl_period,142)),INDEX(pl_period,142),"")</f>
        <v/>
      </c>
      <c r="U151">
        <f>N(INDEX(pl_dur,142))</f>
        <v>0.0</v>
      </c>
    </row>
    <row r="152">
      <c r="A152" s="93" t="str">
        <f>IF(INDEX(pl_status,143)="","",INDEX(pl_num,143)&amp;"")</f>
        <v/>
      </c>
      <c r="B152" s="93" t="str">
        <f>IF(INDEX(pl_status,143)="","",INDEX(pl_eq,143)&amp;"")</f>
        <v/>
      </c>
      <c r="C152" s="93" t="str">
        <f>IF(INDEX(pl_status,143)="","",INDEX(pl_task,143)&amp;"")</f>
        <v/>
      </c>
      <c r="D152" s="94" t="str">
        <f>IF(ISNUMBER(INDEX(pl_due,143)),INDEX(pl_due,143),"")</f>
        <v/>
      </c>
      <c r="E152" s="95" t="str">
        <f>INDEX(pl_status,143)&amp;""</f>
        <v/>
      </c>
      <c r="F152" s="96" t="str">
        <f>IF(E152="En retard","●","")</f>
        <v/>
      </c>
      <c r="G152" s="97">
        <f>IF(ISNUMBER($S152),MAX(0,INT((G$6+6-$S152)/$T152)-MAX(0,-INT(-(G$6-$S152)/$T152))+1),0)</f>
        <v>0.0</v>
      </c>
      <c r="H152" s="97">
        <f>IF(ISNUMBER($S152),MAX(0,INT((H$6+6-$S152)/$T152)-MAX(0,-INT(-(H$6-$S152)/$T152))+1),0)</f>
        <v>0.0</v>
      </c>
      <c r="I152" s="97">
        <f>IF(ISNUMBER($S152),MAX(0,INT((I$6+6-$S152)/$T152)-MAX(0,-INT(-(I$6-$S152)/$T152))+1),0)</f>
        <v>0.0</v>
      </c>
      <c r="J152" s="97">
        <f>IF(ISNUMBER($S152),MAX(0,INT((J$6+6-$S152)/$T152)-MAX(0,-INT(-(J$6-$S152)/$T152))+1),0)</f>
        <v>0.0</v>
      </c>
      <c r="K152" s="97">
        <f>IF(ISNUMBER($S152),MAX(0,INT((K$6+6-$S152)/$T152)-MAX(0,-INT(-(K$6-$S152)/$T152))+1),0)</f>
        <v>0.0</v>
      </c>
      <c r="L152" s="97">
        <f>IF(ISNUMBER($S152),MAX(0,INT((L$6+6-$S152)/$T152)-MAX(0,-INT(-(L$6-$S152)/$T152))+1),0)</f>
        <v>0.0</v>
      </c>
      <c r="M152" s="97">
        <f>IF(ISNUMBER($S152),MAX(0,INT((M$6+6-$S152)/$T152)-MAX(0,-INT(-(M$6-$S152)/$T152))+1),0)</f>
        <v>0.0</v>
      </c>
      <c r="N152" s="97">
        <f>IF(ISNUMBER($S152),MAX(0,INT((N$6+6-$S152)/$T152)-MAX(0,-INT(-(N$6-$S152)/$T152))+1),0)</f>
        <v>0.0</v>
      </c>
      <c r="O152" s="97">
        <f>IF(ISNUMBER($S152),MAX(0,INT((O$6+6-$S152)/$T152)-MAX(0,-INT(-(O$6-$S152)/$T152))+1),0)</f>
        <v>0.0</v>
      </c>
      <c r="P152" s="97">
        <f>IF(ISNUMBER($S152),MAX(0,INT((P$6+6-$S152)/$T152)-MAX(0,-INT(-(P$6-$S152)/$T152))+1),0)</f>
        <v>0.0</v>
      </c>
      <c r="Q152" s="97">
        <f>IF(ISNUMBER($S152),MAX(0,INT((Q$6+6-$S152)/$T152)-MAX(0,-INT(-(Q$6-$S152)/$T152))+1),0)</f>
        <v>0.0</v>
      </c>
      <c r="R152" s="97">
        <f>IF(ISNUMBER($S152),MAX(0,INT((R$6+6-$S152)/$T152)-MAX(0,-INT(-(R$6-$S152)/$T152))+1),0)</f>
        <v>0.0</v>
      </c>
      <c r="S152" t="str">
        <f>IF(ISNUMBER(INDEX(pl_period,143)),MAX(INDEX(pl_due,143),p_today),"")</f>
        <v/>
      </c>
      <c r="T152" t="str">
        <f>IF(ISNUMBER(INDEX(pl_period,143)),INDEX(pl_period,143),"")</f>
        <v/>
      </c>
      <c r="U152">
        <f>N(INDEX(pl_dur,143))</f>
        <v>0.0</v>
      </c>
    </row>
    <row r="153">
      <c r="A153" s="93" t="str">
        <f>IF(INDEX(pl_status,144)="","",INDEX(pl_num,144)&amp;"")</f>
        <v/>
      </c>
      <c r="B153" s="93" t="str">
        <f>IF(INDEX(pl_status,144)="","",INDEX(pl_eq,144)&amp;"")</f>
        <v/>
      </c>
      <c r="C153" s="93" t="str">
        <f>IF(INDEX(pl_status,144)="","",INDEX(pl_task,144)&amp;"")</f>
        <v/>
      </c>
      <c r="D153" s="94" t="str">
        <f>IF(ISNUMBER(INDEX(pl_due,144)),INDEX(pl_due,144),"")</f>
        <v/>
      </c>
      <c r="E153" s="95" t="str">
        <f>INDEX(pl_status,144)&amp;""</f>
        <v/>
      </c>
      <c r="F153" s="96" t="str">
        <f>IF(E153="En retard","●","")</f>
        <v/>
      </c>
      <c r="G153" s="97">
        <f>IF(ISNUMBER($S153),MAX(0,INT((G$6+6-$S153)/$T153)-MAX(0,-INT(-(G$6-$S153)/$T153))+1),0)</f>
        <v>0.0</v>
      </c>
      <c r="H153" s="97">
        <f>IF(ISNUMBER($S153),MAX(0,INT((H$6+6-$S153)/$T153)-MAX(0,-INT(-(H$6-$S153)/$T153))+1),0)</f>
        <v>0.0</v>
      </c>
      <c r="I153" s="97">
        <f>IF(ISNUMBER($S153),MAX(0,INT((I$6+6-$S153)/$T153)-MAX(0,-INT(-(I$6-$S153)/$T153))+1),0)</f>
        <v>0.0</v>
      </c>
      <c r="J153" s="97">
        <f>IF(ISNUMBER($S153),MAX(0,INT((J$6+6-$S153)/$T153)-MAX(0,-INT(-(J$6-$S153)/$T153))+1),0)</f>
        <v>0.0</v>
      </c>
      <c r="K153" s="97">
        <f>IF(ISNUMBER($S153),MAX(0,INT((K$6+6-$S153)/$T153)-MAX(0,-INT(-(K$6-$S153)/$T153))+1),0)</f>
        <v>0.0</v>
      </c>
      <c r="L153" s="97">
        <f>IF(ISNUMBER($S153),MAX(0,INT((L$6+6-$S153)/$T153)-MAX(0,-INT(-(L$6-$S153)/$T153))+1),0)</f>
        <v>0.0</v>
      </c>
      <c r="M153" s="97">
        <f>IF(ISNUMBER($S153),MAX(0,INT((M$6+6-$S153)/$T153)-MAX(0,-INT(-(M$6-$S153)/$T153))+1),0)</f>
        <v>0.0</v>
      </c>
      <c r="N153" s="97">
        <f>IF(ISNUMBER($S153),MAX(0,INT((N$6+6-$S153)/$T153)-MAX(0,-INT(-(N$6-$S153)/$T153))+1),0)</f>
        <v>0.0</v>
      </c>
      <c r="O153" s="97">
        <f>IF(ISNUMBER($S153),MAX(0,INT((O$6+6-$S153)/$T153)-MAX(0,-INT(-(O$6-$S153)/$T153))+1),0)</f>
        <v>0.0</v>
      </c>
      <c r="P153" s="97">
        <f>IF(ISNUMBER($S153),MAX(0,INT((P$6+6-$S153)/$T153)-MAX(0,-INT(-(P$6-$S153)/$T153))+1),0)</f>
        <v>0.0</v>
      </c>
      <c r="Q153" s="97">
        <f>IF(ISNUMBER($S153),MAX(0,INT((Q$6+6-$S153)/$T153)-MAX(0,-INT(-(Q$6-$S153)/$T153))+1),0)</f>
        <v>0.0</v>
      </c>
      <c r="R153" s="97">
        <f>IF(ISNUMBER($S153),MAX(0,INT((R$6+6-$S153)/$T153)-MAX(0,-INT(-(R$6-$S153)/$T153))+1),0)</f>
        <v>0.0</v>
      </c>
      <c r="S153" t="str">
        <f>IF(ISNUMBER(INDEX(pl_period,144)),MAX(INDEX(pl_due,144),p_today),"")</f>
        <v/>
      </c>
      <c r="T153" t="str">
        <f>IF(ISNUMBER(INDEX(pl_period,144)),INDEX(pl_period,144),"")</f>
        <v/>
      </c>
      <c r="U153">
        <f>N(INDEX(pl_dur,144))</f>
        <v>0.0</v>
      </c>
    </row>
    <row r="154">
      <c r="A154" s="93" t="str">
        <f>IF(INDEX(pl_status,145)="","",INDEX(pl_num,145)&amp;"")</f>
        <v/>
      </c>
      <c r="B154" s="93" t="str">
        <f>IF(INDEX(pl_status,145)="","",INDEX(pl_eq,145)&amp;"")</f>
        <v/>
      </c>
      <c r="C154" s="93" t="str">
        <f>IF(INDEX(pl_status,145)="","",INDEX(pl_task,145)&amp;"")</f>
        <v/>
      </c>
      <c r="D154" s="94" t="str">
        <f>IF(ISNUMBER(INDEX(pl_due,145)),INDEX(pl_due,145),"")</f>
        <v/>
      </c>
      <c r="E154" s="95" t="str">
        <f>INDEX(pl_status,145)&amp;""</f>
        <v/>
      </c>
      <c r="F154" s="96" t="str">
        <f>IF(E154="En retard","●","")</f>
        <v/>
      </c>
      <c r="G154" s="97">
        <f>IF(ISNUMBER($S154),MAX(0,INT((G$6+6-$S154)/$T154)-MAX(0,-INT(-(G$6-$S154)/$T154))+1),0)</f>
        <v>0.0</v>
      </c>
      <c r="H154" s="97">
        <f>IF(ISNUMBER($S154),MAX(0,INT((H$6+6-$S154)/$T154)-MAX(0,-INT(-(H$6-$S154)/$T154))+1),0)</f>
        <v>0.0</v>
      </c>
      <c r="I154" s="97">
        <f>IF(ISNUMBER($S154),MAX(0,INT((I$6+6-$S154)/$T154)-MAX(0,-INT(-(I$6-$S154)/$T154))+1),0)</f>
        <v>0.0</v>
      </c>
      <c r="J154" s="97">
        <f>IF(ISNUMBER($S154),MAX(0,INT((J$6+6-$S154)/$T154)-MAX(0,-INT(-(J$6-$S154)/$T154))+1),0)</f>
        <v>0.0</v>
      </c>
      <c r="K154" s="97">
        <f>IF(ISNUMBER($S154),MAX(0,INT((K$6+6-$S154)/$T154)-MAX(0,-INT(-(K$6-$S154)/$T154))+1),0)</f>
        <v>0.0</v>
      </c>
      <c r="L154" s="97">
        <f>IF(ISNUMBER($S154),MAX(0,INT((L$6+6-$S154)/$T154)-MAX(0,-INT(-(L$6-$S154)/$T154))+1),0)</f>
        <v>0.0</v>
      </c>
      <c r="M154" s="97">
        <f>IF(ISNUMBER($S154),MAX(0,INT((M$6+6-$S154)/$T154)-MAX(0,-INT(-(M$6-$S154)/$T154))+1),0)</f>
        <v>0.0</v>
      </c>
      <c r="N154" s="97">
        <f>IF(ISNUMBER($S154),MAX(0,INT((N$6+6-$S154)/$T154)-MAX(0,-INT(-(N$6-$S154)/$T154))+1),0)</f>
        <v>0.0</v>
      </c>
      <c r="O154" s="97">
        <f>IF(ISNUMBER($S154),MAX(0,INT((O$6+6-$S154)/$T154)-MAX(0,-INT(-(O$6-$S154)/$T154))+1),0)</f>
        <v>0.0</v>
      </c>
      <c r="P154" s="97">
        <f>IF(ISNUMBER($S154),MAX(0,INT((P$6+6-$S154)/$T154)-MAX(0,-INT(-(P$6-$S154)/$T154))+1),0)</f>
        <v>0.0</v>
      </c>
      <c r="Q154" s="97">
        <f>IF(ISNUMBER($S154),MAX(0,INT((Q$6+6-$S154)/$T154)-MAX(0,-INT(-(Q$6-$S154)/$T154))+1),0)</f>
        <v>0.0</v>
      </c>
      <c r="R154" s="97">
        <f>IF(ISNUMBER($S154),MAX(0,INT((R$6+6-$S154)/$T154)-MAX(0,-INT(-(R$6-$S154)/$T154))+1),0)</f>
        <v>0.0</v>
      </c>
      <c r="S154" t="str">
        <f>IF(ISNUMBER(INDEX(pl_period,145)),MAX(INDEX(pl_due,145),p_today),"")</f>
        <v/>
      </c>
      <c r="T154" t="str">
        <f>IF(ISNUMBER(INDEX(pl_period,145)),INDEX(pl_period,145),"")</f>
        <v/>
      </c>
      <c r="U154">
        <f>N(INDEX(pl_dur,145))</f>
        <v>0.0</v>
      </c>
    </row>
    <row r="155">
      <c r="A155" s="93" t="str">
        <f>IF(INDEX(pl_status,146)="","",INDEX(pl_num,146)&amp;"")</f>
        <v/>
      </c>
      <c r="B155" s="93" t="str">
        <f>IF(INDEX(pl_status,146)="","",INDEX(pl_eq,146)&amp;"")</f>
        <v/>
      </c>
      <c r="C155" s="93" t="str">
        <f>IF(INDEX(pl_status,146)="","",INDEX(pl_task,146)&amp;"")</f>
        <v/>
      </c>
      <c r="D155" s="94" t="str">
        <f>IF(ISNUMBER(INDEX(pl_due,146)),INDEX(pl_due,146),"")</f>
        <v/>
      </c>
      <c r="E155" s="95" t="str">
        <f>INDEX(pl_status,146)&amp;""</f>
        <v/>
      </c>
      <c r="F155" s="96" t="str">
        <f>IF(E155="En retard","●","")</f>
        <v/>
      </c>
      <c r="G155" s="97">
        <f>IF(ISNUMBER($S155),MAX(0,INT((G$6+6-$S155)/$T155)-MAX(0,-INT(-(G$6-$S155)/$T155))+1),0)</f>
        <v>0.0</v>
      </c>
      <c r="H155" s="97">
        <f>IF(ISNUMBER($S155),MAX(0,INT((H$6+6-$S155)/$T155)-MAX(0,-INT(-(H$6-$S155)/$T155))+1),0)</f>
        <v>0.0</v>
      </c>
      <c r="I155" s="97">
        <f>IF(ISNUMBER($S155),MAX(0,INT((I$6+6-$S155)/$T155)-MAX(0,-INT(-(I$6-$S155)/$T155))+1),0)</f>
        <v>0.0</v>
      </c>
      <c r="J155" s="97">
        <f>IF(ISNUMBER($S155),MAX(0,INT((J$6+6-$S155)/$T155)-MAX(0,-INT(-(J$6-$S155)/$T155))+1),0)</f>
        <v>0.0</v>
      </c>
      <c r="K155" s="97">
        <f>IF(ISNUMBER($S155),MAX(0,INT((K$6+6-$S155)/$T155)-MAX(0,-INT(-(K$6-$S155)/$T155))+1),0)</f>
        <v>0.0</v>
      </c>
      <c r="L155" s="97">
        <f>IF(ISNUMBER($S155),MAX(0,INT((L$6+6-$S155)/$T155)-MAX(0,-INT(-(L$6-$S155)/$T155))+1),0)</f>
        <v>0.0</v>
      </c>
      <c r="M155" s="97">
        <f>IF(ISNUMBER($S155),MAX(0,INT((M$6+6-$S155)/$T155)-MAX(0,-INT(-(M$6-$S155)/$T155))+1),0)</f>
        <v>0.0</v>
      </c>
      <c r="N155" s="97">
        <f>IF(ISNUMBER($S155),MAX(0,INT((N$6+6-$S155)/$T155)-MAX(0,-INT(-(N$6-$S155)/$T155))+1),0)</f>
        <v>0.0</v>
      </c>
      <c r="O155" s="97">
        <f>IF(ISNUMBER($S155),MAX(0,INT((O$6+6-$S155)/$T155)-MAX(0,-INT(-(O$6-$S155)/$T155))+1),0)</f>
        <v>0.0</v>
      </c>
      <c r="P155" s="97">
        <f>IF(ISNUMBER($S155),MAX(0,INT((P$6+6-$S155)/$T155)-MAX(0,-INT(-(P$6-$S155)/$T155))+1),0)</f>
        <v>0.0</v>
      </c>
      <c r="Q155" s="97">
        <f>IF(ISNUMBER($S155),MAX(0,INT((Q$6+6-$S155)/$T155)-MAX(0,-INT(-(Q$6-$S155)/$T155))+1),0)</f>
        <v>0.0</v>
      </c>
      <c r="R155" s="97">
        <f>IF(ISNUMBER($S155),MAX(0,INT((R$6+6-$S155)/$T155)-MAX(0,-INT(-(R$6-$S155)/$T155))+1),0)</f>
        <v>0.0</v>
      </c>
      <c r="S155" t="str">
        <f>IF(ISNUMBER(INDEX(pl_period,146)),MAX(INDEX(pl_due,146),p_today),"")</f>
        <v/>
      </c>
      <c r="T155" t="str">
        <f>IF(ISNUMBER(INDEX(pl_period,146)),INDEX(pl_period,146),"")</f>
        <v/>
      </c>
      <c r="U155">
        <f>N(INDEX(pl_dur,146))</f>
        <v>0.0</v>
      </c>
    </row>
    <row r="156">
      <c r="A156" s="93" t="str">
        <f>IF(INDEX(pl_status,147)="","",INDEX(pl_num,147)&amp;"")</f>
        <v/>
      </c>
      <c r="B156" s="93" t="str">
        <f>IF(INDEX(pl_status,147)="","",INDEX(pl_eq,147)&amp;"")</f>
        <v/>
      </c>
      <c r="C156" s="93" t="str">
        <f>IF(INDEX(pl_status,147)="","",INDEX(pl_task,147)&amp;"")</f>
        <v/>
      </c>
      <c r="D156" s="94" t="str">
        <f>IF(ISNUMBER(INDEX(pl_due,147)),INDEX(pl_due,147),"")</f>
        <v/>
      </c>
      <c r="E156" s="95" t="str">
        <f>INDEX(pl_status,147)&amp;""</f>
        <v/>
      </c>
      <c r="F156" s="96" t="str">
        <f>IF(E156="En retard","●","")</f>
        <v/>
      </c>
      <c r="G156" s="97">
        <f>IF(ISNUMBER($S156),MAX(0,INT((G$6+6-$S156)/$T156)-MAX(0,-INT(-(G$6-$S156)/$T156))+1),0)</f>
        <v>0.0</v>
      </c>
      <c r="H156" s="97">
        <f>IF(ISNUMBER($S156),MAX(0,INT((H$6+6-$S156)/$T156)-MAX(0,-INT(-(H$6-$S156)/$T156))+1),0)</f>
        <v>0.0</v>
      </c>
      <c r="I156" s="97">
        <f>IF(ISNUMBER($S156),MAX(0,INT((I$6+6-$S156)/$T156)-MAX(0,-INT(-(I$6-$S156)/$T156))+1),0)</f>
        <v>0.0</v>
      </c>
      <c r="J156" s="97">
        <f>IF(ISNUMBER($S156),MAX(0,INT((J$6+6-$S156)/$T156)-MAX(0,-INT(-(J$6-$S156)/$T156))+1),0)</f>
        <v>0.0</v>
      </c>
      <c r="K156" s="97">
        <f>IF(ISNUMBER($S156),MAX(0,INT((K$6+6-$S156)/$T156)-MAX(0,-INT(-(K$6-$S156)/$T156))+1),0)</f>
        <v>0.0</v>
      </c>
      <c r="L156" s="97">
        <f>IF(ISNUMBER($S156),MAX(0,INT((L$6+6-$S156)/$T156)-MAX(0,-INT(-(L$6-$S156)/$T156))+1),0)</f>
        <v>0.0</v>
      </c>
      <c r="M156" s="97">
        <f>IF(ISNUMBER($S156),MAX(0,INT((M$6+6-$S156)/$T156)-MAX(0,-INT(-(M$6-$S156)/$T156))+1),0)</f>
        <v>0.0</v>
      </c>
      <c r="N156" s="97">
        <f>IF(ISNUMBER($S156),MAX(0,INT((N$6+6-$S156)/$T156)-MAX(0,-INT(-(N$6-$S156)/$T156))+1),0)</f>
        <v>0.0</v>
      </c>
      <c r="O156" s="97">
        <f>IF(ISNUMBER($S156),MAX(0,INT((O$6+6-$S156)/$T156)-MAX(0,-INT(-(O$6-$S156)/$T156))+1),0)</f>
        <v>0.0</v>
      </c>
      <c r="P156" s="97">
        <f>IF(ISNUMBER($S156),MAX(0,INT((P$6+6-$S156)/$T156)-MAX(0,-INT(-(P$6-$S156)/$T156))+1),0)</f>
        <v>0.0</v>
      </c>
      <c r="Q156" s="97">
        <f>IF(ISNUMBER($S156),MAX(0,INT((Q$6+6-$S156)/$T156)-MAX(0,-INT(-(Q$6-$S156)/$T156))+1),0)</f>
        <v>0.0</v>
      </c>
      <c r="R156" s="97">
        <f>IF(ISNUMBER($S156),MAX(0,INT((R$6+6-$S156)/$T156)-MAX(0,-INT(-(R$6-$S156)/$T156))+1),0)</f>
        <v>0.0</v>
      </c>
      <c r="S156" t="str">
        <f>IF(ISNUMBER(INDEX(pl_period,147)),MAX(INDEX(pl_due,147),p_today),"")</f>
        <v/>
      </c>
      <c r="T156" t="str">
        <f>IF(ISNUMBER(INDEX(pl_period,147)),INDEX(pl_period,147),"")</f>
        <v/>
      </c>
      <c r="U156">
        <f>N(INDEX(pl_dur,147))</f>
        <v>0.0</v>
      </c>
    </row>
    <row r="157">
      <c r="A157" s="93" t="str">
        <f>IF(INDEX(pl_status,148)="","",INDEX(pl_num,148)&amp;"")</f>
        <v/>
      </c>
      <c r="B157" s="93" t="str">
        <f>IF(INDEX(pl_status,148)="","",INDEX(pl_eq,148)&amp;"")</f>
        <v/>
      </c>
      <c r="C157" s="93" t="str">
        <f>IF(INDEX(pl_status,148)="","",INDEX(pl_task,148)&amp;"")</f>
        <v/>
      </c>
      <c r="D157" s="94" t="str">
        <f>IF(ISNUMBER(INDEX(pl_due,148)),INDEX(pl_due,148),"")</f>
        <v/>
      </c>
      <c r="E157" s="95" t="str">
        <f>INDEX(pl_status,148)&amp;""</f>
        <v/>
      </c>
      <c r="F157" s="96" t="str">
        <f>IF(E157="En retard","●","")</f>
        <v/>
      </c>
      <c r="G157" s="97">
        <f>IF(ISNUMBER($S157),MAX(0,INT((G$6+6-$S157)/$T157)-MAX(0,-INT(-(G$6-$S157)/$T157))+1),0)</f>
        <v>0.0</v>
      </c>
      <c r="H157" s="97">
        <f>IF(ISNUMBER($S157),MAX(0,INT((H$6+6-$S157)/$T157)-MAX(0,-INT(-(H$6-$S157)/$T157))+1),0)</f>
        <v>0.0</v>
      </c>
      <c r="I157" s="97">
        <f>IF(ISNUMBER($S157),MAX(0,INT((I$6+6-$S157)/$T157)-MAX(0,-INT(-(I$6-$S157)/$T157))+1),0)</f>
        <v>0.0</v>
      </c>
      <c r="J157" s="97">
        <f>IF(ISNUMBER($S157),MAX(0,INT((J$6+6-$S157)/$T157)-MAX(0,-INT(-(J$6-$S157)/$T157))+1),0)</f>
        <v>0.0</v>
      </c>
      <c r="K157" s="97">
        <f>IF(ISNUMBER($S157),MAX(0,INT((K$6+6-$S157)/$T157)-MAX(0,-INT(-(K$6-$S157)/$T157))+1),0)</f>
        <v>0.0</v>
      </c>
      <c r="L157" s="97">
        <f>IF(ISNUMBER($S157),MAX(0,INT((L$6+6-$S157)/$T157)-MAX(0,-INT(-(L$6-$S157)/$T157))+1),0)</f>
        <v>0.0</v>
      </c>
      <c r="M157" s="97">
        <f>IF(ISNUMBER($S157),MAX(0,INT((M$6+6-$S157)/$T157)-MAX(0,-INT(-(M$6-$S157)/$T157))+1),0)</f>
        <v>0.0</v>
      </c>
      <c r="N157" s="97">
        <f>IF(ISNUMBER($S157),MAX(0,INT((N$6+6-$S157)/$T157)-MAX(0,-INT(-(N$6-$S157)/$T157))+1),0)</f>
        <v>0.0</v>
      </c>
      <c r="O157" s="97">
        <f>IF(ISNUMBER($S157),MAX(0,INT((O$6+6-$S157)/$T157)-MAX(0,-INT(-(O$6-$S157)/$T157))+1),0)</f>
        <v>0.0</v>
      </c>
      <c r="P157" s="97">
        <f>IF(ISNUMBER($S157),MAX(0,INT((P$6+6-$S157)/$T157)-MAX(0,-INT(-(P$6-$S157)/$T157))+1),0)</f>
        <v>0.0</v>
      </c>
      <c r="Q157" s="97">
        <f>IF(ISNUMBER($S157),MAX(0,INT((Q$6+6-$S157)/$T157)-MAX(0,-INT(-(Q$6-$S157)/$T157))+1),0)</f>
        <v>0.0</v>
      </c>
      <c r="R157" s="97">
        <f>IF(ISNUMBER($S157),MAX(0,INT((R$6+6-$S157)/$T157)-MAX(0,-INT(-(R$6-$S157)/$T157))+1),0)</f>
        <v>0.0</v>
      </c>
      <c r="S157" t="str">
        <f>IF(ISNUMBER(INDEX(pl_period,148)),MAX(INDEX(pl_due,148),p_today),"")</f>
        <v/>
      </c>
      <c r="T157" t="str">
        <f>IF(ISNUMBER(INDEX(pl_period,148)),INDEX(pl_period,148),"")</f>
        <v/>
      </c>
      <c r="U157">
        <f>N(INDEX(pl_dur,148))</f>
        <v>0.0</v>
      </c>
    </row>
    <row r="158">
      <c r="A158" s="93" t="str">
        <f>IF(INDEX(pl_status,149)="","",INDEX(pl_num,149)&amp;"")</f>
        <v/>
      </c>
      <c r="B158" s="93" t="str">
        <f>IF(INDEX(pl_status,149)="","",INDEX(pl_eq,149)&amp;"")</f>
        <v/>
      </c>
      <c r="C158" s="93" t="str">
        <f>IF(INDEX(pl_status,149)="","",INDEX(pl_task,149)&amp;"")</f>
        <v/>
      </c>
      <c r="D158" s="94" t="str">
        <f>IF(ISNUMBER(INDEX(pl_due,149)),INDEX(pl_due,149),"")</f>
        <v/>
      </c>
      <c r="E158" s="95" t="str">
        <f>INDEX(pl_status,149)&amp;""</f>
        <v/>
      </c>
      <c r="F158" s="96" t="str">
        <f>IF(E158="En retard","●","")</f>
        <v/>
      </c>
      <c r="G158" s="97">
        <f>IF(ISNUMBER($S158),MAX(0,INT((G$6+6-$S158)/$T158)-MAX(0,-INT(-(G$6-$S158)/$T158))+1),0)</f>
        <v>0.0</v>
      </c>
      <c r="H158" s="97">
        <f>IF(ISNUMBER($S158),MAX(0,INT((H$6+6-$S158)/$T158)-MAX(0,-INT(-(H$6-$S158)/$T158))+1),0)</f>
        <v>0.0</v>
      </c>
      <c r="I158" s="97">
        <f>IF(ISNUMBER($S158),MAX(0,INT((I$6+6-$S158)/$T158)-MAX(0,-INT(-(I$6-$S158)/$T158))+1),0)</f>
        <v>0.0</v>
      </c>
      <c r="J158" s="97">
        <f>IF(ISNUMBER($S158),MAX(0,INT((J$6+6-$S158)/$T158)-MAX(0,-INT(-(J$6-$S158)/$T158))+1),0)</f>
        <v>0.0</v>
      </c>
      <c r="K158" s="97">
        <f>IF(ISNUMBER($S158),MAX(0,INT((K$6+6-$S158)/$T158)-MAX(0,-INT(-(K$6-$S158)/$T158))+1),0)</f>
        <v>0.0</v>
      </c>
      <c r="L158" s="97">
        <f>IF(ISNUMBER($S158),MAX(0,INT((L$6+6-$S158)/$T158)-MAX(0,-INT(-(L$6-$S158)/$T158))+1),0)</f>
        <v>0.0</v>
      </c>
      <c r="M158" s="97">
        <f>IF(ISNUMBER($S158),MAX(0,INT((M$6+6-$S158)/$T158)-MAX(0,-INT(-(M$6-$S158)/$T158))+1),0)</f>
        <v>0.0</v>
      </c>
      <c r="N158" s="97">
        <f>IF(ISNUMBER($S158),MAX(0,INT((N$6+6-$S158)/$T158)-MAX(0,-INT(-(N$6-$S158)/$T158))+1),0)</f>
        <v>0.0</v>
      </c>
      <c r="O158" s="97">
        <f>IF(ISNUMBER($S158),MAX(0,INT((O$6+6-$S158)/$T158)-MAX(0,-INT(-(O$6-$S158)/$T158))+1),0)</f>
        <v>0.0</v>
      </c>
      <c r="P158" s="97">
        <f>IF(ISNUMBER($S158),MAX(0,INT((P$6+6-$S158)/$T158)-MAX(0,-INT(-(P$6-$S158)/$T158))+1),0)</f>
        <v>0.0</v>
      </c>
      <c r="Q158" s="97">
        <f>IF(ISNUMBER($S158),MAX(0,INT((Q$6+6-$S158)/$T158)-MAX(0,-INT(-(Q$6-$S158)/$T158))+1),0)</f>
        <v>0.0</v>
      </c>
      <c r="R158" s="97">
        <f>IF(ISNUMBER($S158),MAX(0,INT((R$6+6-$S158)/$T158)-MAX(0,-INT(-(R$6-$S158)/$T158))+1),0)</f>
        <v>0.0</v>
      </c>
      <c r="S158" t="str">
        <f>IF(ISNUMBER(INDEX(pl_period,149)),MAX(INDEX(pl_due,149),p_today),"")</f>
        <v/>
      </c>
      <c r="T158" t="str">
        <f>IF(ISNUMBER(INDEX(pl_period,149)),INDEX(pl_period,149),"")</f>
        <v/>
      </c>
      <c r="U158">
        <f>N(INDEX(pl_dur,149))</f>
        <v>0.0</v>
      </c>
    </row>
    <row r="159">
      <c r="A159" s="93" t="str">
        <f>IF(INDEX(pl_status,150)="","",INDEX(pl_num,150)&amp;"")</f>
        <v/>
      </c>
      <c r="B159" s="93" t="str">
        <f>IF(INDEX(pl_status,150)="","",INDEX(pl_eq,150)&amp;"")</f>
        <v/>
      </c>
      <c r="C159" s="93" t="str">
        <f>IF(INDEX(pl_status,150)="","",INDEX(pl_task,150)&amp;"")</f>
        <v/>
      </c>
      <c r="D159" s="94" t="str">
        <f>IF(ISNUMBER(INDEX(pl_due,150)),INDEX(pl_due,150),"")</f>
        <v/>
      </c>
      <c r="E159" s="95" t="str">
        <f>INDEX(pl_status,150)&amp;""</f>
        <v/>
      </c>
      <c r="F159" s="96" t="str">
        <f>IF(E159="En retard","●","")</f>
        <v/>
      </c>
      <c r="G159" s="97">
        <f>IF(ISNUMBER($S159),MAX(0,INT((G$6+6-$S159)/$T159)-MAX(0,-INT(-(G$6-$S159)/$T159))+1),0)</f>
        <v>0.0</v>
      </c>
      <c r="H159" s="97">
        <f>IF(ISNUMBER($S159),MAX(0,INT((H$6+6-$S159)/$T159)-MAX(0,-INT(-(H$6-$S159)/$T159))+1),0)</f>
        <v>0.0</v>
      </c>
      <c r="I159" s="97">
        <f>IF(ISNUMBER($S159),MAX(0,INT((I$6+6-$S159)/$T159)-MAX(0,-INT(-(I$6-$S159)/$T159))+1),0)</f>
        <v>0.0</v>
      </c>
      <c r="J159" s="97">
        <f>IF(ISNUMBER($S159),MAX(0,INT((J$6+6-$S159)/$T159)-MAX(0,-INT(-(J$6-$S159)/$T159))+1),0)</f>
        <v>0.0</v>
      </c>
      <c r="K159" s="97">
        <f>IF(ISNUMBER($S159),MAX(0,INT((K$6+6-$S159)/$T159)-MAX(0,-INT(-(K$6-$S159)/$T159))+1),0)</f>
        <v>0.0</v>
      </c>
      <c r="L159" s="97">
        <f>IF(ISNUMBER($S159),MAX(0,INT((L$6+6-$S159)/$T159)-MAX(0,-INT(-(L$6-$S159)/$T159))+1),0)</f>
        <v>0.0</v>
      </c>
      <c r="M159" s="97">
        <f>IF(ISNUMBER($S159),MAX(0,INT((M$6+6-$S159)/$T159)-MAX(0,-INT(-(M$6-$S159)/$T159))+1),0)</f>
        <v>0.0</v>
      </c>
      <c r="N159" s="97">
        <f>IF(ISNUMBER($S159),MAX(0,INT((N$6+6-$S159)/$T159)-MAX(0,-INT(-(N$6-$S159)/$T159))+1),0)</f>
        <v>0.0</v>
      </c>
      <c r="O159" s="97">
        <f>IF(ISNUMBER($S159),MAX(0,INT((O$6+6-$S159)/$T159)-MAX(0,-INT(-(O$6-$S159)/$T159))+1),0)</f>
        <v>0.0</v>
      </c>
      <c r="P159" s="97">
        <f>IF(ISNUMBER($S159),MAX(0,INT((P$6+6-$S159)/$T159)-MAX(0,-INT(-(P$6-$S159)/$T159))+1),0)</f>
        <v>0.0</v>
      </c>
      <c r="Q159" s="97">
        <f>IF(ISNUMBER($S159),MAX(0,INT((Q$6+6-$S159)/$T159)-MAX(0,-INT(-(Q$6-$S159)/$T159))+1),0)</f>
        <v>0.0</v>
      </c>
      <c r="R159" s="97">
        <f>IF(ISNUMBER($S159),MAX(0,INT((R$6+6-$S159)/$T159)-MAX(0,-INT(-(R$6-$S159)/$T159))+1),0)</f>
        <v>0.0</v>
      </c>
      <c r="S159" t="str">
        <f>IF(ISNUMBER(INDEX(pl_period,150)),MAX(INDEX(pl_due,150),p_today),"")</f>
        <v/>
      </c>
      <c r="T159" t="str">
        <f>IF(ISNUMBER(INDEX(pl_period,150)),INDEX(pl_period,150),"")</f>
        <v/>
      </c>
      <c r="U159">
        <f>N(INDEX(pl_dur,150))</f>
        <v>0.0</v>
      </c>
    </row>
    <row r="160">
      <c r="A160" s="93" t="str">
        <f>IF(INDEX(pl_status,151)="","",INDEX(pl_num,151)&amp;"")</f>
        <v/>
      </c>
      <c r="B160" s="93" t="str">
        <f>IF(INDEX(pl_status,151)="","",INDEX(pl_eq,151)&amp;"")</f>
        <v/>
      </c>
      <c r="C160" s="93" t="str">
        <f>IF(INDEX(pl_status,151)="","",INDEX(pl_task,151)&amp;"")</f>
        <v/>
      </c>
      <c r="D160" s="94" t="str">
        <f>IF(ISNUMBER(INDEX(pl_due,151)),INDEX(pl_due,151),"")</f>
        <v/>
      </c>
      <c r="E160" s="95" t="str">
        <f>INDEX(pl_status,151)&amp;""</f>
        <v/>
      </c>
      <c r="F160" s="96" t="str">
        <f>IF(E160="En retard","●","")</f>
        <v/>
      </c>
      <c r="G160" s="97">
        <f>IF(ISNUMBER($S160),MAX(0,INT((G$6+6-$S160)/$T160)-MAX(0,-INT(-(G$6-$S160)/$T160))+1),0)</f>
        <v>0.0</v>
      </c>
      <c r="H160" s="97">
        <f>IF(ISNUMBER($S160),MAX(0,INT((H$6+6-$S160)/$T160)-MAX(0,-INT(-(H$6-$S160)/$T160))+1),0)</f>
        <v>0.0</v>
      </c>
      <c r="I160" s="97">
        <f>IF(ISNUMBER($S160),MAX(0,INT((I$6+6-$S160)/$T160)-MAX(0,-INT(-(I$6-$S160)/$T160))+1),0)</f>
        <v>0.0</v>
      </c>
      <c r="J160" s="97">
        <f>IF(ISNUMBER($S160),MAX(0,INT((J$6+6-$S160)/$T160)-MAX(0,-INT(-(J$6-$S160)/$T160))+1),0)</f>
        <v>0.0</v>
      </c>
      <c r="K160" s="97">
        <f>IF(ISNUMBER($S160),MAX(0,INT((K$6+6-$S160)/$T160)-MAX(0,-INT(-(K$6-$S160)/$T160))+1),0)</f>
        <v>0.0</v>
      </c>
      <c r="L160" s="97">
        <f>IF(ISNUMBER($S160),MAX(0,INT((L$6+6-$S160)/$T160)-MAX(0,-INT(-(L$6-$S160)/$T160))+1),0)</f>
        <v>0.0</v>
      </c>
      <c r="M160" s="97">
        <f>IF(ISNUMBER($S160),MAX(0,INT((M$6+6-$S160)/$T160)-MAX(0,-INT(-(M$6-$S160)/$T160))+1),0)</f>
        <v>0.0</v>
      </c>
      <c r="N160" s="97">
        <f>IF(ISNUMBER($S160),MAX(0,INT((N$6+6-$S160)/$T160)-MAX(0,-INT(-(N$6-$S160)/$T160))+1),0)</f>
        <v>0.0</v>
      </c>
      <c r="O160" s="97">
        <f>IF(ISNUMBER($S160),MAX(0,INT((O$6+6-$S160)/$T160)-MAX(0,-INT(-(O$6-$S160)/$T160))+1),0)</f>
        <v>0.0</v>
      </c>
      <c r="P160" s="97">
        <f>IF(ISNUMBER($S160),MAX(0,INT((P$6+6-$S160)/$T160)-MAX(0,-INT(-(P$6-$S160)/$T160))+1),0)</f>
        <v>0.0</v>
      </c>
      <c r="Q160" s="97">
        <f>IF(ISNUMBER($S160),MAX(0,INT((Q$6+6-$S160)/$T160)-MAX(0,-INT(-(Q$6-$S160)/$T160))+1),0)</f>
        <v>0.0</v>
      </c>
      <c r="R160" s="97">
        <f>IF(ISNUMBER($S160),MAX(0,INT((R$6+6-$S160)/$T160)-MAX(0,-INT(-(R$6-$S160)/$T160))+1),0)</f>
        <v>0.0</v>
      </c>
      <c r="S160" t="str">
        <f>IF(ISNUMBER(INDEX(pl_period,151)),MAX(INDEX(pl_due,151),p_today),"")</f>
        <v/>
      </c>
      <c r="T160" t="str">
        <f>IF(ISNUMBER(INDEX(pl_period,151)),INDEX(pl_period,151),"")</f>
        <v/>
      </c>
      <c r="U160">
        <f>N(INDEX(pl_dur,151))</f>
        <v>0.0</v>
      </c>
    </row>
    <row r="161">
      <c r="A161" s="93" t="str">
        <f>IF(INDEX(pl_status,152)="","",INDEX(pl_num,152)&amp;"")</f>
        <v/>
      </c>
      <c r="B161" s="93" t="str">
        <f>IF(INDEX(pl_status,152)="","",INDEX(pl_eq,152)&amp;"")</f>
        <v/>
      </c>
      <c r="C161" s="93" t="str">
        <f>IF(INDEX(pl_status,152)="","",INDEX(pl_task,152)&amp;"")</f>
        <v/>
      </c>
      <c r="D161" s="94" t="str">
        <f>IF(ISNUMBER(INDEX(pl_due,152)),INDEX(pl_due,152),"")</f>
        <v/>
      </c>
      <c r="E161" s="95" t="str">
        <f>INDEX(pl_status,152)&amp;""</f>
        <v/>
      </c>
      <c r="F161" s="96" t="str">
        <f>IF(E161="En retard","●","")</f>
        <v/>
      </c>
      <c r="G161" s="97">
        <f>IF(ISNUMBER($S161),MAX(0,INT((G$6+6-$S161)/$T161)-MAX(0,-INT(-(G$6-$S161)/$T161))+1),0)</f>
        <v>0.0</v>
      </c>
      <c r="H161" s="97">
        <f>IF(ISNUMBER($S161),MAX(0,INT((H$6+6-$S161)/$T161)-MAX(0,-INT(-(H$6-$S161)/$T161))+1),0)</f>
        <v>0.0</v>
      </c>
      <c r="I161" s="97">
        <f>IF(ISNUMBER($S161),MAX(0,INT((I$6+6-$S161)/$T161)-MAX(0,-INT(-(I$6-$S161)/$T161))+1),0)</f>
        <v>0.0</v>
      </c>
      <c r="J161" s="97">
        <f>IF(ISNUMBER($S161),MAX(0,INT((J$6+6-$S161)/$T161)-MAX(0,-INT(-(J$6-$S161)/$T161))+1),0)</f>
        <v>0.0</v>
      </c>
      <c r="K161" s="97">
        <f>IF(ISNUMBER($S161),MAX(0,INT((K$6+6-$S161)/$T161)-MAX(0,-INT(-(K$6-$S161)/$T161))+1),0)</f>
        <v>0.0</v>
      </c>
      <c r="L161" s="97">
        <f>IF(ISNUMBER($S161),MAX(0,INT((L$6+6-$S161)/$T161)-MAX(0,-INT(-(L$6-$S161)/$T161))+1),0)</f>
        <v>0.0</v>
      </c>
      <c r="M161" s="97">
        <f>IF(ISNUMBER($S161),MAX(0,INT((M$6+6-$S161)/$T161)-MAX(0,-INT(-(M$6-$S161)/$T161))+1),0)</f>
        <v>0.0</v>
      </c>
      <c r="N161" s="97">
        <f>IF(ISNUMBER($S161),MAX(0,INT((N$6+6-$S161)/$T161)-MAX(0,-INT(-(N$6-$S161)/$T161))+1),0)</f>
        <v>0.0</v>
      </c>
      <c r="O161" s="97">
        <f>IF(ISNUMBER($S161),MAX(0,INT((O$6+6-$S161)/$T161)-MAX(0,-INT(-(O$6-$S161)/$T161))+1),0)</f>
        <v>0.0</v>
      </c>
      <c r="P161" s="97">
        <f>IF(ISNUMBER($S161),MAX(0,INT((P$6+6-$S161)/$T161)-MAX(0,-INT(-(P$6-$S161)/$T161))+1),0)</f>
        <v>0.0</v>
      </c>
      <c r="Q161" s="97">
        <f>IF(ISNUMBER($S161),MAX(0,INT((Q$6+6-$S161)/$T161)-MAX(0,-INT(-(Q$6-$S161)/$T161))+1),0)</f>
        <v>0.0</v>
      </c>
      <c r="R161" s="97">
        <f>IF(ISNUMBER($S161),MAX(0,INT((R$6+6-$S161)/$T161)-MAX(0,-INT(-(R$6-$S161)/$T161))+1),0)</f>
        <v>0.0</v>
      </c>
      <c r="S161" t="str">
        <f>IF(ISNUMBER(INDEX(pl_period,152)),MAX(INDEX(pl_due,152),p_today),"")</f>
        <v/>
      </c>
      <c r="T161" t="str">
        <f>IF(ISNUMBER(INDEX(pl_period,152)),INDEX(pl_period,152),"")</f>
        <v/>
      </c>
      <c r="U161">
        <f>N(INDEX(pl_dur,152))</f>
        <v>0.0</v>
      </c>
    </row>
    <row r="162">
      <c r="A162" s="93" t="str">
        <f>IF(INDEX(pl_status,153)="","",INDEX(pl_num,153)&amp;"")</f>
        <v/>
      </c>
      <c r="B162" s="93" t="str">
        <f>IF(INDEX(pl_status,153)="","",INDEX(pl_eq,153)&amp;"")</f>
        <v/>
      </c>
      <c r="C162" s="93" t="str">
        <f>IF(INDEX(pl_status,153)="","",INDEX(pl_task,153)&amp;"")</f>
        <v/>
      </c>
      <c r="D162" s="94" t="str">
        <f>IF(ISNUMBER(INDEX(pl_due,153)),INDEX(pl_due,153),"")</f>
        <v/>
      </c>
      <c r="E162" s="95" t="str">
        <f>INDEX(pl_status,153)&amp;""</f>
        <v/>
      </c>
      <c r="F162" s="96" t="str">
        <f>IF(E162="En retard","●","")</f>
        <v/>
      </c>
      <c r="G162" s="97">
        <f>IF(ISNUMBER($S162),MAX(0,INT((G$6+6-$S162)/$T162)-MAX(0,-INT(-(G$6-$S162)/$T162))+1),0)</f>
        <v>0.0</v>
      </c>
      <c r="H162" s="97">
        <f>IF(ISNUMBER($S162),MAX(0,INT((H$6+6-$S162)/$T162)-MAX(0,-INT(-(H$6-$S162)/$T162))+1),0)</f>
        <v>0.0</v>
      </c>
      <c r="I162" s="97">
        <f>IF(ISNUMBER($S162),MAX(0,INT((I$6+6-$S162)/$T162)-MAX(0,-INT(-(I$6-$S162)/$T162))+1),0)</f>
        <v>0.0</v>
      </c>
      <c r="J162" s="97">
        <f>IF(ISNUMBER($S162),MAX(0,INT((J$6+6-$S162)/$T162)-MAX(0,-INT(-(J$6-$S162)/$T162))+1),0)</f>
        <v>0.0</v>
      </c>
      <c r="K162" s="97">
        <f>IF(ISNUMBER($S162),MAX(0,INT((K$6+6-$S162)/$T162)-MAX(0,-INT(-(K$6-$S162)/$T162))+1),0)</f>
        <v>0.0</v>
      </c>
      <c r="L162" s="97">
        <f>IF(ISNUMBER($S162),MAX(0,INT((L$6+6-$S162)/$T162)-MAX(0,-INT(-(L$6-$S162)/$T162))+1),0)</f>
        <v>0.0</v>
      </c>
      <c r="M162" s="97">
        <f>IF(ISNUMBER($S162),MAX(0,INT((M$6+6-$S162)/$T162)-MAX(0,-INT(-(M$6-$S162)/$T162))+1),0)</f>
        <v>0.0</v>
      </c>
      <c r="N162" s="97">
        <f>IF(ISNUMBER($S162),MAX(0,INT((N$6+6-$S162)/$T162)-MAX(0,-INT(-(N$6-$S162)/$T162))+1),0)</f>
        <v>0.0</v>
      </c>
      <c r="O162" s="97">
        <f>IF(ISNUMBER($S162),MAX(0,INT((O$6+6-$S162)/$T162)-MAX(0,-INT(-(O$6-$S162)/$T162))+1),0)</f>
        <v>0.0</v>
      </c>
      <c r="P162" s="97">
        <f>IF(ISNUMBER($S162),MAX(0,INT((P$6+6-$S162)/$T162)-MAX(0,-INT(-(P$6-$S162)/$T162))+1),0)</f>
        <v>0.0</v>
      </c>
      <c r="Q162" s="97">
        <f>IF(ISNUMBER($S162),MAX(0,INT((Q$6+6-$S162)/$T162)-MAX(0,-INT(-(Q$6-$S162)/$T162))+1),0)</f>
        <v>0.0</v>
      </c>
      <c r="R162" s="97">
        <f>IF(ISNUMBER($S162),MAX(0,INT((R$6+6-$S162)/$T162)-MAX(0,-INT(-(R$6-$S162)/$T162))+1),0)</f>
        <v>0.0</v>
      </c>
      <c r="S162" t="str">
        <f>IF(ISNUMBER(INDEX(pl_period,153)),MAX(INDEX(pl_due,153),p_today),"")</f>
        <v/>
      </c>
      <c r="T162" t="str">
        <f>IF(ISNUMBER(INDEX(pl_period,153)),INDEX(pl_period,153),"")</f>
        <v/>
      </c>
      <c r="U162">
        <f>N(INDEX(pl_dur,153))</f>
        <v>0.0</v>
      </c>
    </row>
    <row r="163">
      <c r="A163" s="93" t="str">
        <f>IF(INDEX(pl_status,154)="","",INDEX(pl_num,154)&amp;"")</f>
        <v/>
      </c>
      <c r="B163" s="93" t="str">
        <f>IF(INDEX(pl_status,154)="","",INDEX(pl_eq,154)&amp;"")</f>
        <v/>
      </c>
      <c r="C163" s="93" t="str">
        <f>IF(INDEX(pl_status,154)="","",INDEX(pl_task,154)&amp;"")</f>
        <v/>
      </c>
      <c r="D163" s="94" t="str">
        <f>IF(ISNUMBER(INDEX(pl_due,154)),INDEX(pl_due,154),"")</f>
        <v/>
      </c>
      <c r="E163" s="95" t="str">
        <f>INDEX(pl_status,154)&amp;""</f>
        <v/>
      </c>
      <c r="F163" s="96" t="str">
        <f>IF(E163="En retard","●","")</f>
        <v/>
      </c>
      <c r="G163" s="97">
        <f>IF(ISNUMBER($S163),MAX(0,INT((G$6+6-$S163)/$T163)-MAX(0,-INT(-(G$6-$S163)/$T163))+1),0)</f>
        <v>0.0</v>
      </c>
      <c r="H163" s="97">
        <f>IF(ISNUMBER($S163),MAX(0,INT((H$6+6-$S163)/$T163)-MAX(0,-INT(-(H$6-$S163)/$T163))+1),0)</f>
        <v>0.0</v>
      </c>
      <c r="I163" s="97">
        <f>IF(ISNUMBER($S163),MAX(0,INT((I$6+6-$S163)/$T163)-MAX(0,-INT(-(I$6-$S163)/$T163))+1),0)</f>
        <v>0.0</v>
      </c>
      <c r="J163" s="97">
        <f>IF(ISNUMBER($S163),MAX(0,INT((J$6+6-$S163)/$T163)-MAX(0,-INT(-(J$6-$S163)/$T163))+1),0)</f>
        <v>0.0</v>
      </c>
      <c r="K163" s="97">
        <f>IF(ISNUMBER($S163),MAX(0,INT((K$6+6-$S163)/$T163)-MAX(0,-INT(-(K$6-$S163)/$T163))+1),0)</f>
        <v>0.0</v>
      </c>
      <c r="L163" s="97">
        <f>IF(ISNUMBER($S163),MAX(0,INT((L$6+6-$S163)/$T163)-MAX(0,-INT(-(L$6-$S163)/$T163))+1),0)</f>
        <v>0.0</v>
      </c>
      <c r="M163" s="97">
        <f>IF(ISNUMBER($S163),MAX(0,INT((M$6+6-$S163)/$T163)-MAX(0,-INT(-(M$6-$S163)/$T163))+1),0)</f>
        <v>0.0</v>
      </c>
      <c r="N163" s="97">
        <f>IF(ISNUMBER($S163),MAX(0,INT((N$6+6-$S163)/$T163)-MAX(0,-INT(-(N$6-$S163)/$T163))+1),0)</f>
        <v>0.0</v>
      </c>
      <c r="O163" s="97">
        <f>IF(ISNUMBER($S163),MAX(0,INT((O$6+6-$S163)/$T163)-MAX(0,-INT(-(O$6-$S163)/$T163))+1),0)</f>
        <v>0.0</v>
      </c>
      <c r="P163" s="97">
        <f>IF(ISNUMBER($S163),MAX(0,INT((P$6+6-$S163)/$T163)-MAX(0,-INT(-(P$6-$S163)/$T163))+1),0)</f>
        <v>0.0</v>
      </c>
      <c r="Q163" s="97">
        <f>IF(ISNUMBER($S163),MAX(0,INT((Q$6+6-$S163)/$T163)-MAX(0,-INT(-(Q$6-$S163)/$T163))+1),0)</f>
        <v>0.0</v>
      </c>
      <c r="R163" s="97">
        <f>IF(ISNUMBER($S163),MAX(0,INT((R$6+6-$S163)/$T163)-MAX(0,-INT(-(R$6-$S163)/$T163))+1),0)</f>
        <v>0.0</v>
      </c>
      <c r="S163" t="str">
        <f>IF(ISNUMBER(INDEX(pl_period,154)),MAX(INDEX(pl_due,154),p_today),"")</f>
        <v/>
      </c>
      <c r="T163" t="str">
        <f>IF(ISNUMBER(INDEX(pl_period,154)),INDEX(pl_period,154),"")</f>
        <v/>
      </c>
      <c r="U163">
        <f>N(INDEX(pl_dur,154))</f>
        <v>0.0</v>
      </c>
    </row>
    <row r="164">
      <c r="A164" s="93" t="str">
        <f>IF(INDEX(pl_status,155)="","",INDEX(pl_num,155)&amp;"")</f>
        <v/>
      </c>
      <c r="B164" s="93" t="str">
        <f>IF(INDEX(pl_status,155)="","",INDEX(pl_eq,155)&amp;"")</f>
        <v/>
      </c>
      <c r="C164" s="93" t="str">
        <f>IF(INDEX(pl_status,155)="","",INDEX(pl_task,155)&amp;"")</f>
        <v/>
      </c>
      <c r="D164" s="94" t="str">
        <f>IF(ISNUMBER(INDEX(pl_due,155)),INDEX(pl_due,155),"")</f>
        <v/>
      </c>
      <c r="E164" s="95" t="str">
        <f>INDEX(pl_status,155)&amp;""</f>
        <v/>
      </c>
      <c r="F164" s="96" t="str">
        <f>IF(E164="En retard","●","")</f>
        <v/>
      </c>
      <c r="G164" s="97">
        <f>IF(ISNUMBER($S164),MAX(0,INT((G$6+6-$S164)/$T164)-MAX(0,-INT(-(G$6-$S164)/$T164))+1),0)</f>
        <v>0.0</v>
      </c>
      <c r="H164" s="97">
        <f>IF(ISNUMBER($S164),MAX(0,INT((H$6+6-$S164)/$T164)-MAX(0,-INT(-(H$6-$S164)/$T164))+1),0)</f>
        <v>0.0</v>
      </c>
      <c r="I164" s="97">
        <f>IF(ISNUMBER($S164),MAX(0,INT((I$6+6-$S164)/$T164)-MAX(0,-INT(-(I$6-$S164)/$T164))+1),0)</f>
        <v>0.0</v>
      </c>
      <c r="J164" s="97">
        <f>IF(ISNUMBER($S164),MAX(0,INT((J$6+6-$S164)/$T164)-MAX(0,-INT(-(J$6-$S164)/$T164))+1),0)</f>
        <v>0.0</v>
      </c>
      <c r="K164" s="97">
        <f>IF(ISNUMBER($S164),MAX(0,INT((K$6+6-$S164)/$T164)-MAX(0,-INT(-(K$6-$S164)/$T164))+1),0)</f>
        <v>0.0</v>
      </c>
      <c r="L164" s="97">
        <f>IF(ISNUMBER($S164),MAX(0,INT((L$6+6-$S164)/$T164)-MAX(0,-INT(-(L$6-$S164)/$T164))+1),0)</f>
        <v>0.0</v>
      </c>
      <c r="M164" s="97">
        <f>IF(ISNUMBER($S164),MAX(0,INT((M$6+6-$S164)/$T164)-MAX(0,-INT(-(M$6-$S164)/$T164))+1),0)</f>
        <v>0.0</v>
      </c>
      <c r="N164" s="97">
        <f>IF(ISNUMBER($S164),MAX(0,INT((N$6+6-$S164)/$T164)-MAX(0,-INT(-(N$6-$S164)/$T164))+1),0)</f>
        <v>0.0</v>
      </c>
      <c r="O164" s="97">
        <f>IF(ISNUMBER($S164),MAX(0,INT((O$6+6-$S164)/$T164)-MAX(0,-INT(-(O$6-$S164)/$T164))+1),0)</f>
        <v>0.0</v>
      </c>
      <c r="P164" s="97">
        <f>IF(ISNUMBER($S164),MAX(0,INT((P$6+6-$S164)/$T164)-MAX(0,-INT(-(P$6-$S164)/$T164))+1),0)</f>
        <v>0.0</v>
      </c>
      <c r="Q164" s="97">
        <f>IF(ISNUMBER($S164),MAX(0,INT((Q$6+6-$S164)/$T164)-MAX(0,-INT(-(Q$6-$S164)/$T164))+1),0)</f>
        <v>0.0</v>
      </c>
      <c r="R164" s="97">
        <f>IF(ISNUMBER($S164),MAX(0,INT((R$6+6-$S164)/$T164)-MAX(0,-INT(-(R$6-$S164)/$T164))+1),0)</f>
        <v>0.0</v>
      </c>
      <c r="S164" t="str">
        <f>IF(ISNUMBER(INDEX(pl_period,155)),MAX(INDEX(pl_due,155),p_today),"")</f>
        <v/>
      </c>
      <c r="T164" t="str">
        <f>IF(ISNUMBER(INDEX(pl_period,155)),INDEX(pl_period,155),"")</f>
        <v/>
      </c>
      <c r="U164">
        <f>N(INDEX(pl_dur,155))</f>
        <v>0.0</v>
      </c>
    </row>
    <row r="165">
      <c r="A165" s="93" t="str">
        <f>IF(INDEX(pl_status,156)="","",INDEX(pl_num,156)&amp;"")</f>
        <v/>
      </c>
      <c r="B165" s="93" t="str">
        <f>IF(INDEX(pl_status,156)="","",INDEX(pl_eq,156)&amp;"")</f>
        <v/>
      </c>
      <c r="C165" s="93" t="str">
        <f>IF(INDEX(pl_status,156)="","",INDEX(pl_task,156)&amp;"")</f>
        <v/>
      </c>
      <c r="D165" s="94" t="str">
        <f>IF(ISNUMBER(INDEX(pl_due,156)),INDEX(pl_due,156),"")</f>
        <v/>
      </c>
      <c r="E165" s="95" t="str">
        <f>INDEX(pl_status,156)&amp;""</f>
        <v/>
      </c>
      <c r="F165" s="96" t="str">
        <f>IF(E165="En retard","●","")</f>
        <v/>
      </c>
      <c r="G165" s="97">
        <f>IF(ISNUMBER($S165),MAX(0,INT((G$6+6-$S165)/$T165)-MAX(0,-INT(-(G$6-$S165)/$T165))+1),0)</f>
        <v>0.0</v>
      </c>
      <c r="H165" s="97">
        <f>IF(ISNUMBER($S165),MAX(0,INT((H$6+6-$S165)/$T165)-MAX(0,-INT(-(H$6-$S165)/$T165))+1),0)</f>
        <v>0.0</v>
      </c>
      <c r="I165" s="97">
        <f>IF(ISNUMBER($S165),MAX(0,INT((I$6+6-$S165)/$T165)-MAX(0,-INT(-(I$6-$S165)/$T165))+1),0)</f>
        <v>0.0</v>
      </c>
      <c r="J165" s="97">
        <f>IF(ISNUMBER($S165),MAX(0,INT((J$6+6-$S165)/$T165)-MAX(0,-INT(-(J$6-$S165)/$T165))+1),0)</f>
        <v>0.0</v>
      </c>
      <c r="K165" s="97">
        <f>IF(ISNUMBER($S165),MAX(0,INT((K$6+6-$S165)/$T165)-MAX(0,-INT(-(K$6-$S165)/$T165))+1),0)</f>
        <v>0.0</v>
      </c>
      <c r="L165" s="97">
        <f>IF(ISNUMBER($S165),MAX(0,INT((L$6+6-$S165)/$T165)-MAX(0,-INT(-(L$6-$S165)/$T165))+1),0)</f>
        <v>0.0</v>
      </c>
      <c r="M165" s="97">
        <f>IF(ISNUMBER($S165),MAX(0,INT((M$6+6-$S165)/$T165)-MAX(0,-INT(-(M$6-$S165)/$T165))+1),0)</f>
        <v>0.0</v>
      </c>
      <c r="N165" s="97">
        <f>IF(ISNUMBER($S165),MAX(0,INT((N$6+6-$S165)/$T165)-MAX(0,-INT(-(N$6-$S165)/$T165))+1),0)</f>
        <v>0.0</v>
      </c>
      <c r="O165" s="97">
        <f>IF(ISNUMBER($S165),MAX(0,INT((O$6+6-$S165)/$T165)-MAX(0,-INT(-(O$6-$S165)/$T165))+1),0)</f>
        <v>0.0</v>
      </c>
      <c r="P165" s="97">
        <f>IF(ISNUMBER($S165),MAX(0,INT((P$6+6-$S165)/$T165)-MAX(0,-INT(-(P$6-$S165)/$T165))+1),0)</f>
        <v>0.0</v>
      </c>
      <c r="Q165" s="97">
        <f>IF(ISNUMBER($S165),MAX(0,INT((Q$6+6-$S165)/$T165)-MAX(0,-INT(-(Q$6-$S165)/$T165))+1),0)</f>
        <v>0.0</v>
      </c>
      <c r="R165" s="97">
        <f>IF(ISNUMBER($S165),MAX(0,INT((R$6+6-$S165)/$T165)-MAX(0,-INT(-(R$6-$S165)/$T165))+1),0)</f>
        <v>0.0</v>
      </c>
      <c r="S165" t="str">
        <f>IF(ISNUMBER(INDEX(pl_period,156)),MAX(INDEX(pl_due,156),p_today),"")</f>
        <v/>
      </c>
      <c r="T165" t="str">
        <f>IF(ISNUMBER(INDEX(pl_period,156)),INDEX(pl_period,156),"")</f>
        <v/>
      </c>
      <c r="U165">
        <f>N(INDEX(pl_dur,156))</f>
        <v>0.0</v>
      </c>
    </row>
    <row r="166">
      <c r="A166" s="93" t="str">
        <f>IF(INDEX(pl_status,157)="","",INDEX(pl_num,157)&amp;"")</f>
        <v/>
      </c>
      <c r="B166" s="93" t="str">
        <f>IF(INDEX(pl_status,157)="","",INDEX(pl_eq,157)&amp;"")</f>
        <v/>
      </c>
      <c r="C166" s="93" t="str">
        <f>IF(INDEX(pl_status,157)="","",INDEX(pl_task,157)&amp;"")</f>
        <v/>
      </c>
      <c r="D166" s="94" t="str">
        <f>IF(ISNUMBER(INDEX(pl_due,157)),INDEX(pl_due,157),"")</f>
        <v/>
      </c>
      <c r="E166" s="95" t="str">
        <f>INDEX(pl_status,157)&amp;""</f>
        <v/>
      </c>
      <c r="F166" s="96" t="str">
        <f>IF(E166="En retard","●","")</f>
        <v/>
      </c>
      <c r="G166" s="97">
        <f>IF(ISNUMBER($S166),MAX(0,INT((G$6+6-$S166)/$T166)-MAX(0,-INT(-(G$6-$S166)/$T166))+1),0)</f>
        <v>0.0</v>
      </c>
      <c r="H166" s="97">
        <f>IF(ISNUMBER($S166),MAX(0,INT((H$6+6-$S166)/$T166)-MAX(0,-INT(-(H$6-$S166)/$T166))+1),0)</f>
        <v>0.0</v>
      </c>
      <c r="I166" s="97">
        <f>IF(ISNUMBER($S166),MAX(0,INT((I$6+6-$S166)/$T166)-MAX(0,-INT(-(I$6-$S166)/$T166))+1),0)</f>
        <v>0.0</v>
      </c>
      <c r="J166" s="97">
        <f>IF(ISNUMBER($S166),MAX(0,INT((J$6+6-$S166)/$T166)-MAX(0,-INT(-(J$6-$S166)/$T166))+1),0)</f>
        <v>0.0</v>
      </c>
      <c r="K166" s="97">
        <f>IF(ISNUMBER($S166),MAX(0,INT((K$6+6-$S166)/$T166)-MAX(0,-INT(-(K$6-$S166)/$T166))+1),0)</f>
        <v>0.0</v>
      </c>
      <c r="L166" s="97">
        <f>IF(ISNUMBER($S166),MAX(0,INT((L$6+6-$S166)/$T166)-MAX(0,-INT(-(L$6-$S166)/$T166))+1),0)</f>
        <v>0.0</v>
      </c>
      <c r="M166" s="97">
        <f>IF(ISNUMBER($S166),MAX(0,INT((M$6+6-$S166)/$T166)-MAX(0,-INT(-(M$6-$S166)/$T166))+1),0)</f>
        <v>0.0</v>
      </c>
      <c r="N166" s="97">
        <f>IF(ISNUMBER($S166),MAX(0,INT((N$6+6-$S166)/$T166)-MAX(0,-INT(-(N$6-$S166)/$T166))+1),0)</f>
        <v>0.0</v>
      </c>
      <c r="O166" s="97">
        <f>IF(ISNUMBER($S166),MAX(0,INT((O$6+6-$S166)/$T166)-MAX(0,-INT(-(O$6-$S166)/$T166))+1),0)</f>
        <v>0.0</v>
      </c>
      <c r="P166" s="97">
        <f>IF(ISNUMBER($S166),MAX(0,INT((P$6+6-$S166)/$T166)-MAX(0,-INT(-(P$6-$S166)/$T166))+1),0)</f>
        <v>0.0</v>
      </c>
      <c r="Q166" s="97">
        <f>IF(ISNUMBER($S166),MAX(0,INT((Q$6+6-$S166)/$T166)-MAX(0,-INT(-(Q$6-$S166)/$T166))+1),0)</f>
        <v>0.0</v>
      </c>
      <c r="R166" s="97">
        <f>IF(ISNUMBER($S166),MAX(0,INT((R$6+6-$S166)/$T166)-MAX(0,-INT(-(R$6-$S166)/$T166))+1),0)</f>
        <v>0.0</v>
      </c>
      <c r="S166" t="str">
        <f>IF(ISNUMBER(INDEX(pl_period,157)),MAX(INDEX(pl_due,157),p_today),"")</f>
        <v/>
      </c>
      <c r="T166" t="str">
        <f>IF(ISNUMBER(INDEX(pl_period,157)),INDEX(pl_period,157),"")</f>
        <v/>
      </c>
      <c r="U166">
        <f>N(INDEX(pl_dur,157))</f>
        <v>0.0</v>
      </c>
    </row>
    <row r="167">
      <c r="A167" s="93" t="str">
        <f>IF(INDEX(pl_status,158)="","",INDEX(pl_num,158)&amp;"")</f>
        <v/>
      </c>
      <c r="B167" s="93" t="str">
        <f>IF(INDEX(pl_status,158)="","",INDEX(pl_eq,158)&amp;"")</f>
        <v/>
      </c>
      <c r="C167" s="93" t="str">
        <f>IF(INDEX(pl_status,158)="","",INDEX(pl_task,158)&amp;"")</f>
        <v/>
      </c>
      <c r="D167" s="94" t="str">
        <f>IF(ISNUMBER(INDEX(pl_due,158)),INDEX(pl_due,158),"")</f>
        <v/>
      </c>
      <c r="E167" s="95" t="str">
        <f>INDEX(pl_status,158)&amp;""</f>
        <v/>
      </c>
      <c r="F167" s="96" t="str">
        <f>IF(E167="En retard","●","")</f>
        <v/>
      </c>
      <c r="G167" s="97">
        <f>IF(ISNUMBER($S167),MAX(0,INT((G$6+6-$S167)/$T167)-MAX(0,-INT(-(G$6-$S167)/$T167))+1),0)</f>
        <v>0.0</v>
      </c>
      <c r="H167" s="97">
        <f>IF(ISNUMBER($S167),MAX(0,INT((H$6+6-$S167)/$T167)-MAX(0,-INT(-(H$6-$S167)/$T167))+1),0)</f>
        <v>0.0</v>
      </c>
      <c r="I167" s="97">
        <f>IF(ISNUMBER($S167),MAX(0,INT((I$6+6-$S167)/$T167)-MAX(0,-INT(-(I$6-$S167)/$T167))+1),0)</f>
        <v>0.0</v>
      </c>
      <c r="J167" s="97">
        <f>IF(ISNUMBER($S167),MAX(0,INT((J$6+6-$S167)/$T167)-MAX(0,-INT(-(J$6-$S167)/$T167))+1),0)</f>
        <v>0.0</v>
      </c>
      <c r="K167" s="97">
        <f>IF(ISNUMBER($S167),MAX(0,INT((K$6+6-$S167)/$T167)-MAX(0,-INT(-(K$6-$S167)/$T167))+1),0)</f>
        <v>0.0</v>
      </c>
      <c r="L167" s="97">
        <f>IF(ISNUMBER($S167),MAX(0,INT((L$6+6-$S167)/$T167)-MAX(0,-INT(-(L$6-$S167)/$T167))+1),0)</f>
        <v>0.0</v>
      </c>
      <c r="M167" s="97">
        <f>IF(ISNUMBER($S167),MAX(0,INT((M$6+6-$S167)/$T167)-MAX(0,-INT(-(M$6-$S167)/$T167))+1),0)</f>
        <v>0.0</v>
      </c>
      <c r="N167" s="97">
        <f>IF(ISNUMBER($S167),MAX(0,INT((N$6+6-$S167)/$T167)-MAX(0,-INT(-(N$6-$S167)/$T167))+1),0)</f>
        <v>0.0</v>
      </c>
      <c r="O167" s="97">
        <f>IF(ISNUMBER($S167),MAX(0,INT((O$6+6-$S167)/$T167)-MAX(0,-INT(-(O$6-$S167)/$T167))+1),0)</f>
        <v>0.0</v>
      </c>
      <c r="P167" s="97">
        <f>IF(ISNUMBER($S167),MAX(0,INT((P$6+6-$S167)/$T167)-MAX(0,-INT(-(P$6-$S167)/$T167))+1),0)</f>
        <v>0.0</v>
      </c>
      <c r="Q167" s="97">
        <f>IF(ISNUMBER($S167),MAX(0,INT((Q$6+6-$S167)/$T167)-MAX(0,-INT(-(Q$6-$S167)/$T167))+1),0)</f>
        <v>0.0</v>
      </c>
      <c r="R167" s="97">
        <f>IF(ISNUMBER($S167),MAX(0,INT((R$6+6-$S167)/$T167)-MAX(0,-INT(-(R$6-$S167)/$T167))+1),0)</f>
        <v>0.0</v>
      </c>
      <c r="S167" t="str">
        <f>IF(ISNUMBER(INDEX(pl_period,158)),MAX(INDEX(pl_due,158),p_today),"")</f>
        <v/>
      </c>
      <c r="T167" t="str">
        <f>IF(ISNUMBER(INDEX(pl_period,158)),INDEX(pl_period,158),"")</f>
        <v/>
      </c>
      <c r="U167">
        <f>N(INDEX(pl_dur,158))</f>
        <v>0.0</v>
      </c>
    </row>
    <row r="168">
      <c r="A168" s="93" t="str">
        <f>IF(INDEX(pl_status,159)="","",INDEX(pl_num,159)&amp;"")</f>
        <v/>
      </c>
      <c r="B168" s="93" t="str">
        <f>IF(INDEX(pl_status,159)="","",INDEX(pl_eq,159)&amp;"")</f>
        <v/>
      </c>
      <c r="C168" s="93" t="str">
        <f>IF(INDEX(pl_status,159)="","",INDEX(pl_task,159)&amp;"")</f>
        <v/>
      </c>
      <c r="D168" s="94" t="str">
        <f>IF(ISNUMBER(INDEX(pl_due,159)),INDEX(pl_due,159),"")</f>
        <v/>
      </c>
      <c r="E168" s="95" t="str">
        <f>INDEX(pl_status,159)&amp;""</f>
        <v/>
      </c>
      <c r="F168" s="96" t="str">
        <f>IF(E168="En retard","●","")</f>
        <v/>
      </c>
      <c r="G168" s="97">
        <f>IF(ISNUMBER($S168),MAX(0,INT((G$6+6-$S168)/$T168)-MAX(0,-INT(-(G$6-$S168)/$T168))+1),0)</f>
        <v>0.0</v>
      </c>
      <c r="H168" s="97">
        <f>IF(ISNUMBER($S168),MAX(0,INT((H$6+6-$S168)/$T168)-MAX(0,-INT(-(H$6-$S168)/$T168))+1),0)</f>
        <v>0.0</v>
      </c>
      <c r="I168" s="97">
        <f>IF(ISNUMBER($S168),MAX(0,INT((I$6+6-$S168)/$T168)-MAX(0,-INT(-(I$6-$S168)/$T168))+1),0)</f>
        <v>0.0</v>
      </c>
      <c r="J168" s="97">
        <f>IF(ISNUMBER($S168),MAX(0,INT((J$6+6-$S168)/$T168)-MAX(0,-INT(-(J$6-$S168)/$T168))+1),0)</f>
        <v>0.0</v>
      </c>
      <c r="K168" s="97">
        <f>IF(ISNUMBER($S168),MAX(0,INT((K$6+6-$S168)/$T168)-MAX(0,-INT(-(K$6-$S168)/$T168))+1),0)</f>
        <v>0.0</v>
      </c>
      <c r="L168" s="97">
        <f>IF(ISNUMBER($S168),MAX(0,INT((L$6+6-$S168)/$T168)-MAX(0,-INT(-(L$6-$S168)/$T168))+1),0)</f>
        <v>0.0</v>
      </c>
      <c r="M168" s="97">
        <f>IF(ISNUMBER($S168),MAX(0,INT((M$6+6-$S168)/$T168)-MAX(0,-INT(-(M$6-$S168)/$T168))+1),0)</f>
        <v>0.0</v>
      </c>
      <c r="N168" s="97">
        <f>IF(ISNUMBER($S168),MAX(0,INT((N$6+6-$S168)/$T168)-MAX(0,-INT(-(N$6-$S168)/$T168))+1),0)</f>
        <v>0.0</v>
      </c>
      <c r="O168" s="97">
        <f>IF(ISNUMBER($S168),MAX(0,INT((O$6+6-$S168)/$T168)-MAX(0,-INT(-(O$6-$S168)/$T168))+1),0)</f>
        <v>0.0</v>
      </c>
      <c r="P168" s="97">
        <f>IF(ISNUMBER($S168),MAX(0,INT((P$6+6-$S168)/$T168)-MAX(0,-INT(-(P$6-$S168)/$T168))+1),0)</f>
        <v>0.0</v>
      </c>
      <c r="Q168" s="97">
        <f>IF(ISNUMBER($S168),MAX(0,INT((Q$6+6-$S168)/$T168)-MAX(0,-INT(-(Q$6-$S168)/$T168))+1),0)</f>
        <v>0.0</v>
      </c>
      <c r="R168" s="97">
        <f>IF(ISNUMBER($S168),MAX(0,INT((R$6+6-$S168)/$T168)-MAX(0,-INT(-(R$6-$S168)/$T168))+1),0)</f>
        <v>0.0</v>
      </c>
      <c r="S168" t="str">
        <f>IF(ISNUMBER(INDEX(pl_period,159)),MAX(INDEX(pl_due,159),p_today),"")</f>
        <v/>
      </c>
      <c r="T168" t="str">
        <f>IF(ISNUMBER(INDEX(pl_period,159)),INDEX(pl_period,159),"")</f>
        <v/>
      </c>
      <c r="U168">
        <f>N(INDEX(pl_dur,159))</f>
        <v>0.0</v>
      </c>
    </row>
    <row r="169">
      <c r="A169" s="93" t="str">
        <f>IF(INDEX(pl_status,160)="","",INDEX(pl_num,160)&amp;"")</f>
        <v/>
      </c>
      <c r="B169" s="93" t="str">
        <f>IF(INDEX(pl_status,160)="","",INDEX(pl_eq,160)&amp;"")</f>
        <v/>
      </c>
      <c r="C169" s="93" t="str">
        <f>IF(INDEX(pl_status,160)="","",INDEX(pl_task,160)&amp;"")</f>
        <v/>
      </c>
      <c r="D169" s="94" t="str">
        <f>IF(ISNUMBER(INDEX(pl_due,160)),INDEX(pl_due,160),"")</f>
        <v/>
      </c>
      <c r="E169" s="95" t="str">
        <f>INDEX(pl_status,160)&amp;""</f>
        <v/>
      </c>
      <c r="F169" s="96" t="str">
        <f>IF(E169="En retard","●","")</f>
        <v/>
      </c>
      <c r="G169" s="97">
        <f>IF(ISNUMBER($S169),MAX(0,INT((G$6+6-$S169)/$T169)-MAX(0,-INT(-(G$6-$S169)/$T169))+1),0)</f>
        <v>0.0</v>
      </c>
      <c r="H169" s="97">
        <f>IF(ISNUMBER($S169),MAX(0,INT((H$6+6-$S169)/$T169)-MAX(0,-INT(-(H$6-$S169)/$T169))+1),0)</f>
        <v>0.0</v>
      </c>
      <c r="I169" s="97">
        <f>IF(ISNUMBER($S169),MAX(0,INT((I$6+6-$S169)/$T169)-MAX(0,-INT(-(I$6-$S169)/$T169))+1),0)</f>
        <v>0.0</v>
      </c>
      <c r="J169" s="97">
        <f>IF(ISNUMBER($S169),MAX(0,INT((J$6+6-$S169)/$T169)-MAX(0,-INT(-(J$6-$S169)/$T169))+1),0)</f>
        <v>0.0</v>
      </c>
      <c r="K169" s="97">
        <f>IF(ISNUMBER($S169),MAX(0,INT((K$6+6-$S169)/$T169)-MAX(0,-INT(-(K$6-$S169)/$T169))+1),0)</f>
        <v>0.0</v>
      </c>
      <c r="L169" s="97">
        <f>IF(ISNUMBER($S169),MAX(0,INT((L$6+6-$S169)/$T169)-MAX(0,-INT(-(L$6-$S169)/$T169))+1),0)</f>
        <v>0.0</v>
      </c>
      <c r="M169" s="97">
        <f>IF(ISNUMBER($S169),MAX(0,INT((M$6+6-$S169)/$T169)-MAX(0,-INT(-(M$6-$S169)/$T169))+1),0)</f>
        <v>0.0</v>
      </c>
      <c r="N169" s="97">
        <f>IF(ISNUMBER($S169),MAX(0,INT((N$6+6-$S169)/$T169)-MAX(0,-INT(-(N$6-$S169)/$T169))+1),0)</f>
        <v>0.0</v>
      </c>
      <c r="O169" s="97">
        <f>IF(ISNUMBER($S169),MAX(0,INT((O$6+6-$S169)/$T169)-MAX(0,-INT(-(O$6-$S169)/$T169))+1),0)</f>
        <v>0.0</v>
      </c>
      <c r="P169" s="97">
        <f>IF(ISNUMBER($S169),MAX(0,INT((P$6+6-$S169)/$T169)-MAX(0,-INT(-(P$6-$S169)/$T169))+1),0)</f>
        <v>0.0</v>
      </c>
      <c r="Q169" s="97">
        <f>IF(ISNUMBER($S169),MAX(0,INT((Q$6+6-$S169)/$T169)-MAX(0,-INT(-(Q$6-$S169)/$T169))+1),0)</f>
        <v>0.0</v>
      </c>
      <c r="R169" s="97">
        <f>IF(ISNUMBER($S169),MAX(0,INT((R$6+6-$S169)/$T169)-MAX(0,-INT(-(R$6-$S169)/$T169))+1),0)</f>
        <v>0.0</v>
      </c>
      <c r="S169" t="str">
        <f>IF(ISNUMBER(INDEX(pl_period,160)),MAX(INDEX(pl_due,160),p_today),"")</f>
        <v/>
      </c>
      <c r="T169" t="str">
        <f>IF(ISNUMBER(INDEX(pl_period,160)),INDEX(pl_period,160),"")</f>
        <v/>
      </c>
      <c r="U169">
        <f>N(INDEX(pl_dur,160))</f>
        <v>0.0</v>
      </c>
    </row>
    <row r="170">
      <c r="A170" s="93" t="str">
        <f>IF(INDEX(pl_status,161)="","",INDEX(pl_num,161)&amp;"")</f>
        <v/>
      </c>
      <c r="B170" s="93" t="str">
        <f>IF(INDEX(pl_status,161)="","",INDEX(pl_eq,161)&amp;"")</f>
        <v/>
      </c>
      <c r="C170" s="93" t="str">
        <f>IF(INDEX(pl_status,161)="","",INDEX(pl_task,161)&amp;"")</f>
        <v/>
      </c>
      <c r="D170" s="94" t="str">
        <f>IF(ISNUMBER(INDEX(pl_due,161)),INDEX(pl_due,161),"")</f>
        <v/>
      </c>
      <c r="E170" s="95" t="str">
        <f>INDEX(pl_status,161)&amp;""</f>
        <v/>
      </c>
      <c r="F170" s="96" t="str">
        <f>IF(E170="En retard","●","")</f>
        <v/>
      </c>
      <c r="G170" s="97">
        <f>IF(ISNUMBER($S170),MAX(0,INT((G$6+6-$S170)/$T170)-MAX(0,-INT(-(G$6-$S170)/$T170))+1),0)</f>
        <v>0.0</v>
      </c>
      <c r="H170" s="97">
        <f>IF(ISNUMBER($S170),MAX(0,INT((H$6+6-$S170)/$T170)-MAX(0,-INT(-(H$6-$S170)/$T170))+1),0)</f>
        <v>0.0</v>
      </c>
      <c r="I170" s="97">
        <f>IF(ISNUMBER($S170),MAX(0,INT((I$6+6-$S170)/$T170)-MAX(0,-INT(-(I$6-$S170)/$T170))+1),0)</f>
        <v>0.0</v>
      </c>
      <c r="J170" s="97">
        <f>IF(ISNUMBER($S170),MAX(0,INT((J$6+6-$S170)/$T170)-MAX(0,-INT(-(J$6-$S170)/$T170))+1),0)</f>
        <v>0.0</v>
      </c>
      <c r="K170" s="97">
        <f>IF(ISNUMBER($S170),MAX(0,INT((K$6+6-$S170)/$T170)-MAX(0,-INT(-(K$6-$S170)/$T170))+1),0)</f>
        <v>0.0</v>
      </c>
      <c r="L170" s="97">
        <f>IF(ISNUMBER($S170),MAX(0,INT((L$6+6-$S170)/$T170)-MAX(0,-INT(-(L$6-$S170)/$T170))+1),0)</f>
        <v>0.0</v>
      </c>
      <c r="M170" s="97">
        <f>IF(ISNUMBER($S170),MAX(0,INT((M$6+6-$S170)/$T170)-MAX(0,-INT(-(M$6-$S170)/$T170))+1),0)</f>
        <v>0.0</v>
      </c>
      <c r="N170" s="97">
        <f>IF(ISNUMBER($S170),MAX(0,INT((N$6+6-$S170)/$T170)-MAX(0,-INT(-(N$6-$S170)/$T170))+1),0)</f>
        <v>0.0</v>
      </c>
      <c r="O170" s="97">
        <f>IF(ISNUMBER($S170),MAX(0,INT((O$6+6-$S170)/$T170)-MAX(0,-INT(-(O$6-$S170)/$T170))+1),0)</f>
        <v>0.0</v>
      </c>
      <c r="P170" s="97">
        <f>IF(ISNUMBER($S170),MAX(0,INT((P$6+6-$S170)/$T170)-MAX(0,-INT(-(P$6-$S170)/$T170))+1),0)</f>
        <v>0.0</v>
      </c>
      <c r="Q170" s="97">
        <f>IF(ISNUMBER($S170),MAX(0,INT((Q$6+6-$S170)/$T170)-MAX(0,-INT(-(Q$6-$S170)/$T170))+1),0)</f>
        <v>0.0</v>
      </c>
      <c r="R170" s="97">
        <f>IF(ISNUMBER($S170),MAX(0,INT((R$6+6-$S170)/$T170)-MAX(0,-INT(-(R$6-$S170)/$T170))+1),0)</f>
        <v>0.0</v>
      </c>
      <c r="S170" t="str">
        <f>IF(ISNUMBER(INDEX(pl_period,161)),MAX(INDEX(pl_due,161),p_today),"")</f>
        <v/>
      </c>
      <c r="T170" t="str">
        <f>IF(ISNUMBER(INDEX(pl_period,161)),INDEX(pl_period,161),"")</f>
        <v/>
      </c>
      <c r="U170">
        <f>N(INDEX(pl_dur,161))</f>
        <v>0.0</v>
      </c>
    </row>
    <row r="171">
      <c r="A171" s="93" t="str">
        <f>IF(INDEX(pl_status,162)="","",INDEX(pl_num,162)&amp;"")</f>
        <v/>
      </c>
      <c r="B171" s="93" t="str">
        <f>IF(INDEX(pl_status,162)="","",INDEX(pl_eq,162)&amp;"")</f>
        <v/>
      </c>
      <c r="C171" s="93" t="str">
        <f>IF(INDEX(pl_status,162)="","",INDEX(pl_task,162)&amp;"")</f>
        <v/>
      </c>
      <c r="D171" s="94" t="str">
        <f>IF(ISNUMBER(INDEX(pl_due,162)),INDEX(pl_due,162),"")</f>
        <v/>
      </c>
      <c r="E171" s="95" t="str">
        <f>INDEX(pl_status,162)&amp;""</f>
        <v/>
      </c>
      <c r="F171" s="96" t="str">
        <f>IF(E171="En retard","●","")</f>
        <v/>
      </c>
      <c r="G171" s="97">
        <f>IF(ISNUMBER($S171),MAX(0,INT((G$6+6-$S171)/$T171)-MAX(0,-INT(-(G$6-$S171)/$T171))+1),0)</f>
        <v>0.0</v>
      </c>
      <c r="H171" s="97">
        <f>IF(ISNUMBER($S171),MAX(0,INT((H$6+6-$S171)/$T171)-MAX(0,-INT(-(H$6-$S171)/$T171))+1),0)</f>
        <v>0.0</v>
      </c>
      <c r="I171" s="97">
        <f>IF(ISNUMBER($S171),MAX(0,INT((I$6+6-$S171)/$T171)-MAX(0,-INT(-(I$6-$S171)/$T171))+1),0)</f>
        <v>0.0</v>
      </c>
      <c r="J171" s="97">
        <f>IF(ISNUMBER($S171),MAX(0,INT((J$6+6-$S171)/$T171)-MAX(0,-INT(-(J$6-$S171)/$T171))+1),0)</f>
        <v>0.0</v>
      </c>
      <c r="K171" s="97">
        <f>IF(ISNUMBER($S171),MAX(0,INT((K$6+6-$S171)/$T171)-MAX(0,-INT(-(K$6-$S171)/$T171))+1),0)</f>
        <v>0.0</v>
      </c>
      <c r="L171" s="97">
        <f>IF(ISNUMBER($S171),MAX(0,INT((L$6+6-$S171)/$T171)-MAX(0,-INT(-(L$6-$S171)/$T171))+1),0)</f>
        <v>0.0</v>
      </c>
      <c r="M171" s="97">
        <f>IF(ISNUMBER($S171),MAX(0,INT((M$6+6-$S171)/$T171)-MAX(0,-INT(-(M$6-$S171)/$T171))+1),0)</f>
        <v>0.0</v>
      </c>
      <c r="N171" s="97">
        <f>IF(ISNUMBER($S171),MAX(0,INT((N$6+6-$S171)/$T171)-MAX(0,-INT(-(N$6-$S171)/$T171))+1),0)</f>
        <v>0.0</v>
      </c>
      <c r="O171" s="97">
        <f>IF(ISNUMBER($S171),MAX(0,INT((O$6+6-$S171)/$T171)-MAX(0,-INT(-(O$6-$S171)/$T171))+1),0)</f>
        <v>0.0</v>
      </c>
      <c r="P171" s="97">
        <f>IF(ISNUMBER($S171),MAX(0,INT((P$6+6-$S171)/$T171)-MAX(0,-INT(-(P$6-$S171)/$T171))+1),0)</f>
        <v>0.0</v>
      </c>
      <c r="Q171" s="97">
        <f>IF(ISNUMBER($S171),MAX(0,INT((Q$6+6-$S171)/$T171)-MAX(0,-INT(-(Q$6-$S171)/$T171))+1),0)</f>
        <v>0.0</v>
      </c>
      <c r="R171" s="97">
        <f>IF(ISNUMBER($S171),MAX(0,INT((R$6+6-$S171)/$T171)-MAX(0,-INT(-(R$6-$S171)/$T171))+1),0)</f>
        <v>0.0</v>
      </c>
      <c r="S171" t="str">
        <f>IF(ISNUMBER(INDEX(pl_period,162)),MAX(INDEX(pl_due,162),p_today),"")</f>
        <v/>
      </c>
      <c r="T171" t="str">
        <f>IF(ISNUMBER(INDEX(pl_period,162)),INDEX(pl_period,162),"")</f>
        <v/>
      </c>
      <c r="U171">
        <f>N(INDEX(pl_dur,162))</f>
        <v>0.0</v>
      </c>
    </row>
    <row r="172">
      <c r="A172" s="93" t="str">
        <f>IF(INDEX(pl_status,163)="","",INDEX(pl_num,163)&amp;"")</f>
        <v/>
      </c>
      <c r="B172" s="93" t="str">
        <f>IF(INDEX(pl_status,163)="","",INDEX(pl_eq,163)&amp;"")</f>
        <v/>
      </c>
      <c r="C172" s="93" t="str">
        <f>IF(INDEX(pl_status,163)="","",INDEX(pl_task,163)&amp;"")</f>
        <v/>
      </c>
      <c r="D172" s="94" t="str">
        <f>IF(ISNUMBER(INDEX(pl_due,163)),INDEX(pl_due,163),"")</f>
        <v/>
      </c>
      <c r="E172" s="95" t="str">
        <f>INDEX(pl_status,163)&amp;""</f>
        <v/>
      </c>
      <c r="F172" s="96" t="str">
        <f>IF(E172="En retard","●","")</f>
        <v/>
      </c>
      <c r="G172" s="97">
        <f>IF(ISNUMBER($S172),MAX(0,INT((G$6+6-$S172)/$T172)-MAX(0,-INT(-(G$6-$S172)/$T172))+1),0)</f>
        <v>0.0</v>
      </c>
      <c r="H172" s="97">
        <f>IF(ISNUMBER($S172),MAX(0,INT((H$6+6-$S172)/$T172)-MAX(0,-INT(-(H$6-$S172)/$T172))+1),0)</f>
        <v>0.0</v>
      </c>
      <c r="I172" s="97">
        <f>IF(ISNUMBER($S172),MAX(0,INT((I$6+6-$S172)/$T172)-MAX(0,-INT(-(I$6-$S172)/$T172))+1),0)</f>
        <v>0.0</v>
      </c>
      <c r="J172" s="97">
        <f>IF(ISNUMBER($S172),MAX(0,INT((J$6+6-$S172)/$T172)-MAX(0,-INT(-(J$6-$S172)/$T172))+1),0)</f>
        <v>0.0</v>
      </c>
      <c r="K172" s="97">
        <f>IF(ISNUMBER($S172),MAX(0,INT((K$6+6-$S172)/$T172)-MAX(0,-INT(-(K$6-$S172)/$T172))+1),0)</f>
        <v>0.0</v>
      </c>
      <c r="L172" s="97">
        <f>IF(ISNUMBER($S172),MAX(0,INT((L$6+6-$S172)/$T172)-MAX(0,-INT(-(L$6-$S172)/$T172))+1),0)</f>
        <v>0.0</v>
      </c>
      <c r="M172" s="97">
        <f>IF(ISNUMBER($S172),MAX(0,INT((M$6+6-$S172)/$T172)-MAX(0,-INT(-(M$6-$S172)/$T172))+1),0)</f>
        <v>0.0</v>
      </c>
      <c r="N172" s="97">
        <f>IF(ISNUMBER($S172),MAX(0,INT((N$6+6-$S172)/$T172)-MAX(0,-INT(-(N$6-$S172)/$T172))+1),0)</f>
        <v>0.0</v>
      </c>
      <c r="O172" s="97">
        <f>IF(ISNUMBER($S172),MAX(0,INT((O$6+6-$S172)/$T172)-MAX(0,-INT(-(O$6-$S172)/$T172))+1),0)</f>
        <v>0.0</v>
      </c>
      <c r="P172" s="97">
        <f>IF(ISNUMBER($S172),MAX(0,INT((P$6+6-$S172)/$T172)-MAX(0,-INT(-(P$6-$S172)/$T172))+1),0)</f>
        <v>0.0</v>
      </c>
      <c r="Q172" s="97">
        <f>IF(ISNUMBER($S172),MAX(0,INT((Q$6+6-$S172)/$T172)-MAX(0,-INT(-(Q$6-$S172)/$T172))+1),0)</f>
        <v>0.0</v>
      </c>
      <c r="R172" s="97">
        <f>IF(ISNUMBER($S172),MAX(0,INT((R$6+6-$S172)/$T172)-MAX(0,-INT(-(R$6-$S172)/$T172))+1),0)</f>
        <v>0.0</v>
      </c>
      <c r="S172" t="str">
        <f>IF(ISNUMBER(INDEX(pl_period,163)),MAX(INDEX(pl_due,163),p_today),"")</f>
        <v/>
      </c>
      <c r="T172" t="str">
        <f>IF(ISNUMBER(INDEX(pl_period,163)),INDEX(pl_period,163),"")</f>
        <v/>
      </c>
      <c r="U172">
        <f>N(INDEX(pl_dur,163))</f>
        <v>0.0</v>
      </c>
    </row>
    <row r="173">
      <c r="A173" s="93" t="str">
        <f>IF(INDEX(pl_status,164)="","",INDEX(pl_num,164)&amp;"")</f>
        <v/>
      </c>
      <c r="B173" s="93" t="str">
        <f>IF(INDEX(pl_status,164)="","",INDEX(pl_eq,164)&amp;"")</f>
        <v/>
      </c>
      <c r="C173" s="93" t="str">
        <f>IF(INDEX(pl_status,164)="","",INDEX(pl_task,164)&amp;"")</f>
        <v/>
      </c>
      <c r="D173" s="94" t="str">
        <f>IF(ISNUMBER(INDEX(pl_due,164)),INDEX(pl_due,164),"")</f>
        <v/>
      </c>
      <c r="E173" s="95" t="str">
        <f>INDEX(pl_status,164)&amp;""</f>
        <v/>
      </c>
      <c r="F173" s="96" t="str">
        <f>IF(E173="En retard","●","")</f>
        <v/>
      </c>
      <c r="G173" s="97">
        <f>IF(ISNUMBER($S173),MAX(0,INT((G$6+6-$S173)/$T173)-MAX(0,-INT(-(G$6-$S173)/$T173))+1),0)</f>
        <v>0.0</v>
      </c>
      <c r="H173" s="97">
        <f>IF(ISNUMBER($S173),MAX(0,INT((H$6+6-$S173)/$T173)-MAX(0,-INT(-(H$6-$S173)/$T173))+1),0)</f>
        <v>0.0</v>
      </c>
      <c r="I173" s="97">
        <f>IF(ISNUMBER($S173),MAX(0,INT((I$6+6-$S173)/$T173)-MAX(0,-INT(-(I$6-$S173)/$T173))+1),0)</f>
        <v>0.0</v>
      </c>
      <c r="J173" s="97">
        <f>IF(ISNUMBER($S173),MAX(0,INT((J$6+6-$S173)/$T173)-MAX(0,-INT(-(J$6-$S173)/$T173))+1),0)</f>
        <v>0.0</v>
      </c>
      <c r="K173" s="97">
        <f>IF(ISNUMBER($S173),MAX(0,INT((K$6+6-$S173)/$T173)-MAX(0,-INT(-(K$6-$S173)/$T173))+1),0)</f>
        <v>0.0</v>
      </c>
      <c r="L173" s="97">
        <f>IF(ISNUMBER($S173),MAX(0,INT((L$6+6-$S173)/$T173)-MAX(0,-INT(-(L$6-$S173)/$T173))+1),0)</f>
        <v>0.0</v>
      </c>
      <c r="M173" s="97">
        <f>IF(ISNUMBER($S173),MAX(0,INT((M$6+6-$S173)/$T173)-MAX(0,-INT(-(M$6-$S173)/$T173))+1),0)</f>
        <v>0.0</v>
      </c>
      <c r="N173" s="97">
        <f>IF(ISNUMBER($S173),MAX(0,INT((N$6+6-$S173)/$T173)-MAX(0,-INT(-(N$6-$S173)/$T173))+1),0)</f>
        <v>0.0</v>
      </c>
      <c r="O173" s="97">
        <f>IF(ISNUMBER($S173),MAX(0,INT((O$6+6-$S173)/$T173)-MAX(0,-INT(-(O$6-$S173)/$T173))+1),0)</f>
        <v>0.0</v>
      </c>
      <c r="P173" s="97">
        <f>IF(ISNUMBER($S173),MAX(0,INT((P$6+6-$S173)/$T173)-MAX(0,-INT(-(P$6-$S173)/$T173))+1),0)</f>
        <v>0.0</v>
      </c>
      <c r="Q173" s="97">
        <f>IF(ISNUMBER($S173),MAX(0,INT((Q$6+6-$S173)/$T173)-MAX(0,-INT(-(Q$6-$S173)/$T173))+1),0)</f>
        <v>0.0</v>
      </c>
      <c r="R173" s="97">
        <f>IF(ISNUMBER($S173),MAX(0,INT((R$6+6-$S173)/$T173)-MAX(0,-INT(-(R$6-$S173)/$T173))+1),0)</f>
        <v>0.0</v>
      </c>
      <c r="S173" t="str">
        <f>IF(ISNUMBER(INDEX(pl_period,164)),MAX(INDEX(pl_due,164),p_today),"")</f>
        <v/>
      </c>
      <c r="T173" t="str">
        <f>IF(ISNUMBER(INDEX(pl_period,164)),INDEX(pl_period,164),"")</f>
        <v/>
      </c>
      <c r="U173">
        <f>N(INDEX(pl_dur,164))</f>
        <v>0.0</v>
      </c>
    </row>
    <row r="174">
      <c r="A174" s="93" t="str">
        <f>IF(INDEX(pl_status,165)="","",INDEX(pl_num,165)&amp;"")</f>
        <v/>
      </c>
      <c r="B174" s="93" t="str">
        <f>IF(INDEX(pl_status,165)="","",INDEX(pl_eq,165)&amp;"")</f>
        <v/>
      </c>
      <c r="C174" s="93" t="str">
        <f>IF(INDEX(pl_status,165)="","",INDEX(pl_task,165)&amp;"")</f>
        <v/>
      </c>
      <c r="D174" s="94" t="str">
        <f>IF(ISNUMBER(INDEX(pl_due,165)),INDEX(pl_due,165),"")</f>
        <v/>
      </c>
      <c r="E174" s="95" t="str">
        <f>INDEX(pl_status,165)&amp;""</f>
        <v/>
      </c>
      <c r="F174" s="96" t="str">
        <f>IF(E174="En retard","●","")</f>
        <v/>
      </c>
      <c r="G174" s="97">
        <f>IF(ISNUMBER($S174),MAX(0,INT((G$6+6-$S174)/$T174)-MAX(0,-INT(-(G$6-$S174)/$T174))+1),0)</f>
        <v>0.0</v>
      </c>
      <c r="H174" s="97">
        <f>IF(ISNUMBER($S174),MAX(0,INT((H$6+6-$S174)/$T174)-MAX(0,-INT(-(H$6-$S174)/$T174))+1),0)</f>
        <v>0.0</v>
      </c>
      <c r="I174" s="97">
        <f>IF(ISNUMBER($S174),MAX(0,INT((I$6+6-$S174)/$T174)-MAX(0,-INT(-(I$6-$S174)/$T174))+1),0)</f>
        <v>0.0</v>
      </c>
      <c r="J174" s="97">
        <f>IF(ISNUMBER($S174),MAX(0,INT((J$6+6-$S174)/$T174)-MAX(0,-INT(-(J$6-$S174)/$T174))+1),0)</f>
        <v>0.0</v>
      </c>
      <c r="K174" s="97">
        <f>IF(ISNUMBER($S174),MAX(0,INT((K$6+6-$S174)/$T174)-MAX(0,-INT(-(K$6-$S174)/$T174))+1),0)</f>
        <v>0.0</v>
      </c>
      <c r="L174" s="97">
        <f>IF(ISNUMBER($S174),MAX(0,INT((L$6+6-$S174)/$T174)-MAX(0,-INT(-(L$6-$S174)/$T174))+1),0)</f>
        <v>0.0</v>
      </c>
      <c r="M174" s="97">
        <f>IF(ISNUMBER($S174),MAX(0,INT((M$6+6-$S174)/$T174)-MAX(0,-INT(-(M$6-$S174)/$T174))+1),0)</f>
        <v>0.0</v>
      </c>
      <c r="N174" s="97">
        <f>IF(ISNUMBER($S174),MAX(0,INT((N$6+6-$S174)/$T174)-MAX(0,-INT(-(N$6-$S174)/$T174))+1),0)</f>
        <v>0.0</v>
      </c>
      <c r="O174" s="97">
        <f>IF(ISNUMBER($S174),MAX(0,INT((O$6+6-$S174)/$T174)-MAX(0,-INT(-(O$6-$S174)/$T174))+1),0)</f>
        <v>0.0</v>
      </c>
      <c r="P174" s="97">
        <f>IF(ISNUMBER($S174),MAX(0,INT((P$6+6-$S174)/$T174)-MAX(0,-INT(-(P$6-$S174)/$T174))+1),0)</f>
        <v>0.0</v>
      </c>
      <c r="Q174" s="97">
        <f>IF(ISNUMBER($S174),MAX(0,INT((Q$6+6-$S174)/$T174)-MAX(0,-INT(-(Q$6-$S174)/$T174))+1),0)</f>
        <v>0.0</v>
      </c>
      <c r="R174" s="97">
        <f>IF(ISNUMBER($S174),MAX(0,INT((R$6+6-$S174)/$T174)-MAX(0,-INT(-(R$6-$S174)/$T174))+1),0)</f>
        <v>0.0</v>
      </c>
      <c r="S174" t="str">
        <f>IF(ISNUMBER(INDEX(pl_period,165)),MAX(INDEX(pl_due,165),p_today),"")</f>
        <v/>
      </c>
      <c r="T174" t="str">
        <f>IF(ISNUMBER(INDEX(pl_period,165)),INDEX(pl_period,165),"")</f>
        <v/>
      </c>
      <c r="U174">
        <f>N(INDEX(pl_dur,165))</f>
        <v>0.0</v>
      </c>
    </row>
    <row r="175">
      <c r="A175" s="93" t="str">
        <f>IF(INDEX(pl_status,166)="","",INDEX(pl_num,166)&amp;"")</f>
        <v/>
      </c>
      <c r="B175" s="93" t="str">
        <f>IF(INDEX(pl_status,166)="","",INDEX(pl_eq,166)&amp;"")</f>
        <v/>
      </c>
      <c r="C175" s="93" t="str">
        <f>IF(INDEX(pl_status,166)="","",INDEX(pl_task,166)&amp;"")</f>
        <v/>
      </c>
      <c r="D175" s="94" t="str">
        <f>IF(ISNUMBER(INDEX(pl_due,166)),INDEX(pl_due,166),"")</f>
        <v/>
      </c>
      <c r="E175" s="95" t="str">
        <f>INDEX(pl_status,166)&amp;""</f>
        <v/>
      </c>
      <c r="F175" s="96" t="str">
        <f>IF(E175="En retard","●","")</f>
        <v/>
      </c>
      <c r="G175" s="97">
        <f>IF(ISNUMBER($S175),MAX(0,INT((G$6+6-$S175)/$T175)-MAX(0,-INT(-(G$6-$S175)/$T175))+1),0)</f>
        <v>0.0</v>
      </c>
      <c r="H175" s="97">
        <f>IF(ISNUMBER($S175),MAX(0,INT((H$6+6-$S175)/$T175)-MAX(0,-INT(-(H$6-$S175)/$T175))+1),0)</f>
        <v>0.0</v>
      </c>
      <c r="I175" s="97">
        <f>IF(ISNUMBER($S175),MAX(0,INT((I$6+6-$S175)/$T175)-MAX(0,-INT(-(I$6-$S175)/$T175))+1),0)</f>
        <v>0.0</v>
      </c>
      <c r="J175" s="97">
        <f>IF(ISNUMBER($S175),MAX(0,INT((J$6+6-$S175)/$T175)-MAX(0,-INT(-(J$6-$S175)/$T175))+1),0)</f>
        <v>0.0</v>
      </c>
      <c r="K175" s="97">
        <f>IF(ISNUMBER($S175),MAX(0,INT((K$6+6-$S175)/$T175)-MAX(0,-INT(-(K$6-$S175)/$T175))+1),0)</f>
        <v>0.0</v>
      </c>
      <c r="L175" s="97">
        <f>IF(ISNUMBER($S175),MAX(0,INT((L$6+6-$S175)/$T175)-MAX(0,-INT(-(L$6-$S175)/$T175))+1),0)</f>
        <v>0.0</v>
      </c>
      <c r="M175" s="97">
        <f>IF(ISNUMBER($S175),MAX(0,INT((M$6+6-$S175)/$T175)-MAX(0,-INT(-(M$6-$S175)/$T175))+1),0)</f>
        <v>0.0</v>
      </c>
      <c r="N175" s="97">
        <f>IF(ISNUMBER($S175),MAX(0,INT((N$6+6-$S175)/$T175)-MAX(0,-INT(-(N$6-$S175)/$T175))+1),0)</f>
        <v>0.0</v>
      </c>
      <c r="O175" s="97">
        <f>IF(ISNUMBER($S175),MAX(0,INT((O$6+6-$S175)/$T175)-MAX(0,-INT(-(O$6-$S175)/$T175))+1),0)</f>
        <v>0.0</v>
      </c>
      <c r="P175" s="97">
        <f>IF(ISNUMBER($S175),MAX(0,INT((P$6+6-$S175)/$T175)-MAX(0,-INT(-(P$6-$S175)/$T175))+1),0)</f>
        <v>0.0</v>
      </c>
      <c r="Q175" s="97">
        <f>IF(ISNUMBER($S175),MAX(0,INT((Q$6+6-$S175)/$T175)-MAX(0,-INT(-(Q$6-$S175)/$T175))+1),0)</f>
        <v>0.0</v>
      </c>
      <c r="R175" s="97">
        <f>IF(ISNUMBER($S175),MAX(0,INT((R$6+6-$S175)/$T175)-MAX(0,-INT(-(R$6-$S175)/$T175))+1),0)</f>
        <v>0.0</v>
      </c>
      <c r="S175" t="str">
        <f>IF(ISNUMBER(INDEX(pl_period,166)),MAX(INDEX(pl_due,166),p_today),"")</f>
        <v/>
      </c>
      <c r="T175" t="str">
        <f>IF(ISNUMBER(INDEX(pl_period,166)),INDEX(pl_period,166),"")</f>
        <v/>
      </c>
      <c r="U175">
        <f>N(INDEX(pl_dur,166))</f>
        <v>0.0</v>
      </c>
    </row>
    <row r="176">
      <c r="A176" s="93" t="str">
        <f>IF(INDEX(pl_status,167)="","",INDEX(pl_num,167)&amp;"")</f>
        <v/>
      </c>
      <c r="B176" s="93" t="str">
        <f>IF(INDEX(pl_status,167)="","",INDEX(pl_eq,167)&amp;"")</f>
        <v/>
      </c>
      <c r="C176" s="93" t="str">
        <f>IF(INDEX(pl_status,167)="","",INDEX(pl_task,167)&amp;"")</f>
        <v/>
      </c>
      <c r="D176" s="94" t="str">
        <f>IF(ISNUMBER(INDEX(pl_due,167)),INDEX(pl_due,167),"")</f>
        <v/>
      </c>
      <c r="E176" s="95" t="str">
        <f>INDEX(pl_status,167)&amp;""</f>
        <v/>
      </c>
      <c r="F176" s="96" t="str">
        <f>IF(E176="En retard","●","")</f>
        <v/>
      </c>
      <c r="G176" s="97">
        <f>IF(ISNUMBER($S176),MAX(0,INT((G$6+6-$S176)/$T176)-MAX(0,-INT(-(G$6-$S176)/$T176))+1),0)</f>
        <v>0.0</v>
      </c>
      <c r="H176" s="97">
        <f>IF(ISNUMBER($S176),MAX(0,INT((H$6+6-$S176)/$T176)-MAX(0,-INT(-(H$6-$S176)/$T176))+1),0)</f>
        <v>0.0</v>
      </c>
      <c r="I176" s="97">
        <f>IF(ISNUMBER($S176),MAX(0,INT((I$6+6-$S176)/$T176)-MAX(0,-INT(-(I$6-$S176)/$T176))+1),0)</f>
        <v>0.0</v>
      </c>
      <c r="J176" s="97">
        <f>IF(ISNUMBER($S176),MAX(0,INT((J$6+6-$S176)/$T176)-MAX(0,-INT(-(J$6-$S176)/$T176))+1),0)</f>
        <v>0.0</v>
      </c>
      <c r="K176" s="97">
        <f>IF(ISNUMBER($S176),MAX(0,INT((K$6+6-$S176)/$T176)-MAX(0,-INT(-(K$6-$S176)/$T176))+1),0)</f>
        <v>0.0</v>
      </c>
      <c r="L176" s="97">
        <f>IF(ISNUMBER($S176),MAX(0,INT((L$6+6-$S176)/$T176)-MAX(0,-INT(-(L$6-$S176)/$T176))+1),0)</f>
        <v>0.0</v>
      </c>
      <c r="M176" s="97">
        <f>IF(ISNUMBER($S176),MAX(0,INT((M$6+6-$S176)/$T176)-MAX(0,-INT(-(M$6-$S176)/$T176))+1),0)</f>
        <v>0.0</v>
      </c>
      <c r="N176" s="97">
        <f>IF(ISNUMBER($S176),MAX(0,INT((N$6+6-$S176)/$T176)-MAX(0,-INT(-(N$6-$S176)/$T176))+1),0)</f>
        <v>0.0</v>
      </c>
      <c r="O176" s="97">
        <f>IF(ISNUMBER($S176),MAX(0,INT((O$6+6-$S176)/$T176)-MAX(0,-INT(-(O$6-$S176)/$T176))+1),0)</f>
        <v>0.0</v>
      </c>
      <c r="P176" s="97">
        <f>IF(ISNUMBER($S176),MAX(0,INT((P$6+6-$S176)/$T176)-MAX(0,-INT(-(P$6-$S176)/$T176))+1),0)</f>
        <v>0.0</v>
      </c>
      <c r="Q176" s="97">
        <f>IF(ISNUMBER($S176),MAX(0,INT((Q$6+6-$S176)/$T176)-MAX(0,-INT(-(Q$6-$S176)/$T176))+1),0)</f>
        <v>0.0</v>
      </c>
      <c r="R176" s="97">
        <f>IF(ISNUMBER($S176),MAX(0,INT((R$6+6-$S176)/$T176)-MAX(0,-INT(-(R$6-$S176)/$T176))+1),0)</f>
        <v>0.0</v>
      </c>
      <c r="S176" t="str">
        <f>IF(ISNUMBER(INDEX(pl_period,167)),MAX(INDEX(pl_due,167),p_today),"")</f>
        <v/>
      </c>
      <c r="T176" t="str">
        <f>IF(ISNUMBER(INDEX(pl_period,167)),INDEX(pl_period,167),"")</f>
        <v/>
      </c>
      <c r="U176">
        <f>N(INDEX(pl_dur,167))</f>
        <v>0.0</v>
      </c>
    </row>
    <row r="177">
      <c r="A177" s="93" t="str">
        <f>IF(INDEX(pl_status,168)="","",INDEX(pl_num,168)&amp;"")</f>
        <v/>
      </c>
      <c r="B177" s="93" t="str">
        <f>IF(INDEX(pl_status,168)="","",INDEX(pl_eq,168)&amp;"")</f>
        <v/>
      </c>
      <c r="C177" s="93" t="str">
        <f>IF(INDEX(pl_status,168)="","",INDEX(pl_task,168)&amp;"")</f>
        <v/>
      </c>
      <c r="D177" s="94" t="str">
        <f>IF(ISNUMBER(INDEX(pl_due,168)),INDEX(pl_due,168),"")</f>
        <v/>
      </c>
      <c r="E177" s="95" t="str">
        <f>INDEX(pl_status,168)&amp;""</f>
        <v/>
      </c>
      <c r="F177" s="96" t="str">
        <f>IF(E177="En retard","●","")</f>
        <v/>
      </c>
      <c r="G177" s="97">
        <f>IF(ISNUMBER($S177),MAX(0,INT((G$6+6-$S177)/$T177)-MAX(0,-INT(-(G$6-$S177)/$T177))+1),0)</f>
        <v>0.0</v>
      </c>
      <c r="H177" s="97">
        <f>IF(ISNUMBER($S177),MAX(0,INT((H$6+6-$S177)/$T177)-MAX(0,-INT(-(H$6-$S177)/$T177))+1),0)</f>
        <v>0.0</v>
      </c>
      <c r="I177" s="97">
        <f>IF(ISNUMBER($S177),MAX(0,INT((I$6+6-$S177)/$T177)-MAX(0,-INT(-(I$6-$S177)/$T177))+1),0)</f>
        <v>0.0</v>
      </c>
      <c r="J177" s="97">
        <f>IF(ISNUMBER($S177),MAX(0,INT((J$6+6-$S177)/$T177)-MAX(0,-INT(-(J$6-$S177)/$T177))+1),0)</f>
        <v>0.0</v>
      </c>
      <c r="K177" s="97">
        <f>IF(ISNUMBER($S177),MAX(0,INT((K$6+6-$S177)/$T177)-MAX(0,-INT(-(K$6-$S177)/$T177))+1),0)</f>
        <v>0.0</v>
      </c>
      <c r="L177" s="97">
        <f>IF(ISNUMBER($S177),MAX(0,INT((L$6+6-$S177)/$T177)-MAX(0,-INT(-(L$6-$S177)/$T177))+1),0)</f>
        <v>0.0</v>
      </c>
      <c r="M177" s="97">
        <f>IF(ISNUMBER($S177),MAX(0,INT((M$6+6-$S177)/$T177)-MAX(0,-INT(-(M$6-$S177)/$T177))+1),0)</f>
        <v>0.0</v>
      </c>
      <c r="N177" s="97">
        <f>IF(ISNUMBER($S177),MAX(0,INT((N$6+6-$S177)/$T177)-MAX(0,-INT(-(N$6-$S177)/$T177))+1),0)</f>
        <v>0.0</v>
      </c>
      <c r="O177" s="97">
        <f>IF(ISNUMBER($S177),MAX(0,INT((O$6+6-$S177)/$T177)-MAX(0,-INT(-(O$6-$S177)/$T177))+1),0)</f>
        <v>0.0</v>
      </c>
      <c r="P177" s="97">
        <f>IF(ISNUMBER($S177),MAX(0,INT((P$6+6-$S177)/$T177)-MAX(0,-INT(-(P$6-$S177)/$T177))+1),0)</f>
        <v>0.0</v>
      </c>
      <c r="Q177" s="97">
        <f>IF(ISNUMBER($S177),MAX(0,INT((Q$6+6-$S177)/$T177)-MAX(0,-INT(-(Q$6-$S177)/$T177))+1),0)</f>
        <v>0.0</v>
      </c>
      <c r="R177" s="97">
        <f>IF(ISNUMBER($S177),MAX(0,INT((R$6+6-$S177)/$T177)-MAX(0,-INT(-(R$6-$S177)/$T177))+1),0)</f>
        <v>0.0</v>
      </c>
      <c r="S177" t="str">
        <f>IF(ISNUMBER(INDEX(pl_period,168)),MAX(INDEX(pl_due,168),p_today),"")</f>
        <v/>
      </c>
      <c r="T177" t="str">
        <f>IF(ISNUMBER(INDEX(pl_period,168)),INDEX(pl_period,168),"")</f>
        <v/>
      </c>
      <c r="U177">
        <f>N(INDEX(pl_dur,168))</f>
        <v>0.0</v>
      </c>
    </row>
    <row r="178">
      <c r="A178" s="93" t="str">
        <f>IF(INDEX(pl_status,169)="","",INDEX(pl_num,169)&amp;"")</f>
        <v/>
      </c>
      <c r="B178" s="93" t="str">
        <f>IF(INDEX(pl_status,169)="","",INDEX(pl_eq,169)&amp;"")</f>
        <v/>
      </c>
      <c r="C178" s="93" t="str">
        <f>IF(INDEX(pl_status,169)="","",INDEX(pl_task,169)&amp;"")</f>
        <v/>
      </c>
      <c r="D178" s="94" t="str">
        <f>IF(ISNUMBER(INDEX(pl_due,169)),INDEX(pl_due,169),"")</f>
        <v/>
      </c>
      <c r="E178" s="95" t="str">
        <f>INDEX(pl_status,169)&amp;""</f>
        <v/>
      </c>
      <c r="F178" s="96" t="str">
        <f>IF(E178="En retard","●","")</f>
        <v/>
      </c>
      <c r="G178" s="97">
        <f>IF(ISNUMBER($S178),MAX(0,INT((G$6+6-$S178)/$T178)-MAX(0,-INT(-(G$6-$S178)/$T178))+1),0)</f>
        <v>0.0</v>
      </c>
      <c r="H178" s="97">
        <f>IF(ISNUMBER($S178),MAX(0,INT((H$6+6-$S178)/$T178)-MAX(0,-INT(-(H$6-$S178)/$T178))+1),0)</f>
        <v>0.0</v>
      </c>
      <c r="I178" s="97">
        <f>IF(ISNUMBER($S178),MAX(0,INT((I$6+6-$S178)/$T178)-MAX(0,-INT(-(I$6-$S178)/$T178))+1),0)</f>
        <v>0.0</v>
      </c>
      <c r="J178" s="97">
        <f>IF(ISNUMBER($S178),MAX(0,INT((J$6+6-$S178)/$T178)-MAX(0,-INT(-(J$6-$S178)/$T178))+1),0)</f>
        <v>0.0</v>
      </c>
      <c r="K178" s="97">
        <f>IF(ISNUMBER($S178),MAX(0,INT((K$6+6-$S178)/$T178)-MAX(0,-INT(-(K$6-$S178)/$T178))+1),0)</f>
        <v>0.0</v>
      </c>
      <c r="L178" s="97">
        <f>IF(ISNUMBER($S178),MAX(0,INT((L$6+6-$S178)/$T178)-MAX(0,-INT(-(L$6-$S178)/$T178))+1),0)</f>
        <v>0.0</v>
      </c>
      <c r="M178" s="97">
        <f>IF(ISNUMBER($S178),MAX(0,INT((M$6+6-$S178)/$T178)-MAX(0,-INT(-(M$6-$S178)/$T178))+1),0)</f>
        <v>0.0</v>
      </c>
      <c r="N178" s="97">
        <f>IF(ISNUMBER($S178),MAX(0,INT((N$6+6-$S178)/$T178)-MAX(0,-INT(-(N$6-$S178)/$T178))+1),0)</f>
        <v>0.0</v>
      </c>
      <c r="O178" s="97">
        <f>IF(ISNUMBER($S178),MAX(0,INT((O$6+6-$S178)/$T178)-MAX(0,-INT(-(O$6-$S178)/$T178))+1),0)</f>
        <v>0.0</v>
      </c>
      <c r="P178" s="97">
        <f>IF(ISNUMBER($S178),MAX(0,INT((P$6+6-$S178)/$T178)-MAX(0,-INT(-(P$6-$S178)/$T178))+1),0)</f>
        <v>0.0</v>
      </c>
      <c r="Q178" s="97">
        <f>IF(ISNUMBER($S178),MAX(0,INT((Q$6+6-$S178)/$T178)-MAX(0,-INT(-(Q$6-$S178)/$T178))+1),0)</f>
        <v>0.0</v>
      </c>
      <c r="R178" s="97">
        <f>IF(ISNUMBER($S178),MAX(0,INT((R$6+6-$S178)/$T178)-MAX(0,-INT(-(R$6-$S178)/$T178))+1),0)</f>
        <v>0.0</v>
      </c>
      <c r="S178" t="str">
        <f>IF(ISNUMBER(INDEX(pl_period,169)),MAX(INDEX(pl_due,169),p_today),"")</f>
        <v/>
      </c>
      <c r="T178" t="str">
        <f>IF(ISNUMBER(INDEX(pl_period,169)),INDEX(pl_period,169),"")</f>
        <v/>
      </c>
      <c r="U178">
        <f>N(INDEX(pl_dur,169))</f>
        <v>0.0</v>
      </c>
    </row>
    <row r="179">
      <c r="A179" s="93" t="str">
        <f>IF(INDEX(pl_status,170)="","",INDEX(pl_num,170)&amp;"")</f>
        <v/>
      </c>
      <c r="B179" s="93" t="str">
        <f>IF(INDEX(pl_status,170)="","",INDEX(pl_eq,170)&amp;"")</f>
        <v/>
      </c>
      <c r="C179" s="93" t="str">
        <f>IF(INDEX(pl_status,170)="","",INDEX(pl_task,170)&amp;"")</f>
        <v/>
      </c>
      <c r="D179" s="94" t="str">
        <f>IF(ISNUMBER(INDEX(pl_due,170)),INDEX(pl_due,170),"")</f>
        <v/>
      </c>
      <c r="E179" s="95" t="str">
        <f>INDEX(pl_status,170)&amp;""</f>
        <v/>
      </c>
      <c r="F179" s="96" t="str">
        <f>IF(E179="En retard","●","")</f>
        <v/>
      </c>
      <c r="G179" s="97">
        <f>IF(ISNUMBER($S179),MAX(0,INT((G$6+6-$S179)/$T179)-MAX(0,-INT(-(G$6-$S179)/$T179))+1),0)</f>
        <v>0.0</v>
      </c>
      <c r="H179" s="97">
        <f>IF(ISNUMBER($S179),MAX(0,INT((H$6+6-$S179)/$T179)-MAX(0,-INT(-(H$6-$S179)/$T179))+1),0)</f>
        <v>0.0</v>
      </c>
      <c r="I179" s="97">
        <f>IF(ISNUMBER($S179),MAX(0,INT((I$6+6-$S179)/$T179)-MAX(0,-INT(-(I$6-$S179)/$T179))+1),0)</f>
        <v>0.0</v>
      </c>
      <c r="J179" s="97">
        <f>IF(ISNUMBER($S179),MAX(0,INT((J$6+6-$S179)/$T179)-MAX(0,-INT(-(J$6-$S179)/$T179))+1),0)</f>
        <v>0.0</v>
      </c>
      <c r="K179" s="97">
        <f>IF(ISNUMBER($S179),MAX(0,INT((K$6+6-$S179)/$T179)-MAX(0,-INT(-(K$6-$S179)/$T179))+1),0)</f>
        <v>0.0</v>
      </c>
      <c r="L179" s="97">
        <f>IF(ISNUMBER($S179),MAX(0,INT((L$6+6-$S179)/$T179)-MAX(0,-INT(-(L$6-$S179)/$T179))+1),0)</f>
        <v>0.0</v>
      </c>
      <c r="M179" s="97">
        <f>IF(ISNUMBER($S179),MAX(0,INT((M$6+6-$S179)/$T179)-MAX(0,-INT(-(M$6-$S179)/$T179))+1),0)</f>
        <v>0.0</v>
      </c>
      <c r="N179" s="97">
        <f>IF(ISNUMBER($S179),MAX(0,INT((N$6+6-$S179)/$T179)-MAX(0,-INT(-(N$6-$S179)/$T179))+1),0)</f>
        <v>0.0</v>
      </c>
      <c r="O179" s="97">
        <f>IF(ISNUMBER($S179),MAX(0,INT((O$6+6-$S179)/$T179)-MAX(0,-INT(-(O$6-$S179)/$T179))+1),0)</f>
        <v>0.0</v>
      </c>
      <c r="P179" s="97">
        <f>IF(ISNUMBER($S179),MAX(0,INT((P$6+6-$S179)/$T179)-MAX(0,-INT(-(P$6-$S179)/$T179))+1),0)</f>
        <v>0.0</v>
      </c>
      <c r="Q179" s="97">
        <f>IF(ISNUMBER($S179),MAX(0,INT((Q$6+6-$S179)/$T179)-MAX(0,-INT(-(Q$6-$S179)/$T179))+1),0)</f>
        <v>0.0</v>
      </c>
      <c r="R179" s="97">
        <f>IF(ISNUMBER($S179),MAX(0,INT((R$6+6-$S179)/$T179)-MAX(0,-INT(-(R$6-$S179)/$T179))+1),0)</f>
        <v>0.0</v>
      </c>
      <c r="S179" t="str">
        <f>IF(ISNUMBER(INDEX(pl_period,170)),MAX(INDEX(pl_due,170),p_today),"")</f>
        <v/>
      </c>
      <c r="T179" t="str">
        <f>IF(ISNUMBER(INDEX(pl_period,170)),INDEX(pl_period,170),"")</f>
        <v/>
      </c>
      <c r="U179">
        <f>N(INDEX(pl_dur,170))</f>
        <v>0.0</v>
      </c>
    </row>
    <row r="180">
      <c r="A180" s="93" t="str">
        <f>IF(INDEX(pl_status,171)="","",INDEX(pl_num,171)&amp;"")</f>
        <v/>
      </c>
      <c r="B180" s="93" t="str">
        <f>IF(INDEX(pl_status,171)="","",INDEX(pl_eq,171)&amp;"")</f>
        <v/>
      </c>
      <c r="C180" s="93" t="str">
        <f>IF(INDEX(pl_status,171)="","",INDEX(pl_task,171)&amp;"")</f>
        <v/>
      </c>
      <c r="D180" s="94" t="str">
        <f>IF(ISNUMBER(INDEX(pl_due,171)),INDEX(pl_due,171),"")</f>
        <v/>
      </c>
      <c r="E180" s="95" t="str">
        <f>INDEX(pl_status,171)&amp;""</f>
        <v/>
      </c>
      <c r="F180" s="96" t="str">
        <f>IF(E180="En retard","●","")</f>
        <v/>
      </c>
      <c r="G180" s="97">
        <f>IF(ISNUMBER($S180),MAX(0,INT((G$6+6-$S180)/$T180)-MAX(0,-INT(-(G$6-$S180)/$T180))+1),0)</f>
        <v>0.0</v>
      </c>
      <c r="H180" s="97">
        <f>IF(ISNUMBER($S180),MAX(0,INT((H$6+6-$S180)/$T180)-MAX(0,-INT(-(H$6-$S180)/$T180))+1),0)</f>
        <v>0.0</v>
      </c>
      <c r="I180" s="97">
        <f>IF(ISNUMBER($S180),MAX(0,INT((I$6+6-$S180)/$T180)-MAX(0,-INT(-(I$6-$S180)/$T180))+1),0)</f>
        <v>0.0</v>
      </c>
      <c r="J180" s="97">
        <f>IF(ISNUMBER($S180),MAX(0,INT((J$6+6-$S180)/$T180)-MAX(0,-INT(-(J$6-$S180)/$T180))+1),0)</f>
        <v>0.0</v>
      </c>
      <c r="K180" s="97">
        <f>IF(ISNUMBER($S180),MAX(0,INT((K$6+6-$S180)/$T180)-MAX(0,-INT(-(K$6-$S180)/$T180))+1),0)</f>
        <v>0.0</v>
      </c>
      <c r="L180" s="97">
        <f>IF(ISNUMBER($S180),MAX(0,INT((L$6+6-$S180)/$T180)-MAX(0,-INT(-(L$6-$S180)/$T180))+1),0)</f>
        <v>0.0</v>
      </c>
      <c r="M180" s="97">
        <f>IF(ISNUMBER($S180),MAX(0,INT((M$6+6-$S180)/$T180)-MAX(0,-INT(-(M$6-$S180)/$T180))+1),0)</f>
        <v>0.0</v>
      </c>
      <c r="N180" s="97">
        <f>IF(ISNUMBER($S180),MAX(0,INT((N$6+6-$S180)/$T180)-MAX(0,-INT(-(N$6-$S180)/$T180))+1),0)</f>
        <v>0.0</v>
      </c>
      <c r="O180" s="97">
        <f>IF(ISNUMBER($S180),MAX(0,INT((O$6+6-$S180)/$T180)-MAX(0,-INT(-(O$6-$S180)/$T180))+1),0)</f>
        <v>0.0</v>
      </c>
      <c r="P180" s="97">
        <f>IF(ISNUMBER($S180),MAX(0,INT((P$6+6-$S180)/$T180)-MAX(0,-INT(-(P$6-$S180)/$T180))+1),0)</f>
        <v>0.0</v>
      </c>
      <c r="Q180" s="97">
        <f>IF(ISNUMBER($S180),MAX(0,INT((Q$6+6-$S180)/$T180)-MAX(0,-INT(-(Q$6-$S180)/$T180))+1),0)</f>
        <v>0.0</v>
      </c>
      <c r="R180" s="97">
        <f>IF(ISNUMBER($S180),MAX(0,INT((R$6+6-$S180)/$T180)-MAX(0,-INT(-(R$6-$S180)/$T180))+1),0)</f>
        <v>0.0</v>
      </c>
      <c r="S180" t="str">
        <f>IF(ISNUMBER(INDEX(pl_period,171)),MAX(INDEX(pl_due,171),p_today),"")</f>
        <v/>
      </c>
      <c r="T180" t="str">
        <f>IF(ISNUMBER(INDEX(pl_period,171)),INDEX(pl_period,171),"")</f>
        <v/>
      </c>
      <c r="U180">
        <f>N(INDEX(pl_dur,171))</f>
        <v>0.0</v>
      </c>
    </row>
    <row r="181">
      <c r="A181" s="93" t="str">
        <f>IF(INDEX(pl_status,172)="","",INDEX(pl_num,172)&amp;"")</f>
        <v/>
      </c>
      <c r="B181" s="93" t="str">
        <f>IF(INDEX(pl_status,172)="","",INDEX(pl_eq,172)&amp;"")</f>
        <v/>
      </c>
      <c r="C181" s="93" t="str">
        <f>IF(INDEX(pl_status,172)="","",INDEX(pl_task,172)&amp;"")</f>
        <v/>
      </c>
      <c r="D181" s="94" t="str">
        <f>IF(ISNUMBER(INDEX(pl_due,172)),INDEX(pl_due,172),"")</f>
        <v/>
      </c>
      <c r="E181" s="95" t="str">
        <f>INDEX(pl_status,172)&amp;""</f>
        <v/>
      </c>
      <c r="F181" s="96" t="str">
        <f>IF(E181="En retard","●","")</f>
        <v/>
      </c>
      <c r="G181" s="97">
        <f>IF(ISNUMBER($S181),MAX(0,INT((G$6+6-$S181)/$T181)-MAX(0,-INT(-(G$6-$S181)/$T181))+1),0)</f>
        <v>0.0</v>
      </c>
      <c r="H181" s="97">
        <f>IF(ISNUMBER($S181),MAX(0,INT((H$6+6-$S181)/$T181)-MAX(0,-INT(-(H$6-$S181)/$T181))+1),0)</f>
        <v>0.0</v>
      </c>
      <c r="I181" s="97">
        <f>IF(ISNUMBER($S181),MAX(0,INT((I$6+6-$S181)/$T181)-MAX(0,-INT(-(I$6-$S181)/$T181))+1),0)</f>
        <v>0.0</v>
      </c>
      <c r="J181" s="97">
        <f>IF(ISNUMBER($S181),MAX(0,INT((J$6+6-$S181)/$T181)-MAX(0,-INT(-(J$6-$S181)/$T181))+1),0)</f>
        <v>0.0</v>
      </c>
      <c r="K181" s="97">
        <f>IF(ISNUMBER($S181),MAX(0,INT((K$6+6-$S181)/$T181)-MAX(0,-INT(-(K$6-$S181)/$T181))+1),0)</f>
        <v>0.0</v>
      </c>
      <c r="L181" s="97">
        <f>IF(ISNUMBER($S181),MAX(0,INT((L$6+6-$S181)/$T181)-MAX(0,-INT(-(L$6-$S181)/$T181))+1),0)</f>
        <v>0.0</v>
      </c>
      <c r="M181" s="97">
        <f>IF(ISNUMBER($S181),MAX(0,INT((M$6+6-$S181)/$T181)-MAX(0,-INT(-(M$6-$S181)/$T181))+1),0)</f>
        <v>0.0</v>
      </c>
      <c r="N181" s="97">
        <f>IF(ISNUMBER($S181),MAX(0,INT((N$6+6-$S181)/$T181)-MAX(0,-INT(-(N$6-$S181)/$T181))+1),0)</f>
        <v>0.0</v>
      </c>
      <c r="O181" s="97">
        <f>IF(ISNUMBER($S181),MAX(0,INT((O$6+6-$S181)/$T181)-MAX(0,-INT(-(O$6-$S181)/$T181))+1),0)</f>
        <v>0.0</v>
      </c>
      <c r="P181" s="97">
        <f>IF(ISNUMBER($S181),MAX(0,INT((P$6+6-$S181)/$T181)-MAX(0,-INT(-(P$6-$S181)/$T181))+1),0)</f>
        <v>0.0</v>
      </c>
      <c r="Q181" s="97">
        <f>IF(ISNUMBER($S181),MAX(0,INT((Q$6+6-$S181)/$T181)-MAX(0,-INT(-(Q$6-$S181)/$T181))+1),0)</f>
        <v>0.0</v>
      </c>
      <c r="R181" s="97">
        <f>IF(ISNUMBER($S181),MAX(0,INT((R$6+6-$S181)/$T181)-MAX(0,-INT(-(R$6-$S181)/$T181))+1),0)</f>
        <v>0.0</v>
      </c>
      <c r="S181" t="str">
        <f>IF(ISNUMBER(INDEX(pl_period,172)),MAX(INDEX(pl_due,172),p_today),"")</f>
        <v/>
      </c>
      <c r="T181" t="str">
        <f>IF(ISNUMBER(INDEX(pl_period,172)),INDEX(pl_period,172),"")</f>
        <v/>
      </c>
      <c r="U181">
        <f>N(INDEX(pl_dur,172))</f>
        <v>0.0</v>
      </c>
    </row>
    <row r="182">
      <c r="A182" s="93" t="str">
        <f>IF(INDEX(pl_status,173)="","",INDEX(pl_num,173)&amp;"")</f>
        <v/>
      </c>
      <c r="B182" s="93" t="str">
        <f>IF(INDEX(pl_status,173)="","",INDEX(pl_eq,173)&amp;"")</f>
        <v/>
      </c>
      <c r="C182" s="93" t="str">
        <f>IF(INDEX(pl_status,173)="","",INDEX(pl_task,173)&amp;"")</f>
        <v/>
      </c>
      <c r="D182" s="94" t="str">
        <f>IF(ISNUMBER(INDEX(pl_due,173)),INDEX(pl_due,173),"")</f>
        <v/>
      </c>
      <c r="E182" s="95" t="str">
        <f>INDEX(pl_status,173)&amp;""</f>
        <v/>
      </c>
      <c r="F182" s="96" t="str">
        <f>IF(E182="En retard","●","")</f>
        <v/>
      </c>
      <c r="G182" s="97">
        <f>IF(ISNUMBER($S182),MAX(0,INT((G$6+6-$S182)/$T182)-MAX(0,-INT(-(G$6-$S182)/$T182))+1),0)</f>
        <v>0.0</v>
      </c>
      <c r="H182" s="97">
        <f>IF(ISNUMBER($S182),MAX(0,INT((H$6+6-$S182)/$T182)-MAX(0,-INT(-(H$6-$S182)/$T182))+1),0)</f>
        <v>0.0</v>
      </c>
      <c r="I182" s="97">
        <f>IF(ISNUMBER($S182),MAX(0,INT((I$6+6-$S182)/$T182)-MAX(0,-INT(-(I$6-$S182)/$T182))+1),0)</f>
        <v>0.0</v>
      </c>
      <c r="J182" s="97">
        <f>IF(ISNUMBER($S182),MAX(0,INT((J$6+6-$S182)/$T182)-MAX(0,-INT(-(J$6-$S182)/$T182))+1),0)</f>
        <v>0.0</v>
      </c>
      <c r="K182" s="97">
        <f>IF(ISNUMBER($S182),MAX(0,INT((K$6+6-$S182)/$T182)-MAX(0,-INT(-(K$6-$S182)/$T182))+1),0)</f>
        <v>0.0</v>
      </c>
      <c r="L182" s="97">
        <f>IF(ISNUMBER($S182),MAX(0,INT((L$6+6-$S182)/$T182)-MAX(0,-INT(-(L$6-$S182)/$T182))+1),0)</f>
        <v>0.0</v>
      </c>
      <c r="M182" s="97">
        <f>IF(ISNUMBER($S182),MAX(0,INT((M$6+6-$S182)/$T182)-MAX(0,-INT(-(M$6-$S182)/$T182))+1),0)</f>
        <v>0.0</v>
      </c>
      <c r="N182" s="97">
        <f>IF(ISNUMBER($S182),MAX(0,INT((N$6+6-$S182)/$T182)-MAX(0,-INT(-(N$6-$S182)/$T182))+1),0)</f>
        <v>0.0</v>
      </c>
      <c r="O182" s="97">
        <f>IF(ISNUMBER($S182),MAX(0,INT((O$6+6-$S182)/$T182)-MAX(0,-INT(-(O$6-$S182)/$T182))+1),0)</f>
        <v>0.0</v>
      </c>
      <c r="P182" s="97">
        <f>IF(ISNUMBER($S182),MAX(0,INT((P$6+6-$S182)/$T182)-MAX(0,-INT(-(P$6-$S182)/$T182))+1),0)</f>
        <v>0.0</v>
      </c>
      <c r="Q182" s="97">
        <f>IF(ISNUMBER($S182),MAX(0,INT((Q$6+6-$S182)/$T182)-MAX(0,-INT(-(Q$6-$S182)/$T182))+1),0)</f>
        <v>0.0</v>
      </c>
      <c r="R182" s="97">
        <f>IF(ISNUMBER($S182),MAX(0,INT((R$6+6-$S182)/$T182)-MAX(0,-INT(-(R$6-$S182)/$T182))+1),0)</f>
        <v>0.0</v>
      </c>
      <c r="S182" t="str">
        <f>IF(ISNUMBER(INDEX(pl_period,173)),MAX(INDEX(pl_due,173),p_today),"")</f>
        <v/>
      </c>
      <c r="T182" t="str">
        <f>IF(ISNUMBER(INDEX(pl_period,173)),INDEX(pl_period,173),"")</f>
        <v/>
      </c>
      <c r="U182">
        <f>N(INDEX(pl_dur,173))</f>
        <v>0.0</v>
      </c>
    </row>
    <row r="183">
      <c r="A183" s="93" t="str">
        <f>IF(INDEX(pl_status,174)="","",INDEX(pl_num,174)&amp;"")</f>
        <v/>
      </c>
      <c r="B183" s="93" t="str">
        <f>IF(INDEX(pl_status,174)="","",INDEX(pl_eq,174)&amp;"")</f>
        <v/>
      </c>
      <c r="C183" s="93" t="str">
        <f>IF(INDEX(pl_status,174)="","",INDEX(pl_task,174)&amp;"")</f>
        <v/>
      </c>
      <c r="D183" s="94" t="str">
        <f>IF(ISNUMBER(INDEX(pl_due,174)),INDEX(pl_due,174),"")</f>
        <v/>
      </c>
      <c r="E183" s="95" t="str">
        <f>INDEX(pl_status,174)&amp;""</f>
        <v/>
      </c>
      <c r="F183" s="96" t="str">
        <f>IF(E183="En retard","●","")</f>
        <v/>
      </c>
      <c r="G183" s="97">
        <f>IF(ISNUMBER($S183),MAX(0,INT((G$6+6-$S183)/$T183)-MAX(0,-INT(-(G$6-$S183)/$T183))+1),0)</f>
        <v>0.0</v>
      </c>
      <c r="H183" s="97">
        <f>IF(ISNUMBER($S183),MAX(0,INT((H$6+6-$S183)/$T183)-MAX(0,-INT(-(H$6-$S183)/$T183))+1),0)</f>
        <v>0.0</v>
      </c>
      <c r="I183" s="97">
        <f>IF(ISNUMBER($S183),MAX(0,INT((I$6+6-$S183)/$T183)-MAX(0,-INT(-(I$6-$S183)/$T183))+1),0)</f>
        <v>0.0</v>
      </c>
      <c r="J183" s="97">
        <f>IF(ISNUMBER($S183),MAX(0,INT((J$6+6-$S183)/$T183)-MAX(0,-INT(-(J$6-$S183)/$T183))+1),0)</f>
        <v>0.0</v>
      </c>
      <c r="K183" s="97">
        <f>IF(ISNUMBER($S183),MAX(0,INT((K$6+6-$S183)/$T183)-MAX(0,-INT(-(K$6-$S183)/$T183))+1),0)</f>
        <v>0.0</v>
      </c>
      <c r="L183" s="97">
        <f>IF(ISNUMBER($S183),MAX(0,INT((L$6+6-$S183)/$T183)-MAX(0,-INT(-(L$6-$S183)/$T183))+1),0)</f>
        <v>0.0</v>
      </c>
      <c r="M183" s="97">
        <f>IF(ISNUMBER($S183),MAX(0,INT((M$6+6-$S183)/$T183)-MAX(0,-INT(-(M$6-$S183)/$T183))+1),0)</f>
        <v>0.0</v>
      </c>
      <c r="N183" s="97">
        <f>IF(ISNUMBER($S183),MAX(0,INT((N$6+6-$S183)/$T183)-MAX(0,-INT(-(N$6-$S183)/$T183))+1),0)</f>
        <v>0.0</v>
      </c>
      <c r="O183" s="97">
        <f>IF(ISNUMBER($S183),MAX(0,INT((O$6+6-$S183)/$T183)-MAX(0,-INT(-(O$6-$S183)/$T183))+1),0)</f>
        <v>0.0</v>
      </c>
      <c r="P183" s="97">
        <f>IF(ISNUMBER($S183),MAX(0,INT((P$6+6-$S183)/$T183)-MAX(0,-INT(-(P$6-$S183)/$T183))+1),0)</f>
        <v>0.0</v>
      </c>
      <c r="Q183" s="97">
        <f>IF(ISNUMBER($S183),MAX(0,INT((Q$6+6-$S183)/$T183)-MAX(0,-INT(-(Q$6-$S183)/$T183))+1),0)</f>
        <v>0.0</v>
      </c>
      <c r="R183" s="97">
        <f>IF(ISNUMBER($S183),MAX(0,INT((R$6+6-$S183)/$T183)-MAX(0,-INT(-(R$6-$S183)/$T183))+1),0)</f>
        <v>0.0</v>
      </c>
      <c r="S183" t="str">
        <f>IF(ISNUMBER(INDEX(pl_period,174)),MAX(INDEX(pl_due,174),p_today),"")</f>
        <v/>
      </c>
      <c r="T183" t="str">
        <f>IF(ISNUMBER(INDEX(pl_period,174)),INDEX(pl_period,174),"")</f>
        <v/>
      </c>
      <c r="U183">
        <f>N(INDEX(pl_dur,174))</f>
        <v>0.0</v>
      </c>
    </row>
    <row r="184">
      <c r="A184" s="93" t="str">
        <f>IF(INDEX(pl_status,175)="","",INDEX(pl_num,175)&amp;"")</f>
        <v/>
      </c>
      <c r="B184" s="93" t="str">
        <f>IF(INDEX(pl_status,175)="","",INDEX(pl_eq,175)&amp;"")</f>
        <v/>
      </c>
      <c r="C184" s="93" t="str">
        <f>IF(INDEX(pl_status,175)="","",INDEX(pl_task,175)&amp;"")</f>
        <v/>
      </c>
      <c r="D184" s="94" t="str">
        <f>IF(ISNUMBER(INDEX(pl_due,175)),INDEX(pl_due,175),"")</f>
        <v/>
      </c>
      <c r="E184" s="95" t="str">
        <f>INDEX(pl_status,175)&amp;""</f>
        <v/>
      </c>
      <c r="F184" s="96" t="str">
        <f>IF(E184="En retard","●","")</f>
        <v/>
      </c>
      <c r="G184" s="97">
        <f>IF(ISNUMBER($S184),MAX(0,INT((G$6+6-$S184)/$T184)-MAX(0,-INT(-(G$6-$S184)/$T184))+1),0)</f>
        <v>0.0</v>
      </c>
      <c r="H184" s="97">
        <f>IF(ISNUMBER($S184),MAX(0,INT((H$6+6-$S184)/$T184)-MAX(0,-INT(-(H$6-$S184)/$T184))+1),0)</f>
        <v>0.0</v>
      </c>
      <c r="I184" s="97">
        <f>IF(ISNUMBER($S184),MAX(0,INT((I$6+6-$S184)/$T184)-MAX(0,-INT(-(I$6-$S184)/$T184))+1),0)</f>
        <v>0.0</v>
      </c>
      <c r="J184" s="97">
        <f>IF(ISNUMBER($S184),MAX(0,INT((J$6+6-$S184)/$T184)-MAX(0,-INT(-(J$6-$S184)/$T184))+1),0)</f>
        <v>0.0</v>
      </c>
      <c r="K184" s="97">
        <f>IF(ISNUMBER($S184),MAX(0,INT((K$6+6-$S184)/$T184)-MAX(0,-INT(-(K$6-$S184)/$T184))+1),0)</f>
        <v>0.0</v>
      </c>
      <c r="L184" s="97">
        <f>IF(ISNUMBER($S184),MAX(0,INT((L$6+6-$S184)/$T184)-MAX(0,-INT(-(L$6-$S184)/$T184))+1),0)</f>
        <v>0.0</v>
      </c>
      <c r="M184" s="97">
        <f>IF(ISNUMBER($S184),MAX(0,INT((M$6+6-$S184)/$T184)-MAX(0,-INT(-(M$6-$S184)/$T184))+1),0)</f>
        <v>0.0</v>
      </c>
      <c r="N184" s="97">
        <f>IF(ISNUMBER($S184),MAX(0,INT((N$6+6-$S184)/$T184)-MAX(0,-INT(-(N$6-$S184)/$T184))+1),0)</f>
        <v>0.0</v>
      </c>
      <c r="O184" s="97">
        <f>IF(ISNUMBER($S184),MAX(0,INT((O$6+6-$S184)/$T184)-MAX(0,-INT(-(O$6-$S184)/$T184))+1),0)</f>
        <v>0.0</v>
      </c>
      <c r="P184" s="97">
        <f>IF(ISNUMBER($S184),MAX(0,INT((P$6+6-$S184)/$T184)-MAX(0,-INT(-(P$6-$S184)/$T184))+1),0)</f>
        <v>0.0</v>
      </c>
      <c r="Q184" s="97">
        <f>IF(ISNUMBER($S184),MAX(0,INT((Q$6+6-$S184)/$T184)-MAX(0,-INT(-(Q$6-$S184)/$T184))+1),0)</f>
        <v>0.0</v>
      </c>
      <c r="R184" s="97">
        <f>IF(ISNUMBER($S184),MAX(0,INT((R$6+6-$S184)/$T184)-MAX(0,-INT(-(R$6-$S184)/$T184))+1),0)</f>
        <v>0.0</v>
      </c>
      <c r="S184" t="str">
        <f>IF(ISNUMBER(INDEX(pl_period,175)),MAX(INDEX(pl_due,175),p_today),"")</f>
        <v/>
      </c>
      <c r="T184" t="str">
        <f>IF(ISNUMBER(INDEX(pl_period,175)),INDEX(pl_period,175),"")</f>
        <v/>
      </c>
      <c r="U184">
        <f>N(INDEX(pl_dur,175))</f>
        <v>0.0</v>
      </c>
    </row>
    <row r="185">
      <c r="A185" s="93" t="str">
        <f>IF(INDEX(pl_status,176)="","",INDEX(pl_num,176)&amp;"")</f>
        <v/>
      </c>
      <c r="B185" s="93" t="str">
        <f>IF(INDEX(pl_status,176)="","",INDEX(pl_eq,176)&amp;"")</f>
        <v/>
      </c>
      <c r="C185" s="93" t="str">
        <f>IF(INDEX(pl_status,176)="","",INDEX(pl_task,176)&amp;"")</f>
        <v/>
      </c>
      <c r="D185" s="94" t="str">
        <f>IF(ISNUMBER(INDEX(pl_due,176)),INDEX(pl_due,176),"")</f>
        <v/>
      </c>
      <c r="E185" s="95" t="str">
        <f>INDEX(pl_status,176)&amp;""</f>
        <v/>
      </c>
      <c r="F185" s="96" t="str">
        <f>IF(E185="En retard","●","")</f>
        <v/>
      </c>
      <c r="G185" s="97">
        <f>IF(ISNUMBER($S185),MAX(0,INT((G$6+6-$S185)/$T185)-MAX(0,-INT(-(G$6-$S185)/$T185))+1),0)</f>
        <v>0.0</v>
      </c>
      <c r="H185" s="97">
        <f>IF(ISNUMBER($S185),MAX(0,INT((H$6+6-$S185)/$T185)-MAX(0,-INT(-(H$6-$S185)/$T185))+1),0)</f>
        <v>0.0</v>
      </c>
      <c r="I185" s="97">
        <f>IF(ISNUMBER($S185),MAX(0,INT((I$6+6-$S185)/$T185)-MAX(0,-INT(-(I$6-$S185)/$T185))+1),0)</f>
        <v>0.0</v>
      </c>
      <c r="J185" s="97">
        <f>IF(ISNUMBER($S185),MAX(0,INT((J$6+6-$S185)/$T185)-MAX(0,-INT(-(J$6-$S185)/$T185))+1),0)</f>
        <v>0.0</v>
      </c>
      <c r="K185" s="97">
        <f>IF(ISNUMBER($S185),MAX(0,INT((K$6+6-$S185)/$T185)-MAX(0,-INT(-(K$6-$S185)/$T185))+1),0)</f>
        <v>0.0</v>
      </c>
      <c r="L185" s="97">
        <f>IF(ISNUMBER($S185),MAX(0,INT((L$6+6-$S185)/$T185)-MAX(0,-INT(-(L$6-$S185)/$T185))+1),0)</f>
        <v>0.0</v>
      </c>
      <c r="M185" s="97">
        <f>IF(ISNUMBER($S185),MAX(0,INT((M$6+6-$S185)/$T185)-MAX(0,-INT(-(M$6-$S185)/$T185))+1),0)</f>
        <v>0.0</v>
      </c>
      <c r="N185" s="97">
        <f>IF(ISNUMBER($S185),MAX(0,INT((N$6+6-$S185)/$T185)-MAX(0,-INT(-(N$6-$S185)/$T185))+1),0)</f>
        <v>0.0</v>
      </c>
      <c r="O185" s="97">
        <f>IF(ISNUMBER($S185),MAX(0,INT((O$6+6-$S185)/$T185)-MAX(0,-INT(-(O$6-$S185)/$T185))+1),0)</f>
        <v>0.0</v>
      </c>
      <c r="P185" s="97">
        <f>IF(ISNUMBER($S185),MAX(0,INT((P$6+6-$S185)/$T185)-MAX(0,-INT(-(P$6-$S185)/$T185))+1),0)</f>
        <v>0.0</v>
      </c>
      <c r="Q185" s="97">
        <f>IF(ISNUMBER($S185),MAX(0,INT((Q$6+6-$S185)/$T185)-MAX(0,-INT(-(Q$6-$S185)/$T185))+1),0)</f>
        <v>0.0</v>
      </c>
      <c r="R185" s="97">
        <f>IF(ISNUMBER($S185),MAX(0,INT((R$6+6-$S185)/$T185)-MAX(0,-INT(-(R$6-$S185)/$T185))+1),0)</f>
        <v>0.0</v>
      </c>
      <c r="S185" t="str">
        <f>IF(ISNUMBER(INDEX(pl_period,176)),MAX(INDEX(pl_due,176),p_today),"")</f>
        <v/>
      </c>
      <c r="T185" t="str">
        <f>IF(ISNUMBER(INDEX(pl_period,176)),INDEX(pl_period,176),"")</f>
        <v/>
      </c>
      <c r="U185">
        <f>N(INDEX(pl_dur,176))</f>
        <v>0.0</v>
      </c>
    </row>
    <row r="186">
      <c r="A186" s="93" t="str">
        <f>IF(INDEX(pl_status,177)="","",INDEX(pl_num,177)&amp;"")</f>
        <v/>
      </c>
      <c r="B186" s="93" t="str">
        <f>IF(INDEX(pl_status,177)="","",INDEX(pl_eq,177)&amp;"")</f>
        <v/>
      </c>
      <c r="C186" s="93" t="str">
        <f>IF(INDEX(pl_status,177)="","",INDEX(pl_task,177)&amp;"")</f>
        <v/>
      </c>
      <c r="D186" s="94" t="str">
        <f>IF(ISNUMBER(INDEX(pl_due,177)),INDEX(pl_due,177),"")</f>
        <v/>
      </c>
      <c r="E186" s="95" t="str">
        <f>INDEX(pl_status,177)&amp;""</f>
        <v/>
      </c>
      <c r="F186" s="96" t="str">
        <f>IF(E186="En retard","●","")</f>
        <v/>
      </c>
      <c r="G186" s="97">
        <f>IF(ISNUMBER($S186),MAX(0,INT((G$6+6-$S186)/$T186)-MAX(0,-INT(-(G$6-$S186)/$T186))+1),0)</f>
        <v>0.0</v>
      </c>
      <c r="H186" s="97">
        <f>IF(ISNUMBER($S186),MAX(0,INT((H$6+6-$S186)/$T186)-MAX(0,-INT(-(H$6-$S186)/$T186))+1),0)</f>
        <v>0.0</v>
      </c>
      <c r="I186" s="97">
        <f>IF(ISNUMBER($S186),MAX(0,INT((I$6+6-$S186)/$T186)-MAX(0,-INT(-(I$6-$S186)/$T186))+1),0)</f>
        <v>0.0</v>
      </c>
      <c r="J186" s="97">
        <f>IF(ISNUMBER($S186),MAX(0,INT((J$6+6-$S186)/$T186)-MAX(0,-INT(-(J$6-$S186)/$T186))+1),0)</f>
        <v>0.0</v>
      </c>
      <c r="K186" s="97">
        <f>IF(ISNUMBER($S186),MAX(0,INT((K$6+6-$S186)/$T186)-MAX(0,-INT(-(K$6-$S186)/$T186))+1),0)</f>
        <v>0.0</v>
      </c>
      <c r="L186" s="97">
        <f>IF(ISNUMBER($S186),MAX(0,INT((L$6+6-$S186)/$T186)-MAX(0,-INT(-(L$6-$S186)/$T186))+1),0)</f>
        <v>0.0</v>
      </c>
      <c r="M186" s="97">
        <f>IF(ISNUMBER($S186),MAX(0,INT((M$6+6-$S186)/$T186)-MAX(0,-INT(-(M$6-$S186)/$T186))+1),0)</f>
        <v>0.0</v>
      </c>
      <c r="N186" s="97">
        <f>IF(ISNUMBER($S186),MAX(0,INT((N$6+6-$S186)/$T186)-MAX(0,-INT(-(N$6-$S186)/$T186))+1),0)</f>
        <v>0.0</v>
      </c>
      <c r="O186" s="97">
        <f>IF(ISNUMBER($S186),MAX(0,INT((O$6+6-$S186)/$T186)-MAX(0,-INT(-(O$6-$S186)/$T186))+1),0)</f>
        <v>0.0</v>
      </c>
      <c r="P186" s="97">
        <f>IF(ISNUMBER($S186),MAX(0,INT((P$6+6-$S186)/$T186)-MAX(0,-INT(-(P$6-$S186)/$T186))+1),0)</f>
        <v>0.0</v>
      </c>
      <c r="Q186" s="97">
        <f>IF(ISNUMBER($S186),MAX(0,INT((Q$6+6-$S186)/$T186)-MAX(0,-INT(-(Q$6-$S186)/$T186))+1),0)</f>
        <v>0.0</v>
      </c>
      <c r="R186" s="97">
        <f>IF(ISNUMBER($S186),MAX(0,INT((R$6+6-$S186)/$T186)-MAX(0,-INT(-(R$6-$S186)/$T186))+1),0)</f>
        <v>0.0</v>
      </c>
      <c r="S186" t="str">
        <f>IF(ISNUMBER(INDEX(pl_period,177)),MAX(INDEX(pl_due,177),p_today),"")</f>
        <v/>
      </c>
      <c r="T186" t="str">
        <f>IF(ISNUMBER(INDEX(pl_period,177)),INDEX(pl_period,177),"")</f>
        <v/>
      </c>
      <c r="U186">
        <f>N(INDEX(pl_dur,177))</f>
        <v>0.0</v>
      </c>
    </row>
    <row r="187">
      <c r="A187" s="93" t="str">
        <f>IF(INDEX(pl_status,178)="","",INDEX(pl_num,178)&amp;"")</f>
        <v/>
      </c>
      <c r="B187" s="93" t="str">
        <f>IF(INDEX(pl_status,178)="","",INDEX(pl_eq,178)&amp;"")</f>
        <v/>
      </c>
      <c r="C187" s="93" t="str">
        <f>IF(INDEX(pl_status,178)="","",INDEX(pl_task,178)&amp;"")</f>
        <v/>
      </c>
      <c r="D187" s="94" t="str">
        <f>IF(ISNUMBER(INDEX(pl_due,178)),INDEX(pl_due,178),"")</f>
        <v/>
      </c>
      <c r="E187" s="95" t="str">
        <f>INDEX(pl_status,178)&amp;""</f>
        <v/>
      </c>
      <c r="F187" s="96" t="str">
        <f>IF(E187="En retard","●","")</f>
        <v/>
      </c>
      <c r="G187" s="97">
        <f>IF(ISNUMBER($S187),MAX(0,INT((G$6+6-$S187)/$T187)-MAX(0,-INT(-(G$6-$S187)/$T187))+1),0)</f>
        <v>0.0</v>
      </c>
      <c r="H187" s="97">
        <f>IF(ISNUMBER($S187),MAX(0,INT((H$6+6-$S187)/$T187)-MAX(0,-INT(-(H$6-$S187)/$T187))+1),0)</f>
        <v>0.0</v>
      </c>
      <c r="I187" s="97">
        <f>IF(ISNUMBER($S187),MAX(0,INT((I$6+6-$S187)/$T187)-MAX(0,-INT(-(I$6-$S187)/$T187))+1),0)</f>
        <v>0.0</v>
      </c>
      <c r="J187" s="97">
        <f>IF(ISNUMBER($S187),MAX(0,INT((J$6+6-$S187)/$T187)-MAX(0,-INT(-(J$6-$S187)/$T187))+1),0)</f>
        <v>0.0</v>
      </c>
      <c r="K187" s="97">
        <f>IF(ISNUMBER($S187),MAX(0,INT((K$6+6-$S187)/$T187)-MAX(0,-INT(-(K$6-$S187)/$T187))+1),0)</f>
        <v>0.0</v>
      </c>
      <c r="L187" s="97">
        <f>IF(ISNUMBER($S187),MAX(0,INT((L$6+6-$S187)/$T187)-MAX(0,-INT(-(L$6-$S187)/$T187))+1),0)</f>
        <v>0.0</v>
      </c>
      <c r="M187" s="97">
        <f>IF(ISNUMBER($S187),MAX(0,INT((M$6+6-$S187)/$T187)-MAX(0,-INT(-(M$6-$S187)/$T187))+1),0)</f>
        <v>0.0</v>
      </c>
      <c r="N187" s="97">
        <f>IF(ISNUMBER($S187),MAX(0,INT((N$6+6-$S187)/$T187)-MAX(0,-INT(-(N$6-$S187)/$T187))+1),0)</f>
        <v>0.0</v>
      </c>
      <c r="O187" s="97">
        <f>IF(ISNUMBER($S187),MAX(0,INT((O$6+6-$S187)/$T187)-MAX(0,-INT(-(O$6-$S187)/$T187))+1),0)</f>
        <v>0.0</v>
      </c>
      <c r="P187" s="97">
        <f>IF(ISNUMBER($S187),MAX(0,INT((P$6+6-$S187)/$T187)-MAX(0,-INT(-(P$6-$S187)/$T187))+1),0)</f>
        <v>0.0</v>
      </c>
      <c r="Q187" s="97">
        <f>IF(ISNUMBER($S187),MAX(0,INT((Q$6+6-$S187)/$T187)-MAX(0,-INT(-(Q$6-$S187)/$T187))+1),0)</f>
        <v>0.0</v>
      </c>
      <c r="R187" s="97">
        <f>IF(ISNUMBER($S187),MAX(0,INT((R$6+6-$S187)/$T187)-MAX(0,-INT(-(R$6-$S187)/$T187))+1),0)</f>
        <v>0.0</v>
      </c>
      <c r="S187" t="str">
        <f>IF(ISNUMBER(INDEX(pl_period,178)),MAX(INDEX(pl_due,178),p_today),"")</f>
        <v/>
      </c>
      <c r="T187" t="str">
        <f>IF(ISNUMBER(INDEX(pl_period,178)),INDEX(pl_period,178),"")</f>
        <v/>
      </c>
      <c r="U187">
        <f>N(INDEX(pl_dur,178))</f>
        <v>0.0</v>
      </c>
    </row>
    <row r="188">
      <c r="A188" s="93" t="str">
        <f>IF(INDEX(pl_status,179)="","",INDEX(pl_num,179)&amp;"")</f>
        <v/>
      </c>
      <c r="B188" s="93" t="str">
        <f>IF(INDEX(pl_status,179)="","",INDEX(pl_eq,179)&amp;"")</f>
        <v/>
      </c>
      <c r="C188" s="93" t="str">
        <f>IF(INDEX(pl_status,179)="","",INDEX(pl_task,179)&amp;"")</f>
        <v/>
      </c>
      <c r="D188" s="94" t="str">
        <f>IF(ISNUMBER(INDEX(pl_due,179)),INDEX(pl_due,179),"")</f>
        <v/>
      </c>
      <c r="E188" s="95" t="str">
        <f>INDEX(pl_status,179)&amp;""</f>
        <v/>
      </c>
      <c r="F188" s="96" t="str">
        <f>IF(E188="En retard","●","")</f>
        <v/>
      </c>
      <c r="G188" s="97">
        <f>IF(ISNUMBER($S188),MAX(0,INT((G$6+6-$S188)/$T188)-MAX(0,-INT(-(G$6-$S188)/$T188))+1),0)</f>
        <v>0.0</v>
      </c>
      <c r="H188" s="97">
        <f>IF(ISNUMBER($S188),MAX(0,INT((H$6+6-$S188)/$T188)-MAX(0,-INT(-(H$6-$S188)/$T188))+1),0)</f>
        <v>0.0</v>
      </c>
      <c r="I188" s="97">
        <f>IF(ISNUMBER($S188),MAX(0,INT((I$6+6-$S188)/$T188)-MAX(0,-INT(-(I$6-$S188)/$T188))+1),0)</f>
        <v>0.0</v>
      </c>
      <c r="J188" s="97">
        <f>IF(ISNUMBER($S188),MAX(0,INT((J$6+6-$S188)/$T188)-MAX(0,-INT(-(J$6-$S188)/$T188))+1),0)</f>
        <v>0.0</v>
      </c>
      <c r="K188" s="97">
        <f>IF(ISNUMBER($S188),MAX(0,INT((K$6+6-$S188)/$T188)-MAX(0,-INT(-(K$6-$S188)/$T188))+1),0)</f>
        <v>0.0</v>
      </c>
      <c r="L188" s="97">
        <f>IF(ISNUMBER($S188),MAX(0,INT((L$6+6-$S188)/$T188)-MAX(0,-INT(-(L$6-$S188)/$T188))+1),0)</f>
        <v>0.0</v>
      </c>
      <c r="M188" s="97">
        <f>IF(ISNUMBER($S188),MAX(0,INT((M$6+6-$S188)/$T188)-MAX(0,-INT(-(M$6-$S188)/$T188))+1),0)</f>
        <v>0.0</v>
      </c>
      <c r="N188" s="97">
        <f>IF(ISNUMBER($S188),MAX(0,INT((N$6+6-$S188)/$T188)-MAX(0,-INT(-(N$6-$S188)/$T188))+1),0)</f>
        <v>0.0</v>
      </c>
      <c r="O188" s="97">
        <f>IF(ISNUMBER($S188),MAX(0,INT((O$6+6-$S188)/$T188)-MAX(0,-INT(-(O$6-$S188)/$T188))+1),0)</f>
        <v>0.0</v>
      </c>
      <c r="P188" s="97">
        <f>IF(ISNUMBER($S188),MAX(0,INT((P$6+6-$S188)/$T188)-MAX(0,-INT(-(P$6-$S188)/$T188))+1),0)</f>
        <v>0.0</v>
      </c>
      <c r="Q188" s="97">
        <f>IF(ISNUMBER($S188),MAX(0,INT((Q$6+6-$S188)/$T188)-MAX(0,-INT(-(Q$6-$S188)/$T188))+1),0)</f>
        <v>0.0</v>
      </c>
      <c r="R188" s="97">
        <f>IF(ISNUMBER($S188),MAX(0,INT((R$6+6-$S188)/$T188)-MAX(0,-INT(-(R$6-$S188)/$T188))+1),0)</f>
        <v>0.0</v>
      </c>
      <c r="S188" t="str">
        <f>IF(ISNUMBER(INDEX(pl_period,179)),MAX(INDEX(pl_due,179),p_today),"")</f>
        <v/>
      </c>
      <c r="T188" t="str">
        <f>IF(ISNUMBER(INDEX(pl_period,179)),INDEX(pl_period,179),"")</f>
        <v/>
      </c>
      <c r="U188">
        <f>N(INDEX(pl_dur,179))</f>
        <v>0.0</v>
      </c>
    </row>
    <row r="189">
      <c r="A189" s="93" t="str">
        <f>IF(INDEX(pl_status,180)="","",INDEX(pl_num,180)&amp;"")</f>
        <v/>
      </c>
      <c r="B189" s="93" t="str">
        <f>IF(INDEX(pl_status,180)="","",INDEX(pl_eq,180)&amp;"")</f>
        <v/>
      </c>
      <c r="C189" s="93" t="str">
        <f>IF(INDEX(pl_status,180)="","",INDEX(pl_task,180)&amp;"")</f>
        <v/>
      </c>
      <c r="D189" s="94" t="str">
        <f>IF(ISNUMBER(INDEX(pl_due,180)),INDEX(pl_due,180),"")</f>
        <v/>
      </c>
      <c r="E189" s="95" t="str">
        <f>INDEX(pl_status,180)&amp;""</f>
        <v/>
      </c>
      <c r="F189" s="96" t="str">
        <f>IF(E189="En retard","●","")</f>
        <v/>
      </c>
      <c r="G189" s="97">
        <f>IF(ISNUMBER($S189),MAX(0,INT((G$6+6-$S189)/$T189)-MAX(0,-INT(-(G$6-$S189)/$T189))+1),0)</f>
        <v>0.0</v>
      </c>
      <c r="H189" s="97">
        <f>IF(ISNUMBER($S189),MAX(0,INT((H$6+6-$S189)/$T189)-MAX(0,-INT(-(H$6-$S189)/$T189))+1),0)</f>
        <v>0.0</v>
      </c>
      <c r="I189" s="97">
        <f>IF(ISNUMBER($S189),MAX(0,INT((I$6+6-$S189)/$T189)-MAX(0,-INT(-(I$6-$S189)/$T189))+1),0)</f>
        <v>0.0</v>
      </c>
      <c r="J189" s="97">
        <f>IF(ISNUMBER($S189),MAX(0,INT((J$6+6-$S189)/$T189)-MAX(0,-INT(-(J$6-$S189)/$T189))+1),0)</f>
        <v>0.0</v>
      </c>
      <c r="K189" s="97">
        <f>IF(ISNUMBER($S189),MAX(0,INT((K$6+6-$S189)/$T189)-MAX(0,-INT(-(K$6-$S189)/$T189))+1),0)</f>
        <v>0.0</v>
      </c>
      <c r="L189" s="97">
        <f>IF(ISNUMBER($S189),MAX(0,INT((L$6+6-$S189)/$T189)-MAX(0,-INT(-(L$6-$S189)/$T189))+1),0)</f>
        <v>0.0</v>
      </c>
      <c r="M189" s="97">
        <f>IF(ISNUMBER($S189),MAX(0,INT((M$6+6-$S189)/$T189)-MAX(0,-INT(-(M$6-$S189)/$T189))+1),0)</f>
        <v>0.0</v>
      </c>
      <c r="N189" s="97">
        <f>IF(ISNUMBER($S189),MAX(0,INT((N$6+6-$S189)/$T189)-MAX(0,-INT(-(N$6-$S189)/$T189))+1),0)</f>
        <v>0.0</v>
      </c>
      <c r="O189" s="97">
        <f>IF(ISNUMBER($S189),MAX(0,INT((O$6+6-$S189)/$T189)-MAX(0,-INT(-(O$6-$S189)/$T189))+1),0)</f>
        <v>0.0</v>
      </c>
      <c r="P189" s="97">
        <f>IF(ISNUMBER($S189),MAX(0,INT((P$6+6-$S189)/$T189)-MAX(0,-INT(-(P$6-$S189)/$T189))+1),0)</f>
        <v>0.0</v>
      </c>
      <c r="Q189" s="97">
        <f>IF(ISNUMBER($S189),MAX(0,INT((Q$6+6-$S189)/$T189)-MAX(0,-INT(-(Q$6-$S189)/$T189))+1),0)</f>
        <v>0.0</v>
      </c>
      <c r="R189" s="97">
        <f>IF(ISNUMBER($S189),MAX(0,INT((R$6+6-$S189)/$T189)-MAX(0,-INT(-(R$6-$S189)/$T189))+1),0)</f>
        <v>0.0</v>
      </c>
      <c r="S189" t="str">
        <f>IF(ISNUMBER(INDEX(pl_period,180)),MAX(INDEX(pl_due,180),p_today),"")</f>
        <v/>
      </c>
      <c r="T189" t="str">
        <f>IF(ISNUMBER(INDEX(pl_period,180)),INDEX(pl_period,180),"")</f>
        <v/>
      </c>
      <c r="U189">
        <f>N(INDEX(pl_dur,180))</f>
        <v>0.0</v>
      </c>
    </row>
    <row r="190">
      <c r="A190" s="93" t="str">
        <f>IF(INDEX(pl_status,181)="","",INDEX(pl_num,181)&amp;"")</f>
        <v/>
      </c>
      <c r="B190" s="93" t="str">
        <f>IF(INDEX(pl_status,181)="","",INDEX(pl_eq,181)&amp;"")</f>
        <v/>
      </c>
      <c r="C190" s="93" t="str">
        <f>IF(INDEX(pl_status,181)="","",INDEX(pl_task,181)&amp;"")</f>
        <v/>
      </c>
      <c r="D190" s="94" t="str">
        <f>IF(ISNUMBER(INDEX(pl_due,181)),INDEX(pl_due,181),"")</f>
        <v/>
      </c>
      <c r="E190" s="95" t="str">
        <f>INDEX(pl_status,181)&amp;""</f>
        <v/>
      </c>
      <c r="F190" s="96" t="str">
        <f>IF(E190="En retard","●","")</f>
        <v/>
      </c>
      <c r="G190" s="97">
        <f>IF(ISNUMBER($S190),MAX(0,INT((G$6+6-$S190)/$T190)-MAX(0,-INT(-(G$6-$S190)/$T190))+1),0)</f>
        <v>0.0</v>
      </c>
      <c r="H190" s="97">
        <f>IF(ISNUMBER($S190),MAX(0,INT((H$6+6-$S190)/$T190)-MAX(0,-INT(-(H$6-$S190)/$T190))+1),0)</f>
        <v>0.0</v>
      </c>
      <c r="I190" s="97">
        <f>IF(ISNUMBER($S190),MAX(0,INT((I$6+6-$S190)/$T190)-MAX(0,-INT(-(I$6-$S190)/$T190))+1),0)</f>
        <v>0.0</v>
      </c>
      <c r="J190" s="97">
        <f>IF(ISNUMBER($S190),MAX(0,INT((J$6+6-$S190)/$T190)-MAX(0,-INT(-(J$6-$S190)/$T190))+1),0)</f>
        <v>0.0</v>
      </c>
      <c r="K190" s="97">
        <f>IF(ISNUMBER($S190),MAX(0,INT((K$6+6-$S190)/$T190)-MAX(0,-INT(-(K$6-$S190)/$T190))+1),0)</f>
        <v>0.0</v>
      </c>
      <c r="L190" s="97">
        <f>IF(ISNUMBER($S190),MAX(0,INT((L$6+6-$S190)/$T190)-MAX(0,-INT(-(L$6-$S190)/$T190))+1),0)</f>
        <v>0.0</v>
      </c>
      <c r="M190" s="97">
        <f>IF(ISNUMBER($S190),MAX(0,INT((M$6+6-$S190)/$T190)-MAX(0,-INT(-(M$6-$S190)/$T190))+1),0)</f>
        <v>0.0</v>
      </c>
      <c r="N190" s="97">
        <f>IF(ISNUMBER($S190),MAX(0,INT((N$6+6-$S190)/$T190)-MAX(0,-INT(-(N$6-$S190)/$T190))+1),0)</f>
        <v>0.0</v>
      </c>
      <c r="O190" s="97">
        <f>IF(ISNUMBER($S190),MAX(0,INT((O$6+6-$S190)/$T190)-MAX(0,-INT(-(O$6-$S190)/$T190))+1),0)</f>
        <v>0.0</v>
      </c>
      <c r="P190" s="97">
        <f>IF(ISNUMBER($S190),MAX(0,INT((P$6+6-$S190)/$T190)-MAX(0,-INT(-(P$6-$S190)/$T190))+1),0)</f>
        <v>0.0</v>
      </c>
      <c r="Q190" s="97">
        <f>IF(ISNUMBER($S190),MAX(0,INT((Q$6+6-$S190)/$T190)-MAX(0,-INT(-(Q$6-$S190)/$T190))+1),0)</f>
        <v>0.0</v>
      </c>
      <c r="R190" s="97">
        <f>IF(ISNUMBER($S190),MAX(0,INT((R$6+6-$S190)/$T190)-MAX(0,-INT(-(R$6-$S190)/$T190))+1),0)</f>
        <v>0.0</v>
      </c>
      <c r="S190" t="str">
        <f>IF(ISNUMBER(INDEX(pl_period,181)),MAX(INDEX(pl_due,181),p_today),"")</f>
        <v/>
      </c>
      <c r="T190" t="str">
        <f>IF(ISNUMBER(INDEX(pl_period,181)),INDEX(pl_period,181),"")</f>
        <v/>
      </c>
      <c r="U190">
        <f>N(INDEX(pl_dur,181))</f>
        <v>0.0</v>
      </c>
    </row>
    <row r="191">
      <c r="A191" s="93" t="str">
        <f>IF(INDEX(pl_status,182)="","",INDEX(pl_num,182)&amp;"")</f>
        <v/>
      </c>
      <c r="B191" s="93" t="str">
        <f>IF(INDEX(pl_status,182)="","",INDEX(pl_eq,182)&amp;"")</f>
        <v/>
      </c>
      <c r="C191" s="93" t="str">
        <f>IF(INDEX(pl_status,182)="","",INDEX(pl_task,182)&amp;"")</f>
        <v/>
      </c>
      <c r="D191" s="94" t="str">
        <f>IF(ISNUMBER(INDEX(pl_due,182)),INDEX(pl_due,182),"")</f>
        <v/>
      </c>
      <c r="E191" s="95" t="str">
        <f>INDEX(pl_status,182)&amp;""</f>
        <v/>
      </c>
      <c r="F191" s="96" t="str">
        <f>IF(E191="En retard","●","")</f>
        <v/>
      </c>
      <c r="G191" s="97">
        <f>IF(ISNUMBER($S191),MAX(0,INT((G$6+6-$S191)/$T191)-MAX(0,-INT(-(G$6-$S191)/$T191))+1),0)</f>
        <v>0.0</v>
      </c>
      <c r="H191" s="97">
        <f>IF(ISNUMBER($S191),MAX(0,INT((H$6+6-$S191)/$T191)-MAX(0,-INT(-(H$6-$S191)/$T191))+1),0)</f>
        <v>0.0</v>
      </c>
      <c r="I191" s="97">
        <f>IF(ISNUMBER($S191),MAX(0,INT((I$6+6-$S191)/$T191)-MAX(0,-INT(-(I$6-$S191)/$T191))+1),0)</f>
        <v>0.0</v>
      </c>
      <c r="J191" s="97">
        <f>IF(ISNUMBER($S191),MAX(0,INT((J$6+6-$S191)/$T191)-MAX(0,-INT(-(J$6-$S191)/$T191))+1),0)</f>
        <v>0.0</v>
      </c>
      <c r="K191" s="97">
        <f>IF(ISNUMBER($S191),MAX(0,INT((K$6+6-$S191)/$T191)-MAX(0,-INT(-(K$6-$S191)/$T191))+1),0)</f>
        <v>0.0</v>
      </c>
      <c r="L191" s="97">
        <f>IF(ISNUMBER($S191),MAX(0,INT((L$6+6-$S191)/$T191)-MAX(0,-INT(-(L$6-$S191)/$T191))+1),0)</f>
        <v>0.0</v>
      </c>
      <c r="M191" s="97">
        <f>IF(ISNUMBER($S191),MAX(0,INT((M$6+6-$S191)/$T191)-MAX(0,-INT(-(M$6-$S191)/$T191))+1),0)</f>
        <v>0.0</v>
      </c>
      <c r="N191" s="97">
        <f>IF(ISNUMBER($S191),MAX(0,INT((N$6+6-$S191)/$T191)-MAX(0,-INT(-(N$6-$S191)/$T191))+1),0)</f>
        <v>0.0</v>
      </c>
      <c r="O191" s="97">
        <f>IF(ISNUMBER($S191),MAX(0,INT((O$6+6-$S191)/$T191)-MAX(0,-INT(-(O$6-$S191)/$T191))+1),0)</f>
        <v>0.0</v>
      </c>
      <c r="P191" s="97">
        <f>IF(ISNUMBER($S191),MAX(0,INT((P$6+6-$S191)/$T191)-MAX(0,-INT(-(P$6-$S191)/$T191))+1),0)</f>
        <v>0.0</v>
      </c>
      <c r="Q191" s="97">
        <f>IF(ISNUMBER($S191),MAX(0,INT((Q$6+6-$S191)/$T191)-MAX(0,-INT(-(Q$6-$S191)/$T191))+1),0)</f>
        <v>0.0</v>
      </c>
      <c r="R191" s="97">
        <f>IF(ISNUMBER($S191),MAX(0,INT((R$6+6-$S191)/$T191)-MAX(0,-INT(-(R$6-$S191)/$T191))+1),0)</f>
        <v>0.0</v>
      </c>
      <c r="S191" t="str">
        <f>IF(ISNUMBER(INDEX(pl_period,182)),MAX(INDEX(pl_due,182),p_today),"")</f>
        <v/>
      </c>
      <c r="T191" t="str">
        <f>IF(ISNUMBER(INDEX(pl_period,182)),INDEX(pl_period,182),"")</f>
        <v/>
      </c>
      <c r="U191">
        <f>N(INDEX(pl_dur,182))</f>
        <v>0.0</v>
      </c>
    </row>
    <row r="192">
      <c r="A192" s="93" t="str">
        <f>IF(INDEX(pl_status,183)="","",INDEX(pl_num,183)&amp;"")</f>
        <v/>
      </c>
      <c r="B192" s="93" t="str">
        <f>IF(INDEX(pl_status,183)="","",INDEX(pl_eq,183)&amp;"")</f>
        <v/>
      </c>
      <c r="C192" s="93" t="str">
        <f>IF(INDEX(pl_status,183)="","",INDEX(pl_task,183)&amp;"")</f>
        <v/>
      </c>
      <c r="D192" s="94" t="str">
        <f>IF(ISNUMBER(INDEX(pl_due,183)),INDEX(pl_due,183),"")</f>
        <v/>
      </c>
      <c r="E192" s="95" t="str">
        <f>INDEX(pl_status,183)&amp;""</f>
        <v/>
      </c>
      <c r="F192" s="96" t="str">
        <f>IF(E192="En retard","●","")</f>
        <v/>
      </c>
      <c r="G192" s="97">
        <f>IF(ISNUMBER($S192),MAX(0,INT((G$6+6-$S192)/$T192)-MAX(0,-INT(-(G$6-$S192)/$T192))+1),0)</f>
        <v>0.0</v>
      </c>
      <c r="H192" s="97">
        <f>IF(ISNUMBER($S192),MAX(0,INT((H$6+6-$S192)/$T192)-MAX(0,-INT(-(H$6-$S192)/$T192))+1),0)</f>
        <v>0.0</v>
      </c>
      <c r="I192" s="97">
        <f>IF(ISNUMBER($S192),MAX(0,INT((I$6+6-$S192)/$T192)-MAX(0,-INT(-(I$6-$S192)/$T192))+1),0)</f>
        <v>0.0</v>
      </c>
      <c r="J192" s="97">
        <f>IF(ISNUMBER($S192),MAX(0,INT((J$6+6-$S192)/$T192)-MAX(0,-INT(-(J$6-$S192)/$T192))+1),0)</f>
        <v>0.0</v>
      </c>
      <c r="K192" s="97">
        <f>IF(ISNUMBER($S192),MAX(0,INT((K$6+6-$S192)/$T192)-MAX(0,-INT(-(K$6-$S192)/$T192))+1),0)</f>
        <v>0.0</v>
      </c>
      <c r="L192" s="97">
        <f>IF(ISNUMBER($S192),MAX(0,INT((L$6+6-$S192)/$T192)-MAX(0,-INT(-(L$6-$S192)/$T192))+1),0)</f>
        <v>0.0</v>
      </c>
      <c r="M192" s="97">
        <f>IF(ISNUMBER($S192),MAX(0,INT((M$6+6-$S192)/$T192)-MAX(0,-INT(-(M$6-$S192)/$T192))+1),0)</f>
        <v>0.0</v>
      </c>
      <c r="N192" s="97">
        <f>IF(ISNUMBER($S192),MAX(0,INT((N$6+6-$S192)/$T192)-MAX(0,-INT(-(N$6-$S192)/$T192))+1),0)</f>
        <v>0.0</v>
      </c>
      <c r="O192" s="97">
        <f>IF(ISNUMBER($S192),MAX(0,INT((O$6+6-$S192)/$T192)-MAX(0,-INT(-(O$6-$S192)/$T192))+1),0)</f>
        <v>0.0</v>
      </c>
      <c r="P192" s="97">
        <f>IF(ISNUMBER($S192),MAX(0,INT((P$6+6-$S192)/$T192)-MAX(0,-INT(-(P$6-$S192)/$T192))+1),0)</f>
        <v>0.0</v>
      </c>
      <c r="Q192" s="97">
        <f>IF(ISNUMBER($S192),MAX(0,INT((Q$6+6-$S192)/$T192)-MAX(0,-INT(-(Q$6-$S192)/$T192))+1),0)</f>
        <v>0.0</v>
      </c>
      <c r="R192" s="97">
        <f>IF(ISNUMBER($S192),MAX(0,INT((R$6+6-$S192)/$T192)-MAX(0,-INT(-(R$6-$S192)/$T192))+1),0)</f>
        <v>0.0</v>
      </c>
      <c r="S192" t="str">
        <f>IF(ISNUMBER(INDEX(pl_period,183)),MAX(INDEX(pl_due,183),p_today),"")</f>
        <v/>
      </c>
      <c r="T192" t="str">
        <f>IF(ISNUMBER(INDEX(pl_period,183)),INDEX(pl_period,183),"")</f>
        <v/>
      </c>
      <c r="U192">
        <f>N(INDEX(pl_dur,183))</f>
        <v>0.0</v>
      </c>
    </row>
    <row r="193">
      <c r="A193" s="93" t="str">
        <f>IF(INDEX(pl_status,184)="","",INDEX(pl_num,184)&amp;"")</f>
        <v/>
      </c>
      <c r="B193" s="93" t="str">
        <f>IF(INDEX(pl_status,184)="","",INDEX(pl_eq,184)&amp;"")</f>
        <v/>
      </c>
      <c r="C193" s="93" t="str">
        <f>IF(INDEX(pl_status,184)="","",INDEX(pl_task,184)&amp;"")</f>
        <v/>
      </c>
      <c r="D193" s="94" t="str">
        <f>IF(ISNUMBER(INDEX(pl_due,184)),INDEX(pl_due,184),"")</f>
        <v/>
      </c>
      <c r="E193" s="95" t="str">
        <f>INDEX(pl_status,184)&amp;""</f>
        <v/>
      </c>
      <c r="F193" s="96" t="str">
        <f>IF(E193="En retard","●","")</f>
        <v/>
      </c>
      <c r="G193" s="97">
        <f>IF(ISNUMBER($S193),MAX(0,INT((G$6+6-$S193)/$T193)-MAX(0,-INT(-(G$6-$S193)/$T193))+1),0)</f>
        <v>0.0</v>
      </c>
      <c r="H193" s="97">
        <f>IF(ISNUMBER($S193),MAX(0,INT((H$6+6-$S193)/$T193)-MAX(0,-INT(-(H$6-$S193)/$T193))+1),0)</f>
        <v>0.0</v>
      </c>
      <c r="I193" s="97">
        <f>IF(ISNUMBER($S193),MAX(0,INT((I$6+6-$S193)/$T193)-MAX(0,-INT(-(I$6-$S193)/$T193))+1),0)</f>
        <v>0.0</v>
      </c>
      <c r="J193" s="97">
        <f>IF(ISNUMBER($S193),MAX(0,INT((J$6+6-$S193)/$T193)-MAX(0,-INT(-(J$6-$S193)/$T193))+1),0)</f>
        <v>0.0</v>
      </c>
      <c r="K193" s="97">
        <f>IF(ISNUMBER($S193),MAX(0,INT((K$6+6-$S193)/$T193)-MAX(0,-INT(-(K$6-$S193)/$T193))+1),0)</f>
        <v>0.0</v>
      </c>
      <c r="L193" s="97">
        <f>IF(ISNUMBER($S193),MAX(0,INT((L$6+6-$S193)/$T193)-MAX(0,-INT(-(L$6-$S193)/$T193))+1),0)</f>
        <v>0.0</v>
      </c>
      <c r="M193" s="97">
        <f>IF(ISNUMBER($S193),MAX(0,INT((M$6+6-$S193)/$T193)-MAX(0,-INT(-(M$6-$S193)/$T193))+1),0)</f>
        <v>0.0</v>
      </c>
      <c r="N193" s="97">
        <f>IF(ISNUMBER($S193),MAX(0,INT((N$6+6-$S193)/$T193)-MAX(0,-INT(-(N$6-$S193)/$T193))+1),0)</f>
        <v>0.0</v>
      </c>
      <c r="O193" s="97">
        <f>IF(ISNUMBER($S193),MAX(0,INT((O$6+6-$S193)/$T193)-MAX(0,-INT(-(O$6-$S193)/$T193))+1),0)</f>
        <v>0.0</v>
      </c>
      <c r="P193" s="97">
        <f>IF(ISNUMBER($S193),MAX(0,INT((P$6+6-$S193)/$T193)-MAX(0,-INT(-(P$6-$S193)/$T193))+1),0)</f>
        <v>0.0</v>
      </c>
      <c r="Q193" s="97">
        <f>IF(ISNUMBER($S193),MAX(0,INT((Q$6+6-$S193)/$T193)-MAX(0,-INT(-(Q$6-$S193)/$T193))+1),0)</f>
        <v>0.0</v>
      </c>
      <c r="R193" s="97">
        <f>IF(ISNUMBER($S193),MAX(0,INT((R$6+6-$S193)/$T193)-MAX(0,-INT(-(R$6-$S193)/$T193))+1),0)</f>
        <v>0.0</v>
      </c>
      <c r="S193" t="str">
        <f>IF(ISNUMBER(INDEX(pl_period,184)),MAX(INDEX(pl_due,184),p_today),"")</f>
        <v/>
      </c>
      <c r="T193" t="str">
        <f>IF(ISNUMBER(INDEX(pl_period,184)),INDEX(pl_period,184),"")</f>
        <v/>
      </c>
      <c r="U193">
        <f>N(INDEX(pl_dur,184))</f>
        <v>0.0</v>
      </c>
    </row>
    <row r="194">
      <c r="A194" s="93" t="str">
        <f>IF(INDEX(pl_status,185)="","",INDEX(pl_num,185)&amp;"")</f>
        <v/>
      </c>
      <c r="B194" s="93" t="str">
        <f>IF(INDEX(pl_status,185)="","",INDEX(pl_eq,185)&amp;"")</f>
        <v/>
      </c>
      <c r="C194" s="93" t="str">
        <f>IF(INDEX(pl_status,185)="","",INDEX(pl_task,185)&amp;"")</f>
        <v/>
      </c>
      <c r="D194" s="94" t="str">
        <f>IF(ISNUMBER(INDEX(pl_due,185)),INDEX(pl_due,185),"")</f>
        <v/>
      </c>
      <c r="E194" s="95" t="str">
        <f>INDEX(pl_status,185)&amp;""</f>
        <v/>
      </c>
      <c r="F194" s="96" t="str">
        <f>IF(E194="En retard","●","")</f>
        <v/>
      </c>
      <c r="G194" s="97">
        <f>IF(ISNUMBER($S194),MAX(0,INT((G$6+6-$S194)/$T194)-MAX(0,-INT(-(G$6-$S194)/$T194))+1),0)</f>
        <v>0.0</v>
      </c>
      <c r="H194" s="97">
        <f>IF(ISNUMBER($S194),MAX(0,INT((H$6+6-$S194)/$T194)-MAX(0,-INT(-(H$6-$S194)/$T194))+1),0)</f>
        <v>0.0</v>
      </c>
      <c r="I194" s="97">
        <f>IF(ISNUMBER($S194),MAX(0,INT((I$6+6-$S194)/$T194)-MAX(0,-INT(-(I$6-$S194)/$T194))+1),0)</f>
        <v>0.0</v>
      </c>
      <c r="J194" s="97">
        <f>IF(ISNUMBER($S194),MAX(0,INT((J$6+6-$S194)/$T194)-MAX(0,-INT(-(J$6-$S194)/$T194))+1),0)</f>
        <v>0.0</v>
      </c>
      <c r="K194" s="97">
        <f>IF(ISNUMBER($S194),MAX(0,INT((K$6+6-$S194)/$T194)-MAX(0,-INT(-(K$6-$S194)/$T194))+1),0)</f>
        <v>0.0</v>
      </c>
      <c r="L194" s="97">
        <f>IF(ISNUMBER($S194),MAX(0,INT((L$6+6-$S194)/$T194)-MAX(0,-INT(-(L$6-$S194)/$T194))+1),0)</f>
        <v>0.0</v>
      </c>
      <c r="M194" s="97">
        <f>IF(ISNUMBER($S194),MAX(0,INT((M$6+6-$S194)/$T194)-MAX(0,-INT(-(M$6-$S194)/$T194))+1),0)</f>
        <v>0.0</v>
      </c>
      <c r="N194" s="97">
        <f>IF(ISNUMBER($S194),MAX(0,INT((N$6+6-$S194)/$T194)-MAX(0,-INT(-(N$6-$S194)/$T194))+1),0)</f>
        <v>0.0</v>
      </c>
      <c r="O194" s="97">
        <f>IF(ISNUMBER($S194),MAX(0,INT((O$6+6-$S194)/$T194)-MAX(0,-INT(-(O$6-$S194)/$T194))+1),0)</f>
        <v>0.0</v>
      </c>
      <c r="P194" s="97">
        <f>IF(ISNUMBER($S194),MAX(0,INT((P$6+6-$S194)/$T194)-MAX(0,-INT(-(P$6-$S194)/$T194))+1),0)</f>
        <v>0.0</v>
      </c>
      <c r="Q194" s="97">
        <f>IF(ISNUMBER($S194),MAX(0,INT((Q$6+6-$S194)/$T194)-MAX(0,-INT(-(Q$6-$S194)/$T194))+1),0)</f>
        <v>0.0</v>
      </c>
      <c r="R194" s="97">
        <f>IF(ISNUMBER($S194),MAX(0,INT((R$6+6-$S194)/$T194)-MAX(0,-INT(-(R$6-$S194)/$T194))+1),0)</f>
        <v>0.0</v>
      </c>
      <c r="S194" t="str">
        <f>IF(ISNUMBER(INDEX(pl_period,185)),MAX(INDEX(pl_due,185),p_today),"")</f>
        <v/>
      </c>
      <c r="T194" t="str">
        <f>IF(ISNUMBER(INDEX(pl_period,185)),INDEX(pl_period,185),"")</f>
        <v/>
      </c>
      <c r="U194">
        <f>N(INDEX(pl_dur,185))</f>
        <v>0.0</v>
      </c>
    </row>
    <row r="195">
      <c r="A195" s="93" t="str">
        <f>IF(INDEX(pl_status,186)="","",INDEX(pl_num,186)&amp;"")</f>
        <v/>
      </c>
      <c r="B195" s="93" t="str">
        <f>IF(INDEX(pl_status,186)="","",INDEX(pl_eq,186)&amp;"")</f>
        <v/>
      </c>
      <c r="C195" s="93" t="str">
        <f>IF(INDEX(pl_status,186)="","",INDEX(pl_task,186)&amp;"")</f>
        <v/>
      </c>
      <c r="D195" s="94" t="str">
        <f>IF(ISNUMBER(INDEX(pl_due,186)),INDEX(pl_due,186),"")</f>
        <v/>
      </c>
      <c r="E195" s="95" t="str">
        <f>INDEX(pl_status,186)&amp;""</f>
        <v/>
      </c>
      <c r="F195" s="96" t="str">
        <f>IF(E195="En retard","●","")</f>
        <v/>
      </c>
      <c r="G195" s="97">
        <f>IF(ISNUMBER($S195),MAX(0,INT((G$6+6-$S195)/$T195)-MAX(0,-INT(-(G$6-$S195)/$T195))+1),0)</f>
        <v>0.0</v>
      </c>
      <c r="H195" s="97">
        <f>IF(ISNUMBER($S195),MAX(0,INT((H$6+6-$S195)/$T195)-MAX(0,-INT(-(H$6-$S195)/$T195))+1),0)</f>
        <v>0.0</v>
      </c>
      <c r="I195" s="97">
        <f>IF(ISNUMBER($S195),MAX(0,INT((I$6+6-$S195)/$T195)-MAX(0,-INT(-(I$6-$S195)/$T195))+1),0)</f>
        <v>0.0</v>
      </c>
      <c r="J195" s="97">
        <f>IF(ISNUMBER($S195),MAX(0,INT((J$6+6-$S195)/$T195)-MAX(0,-INT(-(J$6-$S195)/$T195))+1),0)</f>
        <v>0.0</v>
      </c>
      <c r="K195" s="97">
        <f>IF(ISNUMBER($S195),MAX(0,INT((K$6+6-$S195)/$T195)-MAX(0,-INT(-(K$6-$S195)/$T195))+1),0)</f>
        <v>0.0</v>
      </c>
      <c r="L195" s="97">
        <f>IF(ISNUMBER($S195),MAX(0,INT((L$6+6-$S195)/$T195)-MAX(0,-INT(-(L$6-$S195)/$T195))+1),0)</f>
        <v>0.0</v>
      </c>
      <c r="M195" s="97">
        <f>IF(ISNUMBER($S195),MAX(0,INT((M$6+6-$S195)/$T195)-MAX(0,-INT(-(M$6-$S195)/$T195))+1),0)</f>
        <v>0.0</v>
      </c>
      <c r="N195" s="97">
        <f>IF(ISNUMBER($S195),MAX(0,INT((N$6+6-$S195)/$T195)-MAX(0,-INT(-(N$6-$S195)/$T195))+1),0)</f>
        <v>0.0</v>
      </c>
      <c r="O195" s="97">
        <f>IF(ISNUMBER($S195),MAX(0,INT((O$6+6-$S195)/$T195)-MAX(0,-INT(-(O$6-$S195)/$T195))+1),0)</f>
        <v>0.0</v>
      </c>
      <c r="P195" s="97">
        <f>IF(ISNUMBER($S195),MAX(0,INT((P$6+6-$S195)/$T195)-MAX(0,-INT(-(P$6-$S195)/$T195))+1),0)</f>
        <v>0.0</v>
      </c>
      <c r="Q195" s="97">
        <f>IF(ISNUMBER($S195),MAX(0,INT((Q$6+6-$S195)/$T195)-MAX(0,-INT(-(Q$6-$S195)/$T195))+1),0)</f>
        <v>0.0</v>
      </c>
      <c r="R195" s="97">
        <f>IF(ISNUMBER($S195),MAX(0,INT((R$6+6-$S195)/$T195)-MAX(0,-INT(-(R$6-$S195)/$T195))+1),0)</f>
        <v>0.0</v>
      </c>
      <c r="S195" t="str">
        <f>IF(ISNUMBER(INDEX(pl_period,186)),MAX(INDEX(pl_due,186),p_today),"")</f>
        <v/>
      </c>
      <c r="T195" t="str">
        <f>IF(ISNUMBER(INDEX(pl_period,186)),INDEX(pl_period,186),"")</f>
        <v/>
      </c>
      <c r="U195">
        <f>N(INDEX(pl_dur,186))</f>
        <v>0.0</v>
      </c>
    </row>
    <row r="196">
      <c r="A196" s="93" t="str">
        <f>IF(INDEX(pl_status,187)="","",INDEX(pl_num,187)&amp;"")</f>
        <v/>
      </c>
      <c r="B196" s="93" t="str">
        <f>IF(INDEX(pl_status,187)="","",INDEX(pl_eq,187)&amp;"")</f>
        <v/>
      </c>
      <c r="C196" s="93" t="str">
        <f>IF(INDEX(pl_status,187)="","",INDEX(pl_task,187)&amp;"")</f>
        <v/>
      </c>
      <c r="D196" s="94" t="str">
        <f>IF(ISNUMBER(INDEX(pl_due,187)),INDEX(pl_due,187),"")</f>
        <v/>
      </c>
      <c r="E196" s="95" t="str">
        <f>INDEX(pl_status,187)&amp;""</f>
        <v/>
      </c>
      <c r="F196" s="96" t="str">
        <f>IF(E196="En retard","●","")</f>
        <v/>
      </c>
      <c r="G196" s="97">
        <f>IF(ISNUMBER($S196),MAX(0,INT((G$6+6-$S196)/$T196)-MAX(0,-INT(-(G$6-$S196)/$T196))+1),0)</f>
        <v>0.0</v>
      </c>
      <c r="H196" s="97">
        <f>IF(ISNUMBER($S196),MAX(0,INT((H$6+6-$S196)/$T196)-MAX(0,-INT(-(H$6-$S196)/$T196))+1),0)</f>
        <v>0.0</v>
      </c>
      <c r="I196" s="97">
        <f>IF(ISNUMBER($S196),MAX(0,INT((I$6+6-$S196)/$T196)-MAX(0,-INT(-(I$6-$S196)/$T196))+1),0)</f>
        <v>0.0</v>
      </c>
      <c r="J196" s="97">
        <f>IF(ISNUMBER($S196),MAX(0,INT((J$6+6-$S196)/$T196)-MAX(0,-INT(-(J$6-$S196)/$T196))+1),0)</f>
        <v>0.0</v>
      </c>
      <c r="K196" s="97">
        <f>IF(ISNUMBER($S196),MAX(0,INT((K$6+6-$S196)/$T196)-MAX(0,-INT(-(K$6-$S196)/$T196))+1),0)</f>
        <v>0.0</v>
      </c>
      <c r="L196" s="97">
        <f>IF(ISNUMBER($S196),MAX(0,INT((L$6+6-$S196)/$T196)-MAX(0,-INT(-(L$6-$S196)/$T196))+1),0)</f>
        <v>0.0</v>
      </c>
      <c r="M196" s="97">
        <f>IF(ISNUMBER($S196),MAX(0,INT((M$6+6-$S196)/$T196)-MAX(0,-INT(-(M$6-$S196)/$T196))+1),0)</f>
        <v>0.0</v>
      </c>
      <c r="N196" s="97">
        <f>IF(ISNUMBER($S196),MAX(0,INT((N$6+6-$S196)/$T196)-MAX(0,-INT(-(N$6-$S196)/$T196))+1),0)</f>
        <v>0.0</v>
      </c>
      <c r="O196" s="97">
        <f>IF(ISNUMBER($S196),MAX(0,INT((O$6+6-$S196)/$T196)-MAX(0,-INT(-(O$6-$S196)/$T196))+1),0)</f>
        <v>0.0</v>
      </c>
      <c r="P196" s="97">
        <f>IF(ISNUMBER($S196),MAX(0,INT((P$6+6-$S196)/$T196)-MAX(0,-INT(-(P$6-$S196)/$T196))+1),0)</f>
        <v>0.0</v>
      </c>
      <c r="Q196" s="97">
        <f>IF(ISNUMBER($S196),MAX(0,INT((Q$6+6-$S196)/$T196)-MAX(0,-INT(-(Q$6-$S196)/$T196))+1),0)</f>
        <v>0.0</v>
      </c>
      <c r="R196" s="97">
        <f>IF(ISNUMBER($S196),MAX(0,INT((R$6+6-$S196)/$T196)-MAX(0,-INT(-(R$6-$S196)/$T196))+1),0)</f>
        <v>0.0</v>
      </c>
      <c r="S196" t="str">
        <f>IF(ISNUMBER(INDEX(pl_period,187)),MAX(INDEX(pl_due,187),p_today),"")</f>
        <v/>
      </c>
      <c r="T196" t="str">
        <f>IF(ISNUMBER(INDEX(pl_period,187)),INDEX(pl_period,187),"")</f>
        <v/>
      </c>
      <c r="U196">
        <f>N(INDEX(pl_dur,187))</f>
        <v>0.0</v>
      </c>
    </row>
    <row r="197">
      <c r="A197" s="93" t="str">
        <f>IF(INDEX(pl_status,188)="","",INDEX(pl_num,188)&amp;"")</f>
        <v/>
      </c>
      <c r="B197" s="93" t="str">
        <f>IF(INDEX(pl_status,188)="","",INDEX(pl_eq,188)&amp;"")</f>
        <v/>
      </c>
      <c r="C197" s="93" t="str">
        <f>IF(INDEX(pl_status,188)="","",INDEX(pl_task,188)&amp;"")</f>
        <v/>
      </c>
      <c r="D197" s="94" t="str">
        <f>IF(ISNUMBER(INDEX(pl_due,188)),INDEX(pl_due,188),"")</f>
        <v/>
      </c>
      <c r="E197" s="95" t="str">
        <f>INDEX(pl_status,188)&amp;""</f>
        <v/>
      </c>
      <c r="F197" s="96" t="str">
        <f>IF(E197="En retard","●","")</f>
        <v/>
      </c>
      <c r="G197" s="97">
        <f>IF(ISNUMBER($S197),MAX(0,INT((G$6+6-$S197)/$T197)-MAX(0,-INT(-(G$6-$S197)/$T197))+1),0)</f>
        <v>0.0</v>
      </c>
      <c r="H197" s="97">
        <f>IF(ISNUMBER($S197),MAX(0,INT((H$6+6-$S197)/$T197)-MAX(0,-INT(-(H$6-$S197)/$T197))+1),0)</f>
        <v>0.0</v>
      </c>
      <c r="I197" s="97">
        <f>IF(ISNUMBER($S197),MAX(0,INT((I$6+6-$S197)/$T197)-MAX(0,-INT(-(I$6-$S197)/$T197))+1),0)</f>
        <v>0.0</v>
      </c>
      <c r="J197" s="97">
        <f>IF(ISNUMBER($S197),MAX(0,INT((J$6+6-$S197)/$T197)-MAX(0,-INT(-(J$6-$S197)/$T197))+1),0)</f>
        <v>0.0</v>
      </c>
      <c r="K197" s="97">
        <f>IF(ISNUMBER($S197),MAX(0,INT((K$6+6-$S197)/$T197)-MAX(0,-INT(-(K$6-$S197)/$T197))+1),0)</f>
        <v>0.0</v>
      </c>
      <c r="L197" s="97">
        <f>IF(ISNUMBER($S197),MAX(0,INT((L$6+6-$S197)/$T197)-MAX(0,-INT(-(L$6-$S197)/$T197))+1),0)</f>
        <v>0.0</v>
      </c>
      <c r="M197" s="97">
        <f>IF(ISNUMBER($S197),MAX(0,INT((M$6+6-$S197)/$T197)-MAX(0,-INT(-(M$6-$S197)/$T197))+1),0)</f>
        <v>0.0</v>
      </c>
      <c r="N197" s="97">
        <f>IF(ISNUMBER($S197),MAX(0,INT((N$6+6-$S197)/$T197)-MAX(0,-INT(-(N$6-$S197)/$T197))+1),0)</f>
        <v>0.0</v>
      </c>
      <c r="O197" s="97">
        <f>IF(ISNUMBER($S197),MAX(0,INT((O$6+6-$S197)/$T197)-MAX(0,-INT(-(O$6-$S197)/$T197))+1),0)</f>
        <v>0.0</v>
      </c>
      <c r="P197" s="97">
        <f>IF(ISNUMBER($S197),MAX(0,INT((P$6+6-$S197)/$T197)-MAX(0,-INT(-(P$6-$S197)/$T197))+1),0)</f>
        <v>0.0</v>
      </c>
      <c r="Q197" s="97">
        <f>IF(ISNUMBER($S197),MAX(0,INT((Q$6+6-$S197)/$T197)-MAX(0,-INT(-(Q$6-$S197)/$T197))+1),0)</f>
        <v>0.0</v>
      </c>
      <c r="R197" s="97">
        <f>IF(ISNUMBER($S197),MAX(0,INT((R$6+6-$S197)/$T197)-MAX(0,-INT(-(R$6-$S197)/$T197))+1),0)</f>
        <v>0.0</v>
      </c>
      <c r="S197" t="str">
        <f>IF(ISNUMBER(INDEX(pl_period,188)),MAX(INDEX(pl_due,188),p_today),"")</f>
        <v/>
      </c>
      <c r="T197" t="str">
        <f>IF(ISNUMBER(INDEX(pl_period,188)),INDEX(pl_period,188),"")</f>
        <v/>
      </c>
      <c r="U197">
        <f>N(INDEX(pl_dur,188))</f>
        <v>0.0</v>
      </c>
    </row>
    <row r="198">
      <c r="A198" s="93" t="str">
        <f>IF(INDEX(pl_status,189)="","",INDEX(pl_num,189)&amp;"")</f>
        <v/>
      </c>
      <c r="B198" s="93" t="str">
        <f>IF(INDEX(pl_status,189)="","",INDEX(pl_eq,189)&amp;"")</f>
        <v/>
      </c>
      <c r="C198" s="93" t="str">
        <f>IF(INDEX(pl_status,189)="","",INDEX(pl_task,189)&amp;"")</f>
        <v/>
      </c>
      <c r="D198" s="94" t="str">
        <f>IF(ISNUMBER(INDEX(pl_due,189)),INDEX(pl_due,189),"")</f>
        <v/>
      </c>
      <c r="E198" s="95" t="str">
        <f>INDEX(pl_status,189)&amp;""</f>
        <v/>
      </c>
      <c r="F198" s="96" t="str">
        <f>IF(E198="En retard","●","")</f>
        <v/>
      </c>
      <c r="G198" s="97">
        <f>IF(ISNUMBER($S198),MAX(0,INT((G$6+6-$S198)/$T198)-MAX(0,-INT(-(G$6-$S198)/$T198))+1),0)</f>
        <v>0.0</v>
      </c>
      <c r="H198" s="97">
        <f>IF(ISNUMBER($S198),MAX(0,INT((H$6+6-$S198)/$T198)-MAX(0,-INT(-(H$6-$S198)/$T198))+1),0)</f>
        <v>0.0</v>
      </c>
      <c r="I198" s="97">
        <f>IF(ISNUMBER($S198),MAX(0,INT((I$6+6-$S198)/$T198)-MAX(0,-INT(-(I$6-$S198)/$T198))+1),0)</f>
        <v>0.0</v>
      </c>
      <c r="J198" s="97">
        <f>IF(ISNUMBER($S198),MAX(0,INT((J$6+6-$S198)/$T198)-MAX(0,-INT(-(J$6-$S198)/$T198))+1),0)</f>
        <v>0.0</v>
      </c>
      <c r="K198" s="97">
        <f>IF(ISNUMBER($S198),MAX(0,INT((K$6+6-$S198)/$T198)-MAX(0,-INT(-(K$6-$S198)/$T198))+1),0)</f>
        <v>0.0</v>
      </c>
      <c r="L198" s="97">
        <f>IF(ISNUMBER($S198),MAX(0,INT((L$6+6-$S198)/$T198)-MAX(0,-INT(-(L$6-$S198)/$T198))+1),0)</f>
        <v>0.0</v>
      </c>
      <c r="M198" s="97">
        <f>IF(ISNUMBER($S198),MAX(0,INT((M$6+6-$S198)/$T198)-MAX(0,-INT(-(M$6-$S198)/$T198))+1),0)</f>
        <v>0.0</v>
      </c>
      <c r="N198" s="97">
        <f>IF(ISNUMBER($S198),MAX(0,INT((N$6+6-$S198)/$T198)-MAX(0,-INT(-(N$6-$S198)/$T198))+1),0)</f>
        <v>0.0</v>
      </c>
      <c r="O198" s="97">
        <f>IF(ISNUMBER($S198),MAX(0,INT((O$6+6-$S198)/$T198)-MAX(0,-INT(-(O$6-$S198)/$T198))+1),0)</f>
        <v>0.0</v>
      </c>
      <c r="P198" s="97">
        <f>IF(ISNUMBER($S198),MAX(0,INT((P$6+6-$S198)/$T198)-MAX(0,-INT(-(P$6-$S198)/$T198))+1),0)</f>
        <v>0.0</v>
      </c>
      <c r="Q198" s="97">
        <f>IF(ISNUMBER($S198),MAX(0,INT((Q$6+6-$S198)/$T198)-MAX(0,-INT(-(Q$6-$S198)/$T198))+1),0)</f>
        <v>0.0</v>
      </c>
      <c r="R198" s="97">
        <f>IF(ISNUMBER($S198),MAX(0,INT((R$6+6-$S198)/$T198)-MAX(0,-INT(-(R$6-$S198)/$T198))+1),0)</f>
        <v>0.0</v>
      </c>
      <c r="S198" t="str">
        <f>IF(ISNUMBER(INDEX(pl_period,189)),MAX(INDEX(pl_due,189),p_today),"")</f>
        <v/>
      </c>
      <c r="T198" t="str">
        <f>IF(ISNUMBER(INDEX(pl_period,189)),INDEX(pl_period,189),"")</f>
        <v/>
      </c>
      <c r="U198">
        <f>N(INDEX(pl_dur,189))</f>
        <v>0.0</v>
      </c>
    </row>
    <row r="199">
      <c r="A199" s="93" t="str">
        <f>IF(INDEX(pl_status,190)="","",INDEX(pl_num,190)&amp;"")</f>
        <v/>
      </c>
      <c r="B199" s="93" t="str">
        <f>IF(INDEX(pl_status,190)="","",INDEX(pl_eq,190)&amp;"")</f>
        <v/>
      </c>
      <c r="C199" s="93" t="str">
        <f>IF(INDEX(pl_status,190)="","",INDEX(pl_task,190)&amp;"")</f>
        <v/>
      </c>
      <c r="D199" s="94" t="str">
        <f>IF(ISNUMBER(INDEX(pl_due,190)),INDEX(pl_due,190),"")</f>
        <v/>
      </c>
      <c r="E199" s="95" t="str">
        <f>INDEX(pl_status,190)&amp;""</f>
        <v/>
      </c>
      <c r="F199" s="96" t="str">
        <f>IF(E199="En retard","●","")</f>
        <v/>
      </c>
      <c r="G199" s="97">
        <f>IF(ISNUMBER($S199),MAX(0,INT((G$6+6-$S199)/$T199)-MAX(0,-INT(-(G$6-$S199)/$T199))+1),0)</f>
        <v>0.0</v>
      </c>
      <c r="H199" s="97">
        <f>IF(ISNUMBER($S199),MAX(0,INT((H$6+6-$S199)/$T199)-MAX(0,-INT(-(H$6-$S199)/$T199))+1),0)</f>
        <v>0.0</v>
      </c>
      <c r="I199" s="97">
        <f>IF(ISNUMBER($S199),MAX(0,INT((I$6+6-$S199)/$T199)-MAX(0,-INT(-(I$6-$S199)/$T199))+1),0)</f>
        <v>0.0</v>
      </c>
      <c r="J199" s="97">
        <f>IF(ISNUMBER($S199),MAX(0,INT((J$6+6-$S199)/$T199)-MAX(0,-INT(-(J$6-$S199)/$T199))+1),0)</f>
        <v>0.0</v>
      </c>
      <c r="K199" s="97">
        <f>IF(ISNUMBER($S199),MAX(0,INT((K$6+6-$S199)/$T199)-MAX(0,-INT(-(K$6-$S199)/$T199))+1),0)</f>
        <v>0.0</v>
      </c>
      <c r="L199" s="97">
        <f>IF(ISNUMBER($S199),MAX(0,INT((L$6+6-$S199)/$T199)-MAX(0,-INT(-(L$6-$S199)/$T199))+1),0)</f>
        <v>0.0</v>
      </c>
      <c r="M199" s="97">
        <f>IF(ISNUMBER($S199),MAX(0,INT((M$6+6-$S199)/$T199)-MAX(0,-INT(-(M$6-$S199)/$T199))+1),0)</f>
        <v>0.0</v>
      </c>
      <c r="N199" s="97">
        <f>IF(ISNUMBER($S199),MAX(0,INT((N$6+6-$S199)/$T199)-MAX(0,-INT(-(N$6-$S199)/$T199))+1),0)</f>
        <v>0.0</v>
      </c>
      <c r="O199" s="97">
        <f>IF(ISNUMBER($S199),MAX(0,INT((O$6+6-$S199)/$T199)-MAX(0,-INT(-(O$6-$S199)/$T199))+1),0)</f>
        <v>0.0</v>
      </c>
      <c r="P199" s="97">
        <f>IF(ISNUMBER($S199),MAX(0,INT((P$6+6-$S199)/$T199)-MAX(0,-INT(-(P$6-$S199)/$T199))+1),0)</f>
        <v>0.0</v>
      </c>
      <c r="Q199" s="97">
        <f>IF(ISNUMBER($S199),MAX(0,INT((Q$6+6-$S199)/$T199)-MAX(0,-INT(-(Q$6-$S199)/$T199))+1),0)</f>
        <v>0.0</v>
      </c>
      <c r="R199" s="97">
        <f>IF(ISNUMBER($S199),MAX(0,INT((R$6+6-$S199)/$T199)-MAX(0,-INT(-(R$6-$S199)/$T199))+1),0)</f>
        <v>0.0</v>
      </c>
      <c r="S199" t="str">
        <f>IF(ISNUMBER(INDEX(pl_period,190)),MAX(INDEX(pl_due,190),p_today),"")</f>
        <v/>
      </c>
      <c r="T199" t="str">
        <f>IF(ISNUMBER(INDEX(pl_period,190)),INDEX(pl_period,190),"")</f>
        <v/>
      </c>
      <c r="U199">
        <f>N(INDEX(pl_dur,190))</f>
        <v>0.0</v>
      </c>
    </row>
    <row r="200">
      <c r="A200" s="93" t="str">
        <f>IF(INDEX(pl_status,191)="","",INDEX(pl_num,191)&amp;"")</f>
        <v/>
      </c>
      <c r="B200" s="93" t="str">
        <f>IF(INDEX(pl_status,191)="","",INDEX(pl_eq,191)&amp;"")</f>
        <v/>
      </c>
      <c r="C200" s="93" t="str">
        <f>IF(INDEX(pl_status,191)="","",INDEX(pl_task,191)&amp;"")</f>
        <v/>
      </c>
      <c r="D200" s="94" t="str">
        <f>IF(ISNUMBER(INDEX(pl_due,191)),INDEX(pl_due,191),"")</f>
        <v/>
      </c>
      <c r="E200" s="95" t="str">
        <f>INDEX(pl_status,191)&amp;""</f>
        <v/>
      </c>
      <c r="F200" s="96" t="str">
        <f>IF(E200="En retard","●","")</f>
        <v/>
      </c>
      <c r="G200" s="97">
        <f>IF(ISNUMBER($S200),MAX(0,INT((G$6+6-$S200)/$T200)-MAX(0,-INT(-(G$6-$S200)/$T200))+1),0)</f>
        <v>0.0</v>
      </c>
      <c r="H200" s="97">
        <f>IF(ISNUMBER($S200),MAX(0,INT((H$6+6-$S200)/$T200)-MAX(0,-INT(-(H$6-$S200)/$T200))+1),0)</f>
        <v>0.0</v>
      </c>
      <c r="I200" s="97">
        <f>IF(ISNUMBER($S200),MAX(0,INT((I$6+6-$S200)/$T200)-MAX(0,-INT(-(I$6-$S200)/$T200))+1),0)</f>
        <v>0.0</v>
      </c>
      <c r="J200" s="97">
        <f>IF(ISNUMBER($S200),MAX(0,INT((J$6+6-$S200)/$T200)-MAX(0,-INT(-(J$6-$S200)/$T200))+1),0)</f>
        <v>0.0</v>
      </c>
      <c r="K200" s="97">
        <f>IF(ISNUMBER($S200),MAX(0,INT((K$6+6-$S200)/$T200)-MAX(0,-INT(-(K$6-$S200)/$T200))+1),0)</f>
        <v>0.0</v>
      </c>
      <c r="L200" s="97">
        <f>IF(ISNUMBER($S200),MAX(0,INT((L$6+6-$S200)/$T200)-MAX(0,-INT(-(L$6-$S200)/$T200))+1),0)</f>
        <v>0.0</v>
      </c>
      <c r="M200" s="97">
        <f>IF(ISNUMBER($S200),MAX(0,INT((M$6+6-$S200)/$T200)-MAX(0,-INT(-(M$6-$S200)/$T200))+1),0)</f>
        <v>0.0</v>
      </c>
      <c r="N200" s="97">
        <f>IF(ISNUMBER($S200),MAX(0,INT((N$6+6-$S200)/$T200)-MAX(0,-INT(-(N$6-$S200)/$T200))+1),0)</f>
        <v>0.0</v>
      </c>
      <c r="O200" s="97">
        <f>IF(ISNUMBER($S200),MAX(0,INT((O$6+6-$S200)/$T200)-MAX(0,-INT(-(O$6-$S200)/$T200))+1),0)</f>
        <v>0.0</v>
      </c>
      <c r="P200" s="97">
        <f>IF(ISNUMBER($S200),MAX(0,INT((P$6+6-$S200)/$T200)-MAX(0,-INT(-(P$6-$S200)/$T200))+1),0)</f>
        <v>0.0</v>
      </c>
      <c r="Q200" s="97">
        <f>IF(ISNUMBER($S200),MAX(0,INT((Q$6+6-$S200)/$T200)-MAX(0,-INT(-(Q$6-$S200)/$T200))+1),0)</f>
        <v>0.0</v>
      </c>
      <c r="R200" s="97">
        <f>IF(ISNUMBER($S200),MAX(0,INT((R$6+6-$S200)/$T200)-MAX(0,-INT(-(R$6-$S200)/$T200))+1),0)</f>
        <v>0.0</v>
      </c>
      <c r="S200" t="str">
        <f>IF(ISNUMBER(INDEX(pl_period,191)),MAX(INDEX(pl_due,191),p_today),"")</f>
        <v/>
      </c>
      <c r="T200" t="str">
        <f>IF(ISNUMBER(INDEX(pl_period,191)),INDEX(pl_period,191),"")</f>
        <v/>
      </c>
      <c r="U200">
        <f>N(INDEX(pl_dur,191))</f>
        <v>0.0</v>
      </c>
    </row>
    <row r="201">
      <c r="A201" s="93" t="str">
        <f>IF(INDEX(pl_status,192)="","",INDEX(pl_num,192)&amp;"")</f>
        <v/>
      </c>
      <c r="B201" s="93" t="str">
        <f>IF(INDEX(pl_status,192)="","",INDEX(pl_eq,192)&amp;"")</f>
        <v/>
      </c>
      <c r="C201" s="93" t="str">
        <f>IF(INDEX(pl_status,192)="","",INDEX(pl_task,192)&amp;"")</f>
        <v/>
      </c>
      <c r="D201" s="94" t="str">
        <f>IF(ISNUMBER(INDEX(pl_due,192)),INDEX(pl_due,192),"")</f>
        <v/>
      </c>
      <c r="E201" s="95" t="str">
        <f>INDEX(pl_status,192)&amp;""</f>
        <v/>
      </c>
      <c r="F201" s="96" t="str">
        <f>IF(E201="En retard","●","")</f>
        <v/>
      </c>
      <c r="G201" s="97">
        <f>IF(ISNUMBER($S201),MAX(0,INT((G$6+6-$S201)/$T201)-MAX(0,-INT(-(G$6-$S201)/$T201))+1),0)</f>
        <v>0.0</v>
      </c>
      <c r="H201" s="97">
        <f>IF(ISNUMBER($S201),MAX(0,INT((H$6+6-$S201)/$T201)-MAX(0,-INT(-(H$6-$S201)/$T201))+1),0)</f>
        <v>0.0</v>
      </c>
      <c r="I201" s="97">
        <f>IF(ISNUMBER($S201),MAX(0,INT((I$6+6-$S201)/$T201)-MAX(0,-INT(-(I$6-$S201)/$T201))+1),0)</f>
        <v>0.0</v>
      </c>
      <c r="J201" s="97">
        <f>IF(ISNUMBER($S201),MAX(0,INT((J$6+6-$S201)/$T201)-MAX(0,-INT(-(J$6-$S201)/$T201))+1),0)</f>
        <v>0.0</v>
      </c>
      <c r="K201" s="97">
        <f>IF(ISNUMBER($S201),MAX(0,INT((K$6+6-$S201)/$T201)-MAX(0,-INT(-(K$6-$S201)/$T201))+1),0)</f>
        <v>0.0</v>
      </c>
      <c r="L201" s="97">
        <f>IF(ISNUMBER($S201),MAX(0,INT((L$6+6-$S201)/$T201)-MAX(0,-INT(-(L$6-$S201)/$T201))+1),0)</f>
        <v>0.0</v>
      </c>
      <c r="M201" s="97">
        <f>IF(ISNUMBER($S201),MAX(0,INT((M$6+6-$S201)/$T201)-MAX(0,-INT(-(M$6-$S201)/$T201))+1),0)</f>
        <v>0.0</v>
      </c>
      <c r="N201" s="97">
        <f>IF(ISNUMBER($S201),MAX(0,INT((N$6+6-$S201)/$T201)-MAX(0,-INT(-(N$6-$S201)/$T201))+1),0)</f>
        <v>0.0</v>
      </c>
      <c r="O201" s="97">
        <f>IF(ISNUMBER($S201),MAX(0,INT((O$6+6-$S201)/$T201)-MAX(0,-INT(-(O$6-$S201)/$T201))+1),0)</f>
        <v>0.0</v>
      </c>
      <c r="P201" s="97">
        <f>IF(ISNUMBER($S201),MAX(0,INT((P$6+6-$S201)/$T201)-MAX(0,-INT(-(P$6-$S201)/$T201))+1),0)</f>
        <v>0.0</v>
      </c>
      <c r="Q201" s="97">
        <f>IF(ISNUMBER($S201),MAX(0,INT((Q$6+6-$S201)/$T201)-MAX(0,-INT(-(Q$6-$S201)/$T201))+1),0)</f>
        <v>0.0</v>
      </c>
      <c r="R201" s="97">
        <f>IF(ISNUMBER($S201),MAX(0,INT((R$6+6-$S201)/$T201)-MAX(0,-INT(-(R$6-$S201)/$T201))+1),0)</f>
        <v>0.0</v>
      </c>
      <c r="S201" t="str">
        <f>IF(ISNUMBER(INDEX(pl_period,192)),MAX(INDEX(pl_due,192),p_today),"")</f>
        <v/>
      </c>
      <c r="T201" t="str">
        <f>IF(ISNUMBER(INDEX(pl_period,192)),INDEX(pl_period,192),"")</f>
        <v/>
      </c>
      <c r="U201">
        <f>N(INDEX(pl_dur,192))</f>
        <v>0.0</v>
      </c>
    </row>
    <row r="202">
      <c r="A202" s="93" t="str">
        <f>IF(INDEX(pl_status,193)="","",INDEX(pl_num,193)&amp;"")</f>
        <v/>
      </c>
      <c r="B202" s="93" t="str">
        <f>IF(INDEX(pl_status,193)="","",INDEX(pl_eq,193)&amp;"")</f>
        <v/>
      </c>
      <c r="C202" s="93" t="str">
        <f>IF(INDEX(pl_status,193)="","",INDEX(pl_task,193)&amp;"")</f>
        <v/>
      </c>
      <c r="D202" s="94" t="str">
        <f>IF(ISNUMBER(INDEX(pl_due,193)),INDEX(pl_due,193),"")</f>
        <v/>
      </c>
      <c r="E202" s="95" t="str">
        <f>INDEX(pl_status,193)&amp;""</f>
        <v/>
      </c>
      <c r="F202" s="96" t="str">
        <f>IF(E202="En retard","●","")</f>
        <v/>
      </c>
      <c r="G202" s="97">
        <f>IF(ISNUMBER($S202),MAX(0,INT((G$6+6-$S202)/$T202)-MAX(0,-INT(-(G$6-$S202)/$T202))+1),0)</f>
        <v>0.0</v>
      </c>
      <c r="H202" s="97">
        <f>IF(ISNUMBER($S202),MAX(0,INT((H$6+6-$S202)/$T202)-MAX(0,-INT(-(H$6-$S202)/$T202))+1),0)</f>
        <v>0.0</v>
      </c>
      <c r="I202" s="97">
        <f>IF(ISNUMBER($S202),MAX(0,INT((I$6+6-$S202)/$T202)-MAX(0,-INT(-(I$6-$S202)/$T202))+1),0)</f>
        <v>0.0</v>
      </c>
      <c r="J202" s="97">
        <f>IF(ISNUMBER($S202),MAX(0,INT((J$6+6-$S202)/$T202)-MAX(0,-INT(-(J$6-$S202)/$T202))+1),0)</f>
        <v>0.0</v>
      </c>
      <c r="K202" s="97">
        <f>IF(ISNUMBER($S202),MAX(0,INT((K$6+6-$S202)/$T202)-MAX(0,-INT(-(K$6-$S202)/$T202))+1),0)</f>
        <v>0.0</v>
      </c>
      <c r="L202" s="97">
        <f>IF(ISNUMBER($S202),MAX(0,INT((L$6+6-$S202)/$T202)-MAX(0,-INT(-(L$6-$S202)/$T202))+1),0)</f>
        <v>0.0</v>
      </c>
      <c r="M202" s="97">
        <f>IF(ISNUMBER($S202),MAX(0,INT((M$6+6-$S202)/$T202)-MAX(0,-INT(-(M$6-$S202)/$T202))+1),0)</f>
        <v>0.0</v>
      </c>
      <c r="N202" s="97">
        <f>IF(ISNUMBER($S202),MAX(0,INT((N$6+6-$S202)/$T202)-MAX(0,-INT(-(N$6-$S202)/$T202))+1),0)</f>
        <v>0.0</v>
      </c>
      <c r="O202" s="97">
        <f>IF(ISNUMBER($S202),MAX(0,INT((O$6+6-$S202)/$T202)-MAX(0,-INT(-(O$6-$S202)/$T202))+1),0)</f>
        <v>0.0</v>
      </c>
      <c r="P202" s="97">
        <f>IF(ISNUMBER($S202),MAX(0,INT((P$6+6-$S202)/$T202)-MAX(0,-INT(-(P$6-$S202)/$T202))+1),0)</f>
        <v>0.0</v>
      </c>
      <c r="Q202" s="97">
        <f>IF(ISNUMBER($S202),MAX(0,INT((Q$6+6-$S202)/$T202)-MAX(0,-INT(-(Q$6-$S202)/$T202))+1),0)</f>
        <v>0.0</v>
      </c>
      <c r="R202" s="97">
        <f>IF(ISNUMBER($S202),MAX(0,INT((R$6+6-$S202)/$T202)-MAX(0,-INT(-(R$6-$S202)/$T202))+1),0)</f>
        <v>0.0</v>
      </c>
      <c r="S202" t="str">
        <f>IF(ISNUMBER(INDEX(pl_period,193)),MAX(INDEX(pl_due,193),p_today),"")</f>
        <v/>
      </c>
      <c r="T202" t="str">
        <f>IF(ISNUMBER(INDEX(pl_period,193)),INDEX(pl_period,193),"")</f>
        <v/>
      </c>
      <c r="U202">
        <f>N(INDEX(pl_dur,193))</f>
        <v>0.0</v>
      </c>
    </row>
    <row r="203">
      <c r="A203" s="93" t="str">
        <f>IF(INDEX(pl_status,194)="","",INDEX(pl_num,194)&amp;"")</f>
        <v/>
      </c>
      <c r="B203" s="93" t="str">
        <f>IF(INDEX(pl_status,194)="","",INDEX(pl_eq,194)&amp;"")</f>
        <v/>
      </c>
      <c r="C203" s="93" t="str">
        <f>IF(INDEX(pl_status,194)="","",INDEX(pl_task,194)&amp;"")</f>
        <v/>
      </c>
      <c r="D203" s="94" t="str">
        <f>IF(ISNUMBER(INDEX(pl_due,194)),INDEX(pl_due,194),"")</f>
        <v/>
      </c>
      <c r="E203" s="95" t="str">
        <f>INDEX(pl_status,194)&amp;""</f>
        <v/>
      </c>
      <c r="F203" s="96" t="str">
        <f>IF(E203="En retard","●","")</f>
        <v/>
      </c>
      <c r="G203" s="97">
        <f>IF(ISNUMBER($S203),MAX(0,INT((G$6+6-$S203)/$T203)-MAX(0,-INT(-(G$6-$S203)/$T203))+1),0)</f>
        <v>0.0</v>
      </c>
      <c r="H203" s="97">
        <f>IF(ISNUMBER($S203),MAX(0,INT((H$6+6-$S203)/$T203)-MAX(0,-INT(-(H$6-$S203)/$T203))+1),0)</f>
        <v>0.0</v>
      </c>
      <c r="I203" s="97">
        <f>IF(ISNUMBER($S203),MAX(0,INT((I$6+6-$S203)/$T203)-MAX(0,-INT(-(I$6-$S203)/$T203))+1),0)</f>
        <v>0.0</v>
      </c>
      <c r="J203" s="97">
        <f>IF(ISNUMBER($S203),MAX(0,INT((J$6+6-$S203)/$T203)-MAX(0,-INT(-(J$6-$S203)/$T203))+1),0)</f>
        <v>0.0</v>
      </c>
      <c r="K203" s="97">
        <f>IF(ISNUMBER($S203),MAX(0,INT((K$6+6-$S203)/$T203)-MAX(0,-INT(-(K$6-$S203)/$T203))+1),0)</f>
        <v>0.0</v>
      </c>
      <c r="L203" s="97">
        <f>IF(ISNUMBER($S203),MAX(0,INT((L$6+6-$S203)/$T203)-MAX(0,-INT(-(L$6-$S203)/$T203))+1),0)</f>
        <v>0.0</v>
      </c>
      <c r="M203" s="97">
        <f>IF(ISNUMBER($S203),MAX(0,INT((M$6+6-$S203)/$T203)-MAX(0,-INT(-(M$6-$S203)/$T203))+1),0)</f>
        <v>0.0</v>
      </c>
      <c r="N203" s="97">
        <f>IF(ISNUMBER($S203),MAX(0,INT((N$6+6-$S203)/$T203)-MAX(0,-INT(-(N$6-$S203)/$T203))+1),0)</f>
        <v>0.0</v>
      </c>
      <c r="O203" s="97">
        <f>IF(ISNUMBER($S203),MAX(0,INT((O$6+6-$S203)/$T203)-MAX(0,-INT(-(O$6-$S203)/$T203))+1),0)</f>
        <v>0.0</v>
      </c>
      <c r="P203" s="97">
        <f>IF(ISNUMBER($S203),MAX(0,INT((P$6+6-$S203)/$T203)-MAX(0,-INT(-(P$6-$S203)/$T203))+1),0)</f>
        <v>0.0</v>
      </c>
      <c r="Q203" s="97">
        <f>IF(ISNUMBER($S203),MAX(0,INT((Q$6+6-$S203)/$T203)-MAX(0,-INT(-(Q$6-$S203)/$T203))+1),0)</f>
        <v>0.0</v>
      </c>
      <c r="R203" s="97">
        <f>IF(ISNUMBER($S203),MAX(0,INT((R$6+6-$S203)/$T203)-MAX(0,-INT(-(R$6-$S203)/$T203))+1),0)</f>
        <v>0.0</v>
      </c>
      <c r="S203" t="str">
        <f>IF(ISNUMBER(INDEX(pl_period,194)),MAX(INDEX(pl_due,194),p_today),"")</f>
        <v/>
      </c>
      <c r="T203" t="str">
        <f>IF(ISNUMBER(INDEX(pl_period,194)),INDEX(pl_period,194),"")</f>
        <v/>
      </c>
      <c r="U203">
        <f>N(INDEX(pl_dur,194))</f>
        <v>0.0</v>
      </c>
    </row>
    <row r="204">
      <c r="A204" s="93" t="str">
        <f>IF(INDEX(pl_status,195)="","",INDEX(pl_num,195)&amp;"")</f>
        <v/>
      </c>
      <c r="B204" s="93" t="str">
        <f>IF(INDEX(pl_status,195)="","",INDEX(pl_eq,195)&amp;"")</f>
        <v/>
      </c>
      <c r="C204" s="93" t="str">
        <f>IF(INDEX(pl_status,195)="","",INDEX(pl_task,195)&amp;"")</f>
        <v/>
      </c>
      <c r="D204" s="94" t="str">
        <f>IF(ISNUMBER(INDEX(pl_due,195)),INDEX(pl_due,195),"")</f>
        <v/>
      </c>
      <c r="E204" s="95" t="str">
        <f>INDEX(pl_status,195)&amp;""</f>
        <v/>
      </c>
      <c r="F204" s="96" t="str">
        <f>IF(E204="En retard","●","")</f>
        <v/>
      </c>
      <c r="G204" s="97">
        <f>IF(ISNUMBER($S204),MAX(0,INT((G$6+6-$S204)/$T204)-MAX(0,-INT(-(G$6-$S204)/$T204))+1),0)</f>
        <v>0.0</v>
      </c>
      <c r="H204" s="97">
        <f>IF(ISNUMBER($S204),MAX(0,INT((H$6+6-$S204)/$T204)-MAX(0,-INT(-(H$6-$S204)/$T204))+1),0)</f>
        <v>0.0</v>
      </c>
      <c r="I204" s="97">
        <f>IF(ISNUMBER($S204),MAX(0,INT((I$6+6-$S204)/$T204)-MAX(0,-INT(-(I$6-$S204)/$T204))+1),0)</f>
        <v>0.0</v>
      </c>
      <c r="J204" s="97">
        <f>IF(ISNUMBER($S204),MAX(0,INT((J$6+6-$S204)/$T204)-MAX(0,-INT(-(J$6-$S204)/$T204))+1),0)</f>
        <v>0.0</v>
      </c>
      <c r="K204" s="97">
        <f>IF(ISNUMBER($S204),MAX(0,INT((K$6+6-$S204)/$T204)-MAX(0,-INT(-(K$6-$S204)/$T204))+1),0)</f>
        <v>0.0</v>
      </c>
      <c r="L204" s="97">
        <f>IF(ISNUMBER($S204),MAX(0,INT((L$6+6-$S204)/$T204)-MAX(0,-INT(-(L$6-$S204)/$T204))+1),0)</f>
        <v>0.0</v>
      </c>
      <c r="M204" s="97">
        <f>IF(ISNUMBER($S204),MAX(0,INT((M$6+6-$S204)/$T204)-MAX(0,-INT(-(M$6-$S204)/$T204))+1),0)</f>
        <v>0.0</v>
      </c>
      <c r="N204" s="97">
        <f>IF(ISNUMBER($S204),MAX(0,INT((N$6+6-$S204)/$T204)-MAX(0,-INT(-(N$6-$S204)/$T204))+1),0)</f>
        <v>0.0</v>
      </c>
      <c r="O204" s="97">
        <f>IF(ISNUMBER($S204),MAX(0,INT((O$6+6-$S204)/$T204)-MAX(0,-INT(-(O$6-$S204)/$T204))+1),0)</f>
        <v>0.0</v>
      </c>
      <c r="P204" s="97">
        <f>IF(ISNUMBER($S204),MAX(0,INT((P$6+6-$S204)/$T204)-MAX(0,-INT(-(P$6-$S204)/$T204))+1),0)</f>
        <v>0.0</v>
      </c>
      <c r="Q204" s="97">
        <f>IF(ISNUMBER($S204),MAX(0,INT((Q$6+6-$S204)/$T204)-MAX(0,-INT(-(Q$6-$S204)/$T204))+1),0)</f>
        <v>0.0</v>
      </c>
      <c r="R204" s="97">
        <f>IF(ISNUMBER($S204),MAX(0,INT((R$6+6-$S204)/$T204)-MAX(0,-INT(-(R$6-$S204)/$T204))+1),0)</f>
        <v>0.0</v>
      </c>
      <c r="S204" t="str">
        <f>IF(ISNUMBER(INDEX(pl_period,195)),MAX(INDEX(pl_due,195),p_today),"")</f>
        <v/>
      </c>
      <c r="T204" t="str">
        <f>IF(ISNUMBER(INDEX(pl_period,195)),INDEX(pl_period,195),"")</f>
        <v/>
      </c>
      <c r="U204">
        <f>N(INDEX(pl_dur,195))</f>
        <v>0.0</v>
      </c>
    </row>
    <row r="205">
      <c r="A205" s="93" t="str">
        <f>IF(INDEX(pl_status,196)="","",INDEX(pl_num,196)&amp;"")</f>
        <v/>
      </c>
      <c r="B205" s="93" t="str">
        <f>IF(INDEX(pl_status,196)="","",INDEX(pl_eq,196)&amp;"")</f>
        <v/>
      </c>
      <c r="C205" s="93" t="str">
        <f>IF(INDEX(pl_status,196)="","",INDEX(pl_task,196)&amp;"")</f>
        <v/>
      </c>
      <c r="D205" s="94" t="str">
        <f>IF(ISNUMBER(INDEX(pl_due,196)),INDEX(pl_due,196),"")</f>
        <v/>
      </c>
      <c r="E205" s="95" t="str">
        <f>INDEX(pl_status,196)&amp;""</f>
        <v/>
      </c>
      <c r="F205" s="96" t="str">
        <f>IF(E205="En retard","●","")</f>
        <v/>
      </c>
      <c r="G205" s="97">
        <f>IF(ISNUMBER($S205),MAX(0,INT((G$6+6-$S205)/$T205)-MAX(0,-INT(-(G$6-$S205)/$T205))+1),0)</f>
        <v>0.0</v>
      </c>
      <c r="H205" s="97">
        <f>IF(ISNUMBER($S205),MAX(0,INT((H$6+6-$S205)/$T205)-MAX(0,-INT(-(H$6-$S205)/$T205))+1),0)</f>
        <v>0.0</v>
      </c>
      <c r="I205" s="97">
        <f>IF(ISNUMBER($S205),MAX(0,INT((I$6+6-$S205)/$T205)-MAX(0,-INT(-(I$6-$S205)/$T205))+1),0)</f>
        <v>0.0</v>
      </c>
      <c r="J205" s="97">
        <f>IF(ISNUMBER($S205),MAX(0,INT((J$6+6-$S205)/$T205)-MAX(0,-INT(-(J$6-$S205)/$T205))+1),0)</f>
        <v>0.0</v>
      </c>
      <c r="K205" s="97">
        <f>IF(ISNUMBER($S205),MAX(0,INT((K$6+6-$S205)/$T205)-MAX(0,-INT(-(K$6-$S205)/$T205))+1),0)</f>
        <v>0.0</v>
      </c>
      <c r="L205" s="97">
        <f>IF(ISNUMBER($S205),MAX(0,INT((L$6+6-$S205)/$T205)-MAX(0,-INT(-(L$6-$S205)/$T205))+1),0)</f>
        <v>0.0</v>
      </c>
      <c r="M205" s="97">
        <f>IF(ISNUMBER($S205),MAX(0,INT((M$6+6-$S205)/$T205)-MAX(0,-INT(-(M$6-$S205)/$T205))+1),0)</f>
        <v>0.0</v>
      </c>
      <c r="N205" s="97">
        <f>IF(ISNUMBER($S205),MAX(0,INT((N$6+6-$S205)/$T205)-MAX(0,-INT(-(N$6-$S205)/$T205))+1),0)</f>
        <v>0.0</v>
      </c>
      <c r="O205" s="97">
        <f>IF(ISNUMBER($S205),MAX(0,INT((O$6+6-$S205)/$T205)-MAX(0,-INT(-(O$6-$S205)/$T205))+1),0)</f>
        <v>0.0</v>
      </c>
      <c r="P205" s="97">
        <f>IF(ISNUMBER($S205),MAX(0,INT((P$6+6-$S205)/$T205)-MAX(0,-INT(-(P$6-$S205)/$T205))+1),0)</f>
        <v>0.0</v>
      </c>
      <c r="Q205" s="97">
        <f>IF(ISNUMBER($S205),MAX(0,INT((Q$6+6-$S205)/$T205)-MAX(0,-INT(-(Q$6-$S205)/$T205))+1),0)</f>
        <v>0.0</v>
      </c>
      <c r="R205" s="97">
        <f>IF(ISNUMBER($S205),MAX(0,INT((R$6+6-$S205)/$T205)-MAX(0,-INT(-(R$6-$S205)/$T205))+1),0)</f>
        <v>0.0</v>
      </c>
      <c r="S205" t="str">
        <f>IF(ISNUMBER(INDEX(pl_period,196)),MAX(INDEX(pl_due,196),p_today),"")</f>
        <v/>
      </c>
      <c r="T205" t="str">
        <f>IF(ISNUMBER(INDEX(pl_period,196)),INDEX(pl_period,196),"")</f>
        <v/>
      </c>
      <c r="U205">
        <f>N(INDEX(pl_dur,196))</f>
        <v>0.0</v>
      </c>
    </row>
    <row r="206">
      <c r="A206" s="93" t="str">
        <f>IF(INDEX(pl_status,197)="","",INDEX(pl_num,197)&amp;"")</f>
        <v/>
      </c>
      <c r="B206" s="93" t="str">
        <f>IF(INDEX(pl_status,197)="","",INDEX(pl_eq,197)&amp;"")</f>
        <v/>
      </c>
      <c r="C206" s="93" t="str">
        <f>IF(INDEX(pl_status,197)="","",INDEX(pl_task,197)&amp;"")</f>
        <v/>
      </c>
      <c r="D206" s="94" t="str">
        <f>IF(ISNUMBER(INDEX(pl_due,197)),INDEX(pl_due,197),"")</f>
        <v/>
      </c>
      <c r="E206" s="95" t="str">
        <f>INDEX(pl_status,197)&amp;""</f>
        <v/>
      </c>
      <c r="F206" s="96" t="str">
        <f>IF(E206="En retard","●","")</f>
        <v/>
      </c>
      <c r="G206" s="97">
        <f>IF(ISNUMBER($S206),MAX(0,INT((G$6+6-$S206)/$T206)-MAX(0,-INT(-(G$6-$S206)/$T206))+1),0)</f>
        <v>0.0</v>
      </c>
      <c r="H206" s="97">
        <f>IF(ISNUMBER($S206),MAX(0,INT((H$6+6-$S206)/$T206)-MAX(0,-INT(-(H$6-$S206)/$T206))+1),0)</f>
        <v>0.0</v>
      </c>
      <c r="I206" s="97">
        <f>IF(ISNUMBER($S206),MAX(0,INT((I$6+6-$S206)/$T206)-MAX(0,-INT(-(I$6-$S206)/$T206))+1),0)</f>
        <v>0.0</v>
      </c>
      <c r="J206" s="97">
        <f>IF(ISNUMBER($S206),MAX(0,INT((J$6+6-$S206)/$T206)-MAX(0,-INT(-(J$6-$S206)/$T206))+1),0)</f>
        <v>0.0</v>
      </c>
      <c r="K206" s="97">
        <f>IF(ISNUMBER($S206),MAX(0,INT((K$6+6-$S206)/$T206)-MAX(0,-INT(-(K$6-$S206)/$T206))+1),0)</f>
        <v>0.0</v>
      </c>
      <c r="L206" s="97">
        <f>IF(ISNUMBER($S206),MAX(0,INT((L$6+6-$S206)/$T206)-MAX(0,-INT(-(L$6-$S206)/$T206))+1),0)</f>
        <v>0.0</v>
      </c>
      <c r="M206" s="97">
        <f>IF(ISNUMBER($S206),MAX(0,INT((M$6+6-$S206)/$T206)-MAX(0,-INT(-(M$6-$S206)/$T206))+1),0)</f>
        <v>0.0</v>
      </c>
      <c r="N206" s="97">
        <f>IF(ISNUMBER($S206),MAX(0,INT((N$6+6-$S206)/$T206)-MAX(0,-INT(-(N$6-$S206)/$T206))+1),0)</f>
        <v>0.0</v>
      </c>
      <c r="O206" s="97">
        <f>IF(ISNUMBER($S206),MAX(0,INT((O$6+6-$S206)/$T206)-MAX(0,-INT(-(O$6-$S206)/$T206))+1),0)</f>
        <v>0.0</v>
      </c>
      <c r="P206" s="97">
        <f>IF(ISNUMBER($S206),MAX(0,INT((P$6+6-$S206)/$T206)-MAX(0,-INT(-(P$6-$S206)/$T206))+1),0)</f>
        <v>0.0</v>
      </c>
      <c r="Q206" s="97">
        <f>IF(ISNUMBER($S206),MAX(0,INT((Q$6+6-$S206)/$T206)-MAX(0,-INT(-(Q$6-$S206)/$T206))+1),0)</f>
        <v>0.0</v>
      </c>
      <c r="R206" s="97">
        <f>IF(ISNUMBER($S206),MAX(0,INT((R$6+6-$S206)/$T206)-MAX(0,-INT(-(R$6-$S206)/$T206))+1),0)</f>
        <v>0.0</v>
      </c>
      <c r="S206" t="str">
        <f>IF(ISNUMBER(INDEX(pl_period,197)),MAX(INDEX(pl_due,197),p_today),"")</f>
        <v/>
      </c>
      <c r="T206" t="str">
        <f>IF(ISNUMBER(INDEX(pl_period,197)),INDEX(pl_period,197),"")</f>
        <v/>
      </c>
      <c r="U206">
        <f>N(INDEX(pl_dur,197))</f>
        <v>0.0</v>
      </c>
    </row>
    <row r="207">
      <c r="A207" s="93" t="str">
        <f>IF(INDEX(pl_status,198)="","",INDEX(pl_num,198)&amp;"")</f>
        <v/>
      </c>
      <c r="B207" s="93" t="str">
        <f>IF(INDEX(pl_status,198)="","",INDEX(pl_eq,198)&amp;"")</f>
        <v/>
      </c>
      <c r="C207" s="93" t="str">
        <f>IF(INDEX(pl_status,198)="","",INDEX(pl_task,198)&amp;"")</f>
        <v/>
      </c>
      <c r="D207" s="94" t="str">
        <f>IF(ISNUMBER(INDEX(pl_due,198)),INDEX(pl_due,198),"")</f>
        <v/>
      </c>
      <c r="E207" s="95" t="str">
        <f>INDEX(pl_status,198)&amp;""</f>
        <v/>
      </c>
      <c r="F207" s="96" t="str">
        <f>IF(E207="En retard","●","")</f>
        <v/>
      </c>
      <c r="G207" s="97">
        <f>IF(ISNUMBER($S207),MAX(0,INT((G$6+6-$S207)/$T207)-MAX(0,-INT(-(G$6-$S207)/$T207))+1),0)</f>
        <v>0.0</v>
      </c>
      <c r="H207" s="97">
        <f>IF(ISNUMBER($S207),MAX(0,INT((H$6+6-$S207)/$T207)-MAX(0,-INT(-(H$6-$S207)/$T207))+1),0)</f>
        <v>0.0</v>
      </c>
      <c r="I207" s="97">
        <f>IF(ISNUMBER($S207),MAX(0,INT((I$6+6-$S207)/$T207)-MAX(0,-INT(-(I$6-$S207)/$T207))+1),0)</f>
        <v>0.0</v>
      </c>
      <c r="J207" s="97">
        <f>IF(ISNUMBER($S207),MAX(0,INT((J$6+6-$S207)/$T207)-MAX(0,-INT(-(J$6-$S207)/$T207))+1),0)</f>
        <v>0.0</v>
      </c>
      <c r="K207" s="97">
        <f>IF(ISNUMBER($S207),MAX(0,INT((K$6+6-$S207)/$T207)-MAX(0,-INT(-(K$6-$S207)/$T207))+1),0)</f>
        <v>0.0</v>
      </c>
      <c r="L207" s="97">
        <f>IF(ISNUMBER($S207),MAX(0,INT((L$6+6-$S207)/$T207)-MAX(0,-INT(-(L$6-$S207)/$T207))+1),0)</f>
        <v>0.0</v>
      </c>
      <c r="M207" s="97">
        <f>IF(ISNUMBER($S207),MAX(0,INT((M$6+6-$S207)/$T207)-MAX(0,-INT(-(M$6-$S207)/$T207))+1),0)</f>
        <v>0.0</v>
      </c>
      <c r="N207" s="97">
        <f>IF(ISNUMBER($S207),MAX(0,INT((N$6+6-$S207)/$T207)-MAX(0,-INT(-(N$6-$S207)/$T207))+1),0)</f>
        <v>0.0</v>
      </c>
      <c r="O207" s="97">
        <f>IF(ISNUMBER($S207),MAX(0,INT((O$6+6-$S207)/$T207)-MAX(0,-INT(-(O$6-$S207)/$T207))+1),0)</f>
        <v>0.0</v>
      </c>
      <c r="P207" s="97">
        <f>IF(ISNUMBER($S207),MAX(0,INT((P$6+6-$S207)/$T207)-MAX(0,-INT(-(P$6-$S207)/$T207))+1),0)</f>
        <v>0.0</v>
      </c>
      <c r="Q207" s="97">
        <f>IF(ISNUMBER($S207),MAX(0,INT((Q$6+6-$S207)/$T207)-MAX(0,-INT(-(Q$6-$S207)/$T207))+1),0)</f>
        <v>0.0</v>
      </c>
      <c r="R207" s="97">
        <f>IF(ISNUMBER($S207),MAX(0,INT((R$6+6-$S207)/$T207)-MAX(0,-INT(-(R$6-$S207)/$T207))+1),0)</f>
        <v>0.0</v>
      </c>
      <c r="S207" t="str">
        <f>IF(ISNUMBER(INDEX(pl_period,198)),MAX(INDEX(pl_due,198),p_today),"")</f>
        <v/>
      </c>
      <c r="T207" t="str">
        <f>IF(ISNUMBER(INDEX(pl_period,198)),INDEX(pl_period,198),"")</f>
        <v/>
      </c>
      <c r="U207">
        <f>N(INDEX(pl_dur,198))</f>
        <v>0.0</v>
      </c>
    </row>
    <row r="208">
      <c r="A208" s="93" t="str">
        <f>IF(INDEX(pl_status,199)="","",INDEX(pl_num,199)&amp;"")</f>
        <v/>
      </c>
      <c r="B208" s="93" t="str">
        <f>IF(INDEX(pl_status,199)="","",INDEX(pl_eq,199)&amp;"")</f>
        <v/>
      </c>
      <c r="C208" s="93" t="str">
        <f>IF(INDEX(pl_status,199)="","",INDEX(pl_task,199)&amp;"")</f>
        <v/>
      </c>
      <c r="D208" s="94" t="str">
        <f>IF(ISNUMBER(INDEX(pl_due,199)),INDEX(pl_due,199),"")</f>
        <v/>
      </c>
      <c r="E208" s="95" t="str">
        <f>INDEX(pl_status,199)&amp;""</f>
        <v/>
      </c>
      <c r="F208" s="96" t="str">
        <f>IF(E208="En retard","●","")</f>
        <v/>
      </c>
      <c r="G208" s="97">
        <f>IF(ISNUMBER($S208),MAX(0,INT((G$6+6-$S208)/$T208)-MAX(0,-INT(-(G$6-$S208)/$T208))+1),0)</f>
        <v>0.0</v>
      </c>
      <c r="H208" s="97">
        <f>IF(ISNUMBER($S208),MAX(0,INT((H$6+6-$S208)/$T208)-MAX(0,-INT(-(H$6-$S208)/$T208))+1),0)</f>
        <v>0.0</v>
      </c>
      <c r="I208" s="97">
        <f>IF(ISNUMBER($S208),MAX(0,INT((I$6+6-$S208)/$T208)-MAX(0,-INT(-(I$6-$S208)/$T208))+1),0)</f>
        <v>0.0</v>
      </c>
      <c r="J208" s="97">
        <f>IF(ISNUMBER($S208),MAX(0,INT((J$6+6-$S208)/$T208)-MAX(0,-INT(-(J$6-$S208)/$T208))+1),0)</f>
        <v>0.0</v>
      </c>
      <c r="K208" s="97">
        <f>IF(ISNUMBER($S208),MAX(0,INT((K$6+6-$S208)/$T208)-MAX(0,-INT(-(K$6-$S208)/$T208))+1),0)</f>
        <v>0.0</v>
      </c>
      <c r="L208" s="97">
        <f>IF(ISNUMBER($S208),MAX(0,INT((L$6+6-$S208)/$T208)-MAX(0,-INT(-(L$6-$S208)/$T208))+1),0)</f>
        <v>0.0</v>
      </c>
      <c r="M208" s="97">
        <f>IF(ISNUMBER($S208),MAX(0,INT((M$6+6-$S208)/$T208)-MAX(0,-INT(-(M$6-$S208)/$T208))+1),0)</f>
        <v>0.0</v>
      </c>
      <c r="N208" s="97">
        <f>IF(ISNUMBER($S208),MAX(0,INT((N$6+6-$S208)/$T208)-MAX(0,-INT(-(N$6-$S208)/$T208))+1),0)</f>
        <v>0.0</v>
      </c>
      <c r="O208" s="97">
        <f>IF(ISNUMBER($S208),MAX(0,INT((O$6+6-$S208)/$T208)-MAX(0,-INT(-(O$6-$S208)/$T208))+1),0)</f>
        <v>0.0</v>
      </c>
      <c r="P208" s="97">
        <f>IF(ISNUMBER($S208),MAX(0,INT((P$6+6-$S208)/$T208)-MAX(0,-INT(-(P$6-$S208)/$T208))+1),0)</f>
        <v>0.0</v>
      </c>
      <c r="Q208" s="97">
        <f>IF(ISNUMBER($S208),MAX(0,INT((Q$6+6-$S208)/$T208)-MAX(0,-INT(-(Q$6-$S208)/$T208))+1),0)</f>
        <v>0.0</v>
      </c>
      <c r="R208" s="97">
        <f>IF(ISNUMBER($S208),MAX(0,INT((R$6+6-$S208)/$T208)-MAX(0,-INT(-(R$6-$S208)/$T208))+1),0)</f>
        <v>0.0</v>
      </c>
      <c r="S208" t="str">
        <f>IF(ISNUMBER(INDEX(pl_period,199)),MAX(INDEX(pl_due,199),p_today),"")</f>
        <v/>
      </c>
      <c r="T208" t="str">
        <f>IF(ISNUMBER(INDEX(pl_period,199)),INDEX(pl_period,199),"")</f>
        <v/>
      </c>
      <c r="U208">
        <f>N(INDEX(pl_dur,199))</f>
        <v>0.0</v>
      </c>
    </row>
    <row r="209">
      <c r="A209" s="93" t="str">
        <f>IF(INDEX(pl_status,200)="","",INDEX(pl_num,200)&amp;"")</f>
        <v/>
      </c>
      <c r="B209" s="93" t="str">
        <f>IF(INDEX(pl_status,200)="","",INDEX(pl_eq,200)&amp;"")</f>
        <v/>
      </c>
      <c r="C209" s="93" t="str">
        <f>IF(INDEX(pl_status,200)="","",INDEX(pl_task,200)&amp;"")</f>
        <v/>
      </c>
      <c r="D209" s="94" t="str">
        <f>IF(ISNUMBER(INDEX(pl_due,200)),INDEX(pl_due,200),"")</f>
        <v/>
      </c>
      <c r="E209" s="95" t="str">
        <f>INDEX(pl_status,200)&amp;""</f>
        <v/>
      </c>
      <c r="F209" s="96" t="str">
        <f>IF(E209="En retard","●","")</f>
        <v/>
      </c>
      <c r="G209" s="97">
        <f>IF(ISNUMBER($S209),MAX(0,INT((G$6+6-$S209)/$T209)-MAX(0,-INT(-(G$6-$S209)/$T209))+1),0)</f>
        <v>0.0</v>
      </c>
      <c r="H209" s="97">
        <f>IF(ISNUMBER($S209),MAX(0,INT((H$6+6-$S209)/$T209)-MAX(0,-INT(-(H$6-$S209)/$T209))+1),0)</f>
        <v>0.0</v>
      </c>
      <c r="I209" s="97">
        <f>IF(ISNUMBER($S209),MAX(0,INT((I$6+6-$S209)/$T209)-MAX(0,-INT(-(I$6-$S209)/$T209))+1),0)</f>
        <v>0.0</v>
      </c>
      <c r="J209" s="97">
        <f>IF(ISNUMBER($S209),MAX(0,INT((J$6+6-$S209)/$T209)-MAX(0,-INT(-(J$6-$S209)/$T209))+1),0)</f>
        <v>0.0</v>
      </c>
      <c r="K209" s="97">
        <f>IF(ISNUMBER($S209),MAX(0,INT((K$6+6-$S209)/$T209)-MAX(0,-INT(-(K$6-$S209)/$T209))+1),0)</f>
        <v>0.0</v>
      </c>
      <c r="L209" s="97">
        <f>IF(ISNUMBER($S209),MAX(0,INT((L$6+6-$S209)/$T209)-MAX(0,-INT(-(L$6-$S209)/$T209))+1),0)</f>
        <v>0.0</v>
      </c>
      <c r="M209" s="97">
        <f>IF(ISNUMBER($S209),MAX(0,INT((M$6+6-$S209)/$T209)-MAX(0,-INT(-(M$6-$S209)/$T209))+1),0)</f>
        <v>0.0</v>
      </c>
      <c r="N209" s="97">
        <f>IF(ISNUMBER($S209),MAX(0,INT((N$6+6-$S209)/$T209)-MAX(0,-INT(-(N$6-$S209)/$T209))+1),0)</f>
        <v>0.0</v>
      </c>
      <c r="O209" s="97">
        <f>IF(ISNUMBER($S209),MAX(0,INT((O$6+6-$S209)/$T209)-MAX(0,-INT(-(O$6-$S209)/$T209))+1),0)</f>
        <v>0.0</v>
      </c>
      <c r="P209" s="97">
        <f>IF(ISNUMBER($S209),MAX(0,INT((P$6+6-$S209)/$T209)-MAX(0,-INT(-(P$6-$S209)/$T209))+1),0)</f>
        <v>0.0</v>
      </c>
      <c r="Q209" s="97">
        <f>IF(ISNUMBER($S209),MAX(0,INT((Q$6+6-$S209)/$T209)-MAX(0,-INT(-(Q$6-$S209)/$T209))+1),0)</f>
        <v>0.0</v>
      </c>
      <c r="R209" s="97">
        <f>IF(ISNUMBER($S209),MAX(0,INT((R$6+6-$S209)/$T209)-MAX(0,-INT(-(R$6-$S209)/$T209))+1),0)</f>
        <v>0.0</v>
      </c>
      <c r="S209" t="str">
        <f>IF(ISNUMBER(INDEX(pl_period,200)),MAX(INDEX(pl_due,200),p_today),"")</f>
        <v/>
      </c>
      <c r="T209" t="str">
        <f>IF(ISNUMBER(INDEX(pl_period,200)),INDEX(pl_period,200),"")</f>
        <v/>
      </c>
      <c r="U209">
        <f>N(INDEX(pl_dur,200))</f>
        <v>0.0</v>
      </c>
    </row>
    <row r="210">
      <c r="A210" s="93" t="str">
        <f>IF(INDEX(pl_status,201)="","",INDEX(pl_num,201)&amp;"")</f>
        <v/>
      </c>
      <c r="B210" s="93" t="str">
        <f>IF(INDEX(pl_status,201)="","",INDEX(pl_eq,201)&amp;"")</f>
        <v/>
      </c>
      <c r="C210" s="93" t="str">
        <f>IF(INDEX(pl_status,201)="","",INDEX(pl_task,201)&amp;"")</f>
        <v/>
      </c>
      <c r="D210" s="94" t="str">
        <f>IF(ISNUMBER(INDEX(pl_due,201)),INDEX(pl_due,201),"")</f>
        <v/>
      </c>
      <c r="E210" s="95" t="str">
        <f>INDEX(pl_status,201)&amp;""</f>
        <v/>
      </c>
      <c r="F210" s="96" t="str">
        <f>IF(E210="En retard","●","")</f>
        <v/>
      </c>
      <c r="G210" s="97">
        <f>IF(ISNUMBER($S210),MAX(0,INT((G$6+6-$S210)/$T210)-MAX(0,-INT(-(G$6-$S210)/$T210))+1),0)</f>
        <v>0.0</v>
      </c>
      <c r="H210" s="97">
        <f>IF(ISNUMBER($S210),MAX(0,INT((H$6+6-$S210)/$T210)-MAX(0,-INT(-(H$6-$S210)/$T210))+1),0)</f>
        <v>0.0</v>
      </c>
      <c r="I210" s="97">
        <f>IF(ISNUMBER($S210),MAX(0,INT((I$6+6-$S210)/$T210)-MAX(0,-INT(-(I$6-$S210)/$T210))+1),0)</f>
        <v>0.0</v>
      </c>
      <c r="J210" s="97">
        <f>IF(ISNUMBER($S210),MAX(0,INT((J$6+6-$S210)/$T210)-MAX(0,-INT(-(J$6-$S210)/$T210))+1),0)</f>
        <v>0.0</v>
      </c>
      <c r="K210" s="97">
        <f>IF(ISNUMBER($S210),MAX(0,INT((K$6+6-$S210)/$T210)-MAX(0,-INT(-(K$6-$S210)/$T210))+1),0)</f>
        <v>0.0</v>
      </c>
      <c r="L210" s="97">
        <f>IF(ISNUMBER($S210),MAX(0,INT((L$6+6-$S210)/$T210)-MAX(0,-INT(-(L$6-$S210)/$T210))+1),0)</f>
        <v>0.0</v>
      </c>
      <c r="M210" s="97">
        <f>IF(ISNUMBER($S210),MAX(0,INT((M$6+6-$S210)/$T210)-MAX(0,-INT(-(M$6-$S210)/$T210))+1),0)</f>
        <v>0.0</v>
      </c>
      <c r="N210" s="97">
        <f>IF(ISNUMBER($S210),MAX(0,INT((N$6+6-$S210)/$T210)-MAX(0,-INT(-(N$6-$S210)/$T210))+1),0)</f>
        <v>0.0</v>
      </c>
      <c r="O210" s="97">
        <f>IF(ISNUMBER($S210),MAX(0,INT((O$6+6-$S210)/$T210)-MAX(0,-INT(-(O$6-$S210)/$T210))+1),0)</f>
        <v>0.0</v>
      </c>
      <c r="P210" s="97">
        <f>IF(ISNUMBER($S210),MAX(0,INT((P$6+6-$S210)/$T210)-MAX(0,-INT(-(P$6-$S210)/$T210))+1),0)</f>
        <v>0.0</v>
      </c>
      <c r="Q210" s="97">
        <f>IF(ISNUMBER($S210),MAX(0,INT((Q$6+6-$S210)/$T210)-MAX(0,-INT(-(Q$6-$S210)/$T210))+1),0)</f>
        <v>0.0</v>
      </c>
      <c r="R210" s="97">
        <f>IF(ISNUMBER($S210),MAX(0,INT((R$6+6-$S210)/$T210)-MAX(0,-INT(-(R$6-$S210)/$T210))+1),0)</f>
        <v>0.0</v>
      </c>
      <c r="S210" t="str">
        <f>IF(ISNUMBER(INDEX(pl_period,201)),MAX(INDEX(pl_due,201),p_today),"")</f>
        <v/>
      </c>
      <c r="T210" t="str">
        <f>IF(ISNUMBER(INDEX(pl_period,201)),INDEX(pl_period,201),"")</f>
        <v/>
      </c>
      <c r="U210">
        <f>N(INDEX(pl_dur,201))</f>
        <v>0.0</v>
      </c>
    </row>
    <row r="211">
      <c r="A211" s="93" t="str">
        <f>IF(INDEX(pl_status,202)="","",INDEX(pl_num,202)&amp;"")</f>
        <v/>
      </c>
      <c r="B211" s="93" t="str">
        <f>IF(INDEX(pl_status,202)="","",INDEX(pl_eq,202)&amp;"")</f>
        <v/>
      </c>
      <c r="C211" s="93" t="str">
        <f>IF(INDEX(pl_status,202)="","",INDEX(pl_task,202)&amp;"")</f>
        <v/>
      </c>
      <c r="D211" s="94" t="str">
        <f>IF(ISNUMBER(INDEX(pl_due,202)),INDEX(pl_due,202),"")</f>
        <v/>
      </c>
      <c r="E211" s="95" t="str">
        <f>INDEX(pl_status,202)&amp;""</f>
        <v/>
      </c>
      <c r="F211" s="96" t="str">
        <f>IF(E211="En retard","●","")</f>
        <v/>
      </c>
      <c r="G211" s="97">
        <f>IF(ISNUMBER($S211),MAX(0,INT((G$6+6-$S211)/$T211)-MAX(0,-INT(-(G$6-$S211)/$T211))+1),0)</f>
        <v>0.0</v>
      </c>
      <c r="H211" s="97">
        <f>IF(ISNUMBER($S211),MAX(0,INT((H$6+6-$S211)/$T211)-MAX(0,-INT(-(H$6-$S211)/$T211))+1),0)</f>
        <v>0.0</v>
      </c>
      <c r="I211" s="97">
        <f>IF(ISNUMBER($S211),MAX(0,INT((I$6+6-$S211)/$T211)-MAX(0,-INT(-(I$6-$S211)/$T211))+1),0)</f>
        <v>0.0</v>
      </c>
      <c r="J211" s="97">
        <f>IF(ISNUMBER($S211),MAX(0,INT((J$6+6-$S211)/$T211)-MAX(0,-INT(-(J$6-$S211)/$T211))+1),0)</f>
        <v>0.0</v>
      </c>
      <c r="K211" s="97">
        <f>IF(ISNUMBER($S211),MAX(0,INT((K$6+6-$S211)/$T211)-MAX(0,-INT(-(K$6-$S211)/$T211))+1),0)</f>
        <v>0.0</v>
      </c>
      <c r="L211" s="97">
        <f>IF(ISNUMBER($S211),MAX(0,INT((L$6+6-$S211)/$T211)-MAX(0,-INT(-(L$6-$S211)/$T211))+1),0)</f>
        <v>0.0</v>
      </c>
      <c r="M211" s="97">
        <f>IF(ISNUMBER($S211),MAX(0,INT((M$6+6-$S211)/$T211)-MAX(0,-INT(-(M$6-$S211)/$T211))+1),0)</f>
        <v>0.0</v>
      </c>
      <c r="N211" s="97">
        <f>IF(ISNUMBER($S211),MAX(0,INT((N$6+6-$S211)/$T211)-MAX(0,-INT(-(N$6-$S211)/$T211))+1),0)</f>
        <v>0.0</v>
      </c>
      <c r="O211" s="97">
        <f>IF(ISNUMBER($S211),MAX(0,INT((O$6+6-$S211)/$T211)-MAX(0,-INT(-(O$6-$S211)/$T211))+1),0)</f>
        <v>0.0</v>
      </c>
      <c r="P211" s="97">
        <f>IF(ISNUMBER($S211),MAX(0,INT((P$6+6-$S211)/$T211)-MAX(0,-INT(-(P$6-$S211)/$T211))+1),0)</f>
        <v>0.0</v>
      </c>
      <c r="Q211" s="97">
        <f>IF(ISNUMBER($S211),MAX(0,INT((Q$6+6-$S211)/$T211)-MAX(0,-INT(-(Q$6-$S211)/$T211))+1),0)</f>
        <v>0.0</v>
      </c>
      <c r="R211" s="97">
        <f>IF(ISNUMBER($S211),MAX(0,INT((R$6+6-$S211)/$T211)-MAX(0,-INT(-(R$6-$S211)/$T211))+1),0)</f>
        <v>0.0</v>
      </c>
      <c r="S211" t="str">
        <f>IF(ISNUMBER(INDEX(pl_period,202)),MAX(INDEX(pl_due,202),p_today),"")</f>
        <v/>
      </c>
      <c r="T211" t="str">
        <f>IF(ISNUMBER(INDEX(pl_period,202)),INDEX(pl_period,202),"")</f>
        <v/>
      </c>
      <c r="U211">
        <f>N(INDEX(pl_dur,202))</f>
        <v>0.0</v>
      </c>
    </row>
    <row r="212">
      <c r="A212" s="93" t="str">
        <f>IF(INDEX(pl_status,203)="","",INDEX(pl_num,203)&amp;"")</f>
        <v/>
      </c>
      <c r="B212" s="93" t="str">
        <f>IF(INDEX(pl_status,203)="","",INDEX(pl_eq,203)&amp;"")</f>
        <v/>
      </c>
      <c r="C212" s="93" t="str">
        <f>IF(INDEX(pl_status,203)="","",INDEX(pl_task,203)&amp;"")</f>
        <v/>
      </c>
      <c r="D212" s="94" t="str">
        <f>IF(ISNUMBER(INDEX(pl_due,203)),INDEX(pl_due,203),"")</f>
        <v/>
      </c>
      <c r="E212" s="95" t="str">
        <f>INDEX(pl_status,203)&amp;""</f>
        <v/>
      </c>
      <c r="F212" s="96" t="str">
        <f>IF(E212="En retard","●","")</f>
        <v/>
      </c>
      <c r="G212" s="97">
        <f>IF(ISNUMBER($S212),MAX(0,INT((G$6+6-$S212)/$T212)-MAX(0,-INT(-(G$6-$S212)/$T212))+1),0)</f>
        <v>0.0</v>
      </c>
      <c r="H212" s="97">
        <f>IF(ISNUMBER($S212),MAX(0,INT((H$6+6-$S212)/$T212)-MAX(0,-INT(-(H$6-$S212)/$T212))+1),0)</f>
        <v>0.0</v>
      </c>
      <c r="I212" s="97">
        <f>IF(ISNUMBER($S212),MAX(0,INT((I$6+6-$S212)/$T212)-MAX(0,-INT(-(I$6-$S212)/$T212))+1),0)</f>
        <v>0.0</v>
      </c>
      <c r="J212" s="97">
        <f>IF(ISNUMBER($S212),MAX(0,INT((J$6+6-$S212)/$T212)-MAX(0,-INT(-(J$6-$S212)/$T212))+1),0)</f>
        <v>0.0</v>
      </c>
      <c r="K212" s="97">
        <f>IF(ISNUMBER($S212),MAX(0,INT((K$6+6-$S212)/$T212)-MAX(0,-INT(-(K$6-$S212)/$T212))+1),0)</f>
        <v>0.0</v>
      </c>
      <c r="L212" s="97">
        <f>IF(ISNUMBER($S212),MAX(0,INT((L$6+6-$S212)/$T212)-MAX(0,-INT(-(L$6-$S212)/$T212))+1),0)</f>
        <v>0.0</v>
      </c>
      <c r="M212" s="97">
        <f>IF(ISNUMBER($S212),MAX(0,INT((M$6+6-$S212)/$T212)-MAX(0,-INT(-(M$6-$S212)/$T212))+1),0)</f>
        <v>0.0</v>
      </c>
      <c r="N212" s="97">
        <f>IF(ISNUMBER($S212),MAX(0,INT((N$6+6-$S212)/$T212)-MAX(0,-INT(-(N$6-$S212)/$T212))+1),0)</f>
        <v>0.0</v>
      </c>
      <c r="O212" s="97">
        <f>IF(ISNUMBER($S212),MAX(0,INT((O$6+6-$S212)/$T212)-MAX(0,-INT(-(O$6-$S212)/$T212))+1),0)</f>
        <v>0.0</v>
      </c>
      <c r="P212" s="97">
        <f>IF(ISNUMBER($S212),MAX(0,INT((P$6+6-$S212)/$T212)-MAX(0,-INT(-(P$6-$S212)/$T212))+1),0)</f>
        <v>0.0</v>
      </c>
      <c r="Q212" s="97">
        <f>IF(ISNUMBER($S212),MAX(0,INT((Q$6+6-$S212)/$T212)-MAX(0,-INT(-(Q$6-$S212)/$T212))+1),0)</f>
        <v>0.0</v>
      </c>
      <c r="R212" s="97">
        <f>IF(ISNUMBER($S212),MAX(0,INT((R$6+6-$S212)/$T212)-MAX(0,-INT(-(R$6-$S212)/$T212))+1),0)</f>
        <v>0.0</v>
      </c>
      <c r="S212" t="str">
        <f>IF(ISNUMBER(INDEX(pl_period,203)),MAX(INDEX(pl_due,203),p_today),"")</f>
        <v/>
      </c>
      <c r="T212" t="str">
        <f>IF(ISNUMBER(INDEX(pl_period,203)),INDEX(pl_period,203),"")</f>
        <v/>
      </c>
      <c r="U212">
        <f>N(INDEX(pl_dur,203))</f>
        <v>0.0</v>
      </c>
    </row>
    <row r="213">
      <c r="A213" s="93" t="str">
        <f>IF(INDEX(pl_status,204)="","",INDEX(pl_num,204)&amp;"")</f>
        <v/>
      </c>
      <c r="B213" s="93" t="str">
        <f>IF(INDEX(pl_status,204)="","",INDEX(pl_eq,204)&amp;"")</f>
        <v/>
      </c>
      <c r="C213" s="93" t="str">
        <f>IF(INDEX(pl_status,204)="","",INDEX(pl_task,204)&amp;"")</f>
        <v/>
      </c>
      <c r="D213" s="94" t="str">
        <f>IF(ISNUMBER(INDEX(pl_due,204)),INDEX(pl_due,204),"")</f>
        <v/>
      </c>
      <c r="E213" s="95" t="str">
        <f>INDEX(pl_status,204)&amp;""</f>
        <v/>
      </c>
      <c r="F213" s="96" t="str">
        <f>IF(E213="En retard","●","")</f>
        <v/>
      </c>
      <c r="G213" s="97">
        <f>IF(ISNUMBER($S213),MAX(0,INT((G$6+6-$S213)/$T213)-MAX(0,-INT(-(G$6-$S213)/$T213))+1),0)</f>
        <v>0.0</v>
      </c>
      <c r="H213" s="97">
        <f>IF(ISNUMBER($S213),MAX(0,INT((H$6+6-$S213)/$T213)-MAX(0,-INT(-(H$6-$S213)/$T213))+1),0)</f>
        <v>0.0</v>
      </c>
      <c r="I213" s="97">
        <f>IF(ISNUMBER($S213),MAX(0,INT((I$6+6-$S213)/$T213)-MAX(0,-INT(-(I$6-$S213)/$T213))+1),0)</f>
        <v>0.0</v>
      </c>
      <c r="J213" s="97">
        <f>IF(ISNUMBER($S213),MAX(0,INT((J$6+6-$S213)/$T213)-MAX(0,-INT(-(J$6-$S213)/$T213))+1),0)</f>
        <v>0.0</v>
      </c>
      <c r="K213" s="97">
        <f>IF(ISNUMBER($S213),MAX(0,INT((K$6+6-$S213)/$T213)-MAX(0,-INT(-(K$6-$S213)/$T213))+1),0)</f>
        <v>0.0</v>
      </c>
      <c r="L213" s="97">
        <f>IF(ISNUMBER($S213),MAX(0,INT((L$6+6-$S213)/$T213)-MAX(0,-INT(-(L$6-$S213)/$T213))+1),0)</f>
        <v>0.0</v>
      </c>
      <c r="M213" s="97">
        <f>IF(ISNUMBER($S213),MAX(0,INT((M$6+6-$S213)/$T213)-MAX(0,-INT(-(M$6-$S213)/$T213))+1),0)</f>
        <v>0.0</v>
      </c>
      <c r="N213" s="97">
        <f>IF(ISNUMBER($S213),MAX(0,INT((N$6+6-$S213)/$T213)-MAX(0,-INT(-(N$6-$S213)/$T213))+1),0)</f>
        <v>0.0</v>
      </c>
      <c r="O213" s="97">
        <f>IF(ISNUMBER($S213),MAX(0,INT((O$6+6-$S213)/$T213)-MAX(0,-INT(-(O$6-$S213)/$T213))+1),0)</f>
        <v>0.0</v>
      </c>
      <c r="P213" s="97">
        <f>IF(ISNUMBER($S213),MAX(0,INT((P$6+6-$S213)/$T213)-MAX(0,-INT(-(P$6-$S213)/$T213))+1),0)</f>
        <v>0.0</v>
      </c>
      <c r="Q213" s="97">
        <f>IF(ISNUMBER($S213),MAX(0,INT((Q$6+6-$S213)/$T213)-MAX(0,-INT(-(Q$6-$S213)/$T213))+1),0)</f>
        <v>0.0</v>
      </c>
      <c r="R213" s="97">
        <f>IF(ISNUMBER($S213),MAX(0,INT((R$6+6-$S213)/$T213)-MAX(0,-INT(-(R$6-$S213)/$T213))+1),0)</f>
        <v>0.0</v>
      </c>
      <c r="S213" t="str">
        <f>IF(ISNUMBER(INDEX(pl_period,204)),MAX(INDEX(pl_due,204),p_today),"")</f>
        <v/>
      </c>
      <c r="T213" t="str">
        <f>IF(ISNUMBER(INDEX(pl_period,204)),INDEX(pl_period,204),"")</f>
        <v/>
      </c>
      <c r="U213">
        <f>N(INDEX(pl_dur,204))</f>
        <v>0.0</v>
      </c>
    </row>
    <row r="214">
      <c r="A214" s="93" t="str">
        <f>IF(INDEX(pl_status,205)="","",INDEX(pl_num,205)&amp;"")</f>
        <v/>
      </c>
      <c r="B214" s="93" t="str">
        <f>IF(INDEX(pl_status,205)="","",INDEX(pl_eq,205)&amp;"")</f>
        <v/>
      </c>
      <c r="C214" s="93" t="str">
        <f>IF(INDEX(pl_status,205)="","",INDEX(pl_task,205)&amp;"")</f>
        <v/>
      </c>
      <c r="D214" s="94" t="str">
        <f>IF(ISNUMBER(INDEX(pl_due,205)),INDEX(pl_due,205),"")</f>
        <v/>
      </c>
      <c r="E214" s="95" t="str">
        <f>INDEX(pl_status,205)&amp;""</f>
        <v/>
      </c>
      <c r="F214" s="96" t="str">
        <f>IF(E214="En retard","●","")</f>
        <v/>
      </c>
      <c r="G214" s="97">
        <f>IF(ISNUMBER($S214),MAX(0,INT((G$6+6-$S214)/$T214)-MAX(0,-INT(-(G$6-$S214)/$T214))+1),0)</f>
        <v>0.0</v>
      </c>
      <c r="H214" s="97">
        <f>IF(ISNUMBER($S214),MAX(0,INT((H$6+6-$S214)/$T214)-MAX(0,-INT(-(H$6-$S214)/$T214))+1),0)</f>
        <v>0.0</v>
      </c>
      <c r="I214" s="97">
        <f>IF(ISNUMBER($S214),MAX(0,INT((I$6+6-$S214)/$T214)-MAX(0,-INT(-(I$6-$S214)/$T214))+1),0)</f>
        <v>0.0</v>
      </c>
      <c r="J214" s="97">
        <f>IF(ISNUMBER($S214),MAX(0,INT((J$6+6-$S214)/$T214)-MAX(0,-INT(-(J$6-$S214)/$T214))+1),0)</f>
        <v>0.0</v>
      </c>
      <c r="K214" s="97">
        <f>IF(ISNUMBER($S214),MAX(0,INT((K$6+6-$S214)/$T214)-MAX(0,-INT(-(K$6-$S214)/$T214))+1),0)</f>
        <v>0.0</v>
      </c>
      <c r="L214" s="97">
        <f>IF(ISNUMBER($S214),MAX(0,INT((L$6+6-$S214)/$T214)-MAX(0,-INT(-(L$6-$S214)/$T214))+1),0)</f>
        <v>0.0</v>
      </c>
      <c r="M214" s="97">
        <f>IF(ISNUMBER($S214),MAX(0,INT((M$6+6-$S214)/$T214)-MAX(0,-INT(-(M$6-$S214)/$T214))+1),0)</f>
        <v>0.0</v>
      </c>
      <c r="N214" s="97">
        <f>IF(ISNUMBER($S214),MAX(0,INT((N$6+6-$S214)/$T214)-MAX(0,-INT(-(N$6-$S214)/$T214))+1),0)</f>
        <v>0.0</v>
      </c>
      <c r="O214" s="97">
        <f>IF(ISNUMBER($S214),MAX(0,INT((O$6+6-$S214)/$T214)-MAX(0,-INT(-(O$6-$S214)/$T214))+1),0)</f>
        <v>0.0</v>
      </c>
      <c r="P214" s="97">
        <f>IF(ISNUMBER($S214),MAX(0,INT((P$6+6-$S214)/$T214)-MAX(0,-INT(-(P$6-$S214)/$T214))+1),0)</f>
        <v>0.0</v>
      </c>
      <c r="Q214" s="97">
        <f>IF(ISNUMBER($S214),MAX(0,INT((Q$6+6-$S214)/$T214)-MAX(0,-INT(-(Q$6-$S214)/$T214))+1),0)</f>
        <v>0.0</v>
      </c>
      <c r="R214" s="97">
        <f>IF(ISNUMBER($S214),MAX(0,INT((R$6+6-$S214)/$T214)-MAX(0,-INT(-(R$6-$S214)/$T214))+1),0)</f>
        <v>0.0</v>
      </c>
      <c r="S214" t="str">
        <f>IF(ISNUMBER(INDEX(pl_period,205)),MAX(INDEX(pl_due,205),p_today),"")</f>
        <v/>
      </c>
      <c r="T214" t="str">
        <f>IF(ISNUMBER(INDEX(pl_period,205)),INDEX(pl_period,205),"")</f>
        <v/>
      </c>
      <c r="U214">
        <f>N(INDEX(pl_dur,205))</f>
        <v>0.0</v>
      </c>
    </row>
    <row r="215">
      <c r="A215" s="93" t="str">
        <f>IF(INDEX(pl_status,206)="","",INDEX(pl_num,206)&amp;"")</f>
        <v/>
      </c>
      <c r="B215" s="93" t="str">
        <f>IF(INDEX(pl_status,206)="","",INDEX(pl_eq,206)&amp;"")</f>
        <v/>
      </c>
      <c r="C215" s="93" t="str">
        <f>IF(INDEX(pl_status,206)="","",INDEX(pl_task,206)&amp;"")</f>
        <v/>
      </c>
      <c r="D215" s="94" t="str">
        <f>IF(ISNUMBER(INDEX(pl_due,206)),INDEX(pl_due,206),"")</f>
        <v/>
      </c>
      <c r="E215" s="95" t="str">
        <f>INDEX(pl_status,206)&amp;""</f>
        <v/>
      </c>
      <c r="F215" s="96" t="str">
        <f>IF(E215="En retard","●","")</f>
        <v/>
      </c>
      <c r="G215" s="97">
        <f>IF(ISNUMBER($S215),MAX(0,INT((G$6+6-$S215)/$T215)-MAX(0,-INT(-(G$6-$S215)/$T215))+1),0)</f>
        <v>0.0</v>
      </c>
      <c r="H215" s="97">
        <f>IF(ISNUMBER($S215),MAX(0,INT((H$6+6-$S215)/$T215)-MAX(0,-INT(-(H$6-$S215)/$T215))+1),0)</f>
        <v>0.0</v>
      </c>
      <c r="I215" s="97">
        <f>IF(ISNUMBER($S215),MAX(0,INT((I$6+6-$S215)/$T215)-MAX(0,-INT(-(I$6-$S215)/$T215))+1),0)</f>
        <v>0.0</v>
      </c>
      <c r="J215" s="97">
        <f>IF(ISNUMBER($S215),MAX(0,INT((J$6+6-$S215)/$T215)-MAX(0,-INT(-(J$6-$S215)/$T215))+1),0)</f>
        <v>0.0</v>
      </c>
      <c r="K215" s="97">
        <f>IF(ISNUMBER($S215),MAX(0,INT((K$6+6-$S215)/$T215)-MAX(0,-INT(-(K$6-$S215)/$T215))+1),0)</f>
        <v>0.0</v>
      </c>
      <c r="L215" s="97">
        <f>IF(ISNUMBER($S215),MAX(0,INT((L$6+6-$S215)/$T215)-MAX(0,-INT(-(L$6-$S215)/$T215))+1),0)</f>
        <v>0.0</v>
      </c>
      <c r="M215" s="97">
        <f>IF(ISNUMBER($S215),MAX(0,INT((M$6+6-$S215)/$T215)-MAX(0,-INT(-(M$6-$S215)/$T215))+1),0)</f>
        <v>0.0</v>
      </c>
      <c r="N215" s="97">
        <f>IF(ISNUMBER($S215),MAX(0,INT((N$6+6-$S215)/$T215)-MAX(0,-INT(-(N$6-$S215)/$T215))+1),0)</f>
        <v>0.0</v>
      </c>
      <c r="O215" s="97">
        <f>IF(ISNUMBER($S215),MAX(0,INT((O$6+6-$S215)/$T215)-MAX(0,-INT(-(O$6-$S215)/$T215))+1),0)</f>
        <v>0.0</v>
      </c>
      <c r="P215" s="97">
        <f>IF(ISNUMBER($S215),MAX(0,INT((P$6+6-$S215)/$T215)-MAX(0,-INT(-(P$6-$S215)/$T215))+1),0)</f>
        <v>0.0</v>
      </c>
      <c r="Q215" s="97">
        <f>IF(ISNUMBER($S215),MAX(0,INT((Q$6+6-$S215)/$T215)-MAX(0,-INT(-(Q$6-$S215)/$T215))+1),0)</f>
        <v>0.0</v>
      </c>
      <c r="R215" s="97">
        <f>IF(ISNUMBER($S215),MAX(0,INT((R$6+6-$S215)/$T215)-MAX(0,-INT(-(R$6-$S215)/$T215))+1),0)</f>
        <v>0.0</v>
      </c>
      <c r="S215" t="str">
        <f>IF(ISNUMBER(INDEX(pl_period,206)),MAX(INDEX(pl_due,206),p_today),"")</f>
        <v/>
      </c>
      <c r="T215" t="str">
        <f>IF(ISNUMBER(INDEX(pl_period,206)),INDEX(pl_period,206),"")</f>
        <v/>
      </c>
      <c r="U215">
        <f>N(INDEX(pl_dur,206))</f>
        <v>0.0</v>
      </c>
    </row>
    <row r="216">
      <c r="A216" s="93" t="str">
        <f>IF(INDEX(pl_status,207)="","",INDEX(pl_num,207)&amp;"")</f>
        <v/>
      </c>
      <c r="B216" s="93" t="str">
        <f>IF(INDEX(pl_status,207)="","",INDEX(pl_eq,207)&amp;"")</f>
        <v/>
      </c>
      <c r="C216" s="93" t="str">
        <f>IF(INDEX(pl_status,207)="","",INDEX(pl_task,207)&amp;"")</f>
        <v/>
      </c>
      <c r="D216" s="94" t="str">
        <f>IF(ISNUMBER(INDEX(pl_due,207)),INDEX(pl_due,207),"")</f>
        <v/>
      </c>
      <c r="E216" s="95" t="str">
        <f>INDEX(pl_status,207)&amp;""</f>
        <v/>
      </c>
      <c r="F216" s="96" t="str">
        <f>IF(E216="En retard","●","")</f>
        <v/>
      </c>
      <c r="G216" s="97">
        <f>IF(ISNUMBER($S216),MAX(0,INT((G$6+6-$S216)/$T216)-MAX(0,-INT(-(G$6-$S216)/$T216))+1),0)</f>
        <v>0.0</v>
      </c>
      <c r="H216" s="97">
        <f>IF(ISNUMBER($S216),MAX(0,INT((H$6+6-$S216)/$T216)-MAX(0,-INT(-(H$6-$S216)/$T216))+1),0)</f>
        <v>0.0</v>
      </c>
      <c r="I216" s="97">
        <f>IF(ISNUMBER($S216),MAX(0,INT((I$6+6-$S216)/$T216)-MAX(0,-INT(-(I$6-$S216)/$T216))+1),0)</f>
        <v>0.0</v>
      </c>
      <c r="J216" s="97">
        <f>IF(ISNUMBER($S216),MAX(0,INT((J$6+6-$S216)/$T216)-MAX(0,-INT(-(J$6-$S216)/$T216))+1),0)</f>
        <v>0.0</v>
      </c>
      <c r="K216" s="97">
        <f>IF(ISNUMBER($S216),MAX(0,INT((K$6+6-$S216)/$T216)-MAX(0,-INT(-(K$6-$S216)/$T216))+1),0)</f>
        <v>0.0</v>
      </c>
      <c r="L216" s="97">
        <f>IF(ISNUMBER($S216),MAX(0,INT((L$6+6-$S216)/$T216)-MAX(0,-INT(-(L$6-$S216)/$T216))+1),0)</f>
        <v>0.0</v>
      </c>
      <c r="M216" s="97">
        <f>IF(ISNUMBER($S216),MAX(0,INT((M$6+6-$S216)/$T216)-MAX(0,-INT(-(M$6-$S216)/$T216))+1),0)</f>
        <v>0.0</v>
      </c>
      <c r="N216" s="97">
        <f>IF(ISNUMBER($S216),MAX(0,INT((N$6+6-$S216)/$T216)-MAX(0,-INT(-(N$6-$S216)/$T216))+1),0)</f>
        <v>0.0</v>
      </c>
      <c r="O216" s="97">
        <f>IF(ISNUMBER($S216),MAX(0,INT((O$6+6-$S216)/$T216)-MAX(0,-INT(-(O$6-$S216)/$T216))+1),0)</f>
        <v>0.0</v>
      </c>
      <c r="P216" s="97">
        <f>IF(ISNUMBER($S216),MAX(0,INT((P$6+6-$S216)/$T216)-MAX(0,-INT(-(P$6-$S216)/$T216))+1),0)</f>
        <v>0.0</v>
      </c>
      <c r="Q216" s="97">
        <f>IF(ISNUMBER($S216),MAX(0,INT((Q$6+6-$S216)/$T216)-MAX(0,-INT(-(Q$6-$S216)/$T216))+1),0)</f>
        <v>0.0</v>
      </c>
      <c r="R216" s="97">
        <f>IF(ISNUMBER($S216),MAX(0,INT((R$6+6-$S216)/$T216)-MAX(0,-INT(-(R$6-$S216)/$T216))+1),0)</f>
        <v>0.0</v>
      </c>
      <c r="S216" t="str">
        <f>IF(ISNUMBER(INDEX(pl_period,207)),MAX(INDEX(pl_due,207),p_today),"")</f>
        <v/>
      </c>
      <c r="T216" t="str">
        <f>IF(ISNUMBER(INDEX(pl_period,207)),INDEX(pl_period,207),"")</f>
        <v/>
      </c>
      <c r="U216">
        <f>N(INDEX(pl_dur,207))</f>
        <v>0.0</v>
      </c>
    </row>
    <row r="217">
      <c r="A217" s="93" t="str">
        <f>IF(INDEX(pl_status,208)="","",INDEX(pl_num,208)&amp;"")</f>
        <v/>
      </c>
      <c r="B217" s="93" t="str">
        <f>IF(INDEX(pl_status,208)="","",INDEX(pl_eq,208)&amp;"")</f>
        <v/>
      </c>
      <c r="C217" s="93" t="str">
        <f>IF(INDEX(pl_status,208)="","",INDEX(pl_task,208)&amp;"")</f>
        <v/>
      </c>
      <c r="D217" s="94" t="str">
        <f>IF(ISNUMBER(INDEX(pl_due,208)),INDEX(pl_due,208),"")</f>
        <v/>
      </c>
      <c r="E217" s="95" t="str">
        <f>INDEX(pl_status,208)&amp;""</f>
        <v/>
      </c>
      <c r="F217" s="96" t="str">
        <f>IF(E217="En retard","●","")</f>
        <v/>
      </c>
      <c r="G217" s="97">
        <f>IF(ISNUMBER($S217),MAX(0,INT((G$6+6-$S217)/$T217)-MAX(0,-INT(-(G$6-$S217)/$T217))+1),0)</f>
        <v>0.0</v>
      </c>
      <c r="H217" s="97">
        <f>IF(ISNUMBER($S217),MAX(0,INT((H$6+6-$S217)/$T217)-MAX(0,-INT(-(H$6-$S217)/$T217))+1),0)</f>
        <v>0.0</v>
      </c>
      <c r="I217" s="97">
        <f>IF(ISNUMBER($S217),MAX(0,INT((I$6+6-$S217)/$T217)-MAX(0,-INT(-(I$6-$S217)/$T217))+1),0)</f>
        <v>0.0</v>
      </c>
      <c r="J217" s="97">
        <f>IF(ISNUMBER($S217),MAX(0,INT((J$6+6-$S217)/$T217)-MAX(0,-INT(-(J$6-$S217)/$T217))+1),0)</f>
        <v>0.0</v>
      </c>
      <c r="K217" s="97">
        <f>IF(ISNUMBER($S217),MAX(0,INT((K$6+6-$S217)/$T217)-MAX(0,-INT(-(K$6-$S217)/$T217))+1),0)</f>
        <v>0.0</v>
      </c>
      <c r="L217" s="97">
        <f>IF(ISNUMBER($S217),MAX(0,INT((L$6+6-$S217)/$T217)-MAX(0,-INT(-(L$6-$S217)/$T217))+1),0)</f>
        <v>0.0</v>
      </c>
      <c r="M217" s="97">
        <f>IF(ISNUMBER($S217),MAX(0,INT((M$6+6-$S217)/$T217)-MAX(0,-INT(-(M$6-$S217)/$T217))+1),0)</f>
        <v>0.0</v>
      </c>
      <c r="N217" s="97">
        <f>IF(ISNUMBER($S217),MAX(0,INT((N$6+6-$S217)/$T217)-MAX(0,-INT(-(N$6-$S217)/$T217))+1),0)</f>
        <v>0.0</v>
      </c>
      <c r="O217" s="97">
        <f>IF(ISNUMBER($S217),MAX(0,INT((O$6+6-$S217)/$T217)-MAX(0,-INT(-(O$6-$S217)/$T217))+1),0)</f>
        <v>0.0</v>
      </c>
      <c r="P217" s="97">
        <f>IF(ISNUMBER($S217),MAX(0,INT((P$6+6-$S217)/$T217)-MAX(0,-INT(-(P$6-$S217)/$T217))+1),0)</f>
        <v>0.0</v>
      </c>
      <c r="Q217" s="97">
        <f>IF(ISNUMBER($S217),MAX(0,INT((Q$6+6-$S217)/$T217)-MAX(0,-INT(-(Q$6-$S217)/$T217))+1),0)</f>
        <v>0.0</v>
      </c>
      <c r="R217" s="97">
        <f>IF(ISNUMBER($S217),MAX(0,INT((R$6+6-$S217)/$T217)-MAX(0,-INT(-(R$6-$S217)/$T217))+1),0)</f>
        <v>0.0</v>
      </c>
      <c r="S217" t="str">
        <f>IF(ISNUMBER(INDEX(pl_period,208)),MAX(INDEX(pl_due,208),p_today),"")</f>
        <v/>
      </c>
      <c r="T217" t="str">
        <f>IF(ISNUMBER(INDEX(pl_period,208)),INDEX(pl_period,208),"")</f>
        <v/>
      </c>
      <c r="U217">
        <f>N(INDEX(pl_dur,208))</f>
        <v>0.0</v>
      </c>
    </row>
    <row r="218">
      <c r="A218" s="93" t="str">
        <f>IF(INDEX(pl_status,209)="","",INDEX(pl_num,209)&amp;"")</f>
        <v/>
      </c>
      <c r="B218" s="93" t="str">
        <f>IF(INDEX(pl_status,209)="","",INDEX(pl_eq,209)&amp;"")</f>
        <v/>
      </c>
      <c r="C218" s="93" t="str">
        <f>IF(INDEX(pl_status,209)="","",INDEX(pl_task,209)&amp;"")</f>
        <v/>
      </c>
      <c r="D218" s="94" t="str">
        <f>IF(ISNUMBER(INDEX(pl_due,209)),INDEX(pl_due,209),"")</f>
        <v/>
      </c>
      <c r="E218" s="95" t="str">
        <f>INDEX(pl_status,209)&amp;""</f>
        <v/>
      </c>
      <c r="F218" s="96" t="str">
        <f>IF(E218="En retard","●","")</f>
        <v/>
      </c>
      <c r="G218" s="97">
        <f>IF(ISNUMBER($S218),MAX(0,INT((G$6+6-$S218)/$T218)-MAX(0,-INT(-(G$6-$S218)/$T218))+1),0)</f>
        <v>0.0</v>
      </c>
      <c r="H218" s="97">
        <f>IF(ISNUMBER($S218),MAX(0,INT((H$6+6-$S218)/$T218)-MAX(0,-INT(-(H$6-$S218)/$T218))+1),0)</f>
        <v>0.0</v>
      </c>
      <c r="I218" s="97">
        <f>IF(ISNUMBER($S218),MAX(0,INT((I$6+6-$S218)/$T218)-MAX(0,-INT(-(I$6-$S218)/$T218))+1),0)</f>
        <v>0.0</v>
      </c>
      <c r="J218" s="97">
        <f>IF(ISNUMBER($S218),MAX(0,INT((J$6+6-$S218)/$T218)-MAX(0,-INT(-(J$6-$S218)/$T218))+1),0)</f>
        <v>0.0</v>
      </c>
      <c r="K218" s="97">
        <f>IF(ISNUMBER($S218),MAX(0,INT((K$6+6-$S218)/$T218)-MAX(0,-INT(-(K$6-$S218)/$T218))+1),0)</f>
        <v>0.0</v>
      </c>
      <c r="L218" s="97">
        <f>IF(ISNUMBER($S218),MAX(0,INT((L$6+6-$S218)/$T218)-MAX(0,-INT(-(L$6-$S218)/$T218))+1),0)</f>
        <v>0.0</v>
      </c>
      <c r="M218" s="97">
        <f>IF(ISNUMBER($S218),MAX(0,INT((M$6+6-$S218)/$T218)-MAX(0,-INT(-(M$6-$S218)/$T218))+1),0)</f>
        <v>0.0</v>
      </c>
      <c r="N218" s="97">
        <f>IF(ISNUMBER($S218),MAX(0,INT((N$6+6-$S218)/$T218)-MAX(0,-INT(-(N$6-$S218)/$T218))+1),0)</f>
        <v>0.0</v>
      </c>
      <c r="O218" s="97">
        <f>IF(ISNUMBER($S218),MAX(0,INT((O$6+6-$S218)/$T218)-MAX(0,-INT(-(O$6-$S218)/$T218))+1),0)</f>
        <v>0.0</v>
      </c>
      <c r="P218" s="97">
        <f>IF(ISNUMBER($S218),MAX(0,INT((P$6+6-$S218)/$T218)-MAX(0,-INT(-(P$6-$S218)/$T218))+1),0)</f>
        <v>0.0</v>
      </c>
      <c r="Q218" s="97">
        <f>IF(ISNUMBER($S218),MAX(0,INT((Q$6+6-$S218)/$T218)-MAX(0,-INT(-(Q$6-$S218)/$T218))+1),0)</f>
        <v>0.0</v>
      </c>
      <c r="R218" s="97">
        <f>IF(ISNUMBER($S218),MAX(0,INT((R$6+6-$S218)/$T218)-MAX(0,-INT(-(R$6-$S218)/$T218))+1),0)</f>
        <v>0.0</v>
      </c>
      <c r="S218" t="str">
        <f>IF(ISNUMBER(INDEX(pl_period,209)),MAX(INDEX(pl_due,209),p_today),"")</f>
        <v/>
      </c>
      <c r="T218" t="str">
        <f>IF(ISNUMBER(INDEX(pl_period,209)),INDEX(pl_period,209),"")</f>
        <v/>
      </c>
      <c r="U218">
        <f>N(INDEX(pl_dur,209))</f>
        <v>0.0</v>
      </c>
    </row>
    <row r="219">
      <c r="A219" s="93" t="str">
        <f>IF(INDEX(pl_status,210)="","",INDEX(pl_num,210)&amp;"")</f>
        <v/>
      </c>
      <c r="B219" s="93" t="str">
        <f>IF(INDEX(pl_status,210)="","",INDEX(pl_eq,210)&amp;"")</f>
        <v/>
      </c>
      <c r="C219" s="93" t="str">
        <f>IF(INDEX(pl_status,210)="","",INDEX(pl_task,210)&amp;"")</f>
        <v/>
      </c>
      <c r="D219" s="94" t="str">
        <f>IF(ISNUMBER(INDEX(pl_due,210)),INDEX(pl_due,210),"")</f>
        <v/>
      </c>
      <c r="E219" s="95" t="str">
        <f>INDEX(pl_status,210)&amp;""</f>
        <v/>
      </c>
      <c r="F219" s="96" t="str">
        <f>IF(E219="En retard","●","")</f>
        <v/>
      </c>
      <c r="G219" s="97">
        <f>IF(ISNUMBER($S219),MAX(0,INT((G$6+6-$S219)/$T219)-MAX(0,-INT(-(G$6-$S219)/$T219))+1),0)</f>
        <v>0.0</v>
      </c>
      <c r="H219" s="97">
        <f>IF(ISNUMBER($S219),MAX(0,INT((H$6+6-$S219)/$T219)-MAX(0,-INT(-(H$6-$S219)/$T219))+1),0)</f>
        <v>0.0</v>
      </c>
      <c r="I219" s="97">
        <f>IF(ISNUMBER($S219),MAX(0,INT((I$6+6-$S219)/$T219)-MAX(0,-INT(-(I$6-$S219)/$T219))+1),0)</f>
        <v>0.0</v>
      </c>
      <c r="J219" s="97">
        <f>IF(ISNUMBER($S219),MAX(0,INT((J$6+6-$S219)/$T219)-MAX(0,-INT(-(J$6-$S219)/$T219))+1),0)</f>
        <v>0.0</v>
      </c>
      <c r="K219" s="97">
        <f>IF(ISNUMBER($S219),MAX(0,INT((K$6+6-$S219)/$T219)-MAX(0,-INT(-(K$6-$S219)/$T219))+1),0)</f>
        <v>0.0</v>
      </c>
      <c r="L219" s="97">
        <f>IF(ISNUMBER($S219),MAX(0,INT((L$6+6-$S219)/$T219)-MAX(0,-INT(-(L$6-$S219)/$T219))+1),0)</f>
        <v>0.0</v>
      </c>
      <c r="M219" s="97">
        <f>IF(ISNUMBER($S219),MAX(0,INT((M$6+6-$S219)/$T219)-MAX(0,-INT(-(M$6-$S219)/$T219))+1),0)</f>
        <v>0.0</v>
      </c>
      <c r="N219" s="97">
        <f>IF(ISNUMBER($S219),MAX(0,INT((N$6+6-$S219)/$T219)-MAX(0,-INT(-(N$6-$S219)/$T219))+1),0)</f>
        <v>0.0</v>
      </c>
      <c r="O219" s="97">
        <f>IF(ISNUMBER($S219),MAX(0,INT((O$6+6-$S219)/$T219)-MAX(0,-INT(-(O$6-$S219)/$T219))+1),0)</f>
        <v>0.0</v>
      </c>
      <c r="P219" s="97">
        <f>IF(ISNUMBER($S219),MAX(0,INT((P$6+6-$S219)/$T219)-MAX(0,-INT(-(P$6-$S219)/$T219))+1),0)</f>
        <v>0.0</v>
      </c>
      <c r="Q219" s="97">
        <f>IF(ISNUMBER($S219),MAX(0,INT((Q$6+6-$S219)/$T219)-MAX(0,-INT(-(Q$6-$S219)/$T219))+1),0)</f>
        <v>0.0</v>
      </c>
      <c r="R219" s="97">
        <f>IF(ISNUMBER($S219),MAX(0,INT((R$6+6-$S219)/$T219)-MAX(0,-INT(-(R$6-$S219)/$T219))+1),0)</f>
        <v>0.0</v>
      </c>
      <c r="S219" t="str">
        <f>IF(ISNUMBER(INDEX(pl_period,210)),MAX(INDEX(pl_due,210),p_today),"")</f>
        <v/>
      </c>
      <c r="T219" t="str">
        <f>IF(ISNUMBER(INDEX(pl_period,210)),INDEX(pl_period,210),"")</f>
        <v/>
      </c>
      <c r="U219">
        <f>N(INDEX(pl_dur,210))</f>
        <v>0.0</v>
      </c>
    </row>
    <row r="220">
      <c r="A220" s="93" t="str">
        <f>IF(INDEX(pl_status,211)="","",INDEX(pl_num,211)&amp;"")</f>
        <v/>
      </c>
      <c r="B220" s="93" t="str">
        <f>IF(INDEX(pl_status,211)="","",INDEX(pl_eq,211)&amp;"")</f>
        <v/>
      </c>
      <c r="C220" s="93" t="str">
        <f>IF(INDEX(pl_status,211)="","",INDEX(pl_task,211)&amp;"")</f>
        <v/>
      </c>
      <c r="D220" s="94" t="str">
        <f>IF(ISNUMBER(INDEX(pl_due,211)),INDEX(pl_due,211),"")</f>
        <v/>
      </c>
      <c r="E220" s="95" t="str">
        <f>INDEX(pl_status,211)&amp;""</f>
        <v/>
      </c>
      <c r="F220" s="96" t="str">
        <f>IF(E220="En retard","●","")</f>
        <v/>
      </c>
      <c r="G220" s="97">
        <f>IF(ISNUMBER($S220),MAX(0,INT((G$6+6-$S220)/$T220)-MAX(0,-INT(-(G$6-$S220)/$T220))+1),0)</f>
        <v>0.0</v>
      </c>
      <c r="H220" s="97">
        <f>IF(ISNUMBER($S220),MAX(0,INT((H$6+6-$S220)/$T220)-MAX(0,-INT(-(H$6-$S220)/$T220))+1),0)</f>
        <v>0.0</v>
      </c>
      <c r="I220" s="97">
        <f>IF(ISNUMBER($S220),MAX(0,INT((I$6+6-$S220)/$T220)-MAX(0,-INT(-(I$6-$S220)/$T220))+1),0)</f>
        <v>0.0</v>
      </c>
      <c r="J220" s="97">
        <f>IF(ISNUMBER($S220),MAX(0,INT((J$6+6-$S220)/$T220)-MAX(0,-INT(-(J$6-$S220)/$T220))+1),0)</f>
        <v>0.0</v>
      </c>
      <c r="K220" s="97">
        <f>IF(ISNUMBER($S220),MAX(0,INT((K$6+6-$S220)/$T220)-MAX(0,-INT(-(K$6-$S220)/$T220))+1),0)</f>
        <v>0.0</v>
      </c>
      <c r="L220" s="97">
        <f>IF(ISNUMBER($S220),MAX(0,INT((L$6+6-$S220)/$T220)-MAX(0,-INT(-(L$6-$S220)/$T220))+1),0)</f>
        <v>0.0</v>
      </c>
      <c r="M220" s="97">
        <f>IF(ISNUMBER($S220),MAX(0,INT((M$6+6-$S220)/$T220)-MAX(0,-INT(-(M$6-$S220)/$T220))+1),0)</f>
        <v>0.0</v>
      </c>
      <c r="N220" s="97">
        <f>IF(ISNUMBER($S220),MAX(0,INT((N$6+6-$S220)/$T220)-MAX(0,-INT(-(N$6-$S220)/$T220))+1),0)</f>
        <v>0.0</v>
      </c>
      <c r="O220" s="97">
        <f>IF(ISNUMBER($S220),MAX(0,INT((O$6+6-$S220)/$T220)-MAX(0,-INT(-(O$6-$S220)/$T220))+1),0)</f>
        <v>0.0</v>
      </c>
      <c r="P220" s="97">
        <f>IF(ISNUMBER($S220),MAX(0,INT((P$6+6-$S220)/$T220)-MAX(0,-INT(-(P$6-$S220)/$T220))+1),0)</f>
        <v>0.0</v>
      </c>
      <c r="Q220" s="97">
        <f>IF(ISNUMBER($S220),MAX(0,INT((Q$6+6-$S220)/$T220)-MAX(0,-INT(-(Q$6-$S220)/$T220))+1),0)</f>
        <v>0.0</v>
      </c>
      <c r="R220" s="97">
        <f>IF(ISNUMBER($S220),MAX(0,INT((R$6+6-$S220)/$T220)-MAX(0,-INT(-(R$6-$S220)/$T220))+1),0)</f>
        <v>0.0</v>
      </c>
      <c r="S220" t="str">
        <f>IF(ISNUMBER(INDEX(pl_period,211)),MAX(INDEX(pl_due,211),p_today),"")</f>
        <v/>
      </c>
      <c r="T220" t="str">
        <f>IF(ISNUMBER(INDEX(pl_period,211)),INDEX(pl_period,211),"")</f>
        <v/>
      </c>
      <c r="U220">
        <f>N(INDEX(pl_dur,211))</f>
        <v>0.0</v>
      </c>
    </row>
    <row r="221">
      <c r="A221" s="93" t="str">
        <f>IF(INDEX(pl_status,212)="","",INDEX(pl_num,212)&amp;"")</f>
        <v/>
      </c>
      <c r="B221" s="93" t="str">
        <f>IF(INDEX(pl_status,212)="","",INDEX(pl_eq,212)&amp;"")</f>
        <v/>
      </c>
      <c r="C221" s="93" t="str">
        <f>IF(INDEX(pl_status,212)="","",INDEX(pl_task,212)&amp;"")</f>
        <v/>
      </c>
      <c r="D221" s="94" t="str">
        <f>IF(ISNUMBER(INDEX(pl_due,212)),INDEX(pl_due,212),"")</f>
        <v/>
      </c>
      <c r="E221" s="95" t="str">
        <f>INDEX(pl_status,212)&amp;""</f>
        <v/>
      </c>
      <c r="F221" s="96" t="str">
        <f>IF(E221="En retard","●","")</f>
        <v/>
      </c>
      <c r="G221" s="97">
        <f>IF(ISNUMBER($S221),MAX(0,INT((G$6+6-$S221)/$T221)-MAX(0,-INT(-(G$6-$S221)/$T221))+1),0)</f>
        <v>0.0</v>
      </c>
      <c r="H221" s="97">
        <f>IF(ISNUMBER($S221),MAX(0,INT((H$6+6-$S221)/$T221)-MAX(0,-INT(-(H$6-$S221)/$T221))+1),0)</f>
        <v>0.0</v>
      </c>
      <c r="I221" s="97">
        <f>IF(ISNUMBER($S221),MAX(0,INT((I$6+6-$S221)/$T221)-MAX(0,-INT(-(I$6-$S221)/$T221))+1),0)</f>
        <v>0.0</v>
      </c>
      <c r="J221" s="97">
        <f>IF(ISNUMBER($S221),MAX(0,INT((J$6+6-$S221)/$T221)-MAX(0,-INT(-(J$6-$S221)/$T221))+1),0)</f>
        <v>0.0</v>
      </c>
      <c r="K221" s="97">
        <f>IF(ISNUMBER($S221),MAX(0,INT((K$6+6-$S221)/$T221)-MAX(0,-INT(-(K$6-$S221)/$T221))+1),0)</f>
        <v>0.0</v>
      </c>
      <c r="L221" s="97">
        <f>IF(ISNUMBER($S221),MAX(0,INT((L$6+6-$S221)/$T221)-MAX(0,-INT(-(L$6-$S221)/$T221))+1),0)</f>
        <v>0.0</v>
      </c>
      <c r="M221" s="97">
        <f>IF(ISNUMBER($S221),MAX(0,INT((M$6+6-$S221)/$T221)-MAX(0,-INT(-(M$6-$S221)/$T221))+1),0)</f>
        <v>0.0</v>
      </c>
      <c r="N221" s="97">
        <f>IF(ISNUMBER($S221),MAX(0,INT((N$6+6-$S221)/$T221)-MAX(0,-INT(-(N$6-$S221)/$T221))+1),0)</f>
        <v>0.0</v>
      </c>
      <c r="O221" s="97">
        <f>IF(ISNUMBER($S221),MAX(0,INT((O$6+6-$S221)/$T221)-MAX(0,-INT(-(O$6-$S221)/$T221))+1),0)</f>
        <v>0.0</v>
      </c>
      <c r="P221" s="97">
        <f>IF(ISNUMBER($S221),MAX(0,INT((P$6+6-$S221)/$T221)-MAX(0,-INT(-(P$6-$S221)/$T221))+1),0)</f>
        <v>0.0</v>
      </c>
      <c r="Q221" s="97">
        <f>IF(ISNUMBER($S221),MAX(0,INT((Q$6+6-$S221)/$T221)-MAX(0,-INT(-(Q$6-$S221)/$T221))+1),0)</f>
        <v>0.0</v>
      </c>
      <c r="R221" s="97">
        <f>IF(ISNUMBER($S221),MAX(0,INT((R$6+6-$S221)/$T221)-MAX(0,-INT(-(R$6-$S221)/$T221))+1),0)</f>
        <v>0.0</v>
      </c>
      <c r="S221" t="str">
        <f>IF(ISNUMBER(INDEX(pl_period,212)),MAX(INDEX(pl_due,212),p_today),"")</f>
        <v/>
      </c>
      <c r="T221" t="str">
        <f>IF(ISNUMBER(INDEX(pl_period,212)),INDEX(pl_period,212),"")</f>
        <v/>
      </c>
      <c r="U221">
        <f>N(INDEX(pl_dur,212))</f>
        <v>0.0</v>
      </c>
    </row>
    <row r="222">
      <c r="A222" s="93" t="str">
        <f>IF(INDEX(pl_status,213)="","",INDEX(pl_num,213)&amp;"")</f>
        <v/>
      </c>
      <c r="B222" s="93" t="str">
        <f>IF(INDEX(pl_status,213)="","",INDEX(pl_eq,213)&amp;"")</f>
        <v/>
      </c>
      <c r="C222" s="93" t="str">
        <f>IF(INDEX(pl_status,213)="","",INDEX(pl_task,213)&amp;"")</f>
        <v/>
      </c>
      <c r="D222" s="94" t="str">
        <f>IF(ISNUMBER(INDEX(pl_due,213)),INDEX(pl_due,213),"")</f>
        <v/>
      </c>
      <c r="E222" s="95" t="str">
        <f>INDEX(pl_status,213)&amp;""</f>
        <v/>
      </c>
      <c r="F222" s="96" t="str">
        <f>IF(E222="En retard","●","")</f>
        <v/>
      </c>
      <c r="G222" s="97">
        <f>IF(ISNUMBER($S222),MAX(0,INT((G$6+6-$S222)/$T222)-MAX(0,-INT(-(G$6-$S222)/$T222))+1),0)</f>
        <v>0.0</v>
      </c>
      <c r="H222" s="97">
        <f>IF(ISNUMBER($S222),MAX(0,INT((H$6+6-$S222)/$T222)-MAX(0,-INT(-(H$6-$S222)/$T222))+1),0)</f>
        <v>0.0</v>
      </c>
      <c r="I222" s="97">
        <f>IF(ISNUMBER($S222),MAX(0,INT((I$6+6-$S222)/$T222)-MAX(0,-INT(-(I$6-$S222)/$T222))+1),0)</f>
        <v>0.0</v>
      </c>
      <c r="J222" s="97">
        <f>IF(ISNUMBER($S222),MAX(0,INT((J$6+6-$S222)/$T222)-MAX(0,-INT(-(J$6-$S222)/$T222))+1),0)</f>
        <v>0.0</v>
      </c>
      <c r="K222" s="97">
        <f>IF(ISNUMBER($S222),MAX(0,INT((K$6+6-$S222)/$T222)-MAX(0,-INT(-(K$6-$S222)/$T222))+1),0)</f>
        <v>0.0</v>
      </c>
      <c r="L222" s="97">
        <f>IF(ISNUMBER($S222),MAX(0,INT((L$6+6-$S222)/$T222)-MAX(0,-INT(-(L$6-$S222)/$T222))+1),0)</f>
        <v>0.0</v>
      </c>
      <c r="M222" s="97">
        <f>IF(ISNUMBER($S222),MAX(0,INT((M$6+6-$S222)/$T222)-MAX(0,-INT(-(M$6-$S222)/$T222))+1),0)</f>
        <v>0.0</v>
      </c>
      <c r="N222" s="97">
        <f>IF(ISNUMBER($S222),MAX(0,INT((N$6+6-$S222)/$T222)-MAX(0,-INT(-(N$6-$S222)/$T222))+1),0)</f>
        <v>0.0</v>
      </c>
      <c r="O222" s="97">
        <f>IF(ISNUMBER($S222),MAX(0,INT((O$6+6-$S222)/$T222)-MAX(0,-INT(-(O$6-$S222)/$T222))+1),0)</f>
        <v>0.0</v>
      </c>
      <c r="P222" s="97">
        <f>IF(ISNUMBER($S222),MAX(0,INT((P$6+6-$S222)/$T222)-MAX(0,-INT(-(P$6-$S222)/$T222))+1),0)</f>
        <v>0.0</v>
      </c>
      <c r="Q222" s="97">
        <f>IF(ISNUMBER($S222),MAX(0,INT((Q$6+6-$S222)/$T222)-MAX(0,-INT(-(Q$6-$S222)/$T222))+1),0)</f>
        <v>0.0</v>
      </c>
      <c r="R222" s="97">
        <f>IF(ISNUMBER($S222),MAX(0,INT((R$6+6-$S222)/$T222)-MAX(0,-INT(-(R$6-$S222)/$T222))+1),0)</f>
        <v>0.0</v>
      </c>
      <c r="S222" t="str">
        <f>IF(ISNUMBER(INDEX(pl_period,213)),MAX(INDEX(pl_due,213),p_today),"")</f>
        <v/>
      </c>
      <c r="T222" t="str">
        <f>IF(ISNUMBER(INDEX(pl_period,213)),INDEX(pl_period,213),"")</f>
        <v/>
      </c>
      <c r="U222">
        <f>N(INDEX(pl_dur,213))</f>
        <v>0.0</v>
      </c>
    </row>
    <row r="223">
      <c r="A223" s="93" t="str">
        <f>IF(INDEX(pl_status,214)="","",INDEX(pl_num,214)&amp;"")</f>
        <v/>
      </c>
      <c r="B223" s="93" t="str">
        <f>IF(INDEX(pl_status,214)="","",INDEX(pl_eq,214)&amp;"")</f>
        <v/>
      </c>
      <c r="C223" s="93" t="str">
        <f>IF(INDEX(pl_status,214)="","",INDEX(pl_task,214)&amp;"")</f>
        <v/>
      </c>
      <c r="D223" s="94" t="str">
        <f>IF(ISNUMBER(INDEX(pl_due,214)),INDEX(pl_due,214),"")</f>
        <v/>
      </c>
      <c r="E223" s="95" t="str">
        <f>INDEX(pl_status,214)&amp;""</f>
        <v/>
      </c>
      <c r="F223" s="96" t="str">
        <f>IF(E223="En retard","●","")</f>
        <v/>
      </c>
      <c r="G223" s="97">
        <f>IF(ISNUMBER($S223),MAX(0,INT((G$6+6-$S223)/$T223)-MAX(0,-INT(-(G$6-$S223)/$T223))+1),0)</f>
        <v>0.0</v>
      </c>
      <c r="H223" s="97">
        <f>IF(ISNUMBER($S223),MAX(0,INT((H$6+6-$S223)/$T223)-MAX(0,-INT(-(H$6-$S223)/$T223))+1),0)</f>
        <v>0.0</v>
      </c>
      <c r="I223" s="97">
        <f>IF(ISNUMBER($S223),MAX(0,INT((I$6+6-$S223)/$T223)-MAX(0,-INT(-(I$6-$S223)/$T223))+1),0)</f>
        <v>0.0</v>
      </c>
      <c r="J223" s="97">
        <f>IF(ISNUMBER($S223),MAX(0,INT((J$6+6-$S223)/$T223)-MAX(0,-INT(-(J$6-$S223)/$T223))+1),0)</f>
        <v>0.0</v>
      </c>
      <c r="K223" s="97">
        <f>IF(ISNUMBER($S223),MAX(0,INT((K$6+6-$S223)/$T223)-MAX(0,-INT(-(K$6-$S223)/$T223))+1),0)</f>
        <v>0.0</v>
      </c>
      <c r="L223" s="97">
        <f>IF(ISNUMBER($S223),MAX(0,INT((L$6+6-$S223)/$T223)-MAX(0,-INT(-(L$6-$S223)/$T223))+1),0)</f>
        <v>0.0</v>
      </c>
      <c r="M223" s="97">
        <f>IF(ISNUMBER($S223),MAX(0,INT((M$6+6-$S223)/$T223)-MAX(0,-INT(-(M$6-$S223)/$T223))+1),0)</f>
        <v>0.0</v>
      </c>
      <c r="N223" s="97">
        <f>IF(ISNUMBER($S223),MAX(0,INT((N$6+6-$S223)/$T223)-MAX(0,-INT(-(N$6-$S223)/$T223))+1),0)</f>
        <v>0.0</v>
      </c>
      <c r="O223" s="97">
        <f>IF(ISNUMBER($S223),MAX(0,INT((O$6+6-$S223)/$T223)-MAX(0,-INT(-(O$6-$S223)/$T223))+1),0)</f>
        <v>0.0</v>
      </c>
      <c r="P223" s="97">
        <f>IF(ISNUMBER($S223),MAX(0,INT((P$6+6-$S223)/$T223)-MAX(0,-INT(-(P$6-$S223)/$T223))+1),0)</f>
        <v>0.0</v>
      </c>
      <c r="Q223" s="97">
        <f>IF(ISNUMBER($S223),MAX(0,INT((Q$6+6-$S223)/$T223)-MAX(0,-INT(-(Q$6-$S223)/$T223))+1),0)</f>
        <v>0.0</v>
      </c>
      <c r="R223" s="97">
        <f>IF(ISNUMBER($S223),MAX(0,INT((R$6+6-$S223)/$T223)-MAX(0,-INT(-(R$6-$S223)/$T223))+1),0)</f>
        <v>0.0</v>
      </c>
      <c r="S223" t="str">
        <f>IF(ISNUMBER(INDEX(pl_period,214)),MAX(INDEX(pl_due,214),p_today),"")</f>
        <v/>
      </c>
      <c r="T223" t="str">
        <f>IF(ISNUMBER(INDEX(pl_period,214)),INDEX(pl_period,214),"")</f>
        <v/>
      </c>
      <c r="U223">
        <f>N(INDEX(pl_dur,214))</f>
        <v>0.0</v>
      </c>
    </row>
    <row r="224">
      <c r="A224" s="93" t="str">
        <f>IF(INDEX(pl_status,215)="","",INDEX(pl_num,215)&amp;"")</f>
        <v/>
      </c>
      <c r="B224" s="93" t="str">
        <f>IF(INDEX(pl_status,215)="","",INDEX(pl_eq,215)&amp;"")</f>
        <v/>
      </c>
      <c r="C224" s="93" t="str">
        <f>IF(INDEX(pl_status,215)="","",INDEX(pl_task,215)&amp;"")</f>
        <v/>
      </c>
      <c r="D224" s="94" t="str">
        <f>IF(ISNUMBER(INDEX(pl_due,215)),INDEX(pl_due,215),"")</f>
        <v/>
      </c>
      <c r="E224" s="95" t="str">
        <f>INDEX(pl_status,215)&amp;""</f>
        <v/>
      </c>
      <c r="F224" s="96" t="str">
        <f>IF(E224="En retard","●","")</f>
        <v/>
      </c>
      <c r="G224" s="97">
        <f>IF(ISNUMBER($S224),MAX(0,INT((G$6+6-$S224)/$T224)-MAX(0,-INT(-(G$6-$S224)/$T224))+1),0)</f>
        <v>0.0</v>
      </c>
      <c r="H224" s="97">
        <f>IF(ISNUMBER($S224),MAX(0,INT((H$6+6-$S224)/$T224)-MAX(0,-INT(-(H$6-$S224)/$T224))+1),0)</f>
        <v>0.0</v>
      </c>
      <c r="I224" s="97">
        <f>IF(ISNUMBER($S224),MAX(0,INT((I$6+6-$S224)/$T224)-MAX(0,-INT(-(I$6-$S224)/$T224))+1),0)</f>
        <v>0.0</v>
      </c>
      <c r="J224" s="97">
        <f>IF(ISNUMBER($S224),MAX(0,INT((J$6+6-$S224)/$T224)-MAX(0,-INT(-(J$6-$S224)/$T224))+1),0)</f>
        <v>0.0</v>
      </c>
      <c r="K224" s="97">
        <f>IF(ISNUMBER($S224),MAX(0,INT((K$6+6-$S224)/$T224)-MAX(0,-INT(-(K$6-$S224)/$T224))+1),0)</f>
        <v>0.0</v>
      </c>
      <c r="L224" s="97">
        <f>IF(ISNUMBER($S224),MAX(0,INT((L$6+6-$S224)/$T224)-MAX(0,-INT(-(L$6-$S224)/$T224))+1),0)</f>
        <v>0.0</v>
      </c>
      <c r="M224" s="97">
        <f>IF(ISNUMBER($S224),MAX(0,INT((M$6+6-$S224)/$T224)-MAX(0,-INT(-(M$6-$S224)/$T224))+1),0)</f>
        <v>0.0</v>
      </c>
      <c r="N224" s="97">
        <f>IF(ISNUMBER($S224),MAX(0,INT((N$6+6-$S224)/$T224)-MAX(0,-INT(-(N$6-$S224)/$T224))+1),0)</f>
        <v>0.0</v>
      </c>
      <c r="O224" s="97">
        <f>IF(ISNUMBER($S224),MAX(0,INT((O$6+6-$S224)/$T224)-MAX(0,-INT(-(O$6-$S224)/$T224))+1),0)</f>
        <v>0.0</v>
      </c>
      <c r="P224" s="97">
        <f>IF(ISNUMBER($S224),MAX(0,INT((P$6+6-$S224)/$T224)-MAX(0,-INT(-(P$6-$S224)/$T224))+1),0)</f>
        <v>0.0</v>
      </c>
      <c r="Q224" s="97">
        <f>IF(ISNUMBER($S224),MAX(0,INT((Q$6+6-$S224)/$T224)-MAX(0,-INT(-(Q$6-$S224)/$T224))+1),0)</f>
        <v>0.0</v>
      </c>
      <c r="R224" s="97">
        <f>IF(ISNUMBER($S224),MAX(0,INT((R$6+6-$S224)/$T224)-MAX(0,-INT(-(R$6-$S224)/$T224))+1),0)</f>
        <v>0.0</v>
      </c>
      <c r="S224" t="str">
        <f>IF(ISNUMBER(INDEX(pl_period,215)),MAX(INDEX(pl_due,215),p_today),"")</f>
        <v/>
      </c>
      <c r="T224" t="str">
        <f>IF(ISNUMBER(INDEX(pl_period,215)),INDEX(pl_period,215),"")</f>
        <v/>
      </c>
      <c r="U224">
        <f>N(INDEX(pl_dur,215))</f>
        <v>0.0</v>
      </c>
    </row>
    <row r="225">
      <c r="A225" s="93" t="str">
        <f>IF(INDEX(pl_status,216)="","",INDEX(pl_num,216)&amp;"")</f>
        <v/>
      </c>
      <c r="B225" s="93" t="str">
        <f>IF(INDEX(pl_status,216)="","",INDEX(pl_eq,216)&amp;"")</f>
        <v/>
      </c>
      <c r="C225" s="93" t="str">
        <f>IF(INDEX(pl_status,216)="","",INDEX(pl_task,216)&amp;"")</f>
        <v/>
      </c>
      <c r="D225" s="94" t="str">
        <f>IF(ISNUMBER(INDEX(pl_due,216)),INDEX(pl_due,216),"")</f>
        <v/>
      </c>
      <c r="E225" s="95" t="str">
        <f>INDEX(pl_status,216)&amp;""</f>
        <v/>
      </c>
      <c r="F225" s="96" t="str">
        <f>IF(E225="En retard","●","")</f>
        <v/>
      </c>
      <c r="G225" s="97">
        <f>IF(ISNUMBER($S225),MAX(0,INT((G$6+6-$S225)/$T225)-MAX(0,-INT(-(G$6-$S225)/$T225))+1),0)</f>
        <v>0.0</v>
      </c>
      <c r="H225" s="97">
        <f>IF(ISNUMBER($S225),MAX(0,INT((H$6+6-$S225)/$T225)-MAX(0,-INT(-(H$6-$S225)/$T225))+1),0)</f>
        <v>0.0</v>
      </c>
      <c r="I225" s="97">
        <f>IF(ISNUMBER($S225),MAX(0,INT((I$6+6-$S225)/$T225)-MAX(0,-INT(-(I$6-$S225)/$T225))+1),0)</f>
        <v>0.0</v>
      </c>
      <c r="J225" s="97">
        <f>IF(ISNUMBER($S225),MAX(0,INT((J$6+6-$S225)/$T225)-MAX(0,-INT(-(J$6-$S225)/$T225))+1),0)</f>
        <v>0.0</v>
      </c>
      <c r="K225" s="97">
        <f>IF(ISNUMBER($S225),MAX(0,INT((K$6+6-$S225)/$T225)-MAX(0,-INT(-(K$6-$S225)/$T225))+1),0)</f>
        <v>0.0</v>
      </c>
      <c r="L225" s="97">
        <f>IF(ISNUMBER($S225),MAX(0,INT((L$6+6-$S225)/$T225)-MAX(0,-INT(-(L$6-$S225)/$T225))+1),0)</f>
        <v>0.0</v>
      </c>
      <c r="M225" s="97">
        <f>IF(ISNUMBER($S225),MAX(0,INT((M$6+6-$S225)/$T225)-MAX(0,-INT(-(M$6-$S225)/$T225))+1),0)</f>
        <v>0.0</v>
      </c>
      <c r="N225" s="97">
        <f>IF(ISNUMBER($S225),MAX(0,INT((N$6+6-$S225)/$T225)-MAX(0,-INT(-(N$6-$S225)/$T225))+1),0)</f>
        <v>0.0</v>
      </c>
      <c r="O225" s="97">
        <f>IF(ISNUMBER($S225),MAX(0,INT((O$6+6-$S225)/$T225)-MAX(0,-INT(-(O$6-$S225)/$T225))+1),0)</f>
        <v>0.0</v>
      </c>
      <c r="P225" s="97">
        <f>IF(ISNUMBER($S225),MAX(0,INT((P$6+6-$S225)/$T225)-MAX(0,-INT(-(P$6-$S225)/$T225))+1),0)</f>
        <v>0.0</v>
      </c>
      <c r="Q225" s="97">
        <f>IF(ISNUMBER($S225),MAX(0,INT((Q$6+6-$S225)/$T225)-MAX(0,-INT(-(Q$6-$S225)/$T225))+1),0)</f>
        <v>0.0</v>
      </c>
      <c r="R225" s="97">
        <f>IF(ISNUMBER($S225),MAX(0,INT((R$6+6-$S225)/$T225)-MAX(0,-INT(-(R$6-$S225)/$T225))+1),0)</f>
        <v>0.0</v>
      </c>
      <c r="S225" t="str">
        <f>IF(ISNUMBER(INDEX(pl_period,216)),MAX(INDEX(pl_due,216),p_today),"")</f>
        <v/>
      </c>
      <c r="T225" t="str">
        <f>IF(ISNUMBER(INDEX(pl_period,216)),INDEX(pl_period,216),"")</f>
        <v/>
      </c>
      <c r="U225">
        <f>N(INDEX(pl_dur,216))</f>
        <v>0.0</v>
      </c>
    </row>
    <row r="226">
      <c r="A226" s="93" t="str">
        <f>IF(INDEX(pl_status,217)="","",INDEX(pl_num,217)&amp;"")</f>
        <v/>
      </c>
      <c r="B226" s="93" t="str">
        <f>IF(INDEX(pl_status,217)="","",INDEX(pl_eq,217)&amp;"")</f>
        <v/>
      </c>
      <c r="C226" s="93" t="str">
        <f>IF(INDEX(pl_status,217)="","",INDEX(pl_task,217)&amp;"")</f>
        <v/>
      </c>
      <c r="D226" s="94" t="str">
        <f>IF(ISNUMBER(INDEX(pl_due,217)),INDEX(pl_due,217),"")</f>
        <v/>
      </c>
      <c r="E226" s="95" t="str">
        <f>INDEX(pl_status,217)&amp;""</f>
        <v/>
      </c>
      <c r="F226" s="96" t="str">
        <f>IF(E226="En retard","●","")</f>
        <v/>
      </c>
      <c r="G226" s="97">
        <f>IF(ISNUMBER($S226),MAX(0,INT((G$6+6-$S226)/$T226)-MAX(0,-INT(-(G$6-$S226)/$T226))+1),0)</f>
        <v>0.0</v>
      </c>
      <c r="H226" s="97">
        <f>IF(ISNUMBER($S226),MAX(0,INT((H$6+6-$S226)/$T226)-MAX(0,-INT(-(H$6-$S226)/$T226))+1),0)</f>
        <v>0.0</v>
      </c>
      <c r="I226" s="97">
        <f>IF(ISNUMBER($S226),MAX(0,INT((I$6+6-$S226)/$T226)-MAX(0,-INT(-(I$6-$S226)/$T226))+1),0)</f>
        <v>0.0</v>
      </c>
      <c r="J226" s="97">
        <f>IF(ISNUMBER($S226),MAX(0,INT((J$6+6-$S226)/$T226)-MAX(0,-INT(-(J$6-$S226)/$T226))+1),0)</f>
        <v>0.0</v>
      </c>
      <c r="K226" s="97">
        <f>IF(ISNUMBER($S226),MAX(0,INT((K$6+6-$S226)/$T226)-MAX(0,-INT(-(K$6-$S226)/$T226))+1),0)</f>
        <v>0.0</v>
      </c>
      <c r="L226" s="97">
        <f>IF(ISNUMBER($S226),MAX(0,INT((L$6+6-$S226)/$T226)-MAX(0,-INT(-(L$6-$S226)/$T226))+1),0)</f>
        <v>0.0</v>
      </c>
      <c r="M226" s="97">
        <f>IF(ISNUMBER($S226),MAX(0,INT((M$6+6-$S226)/$T226)-MAX(0,-INT(-(M$6-$S226)/$T226))+1),0)</f>
        <v>0.0</v>
      </c>
      <c r="N226" s="97">
        <f>IF(ISNUMBER($S226),MAX(0,INT((N$6+6-$S226)/$T226)-MAX(0,-INT(-(N$6-$S226)/$T226))+1),0)</f>
        <v>0.0</v>
      </c>
      <c r="O226" s="97">
        <f>IF(ISNUMBER($S226),MAX(0,INT((O$6+6-$S226)/$T226)-MAX(0,-INT(-(O$6-$S226)/$T226))+1),0)</f>
        <v>0.0</v>
      </c>
      <c r="P226" s="97">
        <f>IF(ISNUMBER($S226),MAX(0,INT((P$6+6-$S226)/$T226)-MAX(0,-INT(-(P$6-$S226)/$T226))+1),0)</f>
        <v>0.0</v>
      </c>
      <c r="Q226" s="97">
        <f>IF(ISNUMBER($S226),MAX(0,INT((Q$6+6-$S226)/$T226)-MAX(0,-INT(-(Q$6-$S226)/$T226))+1),0)</f>
        <v>0.0</v>
      </c>
      <c r="R226" s="97">
        <f>IF(ISNUMBER($S226),MAX(0,INT((R$6+6-$S226)/$T226)-MAX(0,-INT(-(R$6-$S226)/$T226))+1),0)</f>
        <v>0.0</v>
      </c>
      <c r="S226" t="str">
        <f>IF(ISNUMBER(INDEX(pl_period,217)),MAX(INDEX(pl_due,217),p_today),"")</f>
        <v/>
      </c>
      <c r="T226" t="str">
        <f>IF(ISNUMBER(INDEX(pl_period,217)),INDEX(pl_period,217),"")</f>
        <v/>
      </c>
      <c r="U226">
        <f>N(INDEX(pl_dur,217))</f>
        <v>0.0</v>
      </c>
    </row>
    <row r="227">
      <c r="A227" s="93" t="str">
        <f>IF(INDEX(pl_status,218)="","",INDEX(pl_num,218)&amp;"")</f>
        <v/>
      </c>
      <c r="B227" s="93" t="str">
        <f>IF(INDEX(pl_status,218)="","",INDEX(pl_eq,218)&amp;"")</f>
        <v/>
      </c>
      <c r="C227" s="93" t="str">
        <f>IF(INDEX(pl_status,218)="","",INDEX(pl_task,218)&amp;"")</f>
        <v/>
      </c>
      <c r="D227" s="94" t="str">
        <f>IF(ISNUMBER(INDEX(pl_due,218)),INDEX(pl_due,218),"")</f>
        <v/>
      </c>
      <c r="E227" s="95" t="str">
        <f>INDEX(pl_status,218)&amp;""</f>
        <v/>
      </c>
      <c r="F227" s="96" t="str">
        <f>IF(E227="En retard","●","")</f>
        <v/>
      </c>
      <c r="G227" s="97">
        <f>IF(ISNUMBER($S227),MAX(0,INT((G$6+6-$S227)/$T227)-MAX(0,-INT(-(G$6-$S227)/$T227))+1),0)</f>
        <v>0.0</v>
      </c>
      <c r="H227" s="97">
        <f>IF(ISNUMBER($S227),MAX(0,INT((H$6+6-$S227)/$T227)-MAX(0,-INT(-(H$6-$S227)/$T227))+1),0)</f>
        <v>0.0</v>
      </c>
      <c r="I227" s="97">
        <f>IF(ISNUMBER($S227),MAX(0,INT((I$6+6-$S227)/$T227)-MAX(0,-INT(-(I$6-$S227)/$T227))+1),0)</f>
        <v>0.0</v>
      </c>
      <c r="J227" s="97">
        <f>IF(ISNUMBER($S227),MAX(0,INT((J$6+6-$S227)/$T227)-MAX(0,-INT(-(J$6-$S227)/$T227))+1),0)</f>
        <v>0.0</v>
      </c>
      <c r="K227" s="97">
        <f>IF(ISNUMBER($S227),MAX(0,INT((K$6+6-$S227)/$T227)-MAX(0,-INT(-(K$6-$S227)/$T227))+1),0)</f>
        <v>0.0</v>
      </c>
      <c r="L227" s="97">
        <f>IF(ISNUMBER($S227),MAX(0,INT((L$6+6-$S227)/$T227)-MAX(0,-INT(-(L$6-$S227)/$T227))+1),0)</f>
        <v>0.0</v>
      </c>
      <c r="M227" s="97">
        <f>IF(ISNUMBER($S227),MAX(0,INT((M$6+6-$S227)/$T227)-MAX(0,-INT(-(M$6-$S227)/$T227))+1),0)</f>
        <v>0.0</v>
      </c>
      <c r="N227" s="97">
        <f>IF(ISNUMBER($S227),MAX(0,INT((N$6+6-$S227)/$T227)-MAX(0,-INT(-(N$6-$S227)/$T227))+1),0)</f>
        <v>0.0</v>
      </c>
      <c r="O227" s="97">
        <f>IF(ISNUMBER($S227),MAX(0,INT((O$6+6-$S227)/$T227)-MAX(0,-INT(-(O$6-$S227)/$T227))+1),0)</f>
        <v>0.0</v>
      </c>
      <c r="P227" s="97">
        <f>IF(ISNUMBER($S227),MAX(0,INT((P$6+6-$S227)/$T227)-MAX(0,-INT(-(P$6-$S227)/$T227))+1),0)</f>
        <v>0.0</v>
      </c>
      <c r="Q227" s="97">
        <f>IF(ISNUMBER($S227),MAX(0,INT((Q$6+6-$S227)/$T227)-MAX(0,-INT(-(Q$6-$S227)/$T227))+1),0)</f>
        <v>0.0</v>
      </c>
      <c r="R227" s="97">
        <f>IF(ISNUMBER($S227),MAX(0,INT((R$6+6-$S227)/$T227)-MAX(0,-INT(-(R$6-$S227)/$T227))+1),0)</f>
        <v>0.0</v>
      </c>
      <c r="S227" t="str">
        <f>IF(ISNUMBER(INDEX(pl_period,218)),MAX(INDEX(pl_due,218),p_today),"")</f>
        <v/>
      </c>
      <c r="T227" t="str">
        <f>IF(ISNUMBER(INDEX(pl_period,218)),INDEX(pl_period,218),"")</f>
        <v/>
      </c>
      <c r="U227">
        <f>N(INDEX(pl_dur,218))</f>
        <v>0.0</v>
      </c>
    </row>
    <row r="228">
      <c r="A228" s="93" t="str">
        <f>IF(INDEX(pl_status,219)="","",INDEX(pl_num,219)&amp;"")</f>
        <v/>
      </c>
      <c r="B228" s="93" t="str">
        <f>IF(INDEX(pl_status,219)="","",INDEX(pl_eq,219)&amp;"")</f>
        <v/>
      </c>
      <c r="C228" s="93" t="str">
        <f>IF(INDEX(pl_status,219)="","",INDEX(pl_task,219)&amp;"")</f>
        <v/>
      </c>
      <c r="D228" s="94" t="str">
        <f>IF(ISNUMBER(INDEX(pl_due,219)),INDEX(pl_due,219),"")</f>
        <v/>
      </c>
      <c r="E228" s="95" t="str">
        <f>INDEX(pl_status,219)&amp;""</f>
        <v/>
      </c>
      <c r="F228" s="96" t="str">
        <f>IF(E228="En retard","●","")</f>
        <v/>
      </c>
      <c r="G228" s="97">
        <f>IF(ISNUMBER($S228),MAX(0,INT((G$6+6-$S228)/$T228)-MAX(0,-INT(-(G$6-$S228)/$T228))+1),0)</f>
        <v>0.0</v>
      </c>
      <c r="H228" s="97">
        <f>IF(ISNUMBER($S228),MAX(0,INT((H$6+6-$S228)/$T228)-MAX(0,-INT(-(H$6-$S228)/$T228))+1),0)</f>
        <v>0.0</v>
      </c>
      <c r="I228" s="97">
        <f>IF(ISNUMBER($S228),MAX(0,INT((I$6+6-$S228)/$T228)-MAX(0,-INT(-(I$6-$S228)/$T228))+1),0)</f>
        <v>0.0</v>
      </c>
      <c r="J228" s="97">
        <f>IF(ISNUMBER($S228),MAX(0,INT((J$6+6-$S228)/$T228)-MAX(0,-INT(-(J$6-$S228)/$T228))+1),0)</f>
        <v>0.0</v>
      </c>
      <c r="K228" s="97">
        <f>IF(ISNUMBER($S228),MAX(0,INT((K$6+6-$S228)/$T228)-MAX(0,-INT(-(K$6-$S228)/$T228))+1),0)</f>
        <v>0.0</v>
      </c>
      <c r="L228" s="97">
        <f>IF(ISNUMBER($S228),MAX(0,INT((L$6+6-$S228)/$T228)-MAX(0,-INT(-(L$6-$S228)/$T228))+1),0)</f>
        <v>0.0</v>
      </c>
      <c r="M228" s="97">
        <f>IF(ISNUMBER($S228),MAX(0,INT((M$6+6-$S228)/$T228)-MAX(0,-INT(-(M$6-$S228)/$T228))+1),0)</f>
        <v>0.0</v>
      </c>
      <c r="N228" s="97">
        <f>IF(ISNUMBER($S228),MAX(0,INT((N$6+6-$S228)/$T228)-MAX(0,-INT(-(N$6-$S228)/$T228))+1),0)</f>
        <v>0.0</v>
      </c>
      <c r="O228" s="97">
        <f>IF(ISNUMBER($S228),MAX(0,INT((O$6+6-$S228)/$T228)-MAX(0,-INT(-(O$6-$S228)/$T228))+1),0)</f>
        <v>0.0</v>
      </c>
      <c r="P228" s="97">
        <f>IF(ISNUMBER($S228),MAX(0,INT((P$6+6-$S228)/$T228)-MAX(0,-INT(-(P$6-$S228)/$T228))+1),0)</f>
        <v>0.0</v>
      </c>
      <c r="Q228" s="97">
        <f>IF(ISNUMBER($S228),MAX(0,INT((Q$6+6-$S228)/$T228)-MAX(0,-INT(-(Q$6-$S228)/$T228))+1),0)</f>
        <v>0.0</v>
      </c>
      <c r="R228" s="97">
        <f>IF(ISNUMBER($S228),MAX(0,INT((R$6+6-$S228)/$T228)-MAX(0,-INT(-(R$6-$S228)/$T228))+1),0)</f>
        <v>0.0</v>
      </c>
      <c r="S228" t="str">
        <f>IF(ISNUMBER(INDEX(pl_period,219)),MAX(INDEX(pl_due,219),p_today),"")</f>
        <v/>
      </c>
      <c r="T228" t="str">
        <f>IF(ISNUMBER(INDEX(pl_period,219)),INDEX(pl_period,219),"")</f>
        <v/>
      </c>
      <c r="U228">
        <f>N(INDEX(pl_dur,219))</f>
        <v>0.0</v>
      </c>
    </row>
    <row r="229">
      <c r="A229" s="93" t="str">
        <f>IF(INDEX(pl_status,220)="","",INDEX(pl_num,220)&amp;"")</f>
        <v/>
      </c>
      <c r="B229" s="93" t="str">
        <f>IF(INDEX(pl_status,220)="","",INDEX(pl_eq,220)&amp;"")</f>
        <v/>
      </c>
      <c r="C229" s="93" t="str">
        <f>IF(INDEX(pl_status,220)="","",INDEX(pl_task,220)&amp;"")</f>
        <v/>
      </c>
      <c r="D229" s="94" t="str">
        <f>IF(ISNUMBER(INDEX(pl_due,220)),INDEX(pl_due,220),"")</f>
        <v/>
      </c>
      <c r="E229" s="95" t="str">
        <f>INDEX(pl_status,220)&amp;""</f>
        <v/>
      </c>
      <c r="F229" s="96" t="str">
        <f>IF(E229="En retard","●","")</f>
        <v/>
      </c>
      <c r="G229" s="97">
        <f>IF(ISNUMBER($S229),MAX(0,INT((G$6+6-$S229)/$T229)-MAX(0,-INT(-(G$6-$S229)/$T229))+1),0)</f>
        <v>0.0</v>
      </c>
      <c r="H229" s="97">
        <f>IF(ISNUMBER($S229),MAX(0,INT((H$6+6-$S229)/$T229)-MAX(0,-INT(-(H$6-$S229)/$T229))+1),0)</f>
        <v>0.0</v>
      </c>
      <c r="I229" s="97">
        <f>IF(ISNUMBER($S229),MAX(0,INT((I$6+6-$S229)/$T229)-MAX(0,-INT(-(I$6-$S229)/$T229))+1),0)</f>
        <v>0.0</v>
      </c>
      <c r="J229" s="97">
        <f>IF(ISNUMBER($S229),MAX(0,INT((J$6+6-$S229)/$T229)-MAX(0,-INT(-(J$6-$S229)/$T229))+1),0)</f>
        <v>0.0</v>
      </c>
      <c r="K229" s="97">
        <f>IF(ISNUMBER($S229),MAX(0,INT((K$6+6-$S229)/$T229)-MAX(0,-INT(-(K$6-$S229)/$T229))+1),0)</f>
        <v>0.0</v>
      </c>
      <c r="L229" s="97">
        <f>IF(ISNUMBER($S229),MAX(0,INT((L$6+6-$S229)/$T229)-MAX(0,-INT(-(L$6-$S229)/$T229))+1),0)</f>
        <v>0.0</v>
      </c>
      <c r="M229" s="97">
        <f>IF(ISNUMBER($S229),MAX(0,INT((M$6+6-$S229)/$T229)-MAX(0,-INT(-(M$6-$S229)/$T229))+1),0)</f>
        <v>0.0</v>
      </c>
      <c r="N229" s="97">
        <f>IF(ISNUMBER($S229),MAX(0,INT((N$6+6-$S229)/$T229)-MAX(0,-INT(-(N$6-$S229)/$T229))+1),0)</f>
        <v>0.0</v>
      </c>
      <c r="O229" s="97">
        <f>IF(ISNUMBER($S229),MAX(0,INT((O$6+6-$S229)/$T229)-MAX(0,-INT(-(O$6-$S229)/$T229))+1),0)</f>
        <v>0.0</v>
      </c>
      <c r="P229" s="97">
        <f>IF(ISNUMBER($S229),MAX(0,INT((P$6+6-$S229)/$T229)-MAX(0,-INT(-(P$6-$S229)/$T229))+1),0)</f>
        <v>0.0</v>
      </c>
      <c r="Q229" s="97">
        <f>IF(ISNUMBER($S229),MAX(0,INT((Q$6+6-$S229)/$T229)-MAX(0,-INT(-(Q$6-$S229)/$T229))+1),0)</f>
        <v>0.0</v>
      </c>
      <c r="R229" s="97">
        <f>IF(ISNUMBER($S229),MAX(0,INT((R$6+6-$S229)/$T229)-MAX(0,-INT(-(R$6-$S229)/$T229))+1),0)</f>
        <v>0.0</v>
      </c>
      <c r="S229" t="str">
        <f>IF(ISNUMBER(INDEX(pl_period,220)),MAX(INDEX(pl_due,220),p_today),"")</f>
        <v/>
      </c>
      <c r="T229" t="str">
        <f>IF(ISNUMBER(INDEX(pl_period,220)),INDEX(pl_period,220),"")</f>
        <v/>
      </c>
      <c r="U229">
        <f>N(INDEX(pl_dur,220))</f>
        <v>0.0</v>
      </c>
    </row>
    <row r="230">
      <c r="A230" s="93" t="str">
        <f>IF(INDEX(pl_status,221)="","",INDEX(pl_num,221)&amp;"")</f>
        <v/>
      </c>
      <c r="B230" s="93" t="str">
        <f>IF(INDEX(pl_status,221)="","",INDEX(pl_eq,221)&amp;"")</f>
        <v/>
      </c>
      <c r="C230" s="93" t="str">
        <f>IF(INDEX(pl_status,221)="","",INDEX(pl_task,221)&amp;"")</f>
        <v/>
      </c>
      <c r="D230" s="94" t="str">
        <f>IF(ISNUMBER(INDEX(pl_due,221)),INDEX(pl_due,221),"")</f>
        <v/>
      </c>
      <c r="E230" s="95" t="str">
        <f>INDEX(pl_status,221)&amp;""</f>
        <v/>
      </c>
      <c r="F230" s="96" t="str">
        <f>IF(E230="En retard","●","")</f>
        <v/>
      </c>
      <c r="G230" s="97">
        <f>IF(ISNUMBER($S230),MAX(0,INT((G$6+6-$S230)/$T230)-MAX(0,-INT(-(G$6-$S230)/$T230))+1),0)</f>
        <v>0.0</v>
      </c>
      <c r="H230" s="97">
        <f>IF(ISNUMBER($S230),MAX(0,INT((H$6+6-$S230)/$T230)-MAX(0,-INT(-(H$6-$S230)/$T230))+1),0)</f>
        <v>0.0</v>
      </c>
      <c r="I230" s="97">
        <f>IF(ISNUMBER($S230),MAX(0,INT((I$6+6-$S230)/$T230)-MAX(0,-INT(-(I$6-$S230)/$T230))+1),0)</f>
        <v>0.0</v>
      </c>
      <c r="J230" s="97">
        <f>IF(ISNUMBER($S230),MAX(0,INT((J$6+6-$S230)/$T230)-MAX(0,-INT(-(J$6-$S230)/$T230))+1),0)</f>
        <v>0.0</v>
      </c>
      <c r="K230" s="97">
        <f>IF(ISNUMBER($S230),MAX(0,INT((K$6+6-$S230)/$T230)-MAX(0,-INT(-(K$6-$S230)/$T230))+1),0)</f>
        <v>0.0</v>
      </c>
      <c r="L230" s="97">
        <f>IF(ISNUMBER($S230),MAX(0,INT((L$6+6-$S230)/$T230)-MAX(0,-INT(-(L$6-$S230)/$T230))+1),0)</f>
        <v>0.0</v>
      </c>
      <c r="M230" s="97">
        <f>IF(ISNUMBER($S230),MAX(0,INT((M$6+6-$S230)/$T230)-MAX(0,-INT(-(M$6-$S230)/$T230))+1),0)</f>
        <v>0.0</v>
      </c>
      <c r="N230" s="97">
        <f>IF(ISNUMBER($S230),MAX(0,INT((N$6+6-$S230)/$T230)-MAX(0,-INT(-(N$6-$S230)/$T230))+1),0)</f>
        <v>0.0</v>
      </c>
      <c r="O230" s="97">
        <f>IF(ISNUMBER($S230),MAX(0,INT((O$6+6-$S230)/$T230)-MAX(0,-INT(-(O$6-$S230)/$T230))+1),0)</f>
        <v>0.0</v>
      </c>
      <c r="P230" s="97">
        <f>IF(ISNUMBER($S230),MAX(0,INT((P$6+6-$S230)/$T230)-MAX(0,-INT(-(P$6-$S230)/$T230))+1),0)</f>
        <v>0.0</v>
      </c>
      <c r="Q230" s="97">
        <f>IF(ISNUMBER($S230),MAX(0,INT((Q$6+6-$S230)/$T230)-MAX(0,-INT(-(Q$6-$S230)/$T230))+1),0)</f>
        <v>0.0</v>
      </c>
      <c r="R230" s="97">
        <f>IF(ISNUMBER($S230),MAX(0,INT((R$6+6-$S230)/$T230)-MAX(0,-INT(-(R$6-$S230)/$T230))+1),0)</f>
        <v>0.0</v>
      </c>
      <c r="S230" t="str">
        <f>IF(ISNUMBER(INDEX(pl_period,221)),MAX(INDEX(pl_due,221),p_today),"")</f>
        <v/>
      </c>
      <c r="T230" t="str">
        <f>IF(ISNUMBER(INDEX(pl_period,221)),INDEX(pl_period,221),"")</f>
        <v/>
      </c>
      <c r="U230">
        <f>N(INDEX(pl_dur,221))</f>
        <v>0.0</v>
      </c>
    </row>
    <row r="231">
      <c r="A231" s="93" t="str">
        <f>IF(INDEX(pl_status,222)="","",INDEX(pl_num,222)&amp;"")</f>
        <v/>
      </c>
      <c r="B231" s="93" t="str">
        <f>IF(INDEX(pl_status,222)="","",INDEX(pl_eq,222)&amp;"")</f>
        <v/>
      </c>
      <c r="C231" s="93" t="str">
        <f>IF(INDEX(pl_status,222)="","",INDEX(pl_task,222)&amp;"")</f>
        <v/>
      </c>
      <c r="D231" s="94" t="str">
        <f>IF(ISNUMBER(INDEX(pl_due,222)),INDEX(pl_due,222),"")</f>
        <v/>
      </c>
      <c r="E231" s="95" t="str">
        <f>INDEX(pl_status,222)&amp;""</f>
        <v/>
      </c>
      <c r="F231" s="96" t="str">
        <f>IF(E231="En retard","●","")</f>
        <v/>
      </c>
      <c r="G231" s="97">
        <f>IF(ISNUMBER($S231),MAX(0,INT((G$6+6-$S231)/$T231)-MAX(0,-INT(-(G$6-$S231)/$T231))+1),0)</f>
        <v>0.0</v>
      </c>
      <c r="H231" s="97">
        <f>IF(ISNUMBER($S231),MAX(0,INT((H$6+6-$S231)/$T231)-MAX(0,-INT(-(H$6-$S231)/$T231))+1),0)</f>
        <v>0.0</v>
      </c>
      <c r="I231" s="97">
        <f>IF(ISNUMBER($S231),MAX(0,INT((I$6+6-$S231)/$T231)-MAX(0,-INT(-(I$6-$S231)/$T231))+1),0)</f>
        <v>0.0</v>
      </c>
      <c r="J231" s="97">
        <f>IF(ISNUMBER($S231),MAX(0,INT((J$6+6-$S231)/$T231)-MAX(0,-INT(-(J$6-$S231)/$T231))+1),0)</f>
        <v>0.0</v>
      </c>
      <c r="K231" s="97">
        <f>IF(ISNUMBER($S231),MAX(0,INT((K$6+6-$S231)/$T231)-MAX(0,-INT(-(K$6-$S231)/$T231))+1),0)</f>
        <v>0.0</v>
      </c>
      <c r="L231" s="97">
        <f>IF(ISNUMBER($S231),MAX(0,INT((L$6+6-$S231)/$T231)-MAX(0,-INT(-(L$6-$S231)/$T231))+1),0)</f>
        <v>0.0</v>
      </c>
      <c r="M231" s="97">
        <f>IF(ISNUMBER($S231),MAX(0,INT((M$6+6-$S231)/$T231)-MAX(0,-INT(-(M$6-$S231)/$T231))+1),0)</f>
        <v>0.0</v>
      </c>
      <c r="N231" s="97">
        <f>IF(ISNUMBER($S231),MAX(0,INT((N$6+6-$S231)/$T231)-MAX(0,-INT(-(N$6-$S231)/$T231))+1),0)</f>
        <v>0.0</v>
      </c>
      <c r="O231" s="97">
        <f>IF(ISNUMBER($S231),MAX(0,INT((O$6+6-$S231)/$T231)-MAX(0,-INT(-(O$6-$S231)/$T231))+1),0)</f>
        <v>0.0</v>
      </c>
      <c r="P231" s="97">
        <f>IF(ISNUMBER($S231),MAX(0,INT((P$6+6-$S231)/$T231)-MAX(0,-INT(-(P$6-$S231)/$T231))+1),0)</f>
        <v>0.0</v>
      </c>
      <c r="Q231" s="97">
        <f>IF(ISNUMBER($S231),MAX(0,INT((Q$6+6-$S231)/$T231)-MAX(0,-INT(-(Q$6-$S231)/$T231))+1),0)</f>
        <v>0.0</v>
      </c>
      <c r="R231" s="97">
        <f>IF(ISNUMBER($S231),MAX(0,INT((R$6+6-$S231)/$T231)-MAX(0,-INT(-(R$6-$S231)/$T231))+1),0)</f>
        <v>0.0</v>
      </c>
      <c r="S231" t="str">
        <f>IF(ISNUMBER(INDEX(pl_period,222)),MAX(INDEX(pl_due,222),p_today),"")</f>
        <v/>
      </c>
      <c r="T231" t="str">
        <f>IF(ISNUMBER(INDEX(pl_period,222)),INDEX(pl_period,222),"")</f>
        <v/>
      </c>
      <c r="U231">
        <f>N(INDEX(pl_dur,222))</f>
        <v>0.0</v>
      </c>
    </row>
    <row r="232">
      <c r="A232" s="93" t="str">
        <f>IF(INDEX(pl_status,223)="","",INDEX(pl_num,223)&amp;"")</f>
        <v/>
      </c>
      <c r="B232" s="93" t="str">
        <f>IF(INDEX(pl_status,223)="","",INDEX(pl_eq,223)&amp;"")</f>
        <v/>
      </c>
      <c r="C232" s="93" t="str">
        <f>IF(INDEX(pl_status,223)="","",INDEX(pl_task,223)&amp;"")</f>
        <v/>
      </c>
      <c r="D232" s="94" t="str">
        <f>IF(ISNUMBER(INDEX(pl_due,223)),INDEX(pl_due,223),"")</f>
        <v/>
      </c>
      <c r="E232" s="95" t="str">
        <f>INDEX(pl_status,223)&amp;""</f>
        <v/>
      </c>
      <c r="F232" s="96" t="str">
        <f>IF(E232="En retard","●","")</f>
        <v/>
      </c>
      <c r="G232" s="97">
        <f>IF(ISNUMBER($S232),MAX(0,INT((G$6+6-$S232)/$T232)-MAX(0,-INT(-(G$6-$S232)/$T232))+1),0)</f>
        <v>0.0</v>
      </c>
      <c r="H232" s="97">
        <f>IF(ISNUMBER($S232),MAX(0,INT((H$6+6-$S232)/$T232)-MAX(0,-INT(-(H$6-$S232)/$T232))+1),0)</f>
        <v>0.0</v>
      </c>
      <c r="I232" s="97">
        <f>IF(ISNUMBER($S232),MAX(0,INT((I$6+6-$S232)/$T232)-MAX(0,-INT(-(I$6-$S232)/$T232))+1),0)</f>
        <v>0.0</v>
      </c>
      <c r="J232" s="97">
        <f>IF(ISNUMBER($S232),MAX(0,INT((J$6+6-$S232)/$T232)-MAX(0,-INT(-(J$6-$S232)/$T232))+1),0)</f>
        <v>0.0</v>
      </c>
      <c r="K232" s="97">
        <f>IF(ISNUMBER($S232),MAX(0,INT((K$6+6-$S232)/$T232)-MAX(0,-INT(-(K$6-$S232)/$T232))+1),0)</f>
        <v>0.0</v>
      </c>
      <c r="L232" s="97">
        <f>IF(ISNUMBER($S232),MAX(0,INT((L$6+6-$S232)/$T232)-MAX(0,-INT(-(L$6-$S232)/$T232))+1),0)</f>
        <v>0.0</v>
      </c>
      <c r="M232" s="97">
        <f>IF(ISNUMBER($S232),MAX(0,INT((M$6+6-$S232)/$T232)-MAX(0,-INT(-(M$6-$S232)/$T232))+1),0)</f>
        <v>0.0</v>
      </c>
      <c r="N232" s="97">
        <f>IF(ISNUMBER($S232),MAX(0,INT((N$6+6-$S232)/$T232)-MAX(0,-INT(-(N$6-$S232)/$T232))+1),0)</f>
        <v>0.0</v>
      </c>
      <c r="O232" s="97">
        <f>IF(ISNUMBER($S232),MAX(0,INT((O$6+6-$S232)/$T232)-MAX(0,-INT(-(O$6-$S232)/$T232))+1),0)</f>
        <v>0.0</v>
      </c>
      <c r="P232" s="97">
        <f>IF(ISNUMBER($S232),MAX(0,INT((P$6+6-$S232)/$T232)-MAX(0,-INT(-(P$6-$S232)/$T232))+1),0)</f>
        <v>0.0</v>
      </c>
      <c r="Q232" s="97">
        <f>IF(ISNUMBER($S232),MAX(0,INT((Q$6+6-$S232)/$T232)-MAX(0,-INT(-(Q$6-$S232)/$T232))+1),0)</f>
        <v>0.0</v>
      </c>
      <c r="R232" s="97">
        <f>IF(ISNUMBER($S232),MAX(0,INT((R$6+6-$S232)/$T232)-MAX(0,-INT(-(R$6-$S232)/$T232))+1),0)</f>
        <v>0.0</v>
      </c>
      <c r="S232" t="str">
        <f>IF(ISNUMBER(INDEX(pl_period,223)),MAX(INDEX(pl_due,223),p_today),"")</f>
        <v/>
      </c>
      <c r="T232" t="str">
        <f>IF(ISNUMBER(INDEX(pl_period,223)),INDEX(pl_period,223),"")</f>
        <v/>
      </c>
      <c r="U232">
        <f>N(INDEX(pl_dur,223))</f>
        <v>0.0</v>
      </c>
    </row>
    <row r="233">
      <c r="A233" s="93" t="str">
        <f>IF(INDEX(pl_status,224)="","",INDEX(pl_num,224)&amp;"")</f>
        <v/>
      </c>
      <c r="B233" s="93" t="str">
        <f>IF(INDEX(pl_status,224)="","",INDEX(pl_eq,224)&amp;"")</f>
        <v/>
      </c>
      <c r="C233" s="93" t="str">
        <f>IF(INDEX(pl_status,224)="","",INDEX(pl_task,224)&amp;"")</f>
        <v/>
      </c>
      <c r="D233" s="94" t="str">
        <f>IF(ISNUMBER(INDEX(pl_due,224)),INDEX(pl_due,224),"")</f>
        <v/>
      </c>
      <c r="E233" s="95" t="str">
        <f>INDEX(pl_status,224)&amp;""</f>
        <v/>
      </c>
      <c r="F233" s="96" t="str">
        <f>IF(E233="En retard","●","")</f>
        <v/>
      </c>
      <c r="G233" s="97">
        <f>IF(ISNUMBER($S233),MAX(0,INT((G$6+6-$S233)/$T233)-MAX(0,-INT(-(G$6-$S233)/$T233))+1),0)</f>
        <v>0.0</v>
      </c>
      <c r="H233" s="97">
        <f>IF(ISNUMBER($S233),MAX(0,INT((H$6+6-$S233)/$T233)-MAX(0,-INT(-(H$6-$S233)/$T233))+1),0)</f>
        <v>0.0</v>
      </c>
      <c r="I233" s="97">
        <f>IF(ISNUMBER($S233),MAX(0,INT((I$6+6-$S233)/$T233)-MAX(0,-INT(-(I$6-$S233)/$T233))+1),0)</f>
        <v>0.0</v>
      </c>
      <c r="J233" s="97">
        <f>IF(ISNUMBER($S233),MAX(0,INT((J$6+6-$S233)/$T233)-MAX(0,-INT(-(J$6-$S233)/$T233))+1),0)</f>
        <v>0.0</v>
      </c>
      <c r="K233" s="97">
        <f>IF(ISNUMBER($S233),MAX(0,INT((K$6+6-$S233)/$T233)-MAX(0,-INT(-(K$6-$S233)/$T233))+1),0)</f>
        <v>0.0</v>
      </c>
      <c r="L233" s="97">
        <f>IF(ISNUMBER($S233),MAX(0,INT((L$6+6-$S233)/$T233)-MAX(0,-INT(-(L$6-$S233)/$T233))+1),0)</f>
        <v>0.0</v>
      </c>
      <c r="M233" s="97">
        <f>IF(ISNUMBER($S233),MAX(0,INT((M$6+6-$S233)/$T233)-MAX(0,-INT(-(M$6-$S233)/$T233))+1),0)</f>
        <v>0.0</v>
      </c>
      <c r="N233" s="97">
        <f>IF(ISNUMBER($S233),MAX(0,INT((N$6+6-$S233)/$T233)-MAX(0,-INT(-(N$6-$S233)/$T233))+1),0)</f>
        <v>0.0</v>
      </c>
      <c r="O233" s="97">
        <f>IF(ISNUMBER($S233),MAX(0,INT((O$6+6-$S233)/$T233)-MAX(0,-INT(-(O$6-$S233)/$T233))+1),0)</f>
        <v>0.0</v>
      </c>
      <c r="P233" s="97">
        <f>IF(ISNUMBER($S233),MAX(0,INT((P$6+6-$S233)/$T233)-MAX(0,-INT(-(P$6-$S233)/$T233))+1),0)</f>
        <v>0.0</v>
      </c>
      <c r="Q233" s="97">
        <f>IF(ISNUMBER($S233),MAX(0,INT((Q$6+6-$S233)/$T233)-MAX(0,-INT(-(Q$6-$S233)/$T233))+1),0)</f>
        <v>0.0</v>
      </c>
      <c r="R233" s="97">
        <f>IF(ISNUMBER($S233),MAX(0,INT((R$6+6-$S233)/$T233)-MAX(0,-INT(-(R$6-$S233)/$T233))+1),0)</f>
        <v>0.0</v>
      </c>
      <c r="S233" t="str">
        <f>IF(ISNUMBER(INDEX(pl_period,224)),MAX(INDEX(pl_due,224),p_today),"")</f>
        <v/>
      </c>
      <c r="T233" t="str">
        <f>IF(ISNUMBER(INDEX(pl_period,224)),INDEX(pl_period,224),"")</f>
        <v/>
      </c>
      <c r="U233">
        <f>N(INDEX(pl_dur,224))</f>
        <v>0.0</v>
      </c>
    </row>
    <row r="234">
      <c r="A234" s="93" t="str">
        <f>IF(INDEX(pl_status,225)="","",INDEX(pl_num,225)&amp;"")</f>
        <v/>
      </c>
      <c r="B234" s="93" t="str">
        <f>IF(INDEX(pl_status,225)="","",INDEX(pl_eq,225)&amp;"")</f>
        <v/>
      </c>
      <c r="C234" s="93" t="str">
        <f>IF(INDEX(pl_status,225)="","",INDEX(pl_task,225)&amp;"")</f>
        <v/>
      </c>
      <c r="D234" s="94" t="str">
        <f>IF(ISNUMBER(INDEX(pl_due,225)),INDEX(pl_due,225),"")</f>
        <v/>
      </c>
      <c r="E234" s="95" t="str">
        <f>INDEX(pl_status,225)&amp;""</f>
        <v/>
      </c>
      <c r="F234" s="96" t="str">
        <f>IF(E234="En retard","●","")</f>
        <v/>
      </c>
      <c r="G234" s="97">
        <f>IF(ISNUMBER($S234),MAX(0,INT((G$6+6-$S234)/$T234)-MAX(0,-INT(-(G$6-$S234)/$T234))+1),0)</f>
        <v>0.0</v>
      </c>
      <c r="H234" s="97">
        <f>IF(ISNUMBER($S234),MAX(0,INT((H$6+6-$S234)/$T234)-MAX(0,-INT(-(H$6-$S234)/$T234))+1),0)</f>
        <v>0.0</v>
      </c>
      <c r="I234" s="97">
        <f>IF(ISNUMBER($S234),MAX(0,INT((I$6+6-$S234)/$T234)-MAX(0,-INT(-(I$6-$S234)/$T234))+1),0)</f>
        <v>0.0</v>
      </c>
      <c r="J234" s="97">
        <f>IF(ISNUMBER($S234),MAX(0,INT((J$6+6-$S234)/$T234)-MAX(0,-INT(-(J$6-$S234)/$T234))+1),0)</f>
        <v>0.0</v>
      </c>
      <c r="K234" s="97">
        <f>IF(ISNUMBER($S234),MAX(0,INT((K$6+6-$S234)/$T234)-MAX(0,-INT(-(K$6-$S234)/$T234))+1),0)</f>
        <v>0.0</v>
      </c>
      <c r="L234" s="97">
        <f>IF(ISNUMBER($S234),MAX(0,INT((L$6+6-$S234)/$T234)-MAX(0,-INT(-(L$6-$S234)/$T234))+1),0)</f>
        <v>0.0</v>
      </c>
      <c r="M234" s="97">
        <f>IF(ISNUMBER($S234),MAX(0,INT((M$6+6-$S234)/$T234)-MAX(0,-INT(-(M$6-$S234)/$T234))+1),0)</f>
        <v>0.0</v>
      </c>
      <c r="N234" s="97">
        <f>IF(ISNUMBER($S234),MAX(0,INT((N$6+6-$S234)/$T234)-MAX(0,-INT(-(N$6-$S234)/$T234))+1),0)</f>
        <v>0.0</v>
      </c>
      <c r="O234" s="97">
        <f>IF(ISNUMBER($S234),MAX(0,INT((O$6+6-$S234)/$T234)-MAX(0,-INT(-(O$6-$S234)/$T234))+1),0)</f>
        <v>0.0</v>
      </c>
      <c r="P234" s="97">
        <f>IF(ISNUMBER($S234),MAX(0,INT((P$6+6-$S234)/$T234)-MAX(0,-INT(-(P$6-$S234)/$T234))+1),0)</f>
        <v>0.0</v>
      </c>
      <c r="Q234" s="97">
        <f>IF(ISNUMBER($S234),MAX(0,INT((Q$6+6-$S234)/$T234)-MAX(0,-INT(-(Q$6-$S234)/$T234))+1),0)</f>
        <v>0.0</v>
      </c>
      <c r="R234" s="97">
        <f>IF(ISNUMBER($S234),MAX(0,INT((R$6+6-$S234)/$T234)-MAX(0,-INT(-(R$6-$S234)/$T234))+1),0)</f>
        <v>0.0</v>
      </c>
      <c r="S234" t="str">
        <f>IF(ISNUMBER(INDEX(pl_period,225)),MAX(INDEX(pl_due,225),p_today),"")</f>
        <v/>
      </c>
      <c r="T234" t="str">
        <f>IF(ISNUMBER(INDEX(pl_period,225)),INDEX(pl_period,225),"")</f>
        <v/>
      </c>
      <c r="U234">
        <f>N(INDEX(pl_dur,225))</f>
        <v>0.0</v>
      </c>
    </row>
    <row r="235">
      <c r="A235" s="93" t="str">
        <f>IF(INDEX(pl_status,226)="","",INDEX(pl_num,226)&amp;"")</f>
        <v/>
      </c>
      <c r="B235" s="93" t="str">
        <f>IF(INDEX(pl_status,226)="","",INDEX(pl_eq,226)&amp;"")</f>
        <v/>
      </c>
      <c r="C235" s="93" t="str">
        <f>IF(INDEX(pl_status,226)="","",INDEX(pl_task,226)&amp;"")</f>
        <v/>
      </c>
      <c r="D235" s="94" t="str">
        <f>IF(ISNUMBER(INDEX(pl_due,226)),INDEX(pl_due,226),"")</f>
        <v/>
      </c>
      <c r="E235" s="95" t="str">
        <f>INDEX(pl_status,226)&amp;""</f>
        <v/>
      </c>
      <c r="F235" s="96" t="str">
        <f>IF(E235="En retard","●","")</f>
        <v/>
      </c>
      <c r="G235" s="97">
        <f>IF(ISNUMBER($S235),MAX(0,INT((G$6+6-$S235)/$T235)-MAX(0,-INT(-(G$6-$S235)/$T235))+1),0)</f>
        <v>0.0</v>
      </c>
      <c r="H235" s="97">
        <f>IF(ISNUMBER($S235),MAX(0,INT((H$6+6-$S235)/$T235)-MAX(0,-INT(-(H$6-$S235)/$T235))+1),0)</f>
        <v>0.0</v>
      </c>
      <c r="I235" s="97">
        <f>IF(ISNUMBER($S235),MAX(0,INT((I$6+6-$S235)/$T235)-MAX(0,-INT(-(I$6-$S235)/$T235))+1),0)</f>
        <v>0.0</v>
      </c>
      <c r="J235" s="97">
        <f>IF(ISNUMBER($S235),MAX(0,INT((J$6+6-$S235)/$T235)-MAX(0,-INT(-(J$6-$S235)/$T235))+1),0)</f>
        <v>0.0</v>
      </c>
      <c r="K235" s="97">
        <f>IF(ISNUMBER($S235),MAX(0,INT((K$6+6-$S235)/$T235)-MAX(0,-INT(-(K$6-$S235)/$T235))+1),0)</f>
        <v>0.0</v>
      </c>
      <c r="L235" s="97">
        <f>IF(ISNUMBER($S235),MAX(0,INT((L$6+6-$S235)/$T235)-MAX(0,-INT(-(L$6-$S235)/$T235))+1),0)</f>
        <v>0.0</v>
      </c>
      <c r="M235" s="97">
        <f>IF(ISNUMBER($S235),MAX(0,INT((M$6+6-$S235)/$T235)-MAX(0,-INT(-(M$6-$S235)/$T235))+1),0)</f>
        <v>0.0</v>
      </c>
      <c r="N235" s="97">
        <f>IF(ISNUMBER($S235),MAX(0,INT((N$6+6-$S235)/$T235)-MAX(0,-INT(-(N$6-$S235)/$T235))+1),0)</f>
        <v>0.0</v>
      </c>
      <c r="O235" s="97">
        <f>IF(ISNUMBER($S235),MAX(0,INT((O$6+6-$S235)/$T235)-MAX(0,-INT(-(O$6-$S235)/$T235))+1),0)</f>
        <v>0.0</v>
      </c>
      <c r="P235" s="97">
        <f>IF(ISNUMBER($S235),MAX(0,INT((P$6+6-$S235)/$T235)-MAX(0,-INT(-(P$6-$S235)/$T235))+1),0)</f>
        <v>0.0</v>
      </c>
      <c r="Q235" s="97">
        <f>IF(ISNUMBER($S235),MAX(0,INT((Q$6+6-$S235)/$T235)-MAX(0,-INT(-(Q$6-$S235)/$T235))+1),0)</f>
        <v>0.0</v>
      </c>
      <c r="R235" s="97">
        <f>IF(ISNUMBER($S235),MAX(0,INT((R$6+6-$S235)/$T235)-MAX(0,-INT(-(R$6-$S235)/$T235))+1),0)</f>
        <v>0.0</v>
      </c>
      <c r="S235" t="str">
        <f>IF(ISNUMBER(INDEX(pl_period,226)),MAX(INDEX(pl_due,226),p_today),"")</f>
        <v/>
      </c>
      <c r="T235" t="str">
        <f>IF(ISNUMBER(INDEX(pl_period,226)),INDEX(pl_period,226),"")</f>
        <v/>
      </c>
      <c r="U235">
        <f>N(INDEX(pl_dur,226))</f>
        <v>0.0</v>
      </c>
    </row>
    <row r="236">
      <c r="A236" s="93" t="str">
        <f>IF(INDEX(pl_status,227)="","",INDEX(pl_num,227)&amp;"")</f>
        <v/>
      </c>
      <c r="B236" s="93" t="str">
        <f>IF(INDEX(pl_status,227)="","",INDEX(pl_eq,227)&amp;"")</f>
        <v/>
      </c>
      <c r="C236" s="93" t="str">
        <f>IF(INDEX(pl_status,227)="","",INDEX(pl_task,227)&amp;"")</f>
        <v/>
      </c>
      <c r="D236" s="94" t="str">
        <f>IF(ISNUMBER(INDEX(pl_due,227)),INDEX(pl_due,227),"")</f>
        <v/>
      </c>
      <c r="E236" s="95" t="str">
        <f>INDEX(pl_status,227)&amp;""</f>
        <v/>
      </c>
      <c r="F236" s="96" t="str">
        <f>IF(E236="En retard","●","")</f>
        <v/>
      </c>
      <c r="G236" s="97">
        <f>IF(ISNUMBER($S236),MAX(0,INT((G$6+6-$S236)/$T236)-MAX(0,-INT(-(G$6-$S236)/$T236))+1),0)</f>
        <v>0.0</v>
      </c>
      <c r="H236" s="97">
        <f>IF(ISNUMBER($S236),MAX(0,INT((H$6+6-$S236)/$T236)-MAX(0,-INT(-(H$6-$S236)/$T236))+1),0)</f>
        <v>0.0</v>
      </c>
      <c r="I236" s="97">
        <f>IF(ISNUMBER($S236),MAX(0,INT((I$6+6-$S236)/$T236)-MAX(0,-INT(-(I$6-$S236)/$T236))+1),0)</f>
        <v>0.0</v>
      </c>
      <c r="J236" s="97">
        <f>IF(ISNUMBER($S236),MAX(0,INT((J$6+6-$S236)/$T236)-MAX(0,-INT(-(J$6-$S236)/$T236))+1),0)</f>
        <v>0.0</v>
      </c>
      <c r="K236" s="97">
        <f>IF(ISNUMBER($S236),MAX(0,INT((K$6+6-$S236)/$T236)-MAX(0,-INT(-(K$6-$S236)/$T236))+1),0)</f>
        <v>0.0</v>
      </c>
      <c r="L236" s="97">
        <f>IF(ISNUMBER($S236),MAX(0,INT((L$6+6-$S236)/$T236)-MAX(0,-INT(-(L$6-$S236)/$T236))+1),0)</f>
        <v>0.0</v>
      </c>
      <c r="M236" s="97">
        <f>IF(ISNUMBER($S236),MAX(0,INT((M$6+6-$S236)/$T236)-MAX(0,-INT(-(M$6-$S236)/$T236))+1),0)</f>
        <v>0.0</v>
      </c>
      <c r="N236" s="97">
        <f>IF(ISNUMBER($S236),MAX(0,INT((N$6+6-$S236)/$T236)-MAX(0,-INT(-(N$6-$S236)/$T236))+1),0)</f>
        <v>0.0</v>
      </c>
      <c r="O236" s="97">
        <f>IF(ISNUMBER($S236),MAX(0,INT((O$6+6-$S236)/$T236)-MAX(0,-INT(-(O$6-$S236)/$T236))+1),0)</f>
        <v>0.0</v>
      </c>
      <c r="P236" s="97">
        <f>IF(ISNUMBER($S236),MAX(0,INT((P$6+6-$S236)/$T236)-MAX(0,-INT(-(P$6-$S236)/$T236))+1),0)</f>
        <v>0.0</v>
      </c>
      <c r="Q236" s="97">
        <f>IF(ISNUMBER($S236),MAX(0,INT((Q$6+6-$S236)/$T236)-MAX(0,-INT(-(Q$6-$S236)/$T236))+1),0)</f>
        <v>0.0</v>
      </c>
      <c r="R236" s="97">
        <f>IF(ISNUMBER($S236),MAX(0,INT((R$6+6-$S236)/$T236)-MAX(0,-INT(-(R$6-$S236)/$T236))+1),0)</f>
        <v>0.0</v>
      </c>
      <c r="S236" t="str">
        <f>IF(ISNUMBER(INDEX(pl_period,227)),MAX(INDEX(pl_due,227),p_today),"")</f>
        <v/>
      </c>
      <c r="T236" t="str">
        <f>IF(ISNUMBER(INDEX(pl_period,227)),INDEX(pl_period,227),"")</f>
        <v/>
      </c>
      <c r="U236">
        <f>N(INDEX(pl_dur,227))</f>
        <v>0.0</v>
      </c>
    </row>
    <row r="237">
      <c r="A237" s="93" t="str">
        <f>IF(INDEX(pl_status,228)="","",INDEX(pl_num,228)&amp;"")</f>
        <v/>
      </c>
      <c r="B237" s="93" t="str">
        <f>IF(INDEX(pl_status,228)="","",INDEX(pl_eq,228)&amp;"")</f>
        <v/>
      </c>
      <c r="C237" s="93" t="str">
        <f>IF(INDEX(pl_status,228)="","",INDEX(pl_task,228)&amp;"")</f>
        <v/>
      </c>
      <c r="D237" s="94" t="str">
        <f>IF(ISNUMBER(INDEX(pl_due,228)),INDEX(pl_due,228),"")</f>
        <v/>
      </c>
      <c r="E237" s="95" t="str">
        <f>INDEX(pl_status,228)&amp;""</f>
        <v/>
      </c>
      <c r="F237" s="96" t="str">
        <f>IF(E237="En retard","●","")</f>
        <v/>
      </c>
      <c r="G237" s="97">
        <f>IF(ISNUMBER($S237),MAX(0,INT((G$6+6-$S237)/$T237)-MAX(0,-INT(-(G$6-$S237)/$T237))+1),0)</f>
        <v>0.0</v>
      </c>
      <c r="H237" s="97">
        <f>IF(ISNUMBER($S237),MAX(0,INT((H$6+6-$S237)/$T237)-MAX(0,-INT(-(H$6-$S237)/$T237))+1),0)</f>
        <v>0.0</v>
      </c>
      <c r="I237" s="97">
        <f>IF(ISNUMBER($S237),MAX(0,INT((I$6+6-$S237)/$T237)-MAX(0,-INT(-(I$6-$S237)/$T237))+1),0)</f>
        <v>0.0</v>
      </c>
      <c r="J237" s="97">
        <f>IF(ISNUMBER($S237),MAX(0,INT((J$6+6-$S237)/$T237)-MAX(0,-INT(-(J$6-$S237)/$T237))+1),0)</f>
        <v>0.0</v>
      </c>
      <c r="K237" s="97">
        <f>IF(ISNUMBER($S237),MAX(0,INT((K$6+6-$S237)/$T237)-MAX(0,-INT(-(K$6-$S237)/$T237))+1),0)</f>
        <v>0.0</v>
      </c>
      <c r="L237" s="97">
        <f>IF(ISNUMBER($S237),MAX(0,INT((L$6+6-$S237)/$T237)-MAX(0,-INT(-(L$6-$S237)/$T237))+1),0)</f>
        <v>0.0</v>
      </c>
      <c r="M237" s="97">
        <f>IF(ISNUMBER($S237),MAX(0,INT((M$6+6-$S237)/$T237)-MAX(0,-INT(-(M$6-$S237)/$T237))+1),0)</f>
        <v>0.0</v>
      </c>
      <c r="N237" s="97">
        <f>IF(ISNUMBER($S237),MAX(0,INT((N$6+6-$S237)/$T237)-MAX(0,-INT(-(N$6-$S237)/$T237))+1),0)</f>
        <v>0.0</v>
      </c>
      <c r="O237" s="97">
        <f>IF(ISNUMBER($S237),MAX(0,INT((O$6+6-$S237)/$T237)-MAX(0,-INT(-(O$6-$S237)/$T237))+1),0)</f>
        <v>0.0</v>
      </c>
      <c r="P237" s="97">
        <f>IF(ISNUMBER($S237),MAX(0,INT((P$6+6-$S237)/$T237)-MAX(0,-INT(-(P$6-$S237)/$T237))+1),0)</f>
        <v>0.0</v>
      </c>
      <c r="Q237" s="97">
        <f>IF(ISNUMBER($S237),MAX(0,INT((Q$6+6-$S237)/$T237)-MAX(0,-INT(-(Q$6-$S237)/$T237))+1),0)</f>
        <v>0.0</v>
      </c>
      <c r="R237" s="97">
        <f>IF(ISNUMBER($S237),MAX(0,INT((R$6+6-$S237)/$T237)-MAX(0,-INT(-(R$6-$S237)/$T237))+1),0)</f>
        <v>0.0</v>
      </c>
      <c r="S237" t="str">
        <f>IF(ISNUMBER(INDEX(pl_period,228)),MAX(INDEX(pl_due,228),p_today),"")</f>
        <v/>
      </c>
      <c r="T237" t="str">
        <f>IF(ISNUMBER(INDEX(pl_period,228)),INDEX(pl_period,228),"")</f>
        <v/>
      </c>
      <c r="U237">
        <f>N(INDEX(pl_dur,228))</f>
        <v>0.0</v>
      </c>
    </row>
    <row r="238">
      <c r="A238" s="93" t="str">
        <f>IF(INDEX(pl_status,229)="","",INDEX(pl_num,229)&amp;"")</f>
        <v/>
      </c>
      <c r="B238" s="93" t="str">
        <f>IF(INDEX(pl_status,229)="","",INDEX(pl_eq,229)&amp;"")</f>
        <v/>
      </c>
      <c r="C238" s="93" t="str">
        <f>IF(INDEX(pl_status,229)="","",INDEX(pl_task,229)&amp;"")</f>
        <v/>
      </c>
      <c r="D238" s="94" t="str">
        <f>IF(ISNUMBER(INDEX(pl_due,229)),INDEX(pl_due,229),"")</f>
        <v/>
      </c>
      <c r="E238" s="95" t="str">
        <f>INDEX(pl_status,229)&amp;""</f>
        <v/>
      </c>
      <c r="F238" s="96" t="str">
        <f>IF(E238="En retard","●","")</f>
        <v/>
      </c>
      <c r="G238" s="97">
        <f>IF(ISNUMBER($S238),MAX(0,INT((G$6+6-$S238)/$T238)-MAX(0,-INT(-(G$6-$S238)/$T238))+1),0)</f>
        <v>0.0</v>
      </c>
      <c r="H238" s="97">
        <f>IF(ISNUMBER($S238),MAX(0,INT((H$6+6-$S238)/$T238)-MAX(0,-INT(-(H$6-$S238)/$T238))+1),0)</f>
        <v>0.0</v>
      </c>
      <c r="I238" s="97">
        <f>IF(ISNUMBER($S238),MAX(0,INT((I$6+6-$S238)/$T238)-MAX(0,-INT(-(I$6-$S238)/$T238))+1),0)</f>
        <v>0.0</v>
      </c>
      <c r="J238" s="97">
        <f>IF(ISNUMBER($S238),MAX(0,INT((J$6+6-$S238)/$T238)-MAX(0,-INT(-(J$6-$S238)/$T238))+1),0)</f>
        <v>0.0</v>
      </c>
      <c r="K238" s="97">
        <f>IF(ISNUMBER($S238),MAX(0,INT((K$6+6-$S238)/$T238)-MAX(0,-INT(-(K$6-$S238)/$T238))+1),0)</f>
        <v>0.0</v>
      </c>
      <c r="L238" s="97">
        <f>IF(ISNUMBER($S238),MAX(0,INT((L$6+6-$S238)/$T238)-MAX(0,-INT(-(L$6-$S238)/$T238))+1),0)</f>
        <v>0.0</v>
      </c>
      <c r="M238" s="97">
        <f>IF(ISNUMBER($S238),MAX(0,INT((M$6+6-$S238)/$T238)-MAX(0,-INT(-(M$6-$S238)/$T238))+1),0)</f>
        <v>0.0</v>
      </c>
      <c r="N238" s="97">
        <f>IF(ISNUMBER($S238),MAX(0,INT((N$6+6-$S238)/$T238)-MAX(0,-INT(-(N$6-$S238)/$T238))+1),0)</f>
        <v>0.0</v>
      </c>
      <c r="O238" s="97">
        <f>IF(ISNUMBER($S238),MAX(0,INT((O$6+6-$S238)/$T238)-MAX(0,-INT(-(O$6-$S238)/$T238))+1),0)</f>
        <v>0.0</v>
      </c>
      <c r="P238" s="97">
        <f>IF(ISNUMBER($S238),MAX(0,INT((P$6+6-$S238)/$T238)-MAX(0,-INT(-(P$6-$S238)/$T238))+1),0)</f>
        <v>0.0</v>
      </c>
      <c r="Q238" s="97">
        <f>IF(ISNUMBER($S238),MAX(0,INT((Q$6+6-$S238)/$T238)-MAX(0,-INT(-(Q$6-$S238)/$T238))+1),0)</f>
        <v>0.0</v>
      </c>
      <c r="R238" s="97">
        <f>IF(ISNUMBER($S238),MAX(0,INT((R$6+6-$S238)/$T238)-MAX(0,-INT(-(R$6-$S238)/$T238))+1),0)</f>
        <v>0.0</v>
      </c>
      <c r="S238" t="str">
        <f>IF(ISNUMBER(INDEX(pl_period,229)),MAX(INDEX(pl_due,229),p_today),"")</f>
        <v/>
      </c>
      <c r="T238" t="str">
        <f>IF(ISNUMBER(INDEX(pl_period,229)),INDEX(pl_period,229),"")</f>
        <v/>
      </c>
      <c r="U238">
        <f>N(INDEX(pl_dur,229))</f>
        <v>0.0</v>
      </c>
    </row>
    <row r="239">
      <c r="A239" s="93" t="str">
        <f>IF(INDEX(pl_status,230)="","",INDEX(pl_num,230)&amp;"")</f>
        <v/>
      </c>
      <c r="B239" s="93" t="str">
        <f>IF(INDEX(pl_status,230)="","",INDEX(pl_eq,230)&amp;"")</f>
        <v/>
      </c>
      <c r="C239" s="93" t="str">
        <f>IF(INDEX(pl_status,230)="","",INDEX(pl_task,230)&amp;"")</f>
        <v/>
      </c>
      <c r="D239" s="94" t="str">
        <f>IF(ISNUMBER(INDEX(pl_due,230)),INDEX(pl_due,230),"")</f>
        <v/>
      </c>
      <c r="E239" s="95" t="str">
        <f>INDEX(pl_status,230)&amp;""</f>
        <v/>
      </c>
      <c r="F239" s="96" t="str">
        <f>IF(E239="En retard","●","")</f>
        <v/>
      </c>
      <c r="G239" s="97">
        <f>IF(ISNUMBER($S239),MAX(0,INT((G$6+6-$S239)/$T239)-MAX(0,-INT(-(G$6-$S239)/$T239))+1),0)</f>
        <v>0.0</v>
      </c>
      <c r="H239" s="97">
        <f>IF(ISNUMBER($S239),MAX(0,INT((H$6+6-$S239)/$T239)-MAX(0,-INT(-(H$6-$S239)/$T239))+1),0)</f>
        <v>0.0</v>
      </c>
      <c r="I239" s="97">
        <f>IF(ISNUMBER($S239),MAX(0,INT((I$6+6-$S239)/$T239)-MAX(0,-INT(-(I$6-$S239)/$T239))+1),0)</f>
        <v>0.0</v>
      </c>
      <c r="J239" s="97">
        <f>IF(ISNUMBER($S239),MAX(0,INT((J$6+6-$S239)/$T239)-MAX(0,-INT(-(J$6-$S239)/$T239))+1),0)</f>
        <v>0.0</v>
      </c>
      <c r="K239" s="97">
        <f>IF(ISNUMBER($S239),MAX(0,INT((K$6+6-$S239)/$T239)-MAX(0,-INT(-(K$6-$S239)/$T239))+1),0)</f>
        <v>0.0</v>
      </c>
      <c r="L239" s="97">
        <f>IF(ISNUMBER($S239),MAX(0,INT((L$6+6-$S239)/$T239)-MAX(0,-INT(-(L$6-$S239)/$T239))+1),0)</f>
        <v>0.0</v>
      </c>
      <c r="M239" s="97">
        <f>IF(ISNUMBER($S239),MAX(0,INT((M$6+6-$S239)/$T239)-MAX(0,-INT(-(M$6-$S239)/$T239))+1),0)</f>
        <v>0.0</v>
      </c>
      <c r="N239" s="97">
        <f>IF(ISNUMBER($S239),MAX(0,INT((N$6+6-$S239)/$T239)-MAX(0,-INT(-(N$6-$S239)/$T239))+1),0)</f>
        <v>0.0</v>
      </c>
      <c r="O239" s="97">
        <f>IF(ISNUMBER($S239),MAX(0,INT((O$6+6-$S239)/$T239)-MAX(0,-INT(-(O$6-$S239)/$T239))+1),0)</f>
        <v>0.0</v>
      </c>
      <c r="P239" s="97">
        <f>IF(ISNUMBER($S239),MAX(0,INT((P$6+6-$S239)/$T239)-MAX(0,-INT(-(P$6-$S239)/$T239))+1),0)</f>
        <v>0.0</v>
      </c>
      <c r="Q239" s="97">
        <f>IF(ISNUMBER($S239),MAX(0,INT((Q$6+6-$S239)/$T239)-MAX(0,-INT(-(Q$6-$S239)/$T239))+1),0)</f>
        <v>0.0</v>
      </c>
      <c r="R239" s="97">
        <f>IF(ISNUMBER($S239),MAX(0,INT((R$6+6-$S239)/$T239)-MAX(0,-INT(-(R$6-$S239)/$T239))+1),0)</f>
        <v>0.0</v>
      </c>
      <c r="S239" t="str">
        <f>IF(ISNUMBER(INDEX(pl_period,230)),MAX(INDEX(pl_due,230),p_today),"")</f>
        <v/>
      </c>
      <c r="T239" t="str">
        <f>IF(ISNUMBER(INDEX(pl_period,230)),INDEX(pl_period,230),"")</f>
        <v/>
      </c>
      <c r="U239">
        <f>N(INDEX(pl_dur,230))</f>
        <v>0.0</v>
      </c>
    </row>
    <row r="240">
      <c r="A240" s="93" t="str">
        <f>IF(INDEX(pl_status,231)="","",INDEX(pl_num,231)&amp;"")</f>
        <v/>
      </c>
      <c r="B240" s="93" t="str">
        <f>IF(INDEX(pl_status,231)="","",INDEX(pl_eq,231)&amp;"")</f>
        <v/>
      </c>
      <c r="C240" s="93" t="str">
        <f>IF(INDEX(pl_status,231)="","",INDEX(pl_task,231)&amp;"")</f>
        <v/>
      </c>
      <c r="D240" s="94" t="str">
        <f>IF(ISNUMBER(INDEX(pl_due,231)),INDEX(pl_due,231),"")</f>
        <v/>
      </c>
      <c r="E240" s="95" t="str">
        <f>INDEX(pl_status,231)&amp;""</f>
        <v/>
      </c>
      <c r="F240" s="96" t="str">
        <f>IF(E240="En retard","●","")</f>
        <v/>
      </c>
      <c r="G240" s="97">
        <f>IF(ISNUMBER($S240),MAX(0,INT((G$6+6-$S240)/$T240)-MAX(0,-INT(-(G$6-$S240)/$T240))+1),0)</f>
        <v>0.0</v>
      </c>
      <c r="H240" s="97">
        <f>IF(ISNUMBER($S240),MAX(0,INT((H$6+6-$S240)/$T240)-MAX(0,-INT(-(H$6-$S240)/$T240))+1),0)</f>
        <v>0.0</v>
      </c>
      <c r="I240" s="97">
        <f>IF(ISNUMBER($S240),MAX(0,INT((I$6+6-$S240)/$T240)-MAX(0,-INT(-(I$6-$S240)/$T240))+1),0)</f>
        <v>0.0</v>
      </c>
      <c r="J240" s="97">
        <f>IF(ISNUMBER($S240),MAX(0,INT((J$6+6-$S240)/$T240)-MAX(0,-INT(-(J$6-$S240)/$T240))+1),0)</f>
        <v>0.0</v>
      </c>
      <c r="K240" s="97">
        <f>IF(ISNUMBER($S240),MAX(0,INT((K$6+6-$S240)/$T240)-MAX(0,-INT(-(K$6-$S240)/$T240))+1),0)</f>
        <v>0.0</v>
      </c>
      <c r="L240" s="97">
        <f>IF(ISNUMBER($S240),MAX(0,INT((L$6+6-$S240)/$T240)-MAX(0,-INT(-(L$6-$S240)/$T240))+1),0)</f>
        <v>0.0</v>
      </c>
      <c r="M240" s="97">
        <f>IF(ISNUMBER($S240),MAX(0,INT((M$6+6-$S240)/$T240)-MAX(0,-INT(-(M$6-$S240)/$T240))+1),0)</f>
        <v>0.0</v>
      </c>
      <c r="N240" s="97">
        <f>IF(ISNUMBER($S240),MAX(0,INT((N$6+6-$S240)/$T240)-MAX(0,-INT(-(N$6-$S240)/$T240))+1),0)</f>
        <v>0.0</v>
      </c>
      <c r="O240" s="97">
        <f>IF(ISNUMBER($S240),MAX(0,INT((O$6+6-$S240)/$T240)-MAX(0,-INT(-(O$6-$S240)/$T240))+1),0)</f>
        <v>0.0</v>
      </c>
      <c r="P240" s="97">
        <f>IF(ISNUMBER($S240),MAX(0,INT((P$6+6-$S240)/$T240)-MAX(0,-INT(-(P$6-$S240)/$T240))+1),0)</f>
        <v>0.0</v>
      </c>
      <c r="Q240" s="97">
        <f>IF(ISNUMBER($S240),MAX(0,INT((Q$6+6-$S240)/$T240)-MAX(0,-INT(-(Q$6-$S240)/$T240))+1),0)</f>
        <v>0.0</v>
      </c>
      <c r="R240" s="97">
        <f>IF(ISNUMBER($S240),MAX(0,INT((R$6+6-$S240)/$T240)-MAX(0,-INT(-(R$6-$S240)/$T240))+1),0)</f>
        <v>0.0</v>
      </c>
      <c r="S240" t="str">
        <f>IF(ISNUMBER(INDEX(pl_period,231)),MAX(INDEX(pl_due,231),p_today),"")</f>
        <v/>
      </c>
      <c r="T240" t="str">
        <f>IF(ISNUMBER(INDEX(pl_period,231)),INDEX(pl_period,231),"")</f>
        <v/>
      </c>
      <c r="U240">
        <f>N(INDEX(pl_dur,231))</f>
        <v>0.0</v>
      </c>
    </row>
    <row r="241">
      <c r="A241" s="93" t="str">
        <f>IF(INDEX(pl_status,232)="","",INDEX(pl_num,232)&amp;"")</f>
        <v/>
      </c>
      <c r="B241" s="93" t="str">
        <f>IF(INDEX(pl_status,232)="","",INDEX(pl_eq,232)&amp;"")</f>
        <v/>
      </c>
      <c r="C241" s="93" t="str">
        <f>IF(INDEX(pl_status,232)="","",INDEX(pl_task,232)&amp;"")</f>
        <v/>
      </c>
      <c r="D241" s="94" t="str">
        <f>IF(ISNUMBER(INDEX(pl_due,232)),INDEX(pl_due,232),"")</f>
        <v/>
      </c>
      <c r="E241" s="95" t="str">
        <f>INDEX(pl_status,232)&amp;""</f>
        <v/>
      </c>
      <c r="F241" s="96" t="str">
        <f>IF(E241="En retard","●","")</f>
        <v/>
      </c>
      <c r="G241" s="97">
        <f>IF(ISNUMBER($S241),MAX(0,INT((G$6+6-$S241)/$T241)-MAX(0,-INT(-(G$6-$S241)/$T241))+1),0)</f>
        <v>0.0</v>
      </c>
      <c r="H241" s="97">
        <f>IF(ISNUMBER($S241),MAX(0,INT((H$6+6-$S241)/$T241)-MAX(0,-INT(-(H$6-$S241)/$T241))+1),0)</f>
        <v>0.0</v>
      </c>
      <c r="I241" s="97">
        <f>IF(ISNUMBER($S241),MAX(0,INT((I$6+6-$S241)/$T241)-MAX(0,-INT(-(I$6-$S241)/$T241))+1),0)</f>
        <v>0.0</v>
      </c>
      <c r="J241" s="97">
        <f>IF(ISNUMBER($S241),MAX(0,INT((J$6+6-$S241)/$T241)-MAX(0,-INT(-(J$6-$S241)/$T241))+1),0)</f>
        <v>0.0</v>
      </c>
      <c r="K241" s="97">
        <f>IF(ISNUMBER($S241),MAX(0,INT((K$6+6-$S241)/$T241)-MAX(0,-INT(-(K$6-$S241)/$T241))+1),0)</f>
        <v>0.0</v>
      </c>
      <c r="L241" s="97">
        <f>IF(ISNUMBER($S241),MAX(0,INT((L$6+6-$S241)/$T241)-MAX(0,-INT(-(L$6-$S241)/$T241))+1),0)</f>
        <v>0.0</v>
      </c>
      <c r="M241" s="97">
        <f>IF(ISNUMBER($S241),MAX(0,INT((M$6+6-$S241)/$T241)-MAX(0,-INT(-(M$6-$S241)/$T241))+1),0)</f>
        <v>0.0</v>
      </c>
      <c r="N241" s="97">
        <f>IF(ISNUMBER($S241),MAX(0,INT((N$6+6-$S241)/$T241)-MAX(0,-INT(-(N$6-$S241)/$T241))+1),0)</f>
        <v>0.0</v>
      </c>
      <c r="O241" s="97">
        <f>IF(ISNUMBER($S241),MAX(0,INT((O$6+6-$S241)/$T241)-MAX(0,-INT(-(O$6-$S241)/$T241))+1),0)</f>
        <v>0.0</v>
      </c>
      <c r="P241" s="97">
        <f>IF(ISNUMBER($S241),MAX(0,INT((P$6+6-$S241)/$T241)-MAX(0,-INT(-(P$6-$S241)/$T241))+1),0)</f>
        <v>0.0</v>
      </c>
      <c r="Q241" s="97">
        <f>IF(ISNUMBER($S241),MAX(0,INT((Q$6+6-$S241)/$T241)-MAX(0,-INT(-(Q$6-$S241)/$T241))+1),0)</f>
        <v>0.0</v>
      </c>
      <c r="R241" s="97">
        <f>IF(ISNUMBER($S241),MAX(0,INT((R$6+6-$S241)/$T241)-MAX(0,-INT(-(R$6-$S241)/$T241))+1),0)</f>
        <v>0.0</v>
      </c>
      <c r="S241" t="str">
        <f>IF(ISNUMBER(INDEX(pl_period,232)),MAX(INDEX(pl_due,232),p_today),"")</f>
        <v/>
      </c>
      <c r="T241" t="str">
        <f>IF(ISNUMBER(INDEX(pl_period,232)),INDEX(pl_period,232),"")</f>
        <v/>
      </c>
      <c r="U241">
        <f>N(INDEX(pl_dur,232))</f>
        <v>0.0</v>
      </c>
    </row>
    <row r="242">
      <c r="A242" s="93" t="str">
        <f>IF(INDEX(pl_status,233)="","",INDEX(pl_num,233)&amp;"")</f>
        <v/>
      </c>
      <c r="B242" s="93" t="str">
        <f>IF(INDEX(pl_status,233)="","",INDEX(pl_eq,233)&amp;"")</f>
        <v/>
      </c>
      <c r="C242" s="93" t="str">
        <f>IF(INDEX(pl_status,233)="","",INDEX(pl_task,233)&amp;"")</f>
        <v/>
      </c>
      <c r="D242" s="94" t="str">
        <f>IF(ISNUMBER(INDEX(pl_due,233)),INDEX(pl_due,233),"")</f>
        <v/>
      </c>
      <c r="E242" s="95" t="str">
        <f>INDEX(pl_status,233)&amp;""</f>
        <v/>
      </c>
      <c r="F242" s="96" t="str">
        <f>IF(E242="En retard","●","")</f>
        <v/>
      </c>
      <c r="G242" s="97">
        <f>IF(ISNUMBER($S242),MAX(0,INT((G$6+6-$S242)/$T242)-MAX(0,-INT(-(G$6-$S242)/$T242))+1),0)</f>
        <v>0.0</v>
      </c>
      <c r="H242" s="97">
        <f>IF(ISNUMBER($S242),MAX(0,INT((H$6+6-$S242)/$T242)-MAX(0,-INT(-(H$6-$S242)/$T242))+1),0)</f>
        <v>0.0</v>
      </c>
      <c r="I242" s="97">
        <f>IF(ISNUMBER($S242),MAX(0,INT((I$6+6-$S242)/$T242)-MAX(0,-INT(-(I$6-$S242)/$T242))+1),0)</f>
        <v>0.0</v>
      </c>
      <c r="J242" s="97">
        <f>IF(ISNUMBER($S242),MAX(0,INT((J$6+6-$S242)/$T242)-MAX(0,-INT(-(J$6-$S242)/$T242))+1),0)</f>
        <v>0.0</v>
      </c>
      <c r="K242" s="97">
        <f>IF(ISNUMBER($S242),MAX(0,INT((K$6+6-$S242)/$T242)-MAX(0,-INT(-(K$6-$S242)/$T242))+1),0)</f>
        <v>0.0</v>
      </c>
      <c r="L242" s="97">
        <f>IF(ISNUMBER($S242),MAX(0,INT((L$6+6-$S242)/$T242)-MAX(0,-INT(-(L$6-$S242)/$T242))+1),0)</f>
        <v>0.0</v>
      </c>
      <c r="M242" s="97">
        <f>IF(ISNUMBER($S242),MAX(0,INT((M$6+6-$S242)/$T242)-MAX(0,-INT(-(M$6-$S242)/$T242))+1),0)</f>
        <v>0.0</v>
      </c>
      <c r="N242" s="97">
        <f>IF(ISNUMBER($S242),MAX(0,INT((N$6+6-$S242)/$T242)-MAX(0,-INT(-(N$6-$S242)/$T242))+1),0)</f>
        <v>0.0</v>
      </c>
      <c r="O242" s="97">
        <f>IF(ISNUMBER($S242),MAX(0,INT((O$6+6-$S242)/$T242)-MAX(0,-INT(-(O$6-$S242)/$T242))+1),0)</f>
        <v>0.0</v>
      </c>
      <c r="P242" s="97">
        <f>IF(ISNUMBER($S242),MAX(0,INT((P$6+6-$S242)/$T242)-MAX(0,-INT(-(P$6-$S242)/$T242))+1),0)</f>
        <v>0.0</v>
      </c>
      <c r="Q242" s="97">
        <f>IF(ISNUMBER($S242),MAX(0,INT((Q$6+6-$S242)/$T242)-MAX(0,-INT(-(Q$6-$S242)/$T242))+1),0)</f>
        <v>0.0</v>
      </c>
      <c r="R242" s="97">
        <f>IF(ISNUMBER($S242),MAX(0,INT((R$6+6-$S242)/$T242)-MAX(0,-INT(-(R$6-$S242)/$T242))+1),0)</f>
        <v>0.0</v>
      </c>
      <c r="S242" t="str">
        <f>IF(ISNUMBER(INDEX(pl_period,233)),MAX(INDEX(pl_due,233),p_today),"")</f>
        <v/>
      </c>
      <c r="T242" t="str">
        <f>IF(ISNUMBER(INDEX(pl_period,233)),INDEX(pl_period,233),"")</f>
        <v/>
      </c>
      <c r="U242">
        <f>N(INDEX(pl_dur,233))</f>
        <v>0.0</v>
      </c>
    </row>
    <row r="243">
      <c r="A243" s="93" t="str">
        <f>IF(INDEX(pl_status,234)="","",INDEX(pl_num,234)&amp;"")</f>
        <v/>
      </c>
      <c r="B243" s="93" t="str">
        <f>IF(INDEX(pl_status,234)="","",INDEX(pl_eq,234)&amp;"")</f>
        <v/>
      </c>
      <c r="C243" s="93" t="str">
        <f>IF(INDEX(pl_status,234)="","",INDEX(pl_task,234)&amp;"")</f>
        <v/>
      </c>
      <c r="D243" s="94" t="str">
        <f>IF(ISNUMBER(INDEX(pl_due,234)),INDEX(pl_due,234),"")</f>
        <v/>
      </c>
      <c r="E243" s="95" t="str">
        <f>INDEX(pl_status,234)&amp;""</f>
        <v/>
      </c>
      <c r="F243" s="96" t="str">
        <f>IF(E243="En retard","●","")</f>
        <v/>
      </c>
      <c r="G243" s="97">
        <f>IF(ISNUMBER($S243),MAX(0,INT((G$6+6-$S243)/$T243)-MAX(0,-INT(-(G$6-$S243)/$T243))+1),0)</f>
        <v>0.0</v>
      </c>
      <c r="H243" s="97">
        <f>IF(ISNUMBER($S243),MAX(0,INT((H$6+6-$S243)/$T243)-MAX(0,-INT(-(H$6-$S243)/$T243))+1),0)</f>
        <v>0.0</v>
      </c>
      <c r="I243" s="97">
        <f>IF(ISNUMBER($S243),MAX(0,INT((I$6+6-$S243)/$T243)-MAX(0,-INT(-(I$6-$S243)/$T243))+1),0)</f>
        <v>0.0</v>
      </c>
      <c r="J243" s="97">
        <f>IF(ISNUMBER($S243),MAX(0,INT((J$6+6-$S243)/$T243)-MAX(0,-INT(-(J$6-$S243)/$T243))+1),0)</f>
        <v>0.0</v>
      </c>
      <c r="K243" s="97">
        <f>IF(ISNUMBER($S243),MAX(0,INT((K$6+6-$S243)/$T243)-MAX(0,-INT(-(K$6-$S243)/$T243))+1),0)</f>
        <v>0.0</v>
      </c>
      <c r="L243" s="97">
        <f>IF(ISNUMBER($S243),MAX(0,INT((L$6+6-$S243)/$T243)-MAX(0,-INT(-(L$6-$S243)/$T243))+1),0)</f>
        <v>0.0</v>
      </c>
      <c r="M243" s="97">
        <f>IF(ISNUMBER($S243),MAX(0,INT((M$6+6-$S243)/$T243)-MAX(0,-INT(-(M$6-$S243)/$T243))+1),0)</f>
        <v>0.0</v>
      </c>
      <c r="N243" s="97">
        <f>IF(ISNUMBER($S243),MAX(0,INT((N$6+6-$S243)/$T243)-MAX(0,-INT(-(N$6-$S243)/$T243))+1),0)</f>
        <v>0.0</v>
      </c>
      <c r="O243" s="97">
        <f>IF(ISNUMBER($S243),MAX(0,INT((O$6+6-$S243)/$T243)-MAX(0,-INT(-(O$6-$S243)/$T243))+1),0)</f>
        <v>0.0</v>
      </c>
      <c r="P243" s="97">
        <f>IF(ISNUMBER($S243),MAX(0,INT((P$6+6-$S243)/$T243)-MAX(0,-INT(-(P$6-$S243)/$T243))+1),0)</f>
        <v>0.0</v>
      </c>
      <c r="Q243" s="97">
        <f>IF(ISNUMBER($S243),MAX(0,INT((Q$6+6-$S243)/$T243)-MAX(0,-INT(-(Q$6-$S243)/$T243))+1),0)</f>
        <v>0.0</v>
      </c>
      <c r="R243" s="97">
        <f>IF(ISNUMBER($S243),MAX(0,INT((R$6+6-$S243)/$T243)-MAX(0,-INT(-(R$6-$S243)/$T243))+1),0)</f>
        <v>0.0</v>
      </c>
      <c r="S243" t="str">
        <f>IF(ISNUMBER(INDEX(pl_period,234)),MAX(INDEX(pl_due,234),p_today),"")</f>
        <v/>
      </c>
      <c r="T243" t="str">
        <f>IF(ISNUMBER(INDEX(pl_period,234)),INDEX(pl_period,234),"")</f>
        <v/>
      </c>
      <c r="U243">
        <f>N(INDEX(pl_dur,234))</f>
        <v>0.0</v>
      </c>
    </row>
    <row r="244">
      <c r="A244" s="93" t="str">
        <f>IF(INDEX(pl_status,235)="","",INDEX(pl_num,235)&amp;"")</f>
        <v/>
      </c>
      <c r="B244" s="93" t="str">
        <f>IF(INDEX(pl_status,235)="","",INDEX(pl_eq,235)&amp;"")</f>
        <v/>
      </c>
      <c r="C244" s="93" t="str">
        <f>IF(INDEX(pl_status,235)="","",INDEX(pl_task,235)&amp;"")</f>
        <v/>
      </c>
      <c r="D244" s="94" t="str">
        <f>IF(ISNUMBER(INDEX(pl_due,235)),INDEX(pl_due,235),"")</f>
        <v/>
      </c>
      <c r="E244" s="95" t="str">
        <f>INDEX(pl_status,235)&amp;""</f>
        <v/>
      </c>
      <c r="F244" s="96" t="str">
        <f>IF(E244="En retard","●","")</f>
        <v/>
      </c>
      <c r="G244" s="97">
        <f>IF(ISNUMBER($S244),MAX(0,INT((G$6+6-$S244)/$T244)-MAX(0,-INT(-(G$6-$S244)/$T244))+1),0)</f>
        <v>0.0</v>
      </c>
      <c r="H244" s="97">
        <f>IF(ISNUMBER($S244),MAX(0,INT((H$6+6-$S244)/$T244)-MAX(0,-INT(-(H$6-$S244)/$T244))+1),0)</f>
        <v>0.0</v>
      </c>
      <c r="I244" s="97">
        <f>IF(ISNUMBER($S244),MAX(0,INT((I$6+6-$S244)/$T244)-MAX(0,-INT(-(I$6-$S244)/$T244))+1),0)</f>
        <v>0.0</v>
      </c>
      <c r="J244" s="97">
        <f>IF(ISNUMBER($S244),MAX(0,INT((J$6+6-$S244)/$T244)-MAX(0,-INT(-(J$6-$S244)/$T244))+1),0)</f>
        <v>0.0</v>
      </c>
      <c r="K244" s="97">
        <f>IF(ISNUMBER($S244),MAX(0,INT((K$6+6-$S244)/$T244)-MAX(0,-INT(-(K$6-$S244)/$T244))+1),0)</f>
        <v>0.0</v>
      </c>
      <c r="L244" s="97">
        <f>IF(ISNUMBER($S244),MAX(0,INT((L$6+6-$S244)/$T244)-MAX(0,-INT(-(L$6-$S244)/$T244))+1),0)</f>
        <v>0.0</v>
      </c>
      <c r="M244" s="97">
        <f>IF(ISNUMBER($S244),MAX(0,INT((M$6+6-$S244)/$T244)-MAX(0,-INT(-(M$6-$S244)/$T244))+1),0)</f>
        <v>0.0</v>
      </c>
      <c r="N244" s="97">
        <f>IF(ISNUMBER($S244),MAX(0,INT((N$6+6-$S244)/$T244)-MAX(0,-INT(-(N$6-$S244)/$T244))+1),0)</f>
        <v>0.0</v>
      </c>
      <c r="O244" s="97">
        <f>IF(ISNUMBER($S244),MAX(0,INT((O$6+6-$S244)/$T244)-MAX(0,-INT(-(O$6-$S244)/$T244))+1),0)</f>
        <v>0.0</v>
      </c>
      <c r="P244" s="97">
        <f>IF(ISNUMBER($S244),MAX(0,INT((P$6+6-$S244)/$T244)-MAX(0,-INT(-(P$6-$S244)/$T244))+1),0)</f>
        <v>0.0</v>
      </c>
      <c r="Q244" s="97">
        <f>IF(ISNUMBER($S244),MAX(0,INT((Q$6+6-$S244)/$T244)-MAX(0,-INT(-(Q$6-$S244)/$T244))+1),0)</f>
        <v>0.0</v>
      </c>
      <c r="R244" s="97">
        <f>IF(ISNUMBER($S244),MAX(0,INT((R$6+6-$S244)/$T244)-MAX(0,-INT(-(R$6-$S244)/$T244))+1),0)</f>
        <v>0.0</v>
      </c>
      <c r="S244" t="str">
        <f>IF(ISNUMBER(INDEX(pl_period,235)),MAX(INDEX(pl_due,235),p_today),"")</f>
        <v/>
      </c>
      <c r="T244" t="str">
        <f>IF(ISNUMBER(INDEX(pl_period,235)),INDEX(pl_period,235),"")</f>
        <v/>
      </c>
      <c r="U244">
        <f>N(INDEX(pl_dur,235))</f>
        <v>0.0</v>
      </c>
    </row>
    <row r="245">
      <c r="A245" s="93" t="str">
        <f>IF(INDEX(pl_status,236)="","",INDEX(pl_num,236)&amp;"")</f>
        <v/>
      </c>
      <c r="B245" s="93" t="str">
        <f>IF(INDEX(pl_status,236)="","",INDEX(pl_eq,236)&amp;"")</f>
        <v/>
      </c>
      <c r="C245" s="93" t="str">
        <f>IF(INDEX(pl_status,236)="","",INDEX(pl_task,236)&amp;"")</f>
        <v/>
      </c>
      <c r="D245" s="94" t="str">
        <f>IF(ISNUMBER(INDEX(pl_due,236)),INDEX(pl_due,236),"")</f>
        <v/>
      </c>
      <c r="E245" s="95" t="str">
        <f>INDEX(pl_status,236)&amp;""</f>
        <v/>
      </c>
      <c r="F245" s="96" t="str">
        <f>IF(E245="En retard","●","")</f>
        <v/>
      </c>
      <c r="G245" s="97">
        <f>IF(ISNUMBER($S245),MAX(0,INT((G$6+6-$S245)/$T245)-MAX(0,-INT(-(G$6-$S245)/$T245))+1),0)</f>
        <v>0.0</v>
      </c>
      <c r="H245" s="97">
        <f>IF(ISNUMBER($S245),MAX(0,INT((H$6+6-$S245)/$T245)-MAX(0,-INT(-(H$6-$S245)/$T245))+1),0)</f>
        <v>0.0</v>
      </c>
      <c r="I245" s="97">
        <f>IF(ISNUMBER($S245),MAX(0,INT((I$6+6-$S245)/$T245)-MAX(0,-INT(-(I$6-$S245)/$T245))+1),0)</f>
        <v>0.0</v>
      </c>
      <c r="J245" s="97">
        <f>IF(ISNUMBER($S245),MAX(0,INT((J$6+6-$S245)/$T245)-MAX(0,-INT(-(J$6-$S245)/$T245))+1),0)</f>
        <v>0.0</v>
      </c>
      <c r="K245" s="97">
        <f>IF(ISNUMBER($S245),MAX(0,INT((K$6+6-$S245)/$T245)-MAX(0,-INT(-(K$6-$S245)/$T245))+1),0)</f>
        <v>0.0</v>
      </c>
      <c r="L245" s="97">
        <f>IF(ISNUMBER($S245),MAX(0,INT((L$6+6-$S245)/$T245)-MAX(0,-INT(-(L$6-$S245)/$T245))+1),0)</f>
        <v>0.0</v>
      </c>
      <c r="M245" s="97">
        <f>IF(ISNUMBER($S245),MAX(0,INT((M$6+6-$S245)/$T245)-MAX(0,-INT(-(M$6-$S245)/$T245))+1),0)</f>
        <v>0.0</v>
      </c>
      <c r="N245" s="97">
        <f>IF(ISNUMBER($S245),MAX(0,INT((N$6+6-$S245)/$T245)-MAX(0,-INT(-(N$6-$S245)/$T245))+1),0)</f>
        <v>0.0</v>
      </c>
      <c r="O245" s="97">
        <f>IF(ISNUMBER($S245),MAX(0,INT((O$6+6-$S245)/$T245)-MAX(0,-INT(-(O$6-$S245)/$T245))+1),0)</f>
        <v>0.0</v>
      </c>
      <c r="P245" s="97">
        <f>IF(ISNUMBER($S245),MAX(0,INT((P$6+6-$S245)/$T245)-MAX(0,-INT(-(P$6-$S245)/$T245))+1),0)</f>
        <v>0.0</v>
      </c>
      <c r="Q245" s="97">
        <f>IF(ISNUMBER($S245),MAX(0,INT((Q$6+6-$S245)/$T245)-MAX(0,-INT(-(Q$6-$S245)/$T245))+1),0)</f>
        <v>0.0</v>
      </c>
      <c r="R245" s="97">
        <f>IF(ISNUMBER($S245),MAX(0,INT((R$6+6-$S245)/$T245)-MAX(0,-INT(-(R$6-$S245)/$T245))+1),0)</f>
        <v>0.0</v>
      </c>
      <c r="S245" t="str">
        <f>IF(ISNUMBER(INDEX(pl_period,236)),MAX(INDEX(pl_due,236),p_today),"")</f>
        <v/>
      </c>
      <c r="T245" t="str">
        <f>IF(ISNUMBER(INDEX(pl_period,236)),INDEX(pl_period,236),"")</f>
        <v/>
      </c>
      <c r="U245">
        <f>N(INDEX(pl_dur,236))</f>
        <v>0.0</v>
      </c>
    </row>
    <row r="246">
      <c r="A246" s="93" t="str">
        <f>IF(INDEX(pl_status,237)="","",INDEX(pl_num,237)&amp;"")</f>
        <v/>
      </c>
      <c r="B246" s="93" t="str">
        <f>IF(INDEX(pl_status,237)="","",INDEX(pl_eq,237)&amp;"")</f>
        <v/>
      </c>
      <c r="C246" s="93" t="str">
        <f>IF(INDEX(pl_status,237)="","",INDEX(pl_task,237)&amp;"")</f>
        <v/>
      </c>
      <c r="D246" s="94" t="str">
        <f>IF(ISNUMBER(INDEX(pl_due,237)),INDEX(pl_due,237),"")</f>
        <v/>
      </c>
      <c r="E246" s="95" t="str">
        <f>INDEX(pl_status,237)&amp;""</f>
        <v/>
      </c>
      <c r="F246" s="96" t="str">
        <f>IF(E246="En retard","●","")</f>
        <v/>
      </c>
      <c r="G246" s="97">
        <f>IF(ISNUMBER($S246),MAX(0,INT((G$6+6-$S246)/$T246)-MAX(0,-INT(-(G$6-$S246)/$T246))+1),0)</f>
        <v>0.0</v>
      </c>
      <c r="H246" s="97">
        <f>IF(ISNUMBER($S246),MAX(0,INT((H$6+6-$S246)/$T246)-MAX(0,-INT(-(H$6-$S246)/$T246))+1),0)</f>
        <v>0.0</v>
      </c>
      <c r="I246" s="97">
        <f>IF(ISNUMBER($S246),MAX(0,INT((I$6+6-$S246)/$T246)-MAX(0,-INT(-(I$6-$S246)/$T246))+1),0)</f>
        <v>0.0</v>
      </c>
      <c r="J246" s="97">
        <f>IF(ISNUMBER($S246),MAX(0,INT((J$6+6-$S246)/$T246)-MAX(0,-INT(-(J$6-$S246)/$T246))+1),0)</f>
        <v>0.0</v>
      </c>
      <c r="K246" s="97">
        <f>IF(ISNUMBER($S246),MAX(0,INT((K$6+6-$S246)/$T246)-MAX(0,-INT(-(K$6-$S246)/$T246))+1),0)</f>
        <v>0.0</v>
      </c>
      <c r="L246" s="97">
        <f>IF(ISNUMBER($S246),MAX(0,INT((L$6+6-$S246)/$T246)-MAX(0,-INT(-(L$6-$S246)/$T246))+1),0)</f>
        <v>0.0</v>
      </c>
      <c r="M246" s="97">
        <f>IF(ISNUMBER($S246),MAX(0,INT((M$6+6-$S246)/$T246)-MAX(0,-INT(-(M$6-$S246)/$T246))+1),0)</f>
        <v>0.0</v>
      </c>
      <c r="N246" s="97">
        <f>IF(ISNUMBER($S246),MAX(0,INT((N$6+6-$S246)/$T246)-MAX(0,-INT(-(N$6-$S246)/$T246))+1),0)</f>
        <v>0.0</v>
      </c>
      <c r="O246" s="97">
        <f>IF(ISNUMBER($S246),MAX(0,INT((O$6+6-$S246)/$T246)-MAX(0,-INT(-(O$6-$S246)/$T246))+1),0)</f>
        <v>0.0</v>
      </c>
      <c r="P246" s="97">
        <f>IF(ISNUMBER($S246),MAX(0,INT((P$6+6-$S246)/$T246)-MAX(0,-INT(-(P$6-$S246)/$T246))+1),0)</f>
        <v>0.0</v>
      </c>
      <c r="Q246" s="97">
        <f>IF(ISNUMBER($S246),MAX(0,INT((Q$6+6-$S246)/$T246)-MAX(0,-INT(-(Q$6-$S246)/$T246))+1),0)</f>
        <v>0.0</v>
      </c>
      <c r="R246" s="97">
        <f>IF(ISNUMBER($S246),MAX(0,INT((R$6+6-$S246)/$T246)-MAX(0,-INT(-(R$6-$S246)/$T246))+1),0)</f>
        <v>0.0</v>
      </c>
      <c r="S246" t="str">
        <f>IF(ISNUMBER(INDEX(pl_period,237)),MAX(INDEX(pl_due,237),p_today),"")</f>
        <v/>
      </c>
      <c r="T246" t="str">
        <f>IF(ISNUMBER(INDEX(pl_period,237)),INDEX(pl_period,237),"")</f>
        <v/>
      </c>
      <c r="U246">
        <f>N(INDEX(pl_dur,237))</f>
        <v>0.0</v>
      </c>
    </row>
    <row r="247">
      <c r="A247" s="93" t="str">
        <f>IF(INDEX(pl_status,238)="","",INDEX(pl_num,238)&amp;"")</f>
        <v/>
      </c>
      <c r="B247" s="93" t="str">
        <f>IF(INDEX(pl_status,238)="","",INDEX(pl_eq,238)&amp;"")</f>
        <v/>
      </c>
      <c r="C247" s="93" t="str">
        <f>IF(INDEX(pl_status,238)="","",INDEX(pl_task,238)&amp;"")</f>
        <v/>
      </c>
      <c r="D247" s="94" t="str">
        <f>IF(ISNUMBER(INDEX(pl_due,238)),INDEX(pl_due,238),"")</f>
        <v/>
      </c>
      <c r="E247" s="95" t="str">
        <f>INDEX(pl_status,238)&amp;""</f>
        <v/>
      </c>
      <c r="F247" s="96" t="str">
        <f>IF(E247="En retard","●","")</f>
        <v/>
      </c>
      <c r="G247" s="97">
        <f>IF(ISNUMBER($S247),MAX(0,INT((G$6+6-$S247)/$T247)-MAX(0,-INT(-(G$6-$S247)/$T247))+1),0)</f>
        <v>0.0</v>
      </c>
      <c r="H247" s="97">
        <f>IF(ISNUMBER($S247),MAX(0,INT((H$6+6-$S247)/$T247)-MAX(0,-INT(-(H$6-$S247)/$T247))+1),0)</f>
        <v>0.0</v>
      </c>
      <c r="I247" s="97">
        <f>IF(ISNUMBER($S247),MAX(0,INT((I$6+6-$S247)/$T247)-MAX(0,-INT(-(I$6-$S247)/$T247))+1),0)</f>
        <v>0.0</v>
      </c>
      <c r="J247" s="97">
        <f>IF(ISNUMBER($S247),MAX(0,INT((J$6+6-$S247)/$T247)-MAX(0,-INT(-(J$6-$S247)/$T247))+1),0)</f>
        <v>0.0</v>
      </c>
      <c r="K247" s="97">
        <f>IF(ISNUMBER($S247),MAX(0,INT((K$6+6-$S247)/$T247)-MAX(0,-INT(-(K$6-$S247)/$T247))+1),0)</f>
        <v>0.0</v>
      </c>
      <c r="L247" s="97">
        <f>IF(ISNUMBER($S247),MAX(0,INT((L$6+6-$S247)/$T247)-MAX(0,-INT(-(L$6-$S247)/$T247))+1),0)</f>
        <v>0.0</v>
      </c>
      <c r="M247" s="97">
        <f>IF(ISNUMBER($S247),MAX(0,INT((M$6+6-$S247)/$T247)-MAX(0,-INT(-(M$6-$S247)/$T247))+1),0)</f>
        <v>0.0</v>
      </c>
      <c r="N247" s="97">
        <f>IF(ISNUMBER($S247),MAX(0,INT((N$6+6-$S247)/$T247)-MAX(0,-INT(-(N$6-$S247)/$T247))+1),0)</f>
        <v>0.0</v>
      </c>
      <c r="O247" s="97">
        <f>IF(ISNUMBER($S247),MAX(0,INT((O$6+6-$S247)/$T247)-MAX(0,-INT(-(O$6-$S247)/$T247))+1),0)</f>
        <v>0.0</v>
      </c>
      <c r="P247" s="97">
        <f>IF(ISNUMBER($S247),MAX(0,INT((P$6+6-$S247)/$T247)-MAX(0,-INT(-(P$6-$S247)/$T247))+1),0)</f>
        <v>0.0</v>
      </c>
      <c r="Q247" s="97">
        <f>IF(ISNUMBER($S247),MAX(0,INT((Q$6+6-$S247)/$T247)-MAX(0,-INT(-(Q$6-$S247)/$T247))+1),0)</f>
        <v>0.0</v>
      </c>
      <c r="R247" s="97">
        <f>IF(ISNUMBER($S247),MAX(0,INT((R$6+6-$S247)/$T247)-MAX(0,-INT(-(R$6-$S247)/$T247))+1),0)</f>
        <v>0.0</v>
      </c>
      <c r="S247" t="str">
        <f>IF(ISNUMBER(INDEX(pl_period,238)),MAX(INDEX(pl_due,238),p_today),"")</f>
        <v/>
      </c>
      <c r="T247" t="str">
        <f>IF(ISNUMBER(INDEX(pl_period,238)),INDEX(pl_period,238),"")</f>
        <v/>
      </c>
      <c r="U247">
        <f>N(INDEX(pl_dur,238))</f>
        <v>0.0</v>
      </c>
    </row>
    <row r="248">
      <c r="A248" s="93" t="str">
        <f>IF(INDEX(pl_status,239)="","",INDEX(pl_num,239)&amp;"")</f>
        <v/>
      </c>
      <c r="B248" s="93" t="str">
        <f>IF(INDEX(pl_status,239)="","",INDEX(pl_eq,239)&amp;"")</f>
        <v/>
      </c>
      <c r="C248" s="93" t="str">
        <f>IF(INDEX(pl_status,239)="","",INDEX(pl_task,239)&amp;"")</f>
        <v/>
      </c>
      <c r="D248" s="94" t="str">
        <f>IF(ISNUMBER(INDEX(pl_due,239)),INDEX(pl_due,239),"")</f>
        <v/>
      </c>
      <c r="E248" s="95" t="str">
        <f>INDEX(pl_status,239)&amp;""</f>
        <v/>
      </c>
      <c r="F248" s="96" t="str">
        <f>IF(E248="En retard","●","")</f>
        <v/>
      </c>
      <c r="G248" s="97">
        <f>IF(ISNUMBER($S248),MAX(0,INT((G$6+6-$S248)/$T248)-MAX(0,-INT(-(G$6-$S248)/$T248))+1),0)</f>
        <v>0.0</v>
      </c>
      <c r="H248" s="97">
        <f>IF(ISNUMBER($S248),MAX(0,INT((H$6+6-$S248)/$T248)-MAX(0,-INT(-(H$6-$S248)/$T248))+1),0)</f>
        <v>0.0</v>
      </c>
      <c r="I248" s="97">
        <f>IF(ISNUMBER($S248),MAX(0,INT((I$6+6-$S248)/$T248)-MAX(0,-INT(-(I$6-$S248)/$T248))+1),0)</f>
        <v>0.0</v>
      </c>
      <c r="J248" s="97">
        <f>IF(ISNUMBER($S248),MAX(0,INT((J$6+6-$S248)/$T248)-MAX(0,-INT(-(J$6-$S248)/$T248))+1),0)</f>
        <v>0.0</v>
      </c>
      <c r="K248" s="97">
        <f>IF(ISNUMBER($S248),MAX(0,INT((K$6+6-$S248)/$T248)-MAX(0,-INT(-(K$6-$S248)/$T248))+1),0)</f>
        <v>0.0</v>
      </c>
      <c r="L248" s="97">
        <f>IF(ISNUMBER($S248),MAX(0,INT((L$6+6-$S248)/$T248)-MAX(0,-INT(-(L$6-$S248)/$T248))+1),0)</f>
        <v>0.0</v>
      </c>
      <c r="M248" s="97">
        <f>IF(ISNUMBER($S248),MAX(0,INT((M$6+6-$S248)/$T248)-MAX(0,-INT(-(M$6-$S248)/$T248))+1),0)</f>
        <v>0.0</v>
      </c>
      <c r="N248" s="97">
        <f>IF(ISNUMBER($S248),MAX(0,INT((N$6+6-$S248)/$T248)-MAX(0,-INT(-(N$6-$S248)/$T248))+1),0)</f>
        <v>0.0</v>
      </c>
      <c r="O248" s="97">
        <f>IF(ISNUMBER($S248),MAX(0,INT((O$6+6-$S248)/$T248)-MAX(0,-INT(-(O$6-$S248)/$T248))+1),0)</f>
        <v>0.0</v>
      </c>
      <c r="P248" s="97">
        <f>IF(ISNUMBER($S248),MAX(0,INT((P$6+6-$S248)/$T248)-MAX(0,-INT(-(P$6-$S248)/$T248))+1),0)</f>
        <v>0.0</v>
      </c>
      <c r="Q248" s="97">
        <f>IF(ISNUMBER($S248),MAX(0,INT((Q$6+6-$S248)/$T248)-MAX(0,-INT(-(Q$6-$S248)/$T248))+1),0)</f>
        <v>0.0</v>
      </c>
      <c r="R248" s="97">
        <f>IF(ISNUMBER($S248),MAX(0,INT((R$6+6-$S248)/$T248)-MAX(0,-INT(-(R$6-$S248)/$T248))+1),0)</f>
        <v>0.0</v>
      </c>
      <c r="S248" t="str">
        <f>IF(ISNUMBER(INDEX(pl_period,239)),MAX(INDEX(pl_due,239),p_today),"")</f>
        <v/>
      </c>
      <c r="T248" t="str">
        <f>IF(ISNUMBER(INDEX(pl_period,239)),INDEX(pl_period,239),"")</f>
        <v/>
      </c>
      <c r="U248">
        <f>N(INDEX(pl_dur,239))</f>
        <v>0.0</v>
      </c>
    </row>
    <row r="249">
      <c r="A249" s="93" t="str">
        <f>IF(INDEX(pl_status,240)="","",INDEX(pl_num,240)&amp;"")</f>
        <v/>
      </c>
      <c r="B249" s="93" t="str">
        <f>IF(INDEX(pl_status,240)="","",INDEX(pl_eq,240)&amp;"")</f>
        <v/>
      </c>
      <c r="C249" s="93" t="str">
        <f>IF(INDEX(pl_status,240)="","",INDEX(pl_task,240)&amp;"")</f>
        <v/>
      </c>
      <c r="D249" s="94" t="str">
        <f>IF(ISNUMBER(INDEX(pl_due,240)),INDEX(pl_due,240),"")</f>
        <v/>
      </c>
      <c r="E249" s="95" t="str">
        <f>INDEX(pl_status,240)&amp;""</f>
        <v/>
      </c>
      <c r="F249" s="96" t="str">
        <f>IF(E249="En retard","●","")</f>
        <v/>
      </c>
      <c r="G249" s="97">
        <f>IF(ISNUMBER($S249),MAX(0,INT((G$6+6-$S249)/$T249)-MAX(0,-INT(-(G$6-$S249)/$T249))+1),0)</f>
        <v>0.0</v>
      </c>
      <c r="H249" s="97">
        <f>IF(ISNUMBER($S249),MAX(0,INT((H$6+6-$S249)/$T249)-MAX(0,-INT(-(H$6-$S249)/$T249))+1),0)</f>
        <v>0.0</v>
      </c>
      <c r="I249" s="97">
        <f>IF(ISNUMBER($S249),MAX(0,INT((I$6+6-$S249)/$T249)-MAX(0,-INT(-(I$6-$S249)/$T249))+1),0)</f>
        <v>0.0</v>
      </c>
      <c r="J249" s="97">
        <f>IF(ISNUMBER($S249),MAX(0,INT((J$6+6-$S249)/$T249)-MAX(0,-INT(-(J$6-$S249)/$T249))+1),0)</f>
        <v>0.0</v>
      </c>
      <c r="K249" s="97">
        <f>IF(ISNUMBER($S249),MAX(0,INT((K$6+6-$S249)/$T249)-MAX(0,-INT(-(K$6-$S249)/$T249))+1),0)</f>
        <v>0.0</v>
      </c>
      <c r="L249" s="97">
        <f>IF(ISNUMBER($S249),MAX(0,INT((L$6+6-$S249)/$T249)-MAX(0,-INT(-(L$6-$S249)/$T249))+1),0)</f>
        <v>0.0</v>
      </c>
      <c r="M249" s="97">
        <f>IF(ISNUMBER($S249),MAX(0,INT((M$6+6-$S249)/$T249)-MAX(0,-INT(-(M$6-$S249)/$T249))+1),0)</f>
        <v>0.0</v>
      </c>
      <c r="N249" s="97">
        <f>IF(ISNUMBER($S249),MAX(0,INT((N$6+6-$S249)/$T249)-MAX(0,-INT(-(N$6-$S249)/$T249))+1),0)</f>
        <v>0.0</v>
      </c>
      <c r="O249" s="97">
        <f>IF(ISNUMBER($S249),MAX(0,INT((O$6+6-$S249)/$T249)-MAX(0,-INT(-(O$6-$S249)/$T249))+1),0)</f>
        <v>0.0</v>
      </c>
      <c r="P249" s="97">
        <f>IF(ISNUMBER($S249),MAX(0,INT((P$6+6-$S249)/$T249)-MAX(0,-INT(-(P$6-$S249)/$T249))+1),0)</f>
        <v>0.0</v>
      </c>
      <c r="Q249" s="97">
        <f>IF(ISNUMBER($S249),MAX(0,INT((Q$6+6-$S249)/$T249)-MAX(0,-INT(-(Q$6-$S249)/$T249))+1),0)</f>
        <v>0.0</v>
      </c>
      <c r="R249" s="97">
        <f>IF(ISNUMBER($S249),MAX(0,INT((R$6+6-$S249)/$T249)-MAX(0,-INT(-(R$6-$S249)/$T249))+1),0)</f>
        <v>0.0</v>
      </c>
      <c r="S249" t="str">
        <f>IF(ISNUMBER(INDEX(pl_period,240)),MAX(INDEX(pl_due,240),p_today),"")</f>
        <v/>
      </c>
      <c r="T249" t="str">
        <f>IF(ISNUMBER(INDEX(pl_period,240)),INDEX(pl_period,240),"")</f>
        <v/>
      </c>
      <c r="U249">
        <f>N(INDEX(pl_dur,240))</f>
        <v>0.0</v>
      </c>
    </row>
    <row r="250">
      <c r="A250" s="93" t="str">
        <f>IF(INDEX(pl_status,241)="","",INDEX(pl_num,241)&amp;"")</f>
        <v/>
      </c>
      <c r="B250" s="93" t="str">
        <f>IF(INDEX(pl_status,241)="","",INDEX(pl_eq,241)&amp;"")</f>
        <v/>
      </c>
      <c r="C250" s="93" t="str">
        <f>IF(INDEX(pl_status,241)="","",INDEX(pl_task,241)&amp;"")</f>
        <v/>
      </c>
      <c r="D250" s="94" t="str">
        <f>IF(ISNUMBER(INDEX(pl_due,241)),INDEX(pl_due,241),"")</f>
        <v/>
      </c>
      <c r="E250" s="95" t="str">
        <f>INDEX(pl_status,241)&amp;""</f>
        <v/>
      </c>
      <c r="F250" s="96" t="str">
        <f>IF(E250="En retard","●","")</f>
        <v/>
      </c>
      <c r="G250" s="97">
        <f>IF(ISNUMBER($S250),MAX(0,INT((G$6+6-$S250)/$T250)-MAX(0,-INT(-(G$6-$S250)/$T250))+1),0)</f>
        <v>0.0</v>
      </c>
      <c r="H250" s="97">
        <f>IF(ISNUMBER($S250),MAX(0,INT((H$6+6-$S250)/$T250)-MAX(0,-INT(-(H$6-$S250)/$T250))+1),0)</f>
        <v>0.0</v>
      </c>
      <c r="I250" s="97">
        <f>IF(ISNUMBER($S250),MAX(0,INT((I$6+6-$S250)/$T250)-MAX(0,-INT(-(I$6-$S250)/$T250))+1),0)</f>
        <v>0.0</v>
      </c>
      <c r="J250" s="97">
        <f>IF(ISNUMBER($S250),MAX(0,INT((J$6+6-$S250)/$T250)-MAX(0,-INT(-(J$6-$S250)/$T250))+1),0)</f>
        <v>0.0</v>
      </c>
      <c r="K250" s="97">
        <f>IF(ISNUMBER($S250),MAX(0,INT((K$6+6-$S250)/$T250)-MAX(0,-INT(-(K$6-$S250)/$T250))+1),0)</f>
        <v>0.0</v>
      </c>
      <c r="L250" s="97">
        <f>IF(ISNUMBER($S250),MAX(0,INT((L$6+6-$S250)/$T250)-MAX(0,-INT(-(L$6-$S250)/$T250))+1),0)</f>
        <v>0.0</v>
      </c>
      <c r="M250" s="97">
        <f>IF(ISNUMBER($S250),MAX(0,INT((M$6+6-$S250)/$T250)-MAX(0,-INT(-(M$6-$S250)/$T250))+1),0)</f>
        <v>0.0</v>
      </c>
      <c r="N250" s="97">
        <f>IF(ISNUMBER($S250),MAX(0,INT((N$6+6-$S250)/$T250)-MAX(0,-INT(-(N$6-$S250)/$T250))+1),0)</f>
        <v>0.0</v>
      </c>
      <c r="O250" s="97">
        <f>IF(ISNUMBER($S250),MAX(0,INT((O$6+6-$S250)/$T250)-MAX(0,-INT(-(O$6-$S250)/$T250))+1),0)</f>
        <v>0.0</v>
      </c>
      <c r="P250" s="97">
        <f>IF(ISNUMBER($S250),MAX(0,INT((P$6+6-$S250)/$T250)-MAX(0,-INT(-(P$6-$S250)/$T250))+1),0)</f>
        <v>0.0</v>
      </c>
      <c r="Q250" s="97">
        <f>IF(ISNUMBER($S250),MAX(0,INT((Q$6+6-$S250)/$T250)-MAX(0,-INT(-(Q$6-$S250)/$T250))+1),0)</f>
        <v>0.0</v>
      </c>
      <c r="R250" s="97">
        <f>IF(ISNUMBER($S250),MAX(0,INT((R$6+6-$S250)/$T250)-MAX(0,-INT(-(R$6-$S250)/$T250))+1),0)</f>
        <v>0.0</v>
      </c>
      <c r="S250" t="str">
        <f>IF(ISNUMBER(INDEX(pl_period,241)),MAX(INDEX(pl_due,241),p_today),"")</f>
        <v/>
      </c>
      <c r="T250" t="str">
        <f>IF(ISNUMBER(INDEX(pl_period,241)),INDEX(pl_period,241),"")</f>
        <v/>
      </c>
      <c r="U250">
        <f>N(INDEX(pl_dur,241))</f>
        <v>0.0</v>
      </c>
    </row>
    <row r="251">
      <c r="A251" s="93" t="str">
        <f>IF(INDEX(pl_status,242)="","",INDEX(pl_num,242)&amp;"")</f>
        <v/>
      </c>
      <c r="B251" s="93" t="str">
        <f>IF(INDEX(pl_status,242)="","",INDEX(pl_eq,242)&amp;"")</f>
        <v/>
      </c>
      <c r="C251" s="93" t="str">
        <f>IF(INDEX(pl_status,242)="","",INDEX(pl_task,242)&amp;"")</f>
        <v/>
      </c>
      <c r="D251" s="94" t="str">
        <f>IF(ISNUMBER(INDEX(pl_due,242)),INDEX(pl_due,242),"")</f>
        <v/>
      </c>
      <c r="E251" s="95" t="str">
        <f>INDEX(pl_status,242)&amp;""</f>
        <v/>
      </c>
      <c r="F251" s="96" t="str">
        <f>IF(E251="En retard","●","")</f>
        <v/>
      </c>
      <c r="G251" s="97">
        <f>IF(ISNUMBER($S251),MAX(0,INT((G$6+6-$S251)/$T251)-MAX(0,-INT(-(G$6-$S251)/$T251))+1),0)</f>
        <v>0.0</v>
      </c>
      <c r="H251" s="97">
        <f>IF(ISNUMBER($S251),MAX(0,INT((H$6+6-$S251)/$T251)-MAX(0,-INT(-(H$6-$S251)/$T251))+1),0)</f>
        <v>0.0</v>
      </c>
      <c r="I251" s="97">
        <f>IF(ISNUMBER($S251),MAX(0,INT((I$6+6-$S251)/$T251)-MAX(0,-INT(-(I$6-$S251)/$T251))+1),0)</f>
        <v>0.0</v>
      </c>
      <c r="J251" s="97">
        <f>IF(ISNUMBER($S251),MAX(0,INT((J$6+6-$S251)/$T251)-MAX(0,-INT(-(J$6-$S251)/$T251))+1),0)</f>
        <v>0.0</v>
      </c>
      <c r="K251" s="97">
        <f>IF(ISNUMBER($S251),MAX(0,INT((K$6+6-$S251)/$T251)-MAX(0,-INT(-(K$6-$S251)/$T251))+1),0)</f>
        <v>0.0</v>
      </c>
      <c r="L251" s="97">
        <f>IF(ISNUMBER($S251),MAX(0,INT((L$6+6-$S251)/$T251)-MAX(0,-INT(-(L$6-$S251)/$T251))+1),0)</f>
        <v>0.0</v>
      </c>
      <c r="M251" s="97">
        <f>IF(ISNUMBER($S251),MAX(0,INT((M$6+6-$S251)/$T251)-MAX(0,-INT(-(M$6-$S251)/$T251))+1),0)</f>
        <v>0.0</v>
      </c>
      <c r="N251" s="97">
        <f>IF(ISNUMBER($S251),MAX(0,INT((N$6+6-$S251)/$T251)-MAX(0,-INT(-(N$6-$S251)/$T251))+1),0)</f>
        <v>0.0</v>
      </c>
      <c r="O251" s="97">
        <f>IF(ISNUMBER($S251),MAX(0,INT((O$6+6-$S251)/$T251)-MAX(0,-INT(-(O$6-$S251)/$T251))+1),0)</f>
        <v>0.0</v>
      </c>
      <c r="P251" s="97">
        <f>IF(ISNUMBER($S251),MAX(0,INT((P$6+6-$S251)/$T251)-MAX(0,-INT(-(P$6-$S251)/$T251))+1),0)</f>
        <v>0.0</v>
      </c>
      <c r="Q251" s="97">
        <f>IF(ISNUMBER($S251),MAX(0,INT((Q$6+6-$S251)/$T251)-MAX(0,-INT(-(Q$6-$S251)/$T251))+1),0)</f>
        <v>0.0</v>
      </c>
      <c r="R251" s="97">
        <f>IF(ISNUMBER($S251),MAX(0,INT((R$6+6-$S251)/$T251)-MAX(0,-INT(-(R$6-$S251)/$T251))+1),0)</f>
        <v>0.0</v>
      </c>
      <c r="S251" t="str">
        <f>IF(ISNUMBER(INDEX(pl_period,242)),MAX(INDEX(pl_due,242),p_today),"")</f>
        <v/>
      </c>
      <c r="T251" t="str">
        <f>IF(ISNUMBER(INDEX(pl_period,242)),INDEX(pl_period,242),"")</f>
        <v/>
      </c>
      <c r="U251">
        <f>N(INDEX(pl_dur,242))</f>
        <v>0.0</v>
      </c>
    </row>
    <row r="252">
      <c r="A252" s="93" t="str">
        <f>IF(INDEX(pl_status,243)="","",INDEX(pl_num,243)&amp;"")</f>
        <v/>
      </c>
      <c r="B252" s="93" t="str">
        <f>IF(INDEX(pl_status,243)="","",INDEX(pl_eq,243)&amp;"")</f>
        <v/>
      </c>
      <c r="C252" s="93" t="str">
        <f>IF(INDEX(pl_status,243)="","",INDEX(pl_task,243)&amp;"")</f>
        <v/>
      </c>
      <c r="D252" s="94" t="str">
        <f>IF(ISNUMBER(INDEX(pl_due,243)),INDEX(pl_due,243),"")</f>
        <v/>
      </c>
      <c r="E252" s="95" t="str">
        <f>INDEX(pl_status,243)&amp;""</f>
        <v/>
      </c>
      <c r="F252" s="96" t="str">
        <f>IF(E252="En retard","●","")</f>
        <v/>
      </c>
      <c r="G252" s="97">
        <f>IF(ISNUMBER($S252),MAX(0,INT((G$6+6-$S252)/$T252)-MAX(0,-INT(-(G$6-$S252)/$T252))+1),0)</f>
        <v>0.0</v>
      </c>
      <c r="H252" s="97">
        <f>IF(ISNUMBER($S252),MAX(0,INT((H$6+6-$S252)/$T252)-MAX(0,-INT(-(H$6-$S252)/$T252))+1),0)</f>
        <v>0.0</v>
      </c>
      <c r="I252" s="97">
        <f>IF(ISNUMBER($S252),MAX(0,INT((I$6+6-$S252)/$T252)-MAX(0,-INT(-(I$6-$S252)/$T252))+1),0)</f>
        <v>0.0</v>
      </c>
      <c r="J252" s="97">
        <f>IF(ISNUMBER($S252),MAX(0,INT((J$6+6-$S252)/$T252)-MAX(0,-INT(-(J$6-$S252)/$T252))+1),0)</f>
        <v>0.0</v>
      </c>
      <c r="K252" s="97">
        <f>IF(ISNUMBER($S252),MAX(0,INT((K$6+6-$S252)/$T252)-MAX(0,-INT(-(K$6-$S252)/$T252))+1),0)</f>
        <v>0.0</v>
      </c>
      <c r="L252" s="97">
        <f>IF(ISNUMBER($S252),MAX(0,INT((L$6+6-$S252)/$T252)-MAX(0,-INT(-(L$6-$S252)/$T252))+1),0)</f>
        <v>0.0</v>
      </c>
      <c r="M252" s="97">
        <f>IF(ISNUMBER($S252),MAX(0,INT((M$6+6-$S252)/$T252)-MAX(0,-INT(-(M$6-$S252)/$T252))+1),0)</f>
        <v>0.0</v>
      </c>
      <c r="N252" s="97">
        <f>IF(ISNUMBER($S252),MAX(0,INT((N$6+6-$S252)/$T252)-MAX(0,-INT(-(N$6-$S252)/$T252))+1),0)</f>
        <v>0.0</v>
      </c>
      <c r="O252" s="97">
        <f>IF(ISNUMBER($S252),MAX(0,INT((O$6+6-$S252)/$T252)-MAX(0,-INT(-(O$6-$S252)/$T252))+1),0)</f>
        <v>0.0</v>
      </c>
      <c r="P252" s="97">
        <f>IF(ISNUMBER($S252),MAX(0,INT((P$6+6-$S252)/$T252)-MAX(0,-INT(-(P$6-$S252)/$T252))+1),0)</f>
        <v>0.0</v>
      </c>
      <c r="Q252" s="97">
        <f>IF(ISNUMBER($S252),MAX(0,INT((Q$6+6-$S252)/$T252)-MAX(0,-INT(-(Q$6-$S252)/$T252))+1),0)</f>
        <v>0.0</v>
      </c>
      <c r="R252" s="97">
        <f>IF(ISNUMBER($S252),MAX(0,INT((R$6+6-$S252)/$T252)-MAX(0,-INT(-(R$6-$S252)/$T252))+1),0)</f>
        <v>0.0</v>
      </c>
      <c r="S252" t="str">
        <f>IF(ISNUMBER(INDEX(pl_period,243)),MAX(INDEX(pl_due,243),p_today),"")</f>
        <v/>
      </c>
      <c r="T252" t="str">
        <f>IF(ISNUMBER(INDEX(pl_period,243)),INDEX(pl_period,243),"")</f>
        <v/>
      </c>
      <c r="U252">
        <f>N(INDEX(pl_dur,243))</f>
        <v>0.0</v>
      </c>
    </row>
    <row r="253">
      <c r="A253" s="93" t="str">
        <f>IF(INDEX(pl_status,244)="","",INDEX(pl_num,244)&amp;"")</f>
        <v/>
      </c>
      <c r="B253" s="93" t="str">
        <f>IF(INDEX(pl_status,244)="","",INDEX(pl_eq,244)&amp;"")</f>
        <v/>
      </c>
      <c r="C253" s="93" t="str">
        <f>IF(INDEX(pl_status,244)="","",INDEX(pl_task,244)&amp;"")</f>
        <v/>
      </c>
      <c r="D253" s="94" t="str">
        <f>IF(ISNUMBER(INDEX(pl_due,244)),INDEX(pl_due,244),"")</f>
        <v/>
      </c>
      <c r="E253" s="95" t="str">
        <f>INDEX(pl_status,244)&amp;""</f>
        <v/>
      </c>
      <c r="F253" s="96" t="str">
        <f>IF(E253="En retard","●","")</f>
        <v/>
      </c>
      <c r="G253" s="97">
        <f>IF(ISNUMBER($S253),MAX(0,INT((G$6+6-$S253)/$T253)-MAX(0,-INT(-(G$6-$S253)/$T253))+1),0)</f>
        <v>0.0</v>
      </c>
      <c r="H253" s="97">
        <f>IF(ISNUMBER($S253),MAX(0,INT((H$6+6-$S253)/$T253)-MAX(0,-INT(-(H$6-$S253)/$T253))+1),0)</f>
        <v>0.0</v>
      </c>
      <c r="I253" s="97">
        <f>IF(ISNUMBER($S253),MAX(0,INT((I$6+6-$S253)/$T253)-MAX(0,-INT(-(I$6-$S253)/$T253))+1),0)</f>
        <v>0.0</v>
      </c>
      <c r="J253" s="97">
        <f>IF(ISNUMBER($S253),MAX(0,INT((J$6+6-$S253)/$T253)-MAX(0,-INT(-(J$6-$S253)/$T253))+1),0)</f>
        <v>0.0</v>
      </c>
      <c r="K253" s="97">
        <f>IF(ISNUMBER($S253),MAX(0,INT((K$6+6-$S253)/$T253)-MAX(0,-INT(-(K$6-$S253)/$T253))+1),0)</f>
        <v>0.0</v>
      </c>
      <c r="L253" s="97">
        <f>IF(ISNUMBER($S253),MAX(0,INT((L$6+6-$S253)/$T253)-MAX(0,-INT(-(L$6-$S253)/$T253))+1),0)</f>
        <v>0.0</v>
      </c>
      <c r="M253" s="97">
        <f>IF(ISNUMBER($S253),MAX(0,INT((M$6+6-$S253)/$T253)-MAX(0,-INT(-(M$6-$S253)/$T253))+1),0)</f>
        <v>0.0</v>
      </c>
      <c r="N253" s="97">
        <f>IF(ISNUMBER($S253),MAX(0,INT((N$6+6-$S253)/$T253)-MAX(0,-INT(-(N$6-$S253)/$T253))+1),0)</f>
        <v>0.0</v>
      </c>
      <c r="O253" s="97">
        <f>IF(ISNUMBER($S253),MAX(0,INT((O$6+6-$S253)/$T253)-MAX(0,-INT(-(O$6-$S253)/$T253))+1),0)</f>
        <v>0.0</v>
      </c>
      <c r="P253" s="97">
        <f>IF(ISNUMBER($S253),MAX(0,INT((P$6+6-$S253)/$T253)-MAX(0,-INT(-(P$6-$S253)/$T253))+1),0)</f>
        <v>0.0</v>
      </c>
      <c r="Q253" s="97">
        <f>IF(ISNUMBER($S253),MAX(0,INT((Q$6+6-$S253)/$T253)-MAX(0,-INT(-(Q$6-$S253)/$T253))+1),0)</f>
        <v>0.0</v>
      </c>
      <c r="R253" s="97">
        <f>IF(ISNUMBER($S253),MAX(0,INT((R$6+6-$S253)/$T253)-MAX(0,-INT(-(R$6-$S253)/$T253))+1),0)</f>
        <v>0.0</v>
      </c>
      <c r="S253" t="str">
        <f>IF(ISNUMBER(INDEX(pl_period,244)),MAX(INDEX(pl_due,244),p_today),"")</f>
        <v/>
      </c>
      <c r="T253" t="str">
        <f>IF(ISNUMBER(INDEX(pl_period,244)),INDEX(pl_period,244),"")</f>
        <v/>
      </c>
      <c r="U253">
        <f>N(INDEX(pl_dur,244))</f>
        <v>0.0</v>
      </c>
    </row>
    <row r="254">
      <c r="A254" s="93" t="str">
        <f>IF(INDEX(pl_status,245)="","",INDEX(pl_num,245)&amp;"")</f>
        <v/>
      </c>
      <c r="B254" s="93" t="str">
        <f>IF(INDEX(pl_status,245)="","",INDEX(pl_eq,245)&amp;"")</f>
        <v/>
      </c>
      <c r="C254" s="93" t="str">
        <f>IF(INDEX(pl_status,245)="","",INDEX(pl_task,245)&amp;"")</f>
        <v/>
      </c>
      <c r="D254" s="94" t="str">
        <f>IF(ISNUMBER(INDEX(pl_due,245)),INDEX(pl_due,245),"")</f>
        <v/>
      </c>
      <c r="E254" s="95" t="str">
        <f>INDEX(pl_status,245)&amp;""</f>
        <v/>
      </c>
      <c r="F254" s="96" t="str">
        <f>IF(E254="En retard","●","")</f>
        <v/>
      </c>
      <c r="G254" s="97">
        <f>IF(ISNUMBER($S254),MAX(0,INT((G$6+6-$S254)/$T254)-MAX(0,-INT(-(G$6-$S254)/$T254))+1),0)</f>
        <v>0.0</v>
      </c>
      <c r="H254" s="97">
        <f>IF(ISNUMBER($S254),MAX(0,INT((H$6+6-$S254)/$T254)-MAX(0,-INT(-(H$6-$S254)/$T254))+1),0)</f>
        <v>0.0</v>
      </c>
      <c r="I254" s="97">
        <f>IF(ISNUMBER($S254),MAX(0,INT((I$6+6-$S254)/$T254)-MAX(0,-INT(-(I$6-$S254)/$T254))+1),0)</f>
        <v>0.0</v>
      </c>
      <c r="J254" s="97">
        <f>IF(ISNUMBER($S254),MAX(0,INT((J$6+6-$S254)/$T254)-MAX(0,-INT(-(J$6-$S254)/$T254))+1),0)</f>
        <v>0.0</v>
      </c>
      <c r="K254" s="97">
        <f>IF(ISNUMBER($S254),MAX(0,INT((K$6+6-$S254)/$T254)-MAX(0,-INT(-(K$6-$S254)/$T254))+1),0)</f>
        <v>0.0</v>
      </c>
      <c r="L254" s="97">
        <f>IF(ISNUMBER($S254),MAX(0,INT((L$6+6-$S254)/$T254)-MAX(0,-INT(-(L$6-$S254)/$T254))+1),0)</f>
        <v>0.0</v>
      </c>
      <c r="M254" s="97">
        <f>IF(ISNUMBER($S254),MAX(0,INT((M$6+6-$S254)/$T254)-MAX(0,-INT(-(M$6-$S254)/$T254))+1),0)</f>
        <v>0.0</v>
      </c>
      <c r="N254" s="97">
        <f>IF(ISNUMBER($S254),MAX(0,INT((N$6+6-$S254)/$T254)-MAX(0,-INT(-(N$6-$S254)/$T254))+1),0)</f>
        <v>0.0</v>
      </c>
      <c r="O254" s="97">
        <f>IF(ISNUMBER($S254),MAX(0,INT((O$6+6-$S254)/$T254)-MAX(0,-INT(-(O$6-$S254)/$T254))+1),0)</f>
        <v>0.0</v>
      </c>
      <c r="P254" s="97">
        <f>IF(ISNUMBER($S254),MAX(0,INT((P$6+6-$S254)/$T254)-MAX(0,-INT(-(P$6-$S254)/$T254))+1),0)</f>
        <v>0.0</v>
      </c>
      <c r="Q254" s="97">
        <f>IF(ISNUMBER($S254),MAX(0,INT((Q$6+6-$S254)/$T254)-MAX(0,-INT(-(Q$6-$S254)/$T254))+1),0)</f>
        <v>0.0</v>
      </c>
      <c r="R254" s="97">
        <f>IF(ISNUMBER($S254),MAX(0,INT((R$6+6-$S254)/$T254)-MAX(0,-INT(-(R$6-$S254)/$T254))+1),0)</f>
        <v>0.0</v>
      </c>
      <c r="S254" t="str">
        <f>IF(ISNUMBER(INDEX(pl_period,245)),MAX(INDEX(pl_due,245),p_today),"")</f>
        <v/>
      </c>
      <c r="T254" t="str">
        <f>IF(ISNUMBER(INDEX(pl_period,245)),INDEX(pl_period,245),"")</f>
        <v/>
      </c>
      <c r="U254">
        <f>N(INDEX(pl_dur,245))</f>
        <v>0.0</v>
      </c>
    </row>
    <row r="255">
      <c r="A255" s="93" t="str">
        <f>IF(INDEX(pl_status,246)="","",INDEX(pl_num,246)&amp;"")</f>
        <v/>
      </c>
      <c r="B255" s="93" t="str">
        <f>IF(INDEX(pl_status,246)="","",INDEX(pl_eq,246)&amp;"")</f>
        <v/>
      </c>
      <c r="C255" s="93" t="str">
        <f>IF(INDEX(pl_status,246)="","",INDEX(pl_task,246)&amp;"")</f>
        <v/>
      </c>
      <c r="D255" s="94" t="str">
        <f>IF(ISNUMBER(INDEX(pl_due,246)),INDEX(pl_due,246),"")</f>
        <v/>
      </c>
      <c r="E255" s="95" t="str">
        <f>INDEX(pl_status,246)&amp;""</f>
        <v/>
      </c>
      <c r="F255" s="96" t="str">
        <f>IF(E255="En retard","●","")</f>
        <v/>
      </c>
      <c r="G255" s="97">
        <f>IF(ISNUMBER($S255),MAX(0,INT((G$6+6-$S255)/$T255)-MAX(0,-INT(-(G$6-$S255)/$T255))+1),0)</f>
        <v>0.0</v>
      </c>
      <c r="H255" s="97">
        <f>IF(ISNUMBER($S255),MAX(0,INT((H$6+6-$S255)/$T255)-MAX(0,-INT(-(H$6-$S255)/$T255))+1),0)</f>
        <v>0.0</v>
      </c>
      <c r="I255" s="97">
        <f>IF(ISNUMBER($S255),MAX(0,INT((I$6+6-$S255)/$T255)-MAX(0,-INT(-(I$6-$S255)/$T255))+1),0)</f>
        <v>0.0</v>
      </c>
      <c r="J255" s="97">
        <f>IF(ISNUMBER($S255),MAX(0,INT((J$6+6-$S255)/$T255)-MAX(0,-INT(-(J$6-$S255)/$T255))+1),0)</f>
        <v>0.0</v>
      </c>
      <c r="K255" s="97">
        <f>IF(ISNUMBER($S255),MAX(0,INT((K$6+6-$S255)/$T255)-MAX(0,-INT(-(K$6-$S255)/$T255))+1),0)</f>
        <v>0.0</v>
      </c>
      <c r="L255" s="97">
        <f>IF(ISNUMBER($S255),MAX(0,INT((L$6+6-$S255)/$T255)-MAX(0,-INT(-(L$6-$S255)/$T255))+1),0)</f>
        <v>0.0</v>
      </c>
      <c r="M255" s="97">
        <f>IF(ISNUMBER($S255),MAX(0,INT((M$6+6-$S255)/$T255)-MAX(0,-INT(-(M$6-$S255)/$T255))+1),0)</f>
        <v>0.0</v>
      </c>
      <c r="N255" s="97">
        <f>IF(ISNUMBER($S255),MAX(0,INT((N$6+6-$S255)/$T255)-MAX(0,-INT(-(N$6-$S255)/$T255))+1),0)</f>
        <v>0.0</v>
      </c>
      <c r="O255" s="97">
        <f>IF(ISNUMBER($S255),MAX(0,INT((O$6+6-$S255)/$T255)-MAX(0,-INT(-(O$6-$S255)/$T255))+1),0)</f>
        <v>0.0</v>
      </c>
      <c r="P255" s="97">
        <f>IF(ISNUMBER($S255),MAX(0,INT((P$6+6-$S255)/$T255)-MAX(0,-INT(-(P$6-$S255)/$T255))+1),0)</f>
        <v>0.0</v>
      </c>
      <c r="Q255" s="97">
        <f>IF(ISNUMBER($S255),MAX(0,INT((Q$6+6-$S255)/$T255)-MAX(0,-INT(-(Q$6-$S255)/$T255))+1),0)</f>
        <v>0.0</v>
      </c>
      <c r="R255" s="97">
        <f>IF(ISNUMBER($S255),MAX(0,INT((R$6+6-$S255)/$T255)-MAX(0,-INT(-(R$6-$S255)/$T255))+1),0)</f>
        <v>0.0</v>
      </c>
      <c r="S255" t="str">
        <f>IF(ISNUMBER(INDEX(pl_period,246)),MAX(INDEX(pl_due,246),p_today),"")</f>
        <v/>
      </c>
      <c r="T255" t="str">
        <f>IF(ISNUMBER(INDEX(pl_period,246)),INDEX(pl_period,246),"")</f>
        <v/>
      </c>
      <c r="U255">
        <f>N(INDEX(pl_dur,246))</f>
        <v>0.0</v>
      </c>
    </row>
    <row r="256">
      <c r="A256" s="93" t="str">
        <f>IF(INDEX(pl_status,247)="","",INDEX(pl_num,247)&amp;"")</f>
        <v/>
      </c>
      <c r="B256" s="93" t="str">
        <f>IF(INDEX(pl_status,247)="","",INDEX(pl_eq,247)&amp;"")</f>
        <v/>
      </c>
      <c r="C256" s="93" t="str">
        <f>IF(INDEX(pl_status,247)="","",INDEX(pl_task,247)&amp;"")</f>
        <v/>
      </c>
      <c r="D256" s="94" t="str">
        <f>IF(ISNUMBER(INDEX(pl_due,247)),INDEX(pl_due,247),"")</f>
        <v/>
      </c>
      <c r="E256" s="95" t="str">
        <f>INDEX(pl_status,247)&amp;""</f>
        <v/>
      </c>
      <c r="F256" s="96" t="str">
        <f>IF(E256="En retard","●","")</f>
        <v/>
      </c>
      <c r="G256" s="97">
        <f>IF(ISNUMBER($S256),MAX(0,INT((G$6+6-$S256)/$T256)-MAX(0,-INT(-(G$6-$S256)/$T256))+1),0)</f>
        <v>0.0</v>
      </c>
      <c r="H256" s="97">
        <f>IF(ISNUMBER($S256),MAX(0,INT((H$6+6-$S256)/$T256)-MAX(0,-INT(-(H$6-$S256)/$T256))+1),0)</f>
        <v>0.0</v>
      </c>
      <c r="I256" s="97">
        <f>IF(ISNUMBER($S256),MAX(0,INT((I$6+6-$S256)/$T256)-MAX(0,-INT(-(I$6-$S256)/$T256))+1),0)</f>
        <v>0.0</v>
      </c>
      <c r="J256" s="97">
        <f>IF(ISNUMBER($S256),MAX(0,INT((J$6+6-$S256)/$T256)-MAX(0,-INT(-(J$6-$S256)/$T256))+1),0)</f>
        <v>0.0</v>
      </c>
      <c r="K256" s="97">
        <f>IF(ISNUMBER($S256),MAX(0,INT((K$6+6-$S256)/$T256)-MAX(0,-INT(-(K$6-$S256)/$T256))+1),0)</f>
        <v>0.0</v>
      </c>
      <c r="L256" s="97">
        <f>IF(ISNUMBER($S256),MAX(0,INT((L$6+6-$S256)/$T256)-MAX(0,-INT(-(L$6-$S256)/$T256))+1),0)</f>
        <v>0.0</v>
      </c>
      <c r="M256" s="97">
        <f>IF(ISNUMBER($S256),MAX(0,INT((M$6+6-$S256)/$T256)-MAX(0,-INT(-(M$6-$S256)/$T256))+1),0)</f>
        <v>0.0</v>
      </c>
      <c r="N256" s="97">
        <f>IF(ISNUMBER($S256),MAX(0,INT((N$6+6-$S256)/$T256)-MAX(0,-INT(-(N$6-$S256)/$T256))+1),0)</f>
        <v>0.0</v>
      </c>
      <c r="O256" s="97">
        <f>IF(ISNUMBER($S256),MAX(0,INT((O$6+6-$S256)/$T256)-MAX(0,-INT(-(O$6-$S256)/$T256))+1),0)</f>
        <v>0.0</v>
      </c>
      <c r="P256" s="97">
        <f>IF(ISNUMBER($S256),MAX(0,INT((P$6+6-$S256)/$T256)-MAX(0,-INT(-(P$6-$S256)/$T256))+1),0)</f>
        <v>0.0</v>
      </c>
      <c r="Q256" s="97">
        <f>IF(ISNUMBER($S256),MAX(0,INT((Q$6+6-$S256)/$T256)-MAX(0,-INT(-(Q$6-$S256)/$T256))+1),0)</f>
        <v>0.0</v>
      </c>
      <c r="R256" s="97">
        <f>IF(ISNUMBER($S256),MAX(0,INT((R$6+6-$S256)/$T256)-MAX(0,-INT(-(R$6-$S256)/$T256))+1),0)</f>
        <v>0.0</v>
      </c>
      <c r="S256" t="str">
        <f>IF(ISNUMBER(INDEX(pl_period,247)),MAX(INDEX(pl_due,247),p_today),"")</f>
        <v/>
      </c>
      <c r="T256" t="str">
        <f>IF(ISNUMBER(INDEX(pl_period,247)),INDEX(pl_period,247),"")</f>
        <v/>
      </c>
      <c r="U256">
        <f>N(INDEX(pl_dur,247))</f>
        <v>0.0</v>
      </c>
    </row>
    <row r="257">
      <c r="A257" s="93" t="str">
        <f>IF(INDEX(pl_status,248)="","",INDEX(pl_num,248)&amp;"")</f>
        <v/>
      </c>
      <c r="B257" s="93" t="str">
        <f>IF(INDEX(pl_status,248)="","",INDEX(pl_eq,248)&amp;"")</f>
        <v/>
      </c>
      <c r="C257" s="93" t="str">
        <f>IF(INDEX(pl_status,248)="","",INDEX(pl_task,248)&amp;"")</f>
        <v/>
      </c>
      <c r="D257" s="94" t="str">
        <f>IF(ISNUMBER(INDEX(pl_due,248)),INDEX(pl_due,248),"")</f>
        <v/>
      </c>
      <c r="E257" s="95" t="str">
        <f>INDEX(pl_status,248)&amp;""</f>
        <v/>
      </c>
      <c r="F257" s="96" t="str">
        <f>IF(E257="En retard","●","")</f>
        <v/>
      </c>
      <c r="G257" s="97">
        <f>IF(ISNUMBER($S257),MAX(0,INT((G$6+6-$S257)/$T257)-MAX(0,-INT(-(G$6-$S257)/$T257))+1),0)</f>
        <v>0.0</v>
      </c>
      <c r="H257" s="97">
        <f>IF(ISNUMBER($S257),MAX(0,INT((H$6+6-$S257)/$T257)-MAX(0,-INT(-(H$6-$S257)/$T257))+1),0)</f>
        <v>0.0</v>
      </c>
      <c r="I257" s="97">
        <f>IF(ISNUMBER($S257),MAX(0,INT((I$6+6-$S257)/$T257)-MAX(0,-INT(-(I$6-$S257)/$T257))+1),0)</f>
        <v>0.0</v>
      </c>
      <c r="J257" s="97">
        <f>IF(ISNUMBER($S257),MAX(0,INT((J$6+6-$S257)/$T257)-MAX(0,-INT(-(J$6-$S257)/$T257))+1),0)</f>
        <v>0.0</v>
      </c>
      <c r="K257" s="97">
        <f>IF(ISNUMBER($S257),MAX(0,INT((K$6+6-$S257)/$T257)-MAX(0,-INT(-(K$6-$S257)/$T257))+1),0)</f>
        <v>0.0</v>
      </c>
      <c r="L257" s="97">
        <f>IF(ISNUMBER($S257),MAX(0,INT((L$6+6-$S257)/$T257)-MAX(0,-INT(-(L$6-$S257)/$T257))+1),0)</f>
        <v>0.0</v>
      </c>
      <c r="M257" s="97">
        <f>IF(ISNUMBER($S257),MAX(0,INT((M$6+6-$S257)/$T257)-MAX(0,-INT(-(M$6-$S257)/$T257))+1),0)</f>
        <v>0.0</v>
      </c>
      <c r="N257" s="97">
        <f>IF(ISNUMBER($S257),MAX(0,INT((N$6+6-$S257)/$T257)-MAX(0,-INT(-(N$6-$S257)/$T257))+1),0)</f>
        <v>0.0</v>
      </c>
      <c r="O257" s="97">
        <f>IF(ISNUMBER($S257),MAX(0,INT((O$6+6-$S257)/$T257)-MAX(0,-INT(-(O$6-$S257)/$T257))+1),0)</f>
        <v>0.0</v>
      </c>
      <c r="P257" s="97">
        <f>IF(ISNUMBER($S257),MAX(0,INT((P$6+6-$S257)/$T257)-MAX(0,-INT(-(P$6-$S257)/$T257))+1),0)</f>
        <v>0.0</v>
      </c>
      <c r="Q257" s="97">
        <f>IF(ISNUMBER($S257),MAX(0,INT((Q$6+6-$S257)/$T257)-MAX(0,-INT(-(Q$6-$S257)/$T257))+1),0)</f>
        <v>0.0</v>
      </c>
      <c r="R257" s="97">
        <f>IF(ISNUMBER($S257),MAX(0,INT((R$6+6-$S257)/$T257)-MAX(0,-INT(-(R$6-$S257)/$T257))+1),0)</f>
        <v>0.0</v>
      </c>
      <c r="S257" t="str">
        <f>IF(ISNUMBER(INDEX(pl_period,248)),MAX(INDEX(pl_due,248),p_today),"")</f>
        <v/>
      </c>
      <c r="T257" t="str">
        <f>IF(ISNUMBER(INDEX(pl_period,248)),INDEX(pl_period,248),"")</f>
        <v/>
      </c>
      <c r="U257">
        <f>N(INDEX(pl_dur,248))</f>
        <v>0.0</v>
      </c>
    </row>
    <row r="258">
      <c r="A258" s="93" t="str">
        <f>IF(INDEX(pl_status,249)="","",INDEX(pl_num,249)&amp;"")</f>
        <v/>
      </c>
      <c r="B258" s="93" t="str">
        <f>IF(INDEX(pl_status,249)="","",INDEX(pl_eq,249)&amp;"")</f>
        <v/>
      </c>
      <c r="C258" s="93" t="str">
        <f>IF(INDEX(pl_status,249)="","",INDEX(pl_task,249)&amp;"")</f>
        <v/>
      </c>
      <c r="D258" s="94" t="str">
        <f>IF(ISNUMBER(INDEX(pl_due,249)),INDEX(pl_due,249),"")</f>
        <v/>
      </c>
      <c r="E258" s="95" t="str">
        <f>INDEX(pl_status,249)&amp;""</f>
        <v/>
      </c>
      <c r="F258" s="96" t="str">
        <f>IF(E258="En retard","●","")</f>
        <v/>
      </c>
      <c r="G258" s="97">
        <f>IF(ISNUMBER($S258),MAX(0,INT((G$6+6-$S258)/$T258)-MAX(0,-INT(-(G$6-$S258)/$T258))+1),0)</f>
        <v>0.0</v>
      </c>
      <c r="H258" s="97">
        <f>IF(ISNUMBER($S258),MAX(0,INT((H$6+6-$S258)/$T258)-MAX(0,-INT(-(H$6-$S258)/$T258))+1),0)</f>
        <v>0.0</v>
      </c>
      <c r="I258" s="97">
        <f>IF(ISNUMBER($S258),MAX(0,INT((I$6+6-$S258)/$T258)-MAX(0,-INT(-(I$6-$S258)/$T258))+1),0)</f>
        <v>0.0</v>
      </c>
      <c r="J258" s="97">
        <f>IF(ISNUMBER($S258),MAX(0,INT((J$6+6-$S258)/$T258)-MAX(0,-INT(-(J$6-$S258)/$T258))+1),0)</f>
        <v>0.0</v>
      </c>
      <c r="K258" s="97">
        <f>IF(ISNUMBER($S258),MAX(0,INT((K$6+6-$S258)/$T258)-MAX(0,-INT(-(K$6-$S258)/$T258))+1),0)</f>
        <v>0.0</v>
      </c>
      <c r="L258" s="97">
        <f>IF(ISNUMBER($S258),MAX(0,INT((L$6+6-$S258)/$T258)-MAX(0,-INT(-(L$6-$S258)/$T258))+1),0)</f>
        <v>0.0</v>
      </c>
      <c r="M258" s="97">
        <f>IF(ISNUMBER($S258),MAX(0,INT((M$6+6-$S258)/$T258)-MAX(0,-INT(-(M$6-$S258)/$T258))+1),0)</f>
        <v>0.0</v>
      </c>
      <c r="N258" s="97">
        <f>IF(ISNUMBER($S258),MAX(0,INT((N$6+6-$S258)/$T258)-MAX(0,-INT(-(N$6-$S258)/$T258))+1),0)</f>
        <v>0.0</v>
      </c>
      <c r="O258" s="97">
        <f>IF(ISNUMBER($S258),MAX(0,INT((O$6+6-$S258)/$T258)-MAX(0,-INT(-(O$6-$S258)/$T258))+1),0)</f>
        <v>0.0</v>
      </c>
      <c r="P258" s="97">
        <f>IF(ISNUMBER($S258),MAX(0,INT((P$6+6-$S258)/$T258)-MAX(0,-INT(-(P$6-$S258)/$T258))+1),0)</f>
        <v>0.0</v>
      </c>
      <c r="Q258" s="97">
        <f>IF(ISNUMBER($S258),MAX(0,INT((Q$6+6-$S258)/$T258)-MAX(0,-INT(-(Q$6-$S258)/$T258))+1),0)</f>
        <v>0.0</v>
      </c>
      <c r="R258" s="97">
        <f>IF(ISNUMBER($S258),MAX(0,INT((R$6+6-$S258)/$T258)-MAX(0,-INT(-(R$6-$S258)/$T258))+1),0)</f>
        <v>0.0</v>
      </c>
      <c r="S258" t="str">
        <f>IF(ISNUMBER(INDEX(pl_period,249)),MAX(INDEX(pl_due,249),p_today),"")</f>
        <v/>
      </c>
      <c r="T258" t="str">
        <f>IF(ISNUMBER(INDEX(pl_period,249)),INDEX(pl_period,249),"")</f>
        <v/>
      </c>
      <c r="U258">
        <f>N(INDEX(pl_dur,249))</f>
        <v>0.0</v>
      </c>
    </row>
    <row r="259">
      <c r="A259" s="93" t="str">
        <f>IF(INDEX(pl_status,250)="","",INDEX(pl_num,250)&amp;"")</f>
        <v/>
      </c>
      <c r="B259" s="93" t="str">
        <f>IF(INDEX(pl_status,250)="","",INDEX(pl_eq,250)&amp;"")</f>
        <v/>
      </c>
      <c r="C259" s="93" t="str">
        <f>IF(INDEX(pl_status,250)="","",INDEX(pl_task,250)&amp;"")</f>
        <v/>
      </c>
      <c r="D259" s="94" t="str">
        <f>IF(ISNUMBER(INDEX(pl_due,250)),INDEX(pl_due,250),"")</f>
        <v/>
      </c>
      <c r="E259" s="95" t="str">
        <f>INDEX(pl_status,250)&amp;""</f>
        <v/>
      </c>
      <c r="F259" s="96" t="str">
        <f>IF(E259="En retard","●","")</f>
        <v/>
      </c>
      <c r="G259" s="97">
        <f>IF(ISNUMBER($S259),MAX(0,INT((G$6+6-$S259)/$T259)-MAX(0,-INT(-(G$6-$S259)/$T259))+1),0)</f>
        <v>0.0</v>
      </c>
      <c r="H259" s="97">
        <f>IF(ISNUMBER($S259),MAX(0,INT((H$6+6-$S259)/$T259)-MAX(0,-INT(-(H$6-$S259)/$T259))+1),0)</f>
        <v>0.0</v>
      </c>
      <c r="I259" s="97">
        <f>IF(ISNUMBER($S259),MAX(0,INT((I$6+6-$S259)/$T259)-MAX(0,-INT(-(I$6-$S259)/$T259))+1),0)</f>
        <v>0.0</v>
      </c>
      <c r="J259" s="97">
        <f>IF(ISNUMBER($S259),MAX(0,INT((J$6+6-$S259)/$T259)-MAX(0,-INT(-(J$6-$S259)/$T259))+1),0)</f>
        <v>0.0</v>
      </c>
      <c r="K259" s="97">
        <f>IF(ISNUMBER($S259),MAX(0,INT((K$6+6-$S259)/$T259)-MAX(0,-INT(-(K$6-$S259)/$T259))+1),0)</f>
        <v>0.0</v>
      </c>
      <c r="L259" s="97">
        <f>IF(ISNUMBER($S259),MAX(0,INT((L$6+6-$S259)/$T259)-MAX(0,-INT(-(L$6-$S259)/$T259))+1),0)</f>
        <v>0.0</v>
      </c>
      <c r="M259" s="97">
        <f>IF(ISNUMBER($S259),MAX(0,INT((M$6+6-$S259)/$T259)-MAX(0,-INT(-(M$6-$S259)/$T259))+1),0)</f>
        <v>0.0</v>
      </c>
      <c r="N259" s="97">
        <f>IF(ISNUMBER($S259),MAX(0,INT((N$6+6-$S259)/$T259)-MAX(0,-INT(-(N$6-$S259)/$T259))+1),0)</f>
        <v>0.0</v>
      </c>
      <c r="O259" s="97">
        <f>IF(ISNUMBER($S259),MAX(0,INT((O$6+6-$S259)/$T259)-MAX(0,-INT(-(O$6-$S259)/$T259))+1),0)</f>
        <v>0.0</v>
      </c>
      <c r="P259" s="97">
        <f>IF(ISNUMBER($S259),MAX(0,INT((P$6+6-$S259)/$T259)-MAX(0,-INT(-(P$6-$S259)/$T259))+1),0)</f>
        <v>0.0</v>
      </c>
      <c r="Q259" s="97">
        <f>IF(ISNUMBER($S259),MAX(0,INT((Q$6+6-$S259)/$T259)-MAX(0,-INT(-(Q$6-$S259)/$T259))+1),0)</f>
        <v>0.0</v>
      </c>
      <c r="R259" s="97">
        <f>IF(ISNUMBER($S259),MAX(0,INT((R$6+6-$S259)/$T259)-MAX(0,-INT(-(R$6-$S259)/$T259))+1),0)</f>
        <v>0.0</v>
      </c>
      <c r="S259" t="str">
        <f>IF(ISNUMBER(INDEX(pl_period,250)),MAX(INDEX(pl_due,250),p_today),"")</f>
        <v/>
      </c>
      <c r="T259" t="str">
        <f>IF(ISNUMBER(INDEX(pl_period,250)),INDEX(pl_period,250),"")</f>
        <v/>
      </c>
      <c r="U259">
        <f>N(INDEX(pl_dur,250))</f>
        <v>0.0</v>
      </c>
    </row>
    <row r="260">
      <c r="A260" s="93" t="str">
        <f>IF(INDEX(pl_status,251)="","",INDEX(pl_num,251)&amp;"")</f>
        <v/>
      </c>
      <c r="B260" s="93" t="str">
        <f>IF(INDEX(pl_status,251)="","",INDEX(pl_eq,251)&amp;"")</f>
        <v/>
      </c>
      <c r="C260" s="93" t="str">
        <f>IF(INDEX(pl_status,251)="","",INDEX(pl_task,251)&amp;"")</f>
        <v/>
      </c>
      <c r="D260" s="94" t="str">
        <f>IF(ISNUMBER(INDEX(pl_due,251)),INDEX(pl_due,251),"")</f>
        <v/>
      </c>
      <c r="E260" s="95" t="str">
        <f>INDEX(pl_status,251)&amp;""</f>
        <v/>
      </c>
      <c r="F260" s="96" t="str">
        <f>IF(E260="En retard","●","")</f>
        <v/>
      </c>
      <c r="G260" s="97">
        <f>IF(ISNUMBER($S260),MAX(0,INT((G$6+6-$S260)/$T260)-MAX(0,-INT(-(G$6-$S260)/$T260))+1),0)</f>
        <v>0.0</v>
      </c>
      <c r="H260" s="97">
        <f>IF(ISNUMBER($S260),MAX(0,INT((H$6+6-$S260)/$T260)-MAX(0,-INT(-(H$6-$S260)/$T260))+1),0)</f>
        <v>0.0</v>
      </c>
      <c r="I260" s="97">
        <f>IF(ISNUMBER($S260),MAX(0,INT((I$6+6-$S260)/$T260)-MAX(0,-INT(-(I$6-$S260)/$T260))+1),0)</f>
        <v>0.0</v>
      </c>
      <c r="J260" s="97">
        <f>IF(ISNUMBER($S260),MAX(0,INT((J$6+6-$S260)/$T260)-MAX(0,-INT(-(J$6-$S260)/$T260))+1),0)</f>
        <v>0.0</v>
      </c>
      <c r="K260" s="97">
        <f>IF(ISNUMBER($S260),MAX(0,INT((K$6+6-$S260)/$T260)-MAX(0,-INT(-(K$6-$S260)/$T260))+1),0)</f>
        <v>0.0</v>
      </c>
      <c r="L260" s="97">
        <f>IF(ISNUMBER($S260),MAX(0,INT((L$6+6-$S260)/$T260)-MAX(0,-INT(-(L$6-$S260)/$T260))+1),0)</f>
        <v>0.0</v>
      </c>
      <c r="M260" s="97">
        <f>IF(ISNUMBER($S260),MAX(0,INT((M$6+6-$S260)/$T260)-MAX(0,-INT(-(M$6-$S260)/$T260))+1),0)</f>
        <v>0.0</v>
      </c>
      <c r="N260" s="97">
        <f>IF(ISNUMBER($S260),MAX(0,INT((N$6+6-$S260)/$T260)-MAX(0,-INT(-(N$6-$S260)/$T260))+1),0)</f>
        <v>0.0</v>
      </c>
      <c r="O260" s="97">
        <f>IF(ISNUMBER($S260),MAX(0,INT((O$6+6-$S260)/$T260)-MAX(0,-INT(-(O$6-$S260)/$T260))+1),0)</f>
        <v>0.0</v>
      </c>
      <c r="P260" s="97">
        <f>IF(ISNUMBER($S260),MAX(0,INT((P$6+6-$S260)/$T260)-MAX(0,-INT(-(P$6-$S260)/$T260))+1),0)</f>
        <v>0.0</v>
      </c>
      <c r="Q260" s="97">
        <f>IF(ISNUMBER($S260),MAX(0,INT((Q$6+6-$S260)/$T260)-MAX(0,-INT(-(Q$6-$S260)/$T260))+1),0)</f>
        <v>0.0</v>
      </c>
      <c r="R260" s="97">
        <f>IF(ISNUMBER($S260),MAX(0,INT((R$6+6-$S260)/$T260)-MAX(0,-INT(-(R$6-$S260)/$T260))+1),0)</f>
        <v>0.0</v>
      </c>
      <c r="S260" t="str">
        <f>IF(ISNUMBER(INDEX(pl_period,251)),MAX(INDEX(pl_due,251),p_today),"")</f>
        <v/>
      </c>
      <c r="T260" t="str">
        <f>IF(ISNUMBER(INDEX(pl_period,251)),INDEX(pl_period,251),"")</f>
        <v/>
      </c>
      <c r="U260">
        <f>N(INDEX(pl_dur,251))</f>
        <v>0.0</v>
      </c>
    </row>
    <row r="261">
      <c r="A261" s="93" t="str">
        <f>IF(INDEX(pl_status,252)="","",INDEX(pl_num,252)&amp;"")</f>
        <v/>
      </c>
      <c r="B261" s="93" t="str">
        <f>IF(INDEX(pl_status,252)="","",INDEX(pl_eq,252)&amp;"")</f>
        <v/>
      </c>
      <c r="C261" s="93" t="str">
        <f>IF(INDEX(pl_status,252)="","",INDEX(pl_task,252)&amp;"")</f>
        <v/>
      </c>
      <c r="D261" s="94" t="str">
        <f>IF(ISNUMBER(INDEX(pl_due,252)),INDEX(pl_due,252),"")</f>
        <v/>
      </c>
      <c r="E261" s="95" t="str">
        <f>INDEX(pl_status,252)&amp;""</f>
        <v/>
      </c>
      <c r="F261" s="96" t="str">
        <f>IF(E261="En retard","●","")</f>
        <v/>
      </c>
      <c r="G261" s="97">
        <f>IF(ISNUMBER($S261),MAX(0,INT((G$6+6-$S261)/$T261)-MAX(0,-INT(-(G$6-$S261)/$T261))+1),0)</f>
        <v>0.0</v>
      </c>
      <c r="H261" s="97">
        <f>IF(ISNUMBER($S261),MAX(0,INT((H$6+6-$S261)/$T261)-MAX(0,-INT(-(H$6-$S261)/$T261))+1),0)</f>
        <v>0.0</v>
      </c>
      <c r="I261" s="97">
        <f>IF(ISNUMBER($S261),MAX(0,INT((I$6+6-$S261)/$T261)-MAX(0,-INT(-(I$6-$S261)/$T261))+1),0)</f>
        <v>0.0</v>
      </c>
      <c r="J261" s="97">
        <f>IF(ISNUMBER($S261),MAX(0,INT((J$6+6-$S261)/$T261)-MAX(0,-INT(-(J$6-$S261)/$T261))+1),0)</f>
        <v>0.0</v>
      </c>
      <c r="K261" s="97">
        <f>IF(ISNUMBER($S261),MAX(0,INT((K$6+6-$S261)/$T261)-MAX(0,-INT(-(K$6-$S261)/$T261))+1),0)</f>
        <v>0.0</v>
      </c>
      <c r="L261" s="97">
        <f>IF(ISNUMBER($S261),MAX(0,INT((L$6+6-$S261)/$T261)-MAX(0,-INT(-(L$6-$S261)/$T261))+1),0)</f>
        <v>0.0</v>
      </c>
      <c r="M261" s="97">
        <f>IF(ISNUMBER($S261),MAX(0,INT((M$6+6-$S261)/$T261)-MAX(0,-INT(-(M$6-$S261)/$T261))+1),0)</f>
        <v>0.0</v>
      </c>
      <c r="N261" s="97">
        <f>IF(ISNUMBER($S261),MAX(0,INT((N$6+6-$S261)/$T261)-MAX(0,-INT(-(N$6-$S261)/$T261))+1),0)</f>
        <v>0.0</v>
      </c>
      <c r="O261" s="97">
        <f>IF(ISNUMBER($S261),MAX(0,INT((O$6+6-$S261)/$T261)-MAX(0,-INT(-(O$6-$S261)/$T261))+1),0)</f>
        <v>0.0</v>
      </c>
      <c r="P261" s="97">
        <f>IF(ISNUMBER($S261),MAX(0,INT((P$6+6-$S261)/$T261)-MAX(0,-INT(-(P$6-$S261)/$T261))+1),0)</f>
        <v>0.0</v>
      </c>
      <c r="Q261" s="97">
        <f>IF(ISNUMBER($S261),MAX(0,INT((Q$6+6-$S261)/$T261)-MAX(0,-INT(-(Q$6-$S261)/$T261))+1),0)</f>
        <v>0.0</v>
      </c>
      <c r="R261" s="97">
        <f>IF(ISNUMBER($S261),MAX(0,INT((R$6+6-$S261)/$T261)-MAX(0,-INT(-(R$6-$S261)/$T261))+1),0)</f>
        <v>0.0</v>
      </c>
      <c r="S261" t="str">
        <f>IF(ISNUMBER(INDEX(pl_period,252)),MAX(INDEX(pl_due,252),p_today),"")</f>
        <v/>
      </c>
      <c r="T261" t="str">
        <f>IF(ISNUMBER(INDEX(pl_period,252)),INDEX(pl_period,252),"")</f>
        <v/>
      </c>
      <c r="U261">
        <f>N(INDEX(pl_dur,252))</f>
        <v>0.0</v>
      </c>
    </row>
    <row r="262">
      <c r="A262" s="93" t="str">
        <f>IF(INDEX(pl_status,253)="","",INDEX(pl_num,253)&amp;"")</f>
        <v/>
      </c>
      <c r="B262" s="93" t="str">
        <f>IF(INDEX(pl_status,253)="","",INDEX(pl_eq,253)&amp;"")</f>
        <v/>
      </c>
      <c r="C262" s="93" t="str">
        <f>IF(INDEX(pl_status,253)="","",INDEX(pl_task,253)&amp;"")</f>
        <v/>
      </c>
      <c r="D262" s="94" t="str">
        <f>IF(ISNUMBER(INDEX(pl_due,253)),INDEX(pl_due,253),"")</f>
        <v/>
      </c>
      <c r="E262" s="95" t="str">
        <f>INDEX(pl_status,253)&amp;""</f>
        <v/>
      </c>
      <c r="F262" s="96" t="str">
        <f>IF(E262="En retard","●","")</f>
        <v/>
      </c>
      <c r="G262" s="97">
        <f>IF(ISNUMBER($S262),MAX(0,INT((G$6+6-$S262)/$T262)-MAX(0,-INT(-(G$6-$S262)/$T262))+1),0)</f>
        <v>0.0</v>
      </c>
      <c r="H262" s="97">
        <f>IF(ISNUMBER($S262),MAX(0,INT((H$6+6-$S262)/$T262)-MAX(0,-INT(-(H$6-$S262)/$T262))+1),0)</f>
        <v>0.0</v>
      </c>
      <c r="I262" s="97">
        <f>IF(ISNUMBER($S262),MAX(0,INT((I$6+6-$S262)/$T262)-MAX(0,-INT(-(I$6-$S262)/$T262))+1),0)</f>
        <v>0.0</v>
      </c>
      <c r="J262" s="97">
        <f>IF(ISNUMBER($S262),MAX(0,INT((J$6+6-$S262)/$T262)-MAX(0,-INT(-(J$6-$S262)/$T262))+1),0)</f>
        <v>0.0</v>
      </c>
      <c r="K262" s="97">
        <f>IF(ISNUMBER($S262),MAX(0,INT((K$6+6-$S262)/$T262)-MAX(0,-INT(-(K$6-$S262)/$T262))+1),0)</f>
        <v>0.0</v>
      </c>
      <c r="L262" s="97">
        <f>IF(ISNUMBER($S262),MAX(0,INT((L$6+6-$S262)/$T262)-MAX(0,-INT(-(L$6-$S262)/$T262))+1),0)</f>
        <v>0.0</v>
      </c>
      <c r="M262" s="97">
        <f>IF(ISNUMBER($S262),MAX(0,INT((M$6+6-$S262)/$T262)-MAX(0,-INT(-(M$6-$S262)/$T262))+1),0)</f>
        <v>0.0</v>
      </c>
      <c r="N262" s="97">
        <f>IF(ISNUMBER($S262),MAX(0,INT((N$6+6-$S262)/$T262)-MAX(0,-INT(-(N$6-$S262)/$T262))+1),0)</f>
        <v>0.0</v>
      </c>
      <c r="O262" s="97">
        <f>IF(ISNUMBER($S262),MAX(0,INT((O$6+6-$S262)/$T262)-MAX(0,-INT(-(O$6-$S262)/$T262))+1),0)</f>
        <v>0.0</v>
      </c>
      <c r="P262" s="97">
        <f>IF(ISNUMBER($S262),MAX(0,INT((P$6+6-$S262)/$T262)-MAX(0,-INT(-(P$6-$S262)/$T262))+1),0)</f>
        <v>0.0</v>
      </c>
      <c r="Q262" s="97">
        <f>IF(ISNUMBER($S262),MAX(0,INT((Q$6+6-$S262)/$T262)-MAX(0,-INT(-(Q$6-$S262)/$T262))+1),0)</f>
        <v>0.0</v>
      </c>
      <c r="R262" s="97">
        <f>IF(ISNUMBER($S262),MAX(0,INT((R$6+6-$S262)/$T262)-MAX(0,-INT(-(R$6-$S262)/$T262))+1),0)</f>
        <v>0.0</v>
      </c>
      <c r="S262" t="str">
        <f>IF(ISNUMBER(INDEX(pl_period,253)),MAX(INDEX(pl_due,253),p_today),"")</f>
        <v/>
      </c>
      <c r="T262" t="str">
        <f>IF(ISNUMBER(INDEX(pl_period,253)),INDEX(pl_period,253),"")</f>
        <v/>
      </c>
      <c r="U262">
        <f>N(INDEX(pl_dur,253))</f>
        <v>0.0</v>
      </c>
    </row>
    <row r="263">
      <c r="A263" s="93" t="str">
        <f>IF(INDEX(pl_status,254)="","",INDEX(pl_num,254)&amp;"")</f>
        <v/>
      </c>
      <c r="B263" s="93" t="str">
        <f>IF(INDEX(pl_status,254)="","",INDEX(pl_eq,254)&amp;"")</f>
        <v/>
      </c>
      <c r="C263" s="93" t="str">
        <f>IF(INDEX(pl_status,254)="","",INDEX(pl_task,254)&amp;"")</f>
        <v/>
      </c>
      <c r="D263" s="94" t="str">
        <f>IF(ISNUMBER(INDEX(pl_due,254)),INDEX(pl_due,254),"")</f>
        <v/>
      </c>
      <c r="E263" s="95" t="str">
        <f>INDEX(pl_status,254)&amp;""</f>
        <v/>
      </c>
      <c r="F263" s="96" t="str">
        <f>IF(E263="En retard","●","")</f>
        <v/>
      </c>
      <c r="G263" s="97">
        <f>IF(ISNUMBER($S263),MAX(0,INT((G$6+6-$S263)/$T263)-MAX(0,-INT(-(G$6-$S263)/$T263))+1),0)</f>
        <v>0.0</v>
      </c>
      <c r="H263" s="97">
        <f>IF(ISNUMBER($S263),MAX(0,INT((H$6+6-$S263)/$T263)-MAX(0,-INT(-(H$6-$S263)/$T263))+1),0)</f>
        <v>0.0</v>
      </c>
      <c r="I263" s="97">
        <f>IF(ISNUMBER($S263),MAX(0,INT((I$6+6-$S263)/$T263)-MAX(0,-INT(-(I$6-$S263)/$T263))+1),0)</f>
        <v>0.0</v>
      </c>
      <c r="J263" s="97">
        <f>IF(ISNUMBER($S263),MAX(0,INT((J$6+6-$S263)/$T263)-MAX(0,-INT(-(J$6-$S263)/$T263))+1),0)</f>
        <v>0.0</v>
      </c>
      <c r="K263" s="97">
        <f>IF(ISNUMBER($S263),MAX(0,INT((K$6+6-$S263)/$T263)-MAX(0,-INT(-(K$6-$S263)/$T263))+1),0)</f>
        <v>0.0</v>
      </c>
      <c r="L263" s="97">
        <f>IF(ISNUMBER($S263),MAX(0,INT((L$6+6-$S263)/$T263)-MAX(0,-INT(-(L$6-$S263)/$T263))+1),0)</f>
        <v>0.0</v>
      </c>
      <c r="M263" s="97">
        <f>IF(ISNUMBER($S263),MAX(0,INT((M$6+6-$S263)/$T263)-MAX(0,-INT(-(M$6-$S263)/$T263))+1),0)</f>
        <v>0.0</v>
      </c>
      <c r="N263" s="97">
        <f>IF(ISNUMBER($S263),MAX(0,INT((N$6+6-$S263)/$T263)-MAX(0,-INT(-(N$6-$S263)/$T263))+1),0)</f>
        <v>0.0</v>
      </c>
      <c r="O263" s="97">
        <f>IF(ISNUMBER($S263),MAX(0,INT((O$6+6-$S263)/$T263)-MAX(0,-INT(-(O$6-$S263)/$T263))+1),0)</f>
        <v>0.0</v>
      </c>
      <c r="P263" s="97">
        <f>IF(ISNUMBER($S263),MAX(0,INT((P$6+6-$S263)/$T263)-MAX(0,-INT(-(P$6-$S263)/$T263))+1),0)</f>
        <v>0.0</v>
      </c>
      <c r="Q263" s="97">
        <f>IF(ISNUMBER($S263),MAX(0,INT((Q$6+6-$S263)/$T263)-MAX(0,-INT(-(Q$6-$S263)/$T263))+1),0)</f>
        <v>0.0</v>
      </c>
      <c r="R263" s="97">
        <f>IF(ISNUMBER($S263),MAX(0,INT((R$6+6-$S263)/$T263)-MAX(0,-INT(-(R$6-$S263)/$T263))+1),0)</f>
        <v>0.0</v>
      </c>
      <c r="S263" t="str">
        <f>IF(ISNUMBER(INDEX(pl_period,254)),MAX(INDEX(pl_due,254),p_today),"")</f>
        <v/>
      </c>
      <c r="T263" t="str">
        <f>IF(ISNUMBER(INDEX(pl_period,254)),INDEX(pl_period,254),"")</f>
        <v/>
      </c>
      <c r="U263">
        <f>N(INDEX(pl_dur,254))</f>
        <v>0.0</v>
      </c>
    </row>
    <row r="264">
      <c r="A264" s="93" t="str">
        <f>IF(INDEX(pl_status,255)="","",INDEX(pl_num,255)&amp;"")</f>
        <v/>
      </c>
      <c r="B264" s="93" t="str">
        <f>IF(INDEX(pl_status,255)="","",INDEX(pl_eq,255)&amp;"")</f>
        <v/>
      </c>
      <c r="C264" s="93" t="str">
        <f>IF(INDEX(pl_status,255)="","",INDEX(pl_task,255)&amp;"")</f>
        <v/>
      </c>
      <c r="D264" s="94" t="str">
        <f>IF(ISNUMBER(INDEX(pl_due,255)),INDEX(pl_due,255),"")</f>
        <v/>
      </c>
      <c r="E264" s="95" t="str">
        <f>INDEX(pl_status,255)&amp;""</f>
        <v/>
      </c>
      <c r="F264" s="96" t="str">
        <f>IF(E264="En retard","●","")</f>
        <v/>
      </c>
      <c r="G264" s="97">
        <f>IF(ISNUMBER($S264),MAX(0,INT((G$6+6-$S264)/$T264)-MAX(0,-INT(-(G$6-$S264)/$T264))+1),0)</f>
        <v>0.0</v>
      </c>
      <c r="H264" s="97">
        <f>IF(ISNUMBER($S264),MAX(0,INT((H$6+6-$S264)/$T264)-MAX(0,-INT(-(H$6-$S264)/$T264))+1),0)</f>
        <v>0.0</v>
      </c>
      <c r="I264" s="97">
        <f>IF(ISNUMBER($S264),MAX(0,INT((I$6+6-$S264)/$T264)-MAX(0,-INT(-(I$6-$S264)/$T264))+1),0)</f>
        <v>0.0</v>
      </c>
      <c r="J264" s="97">
        <f>IF(ISNUMBER($S264),MAX(0,INT((J$6+6-$S264)/$T264)-MAX(0,-INT(-(J$6-$S264)/$T264))+1),0)</f>
        <v>0.0</v>
      </c>
      <c r="K264" s="97">
        <f>IF(ISNUMBER($S264),MAX(0,INT((K$6+6-$S264)/$T264)-MAX(0,-INT(-(K$6-$S264)/$T264))+1),0)</f>
        <v>0.0</v>
      </c>
      <c r="L264" s="97">
        <f>IF(ISNUMBER($S264),MAX(0,INT((L$6+6-$S264)/$T264)-MAX(0,-INT(-(L$6-$S264)/$T264))+1),0)</f>
        <v>0.0</v>
      </c>
      <c r="M264" s="97">
        <f>IF(ISNUMBER($S264),MAX(0,INT((M$6+6-$S264)/$T264)-MAX(0,-INT(-(M$6-$S264)/$T264))+1),0)</f>
        <v>0.0</v>
      </c>
      <c r="N264" s="97">
        <f>IF(ISNUMBER($S264),MAX(0,INT((N$6+6-$S264)/$T264)-MAX(0,-INT(-(N$6-$S264)/$T264))+1),0)</f>
        <v>0.0</v>
      </c>
      <c r="O264" s="97">
        <f>IF(ISNUMBER($S264),MAX(0,INT((O$6+6-$S264)/$T264)-MAX(0,-INT(-(O$6-$S264)/$T264))+1),0)</f>
        <v>0.0</v>
      </c>
      <c r="P264" s="97">
        <f>IF(ISNUMBER($S264),MAX(0,INT((P$6+6-$S264)/$T264)-MAX(0,-INT(-(P$6-$S264)/$T264))+1),0)</f>
        <v>0.0</v>
      </c>
      <c r="Q264" s="97">
        <f>IF(ISNUMBER($S264),MAX(0,INT((Q$6+6-$S264)/$T264)-MAX(0,-INT(-(Q$6-$S264)/$T264))+1),0)</f>
        <v>0.0</v>
      </c>
      <c r="R264" s="97">
        <f>IF(ISNUMBER($S264),MAX(0,INT((R$6+6-$S264)/$T264)-MAX(0,-INT(-(R$6-$S264)/$T264))+1),0)</f>
        <v>0.0</v>
      </c>
      <c r="S264" t="str">
        <f>IF(ISNUMBER(INDEX(pl_period,255)),MAX(INDEX(pl_due,255),p_today),"")</f>
        <v/>
      </c>
      <c r="T264" t="str">
        <f>IF(ISNUMBER(INDEX(pl_period,255)),INDEX(pl_period,255),"")</f>
        <v/>
      </c>
      <c r="U264">
        <f>N(INDEX(pl_dur,255))</f>
        <v>0.0</v>
      </c>
    </row>
    <row r="265">
      <c r="A265" s="93" t="str">
        <f>IF(INDEX(pl_status,256)="","",INDEX(pl_num,256)&amp;"")</f>
        <v/>
      </c>
      <c r="B265" s="93" t="str">
        <f>IF(INDEX(pl_status,256)="","",INDEX(pl_eq,256)&amp;"")</f>
        <v/>
      </c>
      <c r="C265" s="93" t="str">
        <f>IF(INDEX(pl_status,256)="","",INDEX(pl_task,256)&amp;"")</f>
        <v/>
      </c>
      <c r="D265" s="94" t="str">
        <f>IF(ISNUMBER(INDEX(pl_due,256)),INDEX(pl_due,256),"")</f>
        <v/>
      </c>
      <c r="E265" s="95" t="str">
        <f>INDEX(pl_status,256)&amp;""</f>
        <v/>
      </c>
      <c r="F265" s="96" t="str">
        <f>IF(E265="En retard","●","")</f>
        <v/>
      </c>
      <c r="G265" s="97">
        <f>IF(ISNUMBER($S265),MAX(0,INT((G$6+6-$S265)/$T265)-MAX(0,-INT(-(G$6-$S265)/$T265))+1),0)</f>
        <v>0.0</v>
      </c>
      <c r="H265" s="97">
        <f>IF(ISNUMBER($S265),MAX(0,INT((H$6+6-$S265)/$T265)-MAX(0,-INT(-(H$6-$S265)/$T265))+1),0)</f>
        <v>0.0</v>
      </c>
      <c r="I265" s="97">
        <f>IF(ISNUMBER($S265),MAX(0,INT((I$6+6-$S265)/$T265)-MAX(0,-INT(-(I$6-$S265)/$T265))+1),0)</f>
        <v>0.0</v>
      </c>
      <c r="J265" s="97">
        <f>IF(ISNUMBER($S265),MAX(0,INT((J$6+6-$S265)/$T265)-MAX(0,-INT(-(J$6-$S265)/$T265))+1),0)</f>
        <v>0.0</v>
      </c>
      <c r="K265" s="97">
        <f>IF(ISNUMBER($S265),MAX(0,INT((K$6+6-$S265)/$T265)-MAX(0,-INT(-(K$6-$S265)/$T265))+1),0)</f>
        <v>0.0</v>
      </c>
      <c r="L265" s="97">
        <f>IF(ISNUMBER($S265),MAX(0,INT((L$6+6-$S265)/$T265)-MAX(0,-INT(-(L$6-$S265)/$T265))+1),0)</f>
        <v>0.0</v>
      </c>
      <c r="M265" s="97">
        <f>IF(ISNUMBER($S265),MAX(0,INT((M$6+6-$S265)/$T265)-MAX(0,-INT(-(M$6-$S265)/$T265))+1),0)</f>
        <v>0.0</v>
      </c>
      <c r="N265" s="97">
        <f>IF(ISNUMBER($S265),MAX(0,INT((N$6+6-$S265)/$T265)-MAX(0,-INT(-(N$6-$S265)/$T265))+1),0)</f>
        <v>0.0</v>
      </c>
      <c r="O265" s="97">
        <f>IF(ISNUMBER($S265),MAX(0,INT((O$6+6-$S265)/$T265)-MAX(0,-INT(-(O$6-$S265)/$T265))+1),0)</f>
        <v>0.0</v>
      </c>
      <c r="P265" s="97">
        <f>IF(ISNUMBER($S265),MAX(0,INT((P$6+6-$S265)/$T265)-MAX(0,-INT(-(P$6-$S265)/$T265))+1),0)</f>
        <v>0.0</v>
      </c>
      <c r="Q265" s="97">
        <f>IF(ISNUMBER($S265),MAX(0,INT((Q$6+6-$S265)/$T265)-MAX(0,-INT(-(Q$6-$S265)/$T265))+1),0)</f>
        <v>0.0</v>
      </c>
      <c r="R265" s="97">
        <f>IF(ISNUMBER($S265),MAX(0,INT((R$6+6-$S265)/$T265)-MAX(0,-INT(-(R$6-$S265)/$T265))+1),0)</f>
        <v>0.0</v>
      </c>
      <c r="S265" t="str">
        <f>IF(ISNUMBER(INDEX(pl_period,256)),MAX(INDEX(pl_due,256),p_today),"")</f>
        <v/>
      </c>
      <c r="T265" t="str">
        <f>IF(ISNUMBER(INDEX(pl_period,256)),INDEX(pl_period,256),"")</f>
        <v/>
      </c>
      <c r="U265">
        <f>N(INDEX(pl_dur,256))</f>
        <v>0.0</v>
      </c>
    </row>
    <row r="266">
      <c r="A266" s="93" t="str">
        <f>IF(INDEX(pl_status,257)="","",INDEX(pl_num,257)&amp;"")</f>
        <v/>
      </c>
      <c r="B266" s="93" t="str">
        <f>IF(INDEX(pl_status,257)="","",INDEX(pl_eq,257)&amp;"")</f>
        <v/>
      </c>
      <c r="C266" s="93" t="str">
        <f>IF(INDEX(pl_status,257)="","",INDEX(pl_task,257)&amp;"")</f>
        <v/>
      </c>
      <c r="D266" s="94" t="str">
        <f>IF(ISNUMBER(INDEX(pl_due,257)),INDEX(pl_due,257),"")</f>
        <v/>
      </c>
      <c r="E266" s="95" t="str">
        <f>INDEX(pl_status,257)&amp;""</f>
        <v/>
      </c>
      <c r="F266" s="96" t="str">
        <f>IF(E266="En retard","●","")</f>
        <v/>
      </c>
      <c r="G266" s="97">
        <f>IF(ISNUMBER($S266),MAX(0,INT((G$6+6-$S266)/$T266)-MAX(0,-INT(-(G$6-$S266)/$T266))+1),0)</f>
        <v>0.0</v>
      </c>
      <c r="H266" s="97">
        <f>IF(ISNUMBER($S266),MAX(0,INT((H$6+6-$S266)/$T266)-MAX(0,-INT(-(H$6-$S266)/$T266))+1),0)</f>
        <v>0.0</v>
      </c>
      <c r="I266" s="97">
        <f>IF(ISNUMBER($S266),MAX(0,INT((I$6+6-$S266)/$T266)-MAX(0,-INT(-(I$6-$S266)/$T266))+1),0)</f>
        <v>0.0</v>
      </c>
      <c r="J266" s="97">
        <f>IF(ISNUMBER($S266),MAX(0,INT((J$6+6-$S266)/$T266)-MAX(0,-INT(-(J$6-$S266)/$T266))+1),0)</f>
        <v>0.0</v>
      </c>
      <c r="K266" s="97">
        <f>IF(ISNUMBER($S266),MAX(0,INT((K$6+6-$S266)/$T266)-MAX(0,-INT(-(K$6-$S266)/$T266))+1),0)</f>
        <v>0.0</v>
      </c>
      <c r="L266" s="97">
        <f>IF(ISNUMBER($S266),MAX(0,INT((L$6+6-$S266)/$T266)-MAX(0,-INT(-(L$6-$S266)/$T266))+1),0)</f>
        <v>0.0</v>
      </c>
      <c r="M266" s="97">
        <f>IF(ISNUMBER($S266),MAX(0,INT((M$6+6-$S266)/$T266)-MAX(0,-INT(-(M$6-$S266)/$T266))+1),0)</f>
        <v>0.0</v>
      </c>
      <c r="N266" s="97">
        <f>IF(ISNUMBER($S266),MAX(0,INT((N$6+6-$S266)/$T266)-MAX(0,-INT(-(N$6-$S266)/$T266))+1),0)</f>
        <v>0.0</v>
      </c>
      <c r="O266" s="97">
        <f>IF(ISNUMBER($S266),MAX(0,INT((O$6+6-$S266)/$T266)-MAX(0,-INT(-(O$6-$S266)/$T266))+1),0)</f>
        <v>0.0</v>
      </c>
      <c r="P266" s="97">
        <f>IF(ISNUMBER($S266),MAX(0,INT((P$6+6-$S266)/$T266)-MAX(0,-INT(-(P$6-$S266)/$T266))+1),0)</f>
        <v>0.0</v>
      </c>
      <c r="Q266" s="97">
        <f>IF(ISNUMBER($S266),MAX(0,INT((Q$6+6-$S266)/$T266)-MAX(0,-INT(-(Q$6-$S266)/$T266))+1),0)</f>
        <v>0.0</v>
      </c>
      <c r="R266" s="97">
        <f>IF(ISNUMBER($S266),MAX(0,INT((R$6+6-$S266)/$T266)-MAX(0,-INT(-(R$6-$S266)/$T266))+1),0)</f>
        <v>0.0</v>
      </c>
      <c r="S266" t="str">
        <f>IF(ISNUMBER(INDEX(pl_period,257)),MAX(INDEX(pl_due,257),p_today),"")</f>
        <v/>
      </c>
      <c r="T266" t="str">
        <f>IF(ISNUMBER(INDEX(pl_period,257)),INDEX(pl_period,257),"")</f>
        <v/>
      </c>
      <c r="U266">
        <f>N(INDEX(pl_dur,257))</f>
        <v>0.0</v>
      </c>
    </row>
    <row r="267">
      <c r="A267" s="93" t="str">
        <f>IF(INDEX(pl_status,258)="","",INDEX(pl_num,258)&amp;"")</f>
        <v/>
      </c>
      <c r="B267" s="93" t="str">
        <f>IF(INDEX(pl_status,258)="","",INDEX(pl_eq,258)&amp;"")</f>
        <v/>
      </c>
      <c r="C267" s="93" t="str">
        <f>IF(INDEX(pl_status,258)="","",INDEX(pl_task,258)&amp;"")</f>
        <v/>
      </c>
      <c r="D267" s="94" t="str">
        <f>IF(ISNUMBER(INDEX(pl_due,258)),INDEX(pl_due,258),"")</f>
        <v/>
      </c>
      <c r="E267" s="95" t="str">
        <f>INDEX(pl_status,258)&amp;""</f>
        <v/>
      </c>
      <c r="F267" s="96" t="str">
        <f>IF(E267="En retard","●","")</f>
        <v/>
      </c>
      <c r="G267" s="97">
        <f>IF(ISNUMBER($S267),MAX(0,INT((G$6+6-$S267)/$T267)-MAX(0,-INT(-(G$6-$S267)/$T267))+1),0)</f>
        <v>0.0</v>
      </c>
      <c r="H267" s="97">
        <f>IF(ISNUMBER($S267),MAX(0,INT((H$6+6-$S267)/$T267)-MAX(0,-INT(-(H$6-$S267)/$T267))+1),0)</f>
        <v>0.0</v>
      </c>
      <c r="I267" s="97">
        <f>IF(ISNUMBER($S267),MAX(0,INT((I$6+6-$S267)/$T267)-MAX(0,-INT(-(I$6-$S267)/$T267))+1),0)</f>
        <v>0.0</v>
      </c>
      <c r="J267" s="97">
        <f>IF(ISNUMBER($S267),MAX(0,INT((J$6+6-$S267)/$T267)-MAX(0,-INT(-(J$6-$S267)/$T267))+1),0)</f>
        <v>0.0</v>
      </c>
      <c r="K267" s="97">
        <f>IF(ISNUMBER($S267),MAX(0,INT((K$6+6-$S267)/$T267)-MAX(0,-INT(-(K$6-$S267)/$T267))+1),0)</f>
        <v>0.0</v>
      </c>
      <c r="L267" s="97">
        <f>IF(ISNUMBER($S267),MAX(0,INT((L$6+6-$S267)/$T267)-MAX(0,-INT(-(L$6-$S267)/$T267))+1),0)</f>
        <v>0.0</v>
      </c>
      <c r="M267" s="97">
        <f>IF(ISNUMBER($S267),MAX(0,INT((M$6+6-$S267)/$T267)-MAX(0,-INT(-(M$6-$S267)/$T267))+1),0)</f>
        <v>0.0</v>
      </c>
      <c r="N267" s="97">
        <f>IF(ISNUMBER($S267),MAX(0,INT((N$6+6-$S267)/$T267)-MAX(0,-INT(-(N$6-$S267)/$T267))+1),0)</f>
        <v>0.0</v>
      </c>
      <c r="O267" s="97">
        <f>IF(ISNUMBER($S267),MAX(0,INT((O$6+6-$S267)/$T267)-MAX(0,-INT(-(O$6-$S267)/$T267))+1),0)</f>
        <v>0.0</v>
      </c>
      <c r="P267" s="97">
        <f>IF(ISNUMBER($S267),MAX(0,INT((P$6+6-$S267)/$T267)-MAX(0,-INT(-(P$6-$S267)/$T267))+1),0)</f>
        <v>0.0</v>
      </c>
      <c r="Q267" s="97">
        <f>IF(ISNUMBER($S267),MAX(0,INT((Q$6+6-$S267)/$T267)-MAX(0,-INT(-(Q$6-$S267)/$T267))+1),0)</f>
        <v>0.0</v>
      </c>
      <c r="R267" s="97">
        <f>IF(ISNUMBER($S267),MAX(0,INT((R$6+6-$S267)/$T267)-MAX(0,-INT(-(R$6-$S267)/$T267))+1),0)</f>
        <v>0.0</v>
      </c>
      <c r="S267" t="str">
        <f>IF(ISNUMBER(INDEX(pl_period,258)),MAX(INDEX(pl_due,258),p_today),"")</f>
        <v/>
      </c>
      <c r="T267" t="str">
        <f>IF(ISNUMBER(INDEX(pl_period,258)),INDEX(pl_period,258),"")</f>
        <v/>
      </c>
      <c r="U267">
        <f>N(INDEX(pl_dur,258))</f>
        <v>0.0</v>
      </c>
    </row>
    <row r="268">
      <c r="A268" s="93" t="str">
        <f>IF(INDEX(pl_status,259)="","",INDEX(pl_num,259)&amp;"")</f>
        <v/>
      </c>
      <c r="B268" s="93" t="str">
        <f>IF(INDEX(pl_status,259)="","",INDEX(pl_eq,259)&amp;"")</f>
        <v/>
      </c>
      <c r="C268" s="93" t="str">
        <f>IF(INDEX(pl_status,259)="","",INDEX(pl_task,259)&amp;"")</f>
        <v/>
      </c>
      <c r="D268" s="94" t="str">
        <f>IF(ISNUMBER(INDEX(pl_due,259)),INDEX(pl_due,259),"")</f>
        <v/>
      </c>
      <c r="E268" s="95" t="str">
        <f>INDEX(pl_status,259)&amp;""</f>
        <v/>
      </c>
      <c r="F268" s="96" t="str">
        <f>IF(E268="En retard","●","")</f>
        <v/>
      </c>
      <c r="G268" s="97">
        <f>IF(ISNUMBER($S268),MAX(0,INT((G$6+6-$S268)/$T268)-MAX(0,-INT(-(G$6-$S268)/$T268))+1),0)</f>
        <v>0.0</v>
      </c>
      <c r="H268" s="97">
        <f>IF(ISNUMBER($S268),MAX(0,INT((H$6+6-$S268)/$T268)-MAX(0,-INT(-(H$6-$S268)/$T268))+1),0)</f>
        <v>0.0</v>
      </c>
      <c r="I268" s="97">
        <f>IF(ISNUMBER($S268),MAX(0,INT((I$6+6-$S268)/$T268)-MAX(0,-INT(-(I$6-$S268)/$T268))+1),0)</f>
        <v>0.0</v>
      </c>
      <c r="J268" s="97">
        <f>IF(ISNUMBER($S268),MAX(0,INT((J$6+6-$S268)/$T268)-MAX(0,-INT(-(J$6-$S268)/$T268))+1),0)</f>
        <v>0.0</v>
      </c>
      <c r="K268" s="97">
        <f>IF(ISNUMBER($S268),MAX(0,INT((K$6+6-$S268)/$T268)-MAX(0,-INT(-(K$6-$S268)/$T268))+1),0)</f>
        <v>0.0</v>
      </c>
      <c r="L268" s="97">
        <f>IF(ISNUMBER($S268),MAX(0,INT((L$6+6-$S268)/$T268)-MAX(0,-INT(-(L$6-$S268)/$T268))+1),0)</f>
        <v>0.0</v>
      </c>
      <c r="M268" s="97">
        <f>IF(ISNUMBER($S268),MAX(0,INT((M$6+6-$S268)/$T268)-MAX(0,-INT(-(M$6-$S268)/$T268))+1),0)</f>
        <v>0.0</v>
      </c>
      <c r="N268" s="97">
        <f>IF(ISNUMBER($S268),MAX(0,INT((N$6+6-$S268)/$T268)-MAX(0,-INT(-(N$6-$S268)/$T268))+1),0)</f>
        <v>0.0</v>
      </c>
      <c r="O268" s="97">
        <f>IF(ISNUMBER($S268),MAX(0,INT((O$6+6-$S268)/$T268)-MAX(0,-INT(-(O$6-$S268)/$T268))+1),0)</f>
        <v>0.0</v>
      </c>
      <c r="P268" s="97">
        <f>IF(ISNUMBER($S268),MAX(0,INT((P$6+6-$S268)/$T268)-MAX(0,-INT(-(P$6-$S268)/$T268))+1),0)</f>
        <v>0.0</v>
      </c>
      <c r="Q268" s="97">
        <f>IF(ISNUMBER($S268),MAX(0,INT((Q$6+6-$S268)/$T268)-MAX(0,-INT(-(Q$6-$S268)/$T268))+1),0)</f>
        <v>0.0</v>
      </c>
      <c r="R268" s="97">
        <f>IF(ISNUMBER($S268),MAX(0,INT((R$6+6-$S268)/$T268)-MAX(0,-INT(-(R$6-$S268)/$T268))+1),0)</f>
        <v>0.0</v>
      </c>
      <c r="S268" t="str">
        <f>IF(ISNUMBER(INDEX(pl_period,259)),MAX(INDEX(pl_due,259),p_today),"")</f>
        <v/>
      </c>
      <c r="T268" t="str">
        <f>IF(ISNUMBER(INDEX(pl_period,259)),INDEX(pl_period,259),"")</f>
        <v/>
      </c>
      <c r="U268">
        <f>N(INDEX(pl_dur,259))</f>
        <v>0.0</v>
      </c>
    </row>
    <row r="269">
      <c r="A269" s="93" t="str">
        <f>IF(INDEX(pl_status,260)="","",INDEX(pl_num,260)&amp;"")</f>
        <v/>
      </c>
      <c r="B269" s="93" t="str">
        <f>IF(INDEX(pl_status,260)="","",INDEX(pl_eq,260)&amp;"")</f>
        <v/>
      </c>
      <c r="C269" s="93" t="str">
        <f>IF(INDEX(pl_status,260)="","",INDEX(pl_task,260)&amp;"")</f>
        <v/>
      </c>
      <c r="D269" s="94" t="str">
        <f>IF(ISNUMBER(INDEX(pl_due,260)),INDEX(pl_due,260),"")</f>
        <v/>
      </c>
      <c r="E269" s="95" t="str">
        <f>INDEX(pl_status,260)&amp;""</f>
        <v/>
      </c>
      <c r="F269" s="96" t="str">
        <f>IF(E269="En retard","●","")</f>
        <v/>
      </c>
      <c r="G269" s="97">
        <f>IF(ISNUMBER($S269),MAX(0,INT((G$6+6-$S269)/$T269)-MAX(0,-INT(-(G$6-$S269)/$T269))+1),0)</f>
        <v>0.0</v>
      </c>
      <c r="H269" s="97">
        <f>IF(ISNUMBER($S269),MAX(0,INT((H$6+6-$S269)/$T269)-MAX(0,-INT(-(H$6-$S269)/$T269))+1),0)</f>
        <v>0.0</v>
      </c>
      <c r="I269" s="97">
        <f>IF(ISNUMBER($S269),MAX(0,INT((I$6+6-$S269)/$T269)-MAX(0,-INT(-(I$6-$S269)/$T269))+1),0)</f>
        <v>0.0</v>
      </c>
      <c r="J269" s="97">
        <f>IF(ISNUMBER($S269),MAX(0,INT((J$6+6-$S269)/$T269)-MAX(0,-INT(-(J$6-$S269)/$T269))+1),0)</f>
        <v>0.0</v>
      </c>
      <c r="K269" s="97">
        <f>IF(ISNUMBER($S269),MAX(0,INT((K$6+6-$S269)/$T269)-MAX(0,-INT(-(K$6-$S269)/$T269))+1),0)</f>
        <v>0.0</v>
      </c>
      <c r="L269" s="97">
        <f>IF(ISNUMBER($S269),MAX(0,INT((L$6+6-$S269)/$T269)-MAX(0,-INT(-(L$6-$S269)/$T269))+1),0)</f>
        <v>0.0</v>
      </c>
      <c r="M269" s="97">
        <f>IF(ISNUMBER($S269),MAX(0,INT((M$6+6-$S269)/$T269)-MAX(0,-INT(-(M$6-$S269)/$T269))+1),0)</f>
        <v>0.0</v>
      </c>
      <c r="N269" s="97">
        <f>IF(ISNUMBER($S269),MAX(0,INT((N$6+6-$S269)/$T269)-MAX(0,-INT(-(N$6-$S269)/$T269))+1),0)</f>
        <v>0.0</v>
      </c>
      <c r="O269" s="97">
        <f>IF(ISNUMBER($S269),MAX(0,INT((O$6+6-$S269)/$T269)-MAX(0,-INT(-(O$6-$S269)/$T269))+1),0)</f>
        <v>0.0</v>
      </c>
      <c r="P269" s="97">
        <f>IF(ISNUMBER($S269),MAX(0,INT((P$6+6-$S269)/$T269)-MAX(0,-INT(-(P$6-$S269)/$T269))+1),0)</f>
        <v>0.0</v>
      </c>
      <c r="Q269" s="97">
        <f>IF(ISNUMBER($S269),MAX(0,INT((Q$6+6-$S269)/$T269)-MAX(0,-INT(-(Q$6-$S269)/$T269))+1),0)</f>
        <v>0.0</v>
      </c>
      <c r="R269" s="97">
        <f>IF(ISNUMBER($S269),MAX(0,INT((R$6+6-$S269)/$T269)-MAX(0,-INT(-(R$6-$S269)/$T269))+1),0)</f>
        <v>0.0</v>
      </c>
      <c r="S269" t="str">
        <f>IF(ISNUMBER(INDEX(pl_period,260)),MAX(INDEX(pl_due,260),p_today),"")</f>
        <v/>
      </c>
      <c r="T269" t="str">
        <f>IF(ISNUMBER(INDEX(pl_period,260)),INDEX(pl_period,260),"")</f>
        <v/>
      </c>
      <c r="U269">
        <f>N(INDEX(pl_dur,260))</f>
        <v>0.0</v>
      </c>
    </row>
    <row r="270">
      <c r="A270" s="93" t="str">
        <f>IF(INDEX(pl_status,261)="","",INDEX(pl_num,261)&amp;"")</f>
        <v/>
      </c>
      <c r="B270" s="93" t="str">
        <f>IF(INDEX(pl_status,261)="","",INDEX(pl_eq,261)&amp;"")</f>
        <v/>
      </c>
      <c r="C270" s="93" t="str">
        <f>IF(INDEX(pl_status,261)="","",INDEX(pl_task,261)&amp;"")</f>
        <v/>
      </c>
      <c r="D270" s="94" t="str">
        <f>IF(ISNUMBER(INDEX(pl_due,261)),INDEX(pl_due,261),"")</f>
        <v/>
      </c>
      <c r="E270" s="95" t="str">
        <f>INDEX(pl_status,261)&amp;""</f>
        <v/>
      </c>
      <c r="F270" s="96" t="str">
        <f>IF(E270="En retard","●","")</f>
        <v/>
      </c>
      <c r="G270" s="97">
        <f>IF(ISNUMBER($S270),MAX(0,INT((G$6+6-$S270)/$T270)-MAX(0,-INT(-(G$6-$S270)/$T270))+1),0)</f>
        <v>0.0</v>
      </c>
      <c r="H270" s="97">
        <f>IF(ISNUMBER($S270),MAX(0,INT((H$6+6-$S270)/$T270)-MAX(0,-INT(-(H$6-$S270)/$T270))+1),0)</f>
        <v>0.0</v>
      </c>
      <c r="I270" s="97">
        <f>IF(ISNUMBER($S270),MAX(0,INT((I$6+6-$S270)/$T270)-MAX(0,-INT(-(I$6-$S270)/$T270))+1),0)</f>
        <v>0.0</v>
      </c>
      <c r="J270" s="97">
        <f>IF(ISNUMBER($S270),MAX(0,INT((J$6+6-$S270)/$T270)-MAX(0,-INT(-(J$6-$S270)/$T270))+1),0)</f>
        <v>0.0</v>
      </c>
      <c r="K270" s="97">
        <f>IF(ISNUMBER($S270),MAX(0,INT((K$6+6-$S270)/$T270)-MAX(0,-INT(-(K$6-$S270)/$T270))+1),0)</f>
        <v>0.0</v>
      </c>
      <c r="L270" s="97">
        <f>IF(ISNUMBER($S270),MAX(0,INT((L$6+6-$S270)/$T270)-MAX(0,-INT(-(L$6-$S270)/$T270))+1),0)</f>
        <v>0.0</v>
      </c>
      <c r="M270" s="97">
        <f>IF(ISNUMBER($S270),MAX(0,INT((M$6+6-$S270)/$T270)-MAX(0,-INT(-(M$6-$S270)/$T270))+1),0)</f>
        <v>0.0</v>
      </c>
      <c r="N270" s="97">
        <f>IF(ISNUMBER($S270),MAX(0,INT((N$6+6-$S270)/$T270)-MAX(0,-INT(-(N$6-$S270)/$T270))+1),0)</f>
        <v>0.0</v>
      </c>
      <c r="O270" s="97">
        <f>IF(ISNUMBER($S270),MAX(0,INT((O$6+6-$S270)/$T270)-MAX(0,-INT(-(O$6-$S270)/$T270))+1),0)</f>
        <v>0.0</v>
      </c>
      <c r="P270" s="97">
        <f>IF(ISNUMBER($S270),MAX(0,INT((P$6+6-$S270)/$T270)-MAX(0,-INT(-(P$6-$S270)/$T270))+1),0)</f>
        <v>0.0</v>
      </c>
      <c r="Q270" s="97">
        <f>IF(ISNUMBER($S270),MAX(0,INT((Q$6+6-$S270)/$T270)-MAX(0,-INT(-(Q$6-$S270)/$T270))+1),0)</f>
        <v>0.0</v>
      </c>
      <c r="R270" s="97">
        <f>IF(ISNUMBER($S270),MAX(0,INT((R$6+6-$S270)/$T270)-MAX(0,-INT(-(R$6-$S270)/$T270))+1),0)</f>
        <v>0.0</v>
      </c>
      <c r="S270" t="str">
        <f>IF(ISNUMBER(INDEX(pl_period,261)),MAX(INDEX(pl_due,261),p_today),"")</f>
        <v/>
      </c>
      <c r="T270" t="str">
        <f>IF(ISNUMBER(INDEX(pl_period,261)),INDEX(pl_period,261),"")</f>
        <v/>
      </c>
      <c r="U270">
        <f>N(INDEX(pl_dur,261))</f>
        <v>0.0</v>
      </c>
    </row>
    <row r="271">
      <c r="A271" s="93" t="str">
        <f>IF(INDEX(pl_status,262)="","",INDEX(pl_num,262)&amp;"")</f>
        <v/>
      </c>
      <c r="B271" s="93" t="str">
        <f>IF(INDEX(pl_status,262)="","",INDEX(pl_eq,262)&amp;"")</f>
        <v/>
      </c>
      <c r="C271" s="93" t="str">
        <f>IF(INDEX(pl_status,262)="","",INDEX(pl_task,262)&amp;"")</f>
        <v/>
      </c>
      <c r="D271" s="94" t="str">
        <f>IF(ISNUMBER(INDEX(pl_due,262)),INDEX(pl_due,262),"")</f>
        <v/>
      </c>
      <c r="E271" s="95" t="str">
        <f>INDEX(pl_status,262)&amp;""</f>
        <v/>
      </c>
      <c r="F271" s="96" t="str">
        <f>IF(E271="En retard","●","")</f>
        <v/>
      </c>
      <c r="G271" s="97">
        <f>IF(ISNUMBER($S271),MAX(0,INT((G$6+6-$S271)/$T271)-MAX(0,-INT(-(G$6-$S271)/$T271))+1),0)</f>
        <v>0.0</v>
      </c>
      <c r="H271" s="97">
        <f>IF(ISNUMBER($S271),MAX(0,INT((H$6+6-$S271)/$T271)-MAX(0,-INT(-(H$6-$S271)/$T271))+1),0)</f>
        <v>0.0</v>
      </c>
      <c r="I271" s="97">
        <f>IF(ISNUMBER($S271),MAX(0,INT((I$6+6-$S271)/$T271)-MAX(0,-INT(-(I$6-$S271)/$T271))+1),0)</f>
        <v>0.0</v>
      </c>
      <c r="J271" s="97">
        <f>IF(ISNUMBER($S271),MAX(0,INT((J$6+6-$S271)/$T271)-MAX(0,-INT(-(J$6-$S271)/$T271))+1),0)</f>
        <v>0.0</v>
      </c>
      <c r="K271" s="97">
        <f>IF(ISNUMBER($S271),MAX(0,INT((K$6+6-$S271)/$T271)-MAX(0,-INT(-(K$6-$S271)/$T271))+1),0)</f>
        <v>0.0</v>
      </c>
      <c r="L271" s="97">
        <f>IF(ISNUMBER($S271),MAX(0,INT((L$6+6-$S271)/$T271)-MAX(0,-INT(-(L$6-$S271)/$T271))+1),0)</f>
        <v>0.0</v>
      </c>
      <c r="M271" s="97">
        <f>IF(ISNUMBER($S271),MAX(0,INT((M$6+6-$S271)/$T271)-MAX(0,-INT(-(M$6-$S271)/$T271))+1),0)</f>
        <v>0.0</v>
      </c>
      <c r="N271" s="97">
        <f>IF(ISNUMBER($S271),MAX(0,INT((N$6+6-$S271)/$T271)-MAX(0,-INT(-(N$6-$S271)/$T271))+1),0)</f>
        <v>0.0</v>
      </c>
      <c r="O271" s="97">
        <f>IF(ISNUMBER($S271),MAX(0,INT((O$6+6-$S271)/$T271)-MAX(0,-INT(-(O$6-$S271)/$T271))+1),0)</f>
        <v>0.0</v>
      </c>
      <c r="P271" s="97">
        <f>IF(ISNUMBER($S271),MAX(0,INT((P$6+6-$S271)/$T271)-MAX(0,-INT(-(P$6-$S271)/$T271))+1),0)</f>
        <v>0.0</v>
      </c>
      <c r="Q271" s="97">
        <f>IF(ISNUMBER($S271),MAX(0,INT((Q$6+6-$S271)/$T271)-MAX(0,-INT(-(Q$6-$S271)/$T271))+1),0)</f>
        <v>0.0</v>
      </c>
      <c r="R271" s="97">
        <f>IF(ISNUMBER($S271),MAX(0,INT((R$6+6-$S271)/$T271)-MAX(0,-INT(-(R$6-$S271)/$T271))+1),0)</f>
        <v>0.0</v>
      </c>
      <c r="S271" t="str">
        <f>IF(ISNUMBER(INDEX(pl_period,262)),MAX(INDEX(pl_due,262),p_today),"")</f>
        <v/>
      </c>
      <c r="T271" t="str">
        <f>IF(ISNUMBER(INDEX(pl_period,262)),INDEX(pl_period,262),"")</f>
        <v/>
      </c>
      <c r="U271">
        <f>N(INDEX(pl_dur,262))</f>
        <v>0.0</v>
      </c>
    </row>
    <row r="272">
      <c r="A272" s="93" t="str">
        <f>IF(INDEX(pl_status,263)="","",INDEX(pl_num,263)&amp;"")</f>
        <v/>
      </c>
      <c r="B272" s="93" t="str">
        <f>IF(INDEX(pl_status,263)="","",INDEX(pl_eq,263)&amp;"")</f>
        <v/>
      </c>
      <c r="C272" s="93" t="str">
        <f>IF(INDEX(pl_status,263)="","",INDEX(pl_task,263)&amp;"")</f>
        <v/>
      </c>
      <c r="D272" s="94" t="str">
        <f>IF(ISNUMBER(INDEX(pl_due,263)),INDEX(pl_due,263),"")</f>
        <v/>
      </c>
      <c r="E272" s="95" t="str">
        <f>INDEX(pl_status,263)&amp;""</f>
        <v/>
      </c>
      <c r="F272" s="96" t="str">
        <f>IF(E272="En retard","●","")</f>
        <v/>
      </c>
      <c r="G272" s="97">
        <f>IF(ISNUMBER($S272),MAX(0,INT((G$6+6-$S272)/$T272)-MAX(0,-INT(-(G$6-$S272)/$T272))+1),0)</f>
        <v>0.0</v>
      </c>
      <c r="H272" s="97">
        <f>IF(ISNUMBER($S272),MAX(0,INT((H$6+6-$S272)/$T272)-MAX(0,-INT(-(H$6-$S272)/$T272))+1),0)</f>
        <v>0.0</v>
      </c>
      <c r="I272" s="97">
        <f>IF(ISNUMBER($S272),MAX(0,INT((I$6+6-$S272)/$T272)-MAX(0,-INT(-(I$6-$S272)/$T272))+1),0)</f>
        <v>0.0</v>
      </c>
      <c r="J272" s="97">
        <f>IF(ISNUMBER($S272),MAX(0,INT((J$6+6-$S272)/$T272)-MAX(0,-INT(-(J$6-$S272)/$T272))+1),0)</f>
        <v>0.0</v>
      </c>
      <c r="K272" s="97">
        <f>IF(ISNUMBER($S272),MAX(0,INT((K$6+6-$S272)/$T272)-MAX(0,-INT(-(K$6-$S272)/$T272))+1),0)</f>
        <v>0.0</v>
      </c>
      <c r="L272" s="97">
        <f>IF(ISNUMBER($S272),MAX(0,INT((L$6+6-$S272)/$T272)-MAX(0,-INT(-(L$6-$S272)/$T272))+1),0)</f>
        <v>0.0</v>
      </c>
      <c r="M272" s="97">
        <f>IF(ISNUMBER($S272),MAX(0,INT((M$6+6-$S272)/$T272)-MAX(0,-INT(-(M$6-$S272)/$T272))+1),0)</f>
        <v>0.0</v>
      </c>
      <c r="N272" s="97">
        <f>IF(ISNUMBER($S272),MAX(0,INT((N$6+6-$S272)/$T272)-MAX(0,-INT(-(N$6-$S272)/$T272))+1),0)</f>
        <v>0.0</v>
      </c>
      <c r="O272" s="97">
        <f>IF(ISNUMBER($S272),MAX(0,INT((O$6+6-$S272)/$T272)-MAX(0,-INT(-(O$6-$S272)/$T272))+1),0)</f>
        <v>0.0</v>
      </c>
      <c r="P272" s="97">
        <f>IF(ISNUMBER($S272),MAX(0,INT((P$6+6-$S272)/$T272)-MAX(0,-INT(-(P$6-$S272)/$T272))+1),0)</f>
        <v>0.0</v>
      </c>
      <c r="Q272" s="97">
        <f>IF(ISNUMBER($S272),MAX(0,INT((Q$6+6-$S272)/$T272)-MAX(0,-INT(-(Q$6-$S272)/$T272))+1),0)</f>
        <v>0.0</v>
      </c>
      <c r="R272" s="97">
        <f>IF(ISNUMBER($S272),MAX(0,INT((R$6+6-$S272)/$T272)-MAX(0,-INT(-(R$6-$S272)/$T272))+1),0)</f>
        <v>0.0</v>
      </c>
      <c r="S272" t="str">
        <f>IF(ISNUMBER(INDEX(pl_period,263)),MAX(INDEX(pl_due,263),p_today),"")</f>
        <v/>
      </c>
      <c r="T272" t="str">
        <f>IF(ISNUMBER(INDEX(pl_period,263)),INDEX(pl_period,263),"")</f>
        <v/>
      </c>
      <c r="U272">
        <f>N(INDEX(pl_dur,263))</f>
        <v>0.0</v>
      </c>
    </row>
    <row r="273">
      <c r="A273" s="93" t="str">
        <f>IF(INDEX(pl_status,264)="","",INDEX(pl_num,264)&amp;"")</f>
        <v/>
      </c>
      <c r="B273" s="93" t="str">
        <f>IF(INDEX(pl_status,264)="","",INDEX(pl_eq,264)&amp;"")</f>
        <v/>
      </c>
      <c r="C273" s="93" t="str">
        <f>IF(INDEX(pl_status,264)="","",INDEX(pl_task,264)&amp;"")</f>
        <v/>
      </c>
      <c r="D273" s="94" t="str">
        <f>IF(ISNUMBER(INDEX(pl_due,264)),INDEX(pl_due,264),"")</f>
        <v/>
      </c>
      <c r="E273" s="95" t="str">
        <f>INDEX(pl_status,264)&amp;""</f>
        <v/>
      </c>
      <c r="F273" s="96" t="str">
        <f>IF(E273="En retard","●","")</f>
        <v/>
      </c>
      <c r="G273" s="97">
        <f>IF(ISNUMBER($S273),MAX(0,INT((G$6+6-$S273)/$T273)-MAX(0,-INT(-(G$6-$S273)/$T273))+1),0)</f>
        <v>0.0</v>
      </c>
      <c r="H273" s="97">
        <f>IF(ISNUMBER($S273),MAX(0,INT((H$6+6-$S273)/$T273)-MAX(0,-INT(-(H$6-$S273)/$T273))+1),0)</f>
        <v>0.0</v>
      </c>
      <c r="I273" s="97">
        <f>IF(ISNUMBER($S273),MAX(0,INT((I$6+6-$S273)/$T273)-MAX(0,-INT(-(I$6-$S273)/$T273))+1),0)</f>
        <v>0.0</v>
      </c>
      <c r="J273" s="97">
        <f>IF(ISNUMBER($S273),MAX(0,INT((J$6+6-$S273)/$T273)-MAX(0,-INT(-(J$6-$S273)/$T273))+1),0)</f>
        <v>0.0</v>
      </c>
      <c r="K273" s="97">
        <f>IF(ISNUMBER($S273),MAX(0,INT((K$6+6-$S273)/$T273)-MAX(0,-INT(-(K$6-$S273)/$T273))+1),0)</f>
        <v>0.0</v>
      </c>
      <c r="L273" s="97">
        <f>IF(ISNUMBER($S273),MAX(0,INT((L$6+6-$S273)/$T273)-MAX(0,-INT(-(L$6-$S273)/$T273))+1),0)</f>
        <v>0.0</v>
      </c>
      <c r="M273" s="97">
        <f>IF(ISNUMBER($S273),MAX(0,INT((M$6+6-$S273)/$T273)-MAX(0,-INT(-(M$6-$S273)/$T273))+1),0)</f>
        <v>0.0</v>
      </c>
      <c r="N273" s="97">
        <f>IF(ISNUMBER($S273),MAX(0,INT((N$6+6-$S273)/$T273)-MAX(0,-INT(-(N$6-$S273)/$T273))+1),0)</f>
        <v>0.0</v>
      </c>
      <c r="O273" s="97">
        <f>IF(ISNUMBER($S273),MAX(0,INT((O$6+6-$S273)/$T273)-MAX(0,-INT(-(O$6-$S273)/$T273))+1),0)</f>
        <v>0.0</v>
      </c>
      <c r="P273" s="97">
        <f>IF(ISNUMBER($S273),MAX(0,INT((P$6+6-$S273)/$T273)-MAX(0,-INT(-(P$6-$S273)/$T273))+1),0)</f>
        <v>0.0</v>
      </c>
      <c r="Q273" s="97">
        <f>IF(ISNUMBER($S273),MAX(0,INT((Q$6+6-$S273)/$T273)-MAX(0,-INT(-(Q$6-$S273)/$T273))+1),0)</f>
        <v>0.0</v>
      </c>
      <c r="R273" s="97">
        <f>IF(ISNUMBER($S273),MAX(0,INT((R$6+6-$S273)/$T273)-MAX(0,-INT(-(R$6-$S273)/$T273))+1),0)</f>
        <v>0.0</v>
      </c>
      <c r="S273" t="str">
        <f>IF(ISNUMBER(INDEX(pl_period,264)),MAX(INDEX(pl_due,264),p_today),"")</f>
        <v/>
      </c>
      <c r="T273" t="str">
        <f>IF(ISNUMBER(INDEX(pl_period,264)),INDEX(pl_period,264),"")</f>
        <v/>
      </c>
      <c r="U273">
        <f>N(INDEX(pl_dur,264))</f>
        <v>0.0</v>
      </c>
    </row>
    <row r="274">
      <c r="A274" s="93" t="str">
        <f>IF(INDEX(pl_status,265)="","",INDEX(pl_num,265)&amp;"")</f>
        <v/>
      </c>
      <c r="B274" s="93" t="str">
        <f>IF(INDEX(pl_status,265)="","",INDEX(pl_eq,265)&amp;"")</f>
        <v/>
      </c>
      <c r="C274" s="93" t="str">
        <f>IF(INDEX(pl_status,265)="","",INDEX(pl_task,265)&amp;"")</f>
        <v/>
      </c>
      <c r="D274" s="94" t="str">
        <f>IF(ISNUMBER(INDEX(pl_due,265)),INDEX(pl_due,265),"")</f>
        <v/>
      </c>
      <c r="E274" s="95" t="str">
        <f>INDEX(pl_status,265)&amp;""</f>
        <v/>
      </c>
      <c r="F274" s="96" t="str">
        <f>IF(E274="En retard","●","")</f>
        <v/>
      </c>
      <c r="G274" s="97">
        <f>IF(ISNUMBER($S274),MAX(0,INT((G$6+6-$S274)/$T274)-MAX(0,-INT(-(G$6-$S274)/$T274))+1),0)</f>
        <v>0.0</v>
      </c>
      <c r="H274" s="97">
        <f>IF(ISNUMBER($S274),MAX(0,INT((H$6+6-$S274)/$T274)-MAX(0,-INT(-(H$6-$S274)/$T274))+1),0)</f>
        <v>0.0</v>
      </c>
      <c r="I274" s="97">
        <f>IF(ISNUMBER($S274),MAX(0,INT((I$6+6-$S274)/$T274)-MAX(0,-INT(-(I$6-$S274)/$T274))+1),0)</f>
        <v>0.0</v>
      </c>
      <c r="J274" s="97">
        <f>IF(ISNUMBER($S274),MAX(0,INT((J$6+6-$S274)/$T274)-MAX(0,-INT(-(J$6-$S274)/$T274))+1),0)</f>
        <v>0.0</v>
      </c>
      <c r="K274" s="97">
        <f>IF(ISNUMBER($S274),MAX(0,INT((K$6+6-$S274)/$T274)-MAX(0,-INT(-(K$6-$S274)/$T274))+1),0)</f>
        <v>0.0</v>
      </c>
      <c r="L274" s="97">
        <f>IF(ISNUMBER($S274),MAX(0,INT((L$6+6-$S274)/$T274)-MAX(0,-INT(-(L$6-$S274)/$T274))+1),0)</f>
        <v>0.0</v>
      </c>
      <c r="M274" s="97">
        <f>IF(ISNUMBER($S274),MAX(0,INT((M$6+6-$S274)/$T274)-MAX(0,-INT(-(M$6-$S274)/$T274))+1),0)</f>
        <v>0.0</v>
      </c>
      <c r="N274" s="97">
        <f>IF(ISNUMBER($S274),MAX(0,INT((N$6+6-$S274)/$T274)-MAX(0,-INT(-(N$6-$S274)/$T274))+1),0)</f>
        <v>0.0</v>
      </c>
      <c r="O274" s="97">
        <f>IF(ISNUMBER($S274),MAX(0,INT((O$6+6-$S274)/$T274)-MAX(0,-INT(-(O$6-$S274)/$T274))+1),0)</f>
        <v>0.0</v>
      </c>
      <c r="P274" s="97">
        <f>IF(ISNUMBER($S274),MAX(0,INT((P$6+6-$S274)/$T274)-MAX(0,-INT(-(P$6-$S274)/$T274))+1),0)</f>
        <v>0.0</v>
      </c>
      <c r="Q274" s="97">
        <f>IF(ISNUMBER($S274),MAX(0,INT((Q$6+6-$S274)/$T274)-MAX(0,-INT(-(Q$6-$S274)/$T274))+1),0)</f>
        <v>0.0</v>
      </c>
      <c r="R274" s="97">
        <f>IF(ISNUMBER($S274),MAX(0,INT((R$6+6-$S274)/$T274)-MAX(0,-INT(-(R$6-$S274)/$T274))+1),0)</f>
        <v>0.0</v>
      </c>
      <c r="S274" t="str">
        <f>IF(ISNUMBER(INDEX(pl_period,265)),MAX(INDEX(pl_due,265),p_today),"")</f>
        <v/>
      </c>
      <c r="T274" t="str">
        <f>IF(ISNUMBER(INDEX(pl_period,265)),INDEX(pl_period,265),"")</f>
        <v/>
      </c>
      <c r="U274">
        <f>N(INDEX(pl_dur,265))</f>
        <v>0.0</v>
      </c>
    </row>
    <row r="275">
      <c r="A275" s="93" t="str">
        <f>IF(INDEX(pl_status,266)="","",INDEX(pl_num,266)&amp;"")</f>
        <v/>
      </c>
      <c r="B275" s="93" t="str">
        <f>IF(INDEX(pl_status,266)="","",INDEX(pl_eq,266)&amp;"")</f>
        <v/>
      </c>
      <c r="C275" s="93" t="str">
        <f>IF(INDEX(pl_status,266)="","",INDEX(pl_task,266)&amp;"")</f>
        <v/>
      </c>
      <c r="D275" s="94" t="str">
        <f>IF(ISNUMBER(INDEX(pl_due,266)),INDEX(pl_due,266),"")</f>
        <v/>
      </c>
      <c r="E275" s="95" t="str">
        <f>INDEX(pl_status,266)&amp;""</f>
        <v/>
      </c>
      <c r="F275" s="96" t="str">
        <f>IF(E275="En retard","●","")</f>
        <v/>
      </c>
      <c r="G275" s="97">
        <f>IF(ISNUMBER($S275),MAX(0,INT((G$6+6-$S275)/$T275)-MAX(0,-INT(-(G$6-$S275)/$T275))+1),0)</f>
        <v>0.0</v>
      </c>
      <c r="H275" s="97">
        <f>IF(ISNUMBER($S275),MAX(0,INT((H$6+6-$S275)/$T275)-MAX(0,-INT(-(H$6-$S275)/$T275))+1),0)</f>
        <v>0.0</v>
      </c>
      <c r="I275" s="97">
        <f>IF(ISNUMBER($S275),MAX(0,INT((I$6+6-$S275)/$T275)-MAX(0,-INT(-(I$6-$S275)/$T275))+1),0)</f>
        <v>0.0</v>
      </c>
      <c r="J275" s="97">
        <f>IF(ISNUMBER($S275),MAX(0,INT((J$6+6-$S275)/$T275)-MAX(0,-INT(-(J$6-$S275)/$T275))+1),0)</f>
        <v>0.0</v>
      </c>
      <c r="K275" s="97">
        <f>IF(ISNUMBER($S275),MAX(0,INT((K$6+6-$S275)/$T275)-MAX(0,-INT(-(K$6-$S275)/$T275))+1),0)</f>
        <v>0.0</v>
      </c>
      <c r="L275" s="97">
        <f>IF(ISNUMBER($S275),MAX(0,INT((L$6+6-$S275)/$T275)-MAX(0,-INT(-(L$6-$S275)/$T275))+1),0)</f>
        <v>0.0</v>
      </c>
      <c r="M275" s="97">
        <f>IF(ISNUMBER($S275),MAX(0,INT((M$6+6-$S275)/$T275)-MAX(0,-INT(-(M$6-$S275)/$T275))+1),0)</f>
        <v>0.0</v>
      </c>
      <c r="N275" s="97">
        <f>IF(ISNUMBER($S275),MAX(0,INT((N$6+6-$S275)/$T275)-MAX(0,-INT(-(N$6-$S275)/$T275))+1),0)</f>
        <v>0.0</v>
      </c>
      <c r="O275" s="97">
        <f>IF(ISNUMBER($S275),MAX(0,INT((O$6+6-$S275)/$T275)-MAX(0,-INT(-(O$6-$S275)/$T275))+1),0)</f>
        <v>0.0</v>
      </c>
      <c r="P275" s="97">
        <f>IF(ISNUMBER($S275),MAX(0,INT((P$6+6-$S275)/$T275)-MAX(0,-INT(-(P$6-$S275)/$T275))+1),0)</f>
        <v>0.0</v>
      </c>
      <c r="Q275" s="97">
        <f>IF(ISNUMBER($S275),MAX(0,INT((Q$6+6-$S275)/$T275)-MAX(0,-INT(-(Q$6-$S275)/$T275))+1),0)</f>
        <v>0.0</v>
      </c>
      <c r="R275" s="97">
        <f>IF(ISNUMBER($S275),MAX(0,INT((R$6+6-$S275)/$T275)-MAX(0,-INT(-(R$6-$S275)/$T275))+1),0)</f>
        <v>0.0</v>
      </c>
      <c r="S275" t="str">
        <f>IF(ISNUMBER(INDEX(pl_period,266)),MAX(INDEX(pl_due,266),p_today),"")</f>
        <v/>
      </c>
      <c r="T275" t="str">
        <f>IF(ISNUMBER(INDEX(pl_period,266)),INDEX(pl_period,266),"")</f>
        <v/>
      </c>
      <c r="U275">
        <f>N(INDEX(pl_dur,266))</f>
        <v>0.0</v>
      </c>
    </row>
    <row r="276">
      <c r="A276" s="93" t="str">
        <f>IF(INDEX(pl_status,267)="","",INDEX(pl_num,267)&amp;"")</f>
        <v/>
      </c>
      <c r="B276" s="93" t="str">
        <f>IF(INDEX(pl_status,267)="","",INDEX(pl_eq,267)&amp;"")</f>
        <v/>
      </c>
      <c r="C276" s="93" t="str">
        <f>IF(INDEX(pl_status,267)="","",INDEX(pl_task,267)&amp;"")</f>
        <v/>
      </c>
      <c r="D276" s="94" t="str">
        <f>IF(ISNUMBER(INDEX(pl_due,267)),INDEX(pl_due,267),"")</f>
        <v/>
      </c>
      <c r="E276" s="95" t="str">
        <f>INDEX(pl_status,267)&amp;""</f>
        <v/>
      </c>
      <c r="F276" s="96" t="str">
        <f>IF(E276="En retard","●","")</f>
        <v/>
      </c>
      <c r="G276" s="97">
        <f>IF(ISNUMBER($S276),MAX(0,INT((G$6+6-$S276)/$T276)-MAX(0,-INT(-(G$6-$S276)/$T276))+1),0)</f>
        <v>0.0</v>
      </c>
      <c r="H276" s="97">
        <f>IF(ISNUMBER($S276),MAX(0,INT((H$6+6-$S276)/$T276)-MAX(0,-INT(-(H$6-$S276)/$T276))+1),0)</f>
        <v>0.0</v>
      </c>
      <c r="I276" s="97">
        <f>IF(ISNUMBER($S276),MAX(0,INT((I$6+6-$S276)/$T276)-MAX(0,-INT(-(I$6-$S276)/$T276))+1),0)</f>
        <v>0.0</v>
      </c>
      <c r="J276" s="97">
        <f>IF(ISNUMBER($S276),MAX(0,INT((J$6+6-$S276)/$T276)-MAX(0,-INT(-(J$6-$S276)/$T276))+1),0)</f>
        <v>0.0</v>
      </c>
      <c r="K276" s="97">
        <f>IF(ISNUMBER($S276),MAX(0,INT((K$6+6-$S276)/$T276)-MAX(0,-INT(-(K$6-$S276)/$T276))+1),0)</f>
        <v>0.0</v>
      </c>
      <c r="L276" s="97">
        <f>IF(ISNUMBER($S276),MAX(0,INT((L$6+6-$S276)/$T276)-MAX(0,-INT(-(L$6-$S276)/$T276))+1),0)</f>
        <v>0.0</v>
      </c>
      <c r="M276" s="97">
        <f>IF(ISNUMBER($S276),MAX(0,INT((M$6+6-$S276)/$T276)-MAX(0,-INT(-(M$6-$S276)/$T276))+1),0)</f>
        <v>0.0</v>
      </c>
      <c r="N276" s="97">
        <f>IF(ISNUMBER($S276),MAX(0,INT((N$6+6-$S276)/$T276)-MAX(0,-INT(-(N$6-$S276)/$T276))+1),0)</f>
        <v>0.0</v>
      </c>
      <c r="O276" s="97">
        <f>IF(ISNUMBER($S276),MAX(0,INT((O$6+6-$S276)/$T276)-MAX(0,-INT(-(O$6-$S276)/$T276))+1),0)</f>
        <v>0.0</v>
      </c>
      <c r="P276" s="97">
        <f>IF(ISNUMBER($S276),MAX(0,INT((P$6+6-$S276)/$T276)-MAX(0,-INT(-(P$6-$S276)/$T276))+1),0)</f>
        <v>0.0</v>
      </c>
      <c r="Q276" s="97">
        <f>IF(ISNUMBER($S276),MAX(0,INT((Q$6+6-$S276)/$T276)-MAX(0,-INT(-(Q$6-$S276)/$T276))+1),0)</f>
        <v>0.0</v>
      </c>
      <c r="R276" s="97">
        <f>IF(ISNUMBER($S276),MAX(0,INT((R$6+6-$S276)/$T276)-MAX(0,-INT(-(R$6-$S276)/$T276))+1),0)</f>
        <v>0.0</v>
      </c>
      <c r="S276" t="str">
        <f>IF(ISNUMBER(INDEX(pl_period,267)),MAX(INDEX(pl_due,267),p_today),"")</f>
        <v/>
      </c>
      <c r="T276" t="str">
        <f>IF(ISNUMBER(INDEX(pl_period,267)),INDEX(pl_period,267),"")</f>
        <v/>
      </c>
      <c r="U276">
        <f>N(INDEX(pl_dur,267))</f>
        <v>0.0</v>
      </c>
    </row>
    <row r="277">
      <c r="A277" s="93" t="str">
        <f>IF(INDEX(pl_status,268)="","",INDEX(pl_num,268)&amp;"")</f>
        <v/>
      </c>
      <c r="B277" s="93" t="str">
        <f>IF(INDEX(pl_status,268)="","",INDEX(pl_eq,268)&amp;"")</f>
        <v/>
      </c>
      <c r="C277" s="93" t="str">
        <f>IF(INDEX(pl_status,268)="","",INDEX(pl_task,268)&amp;"")</f>
        <v/>
      </c>
      <c r="D277" s="94" t="str">
        <f>IF(ISNUMBER(INDEX(pl_due,268)),INDEX(pl_due,268),"")</f>
        <v/>
      </c>
      <c r="E277" s="95" t="str">
        <f>INDEX(pl_status,268)&amp;""</f>
        <v/>
      </c>
      <c r="F277" s="96" t="str">
        <f>IF(E277="En retard","●","")</f>
        <v/>
      </c>
      <c r="G277" s="97">
        <f>IF(ISNUMBER($S277),MAX(0,INT((G$6+6-$S277)/$T277)-MAX(0,-INT(-(G$6-$S277)/$T277))+1),0)</f>
        <v>0.0</v>
      </c>
      <c r="H277" s="97">
        <f>IF(ISNUMBER($S277),MAX(0,INT((H$6+6-$S277)/$T277)-MAX(0,-INT(-(H$6-$S277)/$T277))+1),0)</f>
        <v>0.0</v>
      </c>
      <c r="I277" s="97">
        <f>IF(ISNUMBER($S277),MAX(0,INT((I$6+6-$S277)/$T277)-MAX(0,-INT(-(I$6-$S277)/$T277))+1),0)</f>
        <v>0.0</v>
      </c>
      <c r="J277" s="97">
        <f>IF(ISNUMBER($S277),MAX(0,INT((J$6+6-$S277)/$T277)-MAX(0,-INT(-(J$6-$S277)/$T277))+1),0)</f>
        <v>0.0</v>
      </c>
      <c r="K277" s="97">
        <f>IF(ISNUMBER($S277),MAX(0,INT((K$6+6-$S277)/$T277)-MAX(0,-INT(-(K$6-$S277)/$T277))+1),0)</f>
        <v>0.0</v>
      </c>
      <c r="L277" s="97">
        <f>IF(ISNUMBER($S277),MAX(0,INT((L$6+6-$S277)/$T277)-MAX(0,-INT(-(L$6-$S277)/$T277))+1),0)</f>
        <v>0.0</v>
      </c>
      <c r="M277" s="97">
        <f>IF(ISNUMBER($S277),MAX(0,INT((M$6+6-$S277)/$T277)-MAX(0,-INT(-(M$6-$S277)/$T277))+1),0)</f>
        <v>0.0</v>
      </c>
      <c r="N277" s="97">
        <f>IF(ISNUMBER($S277),MAX(0,INT((N$6+6-$S277)/$T277)-MAX(0,-INT(-(N$6-$S277)/$T277))+1),0)</f>
        <v>0.0</v>
      </c>
      <c r="O277" s="97">
        <f>IF(ISNUMBER($S277),MAX(0,INT((O$6+6-$S277)/$T277)-MAX(0,-INT(-(O$6-$S277)/$T277))+1),0)</f>
        <v>0.0</v>
      </c>
      <c r="P277" s="97">
        <f>IF(ISNUMBER($S277),MAX(0,INT((P$6+6-$S277)/$T277)-MAX(0,-INT(-(P$6-$S277)/$T277))+1),0)</f>
        <v>0.0</v>
      </c>
      <c r="Q277" s="97">
        <f>IF(ISNUMBER($S277),MAX(0,INT((Q$6+6-$S277)/$T277)-MAX(0,-INT(-(Q$6-$S277)/$T277))+1),0)</f>
        <v>0.0</v>
      </c>
      <c r="R277" s="97">
        <f>IF(ISNUMBER($S277),MAX(0,INT((R$6+6-$S277)/$T277)-MAX(0,-INT(-(R$6-$S277)/$T277))+1),0)</f>
        <v>0.0</v>
      </c>
      <c r="S277" t="str">
        <f>IF(ISNUMBER(INDEX(pl_period,268)),MAX(INDEX(pl_due,268),p_today),"")</f>
        <v/>
      </c>
      <c r="T277" t="str">
        <f>IF(ISNUMBER(INDEX(pl_period,268)),INDEX(pl_period,268),"")</f>
        <v/>
      </c>
      <c r="U277">
        <f>N(INDEX(pl_dur,268))</f>
        <v>0.0</v>
      </c>
    </row>
    <row r="278">
      <c r="A278" s="93" t="str">
        <f>IF(INDEX(pl_status,269)="","",INDEX(pl_num,269)&amp;"")</f>
        <v/>
      </c>
      <c r="B278" s="93" t="str">
        <f>IF(INDEX(pl_status,269)="","",INDEX(pl_eq,269)&amp;"")</f>
        <v/>
      </c>
      <c r="C278" s="93" t="str">
        <f>IF(INDEX(pl_status,269)="","",INDEX(pl_task,269)&amp;"")</f>
        <v/>
      </c>
      <c r="D278" s="94" t="str">
        <f>IF(ISNUMBER(INDEX(pl_due,269)),INDEX(pl_due,269),"")</f>
        <v/>
      </c>
      <c r="E278" s="95" t="str">
        <f>INDEX(pl_status,269)&amp;""</f>
        <v/>
      </c>
      <c r="F278" s="96" t="str">
        <f>IF(E278="En retard","●","")</f>
        <v/>
      </c>
      <c r="G278" s="97">
        <f>IF(ISNUMBER($S278),MAX(0,INT((G$6+6-$S278)/$T278)-MAX(0,-INT(-(G$6-$S278)/$T278))+1),0)</f>
        <v>0.0</v>
      </c>
      <c r="H278" s="97">
        <f>IF(ISNUMBER($S278),MAX(0,INT((H$6+6-$S278)/$T278)-MAX(0,-INT(-(H$6-$S278)/$T278))+1),0)</f>
        <v>0.0</v>
      </c>
      <c r="I278" s="97">
        <f>IF(ISNUMBER($S278),MAX(0,INT((I$6+6-$S278)/$T278)-MAX(0,-INT(-(I$6-$S278)/$T278))+1),0)</f>
        <v>0.0</v>
      </c>
      <c r="J278" s="97">
        <f>IF(ISNUMBER($S278),MAX(0,INT((J$6+6-$S278)/$T278)-MAX(0,-INT(-(J$6-$S278)/$T278))+1),0)</f>
        <v>0.0</v>
      </c>
      <c r="K278" s="97">
        <f>IF(ISNUMBER($S278),MAX(0,INT((K$6+6-$S278)/$T278)-MAX(0,-INT(-(K$6-$S278)/$T278))+1),0)</f>
        <v>0.0</v>
      </c>
      <c r="L278" s="97">
        <f>IF(ISNUMBER($S278),MAX(0,INT((L$6+6-$S278)/$T278)-MAX(0,-INT(-(L$6-$S278)/$T278))+1),0)</f>
        <v>0.0</v>
      </c>
      <c r="M278" s="97">
        <f>IF(ISNUMBER($S278),MAX(0,INT((M$6+6-$S278)/$T278)-MAX(0,-INT(-(M$6-$S278)/$T278))+1),0)</f>
        <v>0.0</v>
      </c>
      <c r="N278" s="97">
        <f>IF(ISNUMBER($S278),MAX(0,INT((N$6+6-$S278)/$T278)-MAX(0,-INT(-(N$6-$S278)/$T278))+1),0)</f>
        <v>0.0</v>
      </c>
      <c r="O278" s="97">
        <f>IF(ISNUMBER($S278),MAX(0,INT((O$6+6-$S278)/$T278)-MAX(0,-INT(-(O$6-$S278)/$T278))+1),0)</f>
        <v>0.0</v>
      </c>
      <c r="P278" s="97">
        <f>IF(ISNUMBER($S278),MAX(0,INT((P$6+6-$S278)/$T278)-MAX(0,-INT(-(P$6-$S278)/$T278))+1),0)</f>
        <v>0.0</v>
      </c>
      <c r="Q278" s="97">
        <f>IF(ISNUMBER($S278),MAX(0,INT((Q$6+6-$S278)/$T278)-MAX(0,-INT(-(Q$6-$S278)/$T278))+1),0)</f>
        <v>0.0</v>
      </c>
      <c r="R278" s="97">
        <f>IF(ISNUMBER($S278),MAX(0,INT((R$6+6-$S278)/$T278)-MAX(0,-INT(-(R$6-$S278)/$T278))+1),0)</f>
        <v>0.0</v>
      </c>
      <c r="S278" t="str">
        <f>IF(ISNUMBER(INDEX(pl_period,269)),MAX(INDEX(pl_due,269),p_today),"")</f>
        <v/>
      </c>
      <c r="T278" t="str">
        <f>IF(ISNUMBER(INDEX(pl_period,269)),INDEX(pl_period,269),"")</f>
        <v/>
      </c>
      <c r="U278">
        <f>N(INDEX(pl_dur,269))</f>
        <v>0.0</v>
      </c>
    </row>
    <row r="279">
      <c r="A279" s="93" t="str">
        <f>IF(INDEX(pl_status,270)="","",INDEX(pl_num,270)&amp;"")</f>
        <v/>
      </c>
      <c r="B279" s="93" t="str">
        <f>IF(INDEX(pl_status,270)="","",INDEX(pl_eq,270)&amp;"")</f>
        <v/>
      </c>
      <c r="C279" s="93" t="str">
        <f>IF(INDEX(pl_status,270)="","",INDEX(pl_task,270)&amp;"")</f>
        <v/>
      </c>
      <c r="D279" s="94" t="str">
        <f>IF(ISNUMBER(INDEX(pl_due,270)),INDEX(pl_due,270),"")</f>
        <v/>
      </c>
      <c r="E279" s="95" t="str">
        <f>INDEX(pl_status,270)&amp;""</f>
        <v/>
      </c>
      <c r="F279" s="96" t="str">
        <f>IF(E279="En retard","●","")</f>
        <v/>
      </c>
      <c r="G279" s="97">
        <f>IF(ISNUMBER($S279),MAX(0,INT((G$6+6-$S279)/$T279)-MAX(0,-INT(-(G$6-$S279)/$T279))+1),0)</f>
        <v>0.0</v>
      </c>
      <c r="H279" s="97">
        <f>IF(ISNUMBER($S279),MAX(0,INT((H$6+6-$S279)/$T279)-MAX(0,-INT(-(H$6-$S279)/$T279))+1),0)</f>
        <v>0.0</v>
      </c>
      <c r="I279" s="97">
        <f>IF(ISNUMBER($S279),MAX(0,INT((I$6+6-$S279)/$T279)-MAX(0,-INT(-(I$6-$S279)/$T279))+1),0)</f>
        <v>0.0</v>
      </c>
      <c r="J279" s="97">
        <f>IF(ISNUMBER($S279),MAX(0,INT((J$6+6-$S279)/$T279)-MAX(0,-INT(-(J$6-$S279)/$T279))+1),0)</f>
        <v>0.0</v>
      </c>
      <c r="K279" s="97">
        <f>IF(ISNUMBER($S279),MAX(0,INT((K$6+6-$S279)/$T279)-MAX(0,-INT(-(K$6-$S279)/$T279))+1),0)</f>
        <v>0.0</v>
      </c>
      <c r="L279" s="97">
        <f>IF(ISNUMBER($S279),MAX(0,INT((L$6+6-$S279)/$T279)-MAX(0,-INT(-(L$6-$S279)/$T279))+1),0)</f>
        <v>0.0</v>
      </c>
      <c r="M279" s="97">
        <f>IF(ISNUMBER($S279),MAX(0,INT((M$6+6-$S279)/$T279)-MAX(0,-INT(-(M$6-$S279)/$T279))+1),0)</f>
        <v>0.0</v>
      </c>
      <c r="N279" s="97">
        <f>IF(ISNUMBER($S279),MAX(0,INT((N$6+6-$S279)/$T279)-MAX(0,-INT(-(N$6-$S279)/$T279))+1),0)</f>
        <v>0.0</v>
      </c>
      <c r="O279" s="97">
        <f>IF(ISNUMBER($S279),MAX(0,INT((O$6+6-$S279)/$T279)-MAX(0,-INT(-(O$6-$S279)/$T279))+1),0)</f>
        <v>0.0</v>
      </c>
      <c r="P279" s="97">
        <f>IF(ISNUMBER($S279),MAX(0,INT((P$6+6-$S279)/$T279)-MAX(0,-INT(-(P$6-$S279)/$T279))+1),0)</f>
        <v>0.0</v>
      </c>
      <c r="Q279" s="97">
        <f>IF(ISNUMBER($S279),MAX(0,INT((Q$6+6-$S279)/$T279)-MAX(0,-INT(-(Q$6-$S279)/$T279))+1),0)</f>
        <v>0.0</v>
      </c>
      <c r="R279" s="97">
        <f>IF(ISNUMBER($S279),MAX(0,INT((R$6+6-$S279)/$T279)-MAX(0,-INT(-(R$6-$S279)/$T279))+1),0)</f>
        <v>0.0</v>
      </c>
      <c r="S279" t="str">
        <f>IF(ISNUMBER(INDEX(pl_period,270)),MAX(INDEX(pl_due,270),p_today),"")</f>
        <v/>
      </c>
      <c r="T279" t="str">
        <f>IF(ISNUMBER(INDEX(pl_period,270)),INDEX(pl_period,270),"")</f>
        <v/>
      </c>
      <c r="U279">
        <f>N(INDEX(pl_dur,270))</f>
        <v>0.0</v>
      </c>
    </row>
    <row r="280">
      <c r="A280" s="93" t="str">
        <f>IF(INDEX(pl_status,271)="","",INDEX(pl_num,271)&amp;"")</f>
        <v/>
      </c>
      <c r="B280" s="93" t="str">
        <f>IF(INDEX(pl_status,271)="","",INDEX(pl_eq,271)&amp;"")</f>
        <v/>
      </c>
      <c r="C280" s="93" t="str">
        <f>IF(INDEX(pl_status,271)="","",INDEX(pl_task,271)&amp;"")</f>
        <v/>
      </c>
      <c r="D280" s="94" t="str">
        <f>IF(ISNUMBER(INDEX(pl_due,271)),INDEX(pl_due,271),"")</f>
        <v/>
      </c>
      <c r="E280" s="95" t="str">
        <f>INDEX(pl_status,271)&amp;""</f>
        <v/>
      </c>
      <c r="F280" s="96" t="str">
        <f>IF(E280="En retard","●","")</f>
        <v/>
      </c>
      <c r="G280" s="97">
        <f>IF(ISNUMBER($S280),MAX(0,INT((G$6+6-$S280)/$T280)-MAX(0,-INT(-(G$6-$S280)/$T280))+1),0)</f>
        <v>0.0</v>
      </c>
      <c r="H280" s="97">
        <f>IF(ISNUMBER($S280),MAX(0,INT((H$6+6-$S280)/$T280)-MAX(0,-INT(-(H$6-$S280)/$T280))+1),0)</f>
        <v>0.0</v>
      </c>
      <c r="I280" s="97">
        <f>IF(ISNUMBER($S280),MAX(0,INT((I$6+6-$S280)/$T280)-MAX(0,-INT(-(I$6-$S280)/$T280))+1),0)</f>
        <v>0.0</v>
      </c>
      <c r="J280" s="97">
        <f>IF(ISNUMBER($S280),MAX(0,INT((J$6+6-$S280)/$T280)-MAX(0,-INT(-(J$6-$S280)/$T280))+1),0)</f>
        <v>0.0</v>
      </c>
      <c r="K280" s="97">
        <f>IF(ISNUMBER($S280),MAX(0,INT((K$6+6-$S280)/$T280)-MAX(0,-INT(-(K$6-$S280)/$T280))+1),0)</f>
        <v>0.0</v>
      </c>
      <c r="L280" s="97">
        <f>IF(ISNUMBER($S280),MAX(0,INT((L$6+6-$S280)/$T280)-MAX(0,-INT(-(L$6-$S280)/$T280))+1),0)</f>
        <v>0.0</v>
      </c>
      <c r="M280" s="97">
        <f>IF(ISNUMBER($S280),MAX(0,INT((M$6+6-$S280)/$T280)-MAX(0,-INT(-(M$6-$S280)/$T280))+1),0)</f>
        <v>0.0</v>
      </c>
      <c r="N280" s="97">
        <f>IF(ISNUMBER($S280),MAX(0,INT((N$6+6-$S280)/$T280)-MAX(0,-INT(-(N$6-$S280)/$T280))+1),0)</f>
        <v>0.0</v>
      </c>
      <c r="O280" s="97">
        <f>IF(ISNUMBER($S280),MAX(0,INT((O$6+6-$S280)/$T280)-MAX(0,-INT(-(O$6-$S280)/$T280))+1),0)</f>
        <v>0.0</v>
      </c>
      <c r="P280" s="97">
        <f>IF(ISNUMBER($S280),MAX(0,INT((P$6+6-$S280)/$T280)-MAX(0,-INT(-(P$6-$S280)/$T280))+1),0)</f>
        <v>0.0</v>
      </c>
      <c r="Q280" s="97">
        <f>IF(ISNUMBER($S280),MAX(0,INT((Q$6+6-$S280)/$T280)-MAX(0,-INT(-(Q$6-$S280)/$T280))+1),0)</f>
        <v>0.0</v>
      </c>
      <c r="R280" s="97">
        <f>IF(ISNUMBER($S280),MAX(0,INT((R$6+6-$S280)/$T280)-MAX(0,-INT(-(R$6-$S280)/$T280))+1),0)</f>
        <v>0.0</v>
      </c>
      <c r="S280" t="str">
        <f>IF(ISNUMBER(INDEX(pl_period,271)),MAX(INDEX(pl_due,271),p_today),"")</f>
        <v/>
      </c>
      <c r="T280" t="str">
        <f>IF(ISNUMBER(INDEX(pl_period,271)),INDEX(pl_period,271),"")</f>
        <v/>
      </c>
      <c r="U280">
        <f>N(INDEX(pl_dur,271))</f>
        <v>0.0</v>
      </c>
    </row>
    <row r="281">
      <c r="A281" s="93" t="str">
        <f>IF(INDEX(pl_status,272)="","",INDEX(pl_num,272)&amp;"")</f>
        <v/>
      </c>
      <c r="B281" s="93" t="str">
        <f>IF(INDEX(pl_status,272)="","",INDEX(pl_eq,272)&amp;"")</f>
        <v/>
      </c>
      <c r="C281" s="93" t="str">
        <f>IF(INDEX(pl_status,272)="","",INDEX(pl_task,272)&amp;"")</f>
        <v/>
      </c>
      <c r="D281" s="94" t="str">
        <f>IF(ISNUMBER(INDEX(pl_due,272)),INDEX(pl_due,272),"")</f>
        <v/>
      </c>
      <c r="E281" s="95" t="str">
        <f>INDEX(pl_status,272)&amp;""</f>
        <v/>
      </c>
      <c r="F281" s="96" t="str">
        <f>IF(E281="En retard","●","")</f>
        <v/>
      </c>
      <c r="G281" s="97">
        <f>IF(ISNUMBER($S281),MAX(0,INT((G$6+6-$S281)/$T281)-MAX(0,-INT(-(G$6-$S281)/$T281))+1),0)</f>
        <v>0.0</v>
      </c>
      <c r="H281" s="97">
        <f>IF(ISNUMBER($S281),MAX(0,INT((H$6+6-$S281)/$T281)-MAX(0,-INT(-(H$6-$S281)/$T281))+1),0)</f>
        <v>0.0</v>
      </c>
      <c r="I281" s="97">
        <f>IF(ISNUMBER($S281),MAX(0,INT((I$6+6-$S281)/$T281)-MAX(0,-INT(-(I$6-$S281)/$T281))+1),0)</f>
        <v>0.0</v>
      </c>
      <c r="J281" s="97">
        <f>IF(ISNUMBER($S281),MAX(0,INT((J$6+6-$S281)/$T281)-MAX(0,-INT(-(J$6-$S281)/$T281))+1),0)</f>
        <v>0.0</v>
      </c>
      <c r="K281" s="97">
        <f>IF(ISNUMBER($S281),MAX(0,INT((K$6+6-$S281)/$T281)-MAX(0,-INT(-(K$6-$S281)/$T281))+1),0)</f>
        <v>0.0</v>
      </c>
      <c r="L281" s="97">
        <f>IF(ISNUMBER($S281),MAX(0,INT((L$6+6-$S281)/$T281)-MAX(0,-INT(-(L$6-$S281)/$T281))+1),0)</f>
        <v>0.0</v>
      </c>
      <c r="M281" s="97">
        <f>IF(ISNUMBER($S281),MAX(0,INT((M$6+6-$S281)/$T281)-MAX(0,-INT(-(M$6-$S281)/$T281))+1),0)</f>
        <v>0.0</v>
      </c>
      <c r="N281" s="97">
        <f>IF(ISNUMBER($S281),MAX(0,INT((N$6+6-$S281)/$T281)-MAX(0,-INT(-(N$6-$S281)/$T281))+1),0)</f>
        <v>0.0</v>
      </c>
      <c r="O281" s="97">
        <f>IF(ISNUMBER($S281),MAX(0,INT((O$6+6-$S281)/$T281)-MAX(0,-INT(-(O$6-$S281)/$T281))+1),0)</f>
        <v>0.0</v>
      </c>
      <c r="P281" s="97">
        <f>IF(ISNUMBER($S281),MAX(0,INT((P$6+6-$S281)/$T281)-MAX(0,-INT(-(P$6-$S281)/$T281))+1),0)</f>
        <v>0.0</v>
      </c>
      <c r="Q281" s="97">
        <f>IF(ISNUMBER($S281),MAX(0,INT((Q$6+6-$S281)/$T281)-MAX(0,-INT(-(Q$6-$S281)/$T281))+1),0)</f>
        <v>0.0</v>
      </c>
      <c r="R281" s="97">
        <f>IF(ISNUMBER($S281),MAX(0,INT((R$6+6-$S281)/$T281)-MAX(0,-INT(-(R$6-$S281)/$T281))+1),0)</f>
        <v>0.0</v>
      </c>
      <c r="S281" t="str">
        <f>IF(ISNUMBER(INDEX(pl_period,272)),MAX(INDEX(pl_due,272),p_today),"")</f>
        <v/>
      </c>
      <c r="T281" t="str">
        <f>IF(ISNUMBER(INDEX(pl_period,272)),INDEX(pl_period,272),"")</f>
        <v/>
      </c>
      <c r="U281">
        <f>N(INDEX(pl_dur,272))</f>
        <v>0.0</v>
      </c>
    </row>
    <row r="282">
      <c r="A282" s="93" t="str">
        <f>IF(INDEX(pl_status,273)="","",INDEX(pl_num,273)&amp;"")</f>
        <v/>
      </c>
      <c r="B282" s="93" t="str">
        <f>IF(INDEX(pl_status,273)="","",INDEX(pl_eq,273)&amp;"")</f>
        <v/>
      </c>
      <c r="C282" s="93" t="str">
        <f>IF(INDEX(pl_status,273)="","",INDEX(pl_task,273)&amp;"")</f>
        <v/>
      </c>
      <c r="D282" s="94" t="str">
        <f>IF(ISNUMBER(INDEX(pl_due,273)),INDEX(pl_due,273),"")</f>
        <v/>
      </c>
      <c r="E282" s="95" t="str">
        <f>INDEX(pl_status,273)&amp;""</f>
        <v/>
      </c>
      <c r="F282" s="96" t="str">
        <f>IF(E282="En retard","●","")</f>
        <v/>
      </c>
      <c r="G282" s="97">
        <f>IF(ISNUMBER($S282),MAX(0,INT((G$6+6-$S282)/$T282)-MAX(0,-INT(-(G$6-$S282)/$T282))+1),0)</f>
        <v>0.0</v>
      </c>
      <c r="H282" s="97">
        <f>IF(ISNUMBER($S282),MAX(0,INT((H$6+6-$S282)/$T282)-MAX(0,-INT(-(H$6-$S282)/$T282))+1),0)</f>
        <v>0.0</v>
      </c>
      <c r="I282" s="97">
        <f>IF(ISNUMBER($S282),MAX(0,INT((I$6+6-$S282)/$T282)-MAX(0,-INT(-(I$6-$S282)/$T282))+1),0)</f>
        <v>0.0</v>
      </c>
      <c r="J282" s="97">
        <f>IF(ISNUMBER($S282),MAX(0,INT((J$6+6-$S282)/$T282)-MAX(0,-INT(-(J$6-$S282)/$T282))+1),0)</f>
        <v>0.0</v>
      </c>
      <c r="K282" s="97">
        <f>IF(ISNUMBER($S282),MAX(0,INT((K$6+6-$S282)/$T282)-MAX(0,-INT(-(K$6-$S282)/$T282))+1),0)</f>
        <v>0.0</v>
      </c>
      <c r="L282" s="97">
        <f>IF(ISNUMBER($S282),MAX(0,INT((L$6+6-$S282)/$T282)-MAX(0,-INT(-(L$6-$S282)/$T282))+1),0)</f>
        <v>0.0</v>
      </c>
      <c r="M282" s="97">
        <f>IF(ISNUMBER($S282),MAX(0,INT((M$6+6-$S282)/$T282)-MAX(0,-INT(-(M$6-$S282)/$T282))+1),0)</f>
        <v>0.0</v>
      </c>
      <c r="N282" s="97">
        <f>IF(ISNUMBER($S282),MAX(0,INT((N$6+6-$S282)/$T282)-MAX(0,-INT(-(N$6-$S282)/$T282))+1),0)</f>
        <v>0.0</v>
      </c>
      <c r="O282" s="97">
        <f>IF(ISNUMBER($S282),MAX(0,INT((O$6+6-$S282)/$T282)-MAX(0,-INT(-(O$6-$S282)/$T282))+1),0)</f>
        <v>0.0</v>
      </c>
      <c r="P282" s="97">
        <f>IF(ISNUMBER($S282),MAX(0,INT((P$6+6-$S282)/$T282)-MAX(0,-INT(-(P$6-$S282)/$T282))+1),0)</f>
        <v>0.0</v>
      </c>
      <c r="Q282" s="97">
        <f>IF(ISNUMBER($S282),MAX(0,INT((Q$6+6-$S282)/$T282)-MAX(0,-INT(-(Q$6-$S282)/$T282))+1),0)</f>
        <v>0.0</v>
      </c>
      <c r="R282" s="97">
        <f>IF(ISNUMBER($S282),MAX(0,INT((R$6+6-$S282)/$T282)-MAX(0,-INT(-(R$6-$S282)/$T282))+1),0)</f>
        <v>0.0</v>
      </c>
      <c r="S282" t="str">
        <f>IF(ISNUMBER(INDEX(pl_period,273)),MAX(INDEX(pl_due,273),p_today),"")</f>
        <v/>
      </c>
      <c r="T282" t="str">
        <f>IF(ISNUMBER(INDEX(pl_period,273)),INDEX(pl_period,273),"")</f>
        <v/>
      </c>
      <c r="U282">
        <f>N(INDEX(pl_dur,273))</f>
        <v>0.0</v>
      </c>
    </row>
    <row r="283">
      <c r="A283" s="93" t="str">
        <f>IF(INDEX(pl_status,274)="","",INDEX(pl_num,274)&amp;"")</f>
        <v/>
      </c>
      <c r="B283" s="93" t="str">
        <f>IF(INDEX(pl_status,274)="","",INDEX(pl_eq,274)&amp;"")</f>
        <v/>
      </c>
      <c r="C283" s="93" t="str">
        <f>IF(INDEX(pl_status,274)="","",INDEX(pl_task,274)&amp;"")</f>
        <v/>
      </c>
      <c r="D283" s="94" t="str">
        <f>IF(ISNUMBER(INDEX(pl_due,274)),INDEX(pl_due,274),"")</f>
        <v/>
      </c>
      <c r="E283" s="95" t="str">
        <f>INDEX(pl_status,274)&amp;""</f>
        <v/>
      </c>
      <c r="F283" s="96" t="str">
        <f>IF(E283="En retard","●","")</f>
        <v/>
      </c>
      <c r="G283" s="97">
        <f>IF(ISNUMBER($S283),MAX(0,INT((G$6+6-$S283)/$T283)-MAX(0,-INT(-(G$6-$S283)/$T283))+1),0)</f>
        <v>0.0</v>
      </c>
      <c r="H283" s="97">
        <f>IF(ISNUMBER($S283),MAX(0,INT((H$6+6-$S283)/$T283)-MAX(0,-INT(-(H$6-$S283)/$T283))+1),0)</f>
        <v>0.0</v>
      </c>
      <c r="I283" s="97">
        <f>IF(ISNUMBER($S283),MAX(0,INT((I$6+6-$S283)/$T283)-MAX(0,-INT(-(I$6-$S283)/$T283))+1),0)</f>
        <v>0.0</v>
      </c>
      <c r="J283" s="97">
        <f>IF(ISNUMBER($S283),MAX(0,INT((J$6+6-$S283)/$T283)-MAX(0,-INT(-(J$6-$S283)/$T283))+1),0)</f>
        <v>0.0</v>
      </c>
      <c r="K283" s="97">
        <f>IF(ISNUMBER($S283),MAX(0,INT((K$6+6-$S283)/$T283)-MAX(0,-INT(-(K$6-$S283)/$T283))+1),0)</f>
        <v>0.0</v>
      </c>
      <c r="L283" s="97">
        <f>IF(ISNUMBER($S283),MAX(0,INT((L$6+6-$S283)/$T283)-MAX(0,-INT(-(L$6-$S283)/$T283))+1),0)</f>
        <v>0.0</v>
      </c>
      <c r="M283" s="97">
        <f>IF(ISNUMBER($S283),MAX(0,INT((M$6+6-$S283)/$T283)-MAX(0,-INT(-(M$6-$S283)/$T283))+1),0)</f>
        <v>0.0</v>
      </c>
      <c r="N283" s="97">
        <f>IF(ISNUMBER($S283),MAX(0,INT((N$6+6-$S283)/$T283)-MAX(0,-INT(-(N$6-$S283)/$T283))+1),0)</f>
        <v>0.0</v>
      </c>
      <c r="O283" s="97">
        <f>IF(ISNUMBER($S283),MAX(0,INT((O$6+6-$S283)/$T283)-MAX(0,-INT(-(O$6-$S283)/$T283))+1),0)</f>
        <v>0.0</v>
      </c>
      <c r="P283" s="97">
        <f>IF(ISNUMBER($S283),MAX(0,INT((P$6+6-$S283)/$T283)-MAX(0,-INT(-(P$6-$S283)/$T283))+1),0)</f>
        <v>0.0</v>
      </c>
      <c r="Q283" s="97">
        <f>IF(ISNUMBER($S283),MAX(0,INT((Q$6+6-$S283)/$T283)-MAX(0,-INT(-(Q$6-$S283)/$T283))+1),0)</f>
        <v>0.0</v>
      </c>
      <c r="R283" s="97">
        <f>IF(ISNUMBER($S283),MAX(0,INT((R$6+6-$S283)/$T283)-MAX(0,-INT(-(R$6-$S283)/$T283))+1),0)</f>
        <v>0.0</v>
      </c>
      <c r="S283" t="str">
        <f>IF(ISNUMBER(INDEX(pl_period,274)),MAX(INDEX(pl_due,274),p_today),"")</f>
        <v/>
      </c>
      <c r="T283" t="str">
        <f>IF(ISNUMBER(INDEX(pl_period,274)),INDEX(pl_period,274),"")</f>
        <v/>
      </c>
      <c r="U283">
        <f>N(INDEX(pl_dur,274))</f>
        <v>0.0</v>
      </c>
    </row>
    <row r="284">
      <c r="A284" s="93" t="str">
        <f>IF(INDEX(pl_status,275)="","",INDEX(pl_num,275)&amp;"")</f>
        <v/>
      </c>
      <c r="B284" s="93" t="str">
        <f>IF(INDEX(pl_status,275)="","",INDEX(pl_eq,275)&amp;"")</f>
        <v/>
      </c>
      <c r="C284" s="93" t="str">
        <f>IF(INDEX(pl_status,275)="","",INDEX(pl_task,275)&amp;"")</f>
        <v/>
      </c>
      <c r="D284" s="94" t="str">
        <f>IF(ISNUMBER(INDEX(pl_due,275)),INDEX(pl_due,275),"")</f>
        <v/>
      </c>
      <c r="E284" s="95" t="str">
        <f>INDEX(pl_status,275)&amp;""</f>
        <v/>
      </c>
      <c r="F284" s="96" t="str">
        <f>IF(E284="En retard","●","")</f>
        <v/>
      </c>
      <c r="G284" s="97">
        <f>IF(ISNUMBER($S284),MAX(0,INT((G$6+6-$S284)/$T284)-MAX(0,-INT(-(G$6-$S284)/$T284))+1),0)</f>
        <v>0.0</v>
      </c>
      <c r="H284" s="97">
        <f>IF(ISNUMBER($S284),MAX(0,INT((H$6+6-$S284)/$T284)-MAX(0,-INT(-(H$6-$S284)/$T284))+1),0)</f>
        <v>0.0</v>
      </c>
      <c r="I284" s="97">
        <f>IF(ISNUMBER($S284),MAX(0,INT((I$6+6-$S284)/$T284)-MAX(0,-INT(-(I$6-$S284)/$T284))+1),0)</f>
        <v>0.0</v>
      </c>
      <c r="J284" s="97">
        <f>IF(ISNUMBER($S284),MAX(0,INT((J$6+6-$S284)/$T284)-MAX(0,-INT(-(J$6-$S284)/$T284))+1),0)</f>
        <v>0.0</v>
      </c>
      <c r="K284" s="97">
        <f>IF(ISNUMBER($S284),MAX(0,INT((K$6+6-$S284)/$T284)-MAX(0,-INT(-(K$6-$S284)/$T284))+1),0)</f>
        <v>0.0</v>
      </c>
      <c r="L284" s="97">
        <f>IF(ISNUMBER($S284),MAX(0,INT((L$6+6-$S284)/$T284)-MAX(0,-INT(-(L$6-$S284)/$T284))+1),0)</f>
        <v>0.0</v>
      </c>
      <c r="M284" s="97">
        <f>IF(ISNUMBER($S284),MAX(0,INT((M$6+6-$S284)/$T284)-MAX(0,-INT(-(M$6-$S284)/$T284))+1),0)</f>
        <v>0.0</v>
      </c>
      <c r="N284" s="97">
        <f>IF(ISNUMBER($S284),MAX(0,INT((N$6+6-$S284)/$T284)-MAX(0,-INT(-(N$6-$S284)/$T284))+1),0)</f>
        <v>0.0</v>
      </c>
      <c r="O284" s="97">
        <f>IF(ISNUMBER($S284),MAX(0,INT((O$6+6-$S284)/$T284)-MAX(0,-INT(-(O$6-$S284)/$T284))+1),0)</f>
        <v>0.0</v>
      </c>
      <c r="P284" s="97">
        <f>IF(ISNUMBER($S284),MAX(0,INT((P$6+6-$S284)/$T284)-MAX(0,-INT(-(P$6-$S284)/$T284))+1),0)</f>
        <v>0.0</v>
      </c>
      <c r="Q284" s="97">
        <f>IF(ISNUMBER($S284),MAX(0,INT((Q$6+6-$S284)/$T284)-MAX(0,-INT(-(Q$6-$S284)/$T284))+1),0)</f>
        <v>0.0</v>
      </c>
      <c r="R284" s="97">
        <f>IF(ISNUMBER($S284),MAX(0,INT((R$6+6-$S284)/$T284)-MAX(0,-INT(-(R$6-$S284)/$T284))+1),0)</f>
        <v>0.0</v>
      </c>
      <c r="S284" t="str">
        <f>IF(ISNUMBER(INDEX(pl_period,275)),MAX(INDEX(pl_due,275),p_today),"")</f>
        <v/>
      </c>
      <c r="T284" t="str">
        <f>IF(ISNUMBER(INDEX(pl_period,275)),INDEX(pl_period,275),"")</f>
        <v/>
      </c>
      <c r="U284">
        <f>N(INDEX(pl_dur,275))</f>
        <v>0.0</v>
      </c>
    </row>
    <row r="285">
      <c r="A285" s="93" t="str">
        <f>IF(INDEX(pl_status,276)="","",INDEX(pl_num,276)&amp;"")</f>
        <v/>
      </c>
      <c r="B285" s="93" t="str">
        <f>IF(INDEX(pl_status,276)="","",INDEX(pl_eq,276)&amp;"")</f>
        <v/>
      </c>
      <c r="C285" s="93" t="str">
        <f>IF(INDEX(pl_status,276)="","",INDEX(pl_task,276)&amp;"")</f>
        <v/>
      </c>
      <c r="D285" s="94" t="str">
        <f>IF(ISNUMBER(INDEX(pl_due,276)),INDEX(pl_due,276),"")</f>
        <v/>
      </c>
      <c r="E285" s="95" t="str">
        <f>INDEX(pl_status,276)&amp;""</f>
        <v/>
      </c>
      <c r="F285" s="96" t="str">
        <f>IF(E285="En retard","●","")</f>
        <v/>
      </c>
      <c r="G285" s="97">
        <f>IF(ISNUMBER($S285),MAX(0,INT((G$6+6-$S285)/$T285)-MAX(0,-INT(-(G$6-$S285)/$T285))+1),0)</f>
        <v>0.0</v>
      </c>
      <c r="H285" s="97">
        <f>IF(ISNUMBER($S285),MAX(0,INT((H$6+6-$S285)/$T285)-MAX(0,-INT(-(H$6-$S285)/$T285))+1),0)</f>
        <v>0.0</v>
      </c>
      <c r="I285" s="97">
        <f>IF(ISNUMBER($S285),MAX(0,INT((I$6+6-$S285)/$T285)-MAX(0,-INT(-(I$6-$S285)/$T285))+1),0)</f>
        <v>0.0</v>
      </c>
      <c r="J285" s="97">
        <f>IF(ISNUMBER($S285),MAX(0,INT((J$6+6-$S285)/$T285)-MAX(0,-INT(-(J$6-$S285)/$T285))+1),0)</f>
        <v>0.0</v>
      </c>
      <c r="K285" s="97">
        <f>IF(ISNUMBER($S285),MAX(0,INT((K$6+6-$S285)/$T285)-MAX(0,-INT(-(K$6-$S285)/$T285))+1),0)</f>
        <v>0.0</v>
      </c>
      <c r="L285" s="97">
        <f>IF(ISNUMBER($S285),MAX(0,INT((L$6+6-$S285)/$T285)-MAX(0,-INT(-(L$6-$S285)/$T285))+1),0)</f>
        <v>0.0</v>
      </c>
      <c r="M285" s="97">
        <f>IF(ISNUMBER($S285),MAX(0,INT((M$6+6-$S285)/$T285)-MAX(0,-INT(-(M$6-$S285)/$T285))+1),0)</f>
        <v>0.0</v>
      </c>
      <c r="N285" s="97">
        <f>IF(ISNUMBER($S285),MAX(0,INT((N$6+6-$S285)/$T285)-MAX(0,-INT(-(N$6-$S285)/$T285))+1),0)</f>
        <v>0.0</v>
      </c>
      <c r="O285" s="97">
        <f>IF(ISNUMBER($S285),MAX(0,INT((O$6+6-$S285)/$T285)-MAX(0,-INT(-(O$6-$S285)/$T285))+1),0)</f>
        <v>0.0</v>
      </c>
      <c r="P285" s="97">
        <f>IF(ISNUMBER($S285),MAX(0,INT((P$6+6-$S285)/$T285)-MAX(0,-INT(-(P$6-$S285)/$T285))+1),0)</f>
        <v>0.0</v>
      </c>
      <c r="Q285" s="97">
        <f>IF(ISNUMBER($S285),MAX(0,INT((Q$6+6-$S285)/$T285)-MAX(0,-INT(-(Q$6-$S285)/$T285))+1),0)</f>
        <v>0.0</v>
      </c>
      <c r="R285" s="97">
        <f>IF(ISNUMBER($S285),MAX(0,INT((R$6+6-$S285)/$T285)-MAX(0,-INT(-(R$6-$S285)/$T285))+1),0)</f>
        <v>0.0</v>
      </c>
      <c r="S285" t="str">
        <f>IF(ISNUMBER(INDEX(pl_period,276)),MAX(INDEX(pl_due,276),p_today),"")</f>
        <v/>
      </c>
      <c r="T285" t="str">
        <f>IF(ISNUMBER(INDEX(pl_period,276)),INDEX(pl_period,276),"")</f>
        <v/>
      </c>
      <c r="U285">
        <f>N(INDEX(pl_dur,276))</f>
        <v>0.0</v>
      </c>
    </row>
    <row r="286">
      <c r="A286" s="93" t="str">
        <f>IF(INDEX(pl_status,277)="","",INDEX(pl_num,277)&amp;"")</f>
        <v/>
      </c>
      <c r="B286" s="93" t="str">
        <f>IF(INDEX(pl_status,277)="","",INDEX(pl_eq,277)&amp;"")</f>
        <v/>
      </c>
      <c r="C286" s="93" t="str">
        <f>IF(INDEX(pl_status,277)="","",INDEX(pl_task,277)&amp;"")</f>
        <v/>
      </c>
      <c r="D286" s="94" t="str">
        <f>IF(ISNUMBER(INDEX(pl_due,277)),INDEX(pl_due,277),"")</f>
        <v/>
      </c>
      <c r="E286" s="95" t="str">
        <f>INDEX(pl_status,277)&amp;""</f>
        <v/>
      </c>
      <c r="F286" s="96" t="str">
        <f>IF(E286="En retard","●","")</f>
        <v/>
      </c>
      <c r="G286" s="97">
        <f>IF(ISNUMBER($S286),MAX(0,INT((G$6+6-$S286)/$T286)-MAX(0,-INT(-(G$6-$S286)/$T286))+1),0)</f>
        <v>0.0</v>
      </c>
      <c r="H286" s="97">
        <f>IF(ISNUMBER($S286),MAX(0,INT((H$6+6-$S286)/$T286)-MAX(0,-INT(-(H$6-$S286)/$T286))+1),0)</f>
        <v>0.0</v>
      </c>
      <c r="I286" s="97">
        <f>IF(ISNUMBER($S286),MAX(0,INT((I$6+6-$S286)/$T286)-MAX(0,-INT(-(I$6-$S286)/$T286))+1),0)</f>
        <v>0.0</v>
      </c>
      <c r="J286" s="97">
        <f>IF(ISNUMBER($S286),MAX(0,INT((J$6+6-$S286)/$T286)-MAX(0,-INT(-(J$6-$S286)/$T286))+1),0)</f>
        <v>0.0</v>
      </c>
      <c r="K286" s="97">
        <f>IF(ISNUMBER($S286),MAX(0,INT((K$6+6-$S286)/$T286)-MAX(0,-INT(-(K$6-$S286)/$T286))+1),0)</f>
        <v>0.0</v>
      </c>
      <c r="L286" s="97">
        <f>IF(ISNUMBER($S286),MAX(0,INT((L$6+6-$S286)/$T286)-MAX(0,-INT(-(L$6-$S286)/$T286))+1),0)</f>
        <v>0.0</v>
      </c>
      <c r="M286" s="97">
        <f>IF(ISNUMBER($S286),MAX(0,INT((M$6+6-$S286)/$T286)-MAX(0,-INT(-(M$6-$S286)/$T286))+1),0)</f>
        <v>0.0</v>
      </c>
      <c r="N286" s="97">
        <f>IF(ISNUMBER($S286),MAX(0,INT((N$6+6-$S286)/$T286)-MAX(0,-INT(-(N$6-$S286)/$T286))+1),0)</f>
        <v>0.0</v>
      </c>
      <c r="O286" s="97">
        <f>IF(ISNUMBER($S286),MAX(0,INT((O$6+6-$S286)/$T286)-MAX(0,-INT(-(O$6-$S286)/$T286))+1),0)</f>
        <v>0.0</v>
      </c>
      <c r="P286" s="97">
        <f>IF(ISNUMBER($S286),MAX(0,INT((P$6+6-$S286)/$T286)-MAX(0,-INT(-(P$6-$S286)/$T286))+1),0)</f>
        <v>0.0</v>
      </c>
      <c r="Q286" s="97">
        <f>IF(ISNUMBER($S286),MAX(0,INT((Q$6+6-$S286)/$T286)-MAX(0,-INT(-(Q$6-$S286)/$T286))+1),0)</f>
        <v>0.0</v>
      </c>
      <c r="R286" s="97">
        <f>IF(ISNUMBER($S286),MAX(0,INT((R$6+6-$S286)/$T286)-MAX(0,-INT(-(R$6-$S286)/$T286))+1),0)</f>
        <v>0.0</v>
      </c>
      <c r="S286" t="str">
        <f>IF(ISNUMBER(INDEX(pl_period,277)),MAX(INDEX(pl_due,277),p_today),"")</f>
        <v/>
      </c>
      <c r="T286" t="str">
        <f>IF(ISNUMBER(INDEX(pl_period,277)),INDEX(pl_period,277),"")</f>
        <v/>
      </c>
      <c r="U286">
        <f>N(INDEX(pl_dur,277))</f>
        <v>0.0</v>
      </c>
    </row>
    <row r="287">
      <c r="A287" s="93" t="str">
        <f>IF(INDEX(pl_status,278)="","",INDEX(pl_num,278)&amp;"")</f>
        <v/>
      </c>
      <c r="B287" s="93" t="str">
        <f>IF(INDEX(pl_status,278)="","",INDEX(pl_eq,278)&amp;"")</f>
        <v/>
      </c>
      <c r="C287" s="93" t="str">
        <f>IF(INDEX(pl_status,278)="","",INDEX(pl_task,278)&amp;"")</f>
        <v/>
      </c>
      <c r="D287" s="94" t="str">
        <f>IF(ISNUMBER(INDEX(pl_due,278)),INDEX(pl_due,278),"")</f>
        <v/>
      </c>
      <c r="E287" s="95" t="str">
        <f>INDEX(pl_status,278)&amp;""</f>
        <v/>
      </c>
      <c r="F287" s="96" t="str">
        <f>IF(E287="En retard","●","")</f>
        <v/>
      </c>
      <c r="G287" s="97">
        <f>IF(ISNUMBER($S287),MAX(0,INT((G$6+6-$S287)/$T287)-MAX(0,-INT(-(G$6-$S287)/$T287))+1),0)</f>
        <v>0.0</v>
      </c>
      <c r="H287" s="97">
        <f>IF(ISNUMBER($S287),MAX(0,INT((H$6+6-$S287)/$T287)-MAX(0,-INT(-(H$6-$S287)/$T287))+1),0)</f>
        <v>0.0</v>
      </c>
      <c r="I287" s="97">
        <f>IF(ISNUMBER($S287),MAX(0,INT((I$6+6-$S287)/$T287)-MAX(0,-INT(-(I$6-$S287)/$T287))+1),0)</f>
        <v>0.0</v>
      </c>
      <c r="J287" s="97">
        <f>IF(ISNUMBER($S287),MAX(0,INT((J$6+6-$S287)/$T287)-MAX(0,-INT(-(J$6-$S287)/$T287))+1),0)</f>
        <v>0.0</v>
      </c>
      <c r="K287" s="97">
        <f>IF(ISNUMBER($S287),MAX(0,INT((K$6+6-$S287)/$T287)-MAX(0,-INT(-(K$6-$S287)/$T287))+1),0)</f>
        <v>0.0</v>
      </c>
      <c r="L287" s="97">
        <f>IF(ISNUMBER($S287),MAX(0,INT((L$6+6-$S287)/$T287)-MAX(0,-INT(-(L$6-$S287)/$T287))+1),0)</f>
        <v>0.0</v>
      </c>
      <c r="M287" s="97">
        <f>IF(ISNUMBER($S287),MAX(0,INT((M$6+6-$S287)/$T287)-MAX(0,-INT(-(M$6-$S287)/$T287))+1),0)</f>
        <v>0.0</v>
      </c>
      <c r="N287" s="97">
        <f>IF(ISNUMBER($S287),MAX(0,INT((N$6+6-$S287)/$T287)-MAX(0,-INT(-(N$6-$S287)/$T287))+1),0)</f>
        <v>0.0</v>
      </c>
      <c r="O287" s="97">
        <f>IF(ISNUMBER($S287),MAX(0,INT((O$6+6-$S287)/$T287)-MAX(0,-INT(-(O$6-$S287)/$T287))+1),0)</f>
        <v>0.0</v>
      </c>
      <c r="P287" s="97">
        <f>IF(ISNUMBER($S287),MAX(0,INT((P$6+6-$S287)/$T287)-MAX(0,-INT(-(P$6-$S287)/$T287))+1),0)</f>
        <v>0.0</v>
      </c>
      <c r="Q287" s="97">
        <f>IF(ISNUMBER($S287),MAX(0,INT((Q$6+6-$S287)/$T287)-MAX(0,-INT(-(Q$6-$S287)/$T287))+1),0)</f>
        <v>0.0</v>
      </c>
      <c r="R287" s="97">
        <f>IF(ISNUMBER($S287),MAX(0,INT((R$6+6-$S287)/$T287)-MAX(0,-INT(-(R$6-$S287)/$T287))+1),0)</f>
        <v>0.0</v>
      </c>
      <c r="S287" t="str">
        <f>IF(ISNUMBER(INDEX(pl_period,278)),MAX(INDEX(pl_due,278),p_today),"")</f>
        <v/>
      </c>
      <c r="T287" t="str">
        <f>IF(ISNUMBER(INDEX(pl_period,278)),INDEX(pl_period,278),"")</f>
        <v/>
      </c>
      <c r="U287">
        <f>N(INDEX(pl_dur,278))</f>
        <v>0.0</v>
      </c>
    </row>
    <row r="288">
      <c r="A288" s="93" t="str">
        <f>IF(INDEX(pl_status,279)="","",INDEX(pl_num,279)&amp;"")</f>
        <v/>
      </c>
      <c r="B288" s="93" t="str">
        <f>IF(INDEX(pl_status,279)="","",INDEX(pl_eq,279)&amp;"")</f>
        <v/>
      </c>
      <c r="C288" s="93" t="str">
        <f>IF(INDEX(pl_status,279)="","",INDEX(pl_task,279)&amp;"")</f>
        <v/>
      </c>
      <c r="D288" s="94" t="str">
        <f>IF(ISNUMBER(INDEX(pl_due,279)),INDEX(pl_due,279),"")</f>
        <v/>
      </c>
      <c r="E288" s="95" t="str">
        <f>INDEX(pl_status,279)&amp;""</f>
        <v/>
      </c>
      <c r="F288" s="96" t="str">
        <f>IF(E288="En retard","●","")</f>
        <v/>
      </c>
      <c r="G288" s="97">
        <f>IF(ISNUMBER($S288),MAX(0,INT((G$6+6-$S288)/$T288)-MAX(0,-INT(-(G$6-$S288)/$T288))+1),0)</f>
        <v>0.0</v>
      </c>
      <c r="H288" s="97">
        <f>IF(ISNUMBER($S288),MAX(0,INT((H$6+6-$S288)/$T288)-MAX(0,-INT(-(H$6-$S288)/$T288))+1),0)</f>
        <v>0.0</v>
      </c>
      <c r="I288" s="97">
        <f>IF(ISNUMBER($S288),MAX(0,INT((I$6+6-$S288)/$T288)-MAX(0,-INT(-(I$6-$S288)/$T288))+1),0)</f>
        <v>0.0</v>
      </c>
      <c r="J288" s="97">
        <f>IF(ISNUMBER($S288),MAX(0,INT((J$6+6-$S288)/$T288)-MAX(0,-INT(-(J$6-$S288)/$T288))+1),0)</f>
        <v>0.0</v>
      </c>
      <c r="K288" s="97">
        <f>IF(ISNUMBER($S288),MAX(0,INT((K$6+6-$S288)/$T288)-MAX(0,-INT(-(K$6-$S288)/$T288))+1),0)</f>
        <v>0.0</v>
      </c>
      <c r="L288" s="97">
        <f>IF(ISNUMBER($S288),MAX(0,INT((L$6+6-$S288)/$T288)-MAX(0,-INT(-(L$6-$S288)/$T288))+1),0)</f>
        <v>0.0</v>
      </c>
      <c r="M288" s="97">
        <f>IF(ISNUMBER($S288),MAX(0,INT((M$6+6-$S288)/$T288)-MAX(0,-INT(-(M$6-$S288)/$T288))+1),0)</f>
        <v>0.0</v>
      </c>
      <c r="N288" s="97">
        <f>IF(ISNUMBER($S288),MAX(0,INT((N$6+6-$S288)/$T288)-MAX(0,-INT(-(N$6-$S288)/$T288))+1),0)</f>
        <v>0.0</v>
      </c>
      <c r="O288" s="97">
        <f>IF(ISNUMBER($S288),MAX(0,INT((O$6+6-$S288)/$T288)-MAX(0,-INT(-(O$6-$S288)/$T288))+1),0)</f>
        <v>0.0</v>
      </c>
      <c r="P288" s="97">
        <f>IF(ISNUMBER($S288),MAX(0,INT((P$6+6-$S288)/$T288)-MAX(0,-INT(-(P$6-$S288)/$T288))+1),0)</f>
        <v>0.0</v>
      </c>
      <c r="Q288" s="97">
        <f>IF(ISNUMBER($S288),MAX(0,INT((Q$6+6-$S288)/$T288)-MAX(0,-INT(-(Q$6-$S288)/$T288))+1),0)</f>
        <v>0.0</v>
      </c>
      <c r="R288" s="97">
        <f>IF(ISNUMBER($S288),MAX(0,INT((R$6+6-$S288)/$T288)-MAX(0,-INT(-(R$6-$S288)/$T288))+1),0)</f>
        <v>0.0</v>
      </c>
      <c r="S288" t="str">
        <f>IF(ISNUMBER(INDEX(pl_period,279)),MAX(INDEX(pl_due,279),p_today),"")</f>
        <v/>
      </c>
      <c r="T288" t="str">
        <f>IF(ISNUMBER(INDEX(pl_period,279)),INDEX(pl_period,279),"")</f>
        <v/>
      </c>
      <c r="U288">
        <f>N(INDEX(pl_dur,279))</f>
        <v>0.0</v>
      </c>
    </row>
    <row r="289">
      <c r="A289" s="93" t="str">
        <f>IF(INDEX(pl_status,280)="","",INDEX(pl_num,280)&amp;"")</f>
        <v/>
      </c>
      <c r="B289" s="93" t="str">
        <f>IF(INDEX(pl_status,280)="","",INDEX(pl_eq,280)&amp;"")</f>
        <v/>
      </c>
      <c r="C289" s="93" t="str">
        <f>IF(INDEX(pl_status,280)="","",INDEX(pl_task,280)&amp;"")</f>
        <v/>
      </c>
      <c r="D289" s="94" t="str">
        <f>IF(ISNUMBER(INDEX(pl_due,280)),INDEX(pl_due,280),"")</f>
        <v/>
      </c>
      <c r="E289" s="95" t="str">
        <f>INDEX(pl_status,280)&amp;""</f>
        <v/>
      </c>
      <c r="F289" s="96" t="str">
        <f>IF(E289="En retard","●","")</f>
        <v/>
      </c>
      <c r="G289" s="97">
        <f>IF(ISNUMBER($S289),MAX(0,INT((G$6+6-$S289)/$T289)-MAX(0,-INT(-(G$6-$S289)/$T289))+1),0)</f>
        <v>0.0</v>
      </c>
      <c r="H289" s="97">
        <f>IF(ISNUMBER($S289),MAX(0,INT((H$6+6-$S289)/$T289)-MAX(0,-INT(-(H$6-$S289)/$T289))+1),0)</f>
        <v>0.0</v>
      </c>
      <c r="I289" s="97">
        <f>IF(ISNUMBER($S289),MAX(0,INT((I$6+6-$S289)/$T289)-MAX(0,-INT(-(I$6-$S289)/$T289))+1),0)</f>
        <v>0.0</v>
      </c>
      <c r="J289" s="97">
        <f>IF(ISNUMBER($S289),MAX(0,INT((J$6+6-$S289)/$T289)-MAX(0,-INT(-(J$6-$S289)/$T289))+1),0)</f>
        <v>0.0</v>
      </c>
      <c r="K289" s="97">
        <f>IF(ISNUMBER($S289),MAX(0,INT((K$6+6-$S289)/$T289)-MAX(0,-INT(-(K$6-$S289)/$T289))+1),0)</f>
        <v>0.0</v>
      </c>
      <c r="L289" s="97">
        <f>IF(ISNUMBER($S289),MAX(0,INT((L$6+6-$S289)/$T289)-MAX(0,-INT(-(L$6-$S289)/$T289))+1),0)</f>
        <v>0.0</v>
      </c>
      <c r="M289" s="97">
        <f>IF(ISNUMBER($S289),MAX(0,INT((M$6+6-$S289)/$T289)-MAX(0,-INT(-(M$6-$S289)/$T289))+1),0)</f>
        <v>0.0</v>
      </c>
      <c r="N289" s="97">
        <f>IF(ISNUMBER($S289),MAX(0,INT((N$6+6-$S289)/$T289)-MAX(0,-INT(-(N$6-$S289)/$T289))+1),0)</f>
        <v>0.0</v>
      </c>
      <c r="O289" s="97">
        <f>IF(ISNUMBER($S289),MAX(0,INT((O$6+6-$S289)/$T289)-MAX(0,-INT(-(O$6-$S289)/$T289))+1),0)</f>
        <v>0.0</v>
      </c>
      <c r="P289" s="97">
        <f>IF(ISNUMBER($S289),MAX(0,INT((P$6+6-$S289)/$T289)-MAX(0,-INT(-(P$6-$S289)/$T289))+1),0)</f>
        <v>0.0</v>
      </c>
      <c r="Q289" s="97">
        <f>IF(ISNUMBER($S289),MAX(0,INT((Q$6+6-$S289)/$T289)-MAX(0,-INT(-(Q$6-$S289)/$T289))+1),0)</f>
        <v>0.0</v>
      </c>
      <c r="R289" s="97">
        <f>IF(ISNUMBER($S289),MAX(0,INT((R$6+6-$S289)/$T289)-MAX(0,-INT(-(R$6-$S289)/$T289))+1),0)</f>
        <v>0.0</v>
      </c>
      <c r="S289" t="str">
        <f>IF(ISNUMBER(INDEX(pl_period,280)),MAX(INDEX(pl_due,280),p_today),"")</f>
        <v/>
      </c>
      <c r="T289" t="str">
        <f>IF(ISNUMBER(INDEX(pl_period,280)),INDEX(pl_period,280),"")</f>
        <v/>
      </c>
      <c r="U289">
        <f>N(INDEX(pl_dur,280))</f>
        <v>0.0</v>
      </c>
    </row>
    <row r="290">
      <c r="A290" s="93" t="str">
        <f>IF(INDEX(pl_status,281)="","",INDEX(pl_num,281)&amp;"")</f>
        <v/>
      </c>
      <c r="B290" s="93" t="str">
        <f>IF(INDEX(pl_status,281)="","",INDEX(pl_eq,281)&amp;"")</f>
        <v/>
      </c>
      <c r="C290" s="93" t="str">
        <f>IF(INDEX(pl_status,281)="","",INDEX(pl_task,281)&amp;"")</f>
        <v/>
      </c>
      <c r="D290" s="94" t="str">
        <f>IF(ISNUMBER(INDEX(pl_due,281)),INDEX(pl_due,281),"")</f>
        <v/>
      </c>
      <c r="E290" s="95" t="str">
        <f>INDEX(pl_status,281)&amp;""</f>
        <v/>
      </c>
      <c r="F290" s="96" t="str">
        <f>IF(E290="En retard","●","")</f>
        <v/>
      </c>
      <c r="G290" s="97">
        <f>IF(ISNUMBER($S290),MAX(0,INT((G$6+6-$S290)/$T290)-MAX(0,-INT(-(G$6-$S290)/$T290))+1),0)</f>
        <v>0.0</v>
      </c>
      <c r="H290" s="97">
        <f>IF(ISNUMBER($S290),MAX(0,INT((H$6+6-$S290)/$T290)-MAX(0,-INT(-(H$6-$S290)/$T290))+1),0)</f>
        <v>0.0</v>
      </c>
      <c r="I290" s="97">
        <f>IF(ISNUMBER($S290),MAX(0,INT((I$6+6-$S290)/$T290)-MAX(0,-INT(-(I$6-$S290)/$T290))+1),0)</f>
        <v>0.0</v>
      </c>
      <c r="J290" s="97">
        <f>IF(ISNUMBER($S290),MAX(0,INT((J$6+6-$S290)/$T290)-MAX(0,-INT(-(J$6-$S290)/$T290))+1),0)</f>
        <v>0.0</v>
      </c>
      <c r="K290" s="97">
        <f>IF(ISNUMBER($S290),MAX(0,INT((K$6+6-$S290)/$T290)-MAX(0,-INT(-(K$6-$S290)/$T290))+1),0)</f>
        <v>0.0</v>
      </c>
      <c r="L290" s="97">
        <f>IF(ISNUMBER($S290),MAX(0,INT((L$6+6-$S290)/$T290)-MAX(0,-INT(-(L$6-$S290)/$T290))+1),0)</f>
        <v>0.0</v>
      </c>
      <c r="M290" s="97">
        <f>IF(ISNUMBER($S290),MAX(0,INT((M$6+6-$S290)/$T290)-MAX(0,-INT(-(M$6-$S290)/$T290))+1),0)</f>
        <v>0.0</v>
      </c>
      <c r="N290" s="97">
        <f>IF(ISNUMBER($S290),MAX(0,INT((N$6+6-$S290)/$T290)-MAX(0,-INT(-(N$6-$S290)/$T290))+1),0)</f>
        <v>0.0</v>
      </c>
      <c r="O290" s="97">
        <f>IF(ISNUMBER($S290),MAX(0,INT((O$6+6-$S290)/$T290)-MAX(0,-INT(-(O$6-$S290)/$T290))+1),0)</f>
        <v>0.0</v>
      </c>
      <c r="P290" s="97">
        <f>IF(ISNUMBER($S290),MAX(0,INT((P$6+6-$S290)/$T290)-MAX(0,-INT(-(P$6-$S290)/$T290))+1),0)</f>
        <v>0.0</v>
      </c>
      <c r="Q290" s="97">
        <f>IF(ISNUMBER($S290),MAX(0,INT((Q$6+6-$S290)/$T290)-MAX(0,-INT(-(Q$6-$S290)/$T290))+1),0)</f>
        <v>0.0</v>
      </c>
      <c r="R290" s="97">
        <f>IF(ISNUMBER($S290),MAX(0,INT((R$6+6-$S290)/$T290)-MAX(0,-INT(-(R$6-$S290)/$T290))+1),0)</f>
        <v>0.0</v>
      </c>
      <c r="S290" t="str">
        <f>IF(ISNUMBER(INDEX(pl_period,281)),MAX(INDEX(pl_due,281),p_today),"")</f>
        <v/>
      </c>
      <c r="T290" t="str">
        <f>IF(ISNUMBER(INDEX(pl_period,281)),INDEX(pl_period,281),"")</f>
        <v/>
      </c>
      <c r="U290">
        <f>N(INDEX(pl_dur,281))</f>
        <v>0.0</v>
      </c>
    </row>
    <row r="291">
      <c r="A291" s="93" t="str">
        <f>IF(INDEX(pl_status,282)="","",INDEX(pl_num,282)&amp;"")</f>
        <v/>
      </c>
      <c r="B291" s="93" t="str">
        <f>IF(INDEX(pl_status,282)="","",INDEX(pl_eq,282)&amp;"")</f>
        <v/>
      </c>
      <c r="C291" s="93" t="str">
        <f>IF(INDEX(pl_status,282)="","",INDEX(pl_task,282)&amp;"")</f>
        <v/>
      </c>
      <c r="D291" s="94" t="str">
        <f>IF(ISNUMBER(INDEX(pl_due,282)),INDEX(pl_due,282),"")</f>
        <v/>
      </c>
      <c r="E291" s="95" t="str">
        <f>INDEX(pl_status,282)&amp;""</f>
        <v/>
      </c>
      <c r="F291" s="96" t="str">
        <f>IF(E291="En retard","●","")</f>
        <v/>
      </c>
      <c r="G291" s="97">
        <f>IF(ISNUMBER($S291),MAX(0,INT((G$6+6-$S291)/$T291)-MAX(0,-INT(-(G$6-$S291)/$T291))+1),0)</f>
        <v>0.0</v>
      </c>
      <c r="H291" s="97">
        <f>IF(ISNUMBER($S291),MAX(0,INT((H$6+6-$S291)/$T291)-MAX(0,-INT(-(H$6-$S291)/$T291))+1),0)</f>
        <v>0.0</v>
      </c>
      <c r="I291" s="97">
        <f>IF(ISNUMBER($S291),MAX(0,INT((I$6+6-$S291)/$T291)-MAX(0,-INT(-(I$6-$S291)/$T291))+1),0)</f>
        <v>0.0</v>
      </c>
      <c r="J291" s="97">
        <f>IF(ISNUMBER($S291),MAX(0,INT((J$6+6-$S291)/$T291)-MAX(0,-INT(-(J$6-$S291)/$T291))+1),0)</f>
        <v>0.0</v>
      </c>
      <c r="K291" s="97">
        <f>IF(ISNUMBER($S291),MAX(0,INT((K$6+6-$S291)/$T291)-MAX(0,-INT(-(K$6-$S291)/$T291))+1),0)</f>
        <v>0.0</v>
      </c>
      <c r="L291" s="97">
        <f>IF(ISNUMBER($S291),MAX(0,INT((L$6+6-$S291)/$T291)-MAX(0,-INT(-(L$6-$S291)/$T291))+1),0)</f>
        <v>0.0</v>
      </c>
      <c r="M291" s="97">
        <f>IF(ISNUMBER($S291),MAX(0,INT((M$6+6-$S291)/$T291)-MAX(0,-INT(-(M$6-$S291)/$T291))+1),0)</f>
        <v>0.0</v>
      </c>
      <c r="N291" s="97">
        <f>IF(ISNUMBER($S291),MAX(0,INT((N$6+6-$S291)/$T291)-MAX(0,-INT(-(N$6-$S291)/$T291))+1),0)</f>
        <v>0.0</v>
      </c>
      <c r="O291" s="97">
        <f>IF(ISNUMBER($S291),MAX(0,INT((O$6+6-$S291)/$T291)-MAX(0,-INT(-(O$6-$S291)/$T291))+1),0)</f>
        <v>0.0</v>
      </c>
      <c r="P291" s="97">
        <f>IF(ISNUMBER($S291),MAX(0,INT((P$6+6-$S291)/$T291)-MAX(0,-INT(-(P$6-$S291)/$T291))+1),0)</f>
        <v>0.0</v>
      </c>
      <c r="Q291" s="97">
        <f>IF(ISNUMBER($S291),MAX(0,INT((Q$6+6-$S291)/$T291)-MAX(0,-INT(-(Q$6-$S291)/$T291))+1),0)</f>
        <v>0.0</v>
      </c>
      <c r="R291" s="97">
        <f>IF(ISNUMBER($S291),MAX(0,INT((R$6+6-$S291)/$T291)-MAX(0,-INT(-(R$6-$S291)/$T291))+1),0)</f>
        <v>0.0</v>
      </c>
      <c r="S291" t="str">
        <f>IF(ISNUMBER(INDEX(pl_period,282)),MAX(INDEX(pl_due,282),p_today),"")</f>
        <v/>
      </c>
      <c r="T291" t="str">
        <f>IF(ISNUMBER(INDEX(pl_period,282)),INDEX(pl_period,282),"")</f>
        <v/>
      </c>
      <c r="U291">
        <f>N(INDEX(pl_dur,282))</f>
        <v>0.0</v>
      </c>
    </row>
    <row r="292">
      <c r="A292" s="93" t="str">
        <f>IF(INDEX(pl_status,283)="","",INDEX(pl_num,283)&amp;"")</f>
        <v/>
      </c>
      <c r="B292" s="93" t="str">
        <f>IF(INDEX(pl_status,283)="","",INDEX(pl_eq,283)&amp;"")</f>
        <v/>
      </c>
      <c r="C292" s="93" t="str">
        <f>IF(INDEX(pl_status,283)="","",INDEX(pl_task,283)&amp;"")</f>
        <v/>
      </c>
      <c r="D292" s="94" t="str">
        <f>IF(ISNUMBER(INDEX(pl_due,283)),INDEX(pl_due,283),"")</f>
        <v/>
      </c>
      <c r="E292" s="95" t="str">
        <f>INDEX(pl_status,283)&amp;""</f>
        <v/>
      </c>
      <c r="F292" s="96" t="str">
        <f>IF(E292="En retard","●","")</f>
        <v/>
      </c>
      <c r="G292" s="97">
        <f>IF(ISNUMBER($S292),MAX(0,INT((G$6+6-$S292)/$T292)-MAX(0,-INT(-(G$6-$S292)/$T292))+1),0)</f>
        <v>0.0</v>
      </c>
      <c r="H292" s="97">
        <f>IF(ISNUMBER($S292),MAX(0,INT((H$6+6-$S292)/$T292)-MAX(0,-INT(-(H$6-$S292)/$T292))+1),0)</f>
        <v>0.0</v>
      </c>
      <c r="I292" s="97">
        <f>IF(ISNUMBER($S292),MAX(0,INT((I$6+6-$S292)/$T292)-MAX(0,-INT(-(I$6-$S292)/$T292))+1),0)</f>
        <v>0.0</v>
      </c>
      <c r="J292" s="97">
        <f>IF(ISNUMBER($S292),MAX(0,INT((J$6+6-$S292)/$T292)-MAX(0,-INT(-(J$6-$S292)/$T292))+1),0)</f>
        <v>0.0</v>
      </c>
      <c r="K292" s="97">
        <f>IF(ISNUMBER($S292),MAX(0,INT((K$6+6-$S292)/$T292)-MAX(0,-INT(-(K$6-$S292)/$T292))+1),0)</f>
        <v>0.0</v>
      </c>
      <c r="L292" s="97">
        <f>IF(ISNUMBER($S292),MAX(0,INT((L$6+6-$S292)/$T292)-MAX(0,-INT(-(L$6-$S292)/$T292))+1),0)</f>
        <v>0.0</v>
      </c>
      <c r="M292" s="97">
        <f>IF(ISNUMBER($S292),MAX(0,INT((M$6+6-$S292)/$T292)-MAX(0,-INT(-(M$6-$S292)/$T292))+1),0)</f>
        <v>0.0</v>
      </c>
      <c r="N292" s="97">
        <f>IF(ISNUMBER($S292),MAX(0,INT((N$6+6-$S292)/$T292)-MAX(0,-INT(-(N$6-$S292)/$T292))+1),0)</f>
        <v>0.0</v>
      </c>
      <c r="O292" s="97">
        <f>IF(ISNUMBER($S292),MAX(0,INT((O$6+6-$S292)/$T292)-MAX(0,-INT(-(O$6-$S292)/$T292))+1),0)</f>
        <v>0.0</v>
      </c>
      <c r="P292" s="97">
        <f>IF(ISNUMBER($S292),MAX(0,INT((P$6+6-$S292)/$T292)-MAX(0,-INT(-(P$6-$S292)/$T292))+1),0)</f>
        <v>0.0</v>
      </c>
      <c r="Q292" s="97">
        <f>IF(ISNUMBER($S292),MAX(0,INT((Q$6+6-$S292)/$T292)-MAX(0,-INT(-(Q$6-$S292)/$T292))+1),0)</f>
        <v>0.0</v>
      </c>
      <c r="R292" s="97">
        <f>IF(ISNUMBER($S292),MAX(0,INT((R$6+6-$S292)/$T292)-MAX(0,-INT(-(R$6-$S292)/$T292))+1),0)</f>
        <v>0.0</v>
      </c>
      <c r="S292" t="str">
        <f>IF(ISNUMBER(INDEX(pl_period,283)),MAX(INDEX(pl_due,283),p_today),"")</f>
        <v/>
      </c>
      <c r="T292" t="str">
        <f>IF(ISNUMBER(INDEX(pl_period,283)),INDEX(pl_period,283),"")</f>
        <v/>
      </c>
      <c r="U292">
        <f>N(INDEX(pl_dur,283))</f>
        <v>0.0</v>
      </c>
    </row>
    <row r="293">
      <c r="A293" s="93" t="str">
        <f>IF(INDEX(pl_status,284)="","",INDEX(pl_num,284)&amp;"")</f>
        <v/>
      </c>
      <c r="B293" s="93" t="str">
        <f>IF(INDEX(pl_status,284)="","",INDEX(pl_eq,284)&amp;"")</f>
        <v/>
      </c>
      <c r="C293" s="93" t="str">
        <f>IF(INDEX(pl_status,284)="","",INDEX(pl_task,284)&amp;"")</f>
        <v/>
      </c>
      <c r="D293" s="94" t="str">
        <f>IF(ISNUMBER(INDEX(pl_due,284)),INDEX(pl_due,284),"")</f>
        <v/>
      </c>
      <c r="E293" s="95" t="str">
        <f>INDEX(pl_status,284)&amp;""</f>
        <v/>
      </c>
      <c r="F293" s="96" t="str">
        <f>IF(E293="En retard","●","")</f>
        <v/>
      </c>
      <c r="G293" s="97">
        <f>IF(ISNUMBER($S293),MAX(0,INT((G$6+6-$S293)/$T293)-MAX(0,-INT(-(G$6-$S293)/$T293))+1),0)</f>
        <v>0.0</v>
      </c>
      <c r="H293" s="97">
        <f>IF(ISNUMBER($S293),MAX(0,INT((H$6+6-$S293)/$T293)-MAX(0,-INT(-(H$6-$S293)/$T293))+1),0)</f>
        <v>0.0</v>
      </c>
      <c r="I293" s="97">
        <f>IF(ISNUMBER($S293),MAX(0,INT((I$6+6-$S293)/$T293)-MAX(0,-INT(-(I$6-$S293)/$T293))+1),0)</f>
        <v>0.0</v>
      </c>
      <c r="J293" s="97">
        <f>IF(ISNUMBER($S293),MAX(0,INT((J$6+6-$S293)/$T293)-MAX(0,-INT(-(J$6-$S293)/$T293))+1),0)</f>
        <v>0.0</v>
      </c>
      <c r="K293" s="97">
        <f>IF(ISNUMBER($S293),MAX(0,INT((K$6+6-$S293)/$T293)-MAX(0,-INT(-(K$6-$S293)/$T293))+1),0)</f>
        <v>0.0</v>
      </c>
      <c r="L293" s="97">
        <f>IF(ISNUMBER($S293),MAX(0,INT((L$6+6-$S293)/$T293)-MAX(0,-INT(-(L$6-$S293)/$T293))+1),0)</f>
        <v>0.0</v>
      </c>
      <c r="M293" s="97">
        <f>IF(ISNUMBER($S293),MAX(0,INT((M$6+6-$S293)/$T293)-MAX(0,-INT(-(M$6-$S293)/$T293))+1),0)</f>
        <v>0.0</v>
      </c>
      <c r="N293" s="97">
        <f>IF(ISNUMBER($S293),MAX(0,INT((N$6+6-$S293)/$T293)-MAX(0,-INT(-(N$6-$S293)/$T293))+1),0)</f>
        <v>0.0</v>
      </c>
      <c r="O293" s="97">
        <f>IF(ISNUMBER($S293),MAX(0,INT((O$6+6-$S293)/$T293)-MAX(0,-INT(-(O$6-$S293)/$T293))+1),0)</f>
        <v>0.0</v>
      </c>
      <c r="P293" s="97">
        <f>IF(ISNUMBER($S293),MAX(0,INT((P$6+6-$S293)/$T293)-MAX(0,-INT(-(P$6-$S293)/$T293))+1),0)</f>
        <v>0.0</v>
      </c>
      <c r="Q293" s="97">
        <f>IF(ISNUMBER($S293),MAX(0,INT((Q$6+6-$S293)/$T293)-MAX(0,-INT(-(Q$6-$S293)/$T293))+1),0)</f>
        <v>0.0</v>
      </c>
      <c r="R293" s="97">
        <f>IF(ISNUMBER($S293),MAX(0,INT((R$6+6-$S293)/$T293)-MAX(0,-INT(-(R$6-$S293)/$T293))+1),0)</f>
        <v>0.0</v>
      </c>
      <c r="S293" t="str">
        <f>IF(ISNUMBER(INDEX(pl_period,284)),MAX(INDEX(pl_due,284),p_today),"")</f>
        <v/>
      </c>
      <c r="T293" t="str">
        <f>IF(ISNUMBER(INDEX(pl_period,284)),INDEX(pl_period,284),"")</f>
        <v/>
      </c>
      <c r="U293">
        <f>N(INDEX(pl_dur,284))</f>
        <v>0.0</v>
      </c>
    </row>
    <row r="294">
      <c r="A294" s="93" t="str">
        <f>IF(INDEX(pl_status,285)="","",INDEX(pl_num,285)&amp;"")</f>
        <v/>
      </c>
      <c r="B294" s="93" t="str">
        <f>IF(INDEX(pl_status,285)="","",INDEX(pl_eq,285)&amp;"")</f>
        <v/>
      </c>
      <c r="C294" s="93" t="str">
        <f>IF(INDEX(pl_status,285)="","",INDEX(pl_task,285)&amp;"")</f>
        <v/>
      </c>
      <c r="D294" s="94" t="str">
        <f>IF(ISNUMBER(INDEX(pl_due,285)),INDEX(pl_due,285),"")</f>
        <v/>
      </c>
      <c r="E294" s="95" t="str">
        <f>INDEX(pl_status,285)&amp;""</f>
        <v/>
      </c>
      <c r="F294" s="96" t="str">
        <f>IF(E294="En retard","●","")</f>
        <v/>
      </c>
      <c r="G294" s="97">
        <f>IF(ISNUMBER($S294),MAX(0,INT((G$6+6-$S294)/$T294)-MAX(0,-INT(-(G$6-$S294)/$T294))+1),0)</f>
        <v>0.0</v>
      </c>
      <c r="H294" s="97">
        <f>IF(ISNUMBER($S294),MAX(0,INT((H$6+6-$S294)/$T294)-MAX(0,-INT(-(H$6-$S294)/$T294))+1),0)</f>
        <v>0.0</v>
      </c>
      <c r="I294" s="97">
        <f>IF(ISNUMBER($S294),MAX(0,INT((I$6+6-$S294)/$T294)-MAX(0,-INT(-(I$6-$S294)/$T294))+1),0)</f>
        <v>0.0</v>
      </c>
      <c r="J294" s="97">
        <f>IF(ISNUMBER($S294),MAX(0,INT((J$6+6-$S294)/$T294)-MAX(0,-INT(-(J$6-$S294)/$T294))+1),0)</f>
        <v>0.0</v>
      </c>
      <c r="K294" s="97">
        <f>IF(ISNUMBER($S294),MAX(0,INT((K$6+6-$S294)/$T294)-MAX(0,-INT(-(K$6-$S294)/$T294))+1),0)</f>
        <v>0.0</v>
      </c>
      <c r="L294" s="97">
        <f>IF(ISNUMBER($S294),MAX(0,INT((L$6+6-$S294)/$T294)-MAX(0,-INT(-(L$6-$S294)/$T294))+1),0)</f>
        <v>0.0</v>
      </c>
      <c r="M294" s="97">
        <f>IF(ISNUMBER($S294),MAX(0,INT((M$6+6-$S294)/$T294)-MAX(0,-INT(-(M$6-$S294)/$T294))+1),0)</f>
        <v>0.0</v>
      </c>
      <c r="N294" s="97">
        <f>IF(ISNUMBER($S294),MAX(0,INT((N$6+6-$S294)/$T294)-MAX(0,-INT(-(N$6-$S294)/$T294))+1),0)</f>
        <v>0.0</v>
      </c>
      <c r="O294" s="97">
        <f>IF(ISNUMBER($S294),MAX(0,INT((O$6+6-$S294)/$T294)-MAX(0,-INT(-(O$6-$S294)/$T294))+1),0)</f>
        <v>0.0</v>
      </c>
      <c r="P294" s="97">
        <f>IF(ISNUMBER($S294),MAX(0,INT((P$6+6-$S294)/$T294)-MAX(0,-INT(-(P$6-$S294)/$T294))+1),0)</f>
        <v>0.0</v>
      </c>
      <c r="Q294" s="97">
        <f>IF(ISNUMBER($S294),MAX(0,INT((Q$6+6-$S294)/$T294)-MAX(0,-INT(-(Q$6-$S294)/$T294))+1),0)</f>
        <v>0.0</v>
      </c>
      <c r="R294" s="97">
        <f>IF(ISNUMBER($S294),MAX(0,INT((R$6+6-$S294)/$T294)-MAX(0,-INT(-(R$6-$S294)/$T294))+1),0)</f>
        <v>0.0</v>
      </c>
      <c r="S294" t="str">
        <f>IF(ISNUMBER(INDEX(pl_period,285)),MAX(INDEX(pl_due,285),p_today),"")</f>
        <v/>
      </c>
      <c r="T294" t="str">
        <f>IF(ISNUMBER(INDEX(pl_period,285)),INDEX(pl_period,285),"")</f>
        <v/>
      </c>
      <c r="U294">
        <f>N(INDEX(pl_dur,285))</f>
        <v>0.0</v>
      </c>
    </row>
    <row r="295">
      <c r="A295" s="93" t="str">
        <f>IF(INDEX(pl_status,286)="","",INDEX(pl_num,286)&amp;"")</f>
        <v/>
      </c>
      <c r="B295" s="93" t="str">
        <f>IF(INDEX(pl_status,286)="","",INDEX(pl_eq,286)&amp;"")</f>
        <v/>
      </c>
      <c r="C295" s="93" t="str">
        <f>IF(INDEX(pl_status,286)="","",INDEX(pl_task,286)&amp;"")</f>
        <v/>
      </c>
      <c r="D295" s="94" t="str">
        <f>IF(ISNUMBER(INDEX(pl_due,286)),INDEX(pl_due,286),"")</f>
        <v/>
      </c>
      <c r="E295" s="95" t="str">
        <f>INDEX(pl_status,286)&amp;""</f>
        <v/>
      </c>
      <c r="F295" s="96" t="str">
        <f>IF(E295="En retard","●","")</f>
        <v/>
      </c>
      <c r="G295" s="97">
        <f>IF(ISNUMBER($S295),MAX(0,INT((G$6+6-$S295)/$T295)-MAX(0,-INT(-(G$6-$S295)/$T295))+1),0)</f>
        <v>0.0</v>
      </c>
      <c r="H295" s="97">
        <f>IF(ISNUMBER($S295),MAX(0,INT((H$6+6-$S295)/$T295)-MAX(0,-INT(-(H$6-$S295)/$T295))+1),0)</f>
        <v>0.0</v>
      </c>
      <c r="I295" s="97">
        <f>IF(ISNUMBER($S295),MAX(0,INT((I$6+6-$S295)/$T295)-MAX(0,-INT(-(I$6-$S295)/$T295))+1),0)</f>
        <v>0.0</v>
      </c>
      <c r="J295" s="97">
        <f>IF(ISNUMBER($S295),MAX(0,INT((J$6+6-$S295)/$T295)-MAX(0,-INT(-(J$6-$S295)/$T295))+1),0)</f>
        <v>0.0</v>
      </c>
      <c r="K295" s="97">
        <f>IF(ISNUMBER($S295),MAX(0,INT((K$6+6-$S295)/$T295)-MAX(0,-INT(-(K$6-$S295)/$T295))+1),0)</f>
        <v>0.0</v>
      </c>
      <c r="L295" s="97">
        <f>IF(ISNUMBER($S295),MAX(0,INT((L$6+6-$S295)/$T295)-MAX(0,-INT(-(L$6-$S295)/$T295))+1),0)</f>
        <v>0.0</v>
      </c>
      <c r="M295" s="97">
        <f>IF(ISNUMBER($S295),MAX(0,INT((M$6+6-$S295)/$T295)-MAX(0,-INT(-(M$6-$S295)/$T295))+1),0)</f>
        <v>0.0</v>
      </c>
      <c r="N295" s="97">
        <f>IF(ISNUMBER($S295),MAX(0,INT((N$6+6-$S295)/$T295)-MAX(0,-INT(-(N$6-$S295)/$T295))+1),0)</f>
        <v>0.0</v>
      </c>
      <c r="O295" s="97">
        <f>IF(ISNUMBER($S295),MAX(0,INT((O$6+6-$S295)/$T295)-MAX(0,-INT(-(O$6-$S295)/$T295))+1),0)</f>
        <v>0.0</v>
      </c>
      <c r="P295" s="97">
        <f>IF(ISNUMBER($S295),MAX(0,INT((P$6+6-$S295)/$T295)-MAX(0,-INT(-(P$6-$S295)/$T295))+1),0)</f>
        <v>0.0</v>
      </c>
      <c r="Q295" s="97">
        <f>IF(ISNUMBER($S295),MAX(0,INT((Q$6+6-$S295)/$T295)-MAX(0,-INT(-(Q$6-$S295)/$T295))+1),0)</f>
        <v>0.0</v>
      </c>
      <c r="R295" s="97">
        <f>IF(ISNUMBER($S295),MAX(0,INT((R$6+6-$S295)/$T295)-MAX(0,-INT(-(R$6-$S295)/$T295))+1),0)</f>
        <v>0.0</v>
      </c>
      <c r="S295" t="str">
        <f>IF(ISNUMBER(INDEX(pl_period,286)),MAX(INDEX(pl_due,286),p_today),"")</f>
        <v/>
      </c>
      <c r="T295" t="str">
        <f>IF(ISNUMBER(INDEX(pl_period,286)),INDEX(pl_period,286),"")</f>
        <v/>
      </c>
      <c r="U295">
        <f>N(INDEX(pl_dur,286))</f>
        <v>0.0</v>
      </c>
    </row>
    <row r="296">
      <c r="A296" s="93" t="str">
        <f>IF(INDEX(pl_status,287)="","",INDEX(pl_num,287)&amp;"")</f>
        <v/>
      </c>
      <c r="B296" s="93" t="str">
        <f>IF(INDEX(pl_status,287)="","",INDEX(pl_eq,287)&amp;"")</f>
        <v/>
      </c>
      <c r="C296" s="93" t="str">
        <f>IF(INDEX(pl_status,287)="","",INDEX(pl_task,287)&amp;"")</f>
        <v/>
      </c>
      <c r="D296" s="94" t="str">
        <f>IF(ISNUMBER(INDEX(pl_due,287)),INDEX(pl_due,287),"")</f>
        <v/>
      </c>
      <c r="E296" s="95" t="str">
        <f>INDEX(pl_status,287)&amp;""</f>
        <v/>
      </c>
      <c r="F296" s="96" t="str">
        <f>IF(E296="En retard","●","")</f>
        <v/>
      </c>
      <c r="G296" s="97">
        <f>IF(ISNUMBER($S296),MAX(0,INT((G$6+6-$S296)/$T296)-MAX(0,-INT(-(G$6-$S296)/$T296))+1),0)</f>
        <v>0.0</v>
      </c>
      <c r="H296" s="97">
        <f>IF(ISNUMBER($S296),MAX(0,INT((H$6+6-$S296)/$T296)-MAX(0,-INT(-(H$6-$S296)/$T296))+1),0)</f>
        <v>0.0</v>
      </c>
      <c r="I296" s="97">
        <f>IF(ISNUMBER($S296),MAX(0,INT((I$6+6-$S296)/$T296)-MAX(0,-INT(-(I$6-$S296)/$T296))+1),0)</f>
        <v>0.0</v>
      </c>
      <c r="J296" s="97">
        <f>IF(ISNUMBER($S296),MAX(0,INT((J$6+6-$S296)/$T296)-MAX(0,-INT(-(J$6-$S296)/$T296))+1),0)</f>
        <v>0.0</v>
      </c>
      <c r="K296" s="97">
        <f>IF(ISNUMBER($S296),MAX(0,INT((K$6+6-$S296)/$T296)-MAX(0,-INT(-(K$6-$S296)/$T296))+1),0)</f>
        <v>0.0</v>
      </c>
      <c r="L296" s="97">
        <f>IF(ISNUMBER($S296),MAX(0,INT((L$6+6-$S296)/$T296)-MAX(0,-INT(-(L$6-$S296)/$T296))+1),0)</f>
        <v>0.0</v>
      </c>
      <c r="M296" s="97">
        <f>IF(ISNUMBER($S296),MAX(0,INT((M$6+6-$S296)/$T296)-MAX(0,-INT(-(M$6-$S296)/$T296))+1),0)</f>
        <v>0.0</v>
      </c>
      <c r="N296" s="97">
        <f>IF(ISNUMBER($S296),MAX(0,INT((N$6+6-$S296)/$T296)-MAX(0,-INT(-(N$6-$S296)/$T296))+1),0)</f>
        <v>0.0</v>
      </c>
      <c r="O296" s="97">
        <f>IF(ISNUMBER($S296),MAX(0,INT((O$6+6-$S296)/$T296)-MAX(0,-INT(-(O$6-$S296)/$T296))+1),0)</f>
        <v>0.0</v>
      </c>
      <c r="P296" s="97">
        <f>IF(ISNUMBER($S296),MAX(0,INT((P$6+6-$S296)/$T296)-MAX(0,-INT(-(P$6-$S296)/$T296))+1),0)</f>
        <v>0.0</v>
      </c>
      <c r="Q296" s="97">
        <f>IF(ISNUMBER($S296),MAX(0,INT((Q$6+6-$S296)/$T296)-MAX(0,-INT(-(Q$6-$S296)/$T296))+1),0)</f>
        <v>0.0</v>
      </c>
      <c r="R296" s="97">
        <f>IF(ISNUMBER($S296),MAX(0,INT((R$6+6-$S296)/$T296)-MAX(0,-INT(-(R$6-$S296)/$T296))+1),0)</f>
        <v>0.0</v>
      </c>
      <c r="S296" t="str">
        <f>IF(ISNUMBER(INDEX(pl_period,287)),MAX(INDEX(pl_due,287),p_today),"")</f>
        <v/>
      </c>
      <c r="T296" t="str">
        <f>IF(ISNUMBER(INDEX(pl_period,287)),INDEX(pl_period,287),"")</f>
        <v/>
      </c>
      <c r="U296">
        <f>N(INDEX(pl_dur,287))</f>
        <v>0.0</v>
      </c>
    </row>
    <row r="297">
      <c r="A297" s="93" t="str">
        <f>IF(INDEX(pl_status,288)="","",INDEX(pl_num,288)&amp;"")</f>
        <v/>
      </c>
      <c r="B297" s="93" t="str">
        <f>IF(INDEX(pl_status,288)="","",INDEX(pl_eq,288)&amp;"")</f>
        <v/>
      </c>
      <c r="C297" s="93" t="str">
        <f>IF(INDEX(pl_status,288)="","",INDEX(pl_task,288)&amp;"")</f>
        <v/>
      </c>
      <c r="D297" s="94" t="str">
        <f>IF(ISNUMBER(INDEX(pl_due,288)),INDEX(pl_due,288),"")</f>
        <v/>
      </c>
      <c r="E297" s="95" t="str">
        <f>INDEX(pl_status,288)&amp;""</f>
        <v/>
      </c>
      <c r="F297" s="96" t="str">
        <f>IF(E297="En retard","●","")</f>
        <v/>
      </c>
      <c r="G297" s="97">
        <f>IF(ISNUMBER($S297),MAX(0,INT((G$6+6-$S297)/$T297)-MAX(0,-INT(-(G$6-$S297)/$T297))+1),0)</f>
        <v>0.0</v>
      </c>
      <c r="H297" s="97">
        <f>IF(ISNUMBER($S297),MAX(0,INT((H$6+6-$S297)/$T297)-MAX(0,-INT(-(H$6-$S297)/$T297))+1),0)</f>
        <v>0.0</v>
      </c>
      <c r="I297" s="97">
        <f>IF(ISNUMBER($S297),MAX(0,INT((I$6+6-$S297)/$T297)-MAX(0,-INT(-(I$6-$S297)/$T297))+1),0)</f>
        <v>0.0</v>
      </c>
      <c r="J297" s="97">
        <f>IF(ISNUMBER($S297),MAX(0,INT((J$6+6-$S297)/$T297)-MAX(0,-INT(-(J$6-$S297)/$T297))+1),0)</f>
        <v>0.0</v>
      </c>
      <c r="K297" s="97">
        <f>IF(ISNUMBER($S297),MAX(0,INT((K$6+6-$S297)/$T297)-MAX(0,-INT(-(K$6-$S297)/$T297))+1),0)</f>
        <v>0.0</v>
      </c>
      <c r="L297" s="97">
        <f>IF(ISNUMBER($S297),MAX(0,INT((L$6+6-$S297)/$T297)-MAX(0,-INT(-(L$6-$S297)/$T297))+1),0)</f>
        <v>0.0</v>
      </c>
      <c r="M297" s="97">
        <f>IF(ISNUMBER($S297),MAX(0,INT((M$6+6-$S297)/$T297)-MAX(0,-INT(-(M$6-$S297)/$T297))+1),0)</f>
        <v>0.0</v>
      </c>
      <c r="N297" s="97">
        <f>IF(ISNUMBER($S297),MAX(0,INT((N$6+6-$S297)/$T297)-MAX(0,-INT(-(N$6-$S297)/$T297))+1),0)</f>
        <v>0.0</v>
      </c>
      <c r="O297" s="97">
        <f>IF(ISNUMBER($S297),MAX(0,INT((O$6+6-$S297)/$T297)-MAX(0,-INT(-(O$6-$S297)/$T297))+1),0)</f>
        <v>0.0</v>
      </c>
      <c r="P297" s="97">
        <f>IF(ISNUMBER($S297),MAX(0,INT((P$6+6-$S297)/$T297)-MAX(0,-INT(-(P$6-$S297)/$T297))+1),0)</f>
        <v>0.0</v>
      </c>
      <c r="Q297" s="97">
        <f>IF(ISNUMBER($S297),MAX(0,INT((Q$6+6-$S297)/$T297)-MAX(0,-INT(-(Q$6-$S297)/$T297))+1),0)</f>
        <v>0.0</v>
      </c>
      <c r="R297" s="97">
        <f>IF(ISNUMBER($S297),MAX(0,INT((R$6+6-$S297)/$T297)-MAX(0,-INT(-(R$6-$S297)/$T297))+1),0)</f>
        <v>0.0</v>
      </c>
      <c r="S297" t="str">
        <f>IF(ISNUMBER(INDEX(pl_period,288)),MAX(INDEX(pl_due,288),p_today),"")</f>
        <v/>
      </c>
      <c r="T297" t="str">
        <f>IF(ISNUMBER(INDEX(pl_period,288)),INDEX(pl_period,288),"")</f>
        <v/>
      </c>
      <c r="U297">
        <f>N(INDEX(pl_dur,288))</f>
        <v>0.0</v>
      </c>
    </row>
    <row r="298">
      <c r="A298" s="93" t="str">
        <f>IF(INDEX(pl_status,289)="","",INDEX(pl_num,289)&amp;"")</f>
        <v/>
      </c>
      <c r="B298" s="93" t="str">
        <f>IF(INDEX(pl_status,289)="","",INDEX(pl_eq,289)&amp;"")</f>
        <v/>
      </c>
      <c r="C298" s="93" t="str">
        <f>IF(INDEX(pl_status,289)="","",INDEX(pl_task,289)&amp;"")</f>
        <v/>
      </c>
      <c r="D298" s="94" t="str">
        <f>IF(ISNUMBER(INDEX(pl_due,289)),INDEX(pl_due,289),"")</f>
        <v/>
      </c>
      <c r="E298" s="95" t="str">
        <f>INDEX(pl_status,289)&amp;""</f>
        <v/>
      </c>
      <c r="F298" s="96" t="str">
        <f>IF(E298="En retard","●","")</f>
        <v/>
      </c>
      <c r="G298" s="97">
        <f>IF(ISNUMBER($S298),MAX(0,INT((G$6+6-$S298)/$T298)-MAX(0,-INT(-(G$6-$S298)/$T298))+1),0)</f>
        <v>0.0</v>
      </c>
      <c r="H298" s="97">
        <f>IF(ISNUMBER($S298),MAX(0,INT((H$6+6-$S298)/$T298)-MAX(0,-INT(-(H$6-$S298)/$T298))+1),0)</f>
        <v>0.0</v>
      </c>
      <c r="I298" s="97">
        <f>IF(ISNUMBER($S298),MAX(0,INT((I$6+6-$S298)/$T298)-MAX(0,-INT(-(I$6-$S298)/$T298))+1),0)</f>
        <v>0.0</v>
      </c>
      <c r="J298" s="97">
        <f>IF(ISNUMBER($S298),MAX(0,INT((J$6+6-$S298)/$T298)-MAX(0,-INT(-(J$6-$S298)/$T298))+1),0)</f>
        <v>0.0</v>
      </c>
      <c r="K298" s="97">
        <f>IF(ISNUMBER($S298),MAX(0,INT((K$6+6-$S298)/$T298)-MAX(0,-INT(-(K$6-$S298)/$T298))+1),0)</f>
        <v>0.0</v>
      </c>
      <c r="L298" s="97">
        <f>IF(ISNUMBER($S298),MAX(0,INT((L$6+6-$S298)/$T298)-MAX(0,-INT(-(L$6-$S298)/$T298))+1),0)</f>
        <v>0.0</v>
      </c>
      <c r="M298" s="97">
        <f>IF(ISNUMBER($S298),MAX(0,INT((M$6+6-$S298)/$T298)-MAX(0,-INT(-(M$6-$S298)/$T298))+1),0)</f>
        <v>0.0</v>
      </c>
      <c r="N298" s="97">
        <f>IF(ISNUMBER($S298),MAX(0,INT((N$6+6-$S298)/$T298)-MAX(0,-INT(-(N$6-$S298)/$T298))+1),0)</f>
        <v>0.0</v>
      </c>
      <c r="O298" s="97">
        <f>IF(ISNUMBER($S298),MAX(0,INT((O$6+6-$S298)/$T298)-MAX(0,-INT(-(O$6-$S298)/$T298))+1),0)</f>
        <v>0.0</v>
      </c>
      <c r="P298" s="97">
        <f>IF(ISNUMBER($S298),MAX(0,INT((P$6+6-$S298)/$T298)-MAX(0,-INT(-(P$6-$S298)/$T298))+1),0)</f>
        <v>0.0</v>
      </c>
      <c r="Q298" s="97">
        <f>IF(ISNUMBER($S298),MAX(0,INT((Q$6+6-$S298)/$T298)-MAX(0,-INT(-(Q$6-$S298)/$T298))+1),0)</f>
        <v>0.0</v>
      </c>
      <c r="R298" s="97">
        <f>IF(ISNUMBER($S298),MAX(0,INT((R$6+6-$S298)/$T298)-MAX(0,-INT(-(R$6-$S298)/$T298))+1),0)</f>
        <v>0.0</v>
      </c>
      <c r="S298" t="str">
        <f>IF(ISNUMBER(INDEX(pl_period,289)),MAX(INDEX(pl_due,289),p_today),"")</f>
        <v/>
      </c>
      <c r="T298" t="str">
        <f>IF(ISNUMBER(INDEX(pl_period,289)),INDEX(pl_period,289),"")</f>
        <v/>
      </c>
      <c r="U298">
        <f>N(INDEX(pl_dur,289))</f>
        <v>0.0</v>
      </c>
    </row>
    <row r="299">
      <c r="A299" s="93" t="str">
        <f>IF(INDEX(pl_status,290)="","",INDEX(pl_num,290)&amp;"")</f>
        <v/>
      </c>
      <c r="B299" s="93" t="str">
        <f>IF(INDEX(pl_status,290)="","",INDEX(pl_eq,290)&amp;"")</f>
        <v/>
      </c>
      <c r="C299" s="93" t="str">
        <f>IF(INDEX(pl_status,290)="","",INDEX(pl_task,290)&amp;"")</f>
        <v/>
      </c>
      <c r="D299" s="94" t="str">
        <f>IF(ISNUMBER(INDEX(pl_due,290)),INDEX(pl_due,290),"")</f>
        <v/>
      </c>
      <c r="E299" s="95" t="str">
        <f>INDEX(pl_status,290)&amp;""</f>
        <v/>
      </c>
      <c r="F299" s="96" t="str">
        <f>IF(E299="En retard","●","")</f>
        <v/>
      </c>
      <c r="G299" s="97">
        <f>IF(ISNUMBER($S299),MAX(0,INT((G$6+6-$S299)/$T299)-MAX(0,-INT(-(G$6-$S299)/$T299))+1),0)</f>
        <v>0.0</v>
      </c>
      <c r="H299" s="97">
        <f>IF(ISNUMBER($S299),MAX(0,INT((H$6+6-$S299)/$T299)-MAX(0,-INT(-(H$6-$S299)/$T299))+1),0)</f>
        <v>0.0</v>
      </c>
      <c r="I299" s="97">
        <f>IF(ISNUMBER($S299),MAX(0,INT((I$6+6-$S299)/$T299)-MAX(0,-INT(-(I$6-$S299)/$T299))+1),0)</f>
        <v>0.0</v>
      </c>
      <c r="J299" s="97">
        <f>IF(ISNUMBER($S299),MAX(0,INT((J$6+6-$S299)/$T299)-MAX(0,-INT(-(J$6-$S299)/$T299))+1),0)</f>
        <v>0.0</v>
      </c>
      <c r="K299" s="97">
        <f>IF(ISNUMBER($S299),MAX(0,INT((K$6+6-$S299)/$T299)-MAX(0,-INT(-(K$6-$S299)/$T299))+1),0)</f>
        <v>0.0</v>
      </c>
      <c r="L299" s="97">
        <f>IF(ISNUMBER($S299),MAX(0,INT((L$6+6-$S299)/$T299)-MAX(0,-INT(-(L$6-$S299)/$T299))+1),0)</f>
        <v>0.0</v>
      </c>
      <c r="M299" s="97">
        <f>IF(ISNUMBER($S299),MAX(0,INT((M$6+6-$S299)/$T299)-MAX(0,-INT(-(M$6-$S299)/$T299))+1),0)</f>
        <v>0.0</v>
      </c>
      <c r="N299" s="97">
        <f>IF(ISNUMBER($S299),MAX(0,INT((N$6+6-$S299)/$T299)-MAX(0,-INT(-(N$6-$S299)/$T299))+1),0)</f>
        <v>0.0</v>
      </c>
      <c r="O299" s="97">
        <f>IF(ISNUMBER($S299),MAX(0,INT((O$6+6-$S299)/$T299)-MAX(0,-INT(-(O$6-$S299)/$T299))+1),0)</f>
        <v>0.0</v>
      </c>
      <c r="P299" s="97">
        <f>IF(ISNUMBER($S299),MAX(0,INT((P$6+6-$S299)/$T299)-MAX(0,-INT(-(P$6-$S299)/$T299))+1),0)</f>
        <v>0.0</v>
      </c>
      <c r="Q299" s="97">
        <f>IF(ISNUMBER($S299),MAX(0,INT((Q$6+6-$S299)/$T299)-MAX(0,-INT(-(Q$6-$S299)/$T299))+1),0)</f>
        <v>0.0</v>
      </c>
      <c r="R299" s="97">
        <f>IF(ISNUMBER($S299),MAX(0,INT((R$6+6-$S299)/$T299)-MAX(0,-INT(-(R$6-$S299)/$T299))+1),0)</f>
        <v>0.0</v>
      </c>
      <c r="S299" t="str">
        <f>IF(ISNUMBER(INDEX(pl_period,290)),MAX(INDEX(pl_due,290),p_today),"")</f>
        <v/>
      </c>
      <c r="T299" t="str">
        <f>IF(ISNUMBER(INDEX(pl_period,290)),INDEX(pl_period,290),"")</f>
        <v/>
      </c>
      <c r="U299">
        <f>N(INDEX(pl_dur,290))</f>
        <v>0.0</v>
      </c>
    </row>
    <row r="300">
      <c r="A300" s="93" t="str">
        <f>IF(INDEX(pl_status,291)="","",INDEX(pl_num,291)&amp;"")</f>
        <v/>
      </c>
      <c r="B300" s="93" t="str">
        <f>IF(INDEX(pl_status,291)="","",INDEX(pl_eq,291)&amp;"")</f>
        <v/>
      </c>
      <c r="C300" s="93" t="str">
        <f>IF(INDEX(pl_status,291)="","",INDEX(pl_task,291)&amp;"")</f>
        <v/>
      </c>
      <c r="D300" s="94" t="str">
        <f>IF(ISNUMBER(INDEX(pl_due,291)),INDEX(pl_due,291),"")</f>
        <v/>
      </c>
      <c r="E300" s="95" t="str">
        <f>INDEX(pl_status,291)&amp;""</f>
        <v/>
      </c>
      <c r="F300" s="96" t="str">
        <f>IF(E300="En retard","●","")</f>
        <v/>
      </c>
      <c r="G300" s="97">
        <f>IF(ISNUMBER($S300),MAX(0,INT((G$6+6-$S300)/$T300)-MAX(0,-INT(-(G$6-$S300)/$T300))+1),0)</f>
        <v>0.0</v>
      </c>
      <c r="H300" s="97">
        <f>IF(ISNUMBER($S300),MAX(0,INT((H$6+6-$S300)/$T300)-MAX(0,-INT(-(H$6-$S300)/$T300))+1),0)</f>
        <v>0.0</v>
      </c>
      <c r="I300" s="97">
        <f>IF(ISNUMBER($S300),MAX(0,INT((I$6+6-$S300)/$T300)-MAX(0,-INT(-(I$6-$S300)/$T300))+1),0)</f>
        <v>0.0</v>
      </c>
      <c r="J300" s="97">
        <f>IF(ISNUMBER($S300),MAX(0,INT((J$6+6-$S300)/$T300)-MAX(0,-INT(-(J$6-$S300)/$T300))+1),0)</f>
        <v>0.0</v>
      </c>
      <c r="K300" s="97">
        <f>IF(ISNUMBER($S300),MAX(0,INT((K$6+6-$S300)/$T300)-MAX(0,-INT(-(K$6-$S300)/$T300))+1),0)</f>
        <v>0.0</v>
      </c>
      <c r="L300" s="97">
        <f>IF(ISNUMBER($S300),MAX(0,INT((L$6+6-$S300)/$T300)-MAX(0,-INT(-(L$6-$S300)/$T300))+1),0)</f>
        <v>0.0</v>
      </c>
      <c r="M300" s="97">
        <f>IF(ISNUMBER($S300),MAX(0,INT((M$6+6-$S300)/$T300)-MAX(0,-INT(-(M$6-$S300)/$T300))+1),0)</f>
        <v>0.0</v>
      </c>
      <c r="N300" s="97">
        <f>IF(ISNUMBER($S300),MAX(0,INT((N$6+6-$S300)/$T300)-MAX(0,-INT(-(N$6-$S300)/$T300))+1),0)</f>
        <v>0.0</v>
      </c>
      <c r="O300" s="97">
        <f>IF(ISNUMBER($S300),MAX(0,INT((O$6+6-$S300)/$T300)-MAX(0,-INT(-(O$6-$S300)/$T300))+1),0)</f>
        <v>0.0</v>
      </c>
      <c r="P300" s="97">
        <f>IF(ISNUMBER($S300),MAX(0,INT((P$6+6-$S300)/$T300)-MAX(0,-INT(-(P$6-$S300)/$T300))+1),0)</f>
        <v>0.0</v>
      </c>
      <c r="Q300" s="97">
        <f>IF(ISNUMBER($S300),MAX(0,INT((Q$6+6-$S300)/$T300)-MAX(0,-INT(-(Q$6-$S300)/$T300))+1),0)</f>
        <v>0.0</v>
      </c>
      <c r="R300" s="97">
        <f>IF(ISNUMBER($S300),MAX(0,INT((R$6+6-$S300)/$T300)-MAX(0,-INT(-(R$6-$S300)/$T300))+1),0)</f>
        <v>0.0</v>
      </c>
      <c r="S300" t="str">
        <f>IF(ISNUMBER(INDEX(pl_period,291)),MAX(INDEX(pl_due,291),p_today),"")</f>
        <v/>
      </c>
      <c r="T300" t="str">
        <f>IF(ISNUMBER(INDEX(pl_period,291)),INDEX(pl_period,291),"")</f>
        <v/>
      </c>
      <c r="U300">
        <f>N(INDEX(pl_dur,291))</f>
        <v>0.0</v>
      </c>
    </row>
    <row r="301">
      <c r="A301" s="93" t="str">
        <f>IF(INDEX(pl_status,292)="","",INDEX(pl_num,292)&amp;"")</f>
        <v/>
      </c>
      <c r="B301" s="93" t="str">
        <f>IF(INDEX(pl_status,292)="","",INDEX(pl_eq,292)&amp;"")</f>
        <v/>
      </c>
      <c r="C301" s="93" t="str">
        <f>IF(INDEX(pl_status,292)="","",INDEX(pl_task,292)&amp;"")</f>
        <v/>
      </c>
      <c r="D301" s="94" t="str">
        <f>IF(ISNUMBER(INDEX(pl_due,292)),INDEX(pl_due,292),"")</f>
        <v/>
      </c>
      <c r="E301" s="95" t="str">
        <f>INDEX(pl_status,292)&amp;""</f>
        <v/>
      </c>
      <c r="F301" s="96" t="str">
        <f>IF(E301="En retard","●","")</f>
        <v/>
      </c>
      <c r="G301" s="97">
        <f>IF(ISNUMBER($S301),MAX(0,INT((G$6+6-$S301)/$T301)-MAX(0,-INT(-(G$6-$S301)/$T301))+1),0)</f>
        <v>0.0</v>
      </c>
      <c r="H301" s="97">
        <f>IF(ISNUMBER($S301),MAX(0,INT((H$6+6-$S301)/$T301)-MAX(0,-INT(-(H$6-$S301)/$T301))+1),0)</f>
        <v>0.0</v>
      </c>
      <c r="I301" s="97">
        <f>IF(ISNUMBER($S301),MAX(0,INT((I$6+6-$S301)/$T301)-MAX(0,-INT(-(I$6-$S301)/$T301))+1),0)</f>
        <v>0.0</v>
      </c>
      <c r="J301" s="97">
        <f>IF(ISNUMBER($S301),MAX(0,INT((J$6+6-$S301)/$T301)-MAX(0,-INT(-(J$6-$S301)/$T301))+1),0)</f>
        <v>0.0</v>
      </c>
      <c r="K301" s="97">
        <f>IF(ISNUMBER($S301),MAX(0,INT((K$6+6-$S301)/$T301)-MAX(0,-INT(-(K$6-$S301)/$T301))+1),0)</f>
        <v>0.0</v>
      </c>
      <c r="L301" s="97">
        <f>IF(ISNUMBER($S301),MAX(0,INT((L$6+6-$S301)/$T301)-MAX(0,-INT(-(L$6-$S301)/$T301))+1),0)</f>
        <v>0.0</v>
      </c>
      <c r="M301" s="97">
        <f>IF(ISNUMBER($S301),MAX(0,INT((M$6+6-$S301)/$T301)-MAX(0,-INT(-(M$6-$S301)/$T301))+1),0)</f>
        <v>0.0</v>
      </c>
      <c r="N301" s="97">
        <f>IF(ISNUMBER($S301),MAX(0,INT((N$6+6-$S301)/$T301)-MAX(0,-INT(-(N$6-$S301)/$T301))+1),0)</f>
        <v>0.0</v>
      </c>
      <c r="O301" s="97">
        <f>IF(ISNUMBER($S301),MAX(0,INT((O$6+6-$S301)/$T301)-MAX(0,-INT(-(O$6-$S301)/$T301))+1),0)</f>
        <v>0.0</v>
      </c>
      <c r="P301" s="97">
        <f>IF(ISNUMBER($S301),MAX(0,INT((P$6+6-$S301)/$T301)-MAX(0,-INT(-(P$6-$S301)/$T301))+1),0)</f>
        <v>0.0</v>
      </c>
      <c r="Q301" s="97">
        <f>IF(ISNUMBER($S301),MAX(0,INT((Q$6+6-$S301)/$T301)-MAX(0,-INT(-(Q$6-$S301)/$T301))+1),0)</f>
        <v>0.0</v>
      </c>
      <c r="R301" s="97">
        <f>IF(ISNUMBER($S301),MAX(0,INT((R$6+6-$S301)/$T301)-MAX(0,-INT(-(R$6-$S301)/$T301))+1),0)</f>
        <v>0.0</v>
      </c>
      <c r="S301" t="str">
        <f>IF(ISNUMBER(INDEX(pl_period,292)),MAX(INDEX(pl_due,292),p_today),"")</f>
        <v/>
      </c>
      <c r="T301" t="str">
        <f>IF(ISNUMBER(INDEX(pl_period,292)),INDEX(pl_period,292),"")</f>
        <v/>
      </c>
      <c r="U301">
        <f>N(INDEX(pl_dur,292))</f>
        <v>0.0</v>
      </c>
    </row>
    <row r="302">
      <c r="A302" s="93" t="str">
        <f>IF(INDEX(pl_status,293)="","",INDEX(pl_num,293)&amp;"")</f>
        <v/>
      </c>
      <c r="B302" s="93" t="str">
        <f>IF(INDEX(pl_status,293)="","",INDEX(pl_eq,293)&amp;"")</f>
        <v/>
      </c>
      <c r="C302" s="93" t="str">
        <f>IF(INDEX(pl_status,293)="","",INDEX(pl_task,293)&amp;"")</f>
        <v/>
      </c>
      <c r="D302" s="94" t="str">
        <f>IF(ISNUMBER(INDEX(pl_due,293)),INDEX(pl_due,293),"")</f>
        <v/>
      </c>
      <c r="E302" s="95" t="str">
        <f>INDEX(pl_status,293)&amp;""</f>
        <v/>
      </c>
      <c r="F302" s="96" t="str">
        <f>IF(E302="En retard","●","")</f>
        <v/>
      </c>
      <c r="G302" s="97">
        <f>IF(ISNUMBER($S302),MAX(0,INT((G$6+6-$S302)/$T302)-MAX(0,-INT(-(G$6-$S302)/$T302))+1),0)</f>
        <v>0.0</v>
      </c>
      <c r="H302" s="97">
        <f>IF(ISNUMBER($S302),MAX(0,INT((H$6+6-$S302)/$T302)-MAX(0,-INT(-(H$6-$S302)/$T302))+1),0)</f>
        <v>0.0</v>
      </c>
      <c r="I302" s="97">
        <f>IF(ISNUMBER($S302),MAX(0,INT((I$6+6-$S302)/$T302)-MAX(0,-INT(-(I$6-$S302)/$T302))+1),0)</f>
        <v>0.0</v>
      </c>
      <c r="J302" s="97">
        <f>IF(ISNUMBER($S302),MAX(0,INT((J$6+6-$S302)/$T302)-MAX(0,-INT(-(J$6-$S302)/$T302))+1),0)</f>
        <v>0.0</v>
      </c>
      <c r="K302" s="97">
        <f>IF(ISNUMBER($S302),MAX(0,INT((K$6+6-$S302)/$T302)-MAX(0,-INT(-(K$6-$S302)/$T302))+1),0)</f>
        <v>0.0</v>
      </c>
      <c r="L302" s="97">
        <f>IF(ISNUMBER($S302),MAX(0,INT((L$6+6-$S302)/$T302)-MAX(0,-INT(-(L$6-$S302)/$T302))+1),0)</f>
        <v>0.0</v>
      </c>
      <c r="M302" s="97">
        <f>IF(ISNUMBER($S302),MAX(0,INT((M$6+6-$S302)/$T302)-MAX(0,-INT(-(M$6-$S302)/$T302))+1),0)</f>
        <v>0.0</v>
      </c>
      <c r="N302" s="97">
        <f>IF(ISNUMBER($S302),MAX(0,INT((N$6+6-$S302)/$T302)-MAX(0,-INT(-(N$6-$S302)/$T302))+1),0)</f>
        <v>0.0</v>
      </c>
      <c r="O302" s="97">
        <f>IF(ISNUMBER($S302),MAX(0,INT((O$6+6-$S302)/$T302)-MAX(0,-INT(-(O$6-$S302)/$T302))+1),0)</f>
        <v>0.0</v>
      </c>
      <c r="P302" s="97">
        <f>IF(ISNUMBER($S302),MAX(0,INT((P$6+6-$S302)/$T302)-MAX(0,-INT(-(P$6-$S302)/$T302))+1),0)</f>
        <v>0.0</v>
      </c>
      <c r="Q302" s="97">
        <f>IF(ISNUMBER($S302),MAX(0,INT((Q$6+6-$S302)/$T302)-MAX(0,-INT(-(Q$6-$S302)/$T302))+1),0)</f>
        <v>0.0</v>
      </c>
      <c r="R302" s="97">
        <f>IF(ISNUMBER($S302),MAX(0,INT((R$6+6-$S302)/$T302)-MAX(0,-INT(-(R$6-$S302)/$T302))+1),0)</f>
        <v>0.0</v>
      </c>
      <c r="S302" t="str">
        <f>IF(ISNUMBER(INDEX(pl_period,293)),MAX(INDEX(pl_due,293),p_today),"")</f>
        <v/>
      </c>
      <c r="T302" t="str">
        <f>IF(ISNUMBER(INDEX(pl_period,293)),INDEX(pl_period,293),"")</f>
        <v/>
      </c>
      <c r="U302">
        <f>N(INDEX(pl_dur,293))</f>
        <v>0.0</v>
      </c>
    </row>
    <row r="303">
      <c r="A303" s="93" t="str">
        <f>IF(INDEX(pl_status,294)="","",INDEX(pl_num,294)&amp;"")</f>
        <v/>
      </c>
      <c r="B303" s="93" t="str">
        <f>IF(INDEX(pl_status,294)="","",INDEX(pl_eq,294)&amp;"")</f>
        <v/>
      </c>
      <c r="C303" s="93" t="str">
        <f>IF(INDEX(pl_status,294)="","",INDEX(pl_task,294)&amp;"")</f>
        <v/>
      </c>
      <c r="D303" s="94" t="str">
        <f>IF(ISNUMBER(INDEX(pl_due,294)),INDEX(pl_due,294),"")</f>
        <v/>
      </c>
      <c r="E303" s="95" t="str">
        <f>INDEX(pl_status,294)&amp;""</f>
        <v/>
      </c>
      <c r="F303" s="96" t="str">
        <f>IF(E303="En retard","●","")</f>
        <v/>
      </c>
      <c r="G303" s="97">
        <f>IF(ISNUMBER($S303),MAX(0,INT((G$6+6-$S303)/$T303)-MAX(0,-INT(-(G$6-$S303)/$T303))+1),0)</f>
        <v>0.0</v>
      </c>
      <c r="H303" s="97">
        <f>IF(ISNUMBER($S303),MAX(0,INT((H$6+6-$S303)/$T303)-MAX(0,-INT(-(H$6-$S303)/$T303))+1),0)</f>
        <v>0.0</v>
      </c>
      <c r="I303" s="97">
        <f>IF(ISNUMBER($S303),MAX(0,INT((I$6+6-$S303)/$T303)-MAX(0,-INT(-(I$6-$S303)/$T303))+1),0)</f>
        <v>0.0</v>
      </c>
      <c r="J303" s="97">
        <f>IF(ISNUMBER($S303),MAX(0,INT((J$6+6-$S303)/$T303)-MAX(0,-INT(-(J$6-$S303)/$T303))+1),0)</f>
        <v>0.0</v>
      </c>
      <c r="K303" s="97">
        <f>IF(ISNUMBER($S303),MAX(0,INT((K$6+6-$S303)/$T303)-MAX(0,-INT(-(K$6-$S303)/$T303))+1),0)</f>
        <v>0.0</v>
      </c>
      <c r="L303" s="97">
        <f>IF(ISNUMBER($S303),MAX(0,INT((L$6+6-$S303)/$T303)-MAX(0,-INT(-(L$6-$S303)/$T303))+1),0)</f>
        <v>0.0</v>
      </c>
      <c r="M303" s="97">
        <f>IF(ISNUMBER($S303),MAX(0,INT((M$6+6-$S303)/$T303)-MAX(0,-INT(-(M$6-$S303)/$T303))+1),0)</f>
        <v>0.0</v>
      </c>
      <c r="N303" s="97">
        <f>IF(ISNUMBER($S303),MAX(0,INT((N$6+6-$S303)/$T303)-MAX(0,-INT(-(N$6-$S303)/$T303))+1),0)</f>
        <v>0.0</v>
      </c>
      <c r="O303" s="97">
        <f>IF(ISNUMBER($S303),MAX(0,INT((O$6+6-$S303)/$T303)-MAX(0,-INT(-(O$6-$S303)/$T303))+1),0)</f>
        <v>0.0</v>
      </c>
      <c r="P303" s="97">
        <f>IF(ISNUMBER($S303),MAX(0,INT((P$6+6-$S303)/$T303)-MAX(0,-INT(-(P$6-$S303)/$T303))+1),0)</f>
        <v>0.0</v>
      </c>
      <c r="Q303" s="97">
        <f>IF(ISNUMBER($S303),MAX(0,INT((Q$6+6-$S303)/$T303)-MAX(0,-INT(-(Q$6-$S303)/$T303))+1),0)</f>
        <v>0.0</v>
      </c>
      <c r="R303" s="97">
        <f>IF(ISNUMBER($S303),MAX(0,INT((R$6+6-$S303)/$T303)-MAX(0,-INT(-(R$6-$S303)/$T303))+1),0)</f>
        <v>0.0</v>
      </c>
      <c r="S303" t="str">
        <f>IF(ISNUMBER(INDEX(pl_period,294)),MAX(INDEX(pl_due,294),p_today),"")</f>
        <v/>
      </c>
      <c r="T303" t="str">
        <f>IF(ISNUMBER(INDEX(pl_period,294)),INDEX(pl_period,294),"")</f>
        <v/>
      </c>
      <c r="U303">
        <f>N(INDEX(pl_dur,294))</f>
        <v>0.0</v>
      </c>
    </row>
    <row r="304">
      <c r="A304" s="93" t="str">
        <f>IF(INDEX(pl_status,295)="","",INDEX(pl_num,295)&amp;"")</f>
        <v/>
      </c>
      <c r="B304" s="93" t="str">
        <f>IF(INDEX(pl_status,295)="","",INDEX(pl_eq,295)&amp;"")</f>
        <v/>
      </c>
      <c r="C304" s="93" t="str">
        <f>IF(INDEX(pl_status,295)="","",INDEX(pl_task,295)&amp;"")</f>
        <v/>
      </c>
      <c r="D304" s="94" t="str">
        <f>IF(ISNUMBER(INDEX(pl_due,295)),INDEX(pl_due,295),"")</f>
        <v/>
      </c>
      <c r="E304" s="95" t="str">
        <f>INDEX(pl_status,295)&amp;""</f>
        <v/>
      </c>
      <c r="F304" s="96" t="str">
        <f>IF(E304="En retard","●","")</f>
        <v/>
      </c>
      <c r="G304" s="97">
        <f>IF(ISNUMBER($S304),MAX(0,INT((G$6+6-$S304)/$T304)-MAX(0,-INT(-(G$6-$S304)/$T304))+1),0)</f>
        <v>0.0</v>
      </c>
      <c r="H304" s="97">
        <f>IF(ISNUMBER($S304),MAX(0,INT((H$6+6-$S304)/$T304)-MAX(0,-INT(-(H$6-$S304)/$T304))+1),0)</f>
        <v>0.0</v>
      </c>
      <c r="I304" s="97">
        <f>IF(ISNUMBER($S304),MAX(0,INT((I$6+6-$S304)/$T304)-MAX(0,-INT(-(I$6-$S304)/$T304))+1),0)</f>
        <v>0.0</v>
      </c>
      <c r="J304" s="97">
        <f>IF(ISNUMBER($S304),MAX(0,INT((J$6+6-$S304)/$T304)-MAX(0,-INT(-(J$6-$S304)/$T304))+1),0)</f>
        <v>0.0</v>
      </c>
      <c r="K304" s="97">
        <f>IF(ISNUMBER($S304),MAX(0,INT((K$6+6-$S304)/$T304)-MAX(0,-INT(-(K$6-$S304)/$T304))+1),0)</f>
        <v>0.0</v>
      </c>
      <c r="L304" s="97">
        <f>IF(ISNUMBER($S304),MAX(0,INT((L$6+6-$S304)/$T304)-MAX(0,-INT(-(L$6-$S304)/$T304))+1),0)</f>
        <v>0.0</v>
      </c>
      <c r="M304" s="97">
        <f>IF(ISNUMBER($S304),MAX(0,INT((M$6+6-$S304)/$T304)-MAX(0,-INT(-(M$6-$S304)/$T304))+1),0)</f>
        <v>0.0</v>
      </c>
      <c r="N304" s="97">
        <f>IF(ISNUMBER($S304),MAX(0,INT((N$6+6-$S304)/$T304)-MAX(0,-INT(-(N$6-$S304)/$T304))+1),0)</f>
        <v>0.0</v>
      </c>
      <c r="O304" s="97">
        <f>IF(ISNUMBER($S304),MAX(0,INT((O$6+6-$S304)/$T304)-MAX(0,-INT(-(O$6-$S304)/$T304))+1),0)</f>
        <v>0.0</v>
      </c>
      <c r="P304" s="97">
        <f>IF(ISNUMBER($S304),MAX(0,INT((P$6+6-$S304)/$T304)-MAX(0,-INT(-(P$6-$S304)/$T304))+1),0)</f>
        <v>0.0</v>
      </c>
      <c r="Q304" s="97">
        <f>IF(ISNUMBER($S304),MAX(0,INT((Q$6+6-$S304)/$T304)-MAX(0,-INT(-(Q$6-$S304)/$T304))+1),0)</f>
        <v>0.0</v>
      </c>
      <c r="R304" s="97">
        <f>IF(ISNUMBER($S304),MAX(0,INT((R$6+6-$S304)/$T304)-MAX(0,-INT(-(R$6-$S304)/$T304))+1),0)</f>
        <v>0.0</v>
      </c>
      <c r="S304" t="str">
        <f>IF(ISNUMBER(INDEX(pl_period,295)),MAX(INDEX(pl_due,295),p_today),"")</f>
        <v/>
      </c>
      <c r="T304" t="str">
        <f>IF(ISNUMBER(INDEX(pl_period,295)),INDEX(pl_period,295),"")</f>
        <v/>
      </c>
      <c r="U304">
        <f>N(INDEX(pl_dur,295))</f>
        <v>0.0</v>
      </c>
    </row>
    <row r="305">
      <c r="A305" s="93" t="str">
        <f>IF(INDEX(pl_status,296)="","",INDEX(pl_num,296)&amp;"")</f>
        <v/>
      </c>
      <c r="B305" s="93" t="str">
        <f>IF(INDEX(pl_status,296)="","",INDEX(pl_eq,296)&amp;"")</f>
        <v/>
      </c>
      <c r="C305" s="93" t="str">
        <f>IF(INDEX(pl_status,296)="","",INDEX(pl_task,296)&amp;"")</f>
        <v/>
      </c>
      <c r="D305" s="94" t="str">
        <f>IF(ISNUMBER(INDEX(pl_due,296)),INDEX(pl_due,296),"")</f>
        <v/>
      </c>
      <c r="E305" s="95" t="str">
        <f>INDEX(pl_status,296)&amp;""</f>
        <v/>
      </c>
      <c r="F305" s="96" t="str">
        <f>IF(E305="En retard","●","")</f>
        <v/>
      </c>
      <c r="G305" s="97">
        <f>IF(ISNUMBER($S305),MAX(0,INT((G$6+6-$S305)/$T305)-MAX(0,-INT(-(G$6-$S305)/$T305))+1),0)</f>
        <v>0.0</v>
      </c>
      <c r="H305" s="97">
        <f>IF(ISNUMBER($S305),MAX(0,INT((H$6+6-$S305)/$T305)-MAX(0,-INT(-(H$6-$S305)/$T305))+1),0)</f>
        <v>0.0</v>
      </c>
      <c r="I305" s="97">
        <f>IF(ISNUMBER($S305),MAX(0,INT((I$6+6-$S305)/$T305)-MAX(0,-INT(-(I$6-$S305)/$T305))+1),0)</f>
        <v>0.0</v>
      </c>
      <c r="J305" s="97">
        <f>IF(ISNUMBER($S305),MAX(0,INT((J$6+6-$S305)/$T305)-MAX(0,-INT(-(J$6-$S305)/$T305))+1),0)</f>
        <v>0.0</v>
      </c>
      <c r="K305" s="97">
        <f>IF(ISNUMBER($S305),MAX(0,INT((K$6+6-$S305)/$T305)-MAX(0,-INT(-(K$6-$S305)/$T305))+1),0)</f>
        <v>0.0</v>
      </c>
      <c r="L305" s="97">
        <f>IF(ISNUMBER($S305),MAX(0,INT((L$6+6-$S305)/$T305)-MAX(0,-INT(-(L$6-$S305)/$T305))+1),0)</f>
        <v>0.0</v>
      </c>
      <c r="M305" s="97">
        <f>IF(ISNUMBER($S305),MAX(0,INT((M$6+6-$S305)/$T305)-MAX(0,-INT(-(M$6-$S305)/$T305))+1),0)</f>
        <v>0.0</v>
      </c>
      <c r="N305" s="97">
        <f>IF(ISNUMBER($S305),MAX(0,INT((N$6+6-$S305)/$T305)-MAX(0,-INT(-(N$6-$S305)/$T305))+1),0)</f>
        <v>0.0</v>
      </c>
      <c r="O305" s="97">
        <f>IF(ISNUMBER($S305),MAX(0,INT((O$6+6-$S305)/$T305)-MAX(0,-INT(-(O$6-$S305)/$T305))+1),0)</f>
        <v>0.0</v>
      </c>
      <c r="P305" s="97">
        <f>IF(ISNUMBER($S305),MAX(0,INT((P$6+6-$S305)/$T305)-MAX(0,-INT(-(P$6-$S305)/$T305))+1),0)</f>
        <v>0.0</v>
      </c>
      <c r="Q305" s="97">
        <f>IF(ISNUMBER($S305),MAX(0,INT((Q$6+6-$S305)/$T305)-MAX(0,-INT(-(Q$6-$S305)/$T305))+1),0)</f>
        <v>0.0</v>
      </c>
      <c r="R305" s="97">
        <f>IF(ISNUMBER($S305),MAX(0,INT((R$6+6-$S305)/$T305)-MAX(0,-INT(-(R$6-$S305)/$T305))+1),0)</f>
        <v>0.0</v>
      </c>
      <c r="S305" t="str">
        <f>IF(ISNUMBER(INDEX(pl_period,296)),MAX(INDEX(pl_due,296),p_today),"")</f>
        <v/>
      </c>
      <c r="T305" t="str">
        <f>IF(ISNUMBER(INDEX(pl_period,296)),INDEX(pl_period,296),"")</f>
        <v/>
      </c>
      <c r="U305">
        <f>N(INDEX(pl_dur,296))</f>
        <v>0.0</v>
      </c>
    </row>
    <row r="306">
      <c r="A306" s="93" t="str">
        <f>IF(INDEX(pl_status,297)="","",INDEX(pl_num,297)&amp;"")</f>
        <v/>
      </c>
      <c r="B306" s="93" t="str">
        <f>IF(INDEX(pl_status,297)="","",INDEX(pl_eq,297)&amp;"")</f>
        <v/>
      </c>
      <c r="C306" s="93" t="str">
        <f>IF(INDEX(pl_status,297)="","",INDEX(pl_task,297)&amp;"")</f>
        <v/>
      </c>
      <c r="D306" s="94" t="str">
        <f>IF(ISNUMBER(INDEX(pl_due,297)),INDEX(pl_due,297),"")</f>
        <v/>
      </c>
      <c r="E306" s="95" t="str">
        <f>INDEX(pl_status,297)&amp;""</f>
        <v/>
      </c>
      <c r="F306" s="96" t="str">
        <f>IF(E306="En retard","●","")</f>
        <v/>
      </c>
      <c r="G306" s="97">
        <f>IF(ISNUMBER($S306),MAX(0,INT((G$6+6-$S306)/$T306)-MAX(0,-INT(-(G$6-$S306)/$T306))+1),0)</f>
        <v>0.0</v>
      </c>
      <c r="H306" s="97">
        <f>IF(ISNUMBER($S306),MAX(0,INT((H$6+6-$S306)/$T306)-MAX(0,-INT(-(H$6-$S306)/$T306))+1),0)</f>
        <v>0.0</v>
      </c>
      <c r="I306" s="97">
        <f>IF(ISNUMBER($S306),MAX(0,INT((I$6+6-$S306)/$T306)-MAX(0,-INT(-(I$6-$S306)/$T306))+1),0)</f>
        <v>0.0</v>
      </c>
      <c r="J306" s="97">
        <f>IF(ISNUMBER($S306),MAX(0,INT((J$6+6-$S306)/$T306)-MAX(0,-INT(-(J$6-$S306)/$T306))+1),0)</f>
        <v>0.0</v>
      </c>
      <c r="K306" s="97">
        <f>IF(ISNUMBER($S306),MAX(0,INT((K$6+6-$S306)/$T306)-MAX(0,-INT(-(K$6-$S306)/$T306))+1),0)</f>
        <v>0.0</v>
      </c>
      <c r="L306" s="97">
        <f>IF(ISNUMBER($S306),MAX(0,INT((L$6+6-$S306)/$T306)-MAX(0,-INT(-(L$6-$S306)/$T306))+1),0)</f>
        <v>0.0</v>
      </c>
      <c r="M306" s="97">
        <f>IF(ISNUMBER($S306),MAX(0,INT((M$6+6-$S306)/$T306)-MAX(0,-INT(-(M$6-$S306)/$T306))+1),0)</f>
        <v>0.0</v>
      </c>
      <c r="N306" s="97">
        <f>IF(ISNUMBER($S306),MAX(0,INT((N$6+6-$S306)/$T306)-MAX(0,-INT(-(N$6-$S306)/$T306))+1),0)</f>
        <v>0.0</v>
      </c>
      <c r="O306" s="97">
        <f>IF(ISNUMBER($S306),MAX(0,INT((O$6+6-$S306)/$T306)-MAX(0,-INT(-(O$6-$S306)/$T306))+1),0)</f>
        <v>0.0</v>
      </c>
      <c r="P306" s="97">
        <f>IF(ISNUMBER($S306),MAX(0,INT((P$6+6-$S306)/$T306)-MAX(0,-INT(-(P$6-$S306)/$T306))+1),0)</f>
        <v>0.0</v>
      </c>
      <c r="Q306" s="97">
        <f>IF(ISNUMBER($S306),MAX(0,INT((Q$6+6-$S306)/$T306)-MAX(0,-INT(-(Q$6-$S306)/$T306))+1),0)</f>
        <v>0.0</v>
      </c>
      <c r="R306" s="97">
        <f>IF(ISNUMBER($S306),MAX(0,INT((R$6+6-$S306)/$T306)-MAX(0,-INT(-(R$6-$S306)/$T306))+1),0)</f>
        <v>0.0</v>
      </c>
      <c r="S306" t="str">
        <f>IF(ISNUMBER(INDEX(pl_period,297)),MAX(INDEX(pl_due,297),p_today),"")</f>
        <v/>
      </c>
      <c r="T306" t="str">
        <f>IF(ISNUMBER(INDEX(pl_period,297)),INDEX(pl_period,297),"")</f>
        <v/>
      </c>
      <c r="U306">
        <f>N(INDEX(pl_dur,297))</f>
        <v>0.0</v>
      </c>
    </row>
    <row r="307">
      <c r="A307" s="93" t="str">
        <f>IF(INDEX(pl_status,298)="","",INDEX(pl_num,298)&amp;"")</f>
        <v/>
      </c>
      <c r="B307" s="93" t="str">
        <f>IF(INDEX(pl_status,298)="","",INDEX(pl_eq,298)&amp;"")</f>
        <v/>
      </c>
      <c r="C307" s="93" t="str">
        <f>IF(INDEX(pl_status,298)="","",INDEX(pl_task,298)&amp;"")</f>
        <v/>
      </c>
      <c r="D307" s="94" t="str">
        <f>IF(ISNUMBER(INDEX(pl_due,298)),INDEX(pl_due,298),"")</f>
        <v/>
      </c>
      <c r="E307" s="95" t="str">
        <f>INDEX(pl_status,298)&amp;""</f>
        <v/>
      </c>
      <c r="F307" s="96" t="str">
        <f>IF(E307="En retard","●","")</f>
        <v/>
      </c>
      <c r="G307" s="97">
        <f>IF(ISNUMBER($S307),MAX(0,INT((G$6+6-$S307)/$T307)-MAX(0,-INT(-(G$6-$S307)/$T307))+1),0)</f>
        <v>0.0</v>
      </c>
      <c r="H307" s="97">
        <f>IF(ISNUMBER($S307),MAX(0,INT((H$6+6-$S307)/$T307)-MAX(0,-INT(-(H$6-$S307)/$T307))+1),0)</f>
        <v>0.0</v>
      </c>
      <c r="I307" s="97">
        <f>IF(ISNUMBER($S307),MAX(0,INT((I$6+6-$S307)/$T307)-MAX(0,-INT(-(I$6-$S307)/$T307))+1),0)</f>
        <v>0.0</v>
      </c>
      <c r="J307" s="97">
        <f>IF(ISNUMBER($S307),MAX(0,INT((J$6+6-$S307)/$T307)-MAX(0,-INT(-(J$6-$S307)/$T307))+1),0)</f>
        <v>0.0</v>
      </c>
      <c r="K307" s="97">
        <f>IF(ISNUMBER($S307),MAX(0,INT((K$6+6-$S307)/$T307)-MAX(0,-INT(-(K$6-$S307)/$T307))+1),0)</f>
        <v>0.0</v>
      </c>
      <c r="L307" s="97">
        <f>IF(ISNUMBER($S307),MAX(0,INT((L$6+6-$S307)/$T307)-MAX(0,-INT(-(L$6-$S307)/$T307))+1),0)</f>
        <v>0.0</v>
      </c>
      <c r="M307" s="97">
        <f>IF(ISNUMBER($S307),MAX(0,INT((M$6+6-$S307)/$T307)-MAX(0,-INT(-(M$6-$S307)/$T307))+1),0)</f>
        <v>0.0</v>
      </c>
      <c r="N307" s="97">
        <f>IF(ISNUMBER($S307),MAX(0,INT((N$6+6-$S307)/$T307)-MAX(0,-INT(-(N$6-$S307)/$T307))+1),0)</f>
        <v>0.0</v>
      </c>
      <c r="O307" s="97">
        <f>IF(ISNUMBER($S307),MAX(0,INT((O$6+6-$S307)/$T307)-MAX(0,-INT(-(O$6-$S307)/$T307))+1),0)</f>
        <v>0.0</v>
      </c>
      <c r="P307" s="97">
        <f>IF(ISNUMBER($S307),MAX(0,INT((P$6+6-$S307)/$T307)-MAX(0,-INT(-(P$6-$S307)/$T307))+1),0)</f>
        <v>0.0</v>
      </c>
      <c r="Q307" s="97">
        <f>IF(ISNUMBER($S307),MAX(0,INT((Q$6+6-$S307)/$T307)-MAX(0,-INT(-(Q$6-$S307)/$T307))+1),0)</f>
        <v>0.0</v>
      </c>
      <c r="R307" s="97">
        <f>IF(ISNUMBER($S307),MAX(0,INT((R$6+6-$S307)/$T307)-MAX(0,-INT(-(R$6-$S307)/$T307))+1),0)</f>
        <v>0.0</v>
      </c>
      <c r="S307" t="str">
        <f>IF(ISNUMBER(INDEX(pl_period,298)),MAX(INDEX(pl_due,298),p_today),"")</f>
        <v/>
      </c>
      <c r="T307" t="str">
        <f>IF(ISNUMBER(INDEX(pl_period,298)),INDEX(pl_period,298),"")</f>
        <v/>
      </c>
      <c r="U307">
        <f>N(INDEX(pl_dur,298))</f>
        <v>0.0</v>
      </c>
    </row>
    <row r="308">
      <c r="A308" s="93" t="str">
        <f>IF(INDEX(pl_status,299)="","",INDEX(pl_num,299)&amp;"")</f>
        <v/>
      </c>
      <c r="B308" s="93" t="str">
        <f>IF(INDEX(pl_status,299)="","",INDEX(pl_eq,299)&amp;"")</f>
        <v/>
      </c>
      <c r="C308" s="93" t="str">
        <f>IF(INDEX(pl_status,299)="","",INDEX(pl_task,299)&amp;"")</f>
        <v/>
      </c>
      <c r="D308" s="94" t="str">
        <f>IF(ISNUMBER(INDEX(pl_due,299)),INDEX(pl_due,299),"")</f>
        <v/>
      </c>
      <c r="E308" s="95" t="str">
        <f>INDEX(pl_status,299)&amp;""</f>
        <v/>
      </c>
      <c r="F308" s="96" t="str">
        <f>IF(E308="En retard","●","")</f>
        <v/>
      </c>
      <c r="G308" s="97">
        <f>IF(ISNUMBER($S308),MAX(0,INT((G$6+6-$S308)/$T308)-MAX(0,-INT(-(G$6-$S308)/$T308))+1),0)</f>
        <v>0.0</v>
      </c>
      <c r="H308" s="97">
        <f>IF(ISNUMBER($S308),MAX(0,INT((H$6+6-$S308)/$T308)-MAX(0,-INT(-(H$6-$S308)/$T308))+1),0)</f>
        <v>0.0</v>
      </c>
      <c r="I308" s="97">
        <f>IF(ISNUMBER($S308),MAX(0,INT((I$6+6-$S308)/$T308)-MAX(0,-INT(-(I$6-$S308)/$T308))+1),0)</f>
        <v>0.0</v>
      </c>
      <c r="J308" s="97">
        <f>IF(ISNUMBER($S308),MAX(0,INT((J$6+6-$S308)/$T308)-MAX(0,-INT(-(J$6-$S308)/$T308))+1),0)</f>
        <v>0.0</v>
      </c>
      <c r="K308" s="97">
        <f>IF(ISNUMBER($S308),MAX(0,INT((K$6+6-$S308)/$T308)-MAX(0,-INT(-(K$6-$S308)/$T308))+1),0)</f>
        <v>0.0</v>
      </c>
      <c r="L308" s="97">
        <f>IF(ISNUMBER($S308),MAX(0,INT((L$6+6-$S308)/$T308)-MAX(0,-INT(-(L$6-$S308)/$T308))+1),0)</f>
        <v>0.0</v>
      </c>
      <c r="M308" s="97">
        <f>IF(ISNUMBER($S308),MAX(0,INT((M$6+6-$S308)/$T308)-MAX(0,-INT(-(M$6-$S308)/$T308))+1),0)</f>
        <v>0.0</v>
      </c>
      <c r="N308" s="97">
        <f>IF(ISNUMBER($S308),MAX(0,INT((N$6+6-$S308)/$T308)-MAX(0,-INT(-(N$6-$S308)/$T308))+1),0)</f>
        <v>0.0</v>
      </c>
      <c r="O308" s="97">
        <f>IF(ISNUMBER($S308),MAX(0,INT((O$6+6-$S308)/$T308)-MAX(0,-INT(-(O$6-$S308)/$T308))+1),0)</f>
        <v>0.0</v>
      </c>
      <c r="P308" s="97">
        <f>IF(ISNUMBER($S308),MAX(0,INT((P$6+6-$S308)/$T308)-MAX(0,-INT(-(P$6-$S308)/$T308))+1),0)</f>
        <v>0.0</v>
      </c>
      <c r="Q308" s="97">
        <f>IF(ISNUMBER($S308),MAX(0,INT((Q$6+6-$S308)/$T308)-MAX(0,-INT(-(Q$6-$S308)/$T308))+1),0)</f>
        <v>0.0</v>
      </c>
      <c r="R308" s="97">
        <f>IF(ISNUMBER($S308),MAX(0,INT((R$6+6-$S308)/$T308)-MAX(0,-INT(-(R$6-$S308)/$T308))+1),0)</f>
        <v>0.0</v>
      </c>
      <c r="S308" t="str">
        <f>IF(ISNUMBER(INDEX(pl_period,299)),MAX(INDEX(pl_due,299),p_today),"")</f>
        <v/>
      </c>
      <c r="T308" t="str">
        <f>IF(ISNUMBER(INDEX(pl_period,299)),INDEX(pl_period,299),"")</f>
        <v/>
      </c>
      <c r="U308">
        <f>N(INDEX(pl_dur,299))</f>
        <v>0.0</v>
      </c>
    </row>
    <row r="309">
      <c r="A309" s="93" t="str">
        <f>IF(INDEX(pl_status,300)="","",INDEX(pl_num,300)&amp;"")</f>
        <v/>
      </c>
      <c r="B309" s="93" t="str">
        <f>IF(INDEX(pl_status,300)="","",INDEX(pl_eq,300)&amp;"")</f>
        <v/>
      </c>
      <c r="C309" s="93" t="str">
        <f>IF(INDEX(pl_status,300)="","",INDEX(pl_task,300)&amp;"")</f>
        <v/>
      </c>
      <c r="D309" s="94" t="str">
        <f>IF(ISNUMBER(INDEX(pl_due,300)),INDEX(pl_due,300),"")</f>
        <v/>
      </c>
      <c r="E309" s="95" t="str">
        <f>INDEX(pl_status,300)&amp;""</f>
        <v/>
      </c>
      <c r="F309" s="96" t="str">
        <f>IF(E309="En retard","●","")</f>
        <v/>
      </c>
      <c r="G309" s="97">
        <f>IF(ISNUMBER($S309),MAX(0,INT((G$6+6-$S309)/$T309)-MAX(0,-INT(-(G$6-$S309)/$T309))+1),0)</f>
        <v>0.0</v>
      </c>
      <c r="H309" s="97">
        <f>IF(ISNUMBER($S309),MAX(0,INT((H$6+6-$S309)/$T309)-MAX(0,-INT(-(H$6-$S309)/$T309))+1),0)</f>
        <v>0.0</v>
      </c>
      <c r="I309" s="97">
        <f>IF(ISNUMBER($S309),MAX(0,INT((I$6+6-$S309)/$T309)-MAX(0,-INT(-(I$6-$S309)/$T309))+1),0)</f>
        <v>0.0</v>
      </c>
      <c r="J309" s="97">
        <f>IF(ISNUMBER($S309),MAX(0,INT((J$6+6-$S309)/$T309)-MAX(0,-INT(-(J$6-$S309)/$T309))+1),0)</f>
        <v>0.0</v>
      </c>
      <c r="K309" s="97">
        <f>IF(ISNUMBER($S309),MAX(0,INT((K$6+6-$S309)/$T309)-MAX(0,-INT(-(K$6-$S309)/$T309))+1),0)</f>
        <v>0.0</v>
      </c>
      <c r="L309" s="97">
        <f>IF(ISNUMBER($S309),MAX(0,INT((L$6+6-$S309)/$T309)-MAX(0,-INT(-(L$6-$S309)/$T309))+1),0)</f>
        <v>0.0</v>
      </c>
      <c r="M309" s="97">
        <f>IF(ISNUMBER($S309),MAX(0,INT((M$6+6-$S309)/$T309)-MAX(0,-INT(-(M$6-$S309)/$T309))+1),0)</f>
        <v>0.0</v>
      </c>
      <c r="N309" s="97">
        <f>IF(ISNUMBER($S309),MAX(0,INT((N$6+6-$S309)/$T309)-MAX(0,-INT(-(N$6-$S309)/$T309))+1),0)</f>
        <v>0.0</v>
      </c>
      <c r="O309" s="97">
        <f>IF(ISNUMBER($S309),MAX(0,INT((O$6+6-$S309)/$T309)-MAX(0,-INT(-(O$6-$S309)/$T309))+1),0)</f>
        <v>0.0</v>
      </c>
      <c r="P309" s="97">
        <f>IF(ISNUMBER($S309),MAX(0,INT((P$6+6-$S309)/$T309)-MAX(0,-INT(-(P$6-$S309)/$T309))+1),0)</f>
        <v>0.0</v>
      </c>
      <c r="Q309" s="97">
        <f>IF(ISNUMBER($S309),MAX(0,INT((Q$6+6-$S309)/$T309)-MAX(0,-INT(-(Q$6-$S309)/$T309))+1),0)</f>
        <v>0.0</v>
      </c>
      <c r="R309" s="97">
        <f>IF(ISNUMBER($S309),MAX(0,INT((R$6+6-$S309)/$T309)-MAX(0,-INT(-(R$6-$S309)/$T309))+1),0)</f>
        <v>0.0</v>
      </c>
      <c r="S309" t="str">
        <f>IF(ISNUMBER(INDEX(pl_period,300)),MAX(INDEX(pl_due,300),p_today),"")</f>
        <v/>
      </c>
      <c r="T309" t="str">
        <f>IF(ISNUMBER(INDEX(pl_period,300)),INDEX(pl_period,300),"")</f>
        <v/>
      </c>
      <c r="U309">
        <f>N(INDEX(pl_dur,300))</f>
        <v>0.0</v>
      </c>
    </row>
    <row r="310">
      <c r="A310" s="93" t="str">
        <f>IF(INDEX(pl_status,301)="","",INDEX(pl_num,301)&amp;"")</f>
        <v/>
      </c>
      <c r="B310" s="93" t="str">
        <f>IF(INDEX(pl_status,301)="","",INDEX(pl_eq,301)&amp;"")</f>
        <v/>
      </c>
      <c r="C310" s="93" t="str">
        <f>IF(INDEX(pl_status,301)="","",INDEX(pl_task,301)&amp;"")</f>
        <v/>
      </c>
      <c r="D310" s="94" t="str">
        <f>IF(ISNUMBER(INDEX(pl_due,301)),INDEX(pl_due,301),"")</f>
        <v/>
      </c>
      <c r="E310" s="95" t="str">
        <f>INDEX(pl_status,301)&amp;""</f>
        <v/>
      </c>
      <c r="F310" s="96" t="str">
        <f>IF(E310="En retard","●","")</f>
        <v/>
      </c>
      <c r="G310" s="97">
        <f>IF(ISNUMBER($S310),MAX(0,INT((G$6+6-$S310)/$T310)-MAX(0,-INT(-(G$6-$S310)/$T310))+1),0)</f>
        <v>0.0</v>
      </c>
      <c r="H310" s="97">
        <f>IF(ISNUMBER($S310),MAX(0,INT((H$6+6-$S310)/$T310)-MAX(0,-INT(-(H$6-$S310)/$T310))+1),0)</f>
        <v>0.0</v>
      </c>
      <c r="I310" s="97">
        <f>IF(ISNUMBER($S310),MAX(0,INT((I$6+6-$S310)/$T310)-MAX(0,-INT(-(I$6-$S310)/$T310))+1),0)</f>
        <v>0.0</v>
      </c>
      <c r="J310" s="97">
        <f>IF(ISNUMBER($S310),MAX(0,INT((J$6+6-$S310)/$T310)-MAX(0,-INT(-(J$6-$S310)/$T310))+1),0)</f>
        <v>0.0</v>
      </c>
      <c r="K310" s="97">
        <f>IF(ISNUMBER($S310),MAX(0,INT((K$6+6-$S310)/$T310)-MAX(0,-INT(-(K$6-$S310)/$T310))+1),0)</f>
        <v>0.0</v>
      </c>
      <c r="L310" s="97">
        <f>IF(ISNUMBER($S310),MAX(0,INT((L$6+6-$S310)/$T310)-MAX(0,-INT(-(L$6-$S310)/$T310))+1),0)</f>
        <v>0.0</v>
      </c>
      <c r="M310" s="97">
        <f>IF(ISNUMBER($S310),MAX(0,INT((M$6+6-$S310)/$T310)-MAX(0,-INT(-(M$6-$S310)/$T310))+1),0)</f>
        <v>0.0</v>
      </c>
      <c r="N310" s="97">
        <f>IF(ISNUMBER($S310),MAX(0,INT((N$6+6-$S310)/$T310)-MAX(0,-INT(-(N$6-$S310)/$T310))+1),0)</f>
        <v>0.0</v>
      </c>
      <c r="O310" s="97">
        <f>IF(ISNUMBER($S310),MAX(0,INT((O$6+6-$S310)/$T310)-MAX(0,-INT(-(O$6-$S310)/$T310))+1),0)</f>
        <v>0.0</v>
      </c>
      <c r="P310" s="97">
        <f>IF(ISNUMBER($S310),MAX(0,INT((P$6+6-$S310)/$T310)-MAX(0,-INT(-(P$6-$S310)/$T310))+1),0)</f>
        <v>0.0</v>
      </c>
      <c r="Q310" s="97">
        <f>IF(ISNUMBER($S310),MAX(0,INT((Q$6+6-$S310)/$T310)-MAX(0,-INT(-(Q$6-$S310)/$T310))+1),0)</f>
        <v>0.0</v>
      </c>
      <c r="R310" s="97">
        <f>IF(ISNUMBER($S310),MAX(0,INT((R$6+6-$S310)/$T310)-MAX(0,-INT(-(R$6-$S310)/$T310))+1),0)</f>
        <v>0.0</v>
      </c>
      <c r="S310" t="str">
        <f>IF(ISNUMBER(INDEX(pl_period,301)),MAX(INDEX(pl_due,301),p_today),"")</f>
        <v/>
      </c>
      <c r="T310" t="str">
        <f>IF(ISNUMBER(INDEX(pl_period,301)),INDEX(pl_period,301),"")</f>
        <v/>
      </c>
      <c r="U310">
        <f>N(INDEX(pl_dur,301))</f>
        <v>0.0</v>
      </c>
    </row>
    <row r="311">
      <c r="A311" s="93" t="str">
        <f>IF(INDEX(pl_status,302)="","",INDEX(pl_num,302)&amp;"")</f>
        <v/>
      </c>
      <c r="B311" s="93" t="str">
        <f>IF(INDEX(pl_status,302)="","",INDEX(pl_eq,302)&amp;"")</f>
        <v/>
      </c>
      <c r="C311" s="93" t="str">
        <f>IF(INDEX(pl_status,302)="","",INDEX(pl_task,302)&amp;"")</f>
        <v/>
      </c>
      <c r="D311" s="94" t="str">
        <f>IF(ISNUMBER(INDEX(pl_due,302)),INDEX(pl_due,302),"")</f>
        <v/>
      </c>
      <c r="E311" s="95" t="str">
        <f>INDEX(pl_status,302)&amp;""</f>
        <v/>
      </c>
      <c r="F311" s="96" t="str">
        <f>IF(E311="En retard","●","")</f>
        <v/>
      </c>
      <c r="G311" s="97">
        <f>IF(ISNUMBER($S311),MAX(0,INT((G$6+6-$S311)/$T311)-MAX(0,-INT(-(G$6-$S311)/$T311))+1),0)</f>
        <v>0.0</v>
      </c>
      <c r="H311" s="97">
        <f>IF(ISNUMBER($S311),MAX(0,INT((H$6+6-$S311)/$T311)-MAX(0,-INT(-(H$6-$S311)/$T311))+1),0)</f>
        <v>0.0</v>
      </c>
      <c r="I311" s="97">
        <f>IF(ISNUMBER($S311),MAX(0,INT((I$6+6-$S311)/$T311)-MAX(0,-INT(-(I$6-$S311)/$T311))+1),0)</f>
        <v>0.0</v>
      </c>
      <c r="J311" s="97">
        <f>IF(ISNUMBER($S311),MAX(0,INT((J$6+6-$S311)/$T311)-MAX(0,-INT(-(J$6-$S311)/$T311))+1),0)</f>
        <v>0.0</v>
      </c>
      <c r="K311" s="97">
        <f>IF(ISNUMBER($S311),MAX(0,INT((K$6+6-$S311)/$T311)-MAX(0,-INT(-(K$6-$S311)/$T311))+1),0)</f>
        <v>0.0</v>
      </c>
      <c r="L311" s="97">
        <f>IF(ISNUMBER($S311),MAX(0,INT((L$6+6-$S311)/$T311)-MAX(0,-INT(-(L$6-$S311)/$T311))+1),0)</f>
        <v>0.0</v>
      </c>
      <c r="M311" s="97">
        <f>IF(ISNUMBER($S311),MAX(0,INT((M$6+6-$S311)/$T311)-MAX(0,-INT(-(M$6-$S311)/$T311))+1),0)</f>
        <v>0.0</v>
      </c>
      <c r="N311" s="97">
        <f>IF(ISNUMBER($S311),MAX(0,INT((N$6+6-$S311)/$T311)-MAX(0,-INT(-(N$6-$S311)/$T311))+1),0)</f>
        <v>0.0</v>
      </c>
      <c r="O311" s="97">
        <f>IF(ISNUMBER($S311),MAX(0,INT((O$6+6-$S311)/$T311)-MAX(0,-INT(-(O$6-$S311)/$T311))+1),0)</f>
        <v>0.0</v>
      </c>
      <c r="P311" s="97">
        <f>IF(ISNUMBER($S311),MAX(0,INT((P$6+6-$S311)/$T311)-MAX(0,-INT(-(P$6-$S311)/$T311))+1),0)</f>
        <v>0.0</v>
      </c>
      <c r="Q311" s="97">
        <f>IF(ISNUMBER($S311),MAX(0,INT((Q$6+6-$S311)/$T311)-MAX(0,-INT(-(Q$6-$S311)/$T311))+1),0)</f>
        <v>0.0</v>
      </c>
      <c r="R311" s="97">
        <f>IF(ISNUMBER($S311),MAX(0,INT((R$6+6-$S311)/$T311)-MAX(0,-INT(-(R$6-$S311)/$T311))+1),0)</f>
        <v>0.0</v>
      </c>
      <c r="S311" t="str">
        <f>IF(ISNUMBER(INDEX(pl_period,302)),MAX(INDEX(pl_due,302),p_today),"")</f>
        <v/>
      </c>
      <c r="T311" t="str">
        <f>IF(ISNUMBER(INDEX(pl_period,302)),INDEX(pl_period,302),"")</f>
        <v/>
      </c>
      <c r="U311">
        <f>N(INDEX(pl_dur,302))</f>
        <v>0.0</v>
      </c>
    </row>
    <row r="312">
      <c r="A312" s="93" t="str">
        <f>IF(INDEX(pl_status,303)="","",INDEX(pl_num,303)&amp;"")</f>
        <v/>
      </c>
      <c r="B312" s="93" t="str">
        <f>IF(INDEX(pl_status,303)="","",INDEX(pl_eq,303)&amp;"")</f>
        <v/>
      </c>
      <c r="C312" s="93" t="str">
        <f>IF(INDEX(pl_status,303)="","",INDEX(pl_task,303)&amp;"")</f>
        <v/>
      </c>
      <c r="D312" s="94" t="str">
        <f>IF(ISNUMBER(INDEX(pl_due,303)),INDEX(pl_due,303),"")</f>
        <v/>
      </c>
      <c r="E312" s="95" t="str">
        <f>INDEX(pl_status,303)&amp;""</f>
        <v/>
      </c>
      <c r="F312" s="96" t="str">
        <f>IF(E312="En retard","●","")</f>
        <v/>
      </c>
      <c r="G312" s="97">
        <f>IF(ISNUMBER($S312),MAX(0,INT((G$6+6-$S312)/$T312)-MAX(0,-INT(-(G$6-$S312)/$T312))+1),0)</f>
        <v>0.0</v>
      </c>
      <c r="H312" s="97">
        <f>IF(ISNUMBER($S312),MAX(0,INT((H$6+6-$S312)/$T312)-MAX(0,-INT(-(H$6-$S312)/$T312))+1),0)</f>
        <v>0.0</v>
      </c>
      <c r="I312" s="97">
        <f>IF(ISNUMBER($S312),MAX(0,INT((I$6+6-$S312)/$T312)-MAX(0,-INT(-(I$6-$S312)/$T312))+1),0)</f>
        <v>0.0</v>
      </c>
      <c r="J312" s="97">
        <f>IF(ISNUMBER($S312),MAX(0,INT((J$6+6-$S312)/$T312)-MAX(0,-INT(-(J$6-$S312)/$T312))+1),0)</f>
        <v>0.0</v>
      </c>
      <c r="K312" s="97">
        <f>IF(ISNUMBER($S312),MAX(0,INT((K$6+6-$S312)/$T312)-MAX(0,-INT(-(K$6-$S312)/$T312))+1),0)</f>
        <v>0.0</v>
      </c>
      <c r="L312" s="97">
        <f>IF(ISNUMBER($S312),MAX(0,INT((L$6+6-$S312)/$T312)-MAX(0,-INT(-(L$6-$S312)/$T312))+1),0)</f>
        <v>0.0</v>
      </c>
      <c r="M312" s="97">
        <f>IF(ISNUMBER($S312),MAX(0,INT((M$6+6-$S312)/$T312)-MAX(0,-INT(-(M$6-$S312)/$T312))+1),0)</f>
        <v>0.0</v>
      </c>
      <c r="N312" s="97">
        <f>IF(ISNUMBER($S312),MAX(0,INT((N$6+6-$S312)/$T312)-MAX(0,-INT(-(N$6-$S312)/$T312))+1),0)</f>
        <v>0.0</v>
      </c>
      <c r="O312" s="97">
        <f>IF(ISNUMBER($S312),MAX(0,INT((O$6+6-$S312)/$T312)-MAX(0,-INT(-(O$6-$S312)/$T312))+1),0)</f>
        <v>0.0</v>
      </c>
      <c r="P312" s="97">
        <f>IF(ISNUMBER($S312),MAX(0,INT((P$6+6-$S312)/$T312)-MAX(0,-INT(-(P$6-$S312)/$T312))+1),0)</f>
        <v>0.0</v>
      </c>
      <c r="Q312" s="97">
        <f>IF(ISNUMBER($S312),MAX(0,INT((Q$6+6-$S312)/$T312)-MAX(0,-INT(-(Q$6-$S312)/$T312))+1),0)</f>
        <v>0.0</v>
      </c>
      <c r="R312" s="97">
        <f>IF(ISNUMBER($S312),MAX(0,INT((R$6+6-$S312)/$T312)-MAX(0,-INT(-(R$6-$S312)/$T312))+1),0)</f>
        <v>0.0</v>
      </c>
      <c r="S312" t="str">
        <f>IF(ISNUMBER(INDEX(pl_period,303)),MAX(INDEX(pl_due,303),p_today),"")</f>
        <v/>
      </c>
      <c r="T312" t="str">
        <f>IF(ISNUMBER(INDEX(pl_period,303)),INDEX(pl_period,303),"")</f>
        <v/>
      </c>
      <c r="U312">
        <f>N(INDEX(pl_dur,303))</f>
        <v>0.0</v>
      </c>
    </row>
    <row r="313">
      <c r="A313" s="93" t="str">
        <f>IF(INDEX(pl_status,304)="","",INDEX(pl_num,304)&amp;"")</f>
        <v/>
      </c>
      <c r="B313" s="93" t="str">
        <f>IF(INDEX(pl_status,304)="","",INDEX(pl_eq,304)&amp;"")</f>
        <v/>
      </c>
      <c r="C313" s="93" t="str">
        <f>IF(INDEX(pl_status,304)="","",INDEX(pl_task,304)&amp;"")</f>
        <v/>
      </c>
      <c r="D313" s="94" t="str">
        <f>IF(ISNUMBER(INDEX(pl_due,304)),INDEX(pl_due,304),"")</f>
        <v/>
      </c>
      <c r="E313" s="95" t="str">
        <f>INDEX(pl_status,304)&amp;""</f>
        <v/>
      </c>
      <c r="F313" s="96" t="str">
        <f>IF(E313="En retard","●","")</f>
        <v/>
      </c>
      <c r="G313" s="97">
        <f>IF(ISNUMBER($S313),MAX(0,INT((G$6+6-$S313)/$T313)-MAX(0,-INT(-(G$6-$S313)/$T313))+1),0)</f>
        <v>0.0</v>
      </c>
      <c r="H313" s="97">
        <f>IF(ISNUMBER($S313),MAX(0,INT((H$6+6-$S313)/$T313)-MAX(0,-INT(-(H$6-$S313)/$T313))+1),0)</f>
        <v>0.0</v>
      </c>
      <c r="I313" s="97">
        <f>IF(ISNUMBER($S313),MAX(0,INT((I$6+6-$S313)/$T313)-MAX(0,-INT(-(I$6-$S313)/$T313))+1),0)</f>
        <v>0.0</v>
      </c>
      <c r="J313" s="97">
        <f>IF(ISNUMBER($S313),MAX(0,INT((J$6+6-$S313)/$T313)-MAX(0,-INT(-(J$6-$S313)/$T313))+1),0)</f>
        <v>0.0</v>
      </c>
      <c r="K313" s="97">
        <f>IF(ISNUMBER($S313),MAX(0,INT((K$6+6-$S313)/$T313)-MAX(0,-INT(-(K$6-$S313)/$T313))+1),0)</f>
        <v>0.0</v>
      </c>
      <c r="L313" s="97">
        <f>IF(ISNUMBER($S313),MAX(0,INT((L$6+6-$S313)/$T313)-MAX(0,-INT(-(L$6-$S313)/$T313))+1),0)</f>
        <v>0.0</v>
      </c>
      <c r="M313" s="97">
        <f>IF(ISNUMBER($S313),MAX(0,INT((M$6+6-$S313)/$T313)-MAX(0,-INT(-(M$6-$S313)/$T313))+1),0)</f>
        <v>0.0</v>
      </c>
      <c r="N313" s="97">
        <f>IF(ISNUMBER($S313),MAX(0,INT((N$6+6-$S313)/$T313)-MAX(0,-INT(-(N$6-$S313)/$T313))+1),0)</f>
        <v>0.0</v>
      </c>
      <c r="O313" s="97">
        <f>IF(ISNUMBER($S313),MAX(0,INT((O$6+6-$S313)/$T313)-MAX(0,-INT(-(O$6-$S313)/$T313))+1),0)</f>
        <v>0.0</v>
      </c>
      <c r="P313" s="97">
        <f>IF(ISNUMBER($S313),MAX(0,INT((P$6+6-$S313)/$T313)-MAX(0,-INT(-(P$6-$S313)/$T313))+1),0)</f>
        <v>0.0</v>
      </c>
      <c r="Q313" s="97">
        <f>IF(ISNUMBER($S313),MAX(0,INT((Q$6+6-$S313)/$T313)-MAX(0,-INT(-(Q$6-$S313)/$T313))+1),0)</f>
        <v>0.0</v>
      </c>
      <c r="R313" s="97">
        <f>IF(ISNUMBER($S313),MAX(0,INT((R$6+6-$S313)/$T313)-MAX(0,-INT(-(R$6-$S313)/$T313))+1),0)</f>
        <v>0.0</v>
      </c>
      <c r="S313" t="str">
        <f>IF(ISNUMBER(INDEX(pl_period,304)),MAX(INDEX(pl_due,304),p_today),"")</f>
        <v/>
      </c>
      <c r="T313" t="str">
        <f>IF(ISNUMBER(INDEX(pl_period,304)),INDEX(pl_period,304),"")</f>
        <v/>
      </c>
      <c r="U313">
        <f>N(INDEX(pl_dur,304))</f>
        <v>0.0</v>
      </c>
    </row>
    <row r="314">
      <c r="A314" s="93" t="str">
        <f>IF(INDEX(pl_status,305)="","",INDEX(pl_num,305)&amp;"")</f>
        <v/>
      </c>
      <c r="B314" s="93" t="str">
        <f>IF(INDEX(pl_status,305)="","",INDEX(pl_eq,305)&amp;"")</f>
        <v/>
      </c>
      <c r="C314" s="93" t="str">
        <f>IF(INDEX(pl_status,305)="","",INDEX(pl_task,305)&amp;"")</f>
        <v/>
      </c>
      <c r="D314" s="94" t="str">
        <f>IF(ISNUMBER(INDEX(pl_due,305)),INDEX(pl_due,305),"")</f>
        <v/>
      </c>
      <c r="E314" s="95" t="str">
        <f>INDEX(pl_status,305)&amp;""</f>
        <v/>
      </c>
      <c r="F314" s="96" t="str">
        <f>IF(E314="En retard","●","")</f>
        <v/>
      </c>
      <c r="G314" s="97">
        <f>IF(ISNUMBER($S314),MAX(0,INT((G$6+6-$S314)/$T314)-MAX(0,-INT(-(G$6-$S314)/$T314))+1),0)</f>
        <v>0.0</v>
      </c>
      <c r="H314" s="97">
        <f>IF(ISNUMBER($S314),MAX(0,INT((H$6+6-$S314)/$T314)-MAX(0,-INT(-(H$6-$S314)/$T314))+1),0)</f>
        <v>0.0</v>
      </c>
      <c r="I314" s="97">
        <f>IF(ISNUMBER($S314),MAX(0,INT((I$6+6-$S314)/$T314)-MAX(0,-INT(-(I$6-$S314)/$T314))+1),0)</f>
        <v>0.0</v>
      </c>
      <c r="J314" s="97">
        <f>IF(ISNUMBER($S314),MAX(0,INT((J$6+6-$S314)/$T314)-MAX(0,-INT(-(J$6-$S314)/$T314))+1),0)</f>
        <v>0.0</v>
      </c>
      <c r="K314" s="97">
        <f>IF(ISNUMBER($S314),MAX(0,INT((K$6+6-$S314)/$T314)-MAX(0,-INT(-(K$6-$S314)/$T314))+1),0)</f>
        <v>0.0</v>
      </c>
      <c r="L314" s="97">
        <f>IF(ISNUMBER($S314),MAX(0,INT((L$6+6-$S314)/$T314)-MAX(0,-INT(-(L$6-$S314)/$T314))+1),0)</f>
        <v>0.0</v>
      </c>
      <c r="M314" s="97">
        <f>IF(ISNUMBER($S314),MAX(0,INT((M$6+6-$S314)/$T314)-MAX(0,-INT(-(M$6-$S314)/$T314))+1),0)</f>
        <v>0.0</v>
      </c>
      <c r="N314" s="97">
        <f>IF(ISNUMBER($S314),MAX(0,INT((N$6+6-$S314)/$T314)-MAX(0,-INT(-(N$6-$S314)/$T314))+1),0)</f>
        <v>0.0</v>
      </c>
      <c r="O314" s="97">
        <f>IF(ISNUMBER($S314),MAX(0,INT((O$6+6-$S314)/$T314)-MAX(0,-INT(-(O$6-$S314)/$T314))+1),0)</f>
        <v>0.0</v>
      </c>
      <c r="P314" s="97">
        <f>IF(ISNUMBER($S314),MAX(0,INT((P$6+6-$S314)/$T314)-MAX(0,-INT(-(P$6-$S314)/$T314))+1),0)</f>
        <v>0.0</v>
      </c>
      <c r="Q314" s="97">
        <f>IF(ISNUMBER($S314),MAX(0,INT((Q$6+6-$S314)/$T314)-MAX(0,-INT(-(Q$6-$S314)/$T314))+1),0)</f>
        <v>0.0</v>
      </c>
      <c r="R314" s="97">
        <f>IF(ISNUMBER($S314),MAX(0,INT((R$6+6-$S314)/$T314)-MAX(0,-INT(-(R$6-$S314)/$T314))+1),0)</f>
        <v>0.0</v>
      </c>
      <c r="S314" t="str">
        <f>IF(ISNUMBER(INDEX(pl_period,305)),MAX(INDEX(pl_due,305),p_today),"")</f>
        <v/>
      </c>
      <c r="T314" t="str">
        <f>IF(ISNUMBER(INDEX(pl_period,305)),INDEX(pl_period,305),"")</f>
        <v/>
      </c>
      <c r="U314">
        <f>N(INDEX(pl_dur,305))</f>
        <v>0.0</v>
      </c>
    </row>
    <row r="315">
      <c r="A315" s="93" t="str">
        <f>IF(INDEX(pl_status,306)="","",INDEX(pl_num,306)&amp;"")</f>
        <v/>
      </c>
      <c r="B315" s="93" t="str">
        <f>IF(INDEX(pl_status,306)="","",INDEX(pl_eq,306)&amp;"")</f>
        <v/>
      </c>
      <c r="C315" s="93" t="str">
        <f>IF(INDEX(pl_status,306)="","",INDEX(pl_task,306)&amp;"")</f>
        <v/>
      </c>
      <c r="D315" s="94" t="str">
        <f>IF(ISNUMBER(INDEX(pl_due,306)),INDEX(pl_due,306),"")</f>
        <v/>
      </c>
      <c r="E315" s="95" t="str">
        <f>INDEX(pl_status,306)&amp;""</f>
        <v/>
      </c>
      <c r="F315" s="96" t="str">
        <f>IF(E315="En retard","●","")</f>
        <v/>
      </c>
      <c r="G315" s="97">
        <f>IF(ISNUMBER($S315),MAX(0,INT((G$6+6-$S315)/$T315)-MAX(0,-INT(-(G$6-$S315)/$T315))+1),0)</f>
        <v>0.0</v>
      </c>
      <c r="H315" s="97">
        <f>IF(ISNUMBER($S315),MAX(0,INT((H$6+6-$S315)/$T315)-MAX(0,-INT(-(H$6-$S315)/$T315))+1),0)</f>
        <v>0.0</v>
      </c>
      <c r="I315" s="97">
        <f>IF(ISNUMBER($S315),MAX(0,INT((I$6+6-$S315)/$T315)-MAX(0,-INT(-(I$6-$S315)/$T315))+1),0)</f>
        <v>0.0</v>
      </c>
      <c r="J315" s="97">
        <f>IF(ISNUMBER($S315),MAX(0,INT((J$6+6-$S315)/$T315)-MAX(0,-INT(-(J$6-$S315)/$T315))+1),0)</f>
        <v>0.0</v>
      </c>
      <c r="K315" s="97">
        <f>IF(ISNUMBER($S315),MAX(0,INT((K$6+6-$S315)/$T315)-MAX(0,-INT(-(K$6-$S315)/$T315))+1),0)</f>
        <v>0.0</v>
      </c>
      <c r="L315" s="97">
        <f>IF(ISNUMBER($S315),MAX(0,INT((L$6+6-$S315)/$T315)-MAX(0,-INT(-(L$6-$S315)/$T315))+1),0)</f>
        <v>0.0</v>
      </c>
      <c r="M315" s="97">
        <f>IF(ISNUMBER($S315),MAX(0,INT((M$6+6-$S315)/$T315)-MAX(0,-INT(-(M$6-$S315)/$T315))+1),0)</f>
        <v>0.0</v>
      </c>
      <c r="N315" s="97">
        <f>IF(ISNUMBER($S315),MAX(0,INT((N$6+6-$S315)/$T315)-MAX(0,-INT(-(N$6-$S315)/$T315))+1),0)</f>
        <v>0.0</v>
      </c>
      <c r="O315" s="97">
        <f>IF(ISNUMBER($S315),MAX(0,INT((O$6+6-$S315)/$T315)-MAX(0,-INT(-(O$6-$S315)/$T315))+1),0)</f>
        <v>0.0</v>
      </c>
      <c r="P315" s="97">
        <f>IF(ISNUMBER($S315),MAX(0,INT((P$6+6-$S315)/$T315)-MAX(0,-INT(-(P$6-$S315)/$T315))+1),0)</f>
        <v>0.0</v>
      </c>
      <c r="Q315" s="97">
        <f>IF(ISNUMBER($S315),MAX(0,INT((Q$6+6-$S315)/$T315)-MAX(0,-INT(-(Q$6-$S315)/$T315))+1),0)</f>
        <v>0.0</v>
      </c>
      <c r="R315" s="97">
        <f>IF(ISNUMBER($S315),MAX(0,INT((R$6+6-$S315)/$T315)-MAX(0,-INT(-(R$6-$S315)/$T315))+1),0)</f>
        <v>0.0</v>
      </c>
      <c r="S315" t="str">
        <f>IF(ISNUMBER(INDEX(pl_period,306)),MAX(INDEX(pl_due,306),p_today),"")</f>
        <v/>
      </c>
      <c r="T315" t="str">
        <f>IF(ISNUMBER(INDEX(pl_period,306)),INDEX(pl_period,306),"")</f>
        <v/>
      </c>
      <c r="U315">
        <f>N(INDEX(pl_dur,306))</f>
        <v>0.0</v>
      </c>
    </row>
    <row r="316">
      <c r="A316" s="93" t="str">
        <f>IF(INDEX(pl_status,307)="","",INDEX(pl_num,307)&amp;"")</f>
        <v/>
      </c>
      <c r="B316" s="93" t="str">
        <f>IF(INDEX(pl_status,307)="","",INDEX(pl_eq,307)&amp;"")</f>
        <v/>
      </c>
      <c r="C316" s="93" t="str">
        <f>IF(INDEX(pl_status,307)="","",INDEX(pl_task,307)&amp;"")</f>
        <v/>
      </c>
      <c r="D316" s="94" t="str">
        <f>IF(ISNUMBER(INDEX(pl_due,307)),INDEX(pl_due,307),"")</f>
        <v/>
      </c>
      <c r="E316" s="95" t="str">
        <f>INDEX(pl_status,307)&amp;""</f>
        <v/>
      </c>
      <c r="F316" s="96" t="str">
        <f>IF(E316="En retard","●","")</f>
        <v/>
      </c>
      <c r="G316" s="97">
        <f>IF(ISNUMBER($S316),MAX(0,INT((G$6+6-$S316)/$T316)-MAX(0,-INT(-(G$6-$S316)/$T316))+1),0)</f>
        <v>0.0</v>
      </c>
      <c r="H316" s="97">
        <f>IF(ISNUMBER($S316),MAX(0,INT((H$6+6-$S316)/$T316)-MAX(0,-INT(-(H$6-$S316)/$T316))+1),0)</f>
        <v>0.0</v>
      </c>
      <c r="I316" s="97">
        <f>IF(ISNUMBER($S316),MAX(0,INT((I$6+6-$S316)/$T316)-MAX(0,-INT(-(I$6-$S316)/$T316))+1),0)</f>
        <v>0.0</v>
      </c>
      <c r="J316" s="97">
        <f>IF(ISNUMBER($S316),MAX(0,INT((J$6+6-$S316)/$T316)-MAX(0,-INT(-(J$6-$S316)/$T316))+1),0)</f>
        <v>0.0</v>
      </c>
      <c r="K316" s="97">
        <f>IF(ISNUMBER($S316),MAX(0,INT((K$6+6-$S316)/$T316)-MAX(0,-INT(-(K$6-$S316)/$T316))+1),0)</f>
        <v>0.0</v>
      </c>
      <c r="L316" s="97">
        <f>IF(ISNUMBER($S316),MAX(0,INT((L$6+6-$S316)/$T316)-MAX(0,-INT(-(L$6-$S316)/$T316))+1),0)</f>
        <v>0.0</v>
      </c>
      <c r="M316" s="97">
        <f>IF(ISNUMBER($S316),MAX(0,INT((M$6+6-$S316)/$T316)-MAX(0,-INT(-(M$6-$S316)/$T316))+1),0)</f>
        <v>0.0</v>
      </c>
      <c r="N316" s="97">
        <f>IF(ISNUMBER($S316),MAX(0,INT((N$6+6-$S316)/$T316)-MAX(0,-INT(-(N$6-$S316)/$T316))+1),0)</f>
        <v>0.0</v>
      </c>
      <c r="O316" s="97">
        <f>IF(ISNUMBER($S316),MAX(0,INT((O$6+6-$S316)/$T316)-MAX(0,-INT(-(O$6-$S316)/$T316))+1),0)</f>
        <v>0.0</v>
      </c>
      <c r="P316" s="97">
        <f>IF(ISNUMBER($S316),MAX(0,INT((P$6+6-$S316)/$T316)-MAX(0,-INT(-(P$6-$S316)/$T316))+1),0)</f>
        <v>0.0</v>
      </c>
      <c r="Q316" s="97">
        <f>IF(ISNUMBER($S316),MAX(0,INT((Q$6+6-$S316)/$T316)-MAX(0,-INT(-(Q$6-$S316)/$T316))+1),0)</f>
        <v>0.0</v>
      </c>
      <c r="R316" s="97">
        <f>IF(ISNUMBER($S316),MAX(0,INT((R$6+6-$S316)/$T316)-MAX(0,-INT(-(R$6-$S316)/$T316))+1),0)</f>
        <v>0.0</v>
      </c>
      <c r="S316" t="str">
        <f>IF(ISNUMBER(INDEX(pl_period,307)),MAX(INDEX(pl_due,307),p_today),"")</f>
        <v/>
      </c>
      <c r="T316" t="str">
        <f>IF(ISNUMBER(INDEX(pl_period,307)),INDEX(pl_period,307),"")</f>
        <v/>
      </c>
      <c r="U316">
        <f>N(INDEX(pl_dur,307))</f>
        <v>0.0</v>
      </c>
    </row>
    <row r="317">
      <c r="A317" s="93" t="str">
        <f>IF(INDEX(pl_status,308)="","",INDEX(pl_num,308)&amp;"")</f>
        <v/>
      </c>
      <c r="B317" s="93" t="str">
        <f>IF(INDEX(pl_status,308)="","",INDEX(pl_eq,308)&amp;"")</f>
        <v/>
      </c>
      <c r="C317" s="93" t="str">
        <f>IF(INDEX(pl_status,308)="","",INDEX(pl_task,308)&amp;"")</f>
        <v/>
      </c>
      <c r="D317" s="94" t="str">
        <f>IF(ISNUMBER(INDEX(pl_due,308)),INDEX(pl_due,308),"")</f>
        <v/>
      </c>
      <c r="E317" s="95" t="str">
        <f>INDEX(pl_status,308)&amp;""</f>
        <v/>
      </c>
      <c r="F317" s="96" t="str">
        <f>IF(E317="En retard","●","")</f>
        <v/>
      </c>
      <c r="G317" s="97">
        <f>IF(ISNUMBER($S317),MAX(0,INT((G$6+6-$S317)/$T317)-MAX(0,-INT(-(G$6-$S317)/$T317))+1),0)</f>
        <v>0.0</v>
      </c>
      <c r="H317" s="97">
        <f>IF(ISNUMBER($S317),MAX(0,INT((H$6+6-$S317)/$T317)-MAX(0,-INT(-(H$6-$S317)/$T317))+1),0)</f>
        <v>0.0</v>
      </c>
      <c r="I317" s="97">
        <f>IF(ISNUMBER($S317),MAX(0,INT((I$6+6-$S317)/$T317)-MAX(0,-INT(-(I$6-$S317)/$T317))+1),0)</f>
        <v>0.0</v>
      </c>
      <c r="J317" s="97">
        <f>IF(ISNUMBER($S317),MAX(0,INT((J$6+6-$S317)/$T317)-MAX(0,-INT(-(J$6-$S317)/$T317))+1),0)</f>
        <v>0.0</v>
      </c>
      <c r="K317" s="97">
        <f>IF(ISNUMBER($S317),MAX(0,INT((K$6+6-$S317)/$T317)-MAX(0,-INT(-(K$6-$S317)/$T317))+1),0)</f>
        <v>0.0</v>
      </c>
      <c r="L317" s="97">
        <f>IF(ISNUMBER($S317),MAX(0,INT((L$6+6-$S317)/$T317)-MAX(0,-INT(-(L$6-$S317)/$T317))+1),0)</f>
        <v>0.0</v>
      </c>
      <c r="M317" s="97">
        <f>IF(ISNUMBER($S317),MAX(0,INT((M$6+6-$S317)/$T317)-MAX(0,-INT(-(M$6-$S317)/$T317))+1),0)</f>
        <v>0.0</v>
      </c>
      <c r="N317" s="97">
        <f>IF(ISNUMBER($S317),MAX(0,INT((N$6+6-$S317)/$T317)-MAX(0,-INT(-(N$6-$S317)/$T317))+1),0)</f>
        <v>0.0</v>
      </c>
      <c r="O317" s="97">
        <f>IF(ISNUMBER($S317),MAX(0,INT((O$6+6-$S317)/$T317)-MAX(0,-INT(-(O$6-$S317)/$T317))+1),0)</f>
        <v>0.0</v>
      </c>
      <c r="P317" s="97">
        <f>IF(ISNUMBER($S317),MAX(0,INT((P$6+6-$S317)/$T317)-MAX(0,-INT(-(P$6-$S317)/$T317))+1),0)</f>
        <v>0.0</v>
      </c>
      <c r="Q317" s="97">
        <f>IF(ISNUMBER($S317),MAX(0,INT((Q$6+6-$S317)/$T317)-MAX(0,-INT(-(Q$6-$S317)/$T317))+1),0)</f>
        <v>0.0</v>
      </c>
      <c r="R317" s="97">
        <f>IF(ISNUMBER($S317),MAX(0,INT((R$6+6-$S317)/$T317)-MAX(0,-INT(-(R$6-$S317)/$T317))+1),0)</f>
        <v>0.0</v>
      </c>
      <c r="S317" t="str">
        <f>IF(ISNUMBER(INDEX(pl_period,308)),MAX(INDEX(pl_due,308),p_today),"")</f>
        <v/>
      </c>
      <c r="T317" t="str">
        <f>IF(ISNUMBER(INDEX(pl_period,308)),INDEX(pl_period,308),"")</f>
        <v/>
      </c>
      <c r="U317">
        <f>N(INDEX(pl_dur,308))</f>
        <v>0.0</v>
      </c>
    </row>
    <row r="318">
      <c r="A318" s="93" t="str">
        <f>IF(INDEX(pl_status,309)="","",INDEX(pl_num,309)&amp;"")</f>
        <v/>
      </c>
      <c r="B318" s="93" t="str">
        <f>IF(INDEX(pl_status,309)="","",INDEX(pl_eq,309)&amp;"")</f>
        <v/>
      </c>
      <c r="C318" s="93" t="str">
        <f>IF(INDEX(pl_status,309)="","",INDEX(pl_task,309)&amp;"")</f>
        <v/>
      </c>
      <c r="D318" s="94" t="str">
        <f>IF(ISNUMBER(INDEX(pl_due,309)),INDEX(pl_due,309),"")</f>
        <v/>
      </c>
      <c r="E318" s="95" t="str">
        <f>INDEX(pl_status,309)&amp;""</f>
        <v/>
      </c>
      <c r="F318" s="96" t="str">
        <f>IF(E318="En retard","●","")</f>
        <v/>
      </c>
      <c r="G318" s="97">
        <f>IF(ISNUMBER($S318),MAX(0,INT((G$6+6-$S318)/$T318)-MAX(0,-INT(-(G$6-$S318)/$T318))+1),0)</f>
        <v>0.0</v>
      </c>
      <c r="H318" s="97">
        <f>IF(ISNUMBER($S318),MAX(0,INT((H$6+6-$S318)/$T318)-MAX(0,-INT(-(H$6-$S318)/$T318))+1),0)</f>
        <v>0.0</v>
      </c>
      <c r="I318" s="97">
        <f>IF(ISNUMBER($S318),MAX(0,INT((I$6+6-$S318)/$T318)-MAX(0,-INT(-(I$6-$S318)/$T318))+1),0)</f>
        <v>0.0</v>
      </c>
      <c r="J318" s="97">
        <f>IF(ISNUMBER($S318),MAX(0,INT((J$6+6-$S318)/$T318)-MAX(0,-INT(-(J$6-$S318)/$T318))+1),0)</f>
        <v>0.0</v>
      </c>
      <c r="K318" s="97">
        <f>IF(ISNUMBER($S318),MAX(0,INT((K$6+6-$S318)/$T318)-MAX(0,-INT(-(K$6-$S318)/$T318))+1),0)</f>
        <v>0.0</v>
      </c>
      <c r="L318" s="97">
        <f>IF(ISNUMBER($S318),MAX(0,INT((L$6+6-$S318)/$T318)-MAX(0,-INT(-(L$6-$S318)/$T318))+1),0)</f>
        <v>0.0</v>
      </c>
      <c r="M318" s="97">
        <f>IF(ISNUMBER($S318),MAX(0,INT((M$6+6-$S318)/$T318)-MAX(0,-INT(-(M$6-$S318)/$T318))+1),0)</f>
        <v>0.0</v>
      </c>
      <c r="N318" s="97">
        <f>IF(ISNUMBER($S318),MAX(0,INT((N$6+6-$S318)/$T318)-MAX(0,-INT(-(N$6-$S318)/$T318))+1),0)</f>
        <v>0.0</v>
      </c>
      <c r="O318" s="97">
        <f>IF(ISNUMBER($S318),MAX(0,INT((O$6+6-$S318)/$T318)-MAX(0,-INT(-(O$6-$S318)/$T318))+1),0)</f>
        <v>0.0</v>
      </c>
      <c r="P318" s="97">
        <f>IF(ISNUMBER($S318),MAX(0,INT((P$6+6-$S318)/$T318)-MAX(0,-INT(-(P$6-$S318)/$T318))+1),0)</f>
        <v>0.0</v>
      </c>
      <c r="Q318" s="97">
        <f>IF(ISNUMBER($S318),MAX(0,INT((Q$6+6-$S318)/$T318)-MAX(0,-INT(-(Q$6-$S318)/$T318))+1),0)</f>
        <v>0.0</v>
      </c>
      <c r="R318" s="97">
        <f>IF(ISNUMBER($S318),MAX(0,INT((R$6+6-$S318)/$T318)-MAX(0,-INT(-(R$6-$S318)/$T318))+1),0)</f>
        <v>0.0</v>
      </c>
      <c r="S318" t="str">
        <f>IF(ISNUMBER(INDEX(pl_period,309)),MAX(INDEX(pl_due,309),p_today),"")</f>
        <v/>
      </c>
      <c r="T318" t="str">
        <f>IF(ISNUMBER(INDEX(pl_period,309)),INDEX(pl_period,309),"")</f>
        <v/>
      </c>
      <c r="U318">
        <f>N(INDEX(pl_dur,309))</f>
        <v>0.0</v>
      </c>
    </row>
    <row r="319">
      <c r="A319" s="93" t="str">
        <f>IF(INDEX(pl_status,310)="","",INDEX(pl_num,310)&amp;"")</f>
        <v/>
      </c>
      <c r="B319" s="93" t="str">
        <f>IF(INDEX(pl_status,310)="","",INDEX(pl_eq,310)&amp;"")</f>
        <v/>
      </c>
      <c r="C319" s="93" t="str">
        <f>IF(INDEX(pl_status,310)="","",INDEX(pl_task,310)&amp;"")</f>
        <v/>
      </c>
      <c r="D319" s="94" t="str">
        <f>IF(ISNUMBER(INDEX(pl_due,310)),INDEX(pl_due,310),"")</f>
        <v/>
      </c>
      <c r="E319" s="95" t="str">
        <f>INDEX(pl_status,310)&amp;""</f>
        <v/>
      </c>
      <c r="F319" s="96" t="str">
        <f>IF(E319="En retard","●","")</f>
        <v/>
      </c>
      <c r="G319" s="97">
        <f>IF(ISNUMBER($S319),MAX(0,INT((G$6+6-$S319)/$T319)-MAX(0,-INT(-(G$6-$S319)/$T319))+1),0)</f>
        <v>0.0</v>
      </c>
      <c r="H319" s="97">
        <f>IF(ISNUMBER($S319),MAX(0,INT((H$6+6-$S319)/$T319)-MAX(0,-INT(-(H$6-$S319)/$T319))+1),0)</f>
        <v>0.0</v>
      </c>
      <c r="I319" s="97">
        <f>IF(ISNUMBER($S319),MAX(0,INT((I$6+6-$S319)/$T319)-MAX(0,-INT(-(I$6-$S319)/$T319))+1),0)</f>
        <v>0.0</v>
      </c>
      <c r="J319" s="97">
        <f>IF(ISNUMBER($S319),MAX(0,INT((J$6+6-$S319)/$T319)-MAX(0,-INT(-(J$6-$S319)/$T319))+1),0)</f>
        <v>0.0</v>
      </c>
      <c r="K319" s="97">
        <f>IF(ISNUMBER($S319),MAX(0,INT((K$6+6-$S319)/$T319)-MAX(0,-INT(-(K$6-$S319)/$T319))+1),0)</f>
        <v>0.0</v>
      </c>
      <c r="L319" s="97">
        <f>IF(ISNUMBER($S319),MAX(0,INT((L$6+6-$S319)/$T319)-MAX(0,-INT(-(L$6-$S319)/$T319))+1),0)</f>
        <v>0.0</v>
      </c>
      <c r="M319" s="97">
        <f>IF(ISNUMBER($S319),MAX(0,INT((M$6+6-$S319)/$T319)-MAX(0,-INT(-(M$6-$S319)/$T319))+1),0)</f>
        <v>0.0</v>
      </c>
      <c r="N319" s="97">
        <f>IF(ISNUMBER($S319),MAX(0,INT((N$6+6-$S319)/$T319)-MAX(0,-INT(-(N$6-$S319)/$T319))+1),0)</f>
        <v>0.0</v>
      </c>
      <c r="O319" s="97">
        <f>IF(ISNUMBER($S319),MAX(0,INT((O$6+6-$S319)/$T319)-MAX(0,-INT(-(O$6-$S319)/$T319))+1),0)</f>
        <v>0.0</v>
      </c>
      <c r="P319" s="97">
        <f>IF(ISNUMBER($S319),MAX(0,INT((P$6+6-$S319)/$T319)-MAX(0,-INT(-(P$6-$S319)/$T319))+1),0)</f>
        <v>0.0</v>
      </c>
      <c r="Q319" s="97">
        <f>IF(ISNUMBER($S319),MAX(0,INT((Q$6+6-$S319)/$T319)-MAX(0,-INT(-(Q$6-$S319)/$T319))+1),0)</f>
        <v>0.0</v>
      </c>
      <c r="R319" s="97">
        <f>IF(ISNUMBER($S319),MAX(0,INT((R$6+6-$S319)/$T319)-MAX(0,-INT(-(R$6-$S319)/$T319))+1),0)</f>
        <v>0.0</v>
      </c>
      <c r="S319" t="str">
        <f>IF(ISNUMBER(INDEX(pl_period,310)),MAX(INDEX(pl_due,310),p_today),"")</f>
        <v/>
      </c>
      <c r="T319" t="str">
        <f>IF(ISNUMBER(INDEX(pl_period,310)),INDEX(pl_period,310),"")</f>
        <v/>
      </c>
      <c r="U319">
        <f>N(INDEX(pl_dur,310))</f>
        <v>0.0</v>
      </c>
    </row>
    <row r="320">
      <c r="A320" s="93" t="str">
        <f>IF(INDEX(pl_status,311)="","",INDEX(pl_num,311)&amp;"")</f>
        <v/>
      </c>
      <c r="B320" s="93" t="str">
        <f>IF(INDEX(pl_status,311)="","",INDEX(pl_eq,311)&amp;"")</f>
        <v/>
      </c>
      <c r="C320" s="93" t="str">
        <f>IF(INDEX(pl_status,311)="","",INDEX(pl_task,311)&amp;"")</f>
        <v/>
      </c>
      <c r="D320" s="94" t="str">
        <f>IF(ISNUMBER(INDEX(pl_due,311)),INDEX(pl_due,311),"")</f>
        <v/>
      </c>
      <c r="E320" s="95" t="str">
        <f>INDEX(pl_status,311)&amp;""</f>
        <v/>
      </c>
      <c r="F320" s="96" t="str">
        <f>IF(E320="En retard","●","")</f>
        <v/>
      </c>
      <c r="G320" s="97">
        <f>IF(ISNUMBER($S320),MAX(0,INT((G$6+6-$S320)/$T320)-MAX(0,-INT(-(G$6-$S320)/$T320))+1),0)</f>
        <v>0.0</v>
      </c>
      <c r="H320" s="97">
        <f>IF(ISNUMBER($S320),MAX(0,INT((H$6+6-$S320)/$T320)-MAX(0,-INT(-(H$6-$S320)/$T320))+1),0)</f>
        <v>0.0</v>
      </c>
      <c r="I320" s="97">
        <f>IF(ISNUMBER($S320),MAX(0,INT((I$6+6-$S320)/$T320)-MAX(0,-INT(-(I$6-$S320)/$T320))+1),0)</f>
        <v>0.0</v>
      </c>
      <c r="J320" s="97">
        <f>IF(ISNUMBER($S320),MAX(0,INT((J$6+6-$S320)/$T320)-MAX(0,-INT(-(J$6-$S320)/$T320))+1),0)</f>
        <v>0.0</v>
      </c>
      <c r="K320" s="97">
        <f>IF(ISNUMBER($S320),MAX(0,INT((K$6+6-$S320)/$T320)-MAX(0,-INT(-(K$6-$S320)/$T320))+1),0)</f>
        <v>0.0</v>
      </c>
      <c r="L320" s="97">
        <f>IF(ISNUMBER($S320),MAX(0,INT((L$6+6-$S320)/$T320)-MAX(0,-INT(-(L$6-$S320)/$T320))+1),0)</f>
        <v>0.0</v>
      </c>
      <c r="M320" s="97">
        <f>IF(ISNUMBER($S320),MAX(0,INT((M$6+6-$S320)/$T320)-MAX(0,-INT(-(M$6-$S320)/$T320))+1),0)</f>
        <v>0.0</v>
      </c>
      <c r="N320" s="97">
        <f>IF(ISNUMBER($S320),MAX(0,INT((N$6+6-$S320)/$T320)-MAX(0,-INT(-(N$6-$S320)/$T320))+1),0)</f>
        <v>0.0</v>
      </c>
      <c r="O320" s="97">
        <f>IF(ISNUMBER($S320),MAX(0,INT((O$6+6-$S320)/$T320)-MAX(0,-INT(-(O$6-$S320)/$T320))+1),0)</f>
        <v>0.0</v>
      </c>
      <c r="P320" s="97">
        <f>IF(ISNUMBER($S320),MAX(0,INT((P$6+6-$S320)/$T320)-MAX(0,-INT(-(P$6-$S320)/$T320))+1),0)</f>
        <v>0.0</v>
      </c>
      <c r="Q320" s="97">
        <f>IF(ISNUMBER($S320),MAX(0,INT((Q$6+6-$S320)/$T320)-MAX(0,-INT(-(Q$6-$S320)/$T320))+1),0)</f>
        <v>0.0</v>
      </c>
      <c r="R320" s="97">
        <f>IF(ISNUMBER($S320),MAX(0,INT((R$6+6-$S320)/$T320)-MAX(0,-INT(-(R$6-$S320)/$T320))+1),0)</f>
        <v>0.0</v>
      </c>
      <c r="S320" t="str">
        <f>IF(ISNUMBER(INDEX(pl_period,311)),MAX(INDEX(pl_due,311),p_today),"")</f>
        <v/>
      </c>
      <c r="T320" t="str">
        <f>IF(ISNUMBER(INDEX(pl_period,311)),INDEX(pl_period,311),"")</f>
        <v/>
      </c>
      <c r="U320">
        <f>N(INDEX(pl_dur,311))</f>
        <v>0.0</v>
      </c>
    </row>
    <row r="321">
      <c r="A321" s="93" t="str">
        <f>IF(INDEX(pl_status,312)="","",INDEX(pl_num,312)&amp;"")</f>
        <v/>
      </c>
      <c r="B321" s="93" t="str">
        <f>IF(INDEX(pl_status,312)="","",INDEX(pl_eq,312)&amp;"")</f>
        <v/>
      </c>
      <c r="C321" s="93" t="str">
        <f>IF(INDEX(pl_status,312)="","",INDEX(pl_task,312)&amp;"")</f>
        <v/>
      </c>
      <c r="D321" s="94" t="str">
        <f>IF(ISNUMBER(INDEX(pl_due,312)),INDEX(pl_due,312),"")</f>
        <v/>
      </c>
      <c r="E321" s="95" t="str">
        <f>INDEX(pl_status,312)&amp;""</f>
        <v/>
      </c>
      <c r="F321" s="96" t="str">
        <f>IF(E321="En retard","●","")</f>
        <v/>
      </c>
      <c r="G321" s="97">
        <f>IF(ISNUMBER($S321),MAX(0,INT((G$6+6-$S321)/$T321)-MAX(0,-INT(-(G$6-$S321)/$T321))+1),0)</f>
        <v>0.0</v>
      </c>
      <c r="H321" s="97">
        <f>IF(ISNUMBER($S321),MAX(0,INT((H$6+6-$S321)/$T321)-MAX(0,-INT(-(H$6-$S321)/$T321))+1),0)</f>
        <v>0.0</v>
      </c>
      <c r="I321" s="97">
        <f>IF(ISNUMBER($S321),MAX(0,INT((I$6+6-$S321)/$T321)-MAX(0,-INT(-(I$6-$S321)/$T321))+1),0)</f>
        <v>0.0</v>
      </c>
      <c r="J321" s="97">
        <f>IF(ISNUMBER($S321),MAX(0,INT((J$6+6-$S321)/$T321)-MAX(0,-INT(-(J$6-$S321)/$T321))+1),0)</f>
        <v>0.0</v>
      </c>
      <c r="K321" s="97">
        <f>IF(ISNUMBER($S321),MAX(0,INT((K$6+6-$S321)/$T321)-MAX(0,-INT(-(K$6-$S321)/$T321))+1),0)</f>
        <v>0.0</v>
      </c>
      <c r="L321" s="97">
        <f>IF(ISNUMBER($S321),MAX(0,INT((L$6+6-$S321)/$T321)-MAX(0,-INT(-(L$6-$S321)/$T321))+1),0)</f>
        <v>0.0</v>
      </c>
      <c r="M321" s="97">
        <f>IF(ISNUMBER($S321),MAX(0,INT((M$6+6-$S321)/$T321)-MAX(0,-INT(-(M$6-$S321)/$T321))+1),0)</f>
        <v>0.0</v>
      </c>
      <c r="N321" s="97">
        <f>IF(ISNUMBER($S321),MAX(0,INT((N$6+6-$S321)/$T321)-MAX(0,-INT(-(N$6-$S321)/$T321))+1),0)</f>
        <v>0.0</v>
      </c>
      <c r="O321" s="97">
        <f>IF(ISNUMBER($S321),MAX(0,INT((O$6+6-$S321)/$T321)-MAX(0,-INT(-(O$6-$S321)/$T321))+1),0)</f>
        <v>0.0</v>
      </c>
      <c r="P321" s="97">
        <f>IF(ISNUMBER($S321),MAX(0,INT((P$6+6-$S321)/$T321)-MAX(0,-INT(-(P$6-$S321)/$T321))+1),0)</f>
        <v>0.0</v>
      </c>
      <c r="Q321" s="97">
        <f>IF(ISNUMBER($S321),MAX(0,INT((Q$6+6-$S321)/$T321)-MAX(0,-INT(-(Q$6-$S321)/$T321))+1),0)</f>
        <v>0.0</v>
      </c>
      <c r="R321" s="97">
        <f>IF(ISNUMBER($S321),MAX(0,INT((R$6+6-$S321)/$T321)-MAX(0,-INT(-(R$6-$S321)/$T321))+1),0)</f>
        <v>0.0</v>
      </c>
      <c r="S321" t="str">
        <f>IF(ISNUMBER(INDEX(pl_period,312)),MAX(INDEX(pl_due,312),p_today),"")</f>
        <v/>
      </c>
      <c r="T321" t="str">
        <f>IF(ISNUMBER(INDEX(pl_period,312)),INDEX(pl_period,312),"")</f>
        <v/>
      </c>
      <c r="U321">
        <f>N(INDEX(pl_dur,312))</f>
        <v>0.0</v>
      </c>
    </row>
    <row r="322">
      <c r="A322" s="93" t="str">
        <f>IF(INDEX(pl_status,313)="","",INDEX(pl_num,313)&amp;"")</f>
        <v/>
      </c>
      <c r="B322" s="93" t="str">
        <f>IF(INDEX(pl_status,313)="","",INDEX(pl_eq,313)&amp;"")</f>
        <v/>
      </c>
      <c r="C322" s="93" t="str">
        <f>IF(INDEX(pl_status,313)="","",INDEX(pl_task,313)&amp;"")</f>
        <v/>
      </c>
      <c r="D322" s="94" t="str">
        <f>IF(ISNUMBER(INDEX(pl_due,313)),INDEX(pl_due,313),"")</f>
        <v/>
      </c>
      <c r="E322" s="95" t="str">
        <f>INDEX(pl_status,313)&amp;""</f>
        <v/>
      </c>
      <c r="F322" s="96" t="str">
        <f>IF(E322="En retard","●","")</f>
        <v/>
      </c>
      <c r="G322" s="97">
        <f>IF(ISNUMBER($S322),MAX(0,INT((G$6+6-$S322)/$T322)-MAX(0,-INT(-(G$6-$S322)/$T322))+1),0)</f>
        <v>0.0</v>
      </c>
      <c r="H322" s="97">
        <f>IF(ISNUMBER($S322),MAX(0,INT((H$6+6-$S322)/$T322)-MAX(0,-INT(-(H$6-$S322)/$T322))+1),0)</f>
        <v>0.0</v>
      </c>
      <c r="I322" s="97">
        <f>IF(ISNUMBER($S322),MAX(0,INT((I$6+6-$S322)/$T322)-MAX(0,-INT(-(I$6-$S322)/$T322))+1),0)</f>
        <v>0.0</v>
      </c>
      <c r="J322" s="97">
        <f>IF(ISNUMBER($S322),MAX(0,INT((J$6+6-$S322)/$T322)-MAX(0,-INT(-(J$6-$S322)/$T322))+1),0)</f>
        <v>0.0</v>
      </c>
      <c r="K322" s="97">
        <f>IF(ISNUMBER($S322),MAX(0,INT((K$6+6-$S322)/$T322)-MAX(0,-INT(-(K$6-$S322)/$T322))+1),0)</f>
        <v>0.0</v>
      </c>
      <c r="L322" s="97">
        <f>IF(ISNUMBER($S322),MAX(0,INT((L$6+6-$S322)/$T322)-MAX(0,-INT(-(L$6-$S322)/$T322))+1),0)</f>
        <v>0.0</v>
      </c>
      <c r="M322" s="97">
        <f>IF(ISNUMBER($S322),MAX(0,INT((M$6+6-$S322)/$T322)-MAX(0,-INT(-(M$6-$S322)/$T322))+1),0)</f>
        <v>0.0</v>
      </c>
      <c r="N322" s="97">
        <f>IF(ISNUMBER($S322),MAX(0,INT((N$6+6-$S322)/$T322)-MAX(0,-INT(-(N$6-$S322)/$T322))+1),0)</f>
        <v>0.0</v>
      </c>
      <c r="O322" s="97">
        <f>IF(ISNUMBER($S322),MAX(0,INT((O$6+6-$S322)/$T322)-MAX(0,-INT(-(O$6-$S322)/$T322))+1),0)</f>
        <v>0.0</v>
      </c>
      <c r="P322" s="97">
        <f>IF(ISNUMBER($S322),MAX(0,INT((P$6+6-$S322)/$T322)-MAX(0,-INT(-(P$6-$S322)/$T322))+1),0)</f>
        <v>0.0</v>
      </c>
      <c r="Q322" s="97">
        <f>IF(ISNUMBER($S322),MAX(0,INT((Q$6+6-$S322)/$T322)-MAX(0,-INT(-(Q$6-$S322)/$T322))+1),0)</f>
        <v>0.0</v>
      </c>
      <c r="R322" s="97">
        <f>IF(ISNUMBER($S322),MAX(0,INT((R$6+6-$S322)/$T322)-MAX(0,-INT(-(R$6-$S322)/$T322))+1),0)</f>
        <v>0.0</v>
      </c>
      <c r="S322" t="str">
        <f>IF(ISNUMBER(INDEX(pl_period,313)),MAX(INDEX(pl_due,313),p_today),"")</f>
        <v/>
      </c>
      <c r="T322" t="str">
        <f>IF(ISNUMBER(INDEX(pl_period,313)),INDEX(pl_period,313),"")</f>
        <v/>
      </c>
      <c r="U322">
        <f>N(INDEX(pl_dur,313))</f>
        <v>0.0</v>
      </c>
    </row>
    <row r="323">
      <c r="A323" s="93" t="str">
        <f>IF(INDEX(pl_status,314)="","",INDEX(pl_num,314)&amp;"")</f>
        <v/>
      </c>
      <c r="B323" s="93" t="str">
        <f>IF(INDEX(pl_status,314)="","",INDEX(pl_eq,314)&amp;"")</f>
        <v/>
      </c>
      <c r="C323" s="93" t="str">
        <f>IF(INDEX(pl_status,314)="","",INDEX(pl_task,314)&amp;"")</f>
        <v/>
      </c>
      <c r="D323" s="94" t="str">
        <f>IF(ISNUMBER(INDEX(pl_due,314)),INDEX(pl_due,314),"")</f>
        <v/>
      </c>
      <c r="E323" s="95" t="str">
        <f>INDEX(pl_status,314)&amp;""</f>
        <v/>
      </c>
      <c r="F323" s="96" t="str">
        <f>IF(E323="En retard","●","")</f>
        <v/>
      </c>
      <c r="G323" s="97">
        <f>IF(ISNUMBER($S323),MAX(0,INT((G$6+6-$S323)/$T323)-MAX(0,-INT(-(G$6-$S323)/$T323))+1),0)</f>
        <v>0.0</v>
      </c>
      <c r="H323" s="97">
        <f>IF(ISNUMBER($S323),MAX(0,INT((H$6+6-$S323)/$T323)-MAX(0,-INT(-(H$6-$S323)/$T323))+1),0)</f>
        <v>0.0</v>
      </c>
      <c r="I323" s="97">
        <f>IF(ISNUMBER($S323),MAX(0,INT((I$6+6-$S323)/$T323)-MAX(0,-INT(-(I$6-$S323)/$T323))+1),0)</f>
        <v>0.0</v>
      </c>
      <c r="J323" s="97">
        <f>IF(ISNUMBER($S323),MAX(0,INT((J$6+6-$S323)/$T323)-MAX(0,-INT(-(J$6-$S323)/$T323))+1),0)</f>
        <v>0.0</v>
      </c>
      <c r="K323" s="97">
        <f>IF(ISNUMBER($S323),MAX(0,INT((K$6+6-$S323)/$T323)-MAX(0,-INT(-(K$6-$S323)/$T323))+1),0)</f>
        <v>0.0</v>
      </c>
      <c r="L323" s="97">
        <f>IF(ISNUMBER($S323),MAX(0,INT((L$6+6-$S323)/$T323)-MAX(0,-INT(-(L$6-$S323)/$T323))+1),0)</f>
        <v>0.0</v>
      </c>
      <c r="M323" s="97">
        <f>IF(ISNUMBER($S323),MAX(0,INT((M$6+6-$S323)/$T323)-MAX(0,-INT(-(M$6-$S323)/$T323))+1),0)</f>
        <v>0.0</v>
      </c>
      <c r="N323" s="97">
        <f>IF(ISNUMBER($S323),MAX(0,INT((N$6+6-$S323)/$T323)-MAX(0,-INT(-(N$6-$S323)/$T323))+1),0)</f>
        <v>0.0</v>
      </c>
      <c r="O323" s="97">
        <f>IF(ISNUMBER($S323),MAX(0,INT((O$6+6-$S323)/$T323)-MAX(0,-INT(-(O$6-$S323)/$T323))+1),0)</f>
        <v>0.0</v>
      </c>
      <c r="P323" s="97">
        <f>IF(ISNUMBER($S323),MAX(0,INT((P$6+6-$S323)/$T323)-MAX(0,-INT(-(P$6-$S323)/$T323))+1),0)</f>
        <v>0.0</v>
      </c>
      <c r="Q323" s="97">
        <f>IF(ISNUMBER($S323),MAX(0,INT((Q$6+6-$S323)/$T323)-MAX(0,-INT(-(Q$6-$S323)/$T323))+1),0)</f>
        <v>0.0</v>
      </c>
      <c r="R323" s="97">
        <f>IF(ISNUMBER($S323),MAX(0,INT((R$6+6-$S323)/$T323)-MAX(0,-INT(-(R$6-$S323)/$T323))+1),0)</f>
        <v>0.0</v>
      </c>
      <c r="S323" t="str">
        <f>IF(ISNUMBER(INDEX(pl_period,314)),MAX(INDEX(pl_due,314),p_today),"")</f>
        <v/>
      </c>
      <c r="T323" t="str">
        <f>IF(ISNUMBER(INDEX(pl_period,314)),INDEX(pl_period,314),"")</f>
        <v/>
      </c>
      <c r="U323">
        <f>N(INDEX(pl_dur,314))</f>
        <v>0.0</v>
      </c>
    </row>
    <row r="324">
      <c r="A324" s="93" t="str">
        <f>IF(INDEX(pl_status,315)="","",INDEX(pl_num,315)&amp;"")</f>
        <v/>
      </c>
      <c r="B324" s="93" t="str">
        <f>IF(INDEX(pl_status,315)="","",INDEX(pl_eq,315)&amp;"")</f>
        <v/>
      </c>
      <c r="C324" s="93" t="str">
        <f>IF(INDEX(pl_status,315)="","",INDEX(pl_task,315)&amp;"")</f>
        <v/>
      </c>
      <c r="D324" s="94" t="str">
        <f>IF(ISNUMBER(INDEX(pl_due,315)),INDEX(pl_due,315),"")</f>
        <v/>
      </c>
      <c r="E324" s="95" t="str">
        <f>INDEX(pl_status,315)&amp;""</f>
        <v/>
      </c>
      <c r="F324" s="96" t="str">
        <f>IF(E324="En retard","●","")</f>
        <v/>
      </c>
      <c r="G324" s="97">
        <f>IF(ISNUMBER($S324),MAX(0,INT((G$6+6-$S324)/$T324)-MAX(0,-INT(-(G$6-$S324)/$T324))+1),0)</f>
        <v>0.0</v>
      </c>
      <c r="H324" s="97">
        <f>IF(ISNUMBER($S324),MAX(0,INT((H$6+6-$S324)/$T324)-MAX(0,-INT(-(H$6-$S324)/$T324))+1),0)</f>
        <v>0.0</v>
      </c>
      <c r="I324" s="97">
        <f>IF(ISNUMBER($S324),MAX(0,INT((I$6+6-$S324)/$T324)-MAX(0,-INT(-(I$6-$S324)/$T324))+1),0)</f>
        <v>0.0</v>
      </c>
      <c r="J324" s="97">
        <f>IF(ISNUMBER($S324),MAX(0,INT((J$6+6-$S324)/$T324)-MAX(0,-INT(-(J$6-$S324)/$T324))+1),0)</f>
        <v>0.0</v>
      </c>
      <c r="K324" s="97">
        <f>IF(ISNUMBER($S324),MAX(0,INT((K$6+6-$S324)/$T324)-MAX(0,-INT(-(K$6-$S324)/$T324))+1),0)</f>
        <v>0.0</v>
      </c>
      <c r="L324" s="97">
        <f>IF(ISNUMBER($S324),MAX(0,INT((L$6+6-$S324)/$T324)-MAX(0,-INT(-(L$6-$S324)/$T324))+1),0)</f>
        <v>0.0</v>
      </c>
      <c r="M324" s="97">
        <f>IF(ISNUMBER($S324),MAX(0,INT((M$6+6-$S324)/$T324)-MAX(0,-INT(-(M$6-$S324)/$T324))+1),0)</f>
        <v>0.0</v>
      </c>
      <c r="N324" s="97">
        <f>IF(ISNUMBER($S324),MAX(0,INT((N$6+6-$S324)/$T324)-MAX(0,-INT(-(N$6-$S324)/$T324))+1),0)</f>
        <v>0.0</v>
      </c>
      <c r="O324" s="97">
        <f>IF(ISNUMBER($S324),MAX(0,INT((O$6+6-$S324)/$T324)-MAX(0,-INT(-(O$6-$S324)/$T324))+1),0)</f>
        <v>0.0</v>
      </c>
      <c r="P324" s="97">
        <f>IF(ISNUMBER($S324),MAX(0,INT((P$6+6-$S324)/$T324)-MAX(0,-INT(-(P$6-$S324)/$T324))+1),0)</f>
        <v>0.0</v>
      </c>
      <c r="Q324" s="97">
        <f>IF(ISNUMBER($S324),MAX(0,INT((Q$6+6-$S324)/$T324)-MAX(0,-INT(-(Q$6-$S324)/$T324))+1),0)</f>
        <v>0.0</v>
      </c>
      <c r="R324" s="97">
        <f>IF(ISNUMBER($S324),MAX(0,INT((R$6+6-$S324)/$T324)-MAX(0,-INT(-(R$6-$S324)/$T324))+1),0)</f>
        <v>0.0</v>
      </c>
      <c r="S324" t="str">
        <f>IF(ISNUMBER(INDEX(pl_period,315)),MAX(INDEX(pl_due,315),p_today),"")</f>
        <v/>
      </c>
      <c r="T324" t="str">
        <f>IF(ISNUMBER(INDEX(pl_period,315)),INDEX(pl_period,315),"")</f>
        <v/>
      </c>
      <c r="U324">
        <f>N(INDEX(pl_dur,315))</f>
        <v>0.0</v>
      </c>
    </row>
    <row r="325">
      <c r="A325" s="93" t="str">
        <f>IF(INDEX(pl_status,316)="","",INDEX(pl_num,316)&amp;"")</f>
        <v/>
      </c>
      <c r="B325" s="93" t="str">
        <f>IF(INDEX(pl_status,316)="","",INDEX(pl_eq,316)&amp;"")</f>
        <v/>
      </c>
      <c r="C325" s="93" t="str">
        <f>IF(INDEX(pl_status,316)="","",INDEX(pl_task,316)&amp;"")</f>
        <v/>
      </c>
      <c r="D325" s="94" t="str">
        <f>IF(ISNUMBER(INDEX(pl_due,316)),INDEX(pl_due,316),"")</f>
        <v/>
      </c>
      <c r="E325" s="95" t="str">
        <f>INDEX(pl_status,316)&amp;""</f>
        <v/>
      </c>
      <c r="F325" s="96" t="str">
        <f>IF(E325="En retard","●","")</f>
        <v/>
      </c>
      <c r="G325" s="97">
        <f>IF(ISNUMBER($S325),MAX(0,INT((G$6+6-$S325)/$T325)-MAX(0,-INT(-(G$6-$S325)/$T325))+1),0)</f>
        <v>0.0</v>
      </c>
      <c r="H325" s="97">
        <f>IF(ISNUMBER($S325),MAX(0,INT((H$6+6-$S325)/$T325)-MAX(0,-INT(-(H$6-$S325)/$T325))+1),0)</f>
        <v>0.0</v>
      </c>
      <c r="I325" s="97">
        <f>IF(ISNUMBER($S325),MAX(0,INT((I$6+6-$S325)/$T325)-MAX(0,-INT(-(I$6-$S325)/$T325))+1),0)</f>
        <v>0.0</v>
      </c>
      <c r="J325" s="97">
        <f>IF(ISNUMBER($S325),MAX(0,INT((J$6+6-$S325)/$T325)-MAX(0,-INT(-(J$6-$S325)/$T325))+1),0)</f>
        <v>0.0</v>
      </c>
      <c r="K325" s="97">
        <f>IF(ISNUMBER($S325),MAX(0,INT((K$6+6-$S325)/$T325)-MAX(0,-INT(-(K$6-$S325)/$T325))+1),0)</f>
        <v>0.0</v>
      </c>
      <c r="L325" s="97">
        <f>IF(ISNUMBER($S325),MAX(0,INT((L$6+6-$S325)/$T325)-MAX(0,-INT(-(L$6-$S325)/$T325))+1),0)</f>
        <v>0.0</v>
      </c>
      <c r="M325" s="97">
        <f>IF(ISNUMBER($S325),MAX(0,INT((M$6+6-$S325)/$T325)-MAX(0,-INT(-(M$6-$S325)/$T325))+1),0)</f>
        <v>0.0</v>
      </c>
      <c r="N325" s="97">
        <f>IF(ISNUMBER($S325),MAX(0,INT((N$6+6-$S325)/$T325)-MAX(0,-INT(-(N$6-$S325)/$T325))+1),0)</f>
        <v>0.0</v>
      </c>
      <c r="O325" s="97">
        <f>IF(ISNUMBER($S325),MAX(0,INT((O$6+6-$S325)/$T325)-MAX(0,-INT(-(O$6-$S325)/$T325))+1),0)</f>
        <v>0.0</v>
      </c>
      <c r="P325" s="97">
        <f>IF(ISNUMBER($S325),MAX(0,INT((P$6+6-$S325)/$T325)-MAX(0,-INT(-(P$6-$S325)/$T325))+1),0)</f>
        <v>0.0</v>
      </c>
      <c r="Q325" s="97">
        <f>IF(ISNUMBER($S325),MAX(0,INT((Q$6+6-$S325)/$T325)-MAX(0,-INT(-(Q$6-$S325)/$T325))+1),0)</f>
        <v>0.0</v>
      </c>
      <c r="R325" s="97">
        <f>IF(ISNUMBER($S325),MAX(0,INT((R$6+6-$S325)/$T325)-MAX(0,-INT(-(R$6-$S325)/$T325))+1),0)</f>
        <v>0.0</v>
      </c>
      <c r="S325" t="str">
        <f>IF(ISNUMBER(INDEX(pl_period,316)),MAX(INDEX(pl_due,316),p_today),"")</f>
        <v/>
      </c>
      <c r="T325" t="str">
        <f>IF(ISNUMBER(INDEX(pl_period,316)),INDEX(pl_period,316),"")</f>
        <v/>
      </c>
      <c r="U325">
        <f>N(INDEX(pl_dur,316))</f>
        <v>0.0</v>
      </c>
    </row>
    <row r="326">
      <c r="A326" s="93" t="str">
        <f>IF(INDEX(pl_status,317)="","",INDEX(pl_num,317)&amp;"")</f>
        <v/>
      </c>
      <c r="B326" s="93" t="str">
        <f>IF(INDEX(pl_status,317)="","",INDEX(pl_eq,317)&amp;"")</f>
        <v/>
      </c>
      <c r="C326" s="93" t="str">
        <f>IF(INDEX(pl_status,317)="","",INDEX(pl_task,317)&amp;"")</f>
        <v/>
      </c>
      <c r="D326" s="94" t="str">
        <f>IF(ISNUMBER(INDEX(pl_due,317)),INDEX(pl_due,317),"")</f>
        <v/>
      </c>
      <c r="E326" s="95" t="str">
        <f>INDEX(pl_status,317)&amp;""</f>
        <v/>
      </c>
      <c r="F326" s="96" t="str">
        <f>IF(E326="En retard","●","")</f>
        <v/>
      </c>
      <c r="G326" s="97">
        <f>IF(ISNUMBER($S326),MAX(0,INT((G$6+6-$S326)/$T326)-MAX(0,-INT(-(G$6-$S326)/$T326))+1),0)</f>
        <v>0.0</v>
      </c>
      <c r="H326" s="97">
        <f>IF(ISNUMBER($S326),MAX(0,INT((H$6+6-$S326)/$T326)-MAX(0,-INT(-(H$6-$S326)/$T326))+1),0)</f>
        <v>0.0</v>
      </c>
      <c r="I326" s="97">
        <f>IF(ISNUMBER($S326),MAX(0,INT((I$6+6-$S326)/$T326)-MAX(0,-INT(-(I$6-$S326)/$T326))+1),0)</f>
        <v>0.0</v>
      </c>
      <c r="J326" s="97">
        <f>IF(ISNUMBER($S326),MAX(0,INT((J$6+6-$S326)/$T326)-MAX(0,-INT(-(J$6-$S326)/$T326))+1),0)</f>
        <v>0.0</v>
      </c>
      <c r="K326" s="97">
        <f>IF(ISNUMBER($S326),MAX(0,INT((K$6+6-$S326)/$T326)-MAX(0,-INT(-(K$6-$S326)/$T326))+1),0)</f>
        <v>0.0</v>
      </c>
      <c r="L326" s="97">
        <f>IF(ISNUMBER($S326),MAX(0,INT((L$6+6-$S326)/$T326)-MAX(0,-INT(-(L$6-$S326)/$T326))+1),0)</f>
        <v>0.0</v>
      </c>
      <c r="M326" s="97">
        <f>IF(ISNUMBER($S326),MAX(0,INT((M$6+6-$S326)/$T326)-MAX(0,-INT(-(M$6-$S326)/$T326))+1),0)</f>
        <v>0.0</v>
      </c>
      <c r="N326" s="97">
        <f>IF(ISNUMBER($S326),MAX(0,INT((N$6+6-$S326)/$T326)-MAX(0,-INT(-(N$6-$S326)/$T326))+1),0)</f>
        <v>0.0</v>
      </c>
      <c r="O326" s="97">
        <f>IF(ISNUMBER($S326),MAX(0,INT((O$6+6-$S326)/$T326)-MAX(0,-INT(-(O$6-$S326)/$T326))+1),0)</f>
        <v>0.0</v>
      </c>
      <c r="P326" s="97">
        <f>IF(ISNUMBER($S326),MAX(0,INT((P$6+6-$S326)/$T326)-MAX(0,-INT(-(P$6-$S326)/$T326))+1),0)</f>
        <v>0.0</v>
      </c>
      <c r="Q326" s="97">
        <f>IF(ISNUMBER($S326),MAX(0,INT((Q$6+6-$S326)/$T326)-MAX(0,-INT(-(Q$6-$S326)/$T326))+1),0)</f>
        <v>0.0</v>
      </c>
      <c r="R326" s="97">
        <f>IF(ISNUMBER($S326),MAX(0,INT((R$6+6-$S326)/$T326)-MAX(0,-INT(-(R$6-$S326)/$T326))+1),0)</f>
        <v>0.0</v>
      </c>
      <c r="S326" t="str">
        <f>IF(ISNUMBER(INDEX(pl_period,317)),MAX(INDEX(pl_due,317),p_today),"")</f>
        <v/>
      </c>
      <c r="T326" t="str">
        <f>IF(ISNUMBER(INDEX(pl_period,317)),INDEX(pl_period,317),"")</f>
        <v/>
      </c>
      <c r="U326">
        <f>N(INDEX(pl_dur,317))</f>
        <v>0.0</v>
      </c>
    </row>
    <row r="327">
      <c r="A327" s="93" t="str">
        <f>IF(INDEX(pl_status,318)="","",INDEX(pl_num,318)&amp;"")</f>
        <v/>
      </c>
      <c r="B327" s="93" t="str">
        <f>IF(INDEX(pl_status,318)="","",INDEX(pl_eq,318)&amp;"")</f>
        <v/>
      </c>
      <c r="C327" s="93" t="str">
        <f>IF(INDEX(pl_status,318)="","",INDEX(pl_task,318)&amp;"")</f>
        <v/>
      </c>
      <c r="D327" s="94" t="str">
        <f>IF(ISNUMBER(INDEX(pl_due,318)),INDEX(pl_due,318),"")</f>
        <v/>
      </c>
      <c r="E327" s="95" t="str">
        <f>INDEX(pl_status,318)&amp;""</f>
        <v/>
      </c>
      <c r="F327" s="96" t="str">
        <f>IF(E327="En retard","●","")</f>
        <v/>
      </c>
      <c r="G327" s="97">
        <f>IF(ISNUMBER($S327),MAX(0,INT((G$6+6-$S327)/$T327)-MAX(0,-INT(-(G$6-$S327)/$T327))+1),0)</f>
        <v>0.0</v>
      </c>
      <c r="H327" s="97">
        <f>IF(ISNUMBER($S327),MAX(0,INT((H$6+6-$S327)/$T327)-MAX(0,-INT(-(H$6-$S327)/$T327))+1),0)</f>
        <v>0.0</v>
      </c>
      <c r="I327" s="97">
        <f>IF(ISNUMBER($S327),MAX(0,INT((I$6+6-$S327)/$T327)-MAX(0,-INT(-(I$6-$S327)/$T327))+1),0)</f>
        <v>0.0</v>
      </c>
      <c r="J327" s="97">
        <f>IF(ISNUMBER($S327),MAX(0,INT((J$6+6-$S327)/$T327)-MAX(0,-INT(-(J$6-$S327)/$T327))+1),0)</f>
        <v>0.0</v>
      </c>
      <c r="K327" s="97">
        <f>IF(ISNUMBER($S327),MAX(0,INT((K$6+6-$S327)/$T327)-MAX(0,-INT(-(K$6-$S327)/$T327))+1),0)</f>
        <v>0.0</v>
      </c>
      <c r="L327" s="97">
        <f>IF(ISNUMBER($S327),MAX(0,INT((L$6+6-$S327)/$T327)-MAX(0,-INT(-(L$6-$S327)/$T327))+1),0)</f>
        <v>0.0</v>
      </c>
      <c r="M327" s="97">
        <f>IF(ISNUMBER($S327),MAX(0,INT((M$6+6-$S327)/$T327)-MAX(0,-INT(-(M$6-$S327)/$T327))+1),0)</f>
        <v>0.0</v>
      </c>
      <c r="N327" s="97">
        <f>IF(ISNUMBER($S327),MAX(0,INT((N$6+6-$S327)/$T327)-MAX(0,-INT(-(N$6-$S327)/$T327))+1),0)</f>
        <v>0.0</v>
      </c>
      <c r="O327" s="97">
        <f>IF(ISNUMBER($S327),MAX(0,INT((O$6+6-$S327)/$T327)-MAX(0,-INT(-(O$6-$S327)/$T327))+1),0)</f>
        <v>0.0</v>
      </c>
      <c r="P327" s="97">
        <f>IF(ISNUMBER($S327),MAX(0,INT((P$6+6-$S327)/$T327)-MAX(0,-INT(-(P$6-$S327)/$T327))+1),0)</f>
        <v>0.0</v>
      </c>
      <c r="Q327" s="97">
        <f>IF(ISNUMBER($S327),MAX(0,INT((Q$6+6-$S327)/$T327)-MAX(0,-INT(-(Q$6-$S327)/$T327))+1),0)</f>
        <v>0.0</v>
      </c>
      <c r="R327" s="97">
        <f>IF(ISNUMBER($S327),MAX(0,INT((R$6+6-$S327)/$T327)-MAX(0,-INT(-(R$6-$S327)/$T327))+1),0)</f>
        <v>0.0</v>
      </c>
      <c r="S327" t="str">
        <f>IF(ISNUMBER(INDEX(pl_period,318)),MAX(INDEX(pl_due,318),p_today),"")</f>
        <v/>
      </c>
      <c r="T327" t="str">
        <f>IF(ISNUMBER(INDEX(pl_period,318)),INDEX(pl_period,318),"")</f>
        <v/>
      </c>
      <c r="U327">
        <f>N(INDEX(pl_dur,318))</f>
        <v>0.0</v>
      </c>
    </row>
    <row r="328">
      <c r="A328" s="93" t="str">
        <f>IF(INDEX(pl_status,319)="","",INDEX(pl_num,319)&amp;"")</f>
        <v/>
      </c>
      <c r="B328" s="93" t="str">
        <f>IF(INDEX(pl_status,319)="","",INDEX(pl_eq,319)&amp;"")</f>
        <v/>
      </c>
      <c r="C328" s="93" t="str">
        <f>IF(INDEX(pl_status,319)="","",INDEX(pl_task,319)&amp;"")</f>
        <v/>
      </c>
      <c r="D328" s="94" t="str">
        <f>IF(ISNUMBER(INDEX(pl_due,319)),INDEX(pl_due,319),"")</f>
        <v/>
      </c>
      <c r="E328" s="95" t="str">
        <f>INDEX(pl_status,319)&amp;""</f>
        <v/>
      </c>
      <c r="F328" s="96" t="str">
        <f>IF(E328="En retard","●","")</f>
        <v/>
      </c>
      <c r="G328" s="97">
        <f>IF(ISNUMBER($S328),MAX(0,INT((G$6+6-$S328)/$T328)-MAX(0,-INT(-(G$6-$S328)/$T328))+1),0)</f>
        <v>0.0</v>
      </c>
      <c r="H328" s="97">
        <f>IF(ISNUMBER($S328),MAX(0,INT((H$6+6-$S328)/$T328)-MAX(0,-INT(-(H$6-$S328)/$T328))+1),0)</f>
        <v>0.0</v>
      </c>
      <c r="I328" s="97">
        <f>IF(ISNUMBER($S328),MAX(0,INT((I$6+6-$S328)/$T328)-MAX(0,-INT(-(I$6-$S328)/$T328))+1),0)</f>
        <v>0.0</v>
      </c>
      <c r="J328" s="97">
        <f>IF(ISNUMBER($S328),MAX(0,INT((J$6+6-$S328)/$T328)-MAX(0,-INT(-(J$6-$S328)/$T328))+1),0)</f>
        <v>0.0</v>
      </c>
      <c r="K328" s="97">
        <f>IF(ISNUMBER($S328),MAX(0,INT((K$6+6-$S328)/$T328)-MAX(0,-INT(-(K$6-$S328)/$T328))+1),0)</f>
        <v>0.0</v>
      </c>
      <c r="L328" s="97">
        <f>IF(ISNUMBER($S328),MAX(0,INT((L$6+6-$S328)/$T328)-MAX(0,-INT(-(L$6-$S328)/$T328))+1),0)</f>
        <v>0.0</v>
      </c>
      <c r="M328" s="97">
        <f>IF(ISNUMBER($S328),MAX(0,INT((M$6+6-$S328)/$T328)-MAX(0,-INT(-(M$6-$S328)/$T328))+1),0)</f>
        <v>0.0</v>
      </c>
      <c r="N328" s="97">
        <f>IF(ISNUMBER($S328),MAX(0,INT((N$6+6-$S328)/$T328)-MAX(0,-INT(-(N$6-$S328)/$T328))+1),0)</f>
        <v>0.0</v>
      </c>
      <c r="O328" s="97">
        <f>IF(ISNUMBER($S328),MAX(0,INT((O$6+6-$S328)/$T328)-MAX(0,-INT(-(O$6-$S328)/$T328))+1),0)</f>
        <v>0.0</v>
      </c>
      <c r="P328" s="97">
        <f>IF(ISNUMBER($S328),MAX(0,INT((P$6+6-$S328)/$T328)-MAX(0,-INT(-(P$6-$S328)/$T328))+1),0)</f>
        <v>0.0</v>
      </c>
      <c r="Q328" s="97">
        <f>IF(ISNUMBER($S328),MAX(0,INT((Q$6+6-$S328)/$T328)-MAX(0,-INT(-(Q$6-$S328)/$T328))+1),0)</f>
        <v>0.0</v>
      </c>
      <c r="R328" s="97">
        <f>IF(ISNUMBER($S328),MAX(0,INT((R$6+6-$S328)/$T328)-MAX(0,-INT(-(R$6-$S328)/$T328))+1),0)</f>
        <v>0.0</v>
      </c>
      <c r="S328" t="str">
        <f>IF(ISNUMBER(INDEX(pl_period,319)),MAX(INDEX(pl_due,319),p_today),"")</f>
        <v/>
      </c>
      <c r="T328" t="str">
        <f>IF(ISNUMBER(INDEX(pl_period,319)),INDEX(pl_period,319),"")</f>
        <v/>
      </c>
      <c r="U328">
        <f>N(INDEX(pl_dur,319))</f>
        <v>0.0</v>
      </c>
    </row>
    <row r="329">
      <c r="A329" s="93" t="str">
        <f>IF(INDEX(pl_status,320)="","",INDEX(pl_num,320)&amp;"")</f>
        <v/>
      </c>
      <c r="B329" s="93" t="str">
        <f>IF(INDEX(pl_status,320)="","",INDEX(pl_eq,320)&amp;"")</f>
        <v/>
      </c>
      <c r="C329" s="93" t="str">
        <f>IF(INDEX(pl_status,320)="","",INDEX(pl_task,320)&amp;"")</f>
        <v/>
      </c>
      <c r="D329" s="94" t="str">
        <f>IF(ISNUMBER(INDEX(pl_due,320)),INDEX(pl_due,320),"")</f>
        <v/>
      </c>
      <c r="E329" s="95" t="str">
        <f>INDEX(pl_status,320)&amp;""</f>
        <v/>
      </c>
      <c r="F329" s="96" t="str">
        <f>IF(E329="En retard","●","")</f>
        <v/>
      </c>
      <c r="G329" s="97">
        <f>IF(ISNUMBER($S329),MAX(0,INT((G$6+6-$S329)/$T329)-MAX(0,-INT(-(G$6-$S329)/$T329))+1),0)</f>
        <v>0.0</v>
      </c>
      <c r="H329" s="97">
        <f>IF(ISNUMBER($S329),MAX(0,INT((H$6+6-$S329)/$T329)-MAX(0,-INT(-(H$6-$S329)/$T329))+1),0)</f>
        <v>0.0</v>
      </c>
      <c r="I329" s="97">
        <f>IF(ISNUMBER($S329),MAX(0,INT((I$6+6-$S329)/$T329)-MAX(0,-INT(-(I$6-$S329)/$T329))+1),0)</f>
        <v>0.0</v>
      </c>
      <c r="J329" s="97">
        <f>IF(ISNUMBER($S329),MAX(0,INT((J$6+6-$S329)/$T329)-MAX(0,-INT(-(J$6-$S329)/$T329))+1),0)</f>
        <v>0.0</v>
      </c>
      <c r="K329" s="97">
        <f>IF(ISNUMBER($S329),MAX(0,INT((K$6+6-$S329)/$T329)-MAX(0,-INT(-(K$6-$S329)/$T329))+1),0)</f>
        <v>0.0</v>
      </c>
      <c r="L329" s="97">
        <f>IF(ISNUMBER($S329),MAX(0,INT((L$6+6-$S329)/$T329)-MAX(0,-INT(-(L$6-$S329)/$T329))+1),0)</f>
        <v>0.0</v>
      </c>
      <c r="M329" s="97">
        <f>IF(ISNUMBER($S329),MAX(0,INT((M$6+6-$S329)/$T329)-MAX(0,-INT(-(M$6-$S329)/$T329))+1),0)</f>
        <v>0.0</v>
      </c>
      <c r="N329" s="97">
        <f>IF(ISNUMBER($S329),MAX(0,INT((N$6+6-$S329)/$T329)-MAX(0,-INT(-(N$6-$S329)/$T329))+1),0)</f>
        <v>0.0</v>
      </c>
      <c r="O329" s="97">
        <f>IF(ISNUMBER($S329),MAX(0,INT((O$6+6-$S329)/$T329)-MAX(0,-INT(-(O$6-$S329)/$T329))+1),0)</f>
        <v>0.0</v>
      </c>
      <c r="P329" s="97">
        <f>IF(ISNUMBER($S329),MAX(0,INT((P$6+6-$S329)/$T329)-MAX(0,-INT(-(P$6-$S329)/$T329))+1),0)</f>
        <v>0.0</v>
      </c>
      <c r="Q329" s="97">
        <f>IF(ISNUMBER($S329),MAX(0,INT((Q$6+6-$S329)/$T329)-MAX(0,-INT(-(Q$6-$S329)/$T329))+1),0)</f>
        <v>0.0</v>
      </c>
      <c r="R329" s="97">
        <f>IF(ISNUMBER($S329),MAX(0,INT((R$6+6-$S329)/$T329)-MAX(0,-INT(-(R$6-$S329)/$T329))+1),0)</f>
        <v>0.0</v>
      </c>
      <c r="S329" t="str">
        <f>IF(ISNUMBER(INDEX(pl_period,320)),MAX(INDEX(pl_due,320),p_today),"")</f>
        <v/>
      </c>
      <c r="T329" t="str">
        <f>IF(ISNUMBER(INDEX(pl_period,320)),INDEX(pl_period,320),"")</f>
        <v/>
      </c>
      <c r="U329">
        <f>N(INDEX(pl_dur,320))</f>
        <v>0.0</v>
      </c>
    </row>
    <row r="330">
      <c r="A330" s="93" t="str">
        <f>IF(INDEX(pl_status,321)="","",INDEX(pl_num,321)&amp;"")</f>
        <v/>
      </c>
      <c r="B330" s="93" t="str">
        <f>IF(INDEX(pl_status,321)="","",INDEX(pl_eq,321)&amp;"")</f>
        <v/>
      </c>
      <c r="C330" s="93" t="str">
        <f>IF(INDEX(pl_status,321)="","",INDEX(pl_task,321)&amp;"")</f>
        <v/>
      </c>
      <c r="D330" s="94" t="str">
        <f>IF(ISNUMBER(INDEX(pl_due,321)),INDEX(pl_due,321),"")</f>
        <v/>
      </c>
      <c r="E330" s="95" t="str">
        <f>INDEX(pl_status,321)&amp;""</f>
        <v/>
      </c>
      <c r="F330" s="96" t="str">
        <f>IF(E330="En retard","●","")</f>
        <v/>
      </c>
      <c r="G330" s="97">
        <f>IF(ISNUMBER($S330),MAX(0,INT((G$6+6-$S330)/$T330)-MAX(0,-INT(-(G$6-$S330)/$T330))+1),0)</f>
        <v>0.0</v>
      </c>
      <c r="H330" s="97">
        <f>IF(ISNUMBER($S330),MAX(0,INT((H$6+6-$S330)/$T330)-MAX(0,-INT(-(H$6-$S330)/$T330))+1),0)</f>
        <v>0.0</v>
      </c>
      <c r="I330" s="97">
        <f>IF(ISNUMBER($S330),MAX(0,INT((I$6+6-$S330)/$T330)-MAX(0,-INT(-(I$6-$S330)/$T330))+1),0)</f>
        <v>0.0</v>
      </c>
      <c r="J330" s="97">
        <f>IF(ISNUMBER($S330),MAX(0,INT((J$6+6-$S330)/$T330)-MAX(0,-INT(-(J$6-$S330)/$T330))+1),0)</f>
        <v>0.0</v>
      </c>
      <c r="K330" s="97">
        <f>IF(ISNUMBER($S330),MAX(0,INT((K$6+6-$S330)/$T330)-MAX(0,-INT(-(K$6-$S330)/$T330))+1),0)</f>
        <v>0.0</v>
      </c>
      <c r="L330" s="97">
        <f>IF(ISNUMBER($S330),MAX(0,INT((L$6+6-$S330)/$T330)-MAX(0,-INT(-(L$6-$S330)/$T330))+1),0)</f>
        <v>0.0</v>
      </c>
      <c r="M330" s="97">
        <f>IF(ISNUMBER($S330),MAX(0,INT((M$6+6-$S330)/$T330)-MAX(0,-INT(-(M$6-$S330)/$T330))+1),0)</f>
        <v>0.0</v>
      </c>
      <c r="N330" s="97">
        <f>IF(ISNUMBER($S330),MAX(0,INT((N$6+6-$S330)/$T330)-MAX(0,-INT(-(N$6-$S330)/$T330))+1),0)</f>
        <v>0.0</v>
      </c>
      <c r="O330" s="97">
        <f>IF(ISNUMBER($S330),MAX(0,INT((O$6+6-$S330)/$T330)-MAX(0,-INT(-(O$6-$S330)/$T330))+1),0)</f>
        <v>0.0</v>
      </c>
      <c r="P330" s="97">
        <f>IF(ISNUMBER($S330),MAX(0,INT((P$6+6-$S330)/$T330)-MAX(0,-INT(-(P$6-$S330)/$T330))+1),0)</f>
        <v>0.0</v>
      </c>
      <c r="Q330" s="97">
        <f>IF(ISNUMBER($S330),MAX(0,INT((Q$6+6-$S330)/$T330)-MAX(0,-INT(-(Q$6-$S330)/$T330))+1),0)</f>
        <v>0.0</v>
      </c>
      <c r="R330" s="97">
        <f>IF(ISNUMBER($S330),MAX(0,INT((R$6+6-$S330)/$T330)-MAX(0,-INT(-(R$6-$S330)/$T330))+1),0)</f>
        <v>0.0</v>
      </c>
      <c r="S330" t="str">
        <f>IF(ISNUMBER(INDEX(pl_period,321)),MAX(INDEX(pl_due,321),p_today),"")</f>
        <v/>
      </c>
      <c r="T330" t="str">
        <f>IF(ISNUMBER(INDEX(pl_period,321)),INDEX(pl_period,321),"")</f>
        <v/>
      </c>
      <c r="U330">
        <f>N(INDEX(pl_dur,321))</f>
        <v>0.0</v>
      </c>
    </row>
    <row r="331">
      <c r="A331" s="93" t="str">
        <f>IF(INDEX(pl_status,322)="","",INDEX(pl_num,322)&amp;"")</f>
        <v/>
      </c>
      <c r="B331" s="93" t="str">
        <f>IF(INDEX(pl_status,322)="","",INDEX(pl_eq,322)&amp;"")</f>
        <v/>
      </c>
      <c r="C331" s="93" t="str">
        <f>IF(INDEX(pl_status,322)="","",INDEX(pl_task,322)&amp;"")</f>
        <v/>
      </c>
      <c r="D331" s="94" t="str">
        <f>IF(ISNUMBER(INDEX(pl_due,322)),INDEX(pl_due,322),"")</f>
        <v/>
      </c>
      <c r="E331" s="95" t="str">
        <f>INDEX(pl_status,322)&amp;""</f>
        <v/>
      </c>
      <c r="F331" s="96" t="str">
        <f>IF(E331="En retard","●","")</f>
        <v/>
      </c>
      <c r="G331" s="97">
        <f>IF(ISNUMBER($S331),MAX(0,INT((G$6+6-$S331)/$T331)-MAX(0,-INT(-(G$6-$S331)/$T331))+1),0)</f>
        <v>0.0</v>
      </c>
      <c r="H331" s="97">
        <f>IF(ISNUMBER($S331),MAX(0,INT((H$6+6-$S331)/$T331)-MAX(0,-INT(-(H$6-$S331)/$T331))+1),0)</f>
        <v>0.0</v>
      </c>
      <c r="I331" s="97">
        <f>IF(ISNUMBER($S331),MAX(0,INT((I$6+6-$S331)/$T331)-MAX(0,-INT(-(I$6-$S331)/$T331))+1),0)</f>
        <v>0.0</v>
      </c>
      <c r="J331" s="97">
        <f>IF(ISNUMBER($S331),MAX(0,INT((J$6+6-$S331)/$T331)-MAX(0,-INT(-(J$6-$S331)/$T331))+1),0)</f>
        <v>0.0</v>
      </c>
      <c r="K331" s="97">
        <f>IF(ISNUMBER($S331),MAX(0,INT((K$6+6-$S331)/$T331)-MAX(0,-INT(-(K$6-$S331)/$T331))+1),0)</f>
        <v>0.0</v>
      </c>
      <c r="L331" s="97">
        <f>IF(ISNUMBER($S331),MAX(0,INT((L$6+6-$S331)/$T331)-MAX(0,-INT(-(L$6-$S331)/$T331))+1),0)</f>
        <v>0.0</v>
      </c>
      <c r="M331" s="97">
        <f>IF(ISNUMBER($S331),MAX(0,INT((M$6+6-$S331)/$T331)-MAX(0,-INT(-(M$6-$S331)/$T331))+1),0)</f>
        <v>0.0</v>
      </c>
      <c r="N331" s="97">
        <f>IF(ISNUMBER($S331),MAX(0,INT((N$6+6-$S331)/$T331)-MAX(0,-INT(-(N$6-$S331)/$T331))+1),0)</f>
        <v>0.0</v>
      </c>
      <c r="O331" s="97">
        <f>IF(ISNUMBER($S331),MAX(0,INT((O$6+6-$S331)/$T331)-MAX(0,-INT(-(O$6-$S331)/$T331))+1),0)</f>
        <v>0.0</v>
      </c>
      <c r="P331" s="97">
        <f>IF(ISNUMBER($S331),MAX(0,INT((P$6+6-$S331)/$T331)-MAX(0,-INT(-(P$6-$S331)/$T331))+1),0)</f>
        <v>0.0</v>
      </c>
      <c r="Q331" s="97">
        <f>IF(ISNUMBER($S331),MAX(0,INT((Q$6+6-$S331)/$T331)-MAX(0,-INT(-(Q$6-$S331)/$T331))+1),0)</f>
        <v>0.0</v>
      </c>
      <c r="R331" s="97">
        <f>IF(ISNUMBER($S331),MAX(0,INT((R$6+6-$S331)/$T331)-MAX(0,-INT(-(R$6-$S331)/$T331))+1),0)</f>
        <v>0.0</v>
      </c>
      <c r="S331" t="str">
        <f>IF(ISNUMBER(INDEX(pl_period,322)),MAX(INDEX(pl_due,322),p_today),"")</f>
        <v/>
      </c>
      <c r="T331" t="str">
        <f>IF(ISNUMBER(INDEX(pl_period,322)),INDEX(pl_period,322),"")</f>
        <v/>
      </c>
      <c r="U331">
        <f>N(INDEX(pl_dur,322))</f>
        <v>0.0</v>
      </c>
    </row>
    <row r="332">
      <c r="A332" s="93" t="str">
        <f>IF(INDEX(pl_status,323)="","",INDEX(pl_num,323)&amp;"")</f>
        <v/>
      </c>
      <c r="B332" s="93" t="str">
        <f>IF(INDEX(pl_status,323)="","",INDEX(pl_eq,323)&amp;"")</f>
        <v/>
      </c>
      <c r="C332" s="93" t="str">
        <f>IF(INDEX(pl_status,323)="","",INDEX(pl_task,323)&amp;"")</f>
        <v/>
      </c>
      <c r="D332" s="94" t="str">
        <f>IF(ISNUMBER(INDEX(pl_due,323)),INDEX(pl_due,323),"")</f>
        <v/>
      </c>
      <c r="E332" s="95" t="str">
        <f>INDEX(pl_status,323)&amp;""</f>
        <v/>
      </c>
      <c r="F332" s="96" t="str">
        <f>IF(E332="En retard","●","")</f>
        <v/>
      </c>
      <c r="G332" s="97">
        <f>IF(ISNUMBER($S332),MAX(0,INT((G$6+6-$S332)/$T332)-MAX(0,-INT(-(G$6-$S332)/$T332))+1),0)</f>
        <v>0.0</v>
      </c>
      <c r="H332" s="97">
        <f>IF(ISNUMBER($S332),MAX(0,INT((H$6+6-$S332)/$T332)-MAX(0,-INT(-(H$6-$S332)/$T332))+1),0)</f>
        <v>0.0</v>
      </c>
      <c r="I332" s="97">
        <f>IF(ISNUMBER($S332),MAX(0,INT((I$6+6-$S332)/$T332)-MAX(0,-INT(-(I$6-$S332)/$T332))+1),0)</f>
        <v>0.0</v>
      </c>
      <c r="J332" s="97">
        <f>IF(ISNUMBER($S332),MAX(0,INT((J$6+6-$S332)/$T332)-MAX(0,-INT(-(J$6-$S332)/$T332))+1),0)</f>
        <v>0.0</v>
      </c>
      <c r="K332" s="97">
        <f>IF(ISNUMBER($S332),MAX(0,INT((K$6+6-$S332)/$T332)-MAX(0,-INT(-(K$6-$S332)/$T332))+1),0)</f>
        <v>0.0</v>
      </c>
      <c r="L332" s="97">
        <f>IF(ISNUMBER($S332),MAX(0,INT((L$6+6-$S332)/$T332)-MAX(0,-INT(-(L$6-$S332)/$T332))+1),0)</f>
        <v>0.0</v>
      </c>
      <c r="M332" s="97">
        <f>IF(ISNUMBER($S332),MAX(0,INT((M$6+6-$S332)/$T332)-MAX(0,-INT(-(M$6-$S332)/$T332))+1),0)</f>
        <v>0.0</v>
      </c>
      <c r="N332" s="97">
        <f>IF(ISNUMBER($S332),MAX(0,INT((N$6+6-$S332)/$T332)-MAX(0,-INT(-(N$6-$S332)/$T332))+1),0)</f>
        <v>0.0</v>
      </c>
      <c r="O332" s="97">
        <f>IF(ISNUMBER($S332),MAX(0,INT((O$6+6-$S332)/$T332)-MAX(0,-INT(-(O$6-$S332)/$T332))+1),0)</f>
        <v>0.0</v>
      </c>
      <c r="P332" s="97">
        <f>IF(ISNUMBER($S332),MAX(0,INT((P$6+6-$S332)/$T332)-MAX(0,-INT(-(P$6-$S332)/$T332))+1),0)</f>
        <v>0.0</v>
      </c>
      <c r="Q332" s="97">
        <f>IF(ISNUMBER($S332),MAX(0,INT((Q$6+6-$S332)/$T332)-MAX(0,-INT(-(Q$6-$S332)/$T332))+1),0)</f>
        <v>0.0</v>
      </c>
      <c r="R332" s="97">
        <f>IF(ISNUMBER($S332),MAX(0,INT((R$6+6-$S332)/$T332)-MAX(0,-INT(-(R$6-$S332)/$T332))+1),0)</f>
        <v>0.0</v>
      </c>
      <c r="S332" t="str">
        <f>IF(ISNUMBER(INDEX(pl_period,323)),MAX(INDEX(pl_due,323),p_today),"")</f>
        <v/>
      </c>
      <c r="T332" t="str">
        <f>IF(ISNUMBER(INDEX(pl_period,323)),INDEX(pl_period,323),"")</f>
        <v/>
      </c>
      <c r="U332">
        <f>N(INDEX(pl_dur,323))</f>
        <v>0.0</v>
      </c>
    </row>
    <row r="333">
      <c r="A333" s="93" t="str">
        <f>IF(INDEX(pl_status,324)="","",INDEX(pl_num,324)&amp;"")</f>
        <v/>
      </c>
      <c r="B333" s="93" t="str">
        <f>IF(INDEX(pl_status,324)="","",INDEX(pl_eq,324)&amp;"")</f>
        <v/>
      </c>
      <c r="C333" s="93" t="str">
        <f>IF(INDEX(pl_status,324)="","",INDEX(pl_task,324)&amp;"")</f>
        <v/>
      </c>
      <c r="D333" s="94" t="str">
        <f>IF(ISNUMBER(INDEX(pl_due,324)),INDEX(pl_due,324),"")</f>
        <v/>
      </c>
      <c r="E333" s="95" t="str">
        <f>INDEX(pl_status,324)&amp;""</f>
        <v/>
      </c>
      <c r="F333" s="96" t="str">
        <f>IF(E333="En retard","●","")</f>
        <v/>
      </c>
      <c r="G333" s="97">
        <f>IF(ISNUMBER($S333),MAX(0,INT((G$6+6-$S333)/$T333)-MAX(0,-INT(-(G$6-$S333)/$T333))+1),0)</f>
        <v>0.0</v>
      </c>
      <c r="H333" s="97">
        <f>IF(ISNUMBER($S333),MAX(0,INT((H$6+6-$S333)/$T333)-MAX(0,-INT(-(H$6-$S333)/$T333))+1),0)</f>
        <v>0.0</v>
      </c>
      <c r="I333" s="97">
        <f>IF(ISNUMBER($S333),MAX(0,INT((I$6+6-$S333)/$T333)-MAX(0,-INT(-(I$6-$S333)/$T333))+1),0)</f>
        <v>0.0</v>
      </c>
      <c r="J333" s="97">
        <f>IF(ISNUMBER($S333),MAX(0,INT((J$6+6-$S333)/$T333)-MAX(0,-INT(-(J$6-$S333)/$T333))+1),0)</f>
        <v>0.0</v>
      </c>
      <c r="K333" s="97">
        <f>IF(ISNUMBER($S333),MAX(0,INT((K$6+6-$S333)/$T333)-MAX(0,-INT(-(K$6-$S333)/$T333))+1),0)</f>
        <v>0.0</v>
      </c>
      <c r="L333" s="97">
        <f>IF(ISNUMBER($S333),MAX(0,INT((L$6+6-$S333)/$T333)-MAX(0,-INT(-(L$6-$S333)/$T333))+1),0)</f>
        <v>0.0</v>
      </c>
      <c r="M333" s="97">
        <f>IF(ISNUMBER($S333),MAX(0,INT((M$6+6-$S333)/$T333)-MAX(0,-INT(-(M$6-$S333)/$T333))+1),0)</f>
        <v>0.0</v>
      </c>
      <c r="N333" s="97">
        <f>IF(ISNUMBER($S333),MAX(0,INT((N$6+6-$S333)/$T333)-MAX(0,-INT(-(N$6-$S333)/$T333))+1),0)</f>
        <v>0.0</v>
      </c>
      <c r="O333" s="97">
        <f>IF(ISNUMBER($S333),MAX(0,INT((O$6+6-$S333)/$T333)-MAX(0,-INT(-(O$6-$S333)/$T333))+1),0)</f>
        <v>0.0</v>
      </c>
      <c r="P333" s="97">
        <f>IF(ISNUMBER($S333),MAX(0,INT((P$6+6-$S333)/$T333)-MAX(0,-INT(-(P$6-$S333)/$T333))+1),0)</f>
        <v>0.0</v>
      </c>
      <c r="Q333" s="97">
        <f>IF(ISNUMBER($S333),MAX(0,INT((Q$6+6-$S333)/$T333)-MAX(0,-INT(-(Q$6-$S333)/$T333))+1),0)</f>
        <v>0.0</v>
      </c>
      <c r="R333" s="97">
        <f>IF(ISNUMBER($S333),MAX(0,INT((R$6+6-$S333)/$T333)-MAX(0,-INT(-(R$6-$S333)/$T333))+1),0)</f>
        <v>0.0</v>
      </c>
      <c r="S333" t="str">
        <f>IF(ISNUMBER(INDEX(pl_period,324)),MAX(INDEX(pl_due,324),p_today),"")</f>
        <v/>
      </c>
      <c r="T333" t="str">
        <f>IF(ISNUMBER(INDEX(pl_period,324)),INDEX(pl_period,324),"")</f>
        <v/>
      </c>
      <c r="U333">
        <f>N(INDEX(pl_dur,324))</f>
        <v>0.0</v>
      </c>
    </row>
    <row r="334">
      <c r="A334" s="93" t="str">
        <f>IF(INDEX(pl_status,325)="","",INDEX(pl_num,325)&amp;"")</f>
        <v/>
      </c>
      <c r="B334" s="93" t="str">
        <f>IF(INDEX(pl_status,325)="","",INDEX(pl_eq,325)&amp;"")</f>
        <v/>
      </c>
      <c r="C334" s="93" t="str">
        <f>IF(INDEX(pl_status,325)="","",INDEX(pl_task,325)&amp;"")</f>
        <v/>
      </c>
      <c r="D334" s="94" t="str">
        <f>IF(ISNUMBER(INDEX(pl_due,325)),INDEX(pl_due,325),"")</f>
        <v/>
      </c>
      <c r="E334" s="95" t="str">
        <f>INDEX(pl_status,325)&amp;""</f>
        <v/>
      </c>
      <c r="F334" s="96" t="str">
        <f>IF(E334="En retard","●","")</f>
        <v/>
      </c>
      <c r="G334" s="97">
        <f>IF(ISNUMBER($S334),MAX(0,INT((G$6+6-$S334)/$T334)-MAX(0,-INT(-(G$6-$S334)/$T334))+1),0)</f>
        <v>0.0</v>
      </c>
      <c r="H334" s="97">
        <f>IF(ISNUMBER($S334),MAX(0,INT((H$6+6-$S334)/$T334)-MAX(0,-INT(-(H$6-$S334)/$T334))+1),0)</f>
        <v>0.0</v>
      </c>
      <c r="I334" s="97">
        <f>IF(ISNUMBER($S334),MAX(0,INT((I$6+6-$S334)/$T334)-MAX(0,-INT(-(I$6-$S334)/$T334))+1),0)</f>
        <v>0.0</v>
      </c>
      <c r="J334" s="97">
        <f>IF(ISNUMBER($S334),MAX(0,INT((J$6+6-$S334)/$T334)-MAX(0,-INT(-(J$6-$S334)/$T334))+1),0)</f>
        <v>0.0</v>
      </c>
      <c r="K334" s="97">
        <f>IF(ISNUMBER($S334),MAX(0,INT((K$6+6-$S334)/$T334)-MAX(0,-INT(-(K$6-$S334)/$T334))+1),0)</f>
        <v>0.0</v>
      </c>
      <c r="L334" s="97">
        <f>IF(ISNUMBER($S334),MAX(0,INT((L$6+6-$S334)/$T334)-MAX(0,-INT(-(L$6-$S334)/$T334))+1),0)</f>
        <v>0.0</v>
      </c>
      <c r="M334" s="97">
        <f>IF(ISNUMBER($S334),MAX(0,INT((M$6+6-$S334)/$T334)-MAX(0,-INT(-(M$6-$S334)/$T334))+1),0)</f>
        <v>0.0</v>
      </c>
      <c r="N334" s="97">
        <f>IF(ISNUMBER($S334),MAX(0,INT((N$6+6-$S334)/$T334)-MAX(0,-INT(-(N$6-$S334)/$T334))+1),0)</f>
        <v>0.0</v>
      </c>
      <c r="O334" s="97">
        <f>IF(ISNUMBER($S334),MAX(0,INT((O$6+6-$S334)/$T334)-MAX(0,-INT(-(O$6-$S334)/$T334))+1),0)</f>
        <v>0.0</v>
      </c>
      <c r="P334" s="97">
        <f>IF(ISNUMBER($S334),MAX(0,INT((P$6+6-$S334)/$T334)-MAX(0,-INT(-(P$6-$S334)/$T334))+1),0)</f>
        <v>0.0</v>
      </c>
      <c r="Q334" s="97">
        <f>IF(ISNUMBER($S334),MAX(0,INT((Q$6+6-$S334)/$T334)-MAX(0,-INT(-(Q$6-$S334)/$T334))+1),0)</f>
        <v>0.0</v>
      </c>
      <c r="R334" s="97">
        <f>IF(ISNUMBER($S334),MAX(0,INT((R$6+6-$S334)/$T334)-MAX(0,-INT(-(R$6-$S334)/$T334))+1),0)</f>
        <v>0.0</v>
      </c>
      <c r="S334" t="str">
        <f>IF(ISNUMBER(INDEX(pl_period,325)),MAX(INDEX(pl_due,325),p_today),"")</f>
        <v/>
      </c>
      <c r="T334" t="str">
        <f>IF(ISNUMBER(INDEX(pl_period,325)),INDEX(pl_period,325),"")</f>
        <v/>
      </c>
      <c r="U334">
        <f>N(INDEX(pl_dur,325))</f>
        <v>0.0</v>
      </c>
    </row>
    <row r="335">
      <c r="A335" s="93" t="str">
        <f>IF(INDEX(pl_status,326)="","",INDEX(pl_num,326)&amp;"")</f>
        <v/>
      </c>
      <c r="B335" s="93" t="str">
        <f>IF(INDEX(pl_status,326)="","",INDEX(pl_eq,326)&amp;"")</f>
        <v/>
      </c>
      <c r="C335" s="93" t="str">
        <f>IF(INDEX(pl_status,326)="","",INDEX(pl_task,326)&amp;"")</f>
        <v/>
      </c>
      <c r="D335" s="94" t="str">
        <f>IF(ISNUMBER(INDEX(pl_due,326)),INDEX(pl_due,326),"")</f>
        <v/>
      </c>
      <c r="E335" s="95" t="str">
        <f>INDEX(pl_status,326)&amp;""</f>
        <v/>
      </c>
      <c r="F335" s="96" t="str">
        <f>IF(E335="En retard","●","")</f>
        <v/>
      </c>
      <c r="G335" s="97">
        <f>IF(ISNUMBER($S335),MAX(0,INT((G$6+6-$S335)/$T335)-MAX(0,-INT(-(G$6-$S335)/$T335))+1),0)</f>
        <v>0.0</v>
      </c>
      <c r="H335" s="97">
        <f>IF(ISNUMBER($S335),MAX(0,INT((H$6+6-$S335)/$T335)-MAX(0,-INT(-(H$6-$S335)/$T335))+1),0)</f>
        <v>0.0</v>
      </c>
      <c r="I335" s="97">
        <f>IF(ISNUMBER($S335),MAX(0,INT((I$6+6-$S335)/$T335)-MAX(0,-INT(-(I$6-$S335)/$T335))+1),0)</f>
        <v>0.0</v>
      </c>
      <c r="J335" s="97">
        <f>IF(ISNUMBER($S335),MAX(0,INT((J$6+6-$S335)/$T335)-MAX(0,-INT(-(J$6-$S335)/$T335))+1),0)</f>
        <v>0.0</v>
      </c>
      <c r="K335" s="97">
        <f>IF(ISNUMBER($S335),MAX(0,INT((K$6+6-$S335)/$T335)-MAX(0,-INT(-(K$6-$S335)/$T335))+1),0)</f>
        <v>0.0</v>
      </c>
      <c r="L335" s="97">
        <f>IF(ISNUMBER($S335),MAX(0,INT((L$6+6-$S335)/$T335)-MAX(0,-INT(-(L$6-$S335)/$T335))+1),0)</f>
        <v>0.0</v>
      </c>
      <c r="M335" s="97">
        <f>IF(ISNUMBER($S335),MAX(0,INT((M$6+6-$S335)/$T335)-MAX(0,-INT(-(M$6-$S335)/$T335))+1),0)</f>
        <v>0.0</v>
      </c>
      <c r="N335" s="97">
        <f>IF(ISNUMBER($S335),MAX(0,INT((N$6+6-$S335)/$T335)-MAX(0,-INT(-(N$6-$S335)/$T335))+1),0)</f>
        <v>0.0</v>
      </c>
      <c r="O335" s="97">
        <f>IF(ISNUMBER($S335),MAX(0,INT((O$6+6-$S335)/$T335)-MAX(0,-INT(-(O$6-$S335)/$T335))+1),0)</f>
        <v>0.0</v>
      </c>
      <c r="P335" s="97">
        <f>IF(ISNUMBER($S335),MAX(0,INT((P$6+6-$S335)/$T335)-MAX(0,-INT(-(P$6-$S335)/$T335))+1),0)</f>
        <v>0.0</v>
      </c>
      <c r="Q335" s="97">
        <f>IF(ISNUMBER($S335),MAX(0,INT((Q$6+6-$S335)/$T335)-MAX(0,-INT(-(Q$6-$S335)/$T335))+1),0)</f>
        <v>0.0</v>
      </c>
      <c r="R335" s="97">
        <f>IF(ISNUMBER($S335),MAX(0,INT((R$6+6-$S335)/$T335)-MAX(0,-INT(-(R$6-$S335)/$T335))+1),0)</f>
        <v>0.0</v>
      </c>
      <c r="S335" t="str">
        <f>IF(ISNUMBER(INDEX(pl_period,326)),MAX(INDEX(pl_due,326),p_today),"")</f>
        <v/>
      </c>
      <c r="T335" t="str">
        <f>IF(ISNUMBER(INDEX(pl_period,326)),INDEX(pl_period,326),"")</f>
        <v/>
      </c>
      <c r="U335">
        <f>N(INDEX(pl_dur,326))</f>
        <v>0.0</v>
      </c>
    </row>
    <row r="336">
      <c r="A336" s="93" t="str">
        <f>IF(INDEX(pl_status,327)="","",INDEX(pl_num,327)&amp;"")</f>
        <v/>
      </c>
      <c r="B336" s="93" t="str">
        <f>IF(INDEX(pl_status,327)="","",INDEX(pl_eq,327)&amp;"")</f>
        <v/>
      </c>
      <c r="C336" s="93" t="str">
        <f>IF(INDEX(pl_status,327)="","",INDEX(pl_task,327)&amp;"")</f>
        <v/>
      </c>
      <c r="D336" s="94" t="str">
        <f>IF(ISNUMBER(INDEX(pl_due,327)),INDEX(pl_due,327),"")</f>
        <v/>
      </c>
      <c r="E336" s="95" t="str">
        <f>INDEX(pl_status,327)&amp;""</f>
        <v/>
      </c>
      <c r="F336" s="96" t="str">
        <f>IF(E336="En retard","●","")</f>
        <v/>
      </c>
      <c r="G336" s="97">
        <f>IF(ISNUMBER($S336),MAX(0,INT((G$6+6-$S336)/$T336)-MAX(0,-INT(-(G$6-$S336)/$T336))+1),0)</f>
        <v>0.0</v>
      </c>
      <c r="H336" s="97">
        <f>IF(ISNUMBER($S336),MAX(0,INT((H$6+6-$S336)/$T336)-MAX(0,-INT(-(H$6-$S336)/$T336))+1),0)</f>
        <v>0.0</v>
      </c>
      <c r="I336" s="97">
        <f>IF(ISNUMBER($S336),MAX(0,INT((I$6+6-$S336)/$T336)-MAX(0,-INT(-(I$6-$S336)/$T336))+1),0)</f>
        <v>0.0</v>
      </c>
      <c r="J336" s="97">
        <f>IF(ISNUMBER($S336),MAX(0,INT((J$6+6-$S336)/$T336)-MAX(0,-INT(-(J$6-$S336)/$T336))+1),0)</f>
        <v>0.0</v>
      </c>
      <c r="K336" s="97">
        <f>IF(ISNUMBER($S336),MAX(0,INT((K$6+6-$S336)/$T336)-MAX(0,-INT(-(K$6-$S336)/$T336))+1),0)</f>
        <v>0.0</v>
      </c>
      <c r="L336" s="97">
        <f>IF(ISNUMBER($S336),MAX(0,INT((L$6+6-$S336)/$T336)-MAX(0,-INT(-(L$6-$S336)/$T336))+1),0)</f>
        <v>0.0</v>
      </c>
      <c r="M336" s="97">
        <f>IF(ISNUMBER($S336),MAX(0,INT((M$6+6-$S336)/$T336)-MAX(0,-INT(-(M$6-$S336)/$T336))+1),0)</f>
        <v>0.0</v>
      </c>
      <c r="N336" s="97">
        <f>IF(ISNUMBER($S336),MAX(0,INT((N$6+6-$S336)/$T336)-MAX(0,-INT(-(N$6-$S336)/$T336))+1),0)</f>
        <v>0.0</v>
      </c>
      <c r="O336" s="97">
        <f>IF(ISNUMBER($S336),MAX(0,INT((O$6+6-$S336)/$T336)-MAX(0,-INT(-(O$6-$S336)/$T336))+1),0)</f>
        <v>0.0</v>
      </c>
      <c r="P336" s="97">
        <f>IF(ISNUMBER($S336),MAX(0,INT((P$6+6-$S336)/$T336)-MAX(0,-INT(-(P$6-$S336)/$T336))+1),0)</f>
        <v>0.0</v>
      </c>
      <c r="Q336" s="97">
        <f>IF(ISNUMBER($S336),MAX(0,INT((Q$6+6-$S336)/$T336)-MAX(0,-INT(-(Q$6-$S336)/$T336))+1),0)</f>
        <v>0.0</v>
      </c>
      <c r="R336" s="97">
        <f>IF(ISNUMBER($S336),MAX(0,INT((R$6+6-$S336)/$T336)-MAX(0,-INT(-(R$6-$S336)/$T336))+1),0)</f>
        <v>0.0</v>
      </c>
      <c r="S336" t="str">
        <f>IF(ISNUMBER(INDEX(pl_period,327)),MAX(INDEX(pl_due,327),p_today),"")</f>
        <v/>
      </c>
      <c r="T336" t="str">
        <f>IF(ISNUMBER(INDEX(pl_period,327)),INDEX(pl_period,327),"")</f>
        <v/>
      </c>
      <c r="U336">
        <f>N(INDEX(pl_dur,327))</f>
        <v>0.0</v>
      </c>
    </row>
    <row r="337">
      <c r="A337" s="93" t="str">
        <f>IF(INDEX(pl_status,328)="","",INDEX(pl_num,328)&amp;"")</f>
        <v/>
      </c>
      <c r="B337" s="93" t="str">
        <f>IF(INDEX(pl_status,328)="","",INDEX(pl_eq,328)&amp;"")</f>
        <v/>
      </c>
      <c r="C337" s="93" t="str">
        <f>IF(INDEX(pl_status,328)="","",INDEX(pl_task,328)&amp;"")</f>
        <v/>
      </c>
      <c r="D337" s="94" t="str">
        <f>IF(ISNUMBER(INDEX(pl_due,328)),INDEX(pl_due,328),"")</f>
        <v/>
      </c>
      <c r="E337" s="95" t="str">
        <f>INDEX(pl_status,328)&amp;""</f>
        <v/>
      </c>
      <c r="F337" s="96" t="str">
        <f>IF(E337="En retard","●","")</f>
        <v/>
      </c>
      <c r="G337" s="97">
        <f>IF(ISNUMBER($S337),MAX(0,INT((G$6+6-$S337)/$T337)-MAX(0,-INT(-(G$6-$S337)/$T337))+1),0)</f>
        <v>0.0</v>
      </c>
      <c r="H337" s="97">
        <f>IF(ISNUMBER($S337),MAX(0,INT((H$6+6-$S337)/$T337)-MAX(0,-INT(-(H$6-$S337)/$T337))+1),0)</f>
        <v>0.0</v>
      </c>
      <c r="I337" s="97">
        <f>IF(ISNUMBER($S337),MAX(0,INT((I$6+6-$S337)/$T337)-MAX(0,-INT(-(I$6-$S337)/$T337))+1),0)</f>
        <v>0.0</v>
      </c>
      <c r="J337" s="97">
        <f>IF(ISNUMBER($S337),MAX(0,INT((J$6+6-$S337)/$T337)-MAX(0,-INT(-(J$6-$S337)/$T337))+1),0)</f>
        <v>0.0</v>
      </c>
      <c r="K337" s="97">
        <f>IF(ISNUMBER($S337),MAX(0,INT((K$6+6-$S337)/$T337)-MAX(0,-INT(-(K$6-$S337)/$T337))+1),0)</f>
        <v>0.0</v>
      </c>
      <c r="L337" s="97">
        <f>IF(ISNUMBER($S337),MAX(0,INT((L$6+6-$S337)/$T337)-MAX(0,-INT(-(L$6-$S337)/$T337))+1),0)</f>
        <v>0.0</v>
      </c>
      <c r="M337" s="97">
        <f>IF(ISNUMBER($S337),MAX(0,INT((M$6+6-$S337)/$T337)-MAX(0,-INT(-(M$6-$S337)/$T337))+1),0)</f>
        <v>0.0</v>
      </c>
      <c r="N337" s="97">
        <f>IF(ISNUMBER($S337),MAX(0,INT((N$6+6-$S337)/$T337)-MAX(0,-INT(-(N$6-$S337)/$T337))+1),0)</f>
        <v>0.0</v>
      </c>
      <c r="O337" s="97">
        <f>IF(ISNUMBER($S337),MAX(0,INT((O$6+6-$S337)/$T337)-MAX(0,-INT(-(O$6-$S337)/$T337))+1),0)</f>
        <v>0.0</v>
      </c>
      <c r="P337" s="97">
        <f>IF(ISNUMBER($S337),MAX(0,INT((P$6+6-$S337)/$T337)-MAX(0,-INT(-(P$6-$S337)/$T337))+1),0)</f>
        <v>0.0</v>
      </c>
      <c r="Q337" s="97">
        <f>IF(ISNUMBER($S337),MAX(0,INT((Q$6+6-$S337)/$T337)-MAX(0,-INT(-(Q$6-$S337)/$T337))+1),0)</f>
        <v>0.0</v>
      </c>
      <c r="R337" s="97">
        <f>IF(ISNUMBER($S337),MAX(0,INT((R$6+6-$S337)/$T337)-MAX(0,-INT(-(R$6-$S337)/$T337))+1),0)</f>
        <v>0.0</v>
      </c>
      <c r="S337" t="str">
        <f>IF(ISNUMBER(INDEX(pl_period,328)),MAX(INDEX(pl_due,328),p_today),"")</f>
        <v/>
      </c>
      <c r="T337" t="str">
        <f>IF(ISNUMBER(INDEX(pl_period,328)),INDEX(pl_period,328),"")</f>
        <v/>
      </c>
      <c r="U337">
        <f>N(INDEX(pl_dur,328))</f>
        <v>0.0</v>
      </c>
    </row>
    <row r="338">
      <c r="A338" s="93" t="str">
        <f>IF(INDEX(pl_status,329)="","",INDEX(pl_num,329)&amp;"")</f>
        <v/>
      </c>
      <c r="B338" s="93" t="str">
        <f>IF(INDEX(pl_status,329)="","",INDEX(pl_eq,329)&amp;"")</f>
        <v/>
      </c>
      <c r="C338" s="93" t="str">
        <f>IF(INDEX(pl_status,329)="","",INDEX(pl_task,329)&amp;"")</f>
        <v/>
      </c>
      <c r="D338" s="94" t="str">
        <f>IF(ISNUMBER(INDEX(pl_due,329)),INDEX(pl_due,329),"")</f>
        <v/>
      </c>
      <c r="E338" s="95" t="str">
        <f>INDEX(pl_status,329)&amp;""</f>
        <v/>
      </c>
      <c r="F338" s="96" t="str">
        <f>IF(E338="En retard","●","")</f>
        <v/>
      </c>
      <c r="G338" s="97">
        <f>IF(ISNUMBER($S338),MAX(0,INT((G$6+6-$S338)/$T338)-MAX(0,-INT(-(G$6-$S338)/$T338))+1),0)</f>
        <v>0.0</v>
      </c>
      <c r="H338" s="97">
        <f>IF(ISNUMBER($S338),MAX(0,INT((H$6+6-$S338)/$T338)-MAX(0,-INT(-(H$6-$S338)/$T338))+1),0)</f>
        <v>0.0</v>
      </c>
      <c r="I338" s="97">
        <f>IF(ISNUMBER($S338),MAX(0,INT((I$6+6-$S338)/$T338)-MAX(0,-INT(-(I$6-$S338)/$T338))+1),0)</f>
        <v>0.0</v>
      </c>
      <c r="J338" s="97">
        <f>IF(ISNUMBER($S338),MAX(0,INT((J$6+6-$S338)/$T338)-MAX(0,-INT(-(J$6-$S338)/$T338))+1),0)</f>
        <v>0.0</v>
      </c>
      <c r="K338" s="97">
        <f>IF(ISNUMBER($S338),MAX(0,INT((K$6+6-$S338)/$T338)-MAX(0,-INT(-(K$6-$S338)/$T338))+1),0)</f>
        <v>0.0</v>
      </c>
      <c r="L338" s="97">
        <f>IF(ISNUMBER($S338),MAX(0,INT((L$6+6-$S338)/$T338)-MAX(0,-INT(-(L$6-$S338)/$T338))+1),0)</f>
        <v>0.0</v>
      </c>
      <c r="M338" s="97">
        <f>IF(ISNUMBER($S338),MAX(0,INT((M$6+6-$S338)/$T338)-MAX(0,-INT(-(M$6-$S338)/$T338))+1),0)</f>
        <v>0.0</v>
      </c>
      <c r="N338" s="97">
        <f>IF(ISNUMBER($S338),MAX(0,INT((N$6+6-$S338)/$T338)-MAX(0,-INT(-(N$6-$S338)/$T338))+1),0)</f>
        <v>0.0</v>
      </c>
      <c r="O338" s="97">
        <f>IF(ISNUMBER($S338),MAX(0,INT((O$6+6-$S338)/$T338)-MAX(0,-INT(-(O$6-$S338)/$T338))+1),0)</f>
        <v>0.0</v>
      </c>
      <c r="P338" s="97">
        <f>IF(ISNUMBER($S338),MAX(0,INT((P$6+6-$S338)/$T338)-MAX(0,-INT(-(P$6-$S338)/$T338))+1),0)</f>
        <v>0.0</v>
      </c>
      <c r="Q338" s="97">
        <f>IF(ISNUMBER($S338),MAX(0,INT((Q$6+6-$S338)/$T338)-MAX(0,-INT(-(Q$6-$S338)/$T338))+1),0)</f>
        <v>0.0</v>
      </c>
      <c r="R338" s="97">
        <f>IF(ISNUMBER($S338),MAX(0,INT((R$6+6-$S338)/$T338)-MAX(0,-INT(-(R$6-$S338)/$T338))+1),0)</f>
        <v>0.0</v>
      </c>
      <c r="S338" t="str">
        <f>IF(ISNUMBER(INDEX(pl_period,329)),MAX(INDEX(pl_due,329),p_today),"")</f>
        <v/>
      </c>
      <c r="T338" t="str">
        <f>IF(ISNUMBER(INDEX(pl_period,329)),INDEX(pl_period,329),"")</f>
        <v/>
      </c>
      <c r="U338">
        <f>N(INDEX(pl_dur,329))</f>
        <v>0.0</v>
      </c>
    </row>
    <row r="339">
      <c r="A339" s="93" t="str">
        <f>IF(INDEX(pl_status,330)="","",INDEX(pl_num,330)&amp;"")</f>
        <v/>
      </c>
      <c r="B339" s="93" t="str">
        <f>IF(INDEX(pl_status,330)="","",INDEX(pl_eq,330)&amp;"")</f>
        <v/>
      </c>
      <c r="C339" s="93" t="str">
        <f>IF(INDEX(pl_status,330)="","",INDEX(pl_task,330)&amp;"")</f>
        <v/>
      </c>
      <c r="D339" s="94" t="str">
        <f>IF(ISNUMBER(INDEX(pl_due,330)),INDEX(pl_due,330),"")</f>
        <v/>
      </c>
      <c r="E339" s="95" t="str">
        <f>INDEX(pl_status,330)&amp;""</f>
        <v/>
      </c>
      <c r="F339" s="96" t="str">
        <f>IF(E339="En retard","●","")</f>
        <v/>
      </c>
      <c r="G339" s="97">
        <f>IF(ISNUMBER($S339),MAX(0,INT((G$6+6-$S339)/$T339)-MAX(0,-INT(-(G$6-$S339)/$T339))+1),0)</f>
        <v>0.0</v>
      </c>
      <c r="H339" s="97">
        <f>IF(ISNUMBER($S339),MAX(0,INT((H$6+6-$S339)/$T339)-MAX(0,-INT(-(H$6-$S339)/$T339))+1),0)</f>
        <v>0.0</v>
      </c>
      <c r="I339" s="97">
        <f>IF(ISNUMBER($S339),MAX(0,INT((I$6+6-$S339)/$T339)-MAX(0,-INT(-(I$6-$S339)/$T339))+1),0)</f>
        <v>0.0</v>
      </c>
      <c r="J339" s="97">
        <f>IF(ISNUMBER($S339),MAX(0,INT((J$6+6-$S339)/$T339)-MAX(0,-INT(-(J$6-$S339)/$T339))+1),0)</f>
        <v>0.0</v>
      </c>
      <c r="K339" s="97">
        <f>IF(ISNUMBER($S339),MAX(0,INT((K$6+6-$S339)/$T339)-MAX(0,-INT(-(K$6-$S339)/$T339))+1),0)</f>
        <v>0.0</v>
      </c>
      <c r="L339" s="97">
        <f>IF(ISNUMBER($S339),MAX(0,INT((L$6+6-$S339)/$T339)-MAX(0,-INT(-(L$6-$S339)/$T339))+1),0)</f>
        <v>0.0</v>
      </c>
      <c r="M339" s="97">
        <f>IF(ISNUMBER($S339),MAX(0,INT((M$6+6-$S339)/$T339)-MAX(0,-INT(-(M$6-$S339)/$T339))+1),0)</f>
        <v>0.0</v>
      </c>
      <c r="N339" s="97">
        <f>IF(ISNUMBER($S339),MAX(0,INT((N$6+6-$S339)/$T339)-MAX(0,-INT(-(N$6-$S339)/$T339))+1),0)</f>
        <v>0.0</v>
      </c>
      <c r="O339" s="97">
        <f>IF(ISNUMBER($S339),MAX(0,INT((O$6+6-$S339)/$T339)-MAX(0,-INT(-(O$6-$S339)/$T339))+1),0)</f>
        <v>0.0</v>
      </c>
      <c r="P339" s="97">
        <f>IF(ISNUMBER($S339),MAX(0,INT((P$6+6-$S339)/$T339)-MAX(0,-INT(-(P$6-$S339)/$T339))+1),0)</f>
        <v>0.0</v>
      </c>
      <c r="Q339" s="97">
        <f>IF(ISNUMBER($S339),MAX(0,INT((Q$6+6-$S339)/$T339)-MAX(0,-INT(-(Q$6-$S339)/$T339))+1),0)</f>
        <v>0.0</v>
      </c>
      <c r="R339" s="97">
        <f>IF(ISNUMBER($S339),MAX(0,INT((R$6+6-$S339)/$T339)-MAX(0,-INT(-(R$6-$S339)/$T339))+1),0)</f>
        <v>0.0</v>
      </c>
      <c r="S339" t="str">
        <f>IF(ISNUMBER(INDEX(pl_period,330)),MAX(INDEX(pl_due,330),p_today),"")</f>
        <v/>
      </c>
      <c r="T339" t="str">
        <f>IF(ISNUMBER(INDEX(pl_period,330)),INDEX(pl_period,330),"")</f>
        <v/>
      </c>
      <c r="U339">
        <f>N(INDEX(pl_dur,330))</f>
        <v>0.0</v>
      </c>
    </row>
    <row r="340">
      <c r="A340" s="93" t="str">
        <f>IF(INDEX(pl_status,331)="","",INDEX(pl_num,331)&amp;"")</f>
        <v/>
      </c>
      <c r="B340" s="93" t="str">
        <f>IF(INDEX(pl_status,331)="","",INDEX(pl_eq,331)&amp;"")</f>
        <v/>
      </c>
      <c r="C340" s="93" t="str">
        <f>IF(INDEX(pl_status,331)="","",INDEX(pl_task,331)&amp;"")</f>
        <v/>
      </c>
      <c r="D340" s="94" t="str">
        <f>IF(ISNUMBER(INDEX(pl_due,331)),INDEX(pl_due,331),"")</f>
        <v/>
      </c>
      <c r="E340" s="95" t="str">
        <f>INDEX(pl_status,331)&amp;""</f>
        <v/>
      </c>
      <c r="F340" s="96" t="str">
        <f>IF(E340="En retard","●","")</f>
        <v/>
      </c>
      <c r="G340" s="97">
        <f>IF(ISNUMBER($S340),MAX(0,INT((G$6+6-$S340)/$T340)-MAX(0,-INT(-(G$6-$S340)/$T340))+1),0)</f>
        <v>0.0</v>
      </c>
      <c r="H340" s="97">
        <f>IF(ISNUMBER($S340),MAX(0,INT((H$6+6-$S340)/$T340)-MAX(0,-INT(-(H$6-$S340)/$T340))+1),0)</f>
        <v>0.0</v>
      </c>
      <c r="I340" s="97">
        <f>IF(ISNUMBER($S340),MAX(0,INT((I$6+6-$S340)/$T340)-MAX(0,-INT(-(I$6-$S340)/$T340))+1),0)</f>
        <v>0.0</v>
      </c>
      <c r="J340" s="97">
        <f>IF(ISNUMBER($S340),MAX(0,INT((J$6+6-$S340)/$T340)-MAX(0,-INT(-(J$6-$S340)/$T340))+1),0)</f>
        <v>0.0</v>
      </c>
      <c r="K340" s="97">
        <f>IF(ISNUMBER($S340),MAX(0,INT((K$6+6-$S340)/$T340)-MAX(0,-INT(-(K$6-$S340)/$T340))+1),0)</f>
        <v>0.0</v>
      </c>
      <c r="L340" s="97">
        <f>IF(ISNUMBER($S340),MAX(0,INT((L$6+6-$S340)/$T340)-MAX(0,-INT(-(L$6-$S340)/$T340))+1),0)</f>
        <v>0.0</v>
      </c>
      <c r="M340" s="97">
        <f>IF(ISNUMBER($S340),MAX(0,INT((M$6+6-$S340)/$T340)-MAX(0,-INT(-(M$6-$S340)/$T340))+1),0)</f>
        <v>0.0</v>
      </c>
      <c r="N340" s="97">
        <f>IF(ISNUMBER($S340),MAX(0,INT((N$6+6-$S340)/$T340)-MAX(0,-INT(-(N$6-$S340)/$T340))+1),0)</f>
        <v>0.0</v>
      </c>
      <c r="O340" s="97">
        <f>IF(ISNUMBER($S340),MAX(0,INT((O$6+6-$S340)/$T340)-MAX(0,-INT(-(O$6-$S340)/$T340))+1),0)</f>
        <v>0.0</v>
      </c>
      <c r="P340" s="97">
        <f>IF(ISNUMBER($S340),MAX(0,INT((P$6+6-$S340)/$T340)-MAX(0,-INT(-(P$6-$S340)/$T340))+1),0)</f>
        <v>0.0</v>
      </c>
      <c r="Q340" s="97">
        <f>IF(ISNUMBER($S340),MAX(0,INT((Q$6+6-$S340)/$T340)-MAX(0,-INT(-(Q$6-$S340)/$T340))+1),0)</f>
        <v>0.0</v>
      </c>
      <c r="R340" s="97">
        <f>IF(ISNUMBER($S340),MAX(0,INT((R$6+6-$S340)/$T340)-MAX(0,-INT(-(R$6-$S340)/$T340))+1),0)</f>
        <v>0.0</v>
      </c>
      <c r="S340" t="str">
        <f>IF(ISNUMBER(INDEX(pl_period,331)),MAX(INDEX(pl_due,331),p_today),"")</f>
        <v/>
      </c>
      <c r="T340" t="str">
        <f>IF(ISNUMBER(INDEX(pl_period,331)),INDEX(pl_period,331),"")</f>
        <v/>
      </c>
      <c r="U340">
        <f>N(INDEX(pl_dur,331))</f>
        <v>0.0</v>
      </c>
    </row>
    <row r="341">
      <c r="A341" s="93" t="str">
        <f>IF(INDEX(pl_status,332)="","",INDEX(pl_num,332)&amp;"")</f>
        <v/>
      </c>
      <c r="B341" s="93" t="str">
        <f>IF(INDEX(pl_status,332)="","",INDEX(pl_eq,332)&amp;"")</f>
        <v/>
      </c>
      <c r="C341" s="93" t="str">
        <f>IF(INDEX(pl_status,332)="","",INDEX(pl_task,332)&amp;"")</f>
        <v/>
      </c>
      <c r="D341" s="94" t="str">
        <f>IF(ISNUMBER(INDEX(pl_due,332)),INDEX(pl_due,332),"")</f>
        <v/>
      </c>
      <c r="E341" s="95" t="str">
        <f>INDEX(pl_status,332)&amp;""</f>
        <v/>
      </c>
      <c r="F341" s="96" t="str">
        <f>IF(E341="En retard","●","")</f>
        <v/>
      </c>
      <c r="G341" s="97">
        <f>IF(ISNUMBER($S341),MAX(0,INT((G$6+6-$S341)/$T341)-MAX(0,-INT(-(G$6-$S341)/$T341))+1),0)</f>
        <v>0.0</v>
      </c>
      <c r="H341" s="97">
        <f>IF(ISNUMBER($S341),MAX(0,INT((H$6+6-$S341)/$T341)-MAX(0,-INT(-(H$6-$S341)/$T341))+1),0)</f>
        <v>0.0</v>
      </c>
      <c r="I341" s="97">
        <f>IF(ISNUMBER($S341),MAX(0,INT((I$6+6-$S341)/$T341)-MAX(0,-INT(-(I$6-$S341)/$T341))+1),0)</f>
        <v>0.0</v>
      </c>
      <c r="J341" s="97">
        <f>IF(ISNUMBER($S341),MAX(0,INT((J$6+6-$S341)/$T341)-MAX(0,-INT(-(J$6-$S341)/$T341))+1),0)</f>
        <v>0.0</v>
      </c>
      <c r="K341" s="97">
        <f>IF(ISNUMBER($S341),MAX(0,INT((K$6+6-$S341)/$T341)-MAX(0,-INT(-(K$6-$S341)/$T341))+1),0)</f>
        <v>0.0</v>
      </c>
      <c r="L341" s="97">
        <f>IF(ISNUMBER($S341),MAX(0,INT((L$6+6-$S341)/$T341)-MAX(0,-INT(-(L$6-$S341)/$T341))+1),0)</f>
        <v>0.0</v>
      </c>
      <c r="M341" s="97">
        <f>IF(ISNUMBER($S341),MAX(0,INT((M$6+6-$S341)/$T341)-MAX(0,-INT(-(M$6-$S341)/$T341))+1),0)</f>
        <v>0.0</v>
      </c>
      <c r="N341" s="97">
        <f>IF(ISNUMBER($S341),MAX(0,INT((N$6+6-$S341)/$T341)-MAX(0,-INT(-(N$6-$S341)/$T341))+1),0)</f>
        <v>0.0</v>
      </c>
      <c r="O341" s="97">
        <f>IF(ISNUMBER($S341),MAX(0,INT((O$6+6-$S341)/$T341)-MAX(0,-INT(-(O$6-$S341)/$T341))+1),0)</f>
        <v>0.0</v>
      </c>
      <c r="P341" s="97">
        <f>IF(ISNUMBER($S341),MAX(0,INT((P$6+6-$S341)/$T341)-MAX(0,-INT(-(P$6-$S341)/$T341))+1),0)</f>
        <v>0.0</v>
      </c>
      <c r="Q341" s="97">
        <f>IF(ISNUMBER($S341),MAX(0,INT((Q$6+6-$S341)/$T341)-MAX(0,-INT(-(Q$6-$S341)/$T341))+1),0)</f>
        <v>0.0</v>
      </c>
      <c r="R341" s="97">
        <f>IF(ISNUMBER($S341),MAX(0,INT((R$6+6-$S341)/$T341)-MAX(0,-INT(-(R$6-$S341)/$T341))+1),0)</f>
        <v>0.0</v>
      </c>
      <c r="S341" t="str">
        <f>IF(ISNUMBER(INDEX(pl_period,332)),MAX(INDEX(pl_due,332),p_today),"")</f>
        <v/>
      </c>
      <c r="T341" t="str">
        <f>IF(ISNUMBER(INDEX(pl_period,332)),INDEX(pl_period,332),"")</f>
        <v/>
      </c>
      <c r="U341">
        <f>N(INDEX(pl_dur,332))</f>
        <v>0.0</v>
      </c>
    </row>
    <row r="342">
      <c r="A342" s="93" t="str">
        <f>IF(INDEX(pl_status,333)="","",INDEX(pl_num,333)&amp;"")</f>
        <v/>
      </c>
      <c r="B342" s="93" t="str">
        <f>IF(INDEX(pl_status,333)="","",INDEX(pl_eq,333)&amp;"")</f>
        <v/>
      </c>
      <c r="C342" s="93" t="str">
        <f>IF(INDEX(pl_status,333)="","",INDEX(pl_task,333)&amp;"")</f>
        <v/>
      </c>
      <c r="D342" s="94" t="str">
        <f>IF(ISNUMBER(INDEX(pl_due,333)),INDEX(pl_due,333),"")</f>
        <v/>
      </c>
      <c r="E342" s="95" t="str">
        <f>INDEX(pl_status,333)&amp;""</f>
        <v/>
      </c>
      <c r="F342" s="96" t="str">
        <f>IF(E342="En retard","●","")</f>
        <v/>
      </c>
      <c r="G342" s="97">
        <f>IF(ISNUMBER($S342),MAX(0,INT((G$6+6-$S342)/$T342)-MAX(0,-INT(-(G$6-$S342)/$T342))+1),0)</f>
        <v>0.0</v>
      </c>
      <c r="H342" s="97">
        <f>IF(ISNUMBER($S342),MAX(0,INT((H$6+6-$S342)/$T342)-MAX(0,-INT(-(H$6-$S342)/$T342))+1),0)</f>
        <v>0.0</v>
      </c>
      <c r="I342" s="97">
        <f>IF(ISNUMBER($S342),MAX(0,INT((I$6+6-$S342)/$T342)-MAX(0,-INT(-(I$6-$S342)/$T342))+1),0)</f>
        <v>0.0</v>
      </c>
      <c r="J342" s="97">
        <f>IF(ISNUMBER($S342),MAX(0,INT((J$6+6-$S342)/$T342)-MAX(0,-INT(-(J$6-$S342)/$T342))+1),0)</f>
        <v>0.0</v>
      </c>
      <c r="K342" s="97">
        <f>IF(ISNUMBER($S342),MAX(0,INT((K$6+6-$S342)/$T342)-MAX(0,-INT(-(K$6-$S342)/$T342))+1),0)</f>
        <v>0.0</v>
      </c>
      <c r="L342" s="97">
        <f>IF(ISNUMBER($S342),MAX(0,INT((L$6+6-$S342)/$T342)-MAX(0,-INT(-(L$6-$S342)/$T342))+1),0)</f>
        <v>0.0</v>
      </c>
      <c r="M342" s="97">
        <f>IF(ISNUMBER($S342),MAX(0,INT((M$6+6-$S342)/$T342)-MAX(0,-INT(-(M$6-$S342)/$T342))+1),0)</f>
        <v>0.0</v>
      </c>
      <c r="N342" s="97">
        <f>IF(ISNUMBER($S342),MAX(0,INT((N$6+6-$S342)/$T342)-MAX(0,-INT(-(N$6-$S342)/$T342))+1),0)</f>
        <v>0.0</v>
      </c>
      <c r="O342" s="97">
        <f>IF(ISNUMBER($S342),MAX(0,INT((O$6+6-$S342)/$T342)-MAX(0,-INT(-(O$6-$S342)/$T342))+1),0)</f>
        <v>0.0</v>
      </c>
      <c r="P342" s="97">
        <f>IF(ISNUMBER($S342),MAX(0,INT((P$6+6-$S342)/$T342)-MAX(0,-INT(-(P$6-$S342)/$T342))+1),0)</f>
        <v>0.0</v>
      </c>
      <c r="Q342" s="97">
        <f>IF(ISNUMBER($S342),MAX(0,INT((Q$6+6-$S342)/$T342)-MAX(0,-INT(-(Q$6-$S342)/$T342))+1),0)</f>
        <v>0.0</v>
      </c>
      <c r="R342" s="97">
        <f>IF(ISNUMBER($S342),MAX(0,INT((R$6+6-$S342)/$T342)-MAX(0,-INT(-(R$6-$S342)/$T342))+1),0)</f>
        <v>0.0</v>
      </c>
      <c r="S342" t="str">
        <f>IF(ISNUMBER(INDEX(pl_period,333)),MAX(INDEX(pl_due,333),p_today),"")</f>
        <v/>
      </c>
      <c r="T342" t="str">
        <f>IF(ISNUMBER(INDEX(pl_period,333)),INDEX(pl_period,333),"")</f>
        <v/>
      </c>
      <c r="U342">
        <f>N(INDEX(pl_dur,333))</f>
        <v>0.0</v>
      </c>
    </row>
    <row r="343">
      <c r="A343" s="93" t="str">
        <f>IF(INDEX(pl_status,334)="","",INDEX(pl_num,334)&amp;"")</f>
        <v/>
      </c>
      <c r="B343" s="93" t="str">
        <f>IF(INDEX(pl_status,334)="","",INDEX(pl_eq,334)&amp;"")</f>
        <v/>
      </c>
      <c r="C343" s="93" t="str">
        <f>IF(INDEX(pl_status,334)="","",INDEX(pl_task,334)&amp;"")</f>
        <v/>
      </c>
      <c r="D343" s="94" t="str">
        <f>IF(ISNUMBER(INDEX(pl_due,334)),INDEX(pl_due,334),"")</f>
        <v/>
      </c>
      <c r="E343" s="95" t="str">
        <f>INDEX(pl_status,334)&amp;""</f>
        <v/>
      </c>
      <c r="F343" s="96" t="str">
        <f>IF(E343="En retard","●","")</f>
        <v/>
      </c>
      <c r="G343" s="97">
        <f>IF(ISNUMBER($S343),MAX(0,INT((G$6+6-$S343)/$T343)-MAX(0,-INT(-(G$6-$S343)/$T343))+1),0)</f>
        <v>0.0</v>
      </c>
      <c r="H343" s="97">
        <f>IF(ISNUMBER($S343),MAX(0,INT((H$6+6-$S343)/$T343)-MAX(0,-INT(-(H$6-$S343)/$T343))+1),0)</f>
        <v>0.0</v>
      </c>
      <c r="I343" s="97">
        <f>IF(ISNUMBER($S343),MAX(0,INT((I$6+6-$S343)/$T343)-MAX(0,-INT(-(I$6-$S343)/$T343))+1),0)</f>
        <v>0.0</v>
      </c>
      <c r="J343" s="97">
        <f>IF(ISNUMBER($S343),MAX(0,INT((J$6+6-$S343)/$T343)-MAX(0,-INT(-(J$6-$S343)/$T343))+1),0)</f>
        <v>0.0</v>
      </c>
      <c r="K343" s="97">
        <f>IF(ISNUMBER($S343),MAX(0,INT((K$6+6-$S343)/$T343)-MAX(0,-INT(-(K$6-$S343)/$T343))+1),0)</f>
        <v>0.0</v>
      </c>
      <c r="L343" s="97">
        <f>IF(ISNUMBER($S343),MAX(0,INT((L$6+6-$S343)/$T343)-MAX(0,-INT(-(L$6-$S343)/$T343))+1),0)</f>
        <v>0.0</v>
      </c>
      <c r="M343" s="97">
        <f>IF(ISNUMBER($S343),MAX(0,INT((M$6+6-$S343)/$T343)-MAX(0,-INT(-(M$6-$S343)/$T343))+1),0)</f>
        <v>0.0</v>
      </c>
      <c r="N343" s="97">
        <f>IF(ISNUMBER($S343),MAX(0,INT((N$6+6-$S343)/$T343)-MAX(0,-INT(-(N$6-$S343)/$T343))+1),0)</f>
        <v>0.0</v>
      </c>
      <c r="O343" s="97">
        <f>IF(ISNUMBER($S343),MAX(0,INT((O$6+6-$S343)/$T343)-MAX(0,-INT(-(O$6-$S343)/$T343))+1),0)</f>
        <v>0.0</v>
      </c>
      <c r="P343" s="97">
        <f>IF(ISNUMBER($S343),MAX(0,INT((P$6+6-$S343)/$T343)-MAX(0,-INT(-(P$6-$S343)/$T343))+1),0)</f>
        <v>0.0</v>
      </c>
      <c r="Q343" s="97">
        <f>IF(ISNUMBER($S343),MAX(0,INT((Q$6+6-$S343)/$T343)-MAX(0,-INT(-(Q$6-$S343)/$T343))+1),0)</f>
        <v>0.0</v>
      </c>
      <c r="R343" s="97">
        <f>IF(ISNUMBER($S343),MAX(0,INT((R$6+6-$S343)/$T343)-MAX(0,-INT(-(R$6-$S343)/$T343))+1),0)</f>
        <v>0.0</v>
      </c>
      <c r="S343" t="str">
        <f>IF(ISNUMBER(INDEX(pl_period,334)),MAX(INDEX(pl_due,334),p_today),"")</f>
        <v/>
      </c>
      <c r="T343" t="str">
        <f>IF(ISNUMBER(INDEX(pl_period,334)),INDEX(pl_period,334),"")</f>
        <v/>
      </c>
      <c r="U343">
        <f>N(INDEX(pl_dur,334))</f>
        <v>0.0</v>
      </c>
    </row>
    <row r="344">
      <c r="A344" s="93" t="str">
        <f>IF(INDEX(pl_status,335)="","",INDEX(pl_num,335)&amp;"")</f>
        <v/>
      </c>
      <c r="B344" s="93" t="str">
        <f>IF(INDEX(pl_status,335)="","",INDEX(pl_eq,335)&amp;"")</f>
        <v/>
      </c>
      <c r="C344" s="93" t="str">
        <f>IF(INDEX(pl_status,335)="","",INDEX(pl_task,335)&amp;"")</f>
        <v/>
      </c>
      <c r="D344" s="94" t="str">
        <f>IF(ISNUMBER(INDEX(pl_due,335)),INDEX(pl_due,335),"")</f>
        <v/>
      </c>
      <c r="E344" s="95" t="str">
        <f>INDEX(pl_status,335)&amp;""</f>
        <v/>
      </c>
      <c r="F344" s="96" t="str">
        <f>IF(E344="En retard","●","")</f>
        <v/>
      </c>
      <c r="G344" s="97">
        <f>IF(ISNUMBER($S344),MAX(0,INT((G$6+6-$S344)/$T344)-MAX(0,-INT(-(G$6-$S344)/$T344))+1),0)</f>
        <v>0.0</v>
      </c>
      <c r="H344" s="97">
        <f>IF(ISNUMBER($S344),MAX(0,INT((H$6+6-$S344)/$T344)-MAX(0,-INT(-(H$6-$S344)/$T344))+1),0)</f>
        <v>0.0</v>
      </c>
      <c r="I344" s="97">
        <f>IF(ISNUMBER($S344),MAX(0,INT((I$6+6-$S344)/$T344)-MAX(0,-INT(-(I$6-$S344)/$T344))+1),0)</f>
        <v>0.0</v>
      </c>
      <c r="J344" s="97">
        <f>IF(ISNUMBER($S344),MAX(0,INT((J$6+6-$S344)/$T344)-MAX(0,-INT(-(J$6-$S344)/$T344))+1),0)</f>
        <v>0.0</v>
      </c>
      <c r="K344" s="97">
        <f>IF(ISNUMBER($S344),MAX(0,INT((K$6+6-$S344)/$T344)-MAX(0,-INT(-(K$6-$S344)/$T344))+1),0)</f>
        <v>0.0</v>
      </c>
      <c r="L344" s="97">
        <f>IF(ISNUMBER($S344),MAX(0,INT((L$6+6-$S344)/$T344)-MAX(0,-INT(-(L$6-$S344)/$T344))+1),0)</f>
        <v>0.0</v>
      </c>
      <c r="M344" s="97">
        <f>IF(ISNUMBER($S344),MAX(0,INT((M$6+6-$S344)/$T344)-MAX(0,-INT(-(M$6-$S344)/$T344))+1),0)</f>
        <v>0.0</v>
      </c>
      <c r="N344" s="97">
        <f>IF(ISNUMBER($S344),MAX(0,INT((N$6+6-$S344)/$T344)-MAX(0,-INT(-(N$6-$S344)/$T344))+1),0)</f>
        <v>0.0</v>
      </c>
      <c r="O344" s="97">
        <f>IF(ISNUMBER($S344),MAX(0,INT((O$6+6-$S344)/$T344)-MAX(0,-INT(-(O$6-$S344)/$T344))+1),0)</f>
        <v>0.0</v>
      </c>
      <c r="P344" s="97">
        <f>IF(ISNUMBER($S344),MAX(0,INT((P$6+6-$S344)/$T344)-MAX(0,-INT(-(P$6-$S344)/$T344))+1),0)</f>
        <v>0.0</v>
      </c>
      <c r="Q344" s="97">
        <f>IF(ISNUMBER($S344),MAX(0,INT((Q$6+6-$S344)/$T344)-MAX(0,-INT(-(Q$6-$S344)/$T344))+1),0)</f>
        <v>0.0</v>
      </c>
      <c r="R344" s="97">
        <f>IF(ISNUMBER($S344),MAX(0,INT((R$6+6-$S344)/$T344)-MAX(0,-INT(-(R$6-$S344)/$T344))+1),0)</f>
        <v>0.0</v>
      </c>
      <c r="S344" t="str">
        <f>IF(ISNUMBER(INDEX(pl_period,335)),MAX(INDEX(pl_due,335),p_today),"")</f>
        <v/>
      </c>
      <c r="T344" t="str">
        <f>IF(ISNUMBER(INDEX(pl_period,335)),INDEX(pl_period,335),"")</f>
        <v/>
      </c>
      <c r="U344">
        <f>N(INDEX(pl_dur,335))</f>
        <v>0.0</v>
      </c>
    </row>
    <row r="345">
      <c r="A345" s="93" t="str">
        <f>IF(INDEX(pl_status,336)="","",INDEX(pl_num,336)&amp;"")</f>
        <v/>
      </c>
      <c r="B345" s="93" t="str">
        <f>IF(INDEX(pl_status,336)="","",INDEX(pl_eq,336)&amp;"")</f>
        <v/>
      </c>
      <c r="C345" s="93" t="str">
        <f>IF(INDEX(pl_status,336)="","",INDEX(pl_task,336)&amp;"")</f>
        <v/>
      </c>
      <c r="D345" s="94" t="str">
        <f>IF(ISNUMBER(INDEX(pl_due,336)),INDEX(pl_due,336),"")</f>
        <v/>
      </c>
      <c r="E345" s="95" t="str">
        <f>INDEX(pl_status,336)&amp;""</f>
        <v/>
      </c>
      <c r="F345" s="96" t="str">
        <f>IF(E345="En retard","●","")</f>
        <v/>
      </c>
      <c r="G345" s="97">
        <f>IF(ISNUMBER($S345),MAX(0,INT((G$6+6-$S345)/$T345)-MAX(0,-INT(-(G$6-$S345)/$T345))+1),0)</f>
        <v>0.0</v>
      </c>
      <c r="H345" s="97">
        <f>IF(ISNUMBER($S345),MAX(0,INT((H$6+6-$S345)/$T345)-MAX(0,-INT(-(H$6-$S345)/$T345))+1),0)</f>
        <v>0.0</v>
      </c>
      <c r="I345" s="97">
        <f>IF(ISNUMBER($S345),MAX(0,INT((I$6+6-$S345)/$T345)-MAX(0,-INT(-(I$6-$S345)/$T345))+1),0)</f>
        <v>0.0</v>
      </c>
      <c r="J345" s="97">
        <f>IF(ISNUMBER($S345),MAX(0,INT((J$6+6-$S345)/$T345)-MAX(0,-INT(-(J$6-$S345)/$T345))+1),0)</f>
        <v>0.0</v>
      </c>
      <c r="K345" s="97">
        <f>IF(ISNUMBER($S345),MAX(0,INT((K$6+6-$S345)/$T345)-MAX(0,-INT(-(K$6-$S345)/$T345))+1),0)</f>
        <v>0.0</v>
      </c>
      <c r="L345" s="97">
        <f>IF(ISNUMBER($S345),MAX(0,INT((L$6+6-$S345)/$T345)-MAX(0,-INT(-(L$6-$S345)/$T345))+1),0)</f>
        <v>0.0</v>
      </c>
      <c r="M345" s="97">
        <f>IF(ISNUMBER($S345),MAX(0,INT((M$6+6-$S345)/$T345)-MAX(0,-INT(-(M$6-$S345)/$T345))+1),0)</f>
        <v>0.0</v>
      </c>
      <c r="N345" s="97">
        <f>IF(ISNUMBER($S345),MAX(0,INT((N$6+6-$S345)/$T345)-MAX(0,-INT(-(N$6-$S345)/$T345))+1),0)</f>
        <v>0.0</v>
      </c>
      <c r="O345" s="97">
        <f>IF(ISNUMBER($S345),MAX(0,INT((O$6+6-$S345)/$T345)-MAX(0,-INT(-(O$6-$S345)/$T345))+1),0)</f>
        <v>0.0</v>
      </c>
      <c r="P345" s="97">
        <f>IF(ISNUMBER($S345),MAX(0,INT((P$6+6-$S345)/$T345)-MAX(0,-INT(-(P$6-$S345)/$T345))+1),0)</f>
        <v>0.0</v>
      </c>
      <c r="Q345" s="97">
        <f>IF(ISNUMBER($S345),MAX(0,INT((Q$6+6-$S345)/$T345)-MAX(0,-INT(-(Q$6-$S345)/$T345))+1),0)</f>
        <v>0.0</v>
      </c>
      <c r="R345" s="97">
        <f>IF(ISNUMBER($S345),MAX(0,INT((R$6+6-$S345)/$T345)-MAX(0,-INT(-(R$6-$S345)/$T345))+1),0)</f>
        <v>0.0</v>
      </c>
      <c r="S345" t="str">
        <f>IF(ISNUMBER(INDEX(pl_period,336)),MAX(INDEX(pl_due,336),p_today),"")</f>
        <v/>
      </c>
      <c r="T345" t="str">
        <f>IF(ISNUMBER(INDEX(pl_period,336)),INDEX(pl_period,336),"")</f>
        <v/>
      </c>
      <c r="U345">
        <f>N(INDEX(pl_dur,336))</f>
        <v>0.0</v>
      </c>
    </row>
    <row r="346">
      <c r="A346" s="93" t="str">
        <f>IF(INDEX(pl_status,337)="","",INDEX(pl_num,337)&amp;"")</f>
        <v/>
      </c>
      <c r="B346" s="93" t="str">
        <f>IF(INDEX(pl_status,337)="","",INDEX(pl_eq,337)&amp;"")</f>
        <v/>
      </c>
      <c r="C346" s="93" t="str">
        <f>IF(INDEX(pl_status,337)="","",INDEX(pl_task,337)&amp;"")</f>
        <v/>
      </c>
      <c r="D346" s="94" t="str">
        <f>IF(ISNUMBER(INDEX(pl_due,337)),INDEX(pl_due,337),"")</f>
        <v/>
      </c>
      <c r="E346" s="95" t="str">
        <f>INDEX(pl_status,337)&amp;""</f>
        <v/>
      </c>
      <c r="F346" s="96" t="str">
        <f>IF(E346="En retard","●","")</f>
        <v/>
      </c>
      <c r="G346" s="97">
        <f>IF(ISNUMBER($S346),MAX(0,INT((G$6+6-$S346)/$T346)-MAX(0,-INT(-(G$6-$S346)/$T346))+1),0)</f>
        <v>0.0</v>
      </c>
      <c r="H346" s="97">
        <f>IF(ISNUMBER($S346),MAX(0,INT((H$6+6-$S346)/$T346)-MAX(0,-INT(-(H$6-$S346)/$T346))+1),0)</f>
        <v>0.0</v>
      </c>
      <c r="I346" s="97">
        <f>IF(ISNUMBER($S346),MAX(0,INT((I$6+6-$S346)/$T346)-MAX(0,-INT(-(I$6-$S346)/$T346))+1),0)</f>
        <v>0.0</v>
      </c>
      <c r="J346" s="97">
        <f>IF(ISNUMBER($S346),MAX(0,INT((J$6+6-$S346)/$T346)-MAX(0,-INT(-(J$6-$S346)/$T346))+1),0)</f>
        <v>0.0</v>
      </c>
      <c r="K346" s="97">
        <f>IF(ISNUMBER($S346),MAX(0,INT((K$6+6-$S346)/$T346)-MAX(0,-INT(-(K$6-$S346)/$T346))+1),0)</f>
        <v>0.0</v>
      </c>
      <c r="L346" s="97">
        <f>IF(ISNUMBER($S346),MAX(0,INT((L$6+6-$S346)/$T346)-MAX(0,-INT(-(L$6-$S346)/$T346))+1),0)</f>
        <v>0.0</v>
      </c>
      <c r="M346" s="97">
        <f>IF(ISNUMBER($S346),MAX(0,INT((M$6+6-$S346)/$T346)-MAX(0,-INT(-(M$6-$S346)/$T346))+1),0)</f>
        <v>0.0</v>
      </c>
      <c r="N346" s="97">
        <f>IF(ISNUMBER($S346),MAX(0,INT((N$6+6-$S346)/$T346)-MAX(0,-INT(-(N$6-$S346)/$T346))+1),0)</f>
        <v>0.0</v>
      </c>
      <c r="O346" s="97">
        <f>IF(ISNUMBER($S346),MAX(0,INT((O$6+6-$S346)/$T346)-MAX(0,-INT(-(O$6-$S346)/$T346))+1),0)</f>
        <v>0.0</v>
      </c>
      <c r="P346" s="97">
        <f>IF(ISNUMBER($S346),MAX(0,INT((P$6+6-$S346)/$T346)-MAX(0,-INT(-(P$6-$S346)/$T346))+1),0)</f>
        <v>0.0</v>
      </c>
      <c r="Q346" s="97">
        <f>IF(ISNUMBER($S346),MAX(0,INT((Q$6+6-$S346)/$T346)-MAX(0,-INT(-(Q$6-$S346)/$T346))+1),0)</f>
        <v>0.0</v>
      </c>
      <c r="R346" s="97">
        <f>IF(ISNUMBER($S346),MAX(0,INT((R$6+6-$S346)/$T346)-MAX(0,-INT(-(R$6-$S346)/$T346))+1),0)</f>
        <v>0.0</v>
      </c>
      <c r="S346" t="str">
        <f>IF(ISNUMBER(INDEX(pl_period,337)),MAX(INDEX(pl_due,337),p_today),"")</f>
        <v/>
      </c>
      <c r="T346" t="str">
        <f>IF(ISNUMBER(INDEX(pl_period,337)),INDEX(pl_period,337),"")</f>
        <v/>
      </c>
      <c r="U346">
        <f>N(INDEX(pl_dur,337))</f>
        <v>0.0</v>
      </c>
    </row>
    <row r="347">
      <c r="A347" s="93" t="str">
        <f>IF(INDEX(pl_status,338)="","",INDEX(pl_num,338)&amp;"")</f>
        <v/>
      </c>
      <c r="B347" s="93" t="str">
        <f>IF(INDEX(pl_status,338)="","",INDEX(pl_eq,338)&amp;"")</f>
        <v/>
      </c>
      <c r="C347" s="93" t="str">
        <f>IF(INDEX(pl_status,338)="","",INDEX(pl_task,338)&amp;"")</f>
        <v/>
      </c>
      <c r="D347" s="94" t="str">
        <f>IF(ISNUMBER(INDEX(pl_due,338)),INDEX(pl_due,338),"")</f>
        <v/>
      </c>
      <c r="E347" s="95" t="str">
        <f>INDEX(pl_status,338)&amp;""</f>
        <v/>
      </c>
      <c r="F347" s="96" t="str">
        <f>IF(E347="En retard","●","")</f>
        <v/>
      </c>
      <c r="G347" s="97">
        <f>IF(ISNUMBER($S347),MAX(0,INT((G$6+6-$S347)/$T347)-MAX(0,-INT(-(G$6-$S347)/$T347))+1),0)</f>
        <v>0.0</v>
      </c>
      <c r="H347" s="97">
        <f>IF(ISNUMBER($S347),MAX(0,INT((H$6+6-$S347)/$T347)-MAX(0,-INT(-(H$6-$S347)/$T347))+1),0)</f>
        <v>0.0</v>
      </c>
      <c r="I347" s="97">
        <f>IF(ISNUMBER($S347),MAX(0,INT((I$6+6-$S347)/$T347)-MAX(0,-INT(-(I$6-$S347)/$T347))+1),0)</f>
        <v>0.0</v>
      </c>
      <c r="J347" s="97">
        <f>IF(ISNUMBER($S347),MAX(0,INT((J$6+6-$S347)/$T347)-MAX(0,-INT(-(J$6-$S347)/$T347))+1),0)</f>
        <v>0.0</v>
      </c>
      <c r="K347" s="97">
        <f>IF(ISNUMBER($S347),MAX(0,INT((K$6+6-$S347)/$T347)-MAX(0,-INT(-(K$6-$S347)/$T347))+1),0)</f>
        <v>0.0</v>
      </c>
      <c r="L347" s="97">
        <f>IF(ISNUMBER($S347),MAX(0,INT((L$6+6-$S347)/$T347)-MAX(0,-INT(-(L$6-$S347)/$T347))+1),0)</f>
        <v>0.0</v>
      </c>
      <c r="M347" s="97">
        <f>IF(ISNUMBER($S347),MAX(0,INT((M$6+6-$S347)/$T347)-MAX(0,-INT(-(M$6-$S347)/$T347))+1),0)</f>
        <v>0.0</v>
      </c>
      <c r="N347" s="97">
        <f>IF(ISNUMBER($S347),MAX(0,INT((N$6+6-$S347)/$T347)-MAX(0,-INT(-(N$6-$S347)/$T347))+1),0)</f>
        <v>0.0</v>
      </c>
      <c r="O347" s="97">
        <f>IF(ISNUMBER($S347),MAX(0,INT((O$6+6-$S347)/$T347)-MAX(0,-INT(-(O$6-$S347)/$T347))+1),0)</f>
        <v>0.0</v>
      </c>
      <c r="P347" s="97">
        <f>IF(ISNUMBER($S347),MAX(0,INT((P$6+6-$S347)/$T347)-MAX(0,-INT(-(P$6-$S347)/$T347))+1),0)</f>
        <v>0.0</v>
      </c>
      <c r="Q347" s="97">
        <f>IF(ISNUMBER($S347),MAX(0,INT((Q$6+6-$S347)/$T347)-MAX(0,-INT(-(Q$6-$S347)/$T347))+1),0)</f>
        <v>0.0</v>
      </c>
      <c r="R347" s="97">
        <f>IF(ISNUMBER($S347),MAX(0,INT((R$6+6-$S347)/$T347)-MAX(0,-INT(-(R$6-$S347)/$T347))+1),0)</f>
        <v>0.0</v>
      </c>
      <c r="S347" t="str">
        <f>IF(ISNUMBER(INDEX(pl_period,338)),MAX(INDEX(pl_due,338),p_today),"")</f>
        <v/>
      </c>
      <c r="T347" t="str">
        <f>IF(ISNUMBER(INDEX(pl_period,338)),INDEX(pl_period,338),"")</f>
        <v/>
      </c>
      <c r="U347">
        <f>N(INDEX(pl_dur,338))</f>
        <v>0.0</v>
      </c>
    </row>
    <row r="348">
      <c r="A348" s="93" t="str">
        <f>IF(INDEX(pl_status,339)="","",INDEX(pl_num,339)&amp;"")</f>
        <v/>
      </c>
      <c r="B348" s="93" t="str">
        <f>IF(INDEX(pl_status,339)="","",INDEX(pl_eq,339)&amp;"")</f>
        <v/>
      </c>
      <c r="C348" s="93" t="str">
        <f>IF(INDEX(pl_status,339)="","",INDEX(pl_task,339)&amp;"")</f>
        <v/>
      </c>
      <c r="D348" s="94" t="str">
        <f>IF(ISNUMBER(INDEX(pl_due,339)),INDEX(pl_due,339),"")</f>
        <v/>
      </c>
      <c r="E348" s="95" t="str">
        <f>INDEX(pl_status,339)&amp;""</f>
        <v/>
      </c>
      <c r="F348" s="96" t="str">
        <f>IF(E348="En retard","●","")</f>
        <v/>
      </c>
      <c r="G348" s="97">
        <f>IF(ISNUMBER($S348),MAX(0,INT((G$6+6-$S348)/$T348)-MAX(0,-INT(-(G$6-$S348)/$T348))+1),0)</f>
        <v>0.0</v>
      </c>
      <c r="H348" s="97">
        <f>IF(ISNUMBER($S348),MAX(0,INT((H$6+6-$S348)/$T348)-MAX(0,-INT(-(H$6-$S348)/$T348))+1),0)</f>
        <v>0.0</v>
      </c>
      <c r="I348" s="97">
        <f>IF(ISNUMBER($S348),MAX(0,INT((I$6+6-$S348)/$T348)-MAX(0,-INT(-(I$6-$S348)/$T348))+1),0)</f>
        <v>0.0</v>
      </c>
      <c r="J348" s="97">
        <f>IF(ISNUMBER($S348),MAX(0,INT((J$6+6-$S348)/$T348)-MAX(0,-INT(-(J$6-$S348)/$T348))+1),0)</f>
        <v>0.0</v>
      </c>
      <c r="K348" s="97">
        <f>IF(ISNUMBER($S348),MAX(0,INT((K$6+6-$S348)/$T348)-MAX(0,-INT(-(K$6-$S348)/$T348))+1),0)</f>
        <v>0.0</v>
      </c>
      <c r="L348" s="97">
        <f>IF(ISNUMBER($S348),MAX(0,INT((L$6+6-$S348)/$T348)-MAX(0,-INT(-(L$6-$S348)/$T348))+1),0)</f>
        <v>0.0</v>
      </c>
      <c r="M348" s="97">
        <f>IF(ISNUMBER($S348),MAX(0,INT((M$6+6-$S348)/$T348)-MAX(0,-INT(-(M$6-$S348)/$T348))+1),0)</f>
        <v>0.0</v>
      </c>
      <c r="N348" s="97">
        <f>IF(ISNUMBER($S348),MAX(0,INT((N$6+6-$S348)/$T348)-MAX(0,-INT(-(N$6-$S348)/$T348))+1),0)</f>
        <v>0.0</v>
      </c>
      <c r="O348" s="97">
        <f>IF(ISNUMBER($S348),MAX(0,INT((O$6+6-$S348)/$T348)-MAX(0,-INT(-(O$6-$S348)/$T348))+1),0)</f>
        <v>0.0</v>
      </c>
      <c r="P348" s="97">
        <f>IF(ISNUMBER($S348),MAX(0,INT((P$6+6-$S348)/$T348)-MAX(0,-INT(-(P$6-$S348)/$T348))+1),0)</f>
        <v>0.0</v>
      </c>
      <c r="Q348" s="97">
        <f>IF(ISNUMBER($S348),MAX(0,INT((Q$6+6-$S348)/$T348)-MAX(0,-INT(-(Q$6-$S348)/$T348))+1),0)</f>
        <v>0.0</v>
      </c>
      <c r="R348" s="97">
        <f>IF(ISNUMBER($S348),MAX(0,INT((R$6+6-$S348)/$T348)-MAX(0,-INT(-(R$6-$S348)/$T348))+1),0)</f>
        <v>0.0</v>
      </c>
      <c r="S348" t="str">
        <f>IF(ISNUMBER(INDEX(pl_period,339)),MAX(INDEX(pl_due,339),p_today),"")</f>
        <v/>
      </c>
      <c r="T348" t="str">
        <f>IF(ISNUMBER(INDEX(pl_period,339)),INDEX(pl_period,339),"")</f>
        <v/>
      </c>
      <c r="U348">
        <f>N(INDEX(pl_dur,339))</f>
        <v>0.0</v>
      </c>
    </row>
    <row r="349">
      <c r="A349" s="93" t="str">
        <f>IF(INDEX(pl_status,340)="","",INDEX(pl_num,340)&amp;"")</f>
        <v/>
      </c>
      <c r="B349" s="93" t="str">
        <f>IF(INDEX(pl_status,340)="","",INDEX(pl_eq,340)&amp;"")</f>
        <v/>
      </c>
      <c r="C349" s="93" t="str">
        <f>IF(INDEX(pl_status,340)="","",INDEX(pl_task,340)&amp;"")</f>
        <v/>
      </c>
      <c r="D349" s="94" t="str">
        <f>IF(ISNUMBER(INDEX(pl_due,340)),INDEX(pl_due,340),"")</f>
        <v/>
      </c>
      <c r="E349" s="95" t="str">
        <f>INDEX(pl_status,340)&amp;""</f>
        <v/>
      </c>
      <c r="F349" s="96" t="str">
        <f>IF(E349="En retard","●","")</f>
        <v/>
      </c>
      <c r="G349" s="97">
        <f>IF(ISNUMBER($S349),MAX(0,INT((G$6+6-$S349)/$T349)-MAX(0,-INT(-(G$6-$S349)/$T349))+1),0)</f>
        <v>0.0</v>
      </c>
      <c r="H349" s="97">
        <f>IF(ISNUMBER($S349),MAX(0,INT((H$6+6-$S349)/$T349)-MAX(0,-INT(-(H$6-$S349)/$T349))+1),0)</f>
        <v>0.0</v>
      </c>
      <c r="I349" s="97">
        <f>IF(ISNUMBER($S349),MAX(0,INT((I$6+6-$S349)/$T349)-MAX(0,-INT(-(I$6-$S349)/$T349))+1),0)</f>
        <v>0.0</v>
      </c>
      <c r="J349" s="97">
        <f>IF(ISNUMBER($S349),MAX(0,INT((J$6+6-$S349)/$T349)-MAX(0,-INT(-(J$6-$S349)/$T349))+1),0)</f>
        <v>0.0</v>
      </c>
      <c r="K349" s="97">
        <f>IF(ISNUMBER($S349),MAX(0,INT((K$6+6-$S349)/$T349)-MAX(0,-INT(-(K$6-$S349)/$T349))+1),0)</f>
        <v>0.0</v>
      </c>
      <c r="L349" s="97">
        <f>IF(ISNUMBER($S349),MAX(0,INT((L$6+6-$S349)/$T349)-MAX(0,-INT(-(L$6-$S349)/$T349))+1),0)</f>
        <v>0.0</v>
      </c>
      <c r="M349" s="97">
        <f>IF(ISNUMBER($S349),MAX(0,INT((M$6+6-$S349)/$T349)-MAX(0,-INT(-(M$6-$S349)/$T349))+1),0)</f>
        <v>0.0</v>
      </c>
      <c r="N349" s="97">
        <f>IF(ISNUMBER($S349),MAX(0,INT((N$6+6-$S349)/$T349)-MAX(0,-INT(-(N$6-$S349)/$T349))+1),0)</f>
        <v>0.0</v>
      </c>
      <c r="O349" s="97">
        <f>IF(ISNUMBER($S349),MAX(0,INT((O$6+6-$S349)/$T349)-MAX(0,-INT(-(O$6-$S349)/$T349))+1),0)</f>
        <v>0.0</v>
      </c>
      <c r="P349" s="97">
        <f>IF(ISNUMBER($S349),MAX(0,INT((P$6+6-$S349)/$T349)-MAX(0,-INT(-(P$6-$S349)/$T349))+1),0)</f>
        <v>0.0</v>
      </c>
      <c r="Q349" s="97">
        <f>IF(ISNUMBER($S349),MAX(0,INT((Q$6+6-$S349)/$T349)-MAX(0,-INT(-(Q$6-$S349)/$T349))+1),0)</f>
        <v>0.0</v>
      </c>
      <c r="R349" s="97">
        <f>IF(ISNUMBER($S349),MAX(0,INT((R$6+6-$S349)/$T349)-MAX(0,-INT(-(R$6-$S349)/$T349))+1),0)</f>
        <v>0.0</v>
      </c>
      <c r="S349" t="str">
        <f>IF(ISNUMBER(INDEX(pl_period,340)),MAX(INDEX(pl_due,340),p_today),"")</f>
        <v/>
      </c>
      <c r="T349" t="str">
        <f>IF(ISNUMBER(INDEX(pl_period,340)),INDEX(pl_period,340),"")</f>
        <v/>
      </c>
      <c r="U349">
        <f>N(INDEX(pl_dur,340))</f>
        <v>0.0</v>
      </c>
    </row>
    <row r="350">
      <c r="A350" s="93" t="str">
        <f>IF(INDEX(pl_status,341)="","",INDEX(pl_num,341)&amp;"")</f>
        <v/>
      </c>
      <c r="B350" s="93" t="str">
        <f>IF(INDEX(pl_status,341)="","",INDEX(pl_eq,341)&amp;"")</f>
        <v/>
      </c>
      <c r="C350" s="93" t="str">
        <f>IF(INDEX(pl_status,341)="","",INDEX(pl_task,341)&amp;"")</f>
        <v/>
      </c>
      <c r="D350" s="94" t="str">
        <f>IF(ISNUMBER(INDEX(pl_due,341)),INDEX(pl_due,341),"")</f>
        <v/>
      </c>
      <c r="E350" s="95" t="str">
        <f>INDEX(pl_status,341)&amp;""</f>
        <v/>
      </c>
      <c r="F350" s="96" t="str">
        <f>IF(E350="En retard","●","")</f>
        <v/>
      </c>
      <c r="G350" s="97">
        <f>IF(ISNUMBER($S350),MAX(0,INT((G$6+6-$S350)/$T350)-MAX(0,-INT(-(G$6-$S350)/$T350))+1),0)</f>
        <v>0.0</v>
      </c>
      <c r="H350" s="97">
        <f>IF(ISNUMBER($S350),MAX(0,INT((H$6+6-$S350)/$T350)-MAX(0,-INT(-(H$6-$S350)/$T350))+1),0)</f>
        <v>0.0</v>
      </c>
      <c r="I350" s="97">
        <f>IF(ISNUMBER($S350),MAX(0,INT((I$6+6-$S350)/$T350)-MAX(0,-INT(-(I$6-$S350)/$T350))+1),0)</f>
        <v>0.0</v>
      </c>
      <c r="J350" s="97">
        <f>IF(ISNUMBER($S350),MAX(0,INT((J$6+6-$S350)/$T350)-MAX(0,-INT(-(J$6-$S350)/$T350))+1),0)</f>
        <v>0.0</v>
      </c>
      <c r="K350" s="97">
        <f>IF(ISNUMBER($S350),MAX(0,INT((K$6+6-$S350)/$T350)-MAX(0,-INT(-(K$6-$S350)/$T350))+1),0)</f>
        <v>0.0</v>
      </c>
      <c r="L350" s="97">
        <f>IF(ISNUMBER($S350),MAX(0,INT((L$6+6-$S350)/$T350)-MAX(0,-INT(-(L$6-$S350)/$T350))+1),0)</f>
        <v>0.0</v>
      </c>
      <c r="M350" s="97">
        <f>IF(ISNUMBER($S350),MAX(0,INT((M$6+6-$S350)/$T350)-MAX(0,-INT(-(M$6-$S350)/$T350))+1),0)</f>
        <v>0.0</v>
      </c>
      <c r="N350" s="97">
        <f>IF(ISNUMBER($S350),MAX(0,INT((N$6+6-$S350)/$T350)-MAX(0,-INT(-(N$6-$S350)/$T350))+1),0)</f>
        <v>0.0</v>
      </c>
      <c r="O350" s="97">
        <f>IF(ISNUMBER($S350),MAX(0,INT((O$6+6-$S350)/$T350)-MAX(0,-INT(-(O$6-$S350)/$T350))+1),0)</f>
        <v>0.0</v>
      </c>
      <c r="P350" s="97">
        <f>IF(ISNUMBER($S350),MAX(0,INT((P$6+6-$S350)/$T350)-MAX(0,-INT(-(P$6-$S350)/$T350))+1),0)</f>
        <v>0.0</v>
      </c>
      <c r="Q350" s="97">
        <f>IF(ISNUMBER($S350),MAX(0,INT((Q$6+6-$S350)/$T350)-MAX(0,-INT(-(Q$6-$S350)/$T350))+1),0)</f>
        <v>0.0</v>
      </c>
      <c r="R350" s="97">
        <f>IF(ISNUMBER($S350),MAX(0,INT((R$6+6-$S350)/$T350)-MAX(0,-INT(-(R$6-$S350)/$T350))+1),0)</f>
        <v>0.0</v>
      </c>
      <c r="S350" t="str">
        <f>IF(ISNUMBER(INDEX(pl_period,341)),MAX(INDEX(pl_due,341),p_today),"")</f>
        <v/>
      </c>
      <c r="T350" t="str">
        <f>IF(ISNUMBER(INDEX(pl_period,341)),INDEX(pl_period,341),"")</f>
        <v/>
      </c>
      <c r="U350">
        <f>N(INDEX(pl_dur,341))</f>
        <v>0.0</v>
      </c>
    </row>
    <row r="351">
      <c r="A351" s="93" t="str">
        <f>IF(INDEX(pl_status,342)="","",INDEX(pl_num,342)&amp;"")</f>
        <v/>
      </c>
      <c r="B351" s="93" t="str">
        <f>IF(INDEX(pl_status,342)="","",INDEX(pl_eq,342)&amp;"")</f>
        <v/>
      </c>
      <c r="C351" s="93" t="str">
        <f>IF(INDEX(pl_status,342)="","",INDEX(pl_task,342)&amp;"")</f>
        <v/>
      </c>
      <c r="D351" s="94" t="str">
        <f>IF(ISNUMBER(INDEX(pl_due,342)),INDEX(pl_due,342),"")</f>
        <v/>
      </c>
      <c r="E351" s="95" t="str">
        <f>INDEX(pl_status,342)&amp;""</f>
        <v/>
      </c>
      <c r="F351" s="96" t="str">
        <f>IF(E351="En retard","●","")</f>
        <v/>
      </c>
      <c r="G351" s="97">
        <f>IF(ISNUMBER($S351),MAX(0,INT((G$6+6-$S351)/$T351)-MAX(0,-INT(-(G$6-$S351)/$T351))+1),0)</f>
        <v>0.0</v>
      </c>
      <c r="H351" s="97">
        <f>IF(ISNUMBER($S351),MAX(0,INT((H$6+6-$S351)/$T351)-MAX(0,-INT(-(H$6-$S351)/$T351))+1),0)</f>
        <v>0.0</v>
      </c>
      <c r="I351" s="97">
        <f>IF(ISNUMBER($S351),MAX(0,INT((I$6+6-$S351)/$T351)-MAX(0,-INT(-(I$6-$S351)/$T351))+1),0)</f>
        <v>0.0</v>
      </c>
      <c r="J351" s="97">
        <f>IF(ISNUMBER($S351),MAX(0,INT((J$6+6-$S351)/$T351)-MAX(0,-INT(-(J$6-$S351)/$T351))+1),0)</f>
        <v>0.0</v>
      </c>
      <c r="K351" s="97">
        <f>IF(ISNUMBER($S351),MAX(0,INT((K$6+6-$S351)/$T351)-MAX(0,-INT(-(K$6-$S351)/$T351))+1),0)</f>
        <v>0.0</v>
      </c>
      <c r="L351" s="97">
        <f>IF(ISNUMBER($S351),MAX(0,INT((L$6+6-$S351)/$T351)-MAX(0,-INT(-(L$6-$S351)/$T351))+1),0)</f>
        <v>0.0</v>
      </c>
      <c r="M351" s="97">
        <f>IF(ISNUMBER($S351),MAX(0,INT((M$6+6-$S351)/$T351)-MAX(0,-INT(-(M$6-$S351)/$T351))+1),0)</f>
        <v>0.0</v>
      </c>
      <c r="N351" s="97">
        <f>IF(ISNUMBER($S351),MAX(0,INT((N$6+6-$S351)/$T351)-MAX(0,-INT(-(N$6-$S351)/$T351))+1),0)</f>
        <v>0.0</v>
      </c>
      <c r="O351" s="97">
        <f>IF(ISNUMBER($S351),MAX(0,INT((O$6+6-$S351)/$T351)-MAX(0,-INT(-(O$6-$S351)/$T351))+1),0)</f>
        <v>0.0</v>
      </c>
      <c r="P351" s="97">
        <f>IF(ISNUMBER($S351),MAX(0,INT((P$6+6-$S351)/$T351)-MAX(0,-INT(-(P$6-$S351)/$T351))+1),0)</f>
        <v>0.0</v>
      </c>
      <c r="Q351" s="97">
        <f>IF(ISNUMBER($S351),MAX(0,INT((Q$6+6-$S351)/$T351)-MAX(0,-INT(-(Q$6-$S351)/$T351))+1),0)</f>
        <v>0.0</v>
      </c>
      <c r="R351" s="97">
        <f>IF(ISNUMBER($S351),MAX(0,INT((R$6+6-$S351)/$T351)-MAX(0,-INT(-(R$6-$S351)/$T351))+1),0)</f>
        <v>0.0</v>
      </c>
      <c r="S351" t="str">
        <f>IF(ISNUMBER(INDEX(pl_period,342)),MAX(INDEX(pl_due,342),p_today),"")</f>
        <v/>
      </c>
      <c r="T351" t="str">
        <f>IF(ISNUMBER(INDEX(pl_period,342)),INDEX(pl_period,342),"")</f>
        <v/>
      </c>
      <c r="U351">
        <f>N(INDEX(pl_dur,342))</f>
        <v>0.0</v>
      </c>
    </row>
    <row r="352">
      <c r="A352" s="93" t="str">
        <f>IF(INDEX(pl_status,343)="","",INDEX(pl_num,343)&amp;"")</f>
        <v/>
      </c>
      <c r="B352" s="93" t="str">
        <f>IF(INDEX(pl_status,343)="","",INDEX(pl_eq,343)&amp;"")</f>
        <v/>
      </c>
      <c r="C352" s="93" t="str">
        <f>IF(INDEX(pl_status,343)="","",INDEX(pl_task,343)&amp;"")</f>
        <v/>
      </c>
      <c r="D352" s="94" t="str">
        <f>IF(ISNUMBER(INDEX(pl_due,343)),INDEX(pl_due,343),"")</f>
        <v/>
      </c>
      <c r="E352" s="95" t="str">
        <f>INDEX(pl_status,343)&amp;""</f>
        <v/>
      </c>
      <c r="F352" s="96" t="str">
        <f>IF(E352="En retard","●","")</f>
        <v/>
      </c>
      <c r="G352" s="97">
        <f>IF(ISNUMBER($S352),MAX(0,INT((G$6+6-$S352)/$T352)-MAX(0,-INT(-(G$6-$S352)/$T352))+1),0)</f>
        <v>0.0</v>
      </c>
      <c r="H352" s="97">
        <f>IF(ISNUMBER($S352),MAX(0,INT((H$6+6-$S352)/$T352)-MAX(0,-INT(-(H$6-$S352)/$T352))+1),0)</f>
        <v>0.0</v>
      </c>
      <c r="I352" s="97">
        <f>IF(ISNUMBER($S352),MAX(0,INT((I$6+6-$S352)/$T352)-MAX(0,-INT(-(I$6-$S352)/$T352))+1),0)</f>
        <v>0.0</v>
      </c>
      <c r="J352" s="97">
        <f>IF(ISNUMBER($S352),MAX(0,INT((J$6+6-$S352)/$T352)-MAX(0,-INT(-(J$6-$S352)/$T352))+1),0)</f>
        <v>0.0</v>
      </c>
      <c r="K352" s="97">
        <f>IF(ISNUMBER($S352),MAX(0,INT((K$6+6-$S352)/$T352)-MAX(0,-INT(-(K$6-$S352)/$T352))+1),0)</f>
        <v>0.0</v>
      </c>
      <c r="L352" s="97">
        <f>IF(ISNUMBER($S352),MAX(0,INT((L$6+6-$S352)/$T352)-MAX(0,-INT(-(L$6-$S352)/$T352))+1),0)</f>
        <v>0.0</v>
      </c>
      <c r="M352" s="97">
        <f>IF(ISNUMBER($S352),MAX(0,INT((M$6+6-$S352)/$T352)-MAX(0,-INT(-(M$6-$S352)/$T352))+1),0)</f>
        <v>0.0</v>
      </c>
      <c r="N352" s="97">
        <f>IF(ISNUMBER($S352),MAX(0,INT((N$6+6-$S352)/$T352)-MAX(0,-INT(-(N$6-$S352)/$T352))+1),0)</f>
        <v>0.0</v>
      </c>
      <c r="O352" s="97">
        <f>IF(ISNUMBER($S352),MAX(0,INT((O$6+6-$S352)/$T352)-MAX(0,-INT(-(O$6-$S352)/$T352))+1),0)</f>
        <v>0.0</v>
      </c>
      <c r="P352" s="97">
        <f>IF(ISNUMBER($S352),MAX(0,INT((P$6+6-$S352)/$T352)-MAX(0,-INT(-(P$6-$S352)/$T352))+1),0)</f>
        <v>0.0</v>
      </c>
      <c r="Q352" s="97">
        <f>IF(ISNUMBER($S352),MAX(0,INT((Q$6+6-$S352)/$T352)-MAX(0,-INT(-(Q$6-$S352)/$T352))+1),0)</f>
        <v>0.0</v>
      </c>
      <c r="R352" s="97">
        <f>IF(ISNUMBER($S352),MAX(0,INT((R$6+6-$S352)/$T352)-MAX(0,-INT(-(R$6-$S352)/$T352))+1),0)</f>
        <v>0.0</v>
      </c>
      <c r="S352" t="str">
        <f>IF(ISNUMBER(INDEX(pl_period,343)),MAX(INDEX(pl_due,343),p_today),"")</f>
        <v/>
      </c>
      <c r="T352" t="str">
        <f>IF(ISNUMBER(INDEX(pl_period,343)),INDEX(pl_period,343),"")</f>
        <v/>
      </c>
      <c r="U352">
        <f>N(INDEX(pl_dur,343))</f>
        <v>0.0</v>
      </c>
    </row>
    <row r="353">
      <c r="A353" s="93" t="str">
        <f>IF(INDEX(pl_status,344)="","",INDEX(pl_num,344)&amp;"")</f>
        <v/>
      </c>
      <c r="B353" s="93" t="str">
        <f>IF(INDEX(pl_status,344)="","",INDEX(pl_eq,344)&amp;"")</f>
        <v/>
      </c>
      <c r="C353" s="93" t="str">
        <f>IF(INDEX(pl_status,344)="","",INDEX(pl_task,344)&amp;"")</f>
        <v/>
      </c>
      <c r="D353" s="94" t="str">
        <f>IF(ISNUMBER(INDEX(pl_due,344)),INDEX(pl_due,344),"")</f>
        <v/>
      </c>
      <c r="E353" s="95" t="str">
        <f>INDEX(pl_status,344)&amp;""</f>
        <v/>
      </c>
      <c r="F353" s="96" t="str">
        <f>IF(E353="En retard","●","")</f>
        <v/>
      </c>
      <c r="G353" s="97">
        <f>IF(ISNUMBER($S353),MAX(0,INT((G$6+6-$S353)/$T353)-MAX(0,-INT(-(G$6-$S353)/$T353))+1),0)</f>
        <v>0.0</v>
      </c>
      <c r="H353" s="97">
        <f>IF(ISNUMBER($S353),MAX(0,INT((H$6+6-$S353)/$T353)-MAX(0,-INT(-(H$6-$S353)/$T353))+1),0)</f>
        <v>0.0</v>
      </c>
      <c r="I353" s="97">
        <f>IF(ISNUMBER($S353),MAX(0,INT((I$6+6-$S353)/$T353)-MAX(0,-INT(-(I$6-$S353)/$T353))+1),0)</f>
        <v>0.0</v>
      </c>
      <c r="J353" s="97">
        <f>IF(ISNUMBER($S353),MAX(0,INT((J$6+6-$S353)/$T353)-MAX(0,-INT(-(J$6-$S353)/$T353))+1),0)</f>
        <v>0.0</v>
      </c>
      <c r="K353" s="97">
        <f>IF(ISNUMBER($S353),MAX(0,INT((K$6+6-$S353)/$T353)-MAX(0,-INT(-(K$6-$S353)/$T353))+1),0)</f>
        <v>0.0</v>
      </c>
      <c r="L353" s="97">
        <f>IF(ISNUMBER($S353),MAX(0,INT((L$6+6-$S353)/$T353)-MAX(0,-INT(-(L$6-$S353)/$T353))+1),0)</f>
        <v>0.0</v>
      </c>
      <c r="M353" s="97">
        <f>IF(ISNUMBER($S353),MAX(0,INT((M$6+6-$S353)/$T353)-MAX(0,-INT(-(M$6-$S353)/$T353))+1),0)</f>
        <v>0.0</v>
      </c>
      <c r="N353" s="97">
        <f>IF(ISNUMBER($S353),MAX(0,INT((N$6+6-$S353)/$T353)-MAX(0,-INT(-(N$6-$S353)/$T353))+1),0)</f>
        <v>0.0</v>
      </c>
      <c r="O353" s="97">
        <f>IF(ISNUMBER($S353),MAX(0,INT((O$6+6-$S353)/$T353)-MAX(0,-INT(-(O$6-$S353)/$T353))+1),0)</f>
        <v>0.0</v>
      </c>
      <c r="P353" s="97">
        <f>IF(ISNUMBER($S353),MAX(0,INT((P$6+6-$S353)/$T353)-MAX(0,-INT(-(P$6-$S353)/$T353))+1),0)</f>
        <v>0.0</v>
      </c>
      <c r="Q353" s="97">
        <f>IF(ISNUMBER($S353),MAX(0,INT((Q$6+6-$S353)/$T353)-MAX(0,-INT(-(Q$6-$S353)/$T353))+1),0)</f>
        <v>0.0</v>
      </c>
      <c r="R353" s="97">
        <f>IF(ISNUMBER($S353),MAX(0,INT((R$6+6-$S353)/$T353)-MAX(0,-INT(-(R$6-$S353)/$T353))+1),0)</f>
        <v>0.0</v>
      </c>
      <c r="S353" t="str">
        <f>IF(ISNUMBER(INDEX(pl_period,344)),MAX(INDEX(pl_due,344),p_today),"")</f>
        <v/>
      </c>
      <c r="T353" t="str">
        <f>IF(ISNUMBER(INDEX(pl_period,344)),INDEX(pl_period,344),"")</f>
        <v/>
      </c>
      <c r="U353">
        <f>N(INDEX(pl_dur,344))</f>
        <v>0.0</v>
      </c>
    </row>
    <row r="354">
      <c r="A354" s="93" t="str">
        <f>IF(INDEX(pl_status,345)="","",INDEX(pl_num,345)&amp;"")</f>
        <v/>
      </c>
      <c r="B354" s="93" t="str">
        <f>IF(INDEX(pl_status,345)="","",INDEX(pl_eq,345)&amp;"")</f>
        <v/>
      </c>
      <c r="C354" s="93" t="str">
        <f>IF(INDEX(pl_status,345)="","",INDEX(pl_task,345)&amp;"")</f>
        <v/>
      </c>
      <c r="D354" s="94" t="str">
        <f>IF(ISNUMBER(INDEX(pl_due,345)),INDEX(pl_due,345),"")</f>
        <v/>
      </c>
      <c r="E354" s="95" t="str">
        <f>INDEX(pl_status,345)&amp;""</f>
        <v/>
      </c>
      <c r="F354" s="96" t="str">
        <f>IF(E354="En retard","●","")</f>
        <v/>
      </c>
      <c r="G354" s="97">
        <f>IF(ISNUMBER($S354),MAX(0,INT((G$6+6-$S354)/$T354)-MAX(0,-INT(-(G$6-$S354)/$T354))+1),0)</f>
        <v>0.0</v>
      </c>
      <c r="H354" s="97">
        <f>IF(ISNUMBER($S354),MAX(0,INT((H$6+6-$S354)/$T354)-MAX(0,-INT(-(H$6-$S354)/$T354))+1),0)</f>
        <v>0.0</v>
      </c>
      <c r="I354" s="97">
        <f>IF(ISNUMBER($S354),MAX(0,INT((I$6+6-$S354)/$T354)-MAX(0,-INT(-(I$6-$S354)/$T354))+1),0)</f>
        <v>0.0</v>
      </c>
      <c r="J354" s="97">
        <f>IF(ISNUMBER($S354),MAX(0,INT((J$6+6-$S354)/$T354)-MAX(0,-INT(-(J$6-$S354)/$T354))+1),0)</f>
        <v>0.0</v>
      </c>
      <c r="K354" s="97">
        <f>IF(ISNUMBER($S354),MAX(0,INT((K$6+6-$S354)/$T354)-MAX(0,-INT(-(K$6-$S354)/$T354))+1),0)</f>
        <v>0.0</v>
      </c>
      <c r="L354" s="97">
        <f>IF(ISNUMBER($S354),MAX(0,INT((L$6+6-$S354)/$T354)-MAX(0,-INT(-(L$6-$S354)/$T354))+1),0)</f>
        <v>0.0</v>
      </c>
      <c r="M354" s="97">
        <f>IF(ISNUMBER($S354),MAX(0,INT((M$6+6-$S354)/$T354)-MAX(0,-INT(-(M$6-$S354)/$T354))+1),0)</f>
        <v>0.0</v>
      </c>
      <c r="N354" s="97">
        <f>IF(ISNUMBER($S354),MAX(0,INT((N$6+6-$S354)/$T354)-MAX(0,-INT(-(N$6-$S354)/$T354))+1),0)</f>
        <v>0.0</v>
      </c>
      <c r="O354" s="97">
        <f>IF(ISNUMBER($S354),MAX(0,INT((O$6+6-$S354)/$T354)-MAX(0,-INT(-(O$6-$S354)/$T354))+1),0)</f>
        <v>0.0</v>
      </c>
      <c r="P354" s="97">
        <f>IF(ISNUMBER($S354),MAX(0,INT((P$6+6-$S354)/$T354)-MAX(0,-INT(-(P$6-$S354)/$T354))+1),0)</f>
        <v>0.0</v>
      </c>
      <c r="Q354" s="97">
        <f>IF(ISNUMBER($S354),MAX(0,INT((Q$6+6-$S354)/$T354)-MAX(0,-INT(-(Q$6-$S354)/$T354))+1),0)</f>
        <v>0.0</v>
      </c>
      <c r="R354" s="97">
        <f>IF(ISNUMBER($S354),MAX(0,INT((R$6+6-$S354)/$T354)-MAX(0,-INT(-(R$6-$S354)/$T354))+1),0)</f>
        <v>0.0</v>
      </c>
      <c r="S354" t="str">
        <f>IF(ISNUMBER(INDEX(pl_period,345)),MAX(INDEX(pl_due,345),p_today),"")</f>
        <v/>
      </c>
      <c r="T354" t="str">
        <f>IF(ISNUMBER(INDEX(pl_period,345)),INDEX(pl_period,345),"")</f>
        <v/>
      </c>
      <c r="U354">
        <f>N(INDEX(pl_dur,345))</f>
        <v>0.0</v>
      </c>
    </row>
    <row r="355">
      <c r="A355" s="93" t="str">
        <f>IF(INDEX(pl_status,346)="","",INDEX(pl_num,346)&amp;"")</f>
        <v/>
      </c>
      <c r="B355" s="93" t="str">
        <f>IF(INDEX(pl_status,346)="","",INDEX(pl_eq,346)&amp;"")</f>
        <v/>
      </c>
      <c r="C355" s="93" t="str">
        <f>IF(INDEX(pl_status,346)="","",INDEX(pl_task,346)&amp;"")</f>
        <v/>
      </c>
      <c r="D355" s="94" t="str">
        <f>IF(ISNUMBER(INDEX(pl_due,346)),INDEX(pl_due,346),"")</f>
        <v/>
      </c>
      <c r="E355" s="95" t="str">
        <f>INDEX(pl_status,346)&amp;""</f>
        <v/>
      </c>
      <c r="F355" s="96" t="str">
        <f>IF(E355="En retard","●","")</f>
        <v/>
      </c>
      <c r="G355" s="97">
        <f>IF(ISNUMBER($S355),MAX(0,INT((G$6+6-$S355)/$T355)-MAX(0,-INT(-(G$6-$S355)/$T355))+1),0)</f>
        <v>0.0</v>
      </c>
      <c r="H355" s="97">
        <f>IF(ISNUMBER($S355),MAX(0,INT((H$6+6-$S355)/$T355)-MAX(0,-INT(-(H$6-$S355)/$T355))+1),0)</f>
        <v>0.0</v>
      </c>
      <c r="I355" s="97">
        <f>IF(ISNUMBER($S355),MAX(0,INT((I$6+6-$S355)/$T355)-MAX(0,-INT(-(I$6-$S355)/$T355))+1),0)</f>
        <v>0.0</v>
      </c>
      <c r="J355" s="97">
        <f>IF(ISNUMBER($S355),MAX(0,INT((J$6+6-$S355)/$T355)-MAX(0,-INT(-(J$6-$S355)/$T355))+1),0)</f>
        <v>0.0</v>
      </c>
      <c r="K355" s="97">
        <f>IF(ISNUMBER($S355),MAX(0,INT((K$6+6-$S355)/$T355)-MAX(0,-INT(-(K$6-$S355)/$T355))+1),0)</f>
        <v>0.0</v>
      </c>
      <c r="L355" s="97">
        <f>IF(ISNUMBER($S355),MAX(0,INT((L$6+6-$S355)/$T355)-MAX(0,-INT(-(L$6-$S355)/$T355))+1),0)</f>
        <v>0.0</v>
      </c>
      <c r="M355" s="97">
        <f>IF(ISNUMBER($S355),MAX(0,INT((M$6+6-$S355)/$T355)-MAX(0,-INT(-(M$6-$S355)/$T355))+1),0)</f>
        <v>0.0</v>
      </c>
      <c r="N355" s="97">
        <f>IF(ISNUMBER($S355),MAX(0,INT((N$6+6-$S355)/$T355)-MAX(0,-INT(-(N$6-$S355)/$T355))+1),0)</f>
        <v>0.0</v>
      </c>
      <c r="O355" s="97">
        <f>IF(ISNUMBER($S355),MAX(0,INT((O$6+6-$S355)/$T355)-MAX(0,-INT(-(O$6-$S355)/$T355))+1),0)</f>
        <v>0.0</v>
      </c>
      <c r="P355" s="97">
        <f>IF(ISNUMBER($S355),MAX(0,INT((P$6+6-$S355)/$T355)-MAX(0,-INT(-(P$6-$S355)/$T355))+1),0)</f>
        <v>0.0</v>
      </c>
      <c r="Q355" s="97">
        <f>IF(ISNUMBER($S355),MAX(0,INT((Q$6+6-$S355)/$T355)-MAX(0,-INT(-(Q$6-$S355)/$T355))+1),0)</f>
        <v>0.0</v>
      </c>
      <c r="R355" s="97">
        <f>IF(ISNUMBER($S355),MAX(0,INT((R$6+6-$S355)/$T355)-MAX(0,-INT(-(R$6-$S355)/$T355))+1),0)</f>
        <v>0.0</v>
      </c>
      <c r="S355" t="str">
        <f>IF(ISNUMBER(INDEX(pl_period,346)),MAX(INDEX(pl_due,346),p_today),"")</f>
        <v/>
      </c>
      <c r="T355" t="str">
        <f>IF(ISNUMBER(INDEX(pl_period,346)),INDEX(pl_period,346),"")</f>
        <v/>
      </c>
      <c r="U355">
        <f>N(INDEX(pl_dur,346))</f>
        <v>0.0</v>
      </c>
    </row>
    <row r="356">
      <c r="A356" s="93" t="str">
        <f>IF(INDEX(pl_status,347)="","",INDEX(pl_num,347)&amp;"")</f>
        <v/>
      </c>
      <c r="B356" s="93" t="str">
        <f>IF(INDEX(pl_status,347)="","",INDEX(pl_eq,347)&amp;"")</f>
        <v/>
      </c>
      <c r="C356" s="93" t="str">
        <f>IF(INDEX(pl_status,347)="","",INDEX(pl_task,347)&amp;"")</f>
        <v/>
      </c>
      <c r="D356" s="94" t="str">
        <f>IF(ISNUMBER(INDEX(pl_due,347)),INDEX(pl_due,347),"")</f>
        <v/>
      </c>
      <c r="E356" s="95" t="str">
        <f>INDEX(pl_status,347)&amp;""</f>
        <v/>
      </c>
      <c r="F356" s="96" t="str">
        <f>IF(E356="En retard","●","")</f>
        <v/>
      </c>
      <c r="G356" s="97">
        <f>IF(ISNUMBER($S356),MAX(0,INT((G$6+6-$S356)/$T356)-MAX(0,-INT(-(G$6-$S356)/$T356))+1),0)</f>
        <v>0.0</v>
      </c>
      <c r="H356" s="97">
        <f>IF(ISNUMBER($S356),MAX(0,INT((H$6+6-$S356)/$T356)-MAX(0,-INT(-(H$6-$S356)/$T356))+1),0)</f>
        <v>0.0</v>
      </c>
      <c r="I356" s="97">
        <f>IF(ISNUMBER($S356),MAX(0,INT((I$6+6-$S356)/$T356)-MAX(0,-INT(-(I$6-$S356)/$T356))+1),0)</f>
        <v>0.0</v>
      </c>
      <c r="J356" s="97">
        <f>IF(ISNUMBER($S356),MAX(0,INT((J$6+6-$S356)/$T356)-MAX(0,-INT(-(J$6-$S356)/$T356))+1),0)</f>
        <v>0.0</v>
      </c>
      <c r="K356" s="97">
        <f>IF(ISNUMBER($S356),MAX(0,INT((K$6+6-$S356)/$T356)-MAX(0,-INT(-(K$6-$S356)/$T356))+1),0)</f>
        <v>0.0</v>
      </c>
      <c r="L356" s="97">
        <f>IF(ISNUMBER($S356),MAX(0,INT((L$6+6-$S356)/$T356)-MAX(0,-INT(-(L$6-$S356)/$T356))+1),0)</f>
        <v>0.0</v>
      </c>
      <c r="M356" s="97">
        <f>IF(ISNUMBER($S356),MAX(0,INT((M$6+6-$S356)/$T356)-MAX(0,-INT(-(M$6-$S356)/$T356))+1),0)</f>
        <v>0.0</v>
      </c>
      <c r="N356" s="97">
        <f>IF(ISNUMBER($S356),MAX(0,INT((N$6+6-$S356)/$T356)-MAX(0,-INT(-(N$6-$S356)/$T356))+1),0)</f>
        <v>0.0</v>
      </c>
      <c r="O356" s="97">
        <f>IF(ISNUMBER($S356),MAX(0,INT((O$6+6-$S356)/$T356)-MAX(0,-INT(-(O$6-$S356)/$T356))+1),0)</f>
        <v>0.0</v>
      </c>
      <c r="P356" s="97">
        <f>IF(ISNUMBER($S356),MAX(0,INT((P$6+6-$S356)/$T356)-MAX(0,-INT(-(P$6-$S356)/$T356))+1),0)</f>
        <v>0.0</v>
      </c>
      <c r="Q356" s="97">
        <f>IF(ISNUMBER($S356),MAX(0,INT((Q$6+6-$S356)/$T356)-MAX(0,-INT(-(Q$6-$S356)/$T356))+1),0)</f>
        <v>0.0</v>
      </c>
      <c r="R356" s="97">
        <f>IF(ISNUMBER($S356),MAX(0,INT((R$6+6-$S356)/$T356)-MAX(0,-INT(-(R$6-$S356)/$T356))+1),0)</f>
        <v>0.0</v>
      </c>
      <c r="S356" t="str">
        <f>IF(ISNUMBER(INDEX(pl_period,347)),MAX(INDEX(pl_due,347),p_today),"")</f>
        <v/>
      </c>
      <c r="T356" t="str">
        <f>IF(ISNUMBER(INDEX(pl_period,347)),INDEX(pl_period,347),"")</f>
        <v/>
      </c>
      <c r="U356">
        <f>N(INDEX(pl_dur,347))</f>
        <v>0.0</v>
      </c>
    </row>
    <row r="357">
      <c r="A357" s="93" t="str">
        <f>IF(INDEX(pl_status,348)="","",INDEX(pl_num,348)&amp;"")</f>
        <v/>
      </c>
      <c r="B357" s="93" t="str">
        <f>IF(INDEX(pl_status,348)="","",INDEX(pl_eq,348)&amp;"")</f>
        <v/>
      </c>
      <c r="C357" s="93" t="str">
        <f>IF(INDEX(pl_status,348)="","",INDEX(pl_task,348)&amp;"")</f>
        <v/>
      </c>
      <c r="D357" s="94" t="str">
        <f>IF(ISNUMBER(INDEX(pl_due,348)),INDEX(pl_due,348),"")</f>
        <v/>
      </c>
      <c r="E357" s="95" t="str">
        <f>INDEX(pl_status,348)&amp;""</f>
        <v/>
      </c>
      <c r="F357" s="96" t="str">
        <f>IF(E357="En retard","●","")</f>
        <v/>
      </c>
      <c r="G357" s="97">
        <f>IF(ISNUMBER($S357),MAX(0,INT((G$6+6-$S357)/$T357)-MAX(0,-INT(-(G$6-$S357)/$T357))+1),0)</f>
        <v>0.0</v>
      </c>
      <c r="H357" s="97">
        <f>IF(ISNUMBER($S357),MAX(0,INT((H$6+6-$S357)/$T357)-MAX(0,-INT(-(H$6-$S357)/$T357))+1),0)</f>
        <v>0.0</v>
      </c>
      <c r="I357" s="97">
        <f>IF(ISNUMBER($S357),MAX(0,INT((I$6+6-$S357)/$T357)-MAX(0,-INT(-(I$6-$S357)/$T357))+1),0)</f>
        <v>0.0</v>
      </c>
      <c r="J357" s="97">
        <f>IF(ISNUMBER($S357),MAX(0,INT((J$6+6-$S357)/$T357)-MAX(0,-INT(-(J$6-$S357)/$T357))+1),0)</f>
        <v>0.0</v>
      </c>
      <c r="K357" s="97">
        <f>IF(ISNUMBER($S357),MAX(0,INT((K$6+6-$S357)/$T357)-MAX(0,-INT(-(K$6-$S357)/$T357))+1),0)</f>
        <v>0.0</v>
      </c>
      <c r="L357" s="97">
        <f>IF(ISNUMBER($S357),MAX(0,INT((L$6+6-$S357)/$T357)-MAX(0,-INT(-(L$6-$S357)/$T357))+1),0)</f>
        <v>0.0</v>
      </c>
      <c r="M357" s="97">
        <f>IF(ISNUMBER($S357),MAX(0,INT((M$6+6-$S357)/$T357)-MAX(0,-INT(-(M$6-$S357)/$T357))+1),0)</f>
        <v>0.0</v>
      </c>
      <c r="N357" s="97">
        <f>IF(ISNUMBER($S357),MAX(0,INT((N$6+6-$S357)/$T357)-MAX(0,-INT(-(N$6-$S357)/$T357))+1),0)</f>
        <v>0.0</v>
      </c>
      <c r="O357" s="97">
        <f>IF(ISNUMBER($S357),MAX(0,INT((O$6+6-$S357)/$T357)-MAX(0,-INT(-(O$6-$S357)/$T357))+1),0)</f>
        <v>0.0</v>
      </c>
      <c r="P357" s="97">
        <f>IF(ISNUMBER($S357),MAX(0,INT((P$6+6-$S357)/$T357)-MAX(0,-INT(-(P$6-$S357)/$T357))+1),0)</f>
        <v>0.0</v>
      </c>
      <c r="Q357" s="97">
        <f>IF(ISNUMBER($S357),MAX(0,INT((Q$6+6-$S357)/$T357)-MAX(0,-INT(-(Q$6-$S357)/$T357))+1),0)</f>
        <v>0.0</v>
      </c>
      <c r="R357" s="97">
        <f>IF(ISNUMBER($S357),MAX(0,INT((R$6+6-$S357)/$T357)-MAX(0,-INT(-(R$6-$S357)/$T357))+1),0)</f>
        <v>0.0</v>
      </c>
      <c r="S357" t="str">
        <f>IF(ISNUMBER(INDEX(pl_period,348)),MAX(INDEX(pl_due,348),p_today),"")</f>
        <v/>
      </c>
      <c r="T357" t="str">
        <f>IF(ISNUMBER(INDEX(pl_period,348)),INDEX(pl_period,348),"")</f>
        <v/>
      </c>
      <c r="U357">
        <f>N(INDEX(pl_dur,348))</f>
        <v>0.0</v>
      </c>
    </row>
    <row r="358">
      <c r="A358" s="93" t="str">
        <f>IF(INDEX(pl_status,349)="","",INDEX(pl_num,349)&amp;"")</f>
        <v/>
      </c>
      <c r="B358" s="93" t="str">
        <f>IF(INDEX(pl_status,349)="","",INDEX(pl_eq,349)&amp;"")</f>
        <v/>
      </c>
      <c r="C358" s="93" t="str">
        <f>IF(INDEX(pl_status,349)="","",INDEX(pl_task,349)&amp;"")</f>
        <v/>
      </c>
      <c r="D358" s="94" t="str">
        <f>IF(ISNUMBER(INDEX(pl_due,349)),INDEX(pl_due,349),"")</f>
        <v/>
      </c>
      <c r="E358" s="95" t="str">
        <f>INDEX(pl_status,349)&amp;""</f>
        <v/>
      </c>
      <c r="F358" s="96" t="str">
        <f>IF(E358="En retard","●","")</f>
        <v/>
      </c>
      <c r="G358" s="97">
        <f>IF(ISNUMBER($S358),MAX(0,INT((G$6+6-$S358)/$T358)-MAX(0,-INT(-(G$6-$S358)/$T358))+1),0)</f>
        <v>0.0</v>
      </c>
      <c r="H358" s="97">
        <f>IF(ISNUMBER($S358),MAX(0,INT((H$6+6-$S358)/$T358)-MAX(0,-INT(-(H$6-$S358)/$T358))+1),0)</f>
        <v>0.0</v>
      </c>
      <c r="I358" s="97">
        <f>IF(ISNUMBER($S358),MAX(0,INT((I$6+6-$S358)/$T358)-MAX(0,-INT(-(I$6-$S358)/$T358))+1),0)</f>
        <v>0.0</v>
      </c>
      <c r="J358" s="97">
        <f>IF(ISNUMBER($S358),MAX(0,INT((J$6+6-$S358)/$T358)-MAX(0,-INT(-(J$6-$S358)/$T358))+1),0)</f>
        <v>0.0</v>
      </c>
      <c r="K358" s="97">
        <f>IF(ISNUMBER($S358),MAX(0,INT((K$6+6-$S358)/$T358)-MAX(0,-INT(-(K$6-$S358)/$T358))+1),0)</f>
        <v>0.0</v>
      </c>
      <c r="L358" s="97">
        <f>IF(ISNUMBER($S358),MAX(0,INT((L$6+6-$S358)/$T358)-MAX(0,-INT(-(L$6-$S358)/$T358))+1),0)</f>
        <v>0.0</v>
      </c>
      <c r="M358" s="97">
        <f>IF(ISNUMBER($S358),MAX(0,INT((M$6+6-$S358)/$T358)-MAX(0,-INT(-(M$6-$S358)/$T358))+1),0)</f>
        <v>0.0</v>
      </c>
      <c r="N358" s="97">
        <f>IF(ISNUMBER($S358),MAX(0,INT((N$6+6-$S358)/$T358)-MAX(0,-INT(-(N$6-$S358)/$T358))+1),0)</f>
        <v>0.0</v>
      </c>
      <c r="O358" s="97">
        <f>IF(ISNUMBER($S358),MAX(0,INT((O$6+6-$S358)/$T358)-MAX(0,-INT(-(O$6-$S358)/$T358))+1),0)</f>
        <v>0.0</v>
      </c>
      <c r="P358" s="97">
        <f>IF(ISNUMBER($S358),MAX(0,INT((P$6+6-$S358)/$T358)-MAX(0,-INT(-(P$6-$S358)/$T358))+1),0)</f>
        <v>0.0</v>
      </c>
      <c r="Q358" s="97">
        <f>IF(ISNUMBER($S358),MAX(0,INT((Q$6+6-$S358)/$T358)-MAX(0,-INT(-(Q$6-$S358)/$T358))+1),0)</f>
        <v>0.0</v>
      </c>
      <c r="R358" s="97">
        <f>IF(ISNUMBER($S358),MAX(0,INT((R$6+6-$S358)/$T358)-MAX(0,-INT(-(R$6-$S358)/$T358))+1),0)</f>
        <v>0.0</v>
      </c>
      <c r="S358" t="str">
        <f>IF(ISNUMBER(INDEX(pl_period,349)),MAX(INDEX(pl_due,349),p_today),"")</f>
        <v/>
      </c>
      <c r="T358" t="str">
        <f>IF(ISNUMBER(INDEX(pl_period,349)),INDEX(pl_period,349),"")</f>
        <v/>
      </c>
      <c r="U358">
        <f>N(INDEX(pl_dur,349))</f>
        <v>0.0</v>
      </c>
    </row>
    <row r="359">
      <c r="A359" s="93" t="str">
        <f>IF(INDEX(pl_status,350)="","",INDEX(pl_num,350)&amp;"")</f>
        <v/>
      </c>
      <c r="B359" s="93" t="str">
        <f>IF(INDEX(pl_status,350)="","",INDEX(pl_eq,350)&amp;"")</f>
        <v/>
      </c>
      <c r="C359" s="93" t="str">
        <f>IF(INDEX(pl_status,350)="","",INDEX(pl_task,350)&amp;"")</f>
        <v/>
      </c>
      <c r="D359" s="94" t="str">
        <f>IF(ISNUMBER(INDEX(pl_due,350)),INDEX(pl_due,350),"")</f>
        <v/>
      </c>
      <c r="E359" s="95" t="str">
        <f>INDEX(pl_status,350)&amp;""</f>
        <v/>
      </c>
      <c r="F359" s="96" t="str">
        <f>IF(E359="En retard","●","")</f>
        <v/>
      </c>
      <c r="G359" s="97">
        <f>IF(ISNUMBER($S359),MAX(0,INT((G$6+6-$S359)/$T359)-MAX(0,-INT(-(G$6-$S359)/$T359))+1),0)</f>
        <v>0.0</v>
      </c>
      <c r="H359" s="97">
        <f>IF(ISNUMBER($S359),MAX(0,INT((H$6+6-$S359)/$T359)-MAX(0,-INT(-(H$6-$S359)/$T359))+1),0)</f>
        <v>0.0</v>
      </c>
      <c r="I359" s="97">
        <f>IF(ISNUMBER($S359),MAX(0,INT((I$6+6-$S359)/$T359)-MAX(0,-INT(-(I$6-$S359)/$T359))+1),0)</f>
        <v>0.0</v>
      </c>
      <c r="J359" s="97">
        <f>IF(ISNUMBER($S359),MAX(0,INT((J$6+6-$S359)/$T359)-MAX(0,-INT(-(J$6-$S359)/$T359))+1),0)</f>
        <v>0.0</v>
      </c>
      <c r="K359" s="97">
        <f>IF(ISNUMBER($S359),MAX(0,INT((K$6+6-$S359)/$T359)-MAX(0,-INT(-(K$6-$S359)/$T359))+1),0)</f>
        <v>0.0</v>
      </c>
      <c r="L359" s="97">
        <f>IF(ISNUMBER($S359),MAX(0,INT((L$6+6-$S359)/$T359)-MAX(0,-INT(-(L$6-$S359)/$T359))+1),0)</f>
        <v>0.0</v>
      </c>
      <c r="M359" s="97">
        <f>IF(ISNUMBER($S359),MAX(0,INT((M$6+6-$S359)/$T359)-MAX(0,-INT(-(M$6-$S359)/$T359))+1),0)</f>
        <v>0.0</v>
      </c>
      <c r="N359" s="97">
        <f>IF(ISNUMBER($S359),MAX(0,INT((N$6+6-$S359)/$T359)-MAX(0,-INT(-(N$6-$S359)/$T359))+1),0)</f>
        <v>0.0</v>
      </c>
      <c r="O359" s="97">
        <f>IF(ISNUMBER($S359),MAX(0,INT((O$6+6-$S359)/$T359)-MAX(0,-INT(-(O$6-$S359)/$T359))+1),0)</f>
        <v>0.0</v>
      </c>
      <c r="P359" s="97">
        <f>IF(ISNUMBER($S359),MAX(0,INT((P$6+6-$S359)/$T359)-MAX(0,-INT(-(P$6-$S359)/$T359))+1),0)</f>
        <v>0.0</v>
      </c>
      <c r="Q359" s="97">
        <f>IF(ISNUMBER($S359),MAX(0,INT((Q$6+6-$S359)/$T359)-MAX(0,-INT(-(Q$6-$S359)/$T359))+1),0)</f>
        <v>0.0</v>
      </c>
      <c r="R359" s="97">
        <f>IF(ISNUMBER($S359),MAX(0,INT((R$6+6-$S359)/$T359)-MAX(0,-INT(-(R$6-$S359)/$T359))+1),0)</f>
        <v>0.0</v>
      </c>
      <c r="S359" t="str">
        <f>IF(ISNUMBER(INDEX(pl_period,350)),MAX(INDEX(pl_due,350),p_today),"")</f>
        <v/>
      </c>
      <c r="T359" t="str">
        <f>IF(ISNUMBER(INDEX(pl_period,350)),INDEX(pl_period,350),"")</f>
        <v/>
      </c>
      <c r="U359">
        <f>N(INDEX(pl_dur,350))</f>
        <v>0.0</v>
      </c>
    </row>
    <row r="360">
      <c r="A360" s="93" t="str">
        <f>IF(INDEX(pl_status,351)="","",INDEX(pl_num,351)&amp;"")</f>
        <v/>
      </c>
      <c r="B360" s="93" t="str">
        <f>IF(INDEX(pl_status,351)="","",INDEX(pl_eq,351)&amp;"")</f>
        <v/>
      </c>
      <c r="C360" s="93" t="str">
        <f>IF(INDEX(pl_status,351)="","",INDEX(pl_task,351)&amp;"")</f>
        <v/>
      </c>
      <c r="D360" s="94" t="str">
        <f>IF(ISNUMBER(INDEX(pl_due,351)),INDEX(pl_due,351),"")</f>
        <v/>
      </c>
      <c r="E360" s="95" t="str">
        <f>INDEX(pl_status,351)&amp;""</f>
        <v/>
      </c>
      <c r="F360" s="96" t="str">
        <f>IF(E360="En retard","●","")</f>
        <v/>
      </c>
      <c r="G360" s="97">
        <f>IF(ISNUMBER($S360),MAX(0,INT((G$6+6-$S360)/$T360)-MAX(0,-INT(-(G$6-$S360)/$T360))+1),0)</f>
        <v>0.0</v>
      </c>
      <c r="H360" s="97">
        <f>IF(ISNUMBER($S360),MAX(0,INT((H$6+6-$S360)/$T360)-MAX(0,-INT(-(H$6-$S360)/$T360))+1),0)</f>
        <v>0.0</v>
      </c>
      <c r="I360" s="97">
        <f>IF(ISNUMBER($S360),MAX(0,INT((I$6+6-$S360)/$T360)-MAX(0,-INT(-(I$6-$S360)/$T360))+1),0)</f>
        <v>0.0</v>
      </c>
      <c r="J360" s="97">
        <f>IF(ISNUMBER($S360),MAX(0,INT((J$6+6-$S360)/$T360)-MAX(0,-INT(-(J$6-$S360)/$T360))+1),0)</f>
        <v>0.0</v>
      </c>
      <c r="K360" s="97">
        <f>IF(ISNUMBER($S360),MAX(0,INT((K$6+6-$S360)/$T360)-MAX(0,-INT(-(K$6-$S360)/$T360))+1),0)</f>
        <v>0.0</v>
      </c>
      <c r="L360" s="97">
        <f>IF(ISNUMBER($S360),MAX(0,INT((L$6+6-$S360)/$T360)-MAX(0,-INT(-(L$6-$S360)/$T360))+1),0)</f>
        <v>0.0</v>
      </c>
      <c r="M360" s="97">
        <f>IF(ISNUMBER($S360),MAX(0,INT((M$6+6-$S360)/$T360)-MAX(0,-INT(-(M$6-$S360)/$T360))+1),0)</f>
        <v>0.0</v>
      </c>
      <c r="N360" s="97">
        <f>IF(ISNUMBER($S360),MAX(0,INT((N$6+6-$S360)/$T360)-MAX(0,-INT(-(N$6-$S360)/$T360))+1),0)</f>
        <v>0.0</v>
      </c>
      <c r="O360" s="97">
        <f>IF(ISNUMBER($S360),MAX(0,INT((O$6+6-$S360)/$T360)-MAX(0,-INT(-(O$6-$S360)/$T360))+1),0)</f>
        <v>0.0</v>
      </c>
      <c r="P360" s="97">
        <f>IF(ISNUMBER($S360),MAX(0,INT((P$6+6-$S360)/$T360)-MAX(0,-INT(-(P$6-$S360)/$T360))+1),0)</f>
        <v>0.0</v>
      </c>
      <c r="Q360" s="97">
        <f>IF(ISNUMBER($S360),MAX(0,INT((Q$6+6-$S360)/$T360)-MAX(0,-INT(-(Q$6-$S360)/$T360))+1),0)</f>
        <v>0.0</v>
      </c>
      <c r="R360" s="97">
        <f>IF(ISNUMBER($S360),MAX(0,INT((R$6+6-$S360)/$T360)-MAX(0,-INT(-(R$6-$S360)/$T360))+1),0)</f>
        <v>0.0</v>
      </c>
      <c r="S360" t="str">
        <f>IF(ISNUMBER(INDEX(pl_period,351)),MAX(INDEX(pl_due,351),p_today),"")</f>
        <v/>
      </c>
      <c r="T360" t="str">
        <f>IF(ISNUMBER(INDEX(pl_period,351)),INDEX(pl_period,351),"")</f>
        <v/>
      </c>
      <c r="U360">
        <f>N(INDEX(pl_dur,351))</f>
        <v>0.0</v>
      </c>
    </row>
    <row r="361">
      <c r="A361" s="93" t="str">
        <f>IF(INDEX(pl_status,352)="","",INDEX(pl_num,352)&amp;"")</f>
        <v/>
      </c>
      <c r="B361" s="93" t="str">
        <f>IF(INDEX(pl_status,352)="","",INDEX(pl_eq,352)&amp;"")</f>
        <v/>
      </c>
      <c r="C361" s="93" t="str">
        <f>IF(INDEX(pl_status,352)="","",INDEX(pl_task,352)&amp;"")</f>
        <v/>
      </c>
      <c r="D361" s="94" t="str">
        <f>IF(ISNUMBER(INDEX(pl_due,352)),INDEX(pl_due,352),"")</f>
        <v/>
      </c>
      <c r="E361" s="95" t="str">
        <f>INDEX(pl_status,352)&amp;""</f>
        <v/>
      </c>
      <c r="F361" s="96" t="str">
        <f>IF(E361="En retard","●","")</f>
        <v/>
      </c>
      <c r="G361" s="97">
        <f>IF(ISNUMBER($S361),MAX(0,INT((G$6+6-$S361)/$T361)-MAX(0,-INT(-(G$6-$S361)/$T361))+1),0)</f>
        <v>0.0</v>
      </c>
      <c r="H361" s="97">
        <f>IF(ISNUMBER($S361),MAX(0,INT((H$6+6-$S361)/$T361)-MAX(0,-INT(-(H$6-$S361)/$T361))+1),0)</f>
        <v>0.0</v>
      </c>
      <c r="I361" s="97">
        <f>IF(ISNUMBER($S361),MAX(0,INT((I$6+6-$S361)/$T361)-MAX(0,-INT(-(I$6-$S361)/$T361))+1),0)</f>
        <v>0.0</v>
      </c>
      <c r="J361" s="97">
        <f>IF(ISNUMBER($S361),MAX(0,INT((J$6+6-$S361)/$T361)-MAX(0,-INT(-(J$6-$S361)/$T361))+1),0)</f>
        <v>0.0</v>
      </c>
      <c r="K361" s="97">
        <f>IF(ISNUMBER($S361),MAX(0,INT((K$6+6-$S361)/$T361)-MAX(0,-INT(-(K$6-$S361)/$T361))+1),0)</f>
        <v>0.0</v>
      </c>
      <c r="L361" s="97">
        <f>IF(ISNUMBER($S361),MAX(0,INT((L$6+6-$S361)/$T361)-MAX(0,-INT(-(L$6-$S361)/$T361))+1),0)</f>
        <v>0.0</v>
      </c>
      <c r="M361" s="97">
        <f>IF(ISNUMBER($S361),MAX(0,INT((M$6+6-$S361)/$T361)-MAX(0,-INT(-(M$6-$S361)/$T361))+1),0)</f>
        <v>0.0</v>
      </c>
      <c r="N361" s="97">
        <f>IF(ISNUMBER($S361),MAX(0,INT((N$6+6-$S361)/$T361)-MAX(0,-INT(-(N$6-$S361)/$T361))+1),0)</f>
        <v>0.0</v>
      </c>
      <c r="O361" s="97">
        <f>IF(ISNUMBER($S361),MAX(0,INT((O$6+6-$S361)/$T361)-MAX(0,-INT(-(O$6-$S361)/$T361))+1),0)</f>
        <v>0.0</v>
      </c>
      <c r="P361" s="97">
        <f>IF(ISNUMBER($S361),MAX(0,INT((P$6+6-$S361)/$T361)-MAX(0,-INT(-(P$6-$S361)/$T361))+1),0)</f>
        <v>0.0</v>
      </c>
      <c r="Q361" s="97">
        <f>IF(ISNUMBER($S361),MAX(0,INT((Q$6+6-$S361)/$T361)-MAX(0,-INT(-(Q$6-$S361)/$T361))+1),0)</f>
        <v>0.0</v>
      </c>
      <c r="R361" s="97">
        <f>IF(ISNUMBER($S361),MAX(0,INT((R$6+6-$S361)/$T361)-MAX(0,-INT(-(R$6-$S361)/$T361))+1),0)</f>
        <v>0.0</v>
      </c>
      <c r="S361" t="str">
        <f>IF(ISNUMBER(INDEX(pl_period,352)),MAX(INDEX(pl_due,352),p_today),"")</f>
        <v/>
      </c>
      <c r="T361" t="str">
        <f>IF(ISNUMBER(INDEX(pl_period,352)),INDEX(pl_period,352),"")</f>
        <v/>
      </c>
      <c r="U361">
        <f>N(INDEX(pl_dur,352))</f>
        <v>0.0</v>
      </c>
    </row>
    <row r="362">
      <c r="A362" s="93" t="str">
        <f>IF(INDEX(pl_status,353)="","",INDEX(pl_num,353)&amp;"")</f>
        <v/>
      </c>
      <c r="B362" s="93" t="str">
        <f>IF(INDEX(pl_status,353)="","",INDEX(pl_eq,353)&amp;"")</f>
        <v/>
      </c>
      <c r="C362" s="93" t="str">
        <f>IF(INDEX(pl_status,353)="","",INDEX(pl_task,353)&amp;"")</f>
        <v/>
      </c>
      <c r="D362" s="94" t="str">
        <f>IF(ISNUMBER(INDEX(pl_due,353)),INDEX(pl_due,353),"")</f>
        <v/>
      </c>
      <c r="E362" s="95" t="str">
        <f>INDEX(pl_status,353)&amp;""</f>
        <v/>
      </c>
      <c r="F362" s="96" t="str">
        <f>IF(E362="En retard","●","")</f>
        <v/>
      </c>
      <c r="G362" s="97">
        <f>IF(ISNUMBER($S362),MAX(0,INT((G$6+6-$S362)/$T362)-MAX(0,-INT(-(G$6-$S362)/$T362))+1),0)</f>
        <v>0.0</v>
      </c>
      <c r="H362" s="97">
        <f>IF(ISNUMBER($S362),MAX(0,INT((H$6+6-$S362)/$T362)-MAX(0,-INT(-(H$6-$S362)/$T362))+1),0)</f>
        <v>0.0</v>
      </c>
      <c r="I362" s="97">
        <f>IF(ISNUMBER($S362),MAX(0,INT((I$6+6-$S362)/$T362)-MAX(0,-INT(-(I$6-$S362)/$T362))+1),0)</f>
        <v>0.0</v>
      </c>
      <c r="J362" s="97">
        <f>IF(ISNUMBER($S362),MAX(0,INT((J$6+6-$S362)/$T362)-MAX(0,-INT(-(J$6-$S362)/$T362))+1),0)</f>
        <v>0.0</v>
      </c>
      <c r="K362" s="97">
        <f>IF(ISNUMBER($S362),MAX(0,INT((K$6+6-$S362)/$T362)-MAX(0,-INT(-(K$6-$S362)/$T362))+1),0)</f>
        <v>0.0</v>
      </c>
      <c r="L362" s="97">
        <f>IF(ISNUMBER($S362),MAX(0,INT((L$6+6-$S362)/$T362)-MAX(0,-INT(-(L$6-$S362)/$T362))+1),0)</f>
        <v>0.0</v>
      </c>
      <c r="M362" s="97">
        <f>IF(ISNUMBER($S362),MAX(0,INT((M$6+6-$S362)/$T362)-MAX(0,-INT(-(M$6-$S362)/$T362))+1),0)</f>
        <v>0.0</v>
      </c>
      <c r="N362" s="97">
        <f>IF(ISNUMBER($S362),MAX(0,INT((N$6+6-$S362)/$T362)-MAX(0,-INT(-(N$6-$S362)/$T362))+1),0)</f>
        <v>0.0</v>
      </c>
      <c r="O362" s="97">
        <f>IF(ISNUMBER($S362),MAX(0,INT((O$6+6-$S362)/$T362)-MAX(0,-INT(-(O$6-$S362)/$T362))+1),0)</f>
        <v>0.0</v>
      </c>
      <c r="P362" s="97">
        <f>IF(ISNUMBER($S362),MAX(0,INT((P$6+6-$S362)/$T362)-MAX(0,-INT(-(P$6-$S362)/$T362))+1),0)</f>
        <v>0.0</v>
      </c>
      <c r="Q362" s="97">
        <f>IF(ISNUMBER($S362),MAX(0,INT((Q$6+6-$S362)/$T362)-MAX(0,-INT(-(Q$6-$S362)/$T362))+1),0)</f>
        <v>0.0</v>
      </c>
      <c r="R362" s="97">
        <f>IF(ISNUMBER($S362),MAX(0,INT((R$6+6-$S362)/$T362)-MAX(0,-INT(-(R$6-$S362)/$T362))+1),0)</f>
        <v>0.0</v>
      </c>
      <c r="S362" t="str">
        <f>IF(ISNUMBER(INDEX(pl_period,353)),MAX(INDEX(pl_due,353),p_today),"")</f>
        <v/>
      </c>
      <c r="T362" t="str">
        <f>IF(ISNUMBER(INDEX(pl_period,353)),INDEX(pl_period,353),"")</f>
        <v/>
      </c>
      <c r="U362">
        <f>N(INDEX(pl_dur,353))</f>
        <v>0.0</v>
      </c>
    </row>
    <row r="363">
      <c r="A363" s="93" t="str">
        <f>IF(INDEX(pl_status,354)="","",INDEX(pl_num,354)&amp;"")</f>
        <v/>
      </c>
      <c r="B363" s="93" t="str">
        <f>IF(INDEX(pl_status,354)="","",INDEX(pl_eq,354)&amp;"")</f>
        <v/>
      </c>
      <c r="C363" s="93" t="str">
        <f>IF(INDEX(pl_status,354)="","",INDEX(pl_task,354)&amp;"")</f>
        <v/>
      </c>
      <c r="D363" s="94" t="str">
        <f>IF(ISNUMBER(INDEX(pl_due,354)),INDEX(pl_due,354),"")</f>
        <v/>
      </c>
      <c r="E363" s="95" t="str">
        <f>INDEX(pl_status,354)&amp;""</f>
        <v/>
      </c>
      <c r="F363" s="96" t="str">
        <f>IF(E363="En retard","●","")</f>
        <v/>
      </c>
      <c r="G363" s="97">
        <f>IF(ISNUMBER($S363),MAX(0,INT((G$6+6-$S363)/$T363)-MAX(0,-INT(-(G$6-$S363)/$T363))+1),0)</f>
        <v>0.0</v>
      </c>
      <c r="H363" s="97">
        <f>IF(ISNUMBER($S363),MAX(0,INT((H$6+6-$S363)/$T363)-MAX(0,-INT(-(H$6-$S363)/$T363))+1),0)</f>
        <v>0.0</v>
      </c>
      <c r="I363" s="97">
        <f>IF(ISNUMBER($S363),MAX(0,INT((I$6+6-$S363)/$T363)-MAX(0,-INT(-(I$6-$S363)/$T363))+1),0)</f>
        <v>0.0</v>
      </c>
      <c r="J363" s="97">
        <f>IF(ISNUMBER($S363),MAX(0,INT((J$6+6-$S363)/$T363)-MAX(0,-INT(-(J$6-$S363)/$T363))+1),0)</f>
        <v>0.0</v>
      </c>
      <c r="K363" s="97">
        <f>IF(ISNUMBER($S363),MAX(0,INT((K$6+6-$S363)/$T363)-MAX(0,-INT(-(K$6-$S363)/$T363))+1),0)</f>
        <v>0.0</v>
      </c>
      <c r="L363" s="97">
        <f>IF(ISNUMBER($S363),MAX(0,INT((L$6+6-$S363)/$T363)-MAX(0,-INT(-(L$6-$S363)/$T363))+1),0)</f>
        <v>0.0</v>
      </c>
      <c r="M363" s="97">
        <f>IF(ISNUMBER($S363),MAX(0,INT((M$6+6-$S363)/$T363)-MAX(0,-INT(-(M$6-$S363)/$T363))+1),0)</f>
        <v>0.0</v>
      </c>
      <c r="N363" s="97">
        <f>IF(ISNUMBER($S363),MAX(0,INT((N$6+6-$S363)/$T363)-MAX(0,-INT(-(N$6-$S363)/$T363))+1),0)</f>
        <v>0.0</v>
      </c>
      <c r="O363" s="97">
        <f>IF(ISNUMBER($S363),MAX(0,INT((O$6+6-$S363)/$T363)-MAX(0,-INT(-(O$6-$S363)/$T363))+1),0)</f>
        <v>0.0</v>
      </c>
      <c r="P363" s="97">
        <f>IF(ISNUMBER($S363),MAX(0,INT((P$6+6-$S363)/$T363)-MAX(0,-INT(-(P$6-$S363)/$T363))+1),0)</f>
        <v>0.0</v>
      </c>
      <c r="Q363" s="97">
        <f>IF(ISNUMBER($S363),MAX(0,INT((Q$6+6-$S363)/$T363)-MAX(0,-INT(-(Q$6-$S363)/$T363))+1),0)</f>
        <v>0.0</v>
      </c>
      <c r="R363" s="97">
        <f>IF(ISNUMBER($S363),MAX(0,INT((R$6+6-$S363)/$T363)-MAX(0,-INT(-(R$6-$S363)/$T363))+1),0)</f>
        <v>0.0</v>
      </c>
      <c r="S363" t="str">
        <f>IF(ISNUMBER(INDEX(pl_period,354)),MAX(INDEX(pl_due,354),p_today),"")</f>
        <v/>
      </c>
      <c r="T363" t="str">
        <f>IF(ISNUMBER(INDEX(pl_period,354)),INDEX(pl_period,354),"")</f>
        <v/>
      </c>
      <c r="U363">
        <f>N(INDEX(pl_dur,354))</f>
        <v>0.0</v>
      </c>
    </row>
    <row r="364">
      <c r="A364" s="93" t="str">
        <f>IF(INDEX(pl_status,355)="","",INDEX(pl_num,355)&amp;"")</f>
        <v/>
      </c>
      <c r="B364" s="93" t="str">
        <f>IF(INDEX(pl_status,355)="","",INDEX(pl_eq,355)&amp;"")</f>
        <v/>
      </c>
      <c r="C364" s="93" t="str">
        <f>IF(INDEX(pl_status,355)="","",INDEX(pl_task,355)&amp;"")</f>
        <v/>
      </c>
      <c r="D364" s="94" t="str">
        <f>IF(ISNUMBER(INDEX(pl_due,355)),INDEX(pl_due,355),"")</f>
        <v/>
      </c>
      <c r="E364" s="95" t="str">
        <f>INDEX(pl_status,355)&amp;""</f>
        <v/>
      </c>
      <c r="F364" s="96" t="str">
        <f>IF(E364="En retard","●","")</f>
        <v/>
      </c>
      <c r="G364" s="97">
        <f>IF(ISNUMBER($S364),MAX(0,INT((G$6+6-$S364)/$T364)-MAX(0,-INT(-(G$6-$S364)/$T364))+1),0)</f>
        <v>0.0</v>
      </c>
      <c r="H364" s="97">
        <f>IF(ISNUMBER($S364),MAX(0,INT((H$6+6-$S364)/$T364)-MAX(0,-INT(-(H$6-$S364)/$T364))+1),0)</f>
        <v>0.0</v>
      </c>
      <c r="I364" s="97">
        <f>IF(ISNUMBER($S364),MAX(0,INT((I$6+6-$S364)/$T364)-MAX(0,-INT(-(I$6-$S364)/$T364))+1),0)</f>
        <v>0.0</v>
      </c>
      <c r="J364" s="97">
        <f>IF(ISNUMBER($S364),MAX(0,INT((J$6+6-$S364)/$T364)-MAX(0,-INT(-(J$6-$S364)/$T364))+1),0)</f>
        <v>0.0</v>
      </c>
      <c r="K364" s="97">
        <f>IF(ISNUMBER($S364),MAX(0,INT((K$6+6-$S364)/$T364)-MAX(0,-INT(-(K$6-$S364)/$T364))+1),0)</f>
        <v>0.0</v>
      </c>
      <c r="L364" s="97">
        <f>IF(ISNUMBER($S364),MAX(0,INT((L$6+6-$S364)/$T364)-MAX(0,-INT(-(L$6-$S364)/$T364))+1),0)</f>
        <v>0.0</v>
      </c>
      <c r="M364" s="97">
        <f>IF(ISNUMBER($S364),MAX(0,INT((M$6+6-$S364)/$T364)-MAX(0,-INT(-(M$6-$S364)/$T364))+1),0)</f>
        <v>0.0</v>
      </c>
      <c r="N364" s="97">
        <f>IF(ISNUMBER($S364),MAX(0,INT((N$6+6-$S364)/$T364)-MAX(0,-INT(-(N$6-$S364)/$T364))+1),0)</f>
        <v>0.0</v>
      </c>
      <c r="O364" s="97">
        <f>IF(ISNUMBER($S364),MAX(0,INT((O$6+6-$S364)/$T364)-MAX(0,-INT(-(O$6-$S364)/$T364))+1),0)</f>
        <v>0.0</v>
      </c>
      <c r="P364" s="97">
        <f>IF(ISNUMBER($S364),MAX(0,INT((P$6+6-$S364)/$T364)-MAX(0,-INT(-(P$6-$S364)/$T364))+1),0)</f>
        <v>0.0</v>
      </c>
      <c r="Q364" s="97">
        <f>IF(ISNUMBER($S364),MAX(0,INT((Q$6+6-$S364)/$T364)-MAX(0,-INT(-(Q$6-$S364)/$T364))+1),0)</f>
        <v>0.0</v>
      </c>
      <c r="R364" s="97">
        <f>IF(ISNUMBER($S364),MAX(0,INT((R$6+6-$S364)/$T364)-MAX(0,-INT(-(R$6-$S364)/$T364))+1),0)</f>
        <v>0.0</v>
      </c>
      <c r="S364" t="str">
        <f>IF(ISNUMBER(INDEX(pl_period,355)),MAX(INDEX(pl_due,355),p_today),"")</f>
        <v/>
      </c>
      <c r="T364" t="str">
        <f>IF(ISNUMBER(INDEX(pl_period,355)),INDEX(pl_period,355),"")</f>
        <v/>
      </c>
      <c r="U364">
        <f>N(INDEX(pl_dur,355))</f>
        <v>0.0</v>
      </c>
    </row>
    <row r="365">
      <c r="A365" s="93" t="str">
        <f>IF(INDEX(pl_status,356)="","",INDEX(pl_num,356)&amp;"")</f>
        <v/>
      </c>
      <c r="B365" s="93" t="str">
        <f>IF(INDEX(pl_status,356)="","",INDEX(pl_eq,356)&amp;"")</f>
        <v/>
      </c>
      <c r="C365" s="93" t="str">
        <f>IF(INDEX(pl_status,356)="","",INDEX(pl_task,356)&amp;"")</f>
        <v/>
      </c>
      <c r="D365" s="94" t="str">
        <f>IF(ISNUMBER(INDEX(pl_due,356)),INDEX(pl_due,356),"")</f>
        <v/>
      </c>
      <c r="E365" s="95" t="str">
        <f>INDEX(pl_status,356)&amp;""</f>
        <v/>
      </c>
      <c r="F365" s="96" t="str">
        <f>IF(E365="En retard","●","")</f>
        <v/>
      </c>
      <c r="G365" s="97">
        <f>IF(ISNUMBER($S365),MAX(0,INT((G$6+6-$S365)/$T365)-MAX(0,-INT(-(G$6-$S365)/$T365))+1),0)</f>
        <v>0.0</v>
      </c>
      <c r="H365" s="97">
        <f>IF(ISNUMBER($S365),MAX(0,INT((H$6+6-$S365)/$T365)-MAX(0,-INT(-(H$6-$S365)/$T365))+1),0)</f>
        <v>0.0</v>
      </c>
      <c r="I365" s="97">
        <f>IF(ISNUMBER($S365),MAX(0,INT((I$6+6-$S365)/$T365)-MAX(0,-INT(-(I$6-$S365)/$T365))+1),0)</f>
        <v>0.0</v>
      </c>
      <c r="J365" s="97">
        <f>IF(ISNUMBER($S365),MAX(0,INT((J$6+6-$S365)/$T365)-MAX(0,-INT(-(J$6-$S365)/$T365))+1),0)</f>
        <v>0.0</v>
      </c>
      <c r="K365" s="97">
        <f>IF(ISNUMBER($S365),MAX(0,INT((K$6+6-$S365)/$T365)-MAX(0,-INT(-(K$6-$S365)/$T365))+1),0)</f>
        <v>0.0</v>
      </c>
      <c r="L365" s="97">
        <f>IF(ISNUMBER($S365),MAX(0,INT((L$6+6-$S365)/$T365)-MAX(0,-INT(-(L$6-$S365)/$T365))+1),0)</f>
        <v>0.0</v>
      </c>
      <c r="M365" s="97">
        <f>IF(ISNUMBER($S365),MAX(0,INT((M$6+6-$S365)/$T365)-MAX(0,-INT(-(M$6-$S365)/$T365))+1),0)</f>
        <v>0.0</v>
      </c>
      <c r="N365" s="97">
        <f>IF(ISNUMBER($S365),MAX(0,INT((N$6+6-$S365)/$T365)-MAX(0,-INT(-(N$6-$S365)/$T365))+1),0)</f>
        <v>0.0</v>
      </c>
      <c r="O365" s="97">
        <f>IF(ISNUMBER($S365),MAX(0,INT((O$6+6-$S365)/$T365)-MAX(0,-INT(-(O$6-$S365)/$T365))+1),0)</f>
        <v>0.0</v>
      </c>
      <c r="P365" s="97">
        <f>IF(ISNUMBER($S365),MAX(0,INT((P$6+6-$S365)/$T365)-MAX(0,-INT(-(P$6-$S365)/$T365))+1),0)</f>
        <v>0.0</v>
      </c>
      <c r="Q365" s="97">
        <f>IF(ISNUMBER($S365),MAX(0,INT((Q$6+6-$S365)/$T365)-MAX(0,-INT(-(Q$6-$S365)/$T365))+1),0)</f>
        <v>0.0</v>
      </c>
      <c r="R365" s="97">
        <f>IF(ISNUMBER($S365),MAX(0,INT((R$6+6-$S365)/$T365)-MAX(0,-INT(-(R$6-$S365)/$T365))+1),0)</f>
        <v>0.0</v>
      </c>
      <c r="S365" t="str">
        <f>IF(ISNUMBER(INDEX(pl_period,356)),MAX(INDEX(pl_due,356),p_today),"")</f>
        <v/>
      </c>
      <c r="T365" t="str">
        <f>IF(ISNUMBER(INDEX(pl_period,356)),INDEX(pl_period,356),"")</f>
        <v/>
      </c>
      <c r="U365">
        <f>N(INDEX(pl_dur,356))</f>
        <v>0.0</v>
      </c>
    </row>
    <row r="366">
      <c r="A366" s="93" t="str">
        <f>IF(INDEX(pl_status,357)="","",INDEX(pl_num,357)&amp;"")</f>
        <v/>
      </c>
      <c r="B366" s="93" t="str">
        <f>IF(INDEX(pl_status,357)="","",INDEX(pl_eq,357)&amp;"")</f>
        <v/>
      </c>
      <c r="C366" s="93" t="str">
        <f>IF(INDEX(pl_status,357)="","",INDEX(pl_task,357)&amp;"")</f>
        <v/>
      </c>
      <c r="D366" s="94" t="str">
        <f>IF(ISNUMBER(INDEX(pl_due,357)),INDEX(pl_due,357),"")</f>
        <v/>
      </c>
      <c r="E366" s="95" t="str">
        <f>INDEX(pl_status,357)&amp;""</f>
        <v/>
      </c>
      <c r="F366" s="96" t="str">
        <f>IF(E366="En retard","●","")</f>
        <v/>
      </c>
      <c r="G366" s="97">
        <f>IF(ISNUMBER($S366),MAX(0,INT((G$6+6-$S366)/$T366)-MAX(0,-INT(-(G$6-$S366)/$T366))+1),0)</f>
        <v>0.0</v>
      </c>
      <c r="H366" s="97">
        <f>IF(ISNUMBER($S366),MAX(0,INT((H$6+6-$S366)/$T366)-MAX(0,-INT(-(H$6-$S366)/$T366))+1),0)</f>
        <v>0.0</v>
      </c>
      <c r="I366" s="97">
        <f>IF(ISNUMBER($S366),MAX(0,INT((I$6+6-$S366)/$T366)-MAX(0,-INT(-(I$6-$S366)/$T366))+1),0)</f>
        <v>0.0</v>
      </c>
      <c r="J366" s="97">
        <f>IF(ISNUMBER($S366),MAX(0,INT((J$6+6-$S366)/$T366)-MAX(0,-INT(-(J$6-$S366)/$T366))+1),0)</f>
        <v>0.0</v>
      </c>
      <c r="K366" s="97">
        <f>IF(ISNUMBER($S366),MAX(0,INT((K$6+6-$S366)/$T366)-MAX(0,-INT(-(K$6-$S366)/$T366))+1),0)</f>
        <v>0.0</v>
      </c>
      <c r="L366" s="97">
        <f>IF(ISNUMBER($S366),MAX(0,INT((L$6+6-$S366)/$T366)-MAX(0,-INT(-(L$6-$S366)/$T366))+1),0)</f>
        <v>0.0</v>
      </c>
      <c r="M366" s="97">
        <f>IF(ISNUMBER($S366),MAX(0,INT((M$6+6-$S366)/$T366)-MAX(0,-INT(-(M$6-$S366)/$T366))+1),0)</f>
        <v>0.0</v>
      </c>
      <c r="N366" s="97">
        <f>IF(ISNUMBER($S366),MAX(0,INT((N$6+6-$S366)/$T366)-MAX(0,-INT(-(N$6-$S366)/$T366))+1),0)</f>
        <v>0.0</v>
      </c>
      <c r="O366" s="97">
        <f>IF(ISNUMBER($S366),MAX(0,INT((O$6+6-$S366)/$T366)-MAX(0,-INT(-(O$6-$S366)/$T366))+1),0)</f>
        <v>0.0</v>
      </c>
      <c r="P366" s="97">
        <f>IF(ISNUMBER($S366),MAX(0,INT((P$6+6-$S366)/$T366)-MAX(0,-INT(-(P$6-$S366)/$T366))+1),0)</f>
        <v>0.0</v>
      </c>
      <c r="Q366" s="97">
        <f>IF(ISNUMBER($S366),MAX(0,INT((Q$6+6-$S366)/$T366)-MAX(0,-INT(-(Q$6-$S366)/$T366))+1),0)</f>
        <v>0.0</v>
      </c>
      <c r="R366" s="97">
        <f>IF(ISNUMBER($S366),MAX(0,INT((R$6+6-$S366)/$T366)-MAX(0,-INT(-(R$6-$S366)/$T366))+1),0)</f>
        <v>0.0</v>
      </c>
      <c r="S366" t="str">
        <f>IF(ISNUMBER(INDEX(pl_period,357)),MAX(INDEX(pl_due,357),p_today),"")</f>
        <v/>
      </c>
      <c r="T366" t="str">
        <f>IF(ISNUMBER(INDEX(pl_period,357)),INDEX(pl_period,357),"")</f>
        <v/>
      </c>
      <c r="U366">
        <f>N(INDEX(pl_dur,357))</f>
        <v>0.0</v>
      </c>
    </row>
    <row r="367">
      <c r="A367" s="93" t="str">
        <f>IF(INDEX(pl_status,358)="","",INDEX(pl_num,358)&amp;"")</f>
        <v/>
      </c>
      <c r="B367" s="93" t="str">
        <f>IF(INDEX(pl_status,358)="","",INDEX(pl_eq,358)&amp;"")</f>
        <v/>
      </c>
      <c r="C367" s="93" t="str">
        <f>IF(INDEX(pl_status,358)="","",INDEX(pl_task,358)&amp;"")</f>
        <v/>
      </c>
      <c r="D367" s="94" t="str">
        <f>IF(ISNUMBER(INDEX(pl_due,358)),INDEX(pl_due,358),"")</f>
        <v/>
      </c>
      <c r="E367" s="95" t="str">
        <f>INDEX(pl_status,358)&amp;""</f>
        <v/>
      </c>
      <c r="F367" s="96" t="str">
        <f>IF(E367="En retard","●","")</f>
        <v/>
      </c>
      <c r="G367" s="97">
        <f>IF(ISNUMBER($S367),MAX(0,INT((G$6+6-$S367)/$T367)-MAX(0,-INT(-(G$6-$S367)/$T367))+1),0)</f>
        <v>0.0</v>
      </c>
      <c r="H367" s="97">
        <f>IF(ISNUMBER($S367),MAX(0,INT((H$6+6-$S367)/$T367)-MAX(0,-INT(-(H$6-$S367)/$T367))+1),0)</f>
        <v>0.0</v>
      </c>
      <c r="I367" s="97">
        <f>IF(ISNUMBER($S367),MAX(0,INT((I$6+6-$S367)/$T367)-MAX(0,-INT(-(I$6-$S367)/$T367))+1),0)</f>
        <v>0.0</v>
      </c>
      <c r="J367" s="97">
        <f>IF(ISNUMBER($S367),MAX(0,INT((J$6+6-$S367)/$T367)-MAX(0,-INT(-(J$6-$S367)/$T367))+1),0)</f>
        <v>0.0</v>
      </c>
      <c r="K367" s="97">
        <f>IF(ISNUMBER($S367),MAX(0,INT((K$6+6-$S367)/$T367)-MAX(0,-INT(-(K$6-$S367)/$T367))+1),0)</f>
        <v>0.0</v>
      </c>
      <c r="L367" s="97">
        <f>IF(ISNUMBER($S367),MAX(0,INT((L$6+6-$S367)/$T367)-MAX(0,-INT(-(L$6-$S367)/$T367))+1),0)</f>
        <v>0.0</v>
      </c>
      <c r="M367" s="97">
        <f>IF(ISNUMBER($S367),MAX(0,INT((M$6+6-$S367)/$T367)-MAX(0,-INT(-(M$6-$S367)/$T367))+1),0)</f>
        <v>0.0</v>
      </c>
      <c r="N367" s="97">
        <f>IF(ISNUMBER($S367),MAX(0,INT((N$6+6-$S367)/$T367)-MAX(0,-INT(-(N$6-$S367)/$T367))+1),0)</f>
        <v>0.0</v>
      </c>
      <c r="O367" s="97">
        <f>IF(ISNUMBER($S367),MAX(0,INT((O$6+6-$S367)/$T367)-MAX(0,-INT(-(O$6-$S367)/$T367))+1),0)</f>
        <v>0.0</v>
      </c>
      <c r="P367" s="97">
        <f>IF(ISNUMBER($S367),MAX(0,INT((P$6+6-$S367)/$T367)-MAX(0,-INT(-(P$6-$S367)/$T367))+1),0)</f>
        <v>0.0</v>
      </c>
      <c r="Q367" s="97">
        <f>IF(ISNUMBER($S367),MAX(0,INT((Q$6+6-$S367)/$T367)-MAX(0,-INT(-(Q$6-$S367)/$T367))+1),0)</f>
        <v>0.0</v>
      </c>
      <c r="R367" s="97">
        <f>IF(ISNUMBER($S367),MAX(0,INT((R$6+6-$S367)/$T367)-MAX(0,-INT(-(R$6-$S367)/$T367))+1),0)</f>
        <v>0.0</v>
      </c>
      <c r="S367" t="str">
        <f>IF(ISNUMBER(INDEX(pl_period,358)),MAX(INDEX(pl_due,358),p_today),"")</f>
        <v/>
      </c>
      <c r="T367" t="str">
        <f>IF(ISNUMBER(INDEX(pl_period,358)),INDEX(pl_period,358),"")</f>
        <v/>
      </c>
      <c r="U367">
        <f>N(INDEX(pl_dur,358))</f>
        <v>0.0</v>
      </c>
    </row>
    <row r="368">
      <c r="A368" s="93" t="str">
        <f>IF(INDEX(pl_status,359)="","",INDEX(pl_num,359)&amp;"")</f>
        <v/>
      </c>
      <c r="B368" s="93" t="str">
        <f>IF(INDEX(pl_status,359)="","",INDEX(pl_eq,359)&amp;"")</f>
        <v/>
      </c>
      <c r="C368" s="93" t="str">
        <f>IF(INDEX(pl_status,359)="","",INDEX(pl_task,359)&amp;"")</f>
        <v/>
      </c>
      <c r="D368" s="94" t="str">
        <f>IF(ISNUMBER(INDEX(pl_due,359)),INDEX(pl_due,359),"")</f>
        <v/>
      </c>
      <c r="E368" s="95" t="str">
        <f>INDEX(pl_status,359)&amp;""</f>
        <v/>
      </c>
      <c r="F368" s="96" t="str">
        <f>IF(E368="En retard","●","")</f>
        <v/>
      </c>
      <c r="G368" s="97">
        <f>IF(ISNUMBER($S368),MAX(0,INT((G$6+6-$S368)/$T368)-MAX(0,-INT(-(G$6-$S368)/$T368))+1),0)</f>
        <v>0.0</v>
      </c>
      <c r="H368" s="97">
        <f>IF(ISNUMBER($S368),MAX(0,INT((H$6+6-$S368)/$T368)-MAX(0,-INT(-(H$6-$S368)/$T368))+1),0)</f>
        <v>0.0</v>
      </c>
      <c r="I368" s="97">
        <f>IF(ISNUMBER($S368),MAX(0,INT((I$6+6-$S368)/$T368)-MAX(0,-INT(-(I$6-$S368)/$T368))+1),0)</f>
        <v>0.0</v>
      </c>
      <c r="J368" s="97">
        <f>IF(ISNUMBER($S368),MAX(0,INT((J$6+6-$S368)/$T368)-MAX(0,-INT(-(J$6-$S368)/$T368))+1),0)</f>
        <v>0.0</v>
      </c>
      <c r="K368" s="97">
        <f>IF(ISNUMBER($S368),MAX(0,INT((K$6+6-$S368)/$T368)-MAX(0,-INT(-(K$6-$S368)/$T368))+1),0)</f>
        <v>0.0</v>
      </c>
      <c r="L368" s="97">
        <f>IF(ISNUMBER($S368),MAX(0,INT((L$6+6-$S368)/$T368)-MAX(0,-INT(-(L$6-$S368)/$T368))+1),0)</f>
        <v>0.0</v>
      </c>
      <c r="M368" s="97">
        <f>IF(ISNUMBER($S368),MAX(0,INT((M$6+6-$S368)/$T368)-MAX(0,-INT(-(M$6-$S368)/$T368))+1),0)</f>
        <v>0.0</v>
      </c>
      <c r="N368" s="97">
        <f>IF(ISNUMBER($S368),MAX(0,INT((N$6+6-$S368)/$T368)-MAX(0,-INT(-(N$6-$S368)/$T368))+1),0)</f>
        <v>0.0</v>
      </c>
      <c r="O368" s="97">
        <f>IF(ISNUMBER($S368),MAX(0,INT((O$6+6-$S368)/$T368)-MAX(0,-INT(-(O$6-$S368)/$T368))+1),0)</f>
        <v>0.0</v>
      </c>
      <c r="P368" s="97">
        <f>IF(ISNUMBER($S368),MAX(0,INT((P$6+6-$S368)/$T368)-MAX(0,-INT(-(P$6-$S368)/$T368))+1),0)</f>
        <v>0.0</v>
      </c>
      <c r="Q368" s="97">
        <f>IF(ISNUMBER($S368),MAX(0,INT((Q$6+6-$S368)/$T368)-MAX(0,-INT(-(Q$6-$S368)/$T368))+1),0)</f>
        <v>0.0</v>
      </c>
      <c r="R368" s="97">
        <f>IF(ISNUMBER($S368),MAX(0,INT((R$6+6-$S368)/$T368)-MAX(0,-INT(-(R$6-$S368)/$T368))+1),0)</f>
        <v>0.0</v>
      </c>
      <c r="S368" t="str">
        <f>IF(ISNUMBER(INDEX(pl_period,359)),MAX(INDEX(pl_due,359),p_today),"")</f>
        <v/>
      </c>
      <c r="T368" t="str">
        <f>IF(ISNUMBER(INDEX(pl_period,359)),INDEX(pl_period,359),"")</f>
        <v/>
      </c>
      <c r="U368">
        <f>N(INDEX(pl_dur,359))</f>
        <v>0.0</v>
      </c>
    </row>
    <row r="369">
      <c r="A369" s="93" t="str">
        <f>IF(INDEX(pl_status,360)="","",INDEX(pl_num,360)&amp;"")</f>
        <v/>
      </c>
      <c r="B369" s="93" t="str">
        <f>IF(INDEX(pl_status,360)="","",INDEX(pl_eq,360)&amp;"")</f>
        <v/>
      </c>
      <c r="C369" s="93" t="str">
        <f>IF(INDEX(pl_status,360)="","",INDEX(pl_task,360)&amp;"")</f>
        <v/>
      </c>
      <c r="D369" s="94" t="str">
        <f>IF(ISNUMBER(INDEX(pl_due,360)),INDEX(pl_due,360),"")</f>
        <v/>
      </c>
      <c r="E369" s="95" t="str">
        <f>INDEX(pl_status,360)&amp;""</f>
        <v/>
      </c>
      <c r="F369" s="96" t="str">
        <f>IF(E369="En retard","●","")</f>
        <v/>
      </c>
      <c r="G369" s="97">
        <f>IF(ISNUMBER($S369),MAX(0,INT((G$6+6-$S369)/$T369)-MAX(0,-INT(-(G$6-$S369)/$T369))+1),0)</f>
        <v>0.0</v>
      </c>
      <c r="H369" s="97">
        <f>IF(ISNUMBER($S369),MAX(0,INT((H$6+6-$S369)/$T369)-MAX(0,-INT(-(H$6-$S369)/$T369))+1),0)</f>
        <v>0.0</v>
      </c>
      <c r="I369" s="97">
        <f>IF(ISNUMBER($S369),MAX(0,INT((I$6+6-$S369)/$T369)-MAX(0,-INT(-(I$6-$S369)/$T369))+1),0)</f>
        <v>0.0</v>
      </c>
      <c r="J369" s="97">
        <f>IF(ISNUMBER($S369),MAX(0,INT((J$6+6-$S369)/$T369)-MAX(0,-INT(-(J$6-$S369)/$T369))+1),0)</f>
        <v>0.0</v>
      </c>
      <c r="K369" s="97">
        <f>IF(ISNUMBER($S369),MAX(0,INT((K$6+6-$S369)/$T369)-MAX(0,-INT(-(K$6-$S369)/$T369))+1),0)</f>
        <v>0.0</v>
      </c>
      <c r="L369" s="97">
        <f>IF(ISNUMBER($S369),MAX(0,INT((L$6+6-$S369)/$T369)-MAX(0,-INT(-(L$6-$S369)/$T369))+1),0)</f>
        <v>0.0</v>
      </c>
      <c r="M369" s="97">
        <f>IF(ISNUMBER($S369),MAX(0,INT((M$6+6-$S369)/$T369)-MAX(0,-INT(-(M$6-$S369)/$T369))+1),0)</f>
        <v>0.0</v>
      </c>
      <c r="N369" s="97">
        <f>IF(ISNUMBER($S369),MAX(0,INT((N$6+6-$S369)/$T369)-MAX(0,-INT(-(N$6-$S369)/$T369))+1),0)</f>
        <v>0.0</v>
      </c>
      <c r="O369" s="97">
        <f>IF(ISNUMBER($S369),MAX(0,INT((O$6+6-$S369)/$T369)-MAX(0,-INT(-(O$6-$S369)/$T369))+1),0)</f>
        <v>0.0</v>
      </c>
      <c r="P369" s="97">
        <f>IF(ISNUMBER($S369),MAX(0,INT((P$6+6-$S369)/$T369)-MAX(0,-INT(-(P$6-$S369)/$T369))+1),0)</f>
        <v>0.0</v>
      </c>
      <c r="Q369" s="97">
        <f>IF(ISNUMBER($S369),MAX(0,INT((Q$6+6-$S369)/$T369)-MAX(0,-INT(-(Q$6-$S369)/$T369))+1),0)</f>
        <v>0.0</v>
      </c>
      <c r="R369" s="97">
        <f>IF(ISNUMBER($S369),MAX(0,INT((R$6+6-$S369)/$T369)-MAX(0,-INT(-(R$6-$S369)/$T369))+1),0)</f>
        <v>0.0</v>
      </c>
      <c r="S369" t="str">
        <f>IF(ISNUMBER(INDEX(pl_period,360)),MAX(INDEX(pl_due,360),p_today),"")</f>
        <v/>
      </c>
      <c r="T369" t="str">
        <f>IF(ISNUMBER(INDEX(pl_period,360)),INDEX(pl_period,360),"")</f>
        <v/>
      </c>
      <c r="U369">
        <f>N(INDEX(pl_dur,360))</f>
        <v>0.0</v>
      </c>
    </row>
    <row r="370">
      <c r="A370" s="93" t="str">
        <f>IF(INDEX(pl_status,361)="","",INDEX(pl_num,361)&amp;"")</f>
        <v/>
      </c>
      <c r="B370" s="93" t="str">
        <f>IF(INDEX(pl_status,361)="","",INDEX(pl_eq,361)&amp;"")</f>
        <v/>
      </c>
      <c r="C370" s="93" t="str">
        <f>IF(INDEX(pl_status,361)="","",INDEX(pl_task,361)&amp;"")</f>
        <v/>
      </c>
      <c r="D370" s="94" t="str">
        <f>IF(ISNUMBER(INDEX(pl_due,361)),INDEX(pl_due,361),"")</f>
        <v/>
      </c>
      <c r="E370" s="95" t="str">
        <f>INDEX(pl_status,361)&amp;""</f>
        <v/>
      </c>
      <c r="F370" s="96" t="str">
        <f>IF(E370="En retard","●","")</f>
        <v/>
      </c>
      <c r="G370" s="97">
        <f>IF(ISNUMBER($S370),MAX(0,INT((G$6+6-$S370)/$T370)-MAX(0,-INT(-(G$6-$S370)/$T370))+1),0)</f>
        <v>0.0</v>
      </c>
      <c r="H370" s="97">
        <f>IF(ISNUMBER($S370),MAX(0,INT((H$6+6-$S370)/$T370)-MAX(0,-INT(-(H$6-$S370)/$T370))+1),0)</f>
        <v>0.0</v>
      </c>
      <c r="I370" s="97">
        <f>IF(ISNUMBER($S370),MAX(0,INT((I$6+6-$S370)/$T370)-MAX(0,-INT(-(I$6-$S370)/$T370))+1),0)</f>
        <v>0.0</v>
      </c>
      <c r="J370" s="97">
        <f>IF(ISNUMBER($S370),MAX(0,INT((J$6+6-$S370)/$T370)-MAX(0,-INT(-(J$6-$S370)/$T370))+1),0)</f>
        <v>0.0</v>
      </c>
      <c r="K370" s="97">
        <f>IF(ISNUMBER($S370),MAX(0,INT((K$6+6-$S370)/$T370)-MAX(0,-INT(-(K$6-$S370)/$T370))+1),0)</f>
        <v>0.0</v>
      </c>
      <c r="L370" s="97">
        <f>IF(ISNUMBER($S370),MAX(0,INT((L$6+6-$S370)/$T370)-MAX(0,-INT(-(L$6-$S370)/$T370))+1),0)</f>
        <v>0.0</v>
      </c>
      <c r="M370" s="97">
        <f>IF(ISNUMBER($S370),MAX(0,INT((M$6+6-$S370)/$T370)-MAX(0,-INT(-(M$6-$S370)/$T370))+1),0)</f>
        <v>0.0</v>
      </c>
      <c r="N370" s="97">
        <f>IF(ISNUMBER($S370),MAX(0,INT((N$6+6-$S370)/$T370)-MAX(0,-INT(-(N$6-$S370)/$T370))+1),0)</f>
        <v>0.0</v>
      </c>
      <c r="O370" s="97">
        <f>IF(ISNUMBER($S370),MAX(0,INT((O$6+6-$S370)/$T370)-MAX(0,-INT(-(O$6-$S370)/$T370))+1),0)</f>
        <v>0.0</v>
      </c>
      <c r="P370" s="97">
        <f>IF(ISNUMBER($S370),MAX(0,INT((P$6+6-$S370)/$T370)-MAX(0,-INT(-(P$6-$S370)/$T370))+1),0)</f>
        <v>0.0</v>
      </c>
      <c r="Q370" s="97">
        <f>IF(ISNUMBER($S370),MAX(0,INT((Q$6+6-$S370)/$T370)-MAX(0,-INT(-(Q$6-$S370)/$T370))+1),0)</f>
        <v>0.0</v>
      </c>
      <c r="R370" s="97">
        <f>IF(ISNUMBER($S370),MAX(0,INT((R$6+6-$S370)/$T370)-MAX(0,-INT(-(R$6-$S370)/$T370))+1),0)</f>
        <v>0.0</v>
      </c>
      <c r="S370" t="str">
        <f>IF(ISNUMBER(INDEX(pl_period,361)),MAX(INDEX(pl_due,361),p_today),"")</f>
        <v/>
      </c>
      <c r="T370" t="str">
        <f>IF(ISNUMBER(INDEX(pl_period,361)),INDEX(pl_period,361),"")</f>
        <v/>
      </c>
      <c r="U370">
        <f>N(INDEX(pl_dur,361))</f>
        <v>0.0</v>
      </c>
    </row>
    <row r="371">
      <c r="A371" s="93" t="str">
        <f>IF(INDEX(pl_status,362)="","",INDEX(pl_num,362)&amp;"")</f>
        <v/>
      </c>
      <c r="B371" s="93" t="str">
        <f>IF(INDEX(pl_status,362)="","",INDEX(pl_eq,362)&amp;"")</f>
        <v/>
      </c>
      <c r="C371" s="93" t="str">
        <f>IF(INDEX(pl_status,362)="","",INDEX(pl_task,362)&amp;"")</f>
        <v/>
      </c>
      <c r="D371" s="94" t="str">
        <f>IF(ISNUMBER(INDEX(pl_due,362)),INDEX(pl_due,362),"")</f>
        <v/>
      </c>
      <c r="E371" s="95" t="str">
        <f>INDEX(pl_status,362)&amp;""</f>
        <v/>
      </c>
      <c r="F371" s="96" t="str">
        <f>IF(E371="En retard","●","")</f>
        <v/>
      </c>
      <c r="G371" s="97">
        <f>IF(ISNUMBER($S371),MAX(0,INT((G$6+6-$S371)/$T371)-MAX(0,-INT(-(G$6-$S371)/$T371))+1),0)</f>
        <v>0.0</v>
      </c>
      <c r="H371" s="97">
        <f>IF(ISNUMBER($S371),MAX(0,INT((H$6+6-$S371)/$T371)-MAX(0,-INT(-(H$6-$S371)/$T371))+1),0)</f>
        <v>0.0</v>
      </c>
      <c r="I371" s="97">
        <f>IF(ISNUMBER($S371),MAX(0,INT((I$6+6-$S371)/$T371)-MAX(0,-INT(-(I$6-$S371)/$T371))+1),0)</f>
        <v>0.0</v>
      </c>
      <c r="J371" s="97">
        <f>IF(ISNUMBER($S371),MAX(0,INT((J$6+6-$S371)/$T371)-MAX(0,-INT(-(J$6-$S371)/$T371))+1),0)</f>
        <v>0.0</v>
      </c>
      <c r="K371" s="97">
        <f>IF(ISNUMBER($S371),MAX(0,INT((K$6+6-$S371)/$T371)-MAX(0,-INT(-(K$6-$S371)/$T371))+1),0)</f>
        <v>0.0</v>
      </c>
      <c r="L371" s="97">
        <f>IF(ISNUMBER($S371),MAX(0,INT((L$6+6-$S371)/$T371)-MAX(0,-INT(-(L$6-$S371)/$T371))+1),0)</f>
        <v>0.0</v>
      </c>
      <c r="M371" s="97">
        <f>IF(ISNUMBER($S371),MAX(0,INT((M$6+6-$S371)/$T371)-MAX(0,-INT(-(M$6-$S371)/$T371))+1),0)</f>
        <v>0.0</v>
      </c>
      <c r="N371" s="97">
        <f>IF(ISNUMBER($S371),MAX(0,INT((N$6+6-$S371)/$T371)-MAX(0,-INT(-(N$6-$S371)/$T371))+1),0)</f>
        <v>0.0</v>
      </c>
      <c r="O371" s="97">
        <f>IF(ISNUMBER($S371),MAX(0,INT((O$6+6-$S371)/$T371)-MAX(0,-INT(-(O$6-$S371)/$T371))+1),0)</f>
        <v>0.0</v>
      </c>
      <c r="P371" s="97">
        <f>IF(ISNUMBER($S371),MAX(0,INT((P$6+6-$S371)/$T371)-MAX(0,-INT(-(P$6-$S371)/$T371))+1),0)</f>
        <v>0.0</v>
      </c>
      <c r="Q371" s="97">
        <f>IF(ISNUMBER($S371),MAX(0,INT((Q$6+6-$S371)/$T371)-MAX(0,-INT(-(Q$6-$S371)/$T371))+1),0)</f>
        <v>0.0</v>
      </c>
      <c r="R371" s="97">
        <f>IF(ISNUMBER($S371),MAX(0,INT((R$6+6-$S371)/$T371)-MAX(0,-INT(-(R$6-$S371)/$T371))+1),0)</f>
        <v>0.0</v>
      </c>
      <c r="S371" t="str">
        <f>IF(ISNUMBER(INDEX(pl_period,362)),MAX(INDEX(pl_due,362),p_today),"")</f>
        <v/>
      </c>
      <c r="T371" t="str">
        <f>IF(ISNUMBER(INDEX(pl_period,362)),INDEX(pl_period,362),"")</f>
        <v/>
      </c>
      <c r="U371">
        <f>N(INDEX(pl_dur,362))</f>
        <v>0.0</v>
      </c>
    </row>
    <row r="372">
      <c r="A372" s="93" t="str">
        <f>IF(INDEX(pl_status,363)="","",INDEX(pl_num,363)&amp;"")</f>
        <v/>
      </c>
      <c r="B372" s="93" t="str">
        <f>IF(INDEX(pl_status,363)="","",INDEX(pl_eq,363)&amp;"")</f>
        <v/>
      </c>
      <c r="C372" s="93" t="str">
        <f>IF(INDEX(pl_status,363)="","",INDEX(pl_task,363)&amp;"")</f>
        <v/>
      </c>
      <c r="D372" s="94" t="str">
        <f>IF(ISNUMBER(INDEX(pl_due,363)),INDEX(pl_due,363),"")</f>
        <v/>
      </c>
      <c r="E372" s="95" t="str">
        <f>INDEX(pl_status,363)&amp;""</f>
        <v/>
      </c>
      <c r="F372" s="96" t="str">
        <f>IF(E372="En retard","●","")</f>
        <v/>
      </c>
      <c r="G372" s="97">
        <f>IF(ISNUMBER($S372),MAX(0,INT((G$6+6-$S372)/$T372)-MAX(0,-INT(-(G$6-$S372)/$T372))+1),0)</f>
        <v>0.0</v>
      </c>
      <c r="H372" s="97">
        <f>IF(ISNUMBER($S372),MAX(0,INT((H$6+6-$S372)/$T372)-MAX(0,-INT(-(H$6-$S372)/$T372))+1),0)</f>
        <v>0.0</v>
      </c>
      <c r="I372" s="97">
        <f>IF(ISNUMBER($S372),MAX(0,INT((I$6+6-$S372)/$T372)-MAX(0,-INT(-(I$6-$S372)/$T372))+1),0)</f>
        <v>0.0</v>
      </c>
      <c r="J372" s="97">
        <f>IF(ISNUMBER($S372),MAX(0,INT((J$6+6-$S372)/$T372)-MAX(0,-INT(-(J$6-$S372)/$T372))+1),0)</f>
        <v>0.0</v>
      </c>
      <c r="K372" s="97">
        <f>IF(ISNUMBER($S372),MAX(0,INT((K$6+6-$S372)/$T372)-MAX(0,-INT(-(K$6-$S372)/$T372))+1),0)</f>
        <v>0.0</v>
      </c>
      <c r="L372" s="97">
        <f>IF(ISNUMBER($S372),MAX(0,INT((L$6+6-$S372)/$T372)-MAX(0,-INT(-(L$6-$S372)/$T372))+1),0)</f>
        <v>0.0</v>
      </c>
      <c r="M372" s="97">
        <f>IF(ISNUMBER($S372),MAX(0,INT((M$6+6-$S372)/$T372)-MAX(0,-INT(-(M$6-$S372)/$T372))+1),0)</f>
        <v>0.0</v>
      </c>
      <c r="N372" s="97">
        <f>IF(ISNUMBER($S372),MAX(0,INT((N$6+6-$S372)/$T372)-MAX(0,-INT(-(N$6-$S372)/$T372))+1),0)</f>
        <v>0.0</v>
      </c>
      <c r="O372" s="97">
        <f>IF(ISNUMBER($S372),MAX(0,INT((O$6+6-$S372)/$T372)-MAX(0,-INT(-(O$6-$S372)/$T372))+1),0)</f>
        <v>0.0</v>
      </c>
      <c r="P372" s="97">
        <f>IF(ISNUMBER($S372),MAX(0,INT((P$6+6-$S372)/$T372)-MAX(0,-INT(-(P$6-$S372)/$T372))+1),0)</f>
        <v>0.0</v>
      </c>
      <c r="Q372" s="97">
        <f>IF(ISNUMBER($S372),MAX(0,INT((Q$6+6-$S372)/$T372)-MAX(0,-INT(-(Q$6-$S372)/$T372))+1),0)</f>
        <v>0.0</v>
      </c>
      <c r="R372" s="97">
        <f>IF(ISNUMBER($S372),MAX(0,INT((R$6+6-$S372)/$T372)-MAX(0,-INT(-(R$6-$S372)/$T372))+1),0)</f>
        <v>0.0</v>
      </c>
      <c r="S372" t="str">
        <f>IF(ISNUMBER(INDEX(pl_period,363)),MAX(INDEX(pl_due,363),p_today),"")</f>
        <v/>
      </c>
      <c r="T372" t="str">
        <f>IF(ISNUMBER(INDEX(pl_period,363)),INDEX(pl_period,363),"")</f>
        <v/>
      </c>
      <c r="U372">
        <f>N(INDEX(pl_dur,363))</f>
        <v>0.0</v>
      </c>
    </row>
    <row r="373">
      <c r="A373" s="93" t="str">
        <f>IF(INDEX(pl_status,364)="","",INDEX(pl_num,364)&amp;"")</f>
        <v/>
      </c>
      <c r="B373" s="93" t="str">
        <f>IF(INDEX(pl_status,364)="","",INDEX(pl_eq,364)&amp;"")</f>
        <v/>
      </c>
      <c r="C373" s="93" t="str">
        <f>IF(INDEX(pl_status,364)="","",INDEX(pl_task,364)&amp;"")</f>
        <v/>
      </c>
      <c r="D373" s="94" t="str">
        <f>IF(ISNUMBER(INDEX(pl_due,364)),INDEX(pl_due,364),"")</f>
        <v/>
      </c>
      <c r="E373" s="95" t="str">
        <f>INDEX(pl_status,364)&amp;""</f>
        <v/>
      </c>
      <c r="F373" s="96" t="str">
        <f>IF(E373="En retard","●","")</f>
        <v/>
      </c>
      <c r="G373" s="97">
        <f>IF(ISNUMBER($S373),MAX(0,INT((G$6+6-$S373)/$T373)-MAX(0,-INT(-(G$6-$S373)/$T373))+1),0)</f>
        <v>0.0</v>
      </c>
      <c r="H373" s="97">
        <f>IF(ISNUMBER($S373),MAX(0,INT((H$6+6-$S373)/$T373)-MAX(0,-INT(-(H$6-$S373)/$T373))+1),0)</f>
        <v>0.0</v>
      </c>
      <c r="I373" s="97">
        <f>IF(ISNUMBER($S373),MAX(0,INT((I$6+6-$S373)/$T373)-MAX(0,-INT(-(I$6-$S373)/$T373))+1),0)</f>
        <v>0.0</v>
      </c>
      <c r="J373" s="97">
        <f>IF(ISNUMBER($S373),MAX(0,INT((J$6+6-$S373)/$T373)-MAX(0,-INT(-(J$6-$S373)/$T373))+1),0)</f>
        <v>0.0</v>
      </c>
      <c r="K373" s="97">
        <f>IF(ISNUMBER($S373),MAX(0,INT((K$6+6-$S373)/$T373)-MAX(0,-INT(-(K$6-$S373)/$T373))+1),0)</f>
        <v>0.0</v>
      </c>
      <c r="L373" s="97">
        <f>IF(ISNUMBER($S373),MAX(0,INT((L$6+6-$S373)/$T373)-MAX(0,-INT(-(L$6-$S373)/$T373))+1),0)</f>
        <v>0.0</v>
      </c>
      <c r="M373" s="97">
        <f>IF(ISNUMBER($S373),MAX(0,INT((M$6+6-$S373)/$T373)-MAX(0,-INT(-(M$6-$S373)/$T373))+1),0)</f>
        <v>0.0</v>
      </c>
      <c r="N373" s="97">
        <f>IF(ISNUMBER($S373),MAX(0,INT((N$6+6-$S373)/$T373)-MAX(0,-INT(-(N$6-$S373)/$T373))+1),0)</f>
        <v>0.0</v>
      </c>
      <c r="O373" s="97">
        <f>IF(ISNUMBER($S373),MAX(0,INT((O$6+6-$S373)/$T373)-MAX(0,-INT(-(O$6-$S373)/$T373))+1),0)</f>
        <v>0.0</v>
      </c>
      <c r="P373" s="97">
        <f>IF(ISNUMBER($S373),MAX(0,INT((P$6+6-$S373)/$T373)-MAX(0,-INT(-(P$6-$S373)/$T373))+1),0)</f>
        <v>0.0</v>
      </c>
      <c r="Q373" s="97">
        <f>IF(ISNUMBER($S373),MAX(0,INT((Q$6+6-$S373)/$T373)-MAX(0,-INT(-(Q$6-$S373)/$T373))+1),0)</f>
        <v>0.0</v>
      </c>
      <c r="R373" s="97">
        <f>IF(ISNUMBER($S373),MAX(0,INT((R$6+6-$S373)/$T373)-MAX(0,-INT(-(R$6-$S373)/$T373))+1),0)</f>
        <v>0.0</v>
      </c>
      <c r="S373" t="str">
        <f>IF(ISNUMBER(INDEX(pl_period,364)),MAX(INDEX(pl_due,364),p_today),"")</f>
        <v/>
      </c>
      <c r="T373" t="str">
        <f>IF(ISNUMBER(INDEX(pl_period,364)),INDEX(pl_period,364),"")</f>
        <v/>
      </c>
      <c r="U373">
        <f>N(INDEX(pl_dur,364))</f>
        <v>0.0</v>
      </c>
    </row>
    <row r="374">
      <c r="A374" s="93" t="str">
        <f>IF(INDEX(pl_status,365)="","",INDEX(pl_num,365)&amp;"")</f>
        <v/>
      </c>
      <c r="B374" s="93" t="str">
        <f>IF(INDEX(pl_status,365)="","",INDEX(pl_eq,365)&amp;"")</f>
        <v/>
      </c>
      <c r="C374" s="93" t="str">
        <f>IF(INDEX(pl_status,365)="","",INDEX(pl_task,365)&amp;"")</f>
        <v/>
      </c>
      <c r="D374" s="94" t="str">
        <f>IF(ISNUMBER(INDEX(pl_due,365)),INDEX(pl_due,365),"")</f>
        <v/>
      </c>
      <c r="E374" s="95" t="str">
        <f>INDEX(pl_status,365)&amp;""</f>
        <v/>
      </c>
      <c r="F374" s="96" t="str">
        <f>IF(E374="En retard","●","")</f>
        <v/>
      </c>
      <c r="G374" s="97">
        <f>IF(ISNUMBER($S374),MAX(0,INT((G$6+6-$S374)/$T374)-MAX(0,-INT(-(G$6-$S374)/$T374))+1),0)</f>
        <v>0.0</v>
      </c>
      <c r="H374" s="97">
        <f>IF(ISNUMBER($S374),MAX(0,INT((H$6+6-$S374)/$T374)-MAX(0,-INT(-(H$6-$S374)/$T374))+1),0)</f>
        <v>0.0</v>
      </c>
      <c r="I374" s="97">
        <f>IF(ISNUMBER($S374),MAX(0,INT((I$6+6-$S374)/$T374)-MAX(0,-INT(-(I$6-$S374)/$T374))+1),0)</f>
        <v>0.0</v>
      </c>
      <c r="J374" s="97">
        <f>IF(ISNUMBER($S374),MAX(0,INT((J$6+6-$S374)/$T374)-MAX(0,-INT(-(J$6-$S374)/$T374))+1),0)</f>
        <v>0.0</v>
      </c>
      <c r="K374" s="97">
        <f>IF(ISNUMBER($S374),MAX(0,INT((K$6+6-$S374)/$T374)-MAX(0,-INT(-(K$6-$S374)/$T374))+1),0)</f>
        <v>0.0</v>
      </c>
      <c r="L374" s="97">
        <f>IF(ISNUMBER($S374),MAX(0,INT((L$6+6-$S374)/$T374)-MAX(0,-INT(-(L$6-$S374)/$T374))+1),0)</f>
        <v>0.0</v>
      </c>
      <c r="M374" s="97">
        <f>IF(ISNUMBER($S374),MAX(0,INT((M$6+6-$S374)/$T374)-MAX(0,-INT(-(M$6-$S374)/$T374))+1),0)</f>
        <v>0.0</v>
      </c>
      <c r="N374" s="97">
        <f>IF(ISNUMBER($S374),MAX(0,INT((N$6+6-$S374)/$T374)-MAX(0,-INT(-(N$6-$S374)/$T374))+1),0)</f>
        <v>0.0</v>
      </c>
      <c r="O374" s="97">
        <f>IF(ISNUMBER($S374),MAX(0,INT((O$6+6-$S374)/$T374)-MAX(0,-INT(-(O$6-$S374)/$T374))+1),0)</f>
        <v>0.0</v>
      </c>
      <c r="P374" s="97">
        <f>IF(ISNUMBER($S374),MAX(0,INT((P$6+6-$S374)/$T374)-MAX(0,-INT(-(P$6-$S374)/$T374))+1),0)</f>
        <v>0.0</v>
      </c>
      <c r="Q374" s="97">
        <f>IF(ISNUMBER($S374),MAX(0,INT((Q$6+6-$S374)/$T374)-MAX(0,-INT(-(Q$6-$S374)/$T374))+1),0)</f>
        <v>0.0</v>
      </c>
      <c r="R374" s="97">
        <f>IF(ISNUMBER($S374),MAX(0,INT((R$6+6-$S374)/$T374)-MAX(0,-INT(-(R$6-$S374)/$T374))+1),0)</f>
        <v>0.0</v>
      </c>
      <c r="S374" t="str">
        <f>IF(ISNUMBER(INDEX(pl_period,365)),MAX(INDEX(pl_due,365),p_today),"")</f>
        <v/>
      </c>
      <c r="T374" t="str">
        <f>IF(ISNUMBER(INDEX(pl_period,365)),INDEX(pl_period,365),"")</f>
        <v/>
      </c>
      <c r="U374">
        <f>N(INDEX(pl_dur,365))</f>
        <v>0.0</v>
      </c>
    </row>
    <row r="375">
      <c r="A375" s="93" t="str">
        <f>IF(INDEX(pl_status,366)="","",INDEX(pl_num,366)&amp;"")</f>
        <v/>
      </c>
      <c r="B375" s="93" t="str">
        <f>IF(INDEX(pl_status,366)="","",INDEX(pl_eq,366)&amp;"")</f>
        <v/>
      </c>
      <c r="C375" s="93" t="str">
        <f>IF(INDEX(pl_status,366)="","",INDEX(pl_task,366)&amp;"")</f>
        <v/>
      </c>
      <c r="D375" s="94" t="str">
        <f>IF(ISNUMBER(INDEX(pl_due,366)),INDEX(pl_due,366),"")</f>
        <v/>
      </c>
      <c r="E375" s="95" t="str">
        <f>INDEX(pl_status,366)&amp;""</f>
        <v/>
      </c>
      <c r="F375" s="96" t="str">
        <f>IF(E375="En retard","●","")</f>
        <v/>
      </c>
      <c r="G375" s="97">
        <f>IF(ISNUMBER($S375),MAX(0,INT((G$6+6-$S375)/$T375)-MAX(0,-INT(-(G$6-$S375)/$T375))+1),0)</f>
        <v>0.0</v>
      </c>
      <c r="H375" s="97">
        <f>IF(ISNUMBER($S375),MAX(0,INT((H$6+6-$S375)/$T375)-MAX(0,-INT(-(H$6-$S375)/$T375))+1),0)</f>
        <v>0.0</v>
      </c>
      <c r="I375" s="97">
        <f>IF(ISNUMBER($S375),MAX(0,INT((I$6+6-$S375)/$T375)-MAX(0,-INT(-(I$6-$S375)/$T375))+1),0)</f>
        <v>0.0</v>
      </c>
      <c r="J375" s="97">
        <f>IF(ISNUMBER($S375),MAX(0,INT((J$6+6-$S375)/$T375)-MAX(0,-INT(-(J$6-$S375)/$T375))+1),0)</f>
        <v>0.0</v>
      </c>
      <c r="K375" s="97">
        <f>IF(ISNUMBER($S375),MAX(0,INT((K$6+6-$S375)/$T375)-MAX(0,-INT(-(K$6-$S375)/$T375))+1),0)</f>
        <v>0.0</v>
      </c>
      <c r="L375" s="97">
        <f>IF(ISNUMBER($S375),MAX(0,INT((L$6+6-$S375)/$T375)-MAX(0,-INT(-(L$6-$S375)/$T375))+1),0)</f>
        <v>0.0</v>
      </c>
      <c r="M375" s="97">
        <f>IF(ISNUMBER($S375),MAX(0,INT((M$6+6-$S375)/$T375)-MAX(0,-INT(-(M$6-$S375)/$T375))+1),0)</f>
        <v>0.0</v>
      </c>
      <c r="N375" s="97">
        <f>IF(ISNUMBER($S375),MAX(0,INT((N$6+6-$S375)/$T375)-MAX(0,-INT(-(N$6-$S375)/$T375))+1),0)</f>
        <v>0.0</v>
      </c>
      <c r="O375" s="97">
        <f>IF(ISNUMBER($S375),MAX(0,INT((O$6+6-$S375)/$T375)-MAX(0,-INT(-(O$6-$S375)/$T375))+1),0)</f>
        <v>0.0</v>
      </c>
      <c r="P375" s="97">
        <f>IF(ISNUMBER($S375),MAX(0,INT((P$6+6-$S375)/$T375)-MAX(0,-INT(-(P$6-$S375)/$T375))+1),0)</f>
        <v>0.0</v>
      </c>
      <c r="Q375" s="97">
        <f>IF(ISNUMBER($S375),MAX(0,INT((Q$6+6-$S375)/$T375)-MAX(0,-INT(-(Q$6-$S375)/$T375))+1),0)</f>
        <v>0.0</v>
      </c>
      <c r="R375" s="97">
        <f>IF(ISNUMBER($S375),MAX(0,INT((R$6+6-$S375)/$T375)-MAX(0,-INT(-(R$6-$S375)/$T375))+1),0)</f>
        <v>0.0</v>
      </c>
      <c r="S375" t="str">
        <f>IF(ISNUMBER(INDEX(pl_period,366)),MAX(INDEX(pl_due,366),p_today),"")</f>
        <v/>
      </c>
      <c r="T375" t="str">
        <f>IF(ISNUMBER(INDEX(pl_period,366)),INDEX(pl_period,366),"")</f>
        <v/>
      </c>
      <c r="U375">
        <f>N(INDEX(pl_dur,366))</f>
        <v>0.0</v>
      </c>
    </row>
    <row r="376">
      <c r="A376" s="93" t="str">
        <f>IF(INDEX(pl_status,367)="","",INDEX(pl_num,367)&amp;"")</f>
        <v/>
      </c>
      <c r="B376" s="93" t="str">
        <f>IF(INDEX(pl_status,367)="","",INDEX(pl_eq,367)&amp;"")</f>
        <v/>
      </c>
      <c r="C376" s="93" t="str">
        <f>IF(INDEX(pl_status,367)="","",INDEX(pl_task,367)&amp;"")</f>
        <v/>
      </c>
      <c r="D376" s="94" t="str">
        <f>IF(ISNUMBER(INDEX(pl_due,367)),INDEX(pl_due,367),"")</f>
        <v/>
      </c>
      <c r="E376" s="95" t="str">
        <f>INDEX(pl_status,367)&amp;""</f>
        <v/>
      </c>
      <c r="F376" s="96" t="str">
        <f>IF(E376="En retard","●","")</f>
        <v/>
      </c>
      <c r="G376" s="97">
        <f>IF(ISNUMBER($S376),MAX(0,INT((G$6+6-$S376)/$T376)-MAX(0,-INT(-(G$6-$S376)/$T376))+1),0)</f>
        <v>0.0</v>
      </c>
      <c r="H376" s="97">
        <f>IF(ISNUMBER($S376),MAX(0,INT((H$6+6-$S376)/$T376)-MAX(0,-INT(-(H$6-$S376)/$T376))+1),0)</f>
        <v>0.0</v>
      </c>
      <c r="I376" s="97">
        <f>IF(ISNUMBER($S376),MAX(0,INT((I$6+6-$S376)/$T376)-MAX(0,-INT(-(I$6-$S376)/$T376))+1),0)</f>
        <v>0.0</v>
      </c>
      <c r="J376" s="97">
        <f>IF(ISNUMBER($S376),MAX(0,INT((J$6+6-$S376)/$T376)-MAX(0,-INT(-(J$6-$S376)/$T376))+1),0)</f>
        <v>0.0</v>
      </c>
      <c r="K376" s="97">
        <f>IF(ISNUMBER($S376),MAX(0,INT((K$6+6-$S376)/$T376)-MAX(0,-INT(-(K$6-$S376)/$T376))+1),0)</f>
        <v>0.0</v>
      </c>
      <c r="L376" s="97">
        <f>IF(ISNUMBER($S376),MAX(0,INT((L$6+6-$S376)/$T376)-MAX(0,-INT(-(L$6-$S376)/$T376))+1),0)</f>
        <v>0.0</v>
      </c>
      <c r="M376" s="97">
        <f>IF(ISNUMBER($S376),MAX(0,INT((M$6+6-$S376)/$T376)-MAX(0,-INT(-(M$6-$S376)/$T376))+1),0)</f>
        <v>0.0</v>
      </c>
      <c r="N376" s="97">
        <f>IF(ISNUMBER($S376),MAX(0,INT((N$6+6-$S376)/$T376)-MAX(0,-INT(-(N$6-$S376)/$T376))+1),0)</f>
        <v>0.0</v>
      </c>
      <c r="O376" s="97">
        <f>IF(ISNUMBER($S376),MAX(0,INT((O$6+6-$S376)/$T376)-MAX(0,-INT(-(O$6-$S376)/$T376))+1),0)</f>
        <v>0.0</v>
      </c>
      <c r="P376" s="97">
        <f>IF(ISNUMBER($S376),MAX(0,INT((P$6+6-$S376)/$T376)-MAX(0,-INT(-(P$6-$S376)/$T376))+1),0)</f>
        <v>0.0</v>
      </c>
      <c r="Q376" s="97">
        <f>IF(ISNUMBER($S376),MAX(0,INT((Q$6+6-$S376)/$T376)-MAX(0,-INT(-(Q$6-$S376)/$T376))+1),0)</f>
        <v>0.0</v>
      </c>
      <c r="R376" s="97">
        <f>IF(ISNUMBER($S376),MAX(0,INT((R$6+6-$S376)/$T376)-MAX(0,-INT(-(R$6-$S376)/$T376))+1),0)</f>
        <v>0.0</v>
      </c>
      <c r="S376" t="str">
        <f>IF(ISNUMBER(INDEX(pl_period,367)),MAX(INDEX(pl_due,367),p_today),"")</f>
        <v/>
      </c>
      <c r="T376" t="str">
        <f>IF(ISNUMBER(INDEX(pl_period,367)),INDEX(pl_period,367),"")</f>
        <v/>
      </c>
      <c r="U376">
        <f>N(INDEX(pl_dur,367))</f>
        <v>0.0</v>
      </c>
    </row>
    <row r="377">
      <c r="A377" s="93" t="str">
        <f>IF(INDEX(pl_status,368)="","",INDEX(pl_num,368)&amp;"")</f>
        <v/>
      </c>
      <c r="B377" s="93" t="str">
        <f>IF(INDEX(pl_status,368)="","",INDEX(pl_eq,368)&amp;"")</f>
        <v/>
      </c>
      <c r="C377" s="93" t="str">
        <f>IF(INDEX(pl_status,368)="","",INDEX(pl_task,368)&amp;"")</f>
        <v/>
      </c>
      <c r="D377" s="94" t="str">
        <f>IF(ISNUMBER(INDEX(pl_due,368)),INDEX(pl_due,368),"")</f>
        <v/>
      </c>
      <c r="E377" s="95" t="str">
        <f>INDEX(pl_status,368)&amp;""</f>
        <v/>
      </c>
      <c r="F377" s="96" t="str">
        <f>IF(E377="En retard","●","")</f>
        <v/>
      </c>
      <c r="G377" s="97">
        <f>IF(ISNUMBER($S377),MAX(0,INT((G$6+6-$S377)/$T377)-MAX(0,-INT(-(G$6-$S377)/$T377))+1),0)</f>
        <v>0.0</v>
      </c>
      <c r="H377" s="97">
        <f>IF(ISNUMBER($S377),MAX(0,INT((H$6+6-$S377)/$T377)-MAX(0,-INT(-(H$6-$S377)/$T377))+1),0)</f>
        <v>0.0</v>
      </c>
      <c r="I377" s="97">
        <f>IF(ISNUMBER($S377),MAX(0,INT((I$6+6-$S377)/$T377)-MAX(0,-INT(-(I$6-$S377)/$T377))+1),0)</f>
        <v>0.0</v>
      </c>
      <c r="J377" s="97">
        <f>IF(ISNUMBER($S377),MAX(0,INT((J$6+6-$S377)/$T377)-MAX(0,-INT(-(J$6-$S377)/$T377))+1),0)</f>
        <v>0.0</v>
      </c>
      <c r="K377" s="97">
        <f>IF(ISNUMBER($S377),MAX(0,INT((K$6+6-$S377)/$T377)-MAX(0,-INT(-(K$6-$S377)/$T377))+1),0)</f>
        <v>0.0</v>
      </c>
      <c r="L377" s="97">
        <f>IF(ISNUMBER($S377),MAX(0,INT((L$6+6-$S377)/$T377)-MAX(0,-INT(-(L$6-$S377)/$T377))+1),0)</f>
        <v>0.0</v>
      </c>
      <c r="M377" s="97">
        <f>IF(ISNUMBER($S377),MAX(0,INT((M$6+6-$S377)/$T377)-MAX(0,-INT(-(M$6-$S377)/$T377))+1),0)</f>
        <v>0.0</v>
      </c>
      <c r="N377" s="97">
        <f>IF(ISNUMBER($S377),MAX(0,INT((N$6+6-$S377)/$T377)-MAX(0,-INT(-(N$6-$S377)/$T377))+1),0)</f>
        <v>0.0</v>
      </c>
      <c r="O377" s="97">
        <f>IF(ISNUMBER($S377),MAX(0,INT((O$6+6-$S377)/$T377)-MAX(0,-INT(-(O$6-$S377)/$T377))+1),0)</f>
        <v>0.0</v>
      </c>
      <c r="P377" s="97">
        <f>IF(ISNUMBER($S377),MAX(0,INT((P$6+6-$S377)/$T377)-MAX(0,-INT(-(P$6-$S377)/$T377))+1),0)</f>
        <v>0.0</v>
      </c>
      <c r="Q377" s="97">
        <f>IF(ISNUMBER($S377),MAX(0,INT((Q$6+6-$S377)/$T377)-MAX(0,-INT(-(Q$6-$S377)/$T377))+1),0)</f>
        <v>0.0</v>
      </c>
      <c r="R377" s="97">
        <f>IF(ISNUMBER($S377),MAX(0,INT((R$6+6-$S377)/$T377)-MAX(0,-INT(-(R$6-$S377)/$T377))+1),0)</f>
        <v>0.0</v>
      </c>
      <c r="S377" t="str">
        <f>IF(ISNUMBER(INDEX(pl_period,368)),MAX(INDEX(pl_due,368),p_today),"")</f>
        <v/>
      </c>
      <c r="T377" t="str">
        <f>IF(ISNUMBER(INDEX(pl_period,368)),INDEX(pl_period,368),"")</f>
        <v/>
      </c>
      <c r="U377">
        <f>N(INDEX(pl_dur,368))</f>
        <v>0.0</v>
      </c>
    </row>
    <row r="378">
      <c r="A378" s="93" t="str">
        <f>IF(INDEX(pl_status,369)="","",INDEX(pl_num,369)&amp;"")</f>
        <v/>
      </c>
      <c r="B378" s="93" t="str">
        <f>IF(INDEX(pl_status,369)="","",INDEX(pl_eq,369)&amp;"")</f>
        <v/>
      </c>
      <c r="C378" s="93" t="str">
        <f>IF(INDEX(pl_status,369)="","",INDEX(pl_task,369)&amp;"")</f>
        <v/>
      </c>
      <c r="D378" s="94" t="str">
        <f>IF(ISNUMBER(INDEX(pl_due,369)),INDEX(pl_due,369),"")</f>
        <v/>
      </c>
      <c r="E378" s="95" t="str">
        <f>INDEX(pl_status,369)&amp;""</f>
        <v/>
      </c>
      <c r="F378" s="96" t="str">
        <f>IF(E378="En retard","●","")</f>
        <v/>
      </c>
      <c r="G378" s="97">
        <f>IF(ISNUMBER($S378),MAX(0,INT((G$6+6-$S378)/$T378)-MAX(0,-INT(-(G$6-$S378)/$T378))+1),0)</f>
        <v>0.0</v>
      </c>
      <c r="H378" s="97">
        <f>IF(ISNUMBER($S378),MAX(0,INT((H$6+6-$S378)/$T378)-MAX(0,-INT(-(H$6-$S378)/$T378))+1),0)</f>
        <v>0.0</v>
      </c>
      <c r="I378" s="97">
        <f>IF(ISNUMBER($S378),MAX(0,INT((I$6+6-$S378)/$T378)-MAX(0,-INT(-(I$6-$S378)/$T378))+1),0)</f>
        <v>0.0</v>
      </c>
      <c r="J378" s="97">
        <f>IF(ISNUMBER($S378),MAX(0,INT((J$6+6-$S378)/$T378)-MAX(0,-INT(-(J$6-$S378)/$T378))+1),0)</f>
        <v>0.0</v>
      </c>
      <c r="K378" s="97">
        <f>IF(ISNUMBER($S378),MAX(0,INT((K$6+6-$S378)/$T378)-MAX(0,-INT(-(K$6-$S378)/$T378))+1),0)</f>
        <v>0.0</v>
      </c>
      <c r="L378" s="97">
        <f>IF(ISNUMBER($S378),MAX(0,INT((L$6+6-$S378)/$T378)-MAX(0,-INT(-(L$6-$S378)/$T378))+1),0)</f>
        <v>0.0</v>
      </c>
      <c r="M378" s="97">
        <f>IF(ISNUMBER($S378),MAX(0,INT((M$6+6-$S378)/$T378)-MAX(0,-INT(-(M$6-$S378)/$T378))+1),0)</f>
        <v>0.0</v>
      </c>
      <c r="N378" s="97">
        <f>IF(ISNUMBER($S378),MAX(0,INT((N$6+6-$S378)/$T378)-MAX(0,-INT(-(N$6-$S378)/$T378))+1),0)</f>
        <v>0.0</v>
      </c>
      <c r="O378" s="97">
        <f>IF(ISNUMBER($S378),MAX(0,INT((O$6+6-$S378)/$T378)-MAX(0,-INT(-(O$6-$S378)/$T378))+1),0)</f>
        <v>0.0</v>
      </c>
      <c r="P378" s="97">
        <f>IF(ISNUMBER($S378),MAX(0,INT((P$6+6-$S378)/$T378)-MAX(0,-INT(-(P$6-$S378)/$T378))+1),0)</f>
        <v>0.0</v>
      </c>
      <c r="Q378" s="97">
        <f>IF(ISNUMBER($S378),MAX(0,INT((Q$6+6-$S378)/$T378)-MAX(0,-INT(-(Q$6-$S378)/$T378))+1),0)</f>
        <v>0.0</v>
      </c>
      <c r="R378" s="97">
        <f>IF(ISNUMBER($S378),MAX(0,INT((R$6+6-$S378)/$T378)-MAX(0,-INT(-(R$6-$S378)/$T378))+1),0)</f>
        <v>0.0</v>
      </c>
      <c r="S378" t="str">
        <f>IF(ISNUMBER(INDEX(pl_period,369)),MAX(INDEX(pl_due,369),p_today),"")</f>
        <v/>
      </c>
      <c r="T378" t="str">
        <f>IF(ISNUMBER(INDEX(pl_period,369)),INDEX(pl_period,369),"")</f>
        <v/>
      </c>
      <c r="U378">
        <f>N(INDEX(pl_dur,369))</f>
        <v>0.0</v>
      </c>
    </row>
    <row r="379">
      <c r="A379" s="93" t="str">
        <f>IF(INDEX(pl_status,370)="","",INDEX(pl_num,370)&amp;"")</f>
        <v/>
      </c>
      <c r="B379" s="93" t="str">
        <f>IF(INDEX(pl_status,370)="","",INDEX(pl_eq,370)&amp;"")</f>
        <v/>
      </c>
      <c r="C379" s="93" t="str">
        <f>IF(INDEX(pl_status,370)="","",INDEX(pl_task,370)&amp;"")</f>
        <v/>
      </c>
      <c r="D379" s="94" t="str">
        <f>IF(ISNUMBER(INDEX(pl_due,370)),INDEX(pl_due,370),"")</f>
        <v/>
      </c>
      <c r="E379" s="95" t="str">
        <f>INDEX(pl_status,370)&amp;""</f>
        <v/>
      </c>
      <c r="F379" s="96" t="str">
        <f>IF(E379="En retard","●","")</f>
        <v/>
      </c>
      <c r="G379" s="97">
        <f>IF(ISNUMBER($S379),MAX(0,INT((G$6+6-$S379)/$T379)-MAX(0,-INT(-(G$6-$S379)/$T379))+1),0)</f>
        <v>0.0</v>
      </c>
      <c r="H379" s="97">
        <f>IF(ISNUMBER($S379),MAX(0,INT((H$6+6-$S379)/$T379)-MAX(0,-INT(-(H$6-$S379)/$T379))+1),0)</f>
        <v>0.0</v>
      </c>
      <c r="I379" s="97">
        <f>IF(ISNUMBER($S379),MAX(0,INT((I$6+6-$S379)/$T379)-MAX(0,-INT(-(I$6-$S379)/$T379))+1),0)</f>
        <v>0.0</v>
      </c>
      <c r="J379" s="97">
        <f>IF(ISNUMBER($S379),MAX(0,INT((J$6+6-$S379)/$T379)-MAX(0,-INT(-(J$6-$S379)/$T379))+1),0)</f>
        <v>0.0</v>
      </c>
      <c r="K379" s="97">
        <f>IF(ISNUMBER($S379),MAX(0,INT((K$6+6-$S379)/$T379)-MAX(0,-INT(-(K$6-$S379)/$T379))+1),0)</f>
        <v>0.0</v>
      </c>
      <c r="L379" s="97">
        <f>IF(ISNUMBER($S379),MAX(0,INT((L$6+6-$S379)/$T379)-MAX(0,-INT(-(L$6-$S379)/$T379))+1),0)</f>
        <v>0.0</v>
      </c>
      <c r="M379" s="97">
        <f>IF(ISNUMBER($S379),MAX(0,INT((M$6+6-$S379)/$T379)-MAX(0,-INT(-(M$6-$S379)/$T379))+1),0)</f>
        <v>0.0</v>
      </c>
      <c r="N379" s="97">
        <f>IF(ISNUMBER($S379),MAX(0,INT((N$6+6-$S379)/$T379)-MAX(0,-INT(-(N$6-$S379)/$T379))+1),0)</f>
        <v>0.0</v>
      </c>
      <c r="O379" s="97">
        <f>IF(ISNUMBER($S379),MAX(0,INT((O$6+6-$S379)/$T379)-MAX(0,-INT(-(O$6-$S379)/$T379))+1),0)</f>
        <v>0.0</v>
      </c>
      <c r="P379" s="97">
        <f>IF(ISNUMBER($S379),MAX(0,INT((P$6+6-$S379)/$T379)-MAX(0,-INT(-(P$6-$S379)/$T379))+1),0)</f>
        <v>0.0</v>
      </c>
      <c r="Q379" s="97">
        <f>IF(ISNUMBER($S379),MAX(0,INT((Q$6+6-$S379)/$T379)-MAX(0,-INT(-(Q$6-$S379)/$T379))+1),0)</f>
        <v>0.0</v>
      </c>
      <c r="R379" s="97">
        <f>IF(ISNUMBER($S379),MAX(0,INT((R$6+6-$S379)/$T379)-MAX(0,-INT(-(R$6-$S379)/$T379))+1),0)</f>
        <v>0.0</v>
      </c>
      <c r="S379" t="str">
        <f>IF(ISNUMBER(INDEX(pl_period,370)),MAX(INDEX(pl_due,370),p_today),"")</f>
        <v/>
      </c>
      <c r="T379" t="str">
        <f>IF(ISNUMBER(INDEX(pl_period,370)),INDEX(pl_period,370),"")</f>
        <v/>
      </c>
      <c r="U379">
        <f>N(INDEX(pl_dur,370))</f>
        <v>0.0</v>
      </c>
    </row>
    <row r="380">
      <c r="A380" s="93" t="str">
        <f>IF(INDEX(pl_status,371)="","",INDEX(pl_num,371)&amp;"")</f>
        <v/>
      </c>
      <c r="B380" s="93" t="str">
        <f>IF(INDEX(pl_status,371)="","",INDEX(pl_eq,371)&amp;"")</f>
        <v/>
      </c>
      <c r="C380" s="93" t="str">
        <f>IF(INDEX(pl_status,371)="","",INDEX(pl_task,371)&amp;"")</f>
        <v/>
      </c>
      <c r="D380" s="94" t="str">
        <f>IF(ISNUMBER(INDEX(pl_due,371)),INDEX(pl_due,371),"")</f>
        <v/>
      </c>
      <c r="E380" s="95" t="str">
        <f>INDEX(pl_status,371)&amp;""</f>
        <v/>
      </c>
      <c r="F380" s="96" t="str">
        <f>IF(E380="En retard","●","")</f>
        <v/>
      </c>
      <c r="G380" s="97">
        <f>IF(ISNUMBER($S380),MAX(0,INT((G$6+6-$S380)/$T380)-MAX(0,-INT(-(G$6-$S380)/$T380))+1),0)</f>
        <v>0.0</v>
      </c>
      <c r="H380" s="97">
        <f>IF(ISNUMBER($S380),MAX(0,INT((H$6+6-$S380)/$T380)-MAX(0,-INT(-(H$6-$S380)/$T380))+1),0)</f>
        <v>0.0</v>
      </c>
      <c r="I380" s="97">
        <f>IF(ISNUMBER($S380),MAX(0,INT((I$6+6-$S380)/$T380)-MAX(0,-INT(-(I$6-$S380)/$T380))+1),0)</f>
        <v>0.0</v>
      </c>
      <c r="J380" s="97">
        <f>IF(ISNUMBER($S380),MAX(0,INT((J$6+6-$S380)/$T380)-MAX(0,-INT(-(J$6-$S380)/$T380))+1),0)</f>
        <v>0.0</v>
      </c>
      <c r="K380" s="97">
        <f>IF(ISNUMBER($S380),MAX(0,INT((K$6+6-$S380)/$T380)-MAX(0,-INT(-(K$6-$S380)/$T380))+1),0)</f>
        <v>0.0</v>
      </c>
      <c r="L380" s="97">
        <f>IF(ISNUMBER($S380),MAX(0,INT((L$6+6-$S380)/$T380)-MAX(0,-INT(-(L$6-$S380)/$T380))+1),0)</f>
        <v>0.0</v>
      </c>
      <c r="M380" s="97">
        <f>IF(ISNUMBER($S380),MAX(0,INT((M$6+6-$S380)/$T380)-MAX(0,-INT(-(M$6-$S380)/$T380))+1),0)</f>
        <v>0.0</v>
      </c>
      <c r="N380" s="97">
        <f>IF(ISNUMBER($S380),MAX(0,INT((N$6+6-$S380)/$T380)-MAX(0,-INT(-(N$6-$S380)/$T380))+1),0)</f>
        <v>0.0</v>
      </c>
      <c r="O380" s="97">
        <f>IF(ISNUMBER($S380),MAX(0,INT((O$6+6-$S380)/$T380)-MAX(0,-INT(-(O$6-$S380)/$T380))+1),0)</f>
        <v>0.0</v>
      </c>
      <c r="P380" s="97">
        <f>IF(ISNUMBER($S380),MAX(0,INT((P$6+6-$S380)/$T380)-MAX(0,-INT(-(P$6-$S380)/$T380))+1),0)</f>
        <v>0.0</v>
      </c>
      <c r="Q380" s="97">
        <f>IF(ISNUMBER($S380),MAX(0,INT((Q$6+6-$S380)/$T380)-MAX(0,-INT(-(Q$6-$S380)/$T380))+1),0)</f>
        <v>0.0</v>
      </c>
      <c r="R380" s="97">
        <f>IF(ISNUMBER($S380),MAX(0,INT((R$6+6-$S380)/$T380)-MAX(0,-INT(-(R$6-$S380)/$T380))+1),0)</f>
        <v>0.0</v>
      </c>
      <c r="S380" t="str">
        <f>IF(ISNUMBER(INDEX(pl_period,371)),MAX(INDEX(pl_due,371),p_today),"")</f>
        <v/>
      </c>
      <c r="T380" t="str">
        <f>IF(ISNUMBER(INDEX(pl_period,371)),INDEX(pl_period,371),"")</f>
        <v/>
      </c>
      <c r="U380">
        <f>N(INDEX(pl_dur,371))</f>
        <v>0.0</v>
      </c>
    </row>
    <row r="381">
      <c r="A381" s="93" t="str">
        <f>IF(INDEX(pl_status,372)="","",INDEX(pl_num,372)&amp;"")</f>
        <v/>
      </c>
      <c r="B381" s="93" t="str">
        <f>IF(INDEX(pl_status,372)="","",INDEX(pl_eq,372)&amp;"")</f>
        <v/>
      </c>
      <c r="C381" s="93" t="str">
        <f>IF(INDEX(pl_status,372)="","",INDEX(pl_task,372)&amp;"")</f>
        <v/>
      </c>
      <c r="D381" s="94" t="str">
        <f>IF(ISNUMBER(INDEX(pl_due,372)),INDEX(pl_due,372),"")</f>
        <v/>
      </c>
      <c r="E381" s="95" t="str">
        <f>INDEX(pl_status,372)&amp;""</f>
        <v/>
      </c>
      <c r="F381" s="96" t="str">
        <f>IF(E381="En retard","●","")</f>
        <v/>
      </c>
      <c r="G381" s="97">
        <f>IF(ISNUMBER($S381),MAX(0,INT((G$6+6-$S381)/$T381)-MAX(0,-INT(-(G$6-$S381)/$T381))+1),0)</f>
        <v>0.0</v>
      </c>
      <c r="H381" s="97">
        <f>IF(ISNUMBER($S381),MAX(0,INT((H$6+6-$S381)/$T381)-MAX(0,-INT(-(H$6-$S381)/$T381))+1),0)</f>
        <v>0.0</v>
      </c>
      <c r="I381" s="97">
        <f>IF(ISNUMBER($S381),MAX(0,INT((I$6+6-$S381)/$T381)-MAX(0,-INT(-(I$6-$S381)/$T381))+1),0)</f>
        <v>0.0</v>
      </c>
      <c r="J381" s="97">
        <f>IF(ISNUMBER($S381),MAX(0,INT((J$6+6-$S381)/$T381)-MAX(0,-INT(-(J$6-$S381)/$T381))+1),0)</f>
        <v>0.0</v>
      </c>
      <c r="K381" s="97">
        <f>IF(ISNUMBER($S381),MAX(0,INT((K$6+6-$S381)/$T381)-MAX(0,-INT(-(K$6-$S381)/$T381))+1),0)</f>
        <v>0.0</v>
      </c>
      <c r="L381" s="97">
        <f>IF(ISNUMBER($S381),MAX(0,INT((L$6+6-$S381)/$T381)-MAX(0,-INT(-(L$6-$S381)/$T381))+1),0)</f>
        <v>0.0</v>
      </c>
      <c r="M381" s="97">
        <f>IF(ISNUMBER($S381),MAX(0,INT((M$6+6-$S381)/$T381)-MAX(0,-INT(-(M$6-$S381)/$T381))+1),0)</f>
        <v>0.0</v>
      </c>
      <c r="N381" s="97">
        <f>IF(ISNUMBER($S381),MAX(0,INT((N$6+6-$S381)/$T381)-MAX(0,-INT(-(N$6-$S381)/$T381))+1),0)</f>
        <v>0.0</v>
      </c>
      <c r="O381" s="97">
        <f>IF(ISNUMBER($S381),MAX(0,INT((O$6+6-$S381)/$T381)-MAX(0,-INT(-(O$6-$S381)/$T381))+1),0)</f>
        <v>0.0</v>
      </c>
      <c r="P381" s="97">
        <f>IF(ISNUMBER($S381),MAX(0,INT((P$6+6-$S381)/$T381)-MAX(0,-INT(-(P$6-$S381)/$T381))+1),0)</f>
        <v>0.0</v>
      </c>
      <c r="Q381" s="97">
        <f>IF(ISNUMBER($S381),MAX(0,INT((Q$6+6-$S381)/$T381)-MAX(0,-INT(-(Q$6-$S381)/$T381))+1),0)</f>
        <v>0.0</v>
      </c>
      <c r="R381" s="97">
        <f>IF(ISNUMBER($S381),MAX(0,INT((R$6+6-$S381)/$T381)-MAX(0,-INT(-(R$6-$S381)/$T381))+1),0)</f>
        <v>0.0</v>
      </c>
      <c r="S381" t="str">
        <f>IF(ISNUMBER(INDEX(pl_period,372)),MAX(INDEX(pl_due,372),p_today),"")</f>
        <v/>
      </c>
      <c r="T381" t="str">
        <f>IF(ISNUMBER(INDEX(pl_period,372)),INDEX(pl_period,372),"")</f>
        <v/>
      </c>
      <c r="U381">
        <f>N(INDEX(pl_dur,372))</f>
        <v>0.0</v>
      </c>
    </row>
    <row r="382">
      <c r="A382" s="93" t="str">
        <f>IF(INDEX(pl_status,373)="","",INDEX(pl_num,373)&amp;"")</f>
        <v/>
      </c>
      <c r="B382" s="93" t="str">
        <f>IF(INDEX(pl_status,373)="","",INDEX(pl_eq,373)&amp;"")</f>
        <v/>
      </c>
      <c r="C382" s="93" t="str">
        <f>IF(INDEX(pl_status,373)="","",INDEX(pl_task,373)&amp;"")</f>
        <v/>
      </c>
      <c r="D382" s="94" t="str">
        <f>IF(ISNUMBER(INDEX(pl_due,373)),INDEX(pl_due,373),"")</f>
        <v/>
      </c>
      <c r="E382" s="95" t="str">
        <f>INDEX(pl_status,373)&amp;""</f>
        <v/>
      </c>
      <c r="F382" s="96" t="str">
        <f>IF(E382="En retard","●","")</f>
        <v/>
      </c>
      <c r="G382" s="97">
        <f>IF(ISNUMBER($S382),MAX(0,INT((G$6+6-$S382)/$T382)-MAX(0,-INT(-(G$6-$S382)/$T382))+1),0)</f>
        <v>0.0</v>
      </c>
      <c r="H382" s="97">
        <f>IF(ISNUMBER($S382),MAX(0,INT((H$6+6-$S382)/$T382)-MAX(0,-INT(-(H$6-$S382)/$T382))+1),0)</f>
        <v>0.0</v>
      </c>
      <c r="I382" s="97">
        <f>IF(ISNUMBER($S382),MAX(0,INT((I$6+6-$S382)/$T382)-MAX(0,-INT(-(I$6-$S382)/$T382))+1),0)</f>
        <v>0.0</v>
      </c>
      <c r="J382" s="97">
        <f>IF(ISNUMBER($S382),MAX(0,INT((J$6+6-$S382)/$T382)-MAX(0,-INT(-(J$6-$S382)/$T382))+1),0)</f>
        <v>0.0</v>
      </c>
      <c r="K382" s="97">
        <f>IF(ISNUMBER($S382),MAX(0,INT((K$6+6-$S382)/$T382)-MAX(0,-INT(-(K$6-$S382)/$T382))+1),0)</f>
        <v>0.0</v>
      </c>
      <c r="L382" s="97">
        <f>IF(ISNUMBER($S382),MAX(0,INT((L$6+6-$S382)/$T382)-MAX(0,-INT(-(L$6-$S382)/$T382))+1),0)</f>
        <v>0.0</v>
      </c>
      <c r="M382" s="97">
        <f>IF(ISNUMBER($S382),MAX(0,INT((M$6+6-$S382)/$T382)-MAX(0,-INT(-(M$6-$S382)/$T382))+1),0)</f>
        <v>0.0</v>
      </c>
      <c r="N382" s="97">
        <f>IF(ISNUMBER($S382),MAX(0,INT((N$6+6-$S382)/$T382)-MAX(0,-INT(-(N$6-$S382)/$T382))+1),0)</f>
        <v>0.0</v>
      </c>
      <c r="O382" s="97">
        <f>IF(ISNUMBER($S382),MAX(0,INT((O$6+6-$S382)/$T382)-MAX(0,-INT(-(O$6-$S382)/$T382))+1),0)</f>
        <v>0.0</v>
      </c>
      <c r="P382" s="97">
        <f>IF(ISNUMBER($S382),MAX(0,INT((P$6+6-$S382)/$T382)-MAX(0,-INT(-(P$6-$S382)/$T382))+1),0)</f>
        <v>0.0</v>
      </c>
      <c r="Q382" s="97">
        <f>IF(ISNUMBER($S382),MAX(0,INT((Q$6+6-$S382)/$T382)-MAX(0,-INT(-(Q$6-$S382)/$T382))+1),0)</f>
        <v>0.0</v>
      </c>
      <c r="R382" s="97">
        <f>IF(ISNUMBER($S382),MAX(0,INT((R$6+6-$S382)/$T382)-MAX(0,-INT(-(R$6-$S382)/$T382))+1),0)</f>
        <v>0.0</v>
      </c>
      <c r="S382" t="str">
        <f>IF(ISNUMBER(INDEX(pl_period,373)),MAX(INDEX(pl_due,373),p_today),"")</f>
        <v/>
      </c>
      <c r="T382" t="str">
        <f>IF(ISNUMBER(INDEX(pl_period,373)),INDEX(pl_period,373),"")</f>
        <v/>
      </c>
      <c r="U382">
        <f>N(INDEX(pl_dur,373))</f>
        <v>0.0</v>
      </c>
    </row>
    <row r="383">
      <c r="A383" s="93" t="str">
        <f>IF(INDEX(pl_status,374)="","",INDEX(pl_num,374)&amp;"")</f>
        <v/>
      </c>
      <c r="B383" s="93" t="str">
        <f>IF(INDEX(pl_status,374)="","",INDEX(pl_eq,374)&amp;"")</f>
        <v/>
      </c>
      <c r="C383" s="93" t="str">
        <f>IF(INDEX(pl_status,374)="","",INDEX(pl_task,374)&amp;"")</f>
        <v/>
      </c>
      <c r="D383" s="94" t="str">
        <f>IF(ISNUMBER(INDEX(pl_due,374)),INDEX(pl_due,374),"")</f>
        <v/>
      </c>
      <c r="E383" s="95" t="str">
        <f>INDEX(pl_status,374)&amp;""</f>
        <v/>
      </c>
      <c r="F383" s="96" t="str">
        <f>IF(E383="En retard","●","")</f>
        <v/>
      </c>
      <c r="G383" s="97">
        <f>IF(ISNUMBER($S383),MAX(0,INT((G$6+6-$S383)/$T383)-MAX(0,-INT(-(G$6-$S383)/$T383))+1),0)</f>
        <v>0.0</v>
      </c>
      <c r="H383" s="97">
        <f>IF(ISNUMBER($S383),MAX(0,INT((H$6+6-$S383)/$T383)-MAX(0,-INT(-(H$6-$S383)/$T383))+1),0)</f>
        <v>0.0</v>
      </c>
      <c r="I383" s="97">
        <f>IF(ISNUMBER($S383),MAX(0,INT((I$6+6-$S383)/$T383)-MAX(0,-INT(-(I$6-$S383)/$T383))+1),0)</f>
        <v>0.0</v>
      </c>
      <c r="J383" s="97">
        <f>IF(ISNUMBER($S383),MAX(0,INT((J$6+6-$S383)/$T383)-MAX(0,-INT(-(J$6-$S383)/$T383))+1),0)</f>
        <v>0.0</v>
      </c>
      <c r="K383" s="97">
        <f>IF(ISNUMBER($S383),MAX(0,INT((K$6+6-$S383)/$T383)-MAX(0,-INT(-(K$6-$S383)/$T383))+1),0)</f>
        <v>0.0</v>
      </c>
      <c r="L383" s="97">
        <f>IF(ISNUMBER($S383),MAX(0,INT((L$6+6-$S383)/$T383)-MAX(0,-INT(-(L$6-$S383)/$T383))+1),0)</f>
        <v>0.0</v>
      </c>
      <c r="M383" s="97">
        <f>IF(ISNUMBER($S383),MAX(0,INT((M$6+6-$S383)/$T383)-MAX(0,-INT(-(M$6-$S383)/$T383))+1),0)</f>
        <v>0.0</v>
      </c>
      <c r="N383" s="97">
        <f>IF(ISNUMBER($S383),MAX(0,INT((N$6+6-$S383)/$T383)-MAX(0,-INT(-(N$6-$S383)/$T383))+1),0)</f>
        <v>0.0</v>
      </c>
      <c r="O383" s="97">
        <f>IF(ISNUMBER($S383),MAX(0,INT((O$6+6-$S383)/$T383)-MAX(0,-INT(-(O$6-$S383)/$T383))+1),0)</f>
        <v>0.0</v>
      </c>
      <c r="P383" s="97">
        <f>IF(ISNUMBER($S383),MAX(0,INT((P$6+6-$S383)/$T383)-MAX(0,-INT(-(P$6-$S383)/$T383))+1),0)</f>
        <v>0.0</v>
      </c>
      <c r="Q383" s="97">
        <f>IF(ISNUMBER($S383),MAX(0,INT((Q$6+6-$S383)/$T383)-MAX(0,-INT(-(Q$6-$S383)/$T383))+1),0)</f>
        <v>0.0</v>
      </c>
      <c r="R383" s="97">
        <f>IF(ISNUMBER($S383),MAX(0,INT((R$6+6-$S383)/$T383)-MAX(0,-INT(-(R$6-$S383)/$T383))+1),0)</f>
        <v>0.0</v>
      </c>
      <c r="S383" t="str">
        <f>IF(ISNUMBER(INDEX(pl_period,374)),MAX(INDEX(pl_due,374),p_today),"")</f>
        <v/>
      </c>
      <c r="T383" t="str">
        <f>IF(ISNUMBER(INDEX(pl_period,374)),INDEX(pl_period,374),"")</f>
        <v/>
      </c>
      <c r="U383">
        <f>N(INDEX(pl_dur,374))</f>
        <v>0.0</v>
      </c>
    </row>
    <row r="384">
      <c r="A384" s="93" t="str">
        <f>IF(INDEX(pl_status,375)="","",INDEX(pl_num,375)&amp;"")</f>
        <v/>
      </c>
      <c r="B384" s="93" t="str">
        <f>IF(INDEX(pl_status,375)="","",INDEX(pl_eq,375)&amp;"")</f>
        <v/>
      </c>
      <c r="C384" s="93" t="str">
        <f>IF(INDEX(pl_status,375)="","",INDEX(pl_task,375)&amp;"")</f>
        <v/>
      </c>
      <c r="D384" s="94" t="str">
        <f>IF(ISNUMBER(INDEX(pl_due,375)),INDEX(pl_due,375),"")</f>
        <v/>
      </c>
      <c r="E384" s="95" t="str">
        <f>INDEX(pl_status,375)&amp;""</f>
        <v/>
      </c>
      <c r="F384" s="96" t="str">
        <f>IF(E384="En retard","●","")</f>
        <v/>
      </c>
      <c r="G384" s="97">
        <f>IF(ISNUMBER($S384),MAX(0,INT((G$6+6-$S384)/$T384)-MAX(0,-INT(-(G$6-$S384)/$T384))+1),0)</f>
        <v>0.0</v>
      </c>
      <c r="H384" s="97">
        <f>IF(ISNUMBER($S384),MAX(0,INT((H$6+6-$S384)/$T384)-MAX(0,-INT(-(H$6-$S384)/$T384))+1),0)</f>
        <v>0.0</v>
      </c>
      <c r="I384" s="97">
        <f>IF(ISNUMBER($S384),MAX(0,INT((I$6+6-$S384)/$T384)-MAX(0,-INT(-(I$6-$S384)/$T384))+1),0)</f>
        <v>0.0</v>
      </c>
      <c r="J384" s="97">
        <f>IF(ISNUMBER($S384),MAX(0,INT((J$6+6-$S384)/$T384)-MAX(0,-INT(-(J$6-$S384)/$T384))+1),0)</f>
        <v>0.0</v>
      </c>
      <c r="K384" s="97">
        <f>IF(ISNUMBER($S384),MAX(0,INT((K$6+6-$S384)/$T384)-MAX(0,-INT(-(K$6-$S384)/$T384))+1),0)</f>
        <v>0.0</v>
      </c>
      <c r="L384" s="97">
        <f>IF(ISNUMBER($S384),MAX(0,INT((L$6+6-$S384)/$T384)-MAX(0,-INT(-(L$6-$S384)/$T384))+1),0)</f>
        <v>0.0</v>
      </c>
      <c r="M384" s="97">
        <f>IF(ISNUMBER($S384),MAX(0,INT((M$6+6-$S384)/$T384)-MAX(0,-INT(-(M$6-$S384)/$T384))+1),0)</f>
        <v>0.0</v>
      </c>
      <c r="N384" s="97">
        <f>IF(ISNUMBER($S384),MAX(0,INT((N$6+6-$S384)/$T384)-MAX(0,-INT(-(N$6-$S384)/$T384))+1),0)</f>
        <v>0.0</v>
      </c>
      <c r="O384" s="97">
        <f>IF(ISNUMBER($S384),MAX(0,INT((O$6+6-$S384)/$T384)-MAX(0,-INT(-(O$6-$S384)/$T384))+1),0)</f>
        <v>0.0</v>
      </c>
      <c r="P384" s="97">
        <f>IF(ISNUMBER($S384),MAX(0,INT((P$6+6-$S384)/$T384)-MAX(0,-INT(-(P$6-$S384)/$T384))+1),0)</f>
        <v>0.0</v>
      </c>
      <c r="Q384" s="97">
        <f>IF(ISNUMBER($S384),MAX(0,INT((Q$6+6-$S384)/$T384)-MAX(0,-INT(-(Q$6-$S384)/$T384))+1),0)</f>
        <v>0.0</v>
      </c>
      <c r="R384" s="97">
        <f>IF(ISNUMBER($S384),MAX(0,INT((R$6+6-$S384)/$T384)-MAX(0,-INT(-(R$6-$S384)/$T384))+1),0)</f>
        <v>0.0</v>
      </c>
      <c r="S384" t="str">
        <f>IF(ISNUMBER(INDEX(pl_period,375)),MAX(INDEX(pl_due,375),p_today),"")</f>
        <v/>
      </c>
      <c r="T384" t="str">
        <f>IF(ISNUMBER(INDEX(pl_period,375)),INDEX(pl_period,375),"")</f>
        <v/>
      </c>
      <c r="U384">
        <f>N(INDEX(pl_dur,375))</f>
        <v>0.0</v>
      </c>
    </row>
    <row r="385">
      <c r="A385" s="93" t="str">
        <f>IF(INDEX(pl_status,376)="","",INDEX(pl_num,376)&amp;"")</f>
        <v/>
      </c>
      <c r="B385" s="93" t="str">
        <f>IF(INDEX(pl_status,376)="","",INDEX(pl_eq,376)&amp;"")</f>
        <v/>
      </c>
      <c r="C385" s="93" t="str">
        <f>IF(INDEX(pl_status,376)="","",INDEX(pl_task,376)&amp;"")</f>
        <v/>
      </c>
      <c r="D385" s="94" t="str">
        <f>IF(ISNUMBER(INDEX(pl_due,376)),INDEX(pl_due,376),"")</f>
        <v/>
      </c>
      <c r="E385" s="95" t="str">
        <f>INDEX(pl_status,376)&amp;""</f>
        <v/>
      </c>
      <c r="F385" s="96" t="str">
        <f>IF(E385="En retard","●","")</f>
        <v/>
      </c>
      <c r="G385" s="97">
        <f>IF(ISNUMBER($S385),MAX(0,INT((G$6+6-$S385)/$T385)-MAX(0,-INT(-(G$6-$S385)/$T385))+1),0)</f>
        <v>0.0</v>
      </c>
      <c r="H385" s="97">
        <f>IF(ISNUMBER($S385),MAX(0,INT((H$6+6-$S385)/$T385)-MAX(0,-INT(-(H$6-$S385)/$T385))+1),0)</f>
        <v>0.0</v>
      </c>
      <c r="I385" s="97">
        <f>IF(ISNUMBER($S385),MAX(0,INT((I$6+6-$S385)/$T385)-MAX(0,-INT(-(I$6-$S385)/$T385))+1),0)</f>
        <v>0.0</v>
      </c>
      <c r="J385" s="97">
        <f>IF(ISNUMBER($S385),MAX(0,INT((J$6+6-$S385)/$T385)-MAX(0,-INT(-(J$6-$S385)/$T385))+1),0)</f>
        <v>0.0</v>
      </c>
      <c r="K385" s="97">
        <f>IF(ISNUMBER($S385),MAX(0,INT((K$6+6-$S385)/$T385)-MAX(0,-INT(-(K$6-$S385)/$T385))+1),0)</f>
        <v>0.0</v>
      </c>
      <c r="L385" s="97">
        <f>IF(ISNUMBER($S385),MAX(0,INT((L$6+6-$S385)/$T385)-MAX(0,-INT(-(L$6-$S385)/$T385))+1),0)</f>
        <v>0.0</v>
      </c>
      <c r="M385" s="97">
        <f>IF(ISNUMBER($S385),MAX(0,INT((M$6+6-$S385)/$T385)-MAX(0,-INT(-(M$6-$S385)/$T385))+1),0)</f>
        <v>0.0</v>
      </c>
      <c r="N385" s="97">
        <f>IF(ISNUMBER($S385),MAX(0,INT((N$6+6-$S385)/$T385)-MAX(0,-INT(-(N$6-$S385)/$T385))+1),0)</f>
        <v>0.0</v>
      </c>
      <c r="O385" s="97">
        <f>IF(ISNUMBER($S385),MAX(0,INT((O$6+6-$S385)/$T385)-MAX(0,-INT(-(O$6-$S385)/$T385))+1),0)</f>
        <v>0.0</v>
      </c>
      <c r="P385" s="97">
        <f>IF(ISNUMBER($S385),MAX(0,INT((P$6+6-$S385)/$T385)-MAX(0,-INT(-(P$6-$S385)/$T385))+1),0)</f>
        <v>0.0</v>
      </c>
      <c r="Q385" s="97">
        <f>IF(ISNUMBER($S385),MAX(0,INT((Q$6+6-$S385)/$T385)-MAX(0,-INT(-(Q$6-$S385)/$T385))+1),0)</f>
        <v>0.0</v>
      </c>
      <c r="R385" s="97">
        <f>IF(ISNUMBER($S385),MAX(0,INT((R$6+6-$S385)/$T385)-MAX(0,-INT(-(R$6-$S385)/$T385))+1),0)</f>
        <v>0.0</v>
      </c>
      <c r="S385" t="str">
        <f>IF(ISNUMBER(INDEX(pl_period,376)),MAX(INDEX(pl_due,376),p_today),"")</f>
        <v/>
      </c>
      <c r="T385" t="str">
        <f>IF(ISNUMBER(INDEX(pl_period,376)),INDEX(pl_period,376),"")</f>
        <v/>
      </c>
      <c r="U385">
        <f>N(INDEX(pl_dur,376))</f>
        <v>0.0</v>
      </c>
    </row>
    <row r="386">
      <c r="A386" s="93" t="str">
        <f>IF(INDEX(pl_status,377)="","",INDEX(pl_num,377)&amp;"")</f>
        <v/>
      </c>
      <c r="B386" s="93" t="str">
        <f>IF(INDEX(pl_status,377)="","",INDEX(pl_eq,377)&amp;"")</f>
        <v/>
      </c>
      <c r="C386" s="93" t="str">
        <f>IF(INDEX(pl_status,377)="","",INDEX(pl_task,377)&amp;"")</f>
        <v/>
      </c>
      <c r="D386" s="94" t="str">
        <f>IF(ISNUMBER(INDEX(pl_due,377)),INDEX(pl_due,377),"")</f>
        <v/>
      </c>
      <c r="E386" s="95" t="str">
        <f>INDEX(pl_status,377)&amp;""</f>
        <v/>
      </c>
      <c r="F386" s="96" t="str">
        <f>IF(E386="En retard","●","")</f>
        <v/>
      </c>
      <c r="G386" s="97">
        <f>IF(ISNUMBER($S386),MAX(0,INT((G$6+6-$S386)/$T386)-MAX(0,-INT(-(G$6-$S386)/$T386))+1),0)</f>
        <v>0.0</v>
      </c>
      <c r="H386" s="97">
        <f>IF(ISNUMBER($S386),MAX(0,INT((H$6+6-$S386)/$T386)-MAX(0,-INT(-(H$6-$S386)/$T386))+1),0)</f>
        <v>0.0</v>
      </c>
      <c r="I386" s="97">
        <f>IF(ISNUMBER($S386),MAX(0,INT((I$6+6-$S386)/$T386)-MAX(0,-INT(-(I$6-$S386)/$T386))+1),0)</f>
        <v>0.0</v>
      </c>
      <c r="J386" s="97">
        <f>IF(ISNUMBER($S386),MAX(0,INT((J$6+6-$S386)/$T386)-MAX(0,-INT(-(J$6-$S386)/$T386))+1),0)</f>
        <v>0.0</v>
      </c>
      <c r="K386" s="97">
        <f>IF(ISNUMBER($S386),MAX(0,INT((K$6+6-$S386)/$T386)-MAX(0,-INT(-(K$6-$S386)/$T386))+1),0)</f>
        <v>0.0</v>
      </c>
      <c r="L386" s="97">
        <f>IF(ISNUMBER($S386),MAX(0,INT((L$6+6-$S386)/$T386)-MAX(0,-INT(-(L$6-$S386)/$T386))+1),0)</f>
        <v>0.0</v>
      </c>
      <c r="M386" s="97">
        <f>IF(ISNUMBER($S386),MAX(0,INT((M$6+6-$S386)/$T386)-MAX(0,-INT(-(M$6-$S386)/$T386))+1),0)</f>
        <v>0.0</v>
      </c>
      <c r="N386" s="97">
        <f>IF(ISNUMBER($S386),MAX(0,INT((N$6+6-$S386)/$T386)-MAX(0,-INT(-(N$6-$S386)/$T386))+1),0)</f>
        <v>0.0</v>
      </c>
      <c r="O386" s="97">
        <f>IF(ISNUMBER($S386),MAX(0,INT((O$6+6-$S386)/$T386)-MAX(0,-INT(-(O$6-$S386)/$T386))+1),0)</f>
        <v>0.0</v>
      </c>
      <c r="P386" s="97">
        <f>IF(ISNUMBER($S386),MAX(0,INT((P$6+6-$S386)/$T386)-MAX(0,-INT(-(P$6-$S386)/$T386))+1),0)</f>
        <v>0.0</v>
      </c>
      <c r="Q386" s="97">
        <f>IF(ISNUMBER($S386),MAX(0,INT((Q$6+6-$S386)/$T386)-MAX(0,-INT(-(Q$6-$S386)/$T386))+1),0)</f>
        <v>0.0</v>
      </c>
      <c r="R386" s="97">
        <f>IF(ISNUMBER($S386),MAX(0,INT((R$6+6-$S386)/$T386)-MAX(0,-INT(-(R$6-$S386)/$T386))+1),0)</f>
        <v>0.0</v>
      </c>
      <c r="S386" t="str">
        <f>IF(ISNUMBER(INDEX(pl_period,377)),MAX(INDEX(pl_due,377),p_today),"")</f>
        <v/>
      </c>
      <c r="T386" t="str">
        <f>IF(ISNUMBER(INDEX(pl_period,377)),INDEX(pl_period,377),"")</f>
        <v/>
      </c>
      <c r="U386">
        <f>N(INDEX(pl_dur,377))</f>
        <v>0.0</v>
      </c>
    </row>
    <row r="387">
      <c r="A387" s="93" t="str">
        <f>IF(INDEX(pl_status,378)="","",INDEX(pl_num,378)&amp;"")</f>
        <v/>
      </c>
      <c r="B387" s="93" t="str">
        <f>IF(INDEX(pl_status,378)="","",INDEX(pl_eq,378)&amp;"")</f>
        <v/>
      </c>
      <c r="C387" s="93" t="str">
        <f>IF(INDEX(pl_status,378)="","",INDEX(pl_task,378)&amp;"")</f>
        <v/>
      </c>
      <c r="D387" s="94" t="str">
        <f>IF(ISNUMBER(INDEX(pl_due,378)),INDEX(pl_due,378),"")</f>
        <v/>
      </c>
      <c r="E387" s="95" t="str">
        <f>INDEX(pl_status,378)&amp;""</f>
        <v/>
      </c>
      <c r="F387" s="96" t="str">
        <f>IF(E387="En retard","●","")</f>
        <v/>
      </c>
      <c r="G387" s="97">
        <f>IF(ISNUMBER($S387),MAX(0,INT((G$6+6-$S387)/$T387)-MAX(0,-INT(-(G$6-$S387)/$T387))+1),0)</f>
        <v>0.0</v>
      </c>
      <c r="H387" s="97">
        <f>IF(ISNUMBER($S387),MAX(0,INT((H$6+6-$S387)/$T387)-MAX(0,-INT(-(H$6-$S387)/$T387))+1),0)</f>
        <v>0.0</v>
      </c>
      <c r="I387" s="97">
        <f>IF(ISNUMBER($S387),MAX(0,INT((I$6+6-$S387)/$T387)-MAX(0,-INT(-(I$6-$S387)/$T387))+1),0)</f>
        <v>0.0</v>
      </c>
      <c r="J387" s="97">
        <f>IF(ISNUMBER($S387),MAX(0,INT((J$6+6-$S387)/$T387)-MAX(0,-INT(-(J$6-$S387)/$T387))+1),0)</f>
        <v>0.0</v>
      </c>
      <c r="K387" s="97">
        <f>IF(ISNUMBER($S387),MAX(0,INT((K$6+6-$S387)/$T387)-MAX(0,-INT(-(K$6-$S387)/$T387))+1),0)</f>
        <v>0.0</v>
      </c>
      <c r="L387" s="97">
        <f>IF(ISNUMBER($S387),MAX(0,INT((L$6+6-$S387)/$T387)-MAX(0,-INT(-(L$6-$S387)/$T387))+1),0)</f>
        <v>0.0</v>
      </c>
      <c r="M387" s="97">
        <f>IF(ISNUMBER($S387),MAX(0,INT((M$6+6-$S387)/$T387)-MAX(0,-INT(-(M$6-$S387)/$T387))+1),0)</f>
        <v>0.0</v>
      </c>
      <c r="N387" s="97">
        <f>IF(ISNUMBER($S387),MAX(0,INT((N$6+6-$S387)/$T387)-MAX(0,-INT(-(N$6-$S387)/$T387))+1),0)</f>
        <v>0.0</v>
      </c>
      <c r="O387" s="97">
        <f>IF(ISNUMBER($S387),MAX(0,INT((O$6+6-$S387)/$T387)-MAX(0,-INT(-(O$6-$S387)/$T387))+1),0)</f>
        <v>0.0</v>
      </c>
      <c r="P387" s="97">
        <f>IF(ISNUMBER($S387),MAX(0,INT((P$6+6-$S387)/$T387)-MAX(0,-INT(-(P$6-$S387)/$T387))+1),0)</f>
        <v>0.0</v>
      </c>
      <c r="Q387" s="97">
        <f>IF(ISNUMBER($S387),MAX(0,INT((Q$6+6-$S387)/$T387)-MAX(0,-INT(-(Q$6-$S387)/$T387))+1),0)</f>
        <v>0.0</v>
      </c>
      <c r="R387" s="97">
        <f>IF(ISNUMBER($S387),MAX(0,INT((R$6+6-$S387)/$T387)-MAX(0,-INT(-(R$6-$S387)/$T387))+1),0)</f>
        <v>0.0</v>
      </c>
      <c r="S387" t="str">
        <f>IF(ISNUMBER(INDEX(pl_period,378)),MAX(INDEX(pl_due,378),p_today),"")</f>
        <v/>
      </c>
      <c r="T387" t="str">
        <f>IF(ISNUMBER(INDEX(pl_period,378)),INDEX(pl_period,378),"")</f>
        <v/>
      </c>
      <c r="U387">
        <f>N(INDEX(pl_dur,378))</f>
        <v>0.0</v>
      </c>
    </row>
    <row r="388">
      <c r="A388" s="93" t="str">
        <f>IF(INDEX(pl_status,379)="","",INDEX(pl_num,379)&amp;"")</f>
        <v/>
      </c>
      <c r="B388" s="93" t="str">
        <f>IF(INDEX(pl_status,379)="","",INDEX(pl_eq,379)&amp;"")</f>
        <v/>
      </c>
      <c r="C388" s="93" t="str">
        <f>IF(INDEX(pl_status,379)="","",INDEX(pl_task,379)&amp;"")</f>
        <v/>
      </c>
      <c r="D388" s="94" t="str">
        <f>IF(ISNUMBER(INDEX(pl_due,379)),INDEX(pl_due,379),"")</f>
        <v/>
      </c>
      <c r="E388" s="95" t="str">
        <f>INDEX(pl_status,379)&amp;""</f>
        <v/>
      </c>
      <c r="F388" s="96" t="str">
        <f>IF(E388="En retard","●","")</f>
        <v/>
      </c>
      <c r="G388" s="97">
        <f>IF(ISNUMBER($S388),MAX(0,INT((G$6+6-$S388)/$T388)-MAX(0,-INT(-(G$6-$S388)/$T388))+1),0)</f>
        <v>0.0</v>
      </c>
      <c r="H388" s="97">
        <f>IF(ISNUMBER($S388),MAX(0,INT((H$6+6-$S388)/$T388)-MAX(0,-INT(-(H$6-$S388)/$T388))+1),0)</f>
        <v>0.0</v>
      </c>
      <c r="I388" s="97">
        <f>IF(ISNUMBER($S388),MAX(0,INT((I$6+6-$S388)/$T388)-MAX(0,-INT(-(I$6-$S388)/$T388))+1),0)</f>
        <v>0.0</v>
      </c>
      <c r="J388" s="97">
        <f>IF(ISNUMBER($S388),MAX(0,INT((J$6+6-$S388)/$T388)-MAX(0,-INT(-(J$6-$S388)/$T388))+1),0)</f>
        <v>0.0</v>
      </c>
      <c r="K388" s="97">
        <f>IF(ISNUMBER($S388),MAX(0,INT((K$6+6-$S388)/$T388)-MAX(0,-INT(-(K$6-$S388)/$T388))+1),0)</f>
        <v>0.0</v>
      </c>
      <c r="L388" s="97">
        <f>IF(ISNUMBER($S388),MAX(0,INT((L$6+6-$S388)/$T388)-MAX(0,-INT(-(L$6-$S388)/$T388))+1),0)</f>
        <v>0.0</v>
      </c>
      <c r="M388" s="97">
        <f>IF(ISNUMBER($S388),MAX(0,INT((M$6+6-$S388)/$T388)-MAX(0,-INT(-(M$6-$S388)/$T388))+1),0)</f>
        <v>0.0</v>
      </c>
      <c r="N388" s="97">
        <f>IF(ISNUMBER($S388),MAX(0,INT((N$6+6-$S388)/$T388)-MAX(0,-INT(-(N$6-$S388)/$T388))+1),0)</f>
        <v>0.0</v>
      </c>
      <c r="O388" s="97">
        <f>IF(ISNUMBER($S388),MAX(0,INT((O$6+6-$S388)/$T388)-MAX(0,-INT(-(O$6-$S388)/$T388))+1),0)</f>
        <v>0.0</v>
      </c>
      <c r="P388" s="97">
        <f>IF(ISNUMBER($S388),MAX(0,INT((P$6+6-$S388)/$T388)-MAX(0,-INT(-(P$6-$S388)/$T388))+1),0)</f>
        <v>0.0</v>
      </c>
      <c r="Q388" s="97">
        <f>IF(ISNUMBER($S388),MAX(0,INT((Q$6+6-$S388)/$T388)-MAX(0,-INT(-(Q$6-$S388)/$T388))+1),0)</f>
        <v>0.0</v>
      </c>
      <c r="R388" s="97">
        <f>IF(ISNUMBER($S388),MAX(0,INT((R$6+6-$S388)/$T388)-MAX(0,-INT(-(R$6-$S388)/$T388))+1),0)</f>
        <v>0.0</v>
      </c>
      <c r="S388" t="str">
        <f>IF(ISNUMBER(INDEX(pl_period,379)),MAX(INDEX(pl_due,379),p_today),"")</f>
        <v/>
      </c>
      <c r="T388" t="str">
        <f>IF(ISNUMBER(INDEX(pl_period,379)),INDEX(pl_period,379),"")</f>
        <v/>
      </c>
      <c r="U388">
        <f>N(INDEX(pl_dur,379))</f>
        <v>0.0</v>
      </c>
    </row>
    <row r="389">
      <c r="A389" s="93" t="str">
        <f>IF(INDEX(pl_status,380)="","",INDEX(pl_num,380)&amp;"")</f>
        <v/>
      </c>
      <c r="B389" s="93" t="str">
        <f>IF(INDEX(pl_status,380)="","",INDEX(pl_eq,380)&amp;"")</f>
        <v/>
      </c>
      <c r="C389" s="93" t="str">
        <f>IF(INDEX(pl_status,380)="","",INDEX(pl_task,380)&amp;"")</f>
        <v/>
      </c>
      <c r="D389" s="94" t="str">
        <f>IF(ISNUMBER(INDEX(pl_due,380)),INDEX(pl_due,380),"")</f>
        <v/>
      </c>
      <c r="E389" s="95" t="str">
        <f>INDEX(pl_status,380)&amp;""</f>
        <v/>
      </c>
      <c r="F389" s="96" t="str">
        <f>IF(E389="En retard","●","")</f>
        <v/>
      </c>
      <c r="G389" s="97">
        <f>IF(ISNUMBER($S389),MAX(0,INT((G$6+6-$S389)/$T389)-MAX(0,-INT(-(G$6-$S389)/$T389))+1),0)</f>
        <v>0.0</v>
      </c>
      <c r="H389" s="97">
        <f>IF(ISNUMBER($S389),MAX(0,INT((H$6+6-$S389)/$T389)-MAX(0,-INT(-(H$6-$S389)/$T389))+1),0)</f>
        <v>0.0</v>
      </c>
      <c r="I389" s="97">
        <f>IF(ISNUMBER($S389),MAX(0,INT((I$6+6-$S389)/$T389)-MAX(0,-INT(-(I$6-$S389)/$T389))+1),0)</f>
        <v>0.0</v>
      </c>
      <c r="J389" s="97">
        <f>IF(ISNUMBER($S389),MAX(0,INT((J$6+6-$S389)/$T389)-MAX(0,-INT(-(J$6-$S389)/$T389))+1),0)</f>
        <v>0.0</v>
      </c>
      <c r="K389" s="97">
        <f>IF(ISNUMBER($S389),MAX(0,INT((K$6+6-$S389)/$T389)-MAX(0,-INT(-(K$6-$S389)/$T389))+1),0)</f>
        <v>0.0</v>
      </c>
      <c r="L389" s="97">
        <f>IF(ISNUMBER($S389),MAX(0,INT((L$6+6-$S389)/$T389)-MAX(0,-INT(-(L$6-$S389)/$T389))+1),0)</f>
        <v>0.0</v>
      </c>
      <c r="M389" s="97">
        <f>IF(ISNUMBER($S389),MAX(0,INT((M$6+6-$S389)/$T389)-MAX(0,-INT(-(M$6-$S389)/$T389))+1),0)</f>
        <v>0.0</v>
      </c>
      <c r="N389" s="97">
        <f>IF(ISNUMBER($S389),MAX(0,INT((N$6+6-$S389)/$T389)-MAX(0,-INT(-(N$6-$S389)/$T389))+1),0)</f>
        <v>0.0</v>
      </c>
      <c r="O389" s="97">
        <f>IF(ISNUMBER($S389),MAX(0,INT((O$6+6-$S389)/$T389)-MAX(0,-INT(-(O$6-$S389)/$T389))+1),0)</f>
        <v>0.0</v>
      </c>
      <c r="P389" s="97">
        <f>IF(ISNUMBER($S389),MAX(0,INT((P$6+6-$S389)/$T389)-MAX(0,-INT(-(P$6-$S389)/$T389))+1),0)</f>
        <v>0.0</v>
      </c>
      <c r="Q389" s="97">
        <f>IF(ISNUMBER($S389),MAX(0,INT((Q$6+6-$S389)/$T389)-MAX(0,-INT(-(Q$6-$S389)/$T389))+1),0)</f>
        <v>0.0</v>
      </c>
      <c r="R389" s="97">
        <f>IF(ISNUMBER($S389),MAX(0,INT((R$6+6-$S389)/$T389)-MAX(0,-INT(-(R$6-$S389)/$T389))+1),0)</f>
        <v>0.0</v>
      </c>
      <c r="S389" t="str">
        <f>IF(ISNUMBER(INDEX(pl_period,380)),MAX(INDEX(pl_due,380),p_today),"")</f>
        <v/>
      </c>
      <c r="T389" t="str">
        <f>IF(ISNUMBER(INDEX(pl_period,380)),INDEX(pl_period,380),"")</f>
        <v/>
      </c>
      <c r="U389">
        <f>N(INDEX(pl_dur,380))</f>
        <v>0.0</v>
      </c>
    </row>
    <row r="390">
      <c r="A390" s="93" t="str">
        <f>IF(INDEX(pl_status,381)="","",INDEX(pl_num,381)&amp;"")</f>
        <v/>
      </c>
      <c r="B390" s="93" t="str">
        <f>IF(INDEX(pl_status,381)="","",INDEX(pl_eq,381)&amp;"")</f>
        <v/>
      </c>
      <c r="C390" s="93" t="str">
        <f>IF(INDEX(pl_status,381)="","",INDEX(pl_task,381)&amp;"")</f>
        <v/>
      </c>
      <c r="D390" s="94" t="str">
        <f>IF(ISNUMBER(INDEX(pl_due,381)),INDEX(pl_due,381),"")</f>
        <v/>
      </c>
      <c r="E390" s="95" t="str">
        <f>INDEX(pl_status,381)&amp;""</f>
        <v/>
      </c>
      <c r="F390" s="96" t="str">
        <f>IF(E390="En retard","●","")</f>
        <v/>
      </c>
      <c r="G390" s="97">
        <f>IF(ISNUMBER($S390),MAX(0,INT((G$6+6-$S390)/$T390)-MAX(0,-INT(-(G$6-$S390)/$T390))+1),0)</f>
        <v>0.0</v>
      </c>
      <c r="H390" s="97">
        <f>IF(ISNUMBER($S390),MAX(0,INT((H$6+6-$S390)/$T390)-MAX(0,-INT(-(H$6-$S390)/$T390))+1),0)</f>
        <v>0.0</v>
      </c>
      <c r="I390" s="97">
        <f>IF(ISNUMBER($S390),MAX(0,INT((I$6+6-$S390)/$T390)-MAX(0,-INT(-(I$6-$S390)/$T390))+1),0)</f>
        <v>0.0</v>
      </c>
      <c r="J390" s="97">
        <f>IF(ISNUMBER($S390),MAX(0,INT((J$6+6-$S390)/$T390)-MAX(0,-INT(-(J$6-$S390)/$T390))+1),0)</f>
        <v>0.0</v>
      </c>
      <c r="K390" s="97">
        <f>IF(ISNUMBER($S390),MAX(0,INT((K$6+6-$S390)/$T390)-MAX(0,-INT(-(K$6-$S390)/$T390))+1),0)</f>
        <v>0.0</v>
      </c>
      <c r="L390" s="97">
        <f>IF(ISNUMBER($S390),MAX(0,INT((L$6+6-$S390)/$T390)-MAX(0,-INT(-(L$6-$S390)/$T390))+1),0)</f>
        <v>0.0</v>
      </c>
      <c r="M390" s="97">
        <f>IF(ISNUMBER($S390),MAX(0,INT((M$6+6-$S390)/$T390)-MAX(0,-INT(-(M$6-$S390)/$T390))+1),0)</f>
        <v>0.0</v>
      </c>
      <c r="N390" s="97">
        <f>IF(ISNUMBER($S390),MAX(0,INT((N$6+6-$S390)/$T390)-MAX(0,-INT(-(N$6-$S390)/$T390))+1),0)</f>
        <v>0.0</v>
      </c>
      <c r="O390" s="97">
        <f>IF(ISNUMBER($S390),MAX(0,INT((O$6+6-$S390)/$T390)-MAX(0,-INT(-(O$6-$S390)/$T390))+1),0)</f>
        <v>0.0</v>
      </c>
      <c r="P390" s="97">
        <f>IF(ISNUMBER($S390),MAX(0,INT((P$6+6-$S390)/$T390)-MAX(0,-INT(-(P$6-$S390)/$T390))+1),0)</f>
        <v>0.0</v>
      </c>
      <c r="Q390" s="97">
        <f>IF(ISNUMBER($S390),MAX(0,INT((Q$6+6-$S390)/$T390)-MAX(0,-INT(-(Q$6-$S390)/$T390))+1),0)</f>
        <v>0.0</v>
      </c>
      <c r="R390" s="97">
        <f>IF(ISNUMBER($S390),MAX(0,INT((R$6+6-$S390)/$T390)-MAX(0,-INT(-(R$6-$S390)/$T390))+1),0)</f>
        <v>0.0</v>
      </c>
      <c r="S390" t="str">
        <f>IF(ISNUMBER(INDEX(pl_period,381)),MAX(INDEX(pl_due,381),p_today),"")</f>
        <v/>
      </c>
      <c r="T390" t="str">
        <f>IF(ISNUMBER(INDEX(pl_period,381)),INDEX(pl_period,381),"")</f>
        <v/>
      </c>
      <c r="U390">
        <f>N(INDEX(pl_dur,381))</f>
        <v>0.0</v>
      </c>
    </row>
    <row r="391">
      <c r="A391" s="93" t="str">
        <f>IF(INDEX(pl_status,382)="","",INDEX(pl_num,382)&amp;"")</f>
        <v/>
      </c>
      <c r="B391" s="93" t="str">
        <f>IF(INDEX(pl_status,382)="","",INDEX(pl_eq,382)&amp;"")</f>
        <v/>
      </c>
      <c r="C391" s="93" t="str">
        <f>IF(INDEX(pl_status,382)="","",INDEX(pl_task,382)&amp;"")</f>
        <v/>
      </c>
      <c r="D391" s="94" t="str">
        <f>IF(ISNUMBER(INDEX(pl_due,382)),INDEX(pl_due,382),"")</f>
        <v/>
      </c>
      <c r="E391" s="95" t="str">
        <f>INDEX(pl_status,382)&amp;""</f>
        <v/>
      </c>
      <c r="F391" s="96" t="str">
        <f>IF(E391="En retard","●","")</f>
        <v/>
      </c>
      <c r="G391" s="97">
        <f>IF(ISNUMBER($S391),MAX(0,INT((G$6+6-$S391)/$T391)-MAX(0,-INT(-(G$6-$S391)/$T391))+1),0)</f>
        <v>0.0</v>
      </c>
      <c r="H391" s="97">
        <f>IF(ISNUMBER($S391),MAX(0,INT((H$6+6-$S391)/$T391)-MAX(0,-INT(-(H$6-$S391)/$T391))+1),0)</f>
        <v>0.0</v>
      </c>
      <c r="I391" s="97">
        <f>IF(ISNUMBER($S391),MAX(0,INT((I$6+6-$S391)/$T391)-MAX(0,-INT(-(I$6-$S391)/$T391))+1),0)</f>
        <v>0.0</v>
      </c>
      <c r="J391" s="97">
        <f>IF(ISNUMBER($S391),MAX(0,INT((J$6+6-$S391)/$T391)-MAX(0,-INT(-(J$6-$S391)/$T391))+1),0)</f>
        <v>0.0</v>
      </c>
      <c r="K391" s="97">
        <f>IF(ISNUMBER($S391),MAX(0,INT((K$6+6-$S391)/$T391)-MAX(0,-INT(-(K$6-$S391)/$T391))+1),0)</f>
        <v>0.0</v>
      </c>
      <c r="L391" s="97">
        <f>IF(ISNUMBER($S391),MAX(0,INT((L$6+6-$S391)/$T391)-MAX(0,-INT(-(L$6-$S391)/$T391))+1),0)</f>
        <v>0.0</v>
      </c>
      <c r="M391" s="97">
        <f>IF(ISNUMBER($S391),MAX(0,INT((M$6+6-$S391)/$T391)-MAX(0,-INT(-(M$6-$S391)/$T391))+1),0)</f>
        <v>0.0</v>
      </c>
      <c r="N391" s="97">
        <f>IF(ISNUMBER($S391),MAX(0,INT((N$6+6-$S391)/$T391)-MAX(0,-INT(-(N$6-$S391)/$T391))+1),0)</f>
        <v>0.0</v>
      </c>
      <c r="O391" s="97">
        <f>IF(ISNUMBER($S391),MAX(0,INT((O$6+6-$S391)/$T391)-MAX(0,-INT(-(O$6-$S391)/$T391))+1),0)</f>
        <v>0.0</v>
      </c>
      <c r="P391" s="97">
        <f>IF(ISNUMBER($S391),MAX(0,INT((P$6+6-$S391)/$T391)-MAX(0,-INT(-(P$6-$S391)/$T391))+1),0)</f>
        <v>0.0</v>
      </c>
      <c r="Q391" s="97">
        <f>IF(ISNUMBER($S391),MAX(0,INT((Q$6+6-$S391)/$T391)-MAX(0,-INT(-(Q$6-$S391)/$T391))+1),0)</f>
        <v>0.0</v>
      </c>
      <c r="R391" s="97">
        <f>IF(ISNUMBER($S391),MAX(0,INT((R$6+6-$S391)/$T391)-MAX(0,-INT(-(R$6-$S391)/$T391))+1),0)</f>
        <v>0.0</v>
      </c>
      <c r="S391" t="str">
        <f>IF(ISNUMBER(INDEX(pl_period,382)),MAX(INDEX(pl_due,382),p_today),"")</f>
        <v/>
      </c>
      <c r="T391" t="str">
        <f>IF(ISNUMBER(INDEX(pl_period,382)),INDEX(pl_period,382),"")</f>
        <v/>
      </c>
      <c r="U391">
        <f>N(INDEX(pl_dur,382))</f>
        <v>0.0</v>
      </c>
    </row>
    <row r="392">
      <c r="A392" s="93" t="str">
        <f>IF(INDEX(pl_status,383)="","",INDEX(pl_num,383)&amp;"")</f>
        <v/>
      </c>
      <c r="B392" s="93" t="str">
        <f>IF(INDEX(pl_status,383)="","",INDEX(pl_eq,383)&amp;"")</f>
        <v/>
      </c>
      <c r="C392" s="93" t="str">
        <f>IF(INDEX(pl_status,383)="","",INDEX(pl_task,383)&amp;"")</f>
        <v/>
      </c>
      <c r="D392" s="94" t="str">
        <f>IF(ISNUMBER(INDEX(pl_due,383)),INDEX(pl_due,383),"")</f>
        <v/>
      </c>
      <c r="E392" s="95" t="str">
        <f>INDEX(pl_status,383)&amp;""</f>
        <v/>
      </c>
      <c r="F392" s="96" t="str">
        <f>IF(E392="En retard","●","")</f>
        <v/>
      </c>
      <c r="G392" s="97">
        <f>IF(ISNUMBER($S392),MAX(0,INT((G$6+6-$S392)/$T392)-MAX(0,-INT(-(G$6-$S392)/$T392))+1),0)</f>
        <v>0.0</v>
      </c>
      <c r="H392" s="97">
        <f>IF(ISNUMBER($S392),MAX(0,INT((H$6+6-$S392)/$T392)-MAX(0,-INT(-(H$6-$S392)/$T392))+1),0)</f>
        <v>0.0</v>
      </c>
      <c r="I392" s="97">
        <f>IF(ISNUMBER($S392),MAX(0,INT((I$6+6-$S392)/$T392)-MAX(0,-INT(-(I$6-$S392)/$T392))+1),0)</f>
        <v>0.0</v>
      </c>
      <c r="J392" s="97">
        <f>IF(ISNUMBER($S392),MAX(0,INT((J$6+6-$S392)/$T392)-MAX(0,-INT(-(J$6-$S392)/$T392))+1),0)</f>
        <v>0.0</v>
      </c>
      <c r="K392" s="97">
        <f>IF(ISNUMBER($S392),MAX(0,INT((K$6+6-$S392)/$T392)-MAX(0,-INT(-(K$6-$S392)/$T392))+1),0)</f>
        <v>0.0</v>
      </c>
      <c r="L392" s="97">
        <f>IF(ISNUMBER($S392),MAX(0,INT((L$6+6-$S392)/$T392)-MAX(0,-INT(-(L$6-$S392)/$T392))+1),0)</f>
        <v>0.0</v>
      </c>
      <c r="M392" s="97">
        <f>IF(ISNUMBER($S392),MAX(0,INT((M$6+6-$S392)/$T392)-MAX(0,-INT(-(M$6-$S392)/$T392))+1),0)</f>
        <v>0.0</v>
      </c>
      <c r="N392" s="97">
        <f>IF(ISNUMBER($S392),MAX(0,INT((N$6+6-$S392)/$T392)-MAX(0,-INT(-(N$6-$S392)/$T392))+1),0)</f>
        <v>0.0</v>
      </c>
      <c r="O392" s="97">
        <f>IF(ISNUMBER($S392),MAX(0,INT((O$6+6-$S392)/$T392)-MAX(0,-INT(-(O$6-$S392)/$T392))+1),0)</f>
        <v>0.0</v>
      </c>
      <c r="P392" s="97">
        <f>IF(ISNUMBER($S392),MAX(0,INT((P$6+6-$S392)/$T392)-MAX(0,-INT(-(P$6-$S392)/$T392))+1),0)</f>
        <v>0.0</v>
      </c>
      <c r="Q392" s="97">
        <f>IF(ISNUMBER($S392),MAX(0,INT((Q$6+6-$S392)/$T392)-MAX(0,-INT(-(Q$6-$S392)/$T392))+1),0)</f>
        <v>0.0</v>
      </c>
      <c r="R392" s="97">
        <f>IF(ISNUMBER($S392),MAX(0,INT((R$6+6-$S392)/$T392)-MAX(0,-INT(-(R$6-$S392)/$T392))+1),0)</f>
        <v>0.0</v>
      </c>
      <c r="S392" t="str">
        <f>IF(ISNUMBER(INDEX(pl_period,383)),MAX(INDEX(pl_due,383),p_today),"")</f>
        <v/>
      </c>
      <c r="T392" t="str">
        <f>IF(ISNUMBER(INDEX(pl_period,383)),INDEX(pl_period,383),"")</f>
        <v/>
      </c>
      <c r="U392">
        <f>N(INDEX(pl_dur,383))</f>
        <v>0.0</v>
      </c>
    </row>
    <row r="393">
      <c r="A393" s="93" t="str">
        <f>IF(INDEX(pl_status,384)="","",INDEX(pl_num,384)&amp;"")</f>
        <v/>
      </c>
      <c r="B393" s="93" t="str">
        <f>IF(INDEX(pl_status,384)="","",INDEX(pl_eq,384)&amp;"")</f>
        <v/>
      </c>
      <c r="C393" s="93" t="str">
        <f>IF(INDEX(pl_status,384)="","",INDEX(pl_task,384)&amp;"")</f>
        <v/>
      </c>
      <c r="D393" s="94" t="str">
        <f>IF(ISNUMBER(INDEX(pl_due,384)),INDEX(pl_due,384),"")</f>
        <v/>
      </c>
      <c r="E393" s="95" t="str">
        <f>INDEX(pl_status,384)&amp;""</f>
        <v/>
      </c>
      <c r="F393" s="96" t="str">
        <f>IF(E393="En retard","●","")</f>
        <v/>
      </c>
      <c r="G393" s="97">
        <f>IF(ISNUMBER($S393),MAX(0,INT((G$6+6-$S393)/$T393)-MAX(0,-INT(-(G$6-$S393)/$T393))+1),0)</f>
        <v>0.0</v>
      </c>
      <c r="H393" s="97">
        <f>IF(ISNUMBER($S393),MAX(0,INT((H$6+6-$S393)/$T393)-MAX(0,-INT(-(H$6-$S393)/$T393))+1),0)</f>
        <v>0.0</v>
      </c>
      <c r="I393" s="97">
        <f>IF(ISNUMBER($S393),MAX(0,INT((I$6+6-$S393)/$T393)-MAX(0,-INT(-(I$6-$S393)/$T393))+1),0)</f>
        <v>0.0</v>
      </c>
      <c r="J393" s="97">
        <f>IF(ISNUMBER($S393),MAX(0,INT((J$6+6-$S393)/$T393)-MAX(0,-INT(-(J$6-$S393)/$T393))+1),0)</f>
        <v>0.0</v>
      </c>
      <c r="K393" s="97">
        <f>IF(ISNUMBER($S393),MAX(0,INT((K$6+6-$S393)/$T393)-MAX(0,-INT(-(K$6-$S393)/$T393))+1),0)</f>
        <v>0.0</v>
      </c>
      <c r="L393" s="97">
        <f>IF(ISNUMBER($S393),MAX(0,INT((L$6+6-$S393)/$T393)-MAX(0,-INT(-(L$6-$S393)/$T393))+1),0)</f>
        <v>0.0</v>
      </c>
      <c r="M393" s="97">
        <f>IF(ISNUMBER($S393),MAX(0,INT((M$6+6-$S393)/$T393)-MAX(0,-INT(-(M$6-$S393)/$T393))+1),0)</f>
        <v>0.0</v>
      </c>
      <c r="N393" s="97">
        <f>IF(ISNUMBER($S393),MAX(0,INT((N$6+6-$S393)/$T393)-MAX(0,-INT(-(N$6-$S393)/$T393))+1),0)</f>
        <v>0.0</v>
      </c>
      <c r="O393" s="97">
        <f>IF(ISNUMBER($S393),MAX(0,INT((O$6+6-$S393)/$T393)-MAX(0,-INT(-(O$6-$S393)/$T393))+1),0)</f>
        <v>0.0</v>
      </c>
      <c r="P393" s="97">
        <f>IF(ISNUMBER($S393),MAX(0,INT((P$6+6-$S393)/$T393)-MAX(0,-INT(-(P$6-$S393)/$T393))+1),0)</f>
        <v>0.0</v>
      </c>
      <c r="Q393" s="97">
        <f>IF(ISNUMBER($S393),MAX(0,INT((Q$6+6-$S393)/$T393)-MAX(0,-INT(-(Q$6-$S393)/$T393))+1),0)</f>
        <v>0.0</v>
      </c>
      <c r="R393" s="97">
        <f>IF(ISNUMBER($S393),MAX(0,INT((R$6+6-$S393)/$T393)-MAX(0,-INT(-(R$6-$S393)/$T393))+1),0)</f>
        <v>0.0</v>
      </c>
      <c r="S393" t="str">
        <f>IF(ISNUMBER(INDEX(pl_period,384)),MAX(INDEX(pl_due,384),p_today),"")</f>
        <v/>
      </c>
      <c r="T393" t="str">
        <f>IF(ISNUMBER(INDEX(pl_period,384)),INDEX(pl_period,384),"")</f>
        <v/>
      </c>
      <c r="U393">
        <f>N(INDEX(pl_dur,384))</f>
        <v>0.0</v>
      </c>
    </row>
    <row r="394">
      <c r="A394" s="93" t="str">
        <f>IF(INDEX(pl_status,385)="","",INDEX(pl_num,385)&amp;"")</f>
        <v/>
      </c>
      <c r="B394" s="93" t="str">
        <f>IF(INDEX(pl_status,385)="","",INDEX(pl_eq,385)&amp;"")</f>
        <v/>
      </c>
      <c r="C394" s="93" t="str">
        <f>IF(INDEX(pl_status,385)="","",INDEX(pl_task,385)&amp;"")</f>
        <v/>
      </c>
      <c r="D394" s="94" t="str">
        <f>IF(ISNUMBER(INDEX(pl_due,385)),INDEX(pl_due,385),"")</f>
        <v/>
      </c>
      <c r="E394" s="95" t="str">
        <f>INDEX(pl_status,385)&amp;""</f>
        <v/>
      </c>
      <c r="F394" s="96" t="str">
        <f>IF(E394="En retard","●","")</f>
        <v/>
      </c>
      <c r="G394" s="97">
        <f>IF(ISNUMBER($S394),MAX(0,INT((G$6+6-$S394)/$T394)-MAX(0,-INT(-(G$6-$S394)/$T394))+1),0)</f>
        <v>0.0</v>
      </c>
      <c r="H394" s="97">
        <f>IF(ISNUMBER($S394),MAX(0,INT((H$6+6-$S394)/$T394)-MAX(0,-INT(-(H$6-$S394)/$T394))+1),0)</f>
        <v>0.0</v>
      </c>
      <c r="I394" s="97">
        <f>IF(ISNUMBER($S394),MAX(0,INT((I$6+6-$S394)/$T394)-MAX(0,-INT(-(I$6-$S394)/$T394))+1),0)</f>
        <v>0.0</v>
      </c>
      <c r="J394" s="97">
        <f>IF(ISNUMBER($S394),MAX(0,INT((J$6+6-$S394)/$T394)-MAX(0,-INT(-(J$6-$S394)/$T394))+1),0)</f>
        <v>0.0</v>
      </c>
      <c r="K394" s="97">
        <f>IF(ISNUMBER($S394),MAX(0,INT((K$6+6-$S394)/$T394)-MAX(0,-INT(-(K$6-$S394)/$T394))+1),0)</f>
        <v>0.0</v>
      </c>
      <c r="L394" s="97">
        <f>IF(ISNUMBER($S394),MAX(0,INT((L$6+6-$S394)/$T394)-MAX(0,-INT(-(L$6-$S394)/$T394))+1),0)</f>
        <v>0.0</v>
      </c>
      <c r="M394" s="97">
        <f>IF(ISNUMBER($S394),MAX(0,INT((M$6+6-$S394)/$T394)-MAX(0,-INT(-(M$6-$S394)/$T394))+1),0)</f>
        <v>0.0</v>
      </c>
      <c r="N394" s="97">
        <f>IF(ISNUMBER($S394),MAX(0,INT((N$6+6-$S394)/$T394)-MAX(0,-INT(-(N$6-$S394)/$T394))+1),0)</f>
        <v>0.0</v>
      </c>
      <c r="O394" s="97">
        <f>IF(ISNUMBER($S394),MAX(0,INT((O$6+6-$S394)/$T394)-MAX(0,-INT(-(O$6-$S394)/$T394))+1),0)</f>
        <v>0.0</v>
      </c>
      <c r="P394" s="97">
        <f>IF(ISNUMBER($S394),MAX(0,INT((P$6+6-$S394)/$T394)-MAX(0,-INT(-(P$6-$S394)/$T394))+1),0)</f>
        <v>0.0</v>
      </c>
      <c r="Q394" s="97">
        <f>IF(ISNUMBER($S394),MAX(0,INT((Q$6+6-$S394)/$T394)-MAX(0,-INT(-(Q$6-$S394)/$T394))+1),0)</f>
        <v>0.0</v>
      </c>
      <c r="R394" s="97">
        <f>IF(ISNUMBER($S394),MAX(0,INT((R$6+6-$S394)/$T394)-MAX(0,-INT(-(R$6-$S394)/$T394))+1),0)</f>
        <v>0.0</v>
      </c>
      <c r="S394" t="str">
        <f>IF(ISNUMBER(INDEX(pl_period,385)),MAX(INDEX(pl_due,385),p_today),"")</f>
        <v/>
      </c>
      <c r="T394" t="str">
        <f>IF(ISNUMBER(INDEX(pl_period,385)),INDEX(pl_period,385),"")</f>
        <v/>
      </c>
      <c r="U394">
        <f>N(INDEX(pl_dur,385))</f>
        <v>0.0</v>
      </c>
    </row>
    <row r="395">
      <c r="A395" s="93" t="str">
        <f>IF(INDEX(pl_status,386)="","",INDEX(pl_num,386)&amp;"")</f>
        <v/>
      </c>
      <c r="B395" s="93" t="str">
        <f>IF(INDEX(pl_status,386)="","",INDEX(pl_eq,386)&amp;"")</f>
        <v/>
      </c>
      <c r="C395" s="93" t="str">
        <f>IF(INDEX(pl_status,386)="","",INDEX(pl_task,386)&amp;"")</f>
        <v/>
      </c>
      <c r="D395" s="94" t="str">
        <f>IF(ISNUMBER(INDEX(pl_due,386)),INDEX(pl_due,386),"")</f>
        <v/>
      </c>
      <c r="E395" s="95" t="str">
        <f>INDEX(pl_status,386)&amp;""</f>
        <v/>
      </c>
      <c r="F395" s="96" t="str">
        <f>IF(E395="En retard","●","")</f>
        <v/>
      </c>
      <c r="G395" s="97">
        <f>IF(ISNUMBER($S395),MAX(0,INT((G$6+6-$S395)/$T395)-MAX(0,-INT(-(G$6-$S395)/$T395))+1),0)</f>
        <v>0.0</v>
      </c>
      <c r="H395" s="97">
        <f>IF(ISNUMBER($S395),MAX(0,INT((H$6+6-$S395)/$T395)-MAX(0,-INT(-(H$6-$S395)/$T395))+1),0)</f>
        <v>0.0</v>
      </c>
      <c r="I395" s="97">
        <f>IF(ISNUMBER($S395),MAX(0,INT((I$6+6-$S395)/$T395)-MAX(0,-INT(-(I$6-$S395)/$T395))+1),0)</f>
        <v>0.0</v>
      </c>
      <c r="J395" s="97">
        <f>IF(ISNUMBER($S395),MAX(0,INT((J$6+6-$S395)/$T395)-MAX(0,-INT(-(J$6-$S395)/$T395))+1),0)</f>
        <v>0.0</v>
      </c>
      <c r="K395" s="97">
        <f>IF(ISNUMBER($S395),MAX(0,INT((K$6+6-$S395)/$T395)-MAX(0,-INT(-(K$6-$S395)/$T395))+1),0)</f>
        <v>0.0</v>
      </c>
      <c r="L395" s="97">
        <f>IF(ISNUMBER($S395),MAX(0,INT((L$6+6-$S395)/$T395)-MAX(0,-INT(-(L$6-$S395)/$T395))+1),0)</f>
        <v>0.0</v>
      </c>
      <c r="M395" s="97">
        <f>IF(ISNUMBER($S395),MAX(0,INT((M$6+6-$S395)/$T395)-MAX(0,-INT(-(M$6-$S395)/$T395))+1),0)</f>
        <v>0.0</v>
      </c>
      <c r="N395" s="97">
        <f>IF(ISNUMBER($S395),MAX(0,INT((N$6+6-$S395)/$T395)-MAX(0,-INT(-(N$6-$S395)/$T395))+1),0)</f>
        <v>0.0</v>
      </c>
      <c r="O395" s="97">
        <f>IF(ISNUMBER($S395),MAX(0,INT((O$6+6-$S395)/$T395)-MAX(0,-INT(-(O$6-$S395)/$T395))+1),0)</f>
        <v>0.0</v>
      </c>
      <c r="P395" s="97">
        <f>IF(ISNUMBER($S395),MAX(0,INT((P$6+6-$S395)/$T395)-MAX(0,-INT(-(P$6-$S395)/$T395))+1),0)</f>
        <v>0.0</v>
      </c>
      <c r="Q395" s="97">
        <f>IF(ISNUMBER($S395),MAX(0,INT((Q$6+6-$S395)/$T395)-MAX(0,-INT(-(Q$6-$S395)/$T395))+1),0)</f>
        <v>0.0</v>
      </c>
      <c r="R395" s="97">
        <f>IF(ISNUMBER($S395),MAX(0,INT((R$6+6-$S395)/$T395)-MAX(0,-INT(-(R$6-$S395)/$T395))+1),0)</f>
        <v>0.0</v>
      </c>
      <c r="S395" t="str">
        <f>IF(ISNUMBER(INDEX(pl_period,386)),MAX(INDEX(pl_due,386),p_today),"")</f>
        <v/>
      </c>
      <c r="T395" t="str">
        <f>IF(ISNUMBER(INDEX(pl_period,386)),INDEX(pl_period,386),"")</f>
        <v/>
      </c>
      <c r="U395">
        <f>N(INDEX(pl_dur,386))</f>
        <v>0.0</v>
      </c>
    </row>
    <row r="396">
      <c r="A396" s="93" t="str">
        <f>IF(INDEX(pl_status,387)="","",INDEX(pl_num,387)&amp;"")</f>
        <v/>
      </c>
      <c r="B396" s="93" t="str">
        <f>IF(INDEX(pl_status,387)="","",INDEX(pl_eq,387)&amp;"")</f>
        <v/>
      </c>
      <c r="C396" s="93" t="str">
        <f>IF(INDEX(pl_status,387)="","",INDEX(pl_task,387)&amp;"")</f>
        <v/>
      </c>
      <c r="D396" s="94" t="str">
        <f>IF(ISNUMBER(INDEX(pl_due,387)),INDEX(pl_due,387),"")</f>
        <v/>
      </c>
      <c r="E396" s="95" t="str">
        <f>INDEX(pl_status,387)&amp;""</f>
        <v/>
      </c>
      <c r="F396" s="96" t="str">
        <f>IF(E396="En retard","●","")</f>
        <v/>
      </c>
      <c r="G396" s="97">
        <f>IF(ISNUMBER($S396),MAX(0,INT((G$6+6-$S396)/$T396)-MAX(0,-INT(-(G$6-$S396)/$T396))+1),0)</f>
        <v>0.0</v>
      </c>
      <c r="H396" s="97">
        <f>IF(ISNUMBER($S396),MAX(0,INT((H$6+6-$S396)/$T396)-MAX(0,-INT(-(H$6-$S396)/$T396))+1),0)</f>
        <v>0.0</v>
      </c>
      <c r="I396" s="97">
        <f>IF(ISNUMBER($S396),MAX(0,INT((I$6+6-$S396)/$T396)-MAX(0,-INT(-(I$6-$S396)/$T396))+1),0)</f>
        <v>0.0</v>
      </c>
      <c r="J396" s="97">
        <f>IF(ISNUMBER($S396),MAX(0,INT((J$6+6-$S396)/$T396)-MAX(0,-INT(-(J$6-$S396)/$T396))+1),0)</f>
        <v>0.0</v>
      </c>
      <c r="K396" s="97">
        <f>IF(ISNUMBER($S396),MAX(0,INT((K$6+6-$S396)/$T396)-MAX(0,-INT(-(K$6-$S396)/$T396))+1),0)</f>
        <v>0.0</v>
      </c>
      <c r="L396" s="97">
        <f>IF(ISNUMBER($S396),MAX(0,INT((L$6+6-$S396)/$T396)-MAX(0,-INT(-(L$6-$S396)/$T396))+1),0)</f>
        <v>0.0</v>
      </c>
      <c r="M396" s="97">
        <f>IF(ISNUMBER($S396),MAX(0,INT((M$6+6-$S396)/$T396)-MAX(0,-INT(-(M$6-$S396)/$T396))+1),0)</f>
        <v>0.0</v>
      </c>
      <c r="N396" s="97">
        <f>IF(ISNUMBER($S396),MAX(0,INT((N$6+6-$S396)/$T396)-MAX(0,-INT(-(N$6-$S396)/$T396))+1),0)</f>
        <v>0.0</v>
      </c>
      <c r="O396" s="97">
        <f>IF(ISNUMBER($S396),MAX(0,INT((O$6+6-$S396)/$T396)-MAX(0,-INT(-(O$6-$S396)/$T396))+1),0)</f>
        <v>0.0</v>
      </c>
      <c r="P396" s="97">
        <f>IF(ISNUMBER($S396),MAX(0,INT((P$6+6-$S396)/$T396)-MAX(0,-INT(-(P$6-$S396)/$T396))+1),0)</f>
        <v>0.0</v>
      </c>
      <c r="Q396" s="97">
        <f>IF(ISNUMBER($S396),MAX(0,INT((Q$6+6-$S396)/$T396)-MAX(0,-INT(-(Q$6-$S396)/$T396))+1),0)</f>
        <v>0.0</v>
      </c>
      <c r="R396" s="97">
        <f>IF(ISNUMBER($S396),MAX(0,INT((R$6+6-$S396)/$T396)-MAX(0,-INT(-(R$6-$S396)/$T396))+1),0)</f>
        <v>0.0</v>
      </c>
      <c r="S396" t="str">
        <f>IF(ISNUMBER(INDEX(pl_period,387)),MAX(INDEX(pl_due,387),p_today),"")</f>
        <v/>
      </c>
      <c r="T396" t="str">
        <f>IF(ISNUMBER(INDEX(pl_period,387)),INDEX(pl_period,387),"")</f>
        <v/>
      </c>
      <c r="U396">
        <f>N(INDEX(pl_dur,387))</f>
        <v>0.0</v>
      </c>
    </row>
    <row r="397">
      <c r="A397" s="93" t="str">
        <f>IF(INDEX(pl_status,388)="","",INDEX(pl_num,388)&amp;"")</f>
        <v/>
      </c>
      <c r="B397" s="93" t="str">
        <f>IF(INDEX(pl_status,388)="","",INDEX(pl_eq,388)&amp;"")</f>
        <v/>
      </c>
      <c r="C397" s="93" t="str">
        <f>IF(INDEX(pl_status,388)="","",INDEX(pl_task,388)&amp;"")</f>
        <v/>
      </c>
      <c r="D397" s="94" t="str">
        <f>IF(ISNUMBER(INDEX(pl_due,388)),INDEX(pl_due,388),"")</f>
        <v/>
      </c>
      <c r="E397" s="95" t="str">
        <f>INDEX(pl_status,388)&amp;""</f>
        <v/>
      </c>
      <c r="F397" s="96" t="str">
        <f>IF(E397="En retard","●","")</f>
        <v/>
      </c>
      <c r="G397" s="97">
        <f>IF(ISNUMBER($S397),MAX(0,INT((G$6+6-$S397)/$T397)-MAX(0,-INT(-(G$6-$S397)/$T397))+1),0)</f>
        <v>0.0</v>
      </c>
      <c r="H397" s="97">
        <f>IF(ISNUMBER($S397),MAX(0,INT((H$6+6-$S397)/$T397)-MAX(0,-INT(-(H$6-$S397)/$T397))+1),0)</f>
        <v>0.0</v>
      </c>
      <c r="I397" s="97">
        <f>IF(ISNUMBER($S397),MAX(0,INT((I$6+6-$S397)/$T397)-MAX(0,-INT(-(I$6-$S397)/$T397))+1),0)</f>
        <v>0.0</v>
      </c>
      <c r="J397" s="97">
        <f>IF(ISNUMBER($S397),MAX(0,INT((J$6+6-$S397)/$T397)-MAX(0,-INT(-(J$6-$S397)/$T397))+1),0)</f>
        <v>0.0</v>
      </c>
      <c r="K397" s="97">
        <f>IF(ISNUMBER($S397),MAX(0,INT((K$6+6-$S397)/$T397)-MAX(0,-INT(-(K$6-$S397)/$T397))+1),0)</f>
        <v>0.0</v>
      </c>
      <c r="L397" s="97">
        <f>IF(ISNUMBER($S397),MAX(0,INT((L$6+6-$S397)/$T397)-MAX(0,-INT(-(L$6-$S397)/$T397))+1),0)</f>
        <v>0.0</v>
      </c>
      <c r="M397" s="97">
        <f>IF(ISNUMBER($S397),MAX(0,INT((M$6+6-$S397)/$T397)-MAX(0,-INT(-(M$6-$S397)/$T397))+1),0)</f>
        <v>0.0</v>
      </c>
      <c r="N397" s="97">
        <f>IF(ISNUMBER($S397),MAX(0,INT((N$6+6-$S397)/$T397)-MAX(0,-INT(-(N$6-$S397)/$T397))+1),0)</f>
        <v>0.0</v>
      </c>
      <c r="O397" s="97">
        <f>IF(ISNUMBER($S397),MAX(0,INT((O$6+6-$S397)/$T397)-MAX(0,-INT(-(O$6-$S397)/$T397))+1),0)</f>
        <v>0.0</v>
      </c>
      <c r="P397" s="97">
        <f>IF(ISNUMBER($S397),MAX(0,INT((P$6+6-$S397)/$T397)-MAX(0,-INT(-(P$6-$S397)/$T397))+1),0)</f>
        <v>0.0</v>
      </c>
      <c r="Q397" s="97">
        <f>IF(ISNUMBER($S397),MAX(0,INT((Q$6+6-$S397)/$T397)-MAX(0,-INT(-(Q$6-$S397)/$T397))+1),0)</f>
        <v>0.0</v>
      </c>
      <c r="R397" s="97">
        <f>IF(ISNUMBER($S397),MAX(0,INT((R$6+6-$S397)/$T397)-MAX(0,-INT(-(R$6-$S397)/$T397))+1),0)</f>
        <v>0.0</v>
      </c>
      <c r="S397" t="str">
        <f>IF(ISNUMBER(INDEX(pl_period,388)),MAX(INDEX(pl_due,388),p_today),"")</f>
        <v/>
      </c>
      <c r="T397" t="str">
        <f>IF(ISNUMBER(INDEX(pl_period,388)),INDEX(pl_period,388),"")</f>
        <v/>
      </c>
      <c r="U397">
        <f>N(INDEX(pl_dur,388))</f>
        <v>0.0</v>
      </c>
    </row>
    <row r="398">
      <c r="A398" s="93" t="str">
        <f>IF(INDEX(pl_status,389)="","",INDEX(pl_num,389)&amp;"")</f>
        <v/>
      </c>
      <c r="B398" s="93" t="str">
        <f>IF(INDEX(pl_status,389)="","",INDEX(pl_eq,389)&amp;"")</f>
        <v/>
      </c>
      <c r="C398" s="93" t="str">
        <f>IF(INDEX(pl_status,389)="","",INDEX(pl_task,389)&amp;"")</f>
        <v/>
      </c>
      <c r="D398" s="94" t="str">
        <f>IF(ISNUMBER(INDEX(pl_due,389)),INDEX(pl_due,389),"")</f>
        <v/>
      </c>
      <c r="E398" s="95" t="str">
        <f>INDEX(pl_status,389)&amp;""</f>
        <v/>
      </c>
      <c r="F398" s="96" t="str">
        <f>IF(E398="En retard","●","")</f>
        <v/>
      </c>
      <c r="G398" s="97">
        <f>IF(ISNUMBER($S398),MAX(0,INT((G$6+6-$S398)/$T398)-MAX(0,-INT(-(G$6-$S398)/$T398))+1),0)</f>
        <v>0.0</v>
      </c>
      <c r="H398" s="97">
        <f>IF(ISNUMBER($S398),MAX(0,INT((H$6+6-$S398)/$T398)-MAX(0,-INT(-(H$6-$S398)/$T398))+1),0)</f>
        <v>0.0</v>
      </c>
      <c r="I398" s="97">
        <f>IF(ISNUMBER($S398),MAX(0,INT((I$6+6-$S398)/$T398)-MAX(0,-INT(-(I$6-$S398)/$T398))+1),0)</f>
        <v>0.0</v>
      </c>
      <c r="J398" s="97">
        <f>IF(ISNUMBER($S398),MAX(0,INT((J$6+6-$S398)/$T398)-MAX(0,-INT(-(J$6-$S398)/$T398))+1),0)</f>
        <v>0.0</v>
      </c>
      <c r="K398" s="97">
        <f>IF(ISNUMBER($S398),MAX(0,INT((K$6+6-$S398)/$T398)-MAX(0,-INT(-(K$6-$S398)/$T398))+1),0)</f>
        <v>0.0</v>
      </c>
      <c r="L398" s="97">
        <f>IF(ISNUMBER($S398),MAX(0,INT((L$6+6-$S398)/$T398)-MAX(0,-INT(-(L$6-$S398)/$T398))+1),0)</f>
        <v>0.0</v>
      </c>
      <c r="M398" s="97">
        <f>IF(ISNUMBER($S398),MAX(0,INT((M$6+6-$S398)/$T398)-MAX(0,-INT(-(M$6-$S398)/$T398))+1),0)</f>
        <v>0.0</v>
      </c>
      <c r="N398" s="97">
        <f>IF(ISNUMBER($S398),MAX(0,INT((N$6+6-$S398)/$T398)-MAX(0,-INT(-(N$6-$S398)/$T398))+1),0)</f>
        <v>0.0</v>
      </c>
      <c r="O398" s="97">
        <f>IF(ISNUMBER($S398),MAX(0,INT((O$6+6-$S398)/$T398)-MAX(0,-INT(-(O$6-$S398)/$T398))+1),0)</f>
        <v>0.0</v>
      </c>
      <c r="P398" s="97">
        <f>IF(ISNUMBER($S398),MAX(0,INT((P$6+6-$S398)/$T398)-MAX(0,-INT(-(P$6-$S398)/$T398))+1),0)</f>
        <v>0.0</v>
      </c>
      <c r="Q398" s="97">
        <f>IF(ISNUMBER($S398),MAX(0,INT((Q$6+6-$S398)/$T398)-MAX(0,-INT(-(Q$6-$S398)/$T398))+1),0)</f>
        <v>0.0</v>
      </c>
      <c r="R398" s="97">
        <f>IF(ISNUMBER($S398),MAX(0,INT((R$6+6-$S398)/$T398)-MAX(0,-INT(-(R$6-$S398)/$T398))+1),0)</f>
        <v>0.0</v>
      </c>
      <c r="S398" t="str">
        <f>IF(ISNUMBER(INDEX(pl_period,389)),MAX(INDEX(pl_due,389),p_today),"")</f>
        <v/>
      </c>
      <c r="T398" t="str">
        <f>IF(ISNUMBER(INDEX(pl_period,389)),INDEX(pl_period,389),"")</f>
        <v/>
      </c>
      <c r="U398">
        <f>N(INDEX(pl_dur,389))</f>
        <v>0.0</v>
      </c>
    </row>
    <row r="399">
      <c r="A399" s="93" t="str">
        <f>IF(INDEX(pl_status,390)="","",INDEX(pl_num,390)&amp;"")</f>
        <v/>
      </c>
      <c r="B399" s="93" t="str">
        <f>IF(INDEX(pl_status,390)="","",INDEX(pl_eq,390)&amp;"")</f>
        <v/>
      </c>
      <c r="C399" s="93" t="str">
        <f>IF(INDEX(pl_status,390)="","",INDEX(pl_task,390)&amp;"")</f>
        <v/>
      </c>
      <c r="D399" s="94" t="str">
        <f>IF(ISNUMBER(INDEX(pl_due,390)),INDEX(pl_due,390),"")</f>
        <v/>
      </c>
      <c r="E399" s="95" t="str">
        <f>INDEX(pl_status,390)&amp;""</f>
        <v/>
      </c>
      <c r="F399" s="96" t="str">
        <f>IF(E399="En retard","●","")</f>
        <v/>
      </c>
      <c r="G399" s="97">
        <f>IF(ISNUMBER($S399),MAX(0,INT((G$6+6-$S399)/$T399)-MAX(0,-INT(-(G$6-$S399)/$T399))+1),0)</f>
        <v>0.0</v>
      </c>
      <c r="H399" s="97">
        <f>IF(ISNUMBER($S399),MAX(0,INT((H$6+6-$S399)/$T399)-MAX(0,-INT(-(H$6-$S399)/$T399))+1),0)</f>
        <v>0.0</v>
      </c>
      <c r="I399" s="97">
        <f>IF(ISNUMBER($S399),MAX(0,INT((I$6+6-$S399)/$T399)-MAX(0,-INT(-(I$6-$S399)/$T399))+1),0)</f>
        <v>0.0</v>
      </c>
      <c r="J399" s="97">
        <f>IF(ISNUMBER($S399),MAX(0,INT((J$6+6-$S399)/$T399)-MAX(0,-INT(-(J$6-$S399)/$T399))+1),0)</f>
        <v>0.0</v>
      </c>
      <c r="K399" s="97">
        <f>IF(ISNUMBER($S399),MAX(0,INT((K$6+6-$S399)/$T399)-MAX(0,-INT(-(K$6-$S399)/$T399))+1),0)</f>
        <v>0.0</v>
      </c>
      <c r="L399" s="97">
        <f>IF(ISNUMBER($S399),MAX(0,INT((L$6+6-$S399)/$T399)-MAX(0,-INT(-(L$6-$S399)/$T399))+1),0)</f>
        <v>0.0</v>
      </c>
      <c r="M399" s="97">
        <f>IF(ISNUMBER($S399),MAX(0,INT((M$6+6-$S399)/$T399)-MAX(0,-INT(-(M$6-$S399)/$T399))+1),0)</f>
        <v>0.0</v>
      </c>
      <c r="N399" s="97">
        <f>IF(ISNUMBER($S399),MAX(0,INT((N$6+6-$S399)/$T399)-MAX(0,-INT(-(N$6-$S399)/$T399))+1),0)</f>
        <v>0.0</v>
      </c>
      <c r="O399" s="97">
        <f>IF(ISNUMBER($S399),MAX(0,INT((O$6+6-$S399)/$T399)-MAX(0,-INT(-(O$6-$S399)/$T399))+1),0)</f>
        <v>0.0</v>
      </c>
      <c r="P399" s="97">
        <f>IF(ISNUMBER($S399),MAX(0,INT((P$6+6-$S399)/$T399)-MAX(0,-INT(-(P$6-$S399)/$T399))+1),0)</f>
        <v>0.0</v>
      </c>
      <c r="Q399" s="97">
        <f>IF(ISNUMBER($S399),MAX(0,INT((Q$6+6-$S399)/$T399)-MAX(0,-INT(-(Q$6-$S399)/$T399))+1),0)</f>
        <v>0.0</v>
      </c>
      <c r="R399" s="97">
        <f>IF(ISNUMBER($S399),MAX(0,INT((R$6+6-$S399)/$T399)-MAX(0,-INT(-(R$6-$S399)/$T399))+1),0)</f>
        <v>0.0</v>
      </c>
      <c r="S399" t="str">
        <f>IF(ISNUMBER(INDEX(pl_period,390)),MAX(INDEX(pl_due,390),p_today),"")</f>
        <v/>
      </c>
      <c r="T399" t="str">
        <f>IF(ISNUMBER(INDEX(pl_period,390)),INDEX(pl_period,390),"")</f>
        <v/>
      </c>
      <c r="U399">
        <f>N(INDEX(pl_dur,390))</f>
        <v>0.0</v>
      </c>
    </row>
    <row r="400">
      <c r="A400" s="93" t="str">
        <f>IF(INDEX(pl_status,391)="","",INDEX(pl_num,391)&amp;"")</f>
        <v/>
      </c>
      <c r="B400" s="93" t="str">
        <f>IF(INDEX(pl_status,391)="","",INDEX(pl_eq,391)&amp;"")</f>
        <v/>
      </c>
      <c r="C400" s="93" t="str">
        <f>IF(INDEX(pl_status,391)="","",INDEX(pl_task,391)&amp;"")</f>
        <v/>
      </c>
      <c r="D400" s="94" t="str">
        <f>IF(ISNUMBER(INDEX(pl_due,391)),INDEX(pl_due,391),"")</f>
        <v/>
      </c>
      <c r="E400" s="95" t="str">
        <f>INDEX(pl_status,391)&amp;""</f>
        <v/>
      </c>
      <c r="F400" s="96" t="str">
        <f>IF(E400="En retard","●","")</f>
        <v/>
      </c>
      <c r="G400" s="97">
        <f>IF(ISNUMBER($S400),MAX(0,INT((G$6+6-$S400)/$T400)-MAX(0,-INT(-(G$6-$S400)/$T400))+1),0)</f>
        <v>0.0</v>
      </c>
      <c r="H400" s="97">
        <f>IF(ISNUMBER($S400),MAX(0,INT((H$6+6-$S400)/$T400)-MAX(0,-INT(-(H$6-$S400)/$T400))+1),0)</f>
        <v>0.0</v>
      </c>
      <c r="I400" s="97">
        <f>IF(ISNUMBER($S400),MAX(0,INT((I$6+6-$S400)/$T400)-MAX(0,-INT(-(I$6-$S400)/$T400))+1),0)</f>
        <v>0.0</v>
      </c>
      <c r="J400" s="97">
        <f>IF(ISNUMBER($S400),MAX(0,INT((J$6+6-$S400)/$T400)-MAX(0,-INT(-(J$6-$S400)/$T400))+1),0)</f>
        <v>0.0</v>
      </c>
      <c r="K400" s="97">
        <f>IF(ISNUMBER($S400),MAX(0,INT((K$6+6-$S400)/$T400)-MAX(0,-INT(-(K$6-$S400)/$T400))+1),0)</f>
        <v>0.0</v>
      </c>
      <c r="L400" s="97">
        <f>IF(ISNUMBER($S400),MAX(0,INT((L$6+6-$S400)/$T400)-MAX(0,-INT(-(L$6-$S400)/$T400))+1),0)</f>
        <v>0.0</v>
      </c>
      <c r="M400" s="97">
        <f>IF(ISNUMBER($S400),MAX(0,INT((M$6+6-$S400)/$T400)-MAX(0,-INT(-(M$6-$S400)/$T400))+1),0)</f>
        <v>0.0</v>
      </c>
      <c r="N400" s="97">
        <f>IF(ISNUMBER($S400),MAX(0,INT((N$6+6-$S400)/$T400)-MAX(0,-INT(-(N$6-$S400)/$T400))+1),0)</f>
        <v>0.0</v>
      </c>
      <c r="O400" s="97">
        <f>IF(ISNUMBER($S400),MAX(0,INT((O$6+6-$S400)/$T400)-MAX(0,-INT(-(O$6-$S400)/$T400))+1),0)</f>
        <v>0.0</v>
      </c>
      <c r="P400" s="97">
        <f>IF(ISNUMBER($S400),MAX(0,INT((P$6+6-$S400)/$T400)-MAX(0,-INT(-(P$6-$S400)/$T400))+1),0)</f>
        <v>0.0</v>
      </c>
      <c r="Q400" s="97">
        <f>IF(ISNUMBER($S400),MAX(0,INT((Q$6+6-$S400)/$T400)-MAX(0,-INT(-(Q$6-$S400)/$T400))+1),0)</f>
        <v>0.0</v>
      </c>
      <c r="R400" s="97">
        <f>IF(ISNUMBER($S400),MAX(0,INT((R$6+6-$S400)/$T400)-MAX(0,-INT(-(R$6-$S400)/$T400))+1),0)</f>
        <v>0.0</v>
      </c>
      <c r="S400" t="str">
        <f>IF(ISNUMBER(INDEX(pl_period,391)),MAX(INDEX(pl_due,391),p_today),"")</f>
        <v/>
      </c>
      <c r="T400" t="str">
        <f>IF(ISNUMBER(INDEX(pl_period,391)),INDEX(pl_period,391),"")</f>
        <v/>
      </c>
      <c r="U400">
        <f>N(INDEX(pl_dur,391))</f>
        <v>0.0</v>
      </c>
    </row>
    <row r="401">
      <c r="A401" s="93" t="str">
        <f>IF(INDEX(pl_status,392)="","",INDEX(pl_num,392)&amp;"")</f>
        <v/>
      </c>
      <c r="B401" s="93" t="str">
        <f>IF(INDEX(pl_status,392)="","",INDEX(pl_eq,392)&amp;"")</f>
        <v/>
      </c>
      <c r="C401" s="93" t="str">
        <f>IF(INDEX(pl_status,392)="","",INDEX(pl_task,392)&amp;"")</f>
        <v/>
      </c>
      <c r="D401" s="94" t="str">
        <f>IF(ISNUMBER(INDEX(pl_due,392)),INDEX(pl_due,392),"")</f>
        <v/>
      </c>
      <c r="E401" s="95" t="str">
        <f>INDEX(pl_status,392)&amp;""</f>
        <v/>
      </c>
      <c r="F401" s="96" t="str">
        <f>IF(E401="En retard","●","")</f>
        <v/>
      </c>
      <c r="G401" s="97">
        <f>IF(ISNUMBER($S401),MAX(0,INT((G$6+6-$S401)/$T401)-MAX(0,-INT(-(G$6-$S401)/$T401))+1),0)</f>
        <v>0.0</v>
      </c>
      <c r="H401" s="97">
        <f>IF(ISNUMBER($S401),MAX(0,INT((H$6+6-$S401)/$T401)-MAX(0,-INT(-(H$6-$S401)/$T401))+1),0)</f>
        <v>0.0</v>
      </c>
      <c r="I401" s="97">
        <f>IF(ISNUMBER($S401),MAX(0,INT((I$6+6-$S401)/$T401)-MAX(0,-INT(-(I$6-$S401)/$T401))+1),0)</f>
        <v>0.0</v>
      </c>
      <c r="J401" s="97">
        <f>IF(ISNUMBER($S401),MAX(0,INT((J$6+6-$S401)/$T401)-MAX(0,-INT(-(J$6-$S401)/$T401))+1),0)</f>
        <v>0.0</v>
      </c>
      <c r="K401" s="97">
        <f>IF(ISNUMBER($S401),MAX(0,INT((K$6+6-$S401)/$T401)-MAX(0,-INT(-(K$6-$S401)/$T401))+1),0)</f>
        <v>0.0</v>
      </c>
      <c r="L401" s="97">
        <f>IF(ISNUMBER($S401),MAX(0,INT((L$6+6-$S401)/$T401)-MAX(0,-INT(-(L$6-$S401)/$T401))+1),0)</f>
        <v>0.0</v>
      </c>
      <c r="M401" s="97">
        <f>IF(ISNUMBER($S401),MAX(0,INT((M$6+6-$S401)/$T401)-MAX(0,-INT(-(M$6-$S401)/$T401))+1),0)</f>
        <v>0.0</v>
      </c>
      <c r="N401" s="97">
        <f>IF(ISNUMBER($S401),MAX(0,INT((N$6+6-$S401)/$T401)-MAX(0,-INT(-(N$6-$S401)/$T401))+1),0)</f>
        <v>0.0</v>
      </c>
      <c r="O401" s="97">
        <f>IF(ISNUMBER($S401),MAX(0,INT((O$6+6-$S401)/$T401)-MAX(0,-INT(-(O$6-$S401)/$T401))+1),0)</f>
        <v>0.0</v>
      </c>
      <c r="P401" s="97">
        <f>IF(ISNUMBER($S401),MAX(0,INT((P$6+6-$S401)/$T401)-MAX(0,-INT(-(P$6-$S401)/$T401))+1),0)</f>
        <v>0.0</v>
      </c>
      <c r="Q401" s="97">
        <f>IF(ISNUMBER($S401),MAX(0,INT((Q$6+6-$S401)/$T401)-MAX(0,-INT(-(Q$6-$S401)/$T401))+1),0)</f>
        <v>0.0</v>
      </c>
      <c r="R401" s="97">
        <f>IF(ISNUMBER($S401),MAX(0,INT((R$6+6-$S401)/$T401)-MAX(0,-INT(-(R$6-$S401)/$T401))+1),0)</f>
        <v>0.0</v>
      </c>
      <c r="S401" t="str">
        <f>IF(ISNUMBER(INDEX(pl_period,392)),MAX(INDEX(pl_due,392),p_today),"")</f>
        <v/>
      </c>
      <c r="T401" t="str">
        <f>IF(ISNUMBER(INDEX(pl_period,392)),INDEX(pl_period,392),"")</f>
        <v/>
      </c>
      <c r="U401">
        <f>N(INDEX(pl_dur,392))</f>
        <v>0.0</v>
      </c>
    </row>
    <row r="402">
      <c r="A402" s="93" t="str">
        <f>IF(INDEX(pl_status,393)="","",INDEX(pl_num,393)&amp;"")</f>
        <v/>
      </c>
      <c r="B402" s="93" t="str">
        <f>IF(INDEX(pl_status,393)="","",INDEX(pl_eq,393)&amp;"")</f>
        <v/>
      </c>
      <c r="C402" s="93" t="str">
        <f>IF(INDEX(pl_status,393)="","",INDEX(pl_task,393)&amp;"")</f>
        <v/>
      </c>
      <c r="D402" s="94" t="str">
        <f>IF(ISNUMBER(INDEX(pl_due,393)),INDEX(pl_due,393),"")</f>
        <v/>
      </c>
      <c r="E402" s="95" t="str">
        <f>INDEX(pl_status,393)&amp;""</f>
        <v/>
      </c>
      <c r="F402" s="96" t="str">
        <f>IF(E402="En retard","●","")</f>
        <v/>
      </c>
      <c r="G402" s="97">
        <f>IF(ISNUMBER($S402),MAX(0,INT((G$6+6-$S402)/$T402)-MAX(0,-INT(-(G$6-$S402)/$T402))+1),0)</f>
        <v>0.0</v>
      </c>
      <c r="H402" s="97">
        <f>IF(ISNUMBER($S402),MAX(0,INT((H$6+6-$S402)/$T402)-MAX(0,-INT(-(H$6-$S402)/$T402))+1),0)</f>
        <v>0.0</v>
      </c>
      <c r="I402" s="97">
        <f>IF(ISNUMBER($S402),MAX(0,INT((I$6+6-$S402)/$T402)-MAX(0,-INT(-(I$6-$S402)/$T402))+1),0)</f>
        <v>0.0</v>
      </c>
      <c r="J402" s="97">
        <f>IF(ISNUMBER($S402),MAX(0,INT((J$6+6-$S402)/$T402)-MAX(0,-INT(-(J$6-$S402)/$T402))+1),0)</f>
        <v>0.0</v>
      </c>
      <c r="K402" s="97">
        <f>IF(ISNUMBER($S402),MAX(0,INT((K$6+6-$S402)/$T402)-MAX(0,-INT(-(K$6-$S402)/$T402))+1),0)</f>
        <v>0.0</v>
      </c>
      <c r="L402" s="97">
        <f>IF(ISNUMBER($S402),MAX(0,INT((L$6+6-$S402)/$T402)-MAX(0,-INT(-(L$6-$S402)/$T402))+1),0)</f>
        <v>0.0</v>
      </c>
      <c r="M402" s="97">
        <f>IF(ISNUMBER($S402),MAX(0,INT((M$6+6-$S402)/$T402)-MAX(0,-INT(-(M$6-$S402)/$T402))+1),0)</f>
        <v>0.0</v>
      </c>
      <c r="N402" s="97">
        <f>IF(ISNUMBER($S402),MAX(0,INT((N$6+6-$S402)/$T402)-MAX(0,-INT(-(N$6-$S402)/$T402))+1),0)</f>
        <v>0.0</v>
      </c>
      <c r="O402" s="97">
        <f>IF(ISNUMBER($S402),MAX(0,INT((O$6+6-$S402)/$T402)-MAX(0,-INT(-(O$6-$S402)/$T402))+1),0)</f>
        <v>0.0</v>
      </c>
      <c r="P402" s="97">
        <f>IF(ISNUMBER($S402),MAX(0,INT((P$6+6-$S402)/$T402)-MAX(0,-INT(-(P$6-$S402)/$T402))+1),0)</f>
        <v>0.0</v>
      </c>
      <c r="Q402" s="97">
        <f>IF(ISNUMBER($S402),MAX(0,INT((Q$6+6-$S402)/$T402)-MAX(0,-INT(-(Q$6-$S402)/$T402))+1),0)</f>
        <v>0.0</v>
      </c>
      <c r="R402" s="97">
        <f>IF(ISNUMBER($S402),MAX(0,INT((R$6+6-$S402)/$T402)-MAX(0,-INT(-(R$6-$S402)/$T402))+1),0)</f>
        <v>0.0</v>
      </c>
      <c r="S402" t="str">
        <f>IF(ISNUMBER(INDEX(pl_period,393)),MAX(INDEX(pl_due,393),p_today),"")</f>
        <v/>
      </c>
      <c r="T402" t="str">
        <f>IF(ISNUMBER(INDEX(pl_period,393)),INDEX(pl_period,393),"")</f>
        <v/>
      </c>
      <c r="U402">
        <f>N(INDEX(pl_dur,393))</f>
        <v>0.0</v>
      </c>
    </row>
    <row r="403">
      <c r="A403" s="93" t="str">
        <f>IF(INDEX(pl_status,394)="","",INDEX(pl_num,394)&amp;"")</f>
        <v/>
      </c>
      <c r="B403" s="93" t="str">
        <f>IF(INDEX(pl_status,394)="","",INDEX(pl_eq,394)&amp;"")</f>
        <v/>
      </c>
      <c r="C403" s="93" t="str">
        <f>IF(INDEX(pl_status,394)="","",INDEX(pl_task,394)&amp;"")</f>
        <v/>
      </c>
      <c r="D403" s="94" t="str">
        <f>IF(ISNUMBER(INDEX(pl_due,394)),INDEX(pl_due,394),"")</f>
        <v/>
      </c>
      <c r="E403" s="95" t="str">
        <f>INDEX(pl_status,394)&amp;""</f>
        <v/>
      </c>
      <c r="F403" s="96" t="str">
        <f>IF(E403="En retard","●","")</f>
        <v/>
      </c>
      <c r="G403" s="97">
        <f>IF(ISNUMBER($S403),MAX(0,INT((G$6+6-$S403)/$T403)-MAX(0,-INT(-(G$6-$S403)/$T403))+1),0)</f>
        <v>0.0</v>
      </c>
      <c r="H403" s="97">
        <f>IF(ISNUMBER($S403),MAX(0,INT((H$6+6-$S403)/$T403)-MAX(0,-INT(-(H$6-$S403)/$T403))+1),0)</f>
        <v>0.0</v>
      </c>
      <c r="I403" s="97">
        <f>IF(ISNUMBER($S403),MAX(0,INT((I$6+6-$S403)/$T403)-MAX(0,-INT(-(I$6-$S403)/$T403))+1),0)</f>
        <v>0.0</v>
      </c>
      <c r="J403" s="97">
        <f>IF(ISNUMBER($S403),MAX(0,INT((J$6+6-$S403)/$T403)-MAX(0,-INT(-(J$6-$S403)/$T403))+1),0)</f>
        <v>0.0</v>
      </c>
      <c r="K403" s="97">
        <f>IF(ISNUMBER($S403),MAX(0,INT((K$6+6-$S403)/$T403)-MAX(0,-INT(-(K$6-$S403)/$T403))+1),0)</f>
        <v>0.0</v>
      </c>
      <c r="L403" s="97">
        <f>IF(ISNUMBER($S403),MAX(0,INT((L$6+6-$S403)/$T403)-MAX(0,-INT(-(L$6-$S403)/$T403))+1),0)</f>
        <v>0.0</v>
      </c>
      <c r="M403" s="97">
        <f>IF(ISNUMBER($S403),MAX(0,INT((M$6+6-$S403)/$T403)-MAX(0,-INT(-(M$6-$S403)/$T403))+1),0)</f>
        <v>0.0</v>
      </c>
      <c r="N403" s="97">
        <f>IF(ISNUMBER($S403),MAX(0,INT((N$6+6-$S403)/$T403)-MAX(0,-INT(-(N$6-$S403)/$T403))+1),0)</f>
        <v>0.0</v>
      </c>
      <c r="O403" s="97">
        <f>IF(ISNUMBER($S403),MAX(0,INT((O$6+6-$S403)/$T403)-MAX(0,-INT(-(O$6-$S403)/$T403))+1),0)</f>
        <v>0.0</v>
      </c>
      <c r="P403" s="97">
        <f>IF(ISNUMBER($S403),MAX(0,INT((P$6+6-$S403)/$T403)-MAX(0,-INT(-(P$6-$S403)/$T403))+1),0)</f>
        <v>0.0</v>
      </c>
      <c r="Q403" s="97">
        <f>IF(ISNUMBER($S403),MAX(0,INT((Q$6+6-$S403)/$T403)-MAX(0,-INT(-(Q$6-$S403)/$T403))+1),0)</f>
        <v>0.0</v>
      </c>
      <c r="R403" s="97">
        <f>IF(ISNUMBER($S403),MAX(0,INT((R$6+6-$S403)/$T403)-MAX(0,-INT(-(R$6-$S403)/$T403))+1),0)</f>
        <v>0.0</v>
      </c>
      <c r="S403" t="str">
        <f>IF(ISNUMBER(INDEX(pl_period,394)),MAX(INDEX(pl_due,394),p_today),"")</f>
        <v/>
      </c>
      <c r="T403" t="str">
        <f>IF(ISNUMBER(INDEX(pl_period,394)),INDEX(pl_period,394),"")</f>
        <v/>
      </c>
      <c r="U403">
        <f>N(INDEX(pl_dur,394))</f>
        <v>0.0</v>
      </c>
    </row>
    <row r="404">
      <c r="A404" s="93" t="str">
        <f>IF(INDEX(pl_status,395)="","",INDEX(pl_num,395)&amp;"")</f>
        <v/>
      </c>
      <c r="B404" s="93" t="str">
        <f>IF(INDEX(pl_status,395)="","",INDEX(pl_eq,395)&amp;"")</f>
        <v/>
      </c>
      <c r="C404" s="93" t="str">
        <f>IF(INDEX(pl_status,395)="","",INDEX(pl_task,395)&amp;"")</f>
        <v/>
      </c>
      <c r="D404" s="94" t="str">
        <f>IF(ISNUMBER(INDEX(pl_due,395)),INDEX(pl_due,395),"")</f>
        <v/>
      </c>
      <c r="E404" s="95" t="str">
        <f>INDEX(pl_status,395)&amp;""</f>
        <v/>
      </c>
      <c r="F404" s="96" t="str">
        <f>IF(E404="En retard","●","")</f>
        <v/>
      </c>
      <c r="G404" s="97">
        <f>IF(ISNUMBER($S404),MAX(0,INT((G$6+6-$S404)/$T404)-MAX(0,-INT(-(G$6-$S404)/$T404))+1),0)</f>
        <v>0.0</v>
      </c>
      <c r="H404" s="97">
        <f>IF(ISNUMBER($S404),MAX(0,INT((H$6+6-$S404)/$T404)-MAX(0,-INT(-(H$6-$S404)/$T404))+1),0)</f>
        <v>0.0</v>
      </c>
      <c r="I404" s="97">
        <f>IF(ISNUMBER($S404),MAX(0,INT((I$6+6-$S404)/$T404)-MAX(0,-INT(-(I$6-$S404)/$T404))+1),0)</f>
        <v>0.0</v>
      </c>
      <c r="J404" s="97">
        <f>IF(ISNUMBER($S404),MAX(0,INT((J$6+6-$S404)/$T404)-MAX(0,-INT(-(J$6-$S404)/$T404))+1),0)</f>
        <v>0.0</v>
      </c>
      <c r="K404" s="97">
        <f>IF(ISNUMBER($S404),MAX(0,INT((K$6+6-$S404)/$T404)-MAX(0,-INT(-(K$6-$S404)/$T404))+1),0)</f>
        <v>0.0</v>
      </c>
      <c r="L404" s="97">
        <f>IF(ISNUMBER($S404),MAX(0,INT((L$6+6-$S404)/$T404)-MAX(0,-INT(-(L$6-$S404)/$T404))+1),0)</f>
        <v>0.0</v>
      </c>
      <c r="M404" s="97">
        <f>IF(ISNUMBER($S404),MAX(0,INT((M$6+6-$S404)/$T404)-MAX(0,-INT(-(M$6-$S404)/$T404))+1),0)</f>
        <v>0.0</v>
      </c>
      <c r="N404" s="97">
        <f>IF(ISNUMBER($S404),MAX(0,INT((N$6+6-$S404)/$T404)-MAX(0,-INT(-(N$6-$S404)/$T404))+1),0)</f>
        <v>0.0</v>
      </c>
      <c r="O404" s="97">
        <f>IF(ISNUMBER($S404),MAX(0,INT((O$6+6-$S404)/$T404)-MAX(0,-INT(-(O$6-$S404)/$T404))+1),0)</f>
        <v>0.0</v>
      </c>
      <c r="P404" s="97">
        <f>IF(ISNUMBER($S404),MAX(0,INT((P$6+6-$S404)/$T404)-MAX(0,-INT(-(P$6-$S404)/$T404))+1),0)</f>
        <v>0.0</v>
      </c>
      <c r="Q404" s="97">
        <f>IF(ISNUMBER($S404),MAX(0,INT((Q$6+6-$S404)/$T404)-MAX(0,-INT(-(Q$6-$S404)/$T404))+1),0)</f>
        <v>0.0</v>
      </c>
      <c r="R404" s="97">
        <f>IF(ISNUMBER($S404),MAX(0,INT((R$6+6-$S404)/$T404)-MAX(0,-INT(-(R$6-$S404)/$T404))+1),0)</f>
        <v>0.0</v>
      </c>
      <c r="S404" t="str">
        <f>IF(ISNUMBER(INDEX(pl_period,395)),MAX(INDEX(pl_due,395),p_today),"")</f>
        <v/>
      </c>
      <c r="T404" t="str">
        <f>IF(ISNUMBER(INDEX(pl_period,395)),INDEX(pl_period,395),"")</f>
        <v/>
      </c>
      <c r="U404">
        <f>N(INDEX(pl_dur,395))</f>
        <v>0.0</v>
      </c>
    </row>
    <row r="405">
      <c r="A405" s="93" t="str">
        <f>IF(INDEX(pl_status,396)="","",INDEX(pl_num,396)&amp;"")</f>
        <v/>
      </c>
      <c r="B405" s="93" t="str">
        <f>IF(INDEX(pl_status,396)="","",INDEX(pl_eq,396)&amp;"")</f>
        <v/>
      </c>
      <c r="C405" s="93" t="str">
        <f>IF(INDEX(pl_status,396)="","",INDEX(pl_task,396)&amp;"")</f>
        <v/>
      </c>
      <c r="D405" s="94" t="str">
        <f>IF(ISNUMBER(INDEX(pl_due,396)),INDEX(pl_due,396),"")</f>
        <v/>
      </c>
      <c r="E405" s="95" t="str">
        <f>INDEX(pl_status,396)&amp;""</f>
        <v/>
      </c>
      <c r="F405" s="96" t="str">
        <f>IF(E405="En retard","●","")</f>
        <v/>
      </c>
      <c r="G405" s="97">
        <f>IF(ISNUMBER($S405),MAX(0,INT((G$6+6-$S405)/$T405)-MAX(0,-INT(-(G$6-$S405)/$T405))+1),0)</f>
        <v>0.0</v>
      </c>
      <c r="H405" s="97">
        <f>IF(ISNUMBER($S405),MAX(0,INT((H$6+6-$S405)/$T405)-MAX(0,-INT(-(H$6-$S405)/$T405))+1),0)</f>
        <v>0.0</v>
      </c>
      <c r="I405" s="97">
        <f>IF(ISNUMBER($S405),MAX(0,INT((I$6+6-$S405)/$T405)-MAX(0,-INT(-(I$6-$S405)/$T405))+1),0)</f>
        <v>0.0</v>
      </c>
      <c r="J405" s="97">
        <f>IF(ISNUMBER($S405),MAX(0,INT((J$6+6-$S405)/$T405)-MAX(0,-INT(-(J$6-$S405)/$T405))+1),0)</f>
        <v>0.0</v>
      </c>
      <c r="K405" s="97">
        <f>IF(ISNUMBER($S405),MAX(0,INT((K$6+6-$S405)/$T405)-MAX(0,-INT(-(K$6-$S405)/$T405))+1),0)</f>
        <v>0.0</v>
      </c>
      <c r="L405" s="97">
        <f>IF(ISNUMBER($S405),MAX(0,INT((L$6+6-$S405)/$T405)-MAX(0,-INT(-(L$6-$S405)/$T405))+1),0)</f>
        <v>0.0</v>
      </c>
      <c r="M405" s="97">
        <f>IF(ISNUMBER($S405),MAX(0,INT((M$6+6-$S405)/$T405)-MAX(0,-INT(-(M$6-$S405)/$T405))+1),0)</f>
        <v>0.0</v>
      </c>
      <c r="N405" s="97">
        <f>IF(ISNUMBER($S405),MAX(0,INT((N$6+6-$S405)/$T405)-MAX(0,-INT(-(N$6-$S405)/$T405))+1),0)</f>
        <v>0.0</v>
      </c>
      <c r="O405" s="97">
        <f>IF(ISNUMBER($S405),MAX(0,INT((O$6+6-$S405)/$T405)-MAX(0,-INT(-(O$6-$S405)/$T405))+1),0)</f>
        <v>0.0</v>
      </c>
      <c r="P405" s="97">
        <f>IF(ISNUMBER($S405),MAX(0,INT((P$6+6-$S405)/$T405)-MAX(0,-INT(-(P$6-$S405)/$T405))+1),0)</f>
        <v>0.0</v>
      </c>
      <c r="Q405" s="97">
        <f>IF(ISNUMBER($S405),MAX(0,INT((Q$6+6-$S405)/$T405)-MAX(0,-INT(-(Q$6-$S405)/$T405))+1),0)</f>
        <v>0.0</v>
      </c>
      <c r="R405" s="97">
        <f>IF(ISNUMBER($S405),MAX(0,INT((R$6+6-$S405)/$T405)-MAX(0,-INT(-(R$6-$S405)/$T405))+1),0)</f>
        <v>0.0</v>
      </c>
      <c r="S405" t="str">
        <f>IF(ISNUMBER(INDEX(pl_period,396)),MAX(INDEX(pl_due,396),p_today),"")</f>
        <v/>
      </c>
      <c r="T405" t="str">
        <f>IF(ISNUMBER(INDEX(pl_period,396)),INDEX(pl_period,396),"")</f>
        <v/>
      </c>
      <c r="U405">
        <f>N(INDEX(pl_dur,396))</f>
        <v>0.0</v>
      </c>
    </row>
    <row r="406">
      <c r="A406" s="93" t="str">
        <f>IF(INDEX(pl_status,397)="","",INDEX(pl_num,397)&amp;"")</f>
        <v/>
      </c>
      <c r="B406" s="93" t="str">
        <f>IF(INDEX(pl_status,397)="","",INDEX(pl_eq,397)&amp;"")</f>
        <v/>
      </c>
      <c r="C406" s="93" t="str">
        <f>IF(INDEX(pl_status,397)="","",INDEX(pl_task,397)&amp;"")</f>
        <v/>
      </c>
      <c r="D406" s="94" t="str">
        <f>IF(ISNUMBER(INDEX(pl_due,397)),INDEX(pl_due,397),"")</f>
        <v/>
      </c>
      <c r="E406" s="95" t="str">
        <f>INDEX(pl_status,397)&amp;""</f>
        <v/>
      </c>
      <c r="F406" s="96" t="str">
        <f>IF(E406="En retard","●","")</f>
        <v/>
      </c>
      <c r="G406" s="97">
        <f>IF(ISNUMBER($S406),MAX(0,INT((G$6+6-$S406)/$T406)-MAX(0,-INT(-(G$6-$S406)/$T406))+1),0)</f>
        <v>0.0</v>
      </c>
      <c r="H406" s="97">
        <f>IF(ISNUMBER($S406),MAX(0,INT((H$6+6-$S406)/$T406)-MAX(0,-INT(-(H$6-$S406)/$T406))+1),0)</f>
        <v>0.0</v>
      </c>
      <c r="I406" s="97">
        <f>IF(ISNUMBER($S406),MAX(0,INT((I$6+6-$S406)/$T406)-MAX(0,-INT(-(I$6-$S406)/$T406))+1),0)</f>
        <v>0.0</v>
      </c>
      <c r="J406" s="97">
        <f>IF(ISNUMBER($S406),MAX(0,INT((J$6+6-$S406)/$T406)-MAX(0,-INT(-(J$6-$S406)/$T406))+1),0)</f>
        <v>0.0</v>
      </c>
      <c r="K406" s="97">
        <f>IF(ISNUMBER($S406),MAX(0,INT((K$6+6-$S406)/$T406)-MAX(0,-INT(-(K$6-$S406)/$T406))+1),0)</f>
        <v>0.0</v>
      </c>
      <c r="L406" s="97">
        <f>IF(ISNUMBER($S406),MAX(0,INT((L$6+6-$S406)/$T406)-MAX(0,-INT(-(L$6-$S406)/$T406))+1),0)</f>
        <v>0.0</v>
      </c>
      <c r="M406" s="97">
        <f>IF(ISNUMBER($S406),MAX(0,INT((M$6+6-$S406)/$T406)-MAX(0,-INT(-(M$6-$S406)/$T406))+1),0)</f>
        <v>0.0</v>
      </c>
      <c r="N406" s="97">
        <f>IF(ISNUMBER($S406),MAX(0,INT((N$6+6-$S406)/$T406)-MAX(0,-INT(-(N$6-$S406)/$T406))+1),0)</f>
        <v>0.0</v>
      </c>
      <c r="O406" s="97">
        <f>IF(ISNUMBER($S406),MAX(0,INT((O$6+6-$S406)/$T406)-MAX(0,-INT(-(O$6-$S406)/$T406))+1),0)</f>
        <v>0.0</v>
      </c>
      <c r="P406" s="97">
        <f>IF(ISNUMBER($S406),MAX(0,INT((P$6+6-$S406)/$T406)-MAX(0,-INT(-(P$6-$S406)/$T406))+1),0)</f>
        <v>0.0</v>
      </c>
      <c r="Q406" s="97">
        <f>IF(ISNUMBER($S406),MAX(0,INT((Q$6+6-$S406)/$T406)-MAX(0,-INT(-(Q$6-$S406)/$T406))+1),0)</f>
        <v>0.0</v>
      </c>
      <c r="R406" s="97">
        <f>IF(ISNUMBER($S406),MAX(0,INT((R$6+6-$S406)/$T406)-MAX(0,-INT(-(R$6-$S406)/$T406))+1),0)</f>
        <v>0.0</v>
      </c>
      <c r="S406" t="str">
        <f>IF(ISNUMBER(INDEX(pl_period,397)),MAX(INDEX(pl_due,397),p_today),"")</f>
        <v/>
      </c>
      <c r="T406" t="str">
        <f>IF(ISNUMBER(INDEX(pl_period,397)),INDEX(pl_period,397),"")</f>
        <v/>
      </c>
      <c r="U406">
        <f>N(INDEX(pl_dur,397))</f>
        <v>0.0</v>
      </c>
    </row>
    <row r="407">
      <c r="A407" s="93" t="str">
        <f>IF(INDEX(pl_status,398)="","",INDEX(pl_num,398)&amp;"")</f>
        <v/>
      </c>
      <c r="B407" s="93" t="str">
        <f>IF(INDEX(pl_status,398)="","",INDEX(pl_eq,398)&amp;"")</f>
        <v/>
      </c>
      <c r="C407" s="93" t="str">
        <f>IF(INDEX(pl_status,398)="","",INDEX(pl_task,398)&amp;"")</f>
        <v/>
      </c>
      <c r="D407" s="94" t="str">
        <f>IF(ISNUMBER(INDEX(pl_due,398)),INDEX(pl_due,398),"")</f>
        <v/>
      </c>
      <c r="E407" s="95" t="str">
        <f>INDEX(pl_status,398)&amp;""</f>
        <v/>
      </c>
      <c r="F407" s="96" t="str">
        <f>IF(E407="En retard","●","")</f>
        <v/>
      </c>
      <c r="G407" s="97">
        <f>IF(ISNUMBER($S407),MAX(0,INT((G$6+6-$S407)/$T407)-MAX(0,-INT(-(G$6-$S407)/$T407))+1),0)</f>
        <v>0.0</v>
      </c>
      <c r="H407" s="97">
        <f>IF(ISNUMBER($S407),MAX(0,INT((H$6+6-$S407)/$T407)-MAX(0,-INT(-(H$6-$S407)/$T407))+1),0)</f>
        <v>0.0</v>
      </c>
      <c r="I407" s="97">
        <f>IF(ISNUMBER($S407),MAX(0,INT((I$6+6-$S407)/$T407)-MAX(0,-INT(-(I$6-$S407)/$T407))+1),0)</f>
        <v>0.0</v>
      </c>
      <c r="J407" s="97">
        <f>IF(ISNUMBER($S407),MAX(0,INT((J$6+6-$S407)/$T407)-MAX(0,-INT(-(J$6-$S407)/$T407))+1),0)</f>
        <v>0.0</v>
      </c>
      <c r="K407" s="97">
        <f>IF(ISNUMBER($S407),MAX(0,INT((K$6+6-$S407)/$T407)-MAX(0,-INT(-(K$6-$S407)/$T407))+1),0)</f>
        <v>0.0</v>
      </c>
      <c r="L407" s="97">
        <f>IF(ISNUMBER($S407),MAX(0,INT((L$6+6-$S407)/$T407)-MAX(0,-INT(-(L$6-$S407)/$T407))+1),0)</f>
        <v>0.0</v>
      </c>
      <c r="M407" s="97">
        <f>IF(ISNUMBER($S407),MAX(0,INT((M$6+6-$S407)/$T407)-MAX(0,-INT(-(M$6-$S407)/$T407))+1),0)</f>
        <v>0.0</v>
      </c>
      <c r="N407" s="97">
        <f>IF(ISNUMBER($S407),MAX(0,INT((N$6+6-$S407)/$T407)-MAX(0,-INT(-(N$6-$S407)/$T407))+1),0)</f>
        <v>0.0</v>
      </c>
      <c r="O407" s="97">
        <f>IF(ISNUMBER($S407),MAX(0,INT((O$6+6-$S407)/$T407)-MAX(0,-INT(-(O$6-$S407)/$T407))+1),0)</f>
        <v>0.0</v>
      </c>
      <c r="P407" s="97">
        <f>IF(ISNUMBER($S407),MAX(0,INT((P$6+6-$S407)/$T407)-MAX(0,-INT(-(P$6-$S407)/$T407))+1),0)</f>
        <v>0.0</v>
      </c>
      <c r="Q407" s="97">
        <f>IF(ISNUMBER($S407),MAX(0,INT((Q$6+6-$S407)/$T407)-MAX(0,-INT(-(Q$6-$S407)/$T407))+1),0)</f>
        <v>0.0</v>
      </c>
      <c r="R407" s="97">
        <f>IF(ISNUMBER($S407),MAX(0,INT((R$6+6-$S407)/$T407)-MAX(0,-INT(-(R$6-$S407)/$T407))+1),0)</f>
        <v>0.0</v>
      </c>
      <c r="S407" t="str">
        <f>IF(ISNUMBER(INDEX(pl_period,398)),MAX(INDEX(pl_due,398),p_today),"")</f>
        <v/>
      </c>
      <c r="T407" t="str">
        <f>IF(ISNUMBER(INDEX(pl_period,398)),INDEX(pl_period,398),"")</f>
        <v/>
      </c>
      <c r="U407">
        <f>N(INDEX(pl_dur,398))</f>
        <v>0.0</v>
      </c>
    </row>
    <row r="408">
      <c r="A408" s="93" t="str">
        <f>IF(INDEX(pl_status,399)="","",INDEX(pl_num,399)&amp;"")</f>
        <v/>
      </c>
      <c r="B408" s="93" t="str">
        <f>IF(INDEX(pl_status,399)="","",INDEX(pl_eq,399)&amp;"")</f>
        <v/>
      </c>
      <c r="C408" s="93" t="str">
        <f>IF(INDEX(pl_status,399)="","",INDEX(pl_task,399)&amp;"")</f>
        <v/>
      </c>
      <c r="D408" s="94" t="str">
        <f>IF(ISNUMBER(INDEX(pl_due,399)),INDEX(pl_due,399),"")</f>
        <v/>
      </c>
      <c r="E408" s="95" t="str">
        <f>INDEX(pl_status,399)&amp;""</f>
        <v/>
      </c>
      <c r="F408" s="96" t="str">
        <f>IF(E408="En retard","●","")</f>
        <v/>
      </c>
      <c r="G408" s="97">
        <f>IF(ISNUMBER($S408),MAX(0,INT((G$6+6-$S408)/$T408)-MAX(0,-INT(-(G$6-$S408)/$T408))+1),0)</f>
        <v>0.0</v>
      </c>
      <c r="H408" s="97">
        <f>IF(ISNUMBER($S408),MAX(0,INT((H$6+6-$S408)/$T408)-MAX(0,-INT(-(H$6-$S408)/$T408))+1),0)</f>
        <v>0.0</v>
      </c>
      <c r="I408" s="97">
        <f>IF(ISNUMBER($S408),MAX(0,INT((I$6+6-$S408)/$T408)-MAX(0,-INT(-(I$6-$S408)/$T408))+1),0)</f>
        <v>0.0</v>
      </c>
      <c r="J408" s="97">
        <f>IF(ISNUMBER($S408),MAX(0,INT((J$6+6-$S408)/$T408)-MAX(0,-INT(-(J$6-$S408)/$T408))+1),0)</f>
        <v>0.0</v>
      </c>
      <c r="K408" s="97">
        <f>IF(ISNUMBER($S408),MAX(0,INT((K$6+6-$S408)/$T408)-MAX(0,-INT(-(K$6-$S408)/$T408))+1),0)</f>
        <v>0.0</v>
      </c>
      <c r="L408" s="97">
        <f>IF(ISNUMBER($S408),MAX(0,INT((L$6+6-$S408)/$T408)-MAX(0,-INT(-(L$6-$S408)/$T408))+1),0)</f>
        <v>0.0</v>
      </c>
      <c r="M408" s="97">
        <f>IF(ISNUMBER($S408),MAX(0,INT((M$6+6-$S408)/$T408)-MAX(0,-INT(-(M$6-$S408)/$T408))+1),0)</f>
        <v>0.0</v>
      </c>
      <c r="N408" s="97">
        <f>IF(ISNUMBER($S408),MAX(0,INT((N$6+6-$S408)/$T408)-MAX(0,-INT(-(N$6-$S408)/$T408))+1),0)</f>
        <v>0.0</v>
      </c>
      <c r="O408" s="97">
        <f>IF(ISNUMBER($S408),MAX(0,INT((O$6+6-$S408)/$T408)-MAX(0,-INT(-(O$6-$S408)/$T408))+1),0)</f>
        <v>0.0</v>
      </c>
      <c r="P408" s="97">
        <f>IF(ISNUMBER($S408),MAX(0,INT((P$6+6-$S408)/$T408)-MAX(0,-INT(-(P$6-$S408)/$T408))+1),0)</f>
        <v>0.0</v>
      </c>
      <c r="Q408" s="97">
        <f>IF(ISNUMBER($S408),MAX(0,INT((Q$6+6-$S408)/$T408)-MAX(0,-INT(-(Q$6-$S408)/$T408))+1),0)</f>
        <v>0.0</v>
      </c>
      <c r="R408" s="97">
        <f>IF(ISNUMBER($S408),MAX(0,INT((R$6+6-$S408)/$T408)-MAX(0,-INT(-(R$6-$S408)/$T408))+1),0)</f>
        <v>0.0</v>
      </c>
      <c r="S408" t="str">
        <f>IF(ISNUMBER(INDEX(pl_period,399)),MAX(INDEX(pl_due,399),p_today),"")</f>
        <v/>
      </c>
      <c r="T408" t="str">
        <f>IF(ISNUMBER(INDEX(pl_period,399)),INDEX(pl_period,399),"")</f>
        <v/>
      </c>
      <c r="U408">
        <f>N(INDEX(pl_dur,399))</f>
        <v>0.0</v>
      </c>
    </row>
    <row r="409">
      <c r="A409" s="93" t="str">
        <f>IF(INDEX(pl_status,400)="","",INDEX(pl_num,400)&amp;"")</f>
        <v/>
      </c>
      <c r="B409" s="93" t="str">
        <f>IF(INDEX(pl_status,400)="","",INDEX(pl_eq,400)&amp;"")</f>
        <v/>
      </c>
      <c r="C409" s="93" t="str">
        <f>IF(INDEX(pl_status,400)="","",INDEX(pl_task,400)&amp;"")</f>
        <v/>
      </c>
      <c r="D409" s="94" t="str">
        <f>IF(ISNUMBER(INDEX(pl_due,400)),INDEX(pl_due,400),"")</f>
        <v/>
      </c>
      <c r="E409" s="95" t="str">
        <f>INDEX(pl_status,400)&amp;""</f>
        <v/>
      </c>
      <c r="F409" s="96" t="str">
        <f>IF(E409="En retard","●","")</f>
        <v/>
      </c>
      <c r="G409" s="97">
        <f>IF(ISNUMBER($S409),MAX(0,INT((G$6+6-$S409)/$T409)-MAX(0,-INT(-(G$6-$S409)/$T409))+1),0)</f>
        <v>0.0</v>
      </c>
      <c r="H409" s="97">
        <f>IF(ISNUMBER($S409),MAX(0,INT((H$6+6-$S409)/$T409)-MAX(0,-INT(-(H$6-$S409)/$T409))+1),0)</f>
        <v>0.0</v>
      </c>
      <c r="I409" s="97">
        <f>IF(ISNUMBER($S409),MAX(0,INT((I$6+6-$S409)/$T409)-MAX(0,-INT(-(I$6-$S409)/$T409))+1),0)</f>
        <v>0.0</v>
      </c>
      <c r="J409" s="97">
        <f>IF(ISNUMBER($S409),MAX(0,INT((J$6+6-$S409)/$T409)-MAX(0,-INT(-(J$6-$S409)/$T409))+1),0)</f>
        <v>0.0</v>
      </c>
      <c r="K409" s="97">
        <f>IF(ISNUMBER($S409),MAX(0,INT((K$6+6-$S409)/$T409)-MAX(0,-INT(-(K$6-$S409)/$T409))+1),0)</f>
        <v>0.0</v>
      </c>
      <c r="L409" s="97">
        <f>IF(ISNUMBER($S409),MAX(0,INT((L$6+6-$S409)/$T409)-MAX(0,-INT(-(L$6-$S409)/$T409))+1),0)</f>
        <v>0.0</v>
      </c>
      <c r="M409" s="97">
        <f>IF(ISNUMBER($S409),MAX(0,INT((M$6+6-$S409)/$T409)-MAX(0,-INT(-(M$6-$S409)/$T409))+1),0)</f>
        <v>0.0</v>
      </c>
      <c r="N409" s="97">
        <f>IF(ISNUMBER($S409),MAX(0,INT((N$6+6-$S409)/$T409)-MAX(0,-INT(-(N$6-$S409)/$T409))+1),0)</f>
        <v>0.0</v>
      </c>
      <c r="O409" s="97">
        <f>IF(ISNUMBER($S409),MAX(0,INT((O$6+6-$S409)/$T409)-MAX(0,-INT(-(O$6-$S409)/$T409))+1),0)</f>
        <v>0.0</v>
      </c>
      <c r="P409" s="97">
        <f>IF(ISNUMBER($S409),MAX(0,INT((P$6+6-$S409)/$T409)-MAX(0,-INT(-(P$6-$S409)/$T409))+1),0)</f>
        <v>0.0</v>
      </c>
      <c r="Q409" s="97">
        <f>IF(ISNUMBER($S409),MAX(0,INT((Q$6+6-$S409)/$T409)-MAX(0,-INT(-(Q$6-$S409)/$T409))+1),0)</f>
        <v>0.0</v>
      </c>
      <c r="R409" s="97">
        <f>IF(ISNUMBER($S409),MAX(0,INT((R$6+6-$S409)/$T409)-MAX(0,-INT(-(R$6-$S409)/$T409))+1),0)</f>
        <v>0.0</v>
      </c>
      <c r="S409" t="str">
        <f>IF(ISNUMBER(INDEX(pl_period,400)),MAX(INDEX(pl_due,400),p_today),"")</f>
        <v/>
      </c>
      <c r="T409" t="str">
        <f>IF(ISNUMBER(INDEX(pl_period,400)),INDEX(pl_period,400),"")</f>
        <v/>
      </c>
      <c r="U409">
        <f>N(INDEX(pl_dur,400))</f>
        <v>0.0</v>
      </c>
    </row>
    <row r="410">
      <c r="A410" s="93" t="str">
        <f>IF(INDEX(pl_status,401)="","",INDEX(pl_num,401)&amp;"")</f>
        <v/>
      </c>
      <c r="B410" s="93" t="str">
        <f>IF(INDEX(pl_status,401)="","",INDEX(pl_eq,401)&amp;"")</f>
        <v/>
      </c>
      <c r="C410" s="93" t="str">
        <f>IF(INDEX(pl_status,401)="","",INDEX(pl_task,401)&amp;"")</f>
        <v/>
      </c>
      <c r="D410" s="94" t="str">
        <f>IF(ISNUMBER(INDEX(pl_due,401)),INDEX(pl_due,401),"")</f>
        <v/>
      </c>
      <c r="E410" s="95" t="str">
        <f>INDEX(pl_status,401)&amp;""</f>
        <v/>
      </c>
      <c r="F410" s="96" t="str">
        <f>IF(E410="En retard","●","")</f>
        <v/>
      </c>
      <c r="G410" s="97">
        <f>IF(ISNUMBER($S410),MAX(0,INT((G$6+6-$S410)/$T410)-MAX(0,-INT(-(G$6-$S410)/$T410))+1),0)</f>
        <v>0.0</v>
      </c>
      <c r="H410" s="97">
        <f>IF(ISNUMBER($S410),MAX(0,INT((H$6+6-$S410)/$T410)-MAX(0,-INT(-(H$6-$S410)/$T410))+1),0)</f>
        <v>0.0</v>
      </c>
      <c r="I410" s="97">
        <f>IF(ISNUMBER($S410),MAX(0,INT((I$6+6-$S410)/$T410)-MAX(0,-INT(-(I$6-$S410)/$T410))+1),0)</f>
        <v>0.0</v>
      </c>
      <c r="J410" s="97">
        <f>IF(ISNUMBER($S410),MAX(0,INT((J$6+6-$S410)/$T410)-MAX(0,-INT(-(J$6-$S410)/$T410))+1),0)</f>
        <v>0.0</v>
      </c>
      <c r="K410" s="97">
        <f>IF(ISNUMBER($S410),MAX(0,INT((K$6+6-$S410)/$T410)-MAX(0,-INT(-(K$6-$S410)/$T410))+1),0)</f>
        <v>0.0</v>
      </c>
      <c r="L410" s="97">
        <f>IF(ISNUMBER($S410),MAX(0,INT((L$6+6-$S410)/$T410)-MAX(0,-INT(-(L$6-$S410)/$T410))+1),0)</f>
        <v>0.0</v>
      </c>
      <c r="M410" s="97">
        <f>IF(ISNUMBER($S410),MAX(0,INT((M$6+6-$S410)/$T410)-MAX(0,-INT(-(M$6-$S410)/$T410))+1),0)</f>
        <v>0.0</v>
      </c>
      <c r="N410" s="97">
        <f>IF(ISNUMBER($S410),MAX(0,INT((N$6+6-$S410)/$T410)-MAX(0,-INT(-(N$6-$S410)/$T410))+1),0)</f>
        <v>0.0</v>
      </c>
      <c r="O410" s="97">
        <f>IF(ISNUMBER($S410),MAX(0,INT((O$6+6-$S410)/$T410)-MAX(0,-INT(-(O$6-$S410)/$T410))+1),0)</f>
        <v>0.0</v>
      </c>
      <c r="P410" s="97">
        <f>IF(ISNUMBER($S410),MAX(0,INT((P$6+6-$S410)/$T410)-MAX(0,-INT(-(P$6-$S410)/$T410))+1),0)</f>
        <v>0.0</v>
      </c>
      <c r="Q410" s="97">
        <f>IF(ISNUMBER($S410),MAX(0,INT((Q$6+6-$S410)/$T410)-MAX(0,-INT(-(Q$6-$S410)/$T410))+1),0)</f>
        <v>0.0</v>
      </c>
      <c r="R410" s="97">
        <f>IF(ISNUMBER($S410),MAX(0,INT((R$6+6-$S410)/$T410)-MAX(0,-INT(-(R$6-$S410)/$T410))+1),0)</f>
        <v>0.0</v>
      </c>
      <c r="S410" t="str">
        <f>IF(ISNUMBER(INDEX(pl_period,401)),MAX(INDEX(pl_due,401),p_today),"")</f>
        <v/>
      </c>
      <c r="T410" t="str">
        <f>IF(ISNUMBER(INDEX(pl_period,401)),INDEX(pl_period,401),"")</f>
        <v/>
      </c>
      <c r="U410">
        <f>N(INDEX(pl_dur,401))</f>
        <v>0.0</v>
      </c>
    </row>
    <row r="411">
      <c r="A411" s="93" t="str">
        <f>IF(INDEX(pl_status,402)="","",INDEX(pl_num,402)&amp;"")</f>
        <v/>
      </c>
      <c r="B411" s="93" t="str">
        <f>IF(INDEX(pl_status,402)="","",INDEX(pl_eq,402)&amp;"")</f>
        <v/>
      </c>
      <c r="C411" s="93" t="str">
        <f>IF(INDEX(pl_status,402)="","",INDEX(pl_task,402)&amp;"")</f>
        <v/>
      </c>
      <c r="D411" s="94" t="str">
        <f>IF(ISNUMBER(INDEX(pl_due,402)),INDEX(pl_due,402),"")</f>
        <v/>
      </c>
      <c r="E411" s="95" t="str">
        <f>INDEX(pl_status,402)&amp;""</f>
        <v/>
      </c>
      <c r="F411" s="96" t="str">
        <f>IF(E411="En retard","●","")</f>
        <v/>
      </c>
      <c r="G411" s="97">
        <f>IF(ISNUMBER($S411),MAX(0,INT((G$6+6-$S411)/$T411)-MAX(0,-INT(-(G$6-$S411)/$T411))+1),0)</f>
        <v>0.0</v>
      </c>
      <c r="H411" s="97">
        <f>IF(ISNUMBER($S411),MAX(0,INT((H$6+6-$S411)/$T411)-MAX(0,-INT(-(H$6-$S411)/$T411))+1),0)</f>
        <v>0.0</v>
      </c>
      <c r="I411" s="97">
        <f>IF(ISNUMBER($S411),MAX(0,INT((I$6+6-$S411)/$T411)-MAX(0,-INT(-(I$6-$S411)/$T411))+1),0)</f>
        <v>0.0</v>
      </c>
      <c r="J411" s="97">
        <f>IF(ISNUMBER($S411),MAX(0,INT((J$6+6-$S411)/$T411)-MAX(0,-INT(-(J$6-$S411)/$T411))+1),0)</f>
        <v>0.0</v>
      </c>
      <c r="K411" s="97">
        <f>IF(ISNUMBER($S411),MAX(0,INT((K$6+6-$S411)/$T411)-MAX(0,-INT(-(K$6-$S411)/$T411))+1),0)</f>
        <v>0.0</v>
      </c>
      <c r="L411" s="97">
        <f>IF(ISNUMBER($S411),MAX(0,INT((L$6+6-$S411)/$T411)-MAX(0,-INT(-(L$6-$S411)/$T411))+1),0)</f>
        <v>0.0</v>
      </c>
      <c r="M411" s="97">
        <f>IF(ISNUMBER($S411),MAX(0,INT((M$6+6-$S411)/$T411)-MAX(0,-INT(-(M$6-$S411)/$T411))+1),0)</f>
        <v>0.0</v>
      </c>
      <c r="N411" s="97">
        <f>IF(ISNUMBER($S411),MAX(0,INT((N$6+6-$S411)/$T411)-MAX(0,-INT(-(N$6-$S411)/$T411))+1),0)</f>
        <v>0.0</v>
      </c>
      <c r="O411" s="97">
        <f>IF(ISNUMBER($S411),MAX(0,INT((O$6+6-$S411)/$T411)-MAX(0,-INT(-(O$6-$S411)/$T411))+1),0)</f>
        <v>0.0</v>
      </c>
      <c r="P411" s="97">
        <f>IF(ISNUMBER($S411),MAX(0,INT((P$6+6-$S411)/$T411)-MAX(0,-INT(-(P$6-$S411)/$T411))+1),0)</f>
        <v>0.0</v>
      </c>
      <c r="Q411" s="97">
        <f>IF(ISNUMBER($S411),MAX(0,INT((Q$6+6-$S411)/$T411)-MAX(0,-INT(-(Q$6-$S411)/$T411))+1),0)</f>
        <v>0.0</v>
      </c>
      <c r="R411" s="97">
        <f>IF(ISNUMBER($S411),MAX(0,INT((R$6+6-$S411)/$T411)-MAX(0,-INT(-(R$6-$S411)/$T411))+1),0)</f>
        <v>0.0</v>
      </c>
      <c r="S411" t="str">
        <f>IF(ISNUMBER(INDEX(pl_period,402)),MAX(INDEX(pl_due,402),p_today),"")</f>
        <v/>
      </c>
      <c r="T411" t="str">
        <f>IF(ISNUMBER(INDEX(pl_period,402)),INDEX(pl_period,402),"")</f>
        <v/>
      </c>
      <c r="U411">
        <f>N(INDEX(pl_dur,402))</f>
        <v>0.0</v>
      </c>
    </row>
    <row r="412">
      <c r="A412" s="93" t="str">
        <f>IF(INDEX(pl_status,403)="","",INDEX(pl_num,403)&amp;"")</f>
        <v/>
      </c>
      <c r="B412" s="93" t="str">
        <f>IF(INDEX(pl_status,403)="","",INDEX(pl_eq,403)&amp;"")</f>
        <v/>
      </c>
      <c r="C412" s="93" t="str">
        <f>IF(INDEX(pl_status,403)="","",INDEX(pl_task,403)&amp;"")</f>
        <v/>
      </c>
      <c r="D412" s="94" t="str">
        <f>IF(ISNUMBER(INDEX(pl_due,403)),INDEX(pl_due,403),"")</f>
        <v/>
      </c>
      <c r="E412" s="95" t="str">
        <f>INDEX(pl_status,403)&amp;""</f>
        <v/>
      </c>
      <c r="F412" s="96" t="str">
        <f>IF(E412="En retard","●","")</f>
        <v/>
      </c>
      <c r="G412" s="97">
        <f>IF(ISNUMBER($S412),MAX(0,INT((G$6+6-$S412)/$T412)-MAX(0,-INT(-(G$6-$S412)/$T412))+1),0)</f>
        <v>0.0</v>
      </c>
      <c r="H412" s="97">
        <f>IF(ISNUMBER($S412),MAX(0,INT((H$6+6-$S412)/$T412)-MAX(0,-INT(-(H$6-$S412)/$T412))+1),0)</f>
        <v>0.0</v>
      </c>
      <c r="I412" s="97">
        <f>IF(ISNUMBER($S412),MAX(0,INT((I$6+6-$S412)/$T412)-MAX(0,-INT(-(I$6-$S412)/$T412))+1),0)</f>
        <v>0.0</v>
      </c>
      <c r="J412" s="97">
        <f>IF(ISNUMBER($S412),MAX(0,INT((J$6+6-$S412)/$T412)-MAX(0,-INT(-(J$6-$S412)/$T412))+1),0)</f>
        <v>0.0</v>
      </c>
      <c r="K412" s="97">
        <f>IF(ISNUMBER($S412),MAX(0,INT((K$6+6-$S412)/$T412)-MAX(0,-INT(-(K$6-$S412)/$T412))+1),0)</f>
        <v>0.0</v>
      </c>
      <c r="L412" s="97">
        <f>IF(ISNUMBER($S412),MAX(0,INT((L$6+6-$S412)/$T412)-MAX(0,-INT(-(L$6-$S412)/$T412))+1),0)</f>
        <v>0.0</v>
      </c>
      <c r="M412" s="97">
        <f>IF(ISNUMBER($S412),MAX(0,INT((M$6+6-$S412)/$T412)-MAX(0,-INT(-(M$6-$S412)/$T412))+1),0)</f>
        <v>0.0</v>
      </c>
      <c r="N412" s="97">
        <f>IF(ISNUMBER($S412),MAX(0,INT((N$6+6-$S412)/$T412)-MAX(0,-INT(-(N$6-$S412)/$T412))+1),0)</f>
        <v>0.0</v>
      </c>
      <c r="O412" s="97">
        <f>IF(ISNUMBER($S412),MAX(0,INT((O$6+6-$S412)/$T412)-MAX(0,-INT(-(O$6-$S412)/$T412))+1),0)</f>
        <v>0.0</v>
      </c>
      <c r="P412" s="97">
        <f>IF(ISNUMBER($S412),MAX(0,INT((P$6+6-$S412)/$T412)-MAX(0,-INT(-(P$6-$S412)/$T412))+1),0)</f>
        <v>0.0</v>
      </c>
      <c r="Q412" s="97">
        <f>IF(ISNUMBER($S412),MAX(0,INT((Q$6+6-$S412)/$T412)-MAX(0,-INT(-(Q$6-$S412)/$T412))+1),0)</f>
        <v>0.0</v>
      </c>
      <c r="R412" s="97">
        <f>IF(ISNUMBER($S412),MAX(0,INT((R$6+6-$S412)/$T412)-MAX(0,-INT(-(R$6-$S412)/$T412))+1),0)</f>
        <v>0.0</v>
      </c>
      <c r="S412" t="str">
        <f>IF(ISNUMBER(INDEX(pl_period,403)),MAX(INDEX(pl_due,403),p_today),"")</f>
        <v/>
      </c>
      <c r="T412" t="str">
        <f>IF(ISNUMBER(INDEX(pl_period,403)),INDEX(pl_period,403),"")</f>
        <v/>
      </c>
      <c r="U412">
        <f>N(INDEX(pl_dur,403))</f>
        <v>0.0</v>
      </c>
    </row>
    <row r="413">
      <c r="A413" s="93" t="str">
        <f>IF(INDEX(pl_status,404)="","",INDEX(pl_num,404)&amp;"")</f>
        <v/>
      </c>
      <c r="B413" s="93" t="str">
        <f>IF(INDEX(pl_status,404)="","",INDEX(pl_eq,404)&amp;"")</f>
        <v/>
      </c>
      <c r="C413" s="93" t="str">
        <f>IF(INDEX(pl_status,404)="","",INDEX(pl_task,404)&amp;"")</f>
        <v/>
      </c>
      <c r="D413" s="94" t="str">
        <f>IF(ISNUMBER(INDEX(pl_due,404)),INDEX(pl_due,404),"")</f>
        <v/>
      </c>
      <c r="E413" s="95" t="str">
        <f>INDEX(pl_status,404)&amp;""</f>
        <v/>
      </c>
      <c r="F413" s="96" t="str">
        <f>IF(E413="En retard","●","")</f>
        <v/>
      </c>
      <c r="G413" s="97">
        <f>IF(ISNUMBER($S413),MAX(0,INT((G$6+6-$S413)/$T413)-MAX(0,-INT(-(G$6-$S413)/$T413))+1),0)</f>
        <v>0.0</v>
      </c>
      <c r="H413" s="97">
        <f>IF(ISNUMBER($S413),MAX(0,INT((H$6+6-$S413)/$T413)-MAX(0,-INT(-(H$6-$S413)/$T413))+1),0)</f>
        <v>0.0</v>
      </c>
      <c r="I413" s="97">
        <f>IF(ISNUMBER($S413),MAX(0,INT((I$6+6-$S413)/$T413)-MAX(0,-INT(-(I$6-$S413)/$T413))+1),0)</f>
        <v>0.0</v>
      </c>
      <c r="J413" s="97">
        <f>IF(ISNUMBER($S413),MAX(0,INT((J$6+6-$S413)/$T413)-MAX(0,-INT(-(J$6-$S413)/$T413))+1),0)</f>
        <v>0.0</v>
      </c>
      <c r="K413" s="97">
        <f>IF(ISNUMBER($S413),MAX(0,INT((K$6+6-$S413)/$T413)-MAX(0,-INT(-(K$6-$S413)/$T413))+1),0)</f>
        <v>0.0</v>
      </c>
      <c r="L413" s="97">
        <f>IF(ISNUMBER($S413),MAX(0,INT((L$6+6-$S413)/$T413)-MAX(0,-INT(-(L$6-$S413)/$T413))+1),0)</f>
        <v>0.0</v>
      </c>
      <c r="M413" s="97">
        <f>IF(ISNUMBER($S413),MAX(0,INT((M$6+6-$S413)/$T413)-MAX(0,-INT(-(M$6-$S413)/$T413))+1),0)</f>
        <v>0.0</v>
      </c>
      <c r="N413" s="97">
        <f>IF(ISNUMBER($S413),MAX(0,INT((N$6+6-$S413)/$T413)-MAX(0,-INT(-(N$6-$S413)/$T413))+1),0)</f>
        <v>0.0</v>
      </c>
      <c r="O413" s="97">
        <f>IF(ISNUMBER($S413),MAX(0,INT((O$6+6-$S413)/$T413)-MAX(0,-INT(-(O$6-$S413)/$T413))+1),0)</f>
        <v>0.0</v>
      </c>
      <c r="P413" s="97">
        <f>IF(ISNUMBER($S413),MAX(0,INT((P$6+6-$S413)/$T413)-MAX(0,-INT(-(P$6-$S413)/$T413))+1),0)</f>
        <v>0.0</v>
      </c>
      <c r="Q413" s="97">
        <f>IF(ISNUMBER($S413),MAX(0,INT((Q$6+6-$S413)/$T413)-MAX(0,-INT(-(Q$6-$S413)/$T413))+1),0)</f>
        <v>0.0</v>
      </c>
      <c r="R413" s="97">
        <f>IF(ISNUMBER($S413),MAX(0,INT((R$6+6-$S413)/$T413)-MAX(0,-INT(-(R$6-$S413)/$T413))+1),0)</f>
        <v>0.0</v>
      </c>
      <c r="S413" t="str">
        <f>IF(ISNUMBER(INDEX(pl_period,404)),MAX(INDEX(pl_due,404),p_today),"")</f>
        <v/>
      </c>
      <c r="T413" t="str">
        <f>IF(ISNUMBER(INDEX(pl_period,404)),INDEX(pl_period,404),"")</f>
        <v/>
      </c>
      <c r="U413">
        <f>N(INDEX(pl_dur,404))</f>
        <v>0.0</v>
      </c>
    </row>
    <row r="414">
      <c r="A414" s="93" t="str">
        <f>IF(INDEX(pl_status,405)="","",INDEX(pl_num,405)&amp;"")</f>
        <v/>
      </c>
      <c r="B414" s="93" t="str">
        <f>IF(INDEX(pl_status,405)="","",INDEX(pl_eq,405)&amp;"")</f>
        <v/>
      </c>
      <c r="C414" s="93" t="str">
        <f>IF(INDEX(pl_status,405)="","",INDEX(pl_task,405)&amp;"")</f>
        <v/>
      </c>
      <c r="D414" s="94" t="str">
        <f>IF(ISNUMBER(INDEX(pl_due,405)),INDEX(pl_due,405),"")</f>
        <v/>
      </c>
      <c r="E414" s="95" t="str">
        <f>INDEX(pl_status,405)&amp;""</f>
        <v/>
      </c>
      <c r="F414" s="96" t="str">
        <f>IF(E414="En retard","●","")</f>
        <v/>
      </c>
      <c r="G414" s="97">
        <f>IF(ISNUMBER($S414),MAX(0,INT((G$6+6-$S414)/$T414)-MAX(0,-INT(-(G$6-$S414)/$T414))+1),0)</f>
        <v>0.0</v>
      </c>
      <c r="H414" s="97">
        <f>IF(ISNUMBER($S414),MAX(0,INT((H$6+6-$S414)/$T414)-MAX(0,-INT(-(H$6-$S414)/$T414))+1),0)</f>
        <v>0.0</v>
      </c>
      <c r="I414" s="97">
        <f>IF(ISNUMBER($S414),MAX(0,INT((I$6+6-$S414)/$T414)-MAX(0,-INT(-(I$6-$S414)/$T414))+1),0)</f>
        <v>0.0</v>
      </c>
      <c r="J414" s="97">
        <f>IF(ISNUMBER($S414),MAX(0,INT((J$6+6-$S414)/$T414)-MAX(0,-INT(-(J$6-$S414)/$T414))+1),0)</f>
        <v>0.0</v>
      </c>
      <c r="K414" s="97">
        <f>IF(ISNUMBER($S414),MAX(0,INT((K$6+6-$S414)/$T414)-MAX(0,-INT(-(K$6-$S414)/$T414))+1),0)</f>
        <v>0.0</v>
      </c>
      <c r="L414" s="97">
        <f>IF(ISNUMBER($S414),MAX(0,INT((L$6+6-$S414)/$T414)-MAX(0,-INT(-(L$6-$S414)/$T414))+1),0)</f>
        <v>0.0</v>
      </c>
      <c r="M414" s="97">
        <f>IF(ISNUMBER($S414),MAX(0,INT((M$6+6-$S414)/$T414)-MAX(0,-INT(-(M$6-$S414)/$T414))+1),0)</f>
        <v>0.0</v>
      </c>
      <c r="N414" s="97">
        <f>IF(ISNUMBER($S414),MAX(0,INT((N$6+6-$S414)/$T414)-MAX(0,-INT(-(N$6-$S414)/$T414))+1),0)</f>
        <v>0.0</v>
      </c>
      <c r="O414" s="97">
        <f>IF(ISNUMBER($S414),MAX(0,INT((O$6+6-$S414)/$T414)-MAX(0,-INT(-(O$6-$S414)/$T414))+1),0)</f>
        <v>0.0</v>
      </c>
      <c r="P414" s="97">
        <f>IF(ISNUMBER($S414),MAX(0,INT((P$6+6-$S414)/$T414)-MAX(0,-INT(-(P$6-$S414)/$T414))+1),0)</f>
        <v>0.0</v>
      </c>
      <c r="Q414" s="97">
        <f>IF(ISNUMBER($S414),MAX(0,INT((Q$6+6-$S414)/$T414)-MAX(0,-INT(-(Q$6-$S414)/$T414))+1),0)</f>
        <v>0.0</v>
      </c>
      <c r="R414" s="97">
        <f>IF(ISNUMBER($S414),MAX(0,INT((R$6+6-$S414)/$T414)-MAX(0,-INT(-(R$6-$S414)/$T414))+1),0)</f>
        <v>0.0</v>
      </c>
      <c r="S414" t="str">
        <f>IF(ISNUMBER(INDEX(pl_period,405)),MAX(INDEX(pl_due,405),p_today),"")</f>
        <v/>
      </c>
      <c r="T414" t="str">
        <f>IF(ISNUMBER(INDEX(pl_period,405)),INDEX(pl_period,405),"")</f>
        <v/>
      </c>
      <c r="U414">
        <f>N(INDEX(pl_dur,405))</f>
        <v>0.0</v>
      </c>
    </row>
    <row r="415">
      <c r="A415" s="93" t="str">
        <f>IF(INDEX(pl_status,406)="","",INDEX(pl_num,406)&amp;"")</f>
        <v/>
      </c>
      <c r="B415" s="93" t="str">
        <f>IF(INDEX(pl_status,406)="","",INDEX(pl_eq,406)&amp;"")</f>
        <v/>
      </c>
      <c r="C415" s="93" t="str">
        <f>IF(INDEX(pl_status,406)="","",INDEX(pl_task,406)&amp;"")</f>
        <v/>
      </c>
      <c r="D415" s="94" t="str">
        <f>IF(ISNUMBER(INDEX(pl_due,406)),INDEX(pl_due,406),"")</f>
        <v/>
      </c>
      <c r="E415" s="95" t="str">
        <f>INDEX(pl_status,406)&amp;""</f>
        <v/>
      </c>
      <c r="F415" s="96" t="str">
        <f>IF(E415="En retard","●","")</f>
        <v/>
      </c>
      <c r="G415" s="97">
        <f>IF(ISNUMBER($S415),MAX(0,INT((G$6+6-$S415)/$T415)-MAX(0,-INT(-(G$6-$S415)/$T415))+1),0)</f>
        <v>0.0</v>
      </c>
      <c r="H415" s="97">
        <f>IF(ISNUMBER($S415),MAX(0,INT((H$6+6-$S415)/$T415)-MAX(0,-INT(-(H$6-$S415)/$T415))+1),0)</f>
        <v>0.0</v>
      </c>
      <c r="I415" s="97">
        <f>IF(ISNUMBER($S415),MAX(0,INT((I$6+6-$S415)/$T415)-MAX(0,-INT(-(I$6-$S415)/$T415))+1),0)</f>
        <v>0.0</v>
      </c>
      <c r="J415" s="97">
        <f>IF(ISNUMBER($S415),MAX(0,INT((J$6+6-$S415)/$T415)-MAX(0,-INT(-(J$6-$S415)/$T415))+1),0)</f>
        <v>0.0</v>
      </c>
      <c r="K415" s="97">
        <f>IF(ISNUMBER($S415),MAX(0,INT((K$6+6-$S415)/$T415)-MAX(0,-INT(-(K$6-$S415)/$T415))+1),0)</f>
        <v>0.0</v>
      </c>
      <c r="L415" s="97">
        <f>IF(ISNUMBER($S415),MAX(0,INT((L$6+6-$S415)/$T415)-MAX(0,-INT(-(L$6-$S415)/$T415))+1),0)</f>
        <v>0.0</v>
      </c>
      <c r="M415" s="97">
        <f>IF(ISNUMBER($S415),MAX(0,INT((M$6+6-$S415)/$T415)-MAX(0,-INT(-(M$6-$S415)/$T415))+1),0)</f>
        <v>0.0</v>
      </c>
      <c r="N415" s="97">
        <f>IF(ISNUMBER($S415),MAX(0,INT((N$6+6-$S415)/$T415)-MAX(0,-INT(-(N$6-$S415)/$T415))+1),0)</f>
        <v>0.0</v>
      </c>
      <c r="O415" s="97">
        <f>IF(ISNUMBER($S415),MAX(0,INT((O$6+6-$S415)/$T415)-MAX(0,-INT(-(O$6-$S415)/$T415))+1),0)</f>
        <v>0.0</v>
      </c>
      <c r="P415" s="97">
        <f>IF(ISNUMBER($S415),MAX(0,INT((P$6+6-$S415)/$T415)-MAX(0,-INT(-(P$6-$S415)/$T415))+1),0)</f>
        <v>0.0</v>
      </c>
      <c r="Q415" s="97">
        <f>IF(ISNUMBER($S415),MAX(0,INT((Q$6+6-$S415)/$T415)-MAX(0,-INT(-(Q$6-$S415)/$T415))+1),0)</f>
        <v>0.0</v>
      </c>
      <c r="R415" s="97">
        <f>IF(ISNUMBER($S415),MAX(0,INT((R$6+6-$S415)/$T415)-MAX(0,-INT(-(R$6-$S415)/$T415))+1),0)</f>
        <v>0.0</v>
      </c>
      <c r="S415" t="str">
        <f>IF(ISNUMBER(INDEX(pl_period,406)),MAX(INDEX(pl_due,406),p_today),"")</f>
        <v/>
      </c>
      <c r="T415" t="str">
        <f>IF(ISNUMBER(INDEX(pl_period,406)),INDEX(pl_period,406),"")</f>
        <v/>
      </c>
      <c r="U415">
        <f>N(INDEX(pl_dur,406))</f>
        <v>0.0</v>
      </c>
    </row>
    <row r="416">
      <c r="A416" s="93" t="str">
        <f>IF(INDEX(pl_status,407)="","",INDEX(pl_num,407)&amp;"")</f>
        <v/>
      </c>
      <c r="B416" s="93" t="str">
        <f>IF(INDEX(pl_status,407)="","",INDEX(pl_eq,407)&amp;"")</f>
        <v/>
      </c>
      <c r="C416" s="93" t="str">
        <f>IF(INDEX(pl_status,407)="","",INDEX(pl_task,407)&amp;"")</f>
        <v/>
      </c>
      <c r="D416" s="94" t="str">
        <f>IF(ISNUMBER(INDEX(pl_due,407)),INDEX(pl_due,407),"")</f>
        <v/>
      </c>
      <c r="E416" s="95" t="str">
        <f>INDEX(pl_status,407)&amp;""</f>
        <v/>
      </c>
      <c r="F416" s="96" t="str">
        <f>IF(E416="En retard","●","")</f>
        <v/>
      </c>
      <c r="G416" s="97">
        <f>IF(ISNUMBER($S416),MAX(0,INT((G$6+6-$S416)/$T416)-MAX(0,-INT(-(G$6-$S416)/$T416))+1),0)</f>
        <v>0.0</v>
      </c>
      <c r="H416" s="97">
        <f>IF(ISNUMBER($S416),MAX(0,INT((H$6+6-$S416)/$T416)-MAX(0,-INT(-(H$6-$S416)/$T416))+1),0)</f>
        <v>0.0</v>
      </c>
      <c r="I416" s="97">
        <f>IF(ISNUMBER($S416),MAX(0,INT((I$6+6-$S416)/$T416)-MAX(0,-INT(-(I$6-$S416)/$T416))+1),0)</f>
        <v>0.0</v>
      </c>
      <c r="J416" s="97">
        <f>IF(ISNUMBER($S416),MAX(0,INT((J$6+6-$S416)/$T416)-MAX(0,-INT(-(J$6-$S416)/$T416))+1),0)</f>
        <v>0.0</v>
      </c>
      <c r="K416" s="97">
        <f>IF(ISNUMBER($S416),MAX(0,INT((K$6+6-$S416)/$T416)-MAX(0,-INT(-(K$6-$S416)/$T416))+1),0)</f>
        <v>0.0</v>
      </c>
      <c r="L416" s="97">
        <f>IF(ISNUMBER($S416),MAX(0,INT((L$6+6-$S416)/$T416)-MAX(0,-INT(-(L$6-$S416)/$T416))+1),0)</f>
        <v>0.0</v>
      </c>
      <c r="M416" s="97">
        <f>IF(ISNUMBER($S416),MAX(0,INT((M$6+6-$S416)/$T416)-MAX(0,-INT(-(M$6-$S416)/$T416))+1),0)</f>
        <v>0.0</v>
      </c>
      <c r="N416" s="97">
        <f>IF(ISNUMBER($S416),MAX(0,INT((N$6+6-$S416)/$T416)-MAX(0,-INT(-(N$6-$S416)/$T416))+1),0)</f>
        <v>0.0</v>
      </c>
      <c r="O416" s="97">
        <f>IF(ISNUMBER($S416),MAX(0,INT((O$6+6-$S416)/$T416)-MAX(0,-INT(-(O$6-$S416)/$T416))+1),0)</f>
        <v>0.0</v>
      </c>
      <c r="P416" s="97">
        <f>IF(ISNUMBER($S416),MAX(0,INT((P$6+6-$S416)/$T416)-MAX(0,-INT(-(P$6-$S416)/$T416))+1),0)</f>
        <v>0.0</v>
      </c>
      <c r="Q416" s="97">
        <f>IF(ISNUMBER($S416),MAX(0,INT((Q$6+6-$S416)/$T416)-MAX(0,-INT(-(Q$6-$S416)/$T416))+1),0)</f>
        <v>0.0</v>
      </c>
      <c r="R416" s="97">
        <f>IF(ISNUMBER($S416),MAX(0,INT((R$6+6-$S416)/$T416)-MAX(0,-INT(-(R$6-$S416)/$T416))+1),0)</f>
        <v>0.0</v>
      </c>
      <c r="S416" t="str">
        <f>IF(ISNUMBER(INDEX(pl_period,407)),MAX(INDEX(pl_due,407),p_today),"")</f>
        <v/>
      </c>
      <c r="T416" t="str">
        <f>IF(ISNUMBER(INDEX(pl_period,407)),INDEX(pl_period,407),"")</f>
        <v/>
      </c>
      <c r="U416">
        <f>N(INDEX(pl_dur,407))</f>
        <v>0.0</v>
      </c>
    </row>
    <row r="417">
      <c r="A417" s="93" t="str">
        <f>IF(INDEX(pl_status,408)="","",INDEX(pl_num,408)&amp;"")</f>
        <v/>
      </c>
      <c r="B417" s="93" t="str">
        <f>IF(INDEX(pl_status,408)="","",INDEX(pl_eq,408)&amp;"")</f>
        <v/>
      </c>
      <c r="C417" s="93" t="str">
        <f>IF(INDEX(pl_status,408)="","",INDEX(pl_task,408)&amp;"")</f>
        <v/>
      </c>
      <c r="D417" s="94" t="str">
        <f>IF(ISNUMBER(INDEX(pl_due,408)),INDEX(pl_due,408),"")</f>
        <v/>
      </c>
      <c r="E417" s="95" t="str">
        <f>INDEX(pl_status,408)&amp;""</f>
        <v/>
      </c>
      <c r="F417" s="96" t="str">
        <f>IF(E417="En retard","●","")</f>
        <v/>
      </c>
      <c r="G417" s="97">
        <f>IF(ISNUMBER($S417),MAX(0,INT((G$6+6-$S417)/$T417)-MAX(0,-INT(-(G$6-$S417)/$T417))+1),0)</f>
        <v>0.0</v>
      </c>
      <c r="H417" s="97">
        <f>IF(ISNUMBER($S417),MAX(0,INT((H$6+6-$S417)/$T417)-MAX(0,-INT(-(H$6-$S417)/$T417))+1),0)</f>
        <v>0.0</v>
      </c>
      <c r="I417" s="97">
        <f>IF(ISNUMBER($S417),MAX(0,INT((I$6+6-$S417)/$T417)-MAX(0,-INT(-(I$6-$S417)/$T417))+1),0)</f>
        <v>0.0</v>
      </c>
      <c r="J417" s="97">
        <f>IF(ISNUMBER($S417),MAX(0,INT((J$6+6-$S417)/$T417)-MAX(0,-INT(-(J$6-$S417)/$T417))+1),0)</f>
        <v>0.0</v>
      </c>
      <c r="K417" s="97">
        <f>IF(ISNUMBER($S417),MAX(0,INT((K$6+6-$S417)/$T417)-MAX(0,-INT(-(K$6-$S417)/$T417))+1),0)</f>
        <v>0.0</v>
      </c>
      <c r="L417" s="97">
        <f>IF(ISNUMBER($S417),MAX(0,INT((L$6+6-$S417)/$T417)-MAX(0,-INT(-(L$6-$S417)/$T417))+1),0)</f>
        <v>0.0</v>
      </c>
      <c r="M417" s="97">
        <f>IF(ISNUMBER($S417),MAX(0,INT((M$6+6-$S417)/$T417)-MAX(0,-INT(-(M$6-$S417)/$T417))+1),0)</f>
        <v>0.0</v>
      </c>
      <c r="N417" s="97">
        <f>IF(ISNUMBER($S417),MAX(0,INT((N$6+6-$S417)/$T417)-MAX(0,-INT(-(N$6-$S417)/$T417))+1),0)</f>
        <v>0.0</v>
      </c>
      <c r="O417" s="97">
        <f>IF(ISNUMBER($S417),MAX(0,INT((O$6+6-$S417)/$T417)-MAX(0,-INT(-(O$6-$S417)/$T417))+1),0)</f>
        <v>0.0</v>
      </c>
      <c r="P417" s="97">
        <f>IF(ISNUMBER($S417),MAX(0,INT((P$6+6-$S417)/$T417)-MAX(0,-INT(-(P$6-$S417)/$T417))+1),0)</f>
        <v>0.0</v>
      </c>
      <c r="Q417" s="97">
        <f>IF(ISNUMBER($S417),MAX(0,INT((Q$6+6-$S417)/$T417)-MAX(0,-INT(-(Q$6-$S417)/$T417))+1),0)</f>
        <v>0.0</v>
      </c>
      <c r="R417" s="97">
        <f>IF(ISNUMBER($S417),MAX(0,INT((R$6+6-$S417)/$T417)-MAX(0,-INT(-(R$6-$S417)/$T417))+1),0)</f>
        <v>0.0</v>
      </c>
      <c r="S417" t="str">
        <f>IF(ISNUMBER(INDEX(pl_period,408)),MAX(INDEX(pl_due,408),p_today),"")</f>
        <v/>
      </c>
      <c r="T417" t="str">
        <f>IF(ISNUMBER(INDEX(pl_period,408)),INDEX(pl_period,408),"")</f>
        <v/>
      </c>
      <c r="U417">
        <f>N(INDEX(pl_dur,408))</f>
        <v>0.0</v>
      </c>
    </row>
    <row r="418">
      <c r="A418" s="93" t="str">
        <f>IF(INDEX(pl_status,409)="","",INDEX(pl_num,409)&amp;"")</f>
        <v/>
      </c>
      <c r="B418" s="93" t="str">
        <f>IF(INDEX(pl_status,409)="","",INDEX(pl_eq,409)&amp;"")</f>
        <v/>
      </c>
      <c r="C418" s="93" t="str">
        <f>IF(INDEX(pl_status,409)="","",INDEX(pl_task,409)&amp;"")</f>
        <v/>
      </c>
      <c r="D418" s="94" t="str">
        <f>IF(ISNUMBER(INDEX(pl_due,409)),INDEX(pl_due,409),"")</f>
        <v/>
      </c>
      <c r="E418" s="95" t="str">
        <f>INDEX(pl_status,409)&amp;""</f>
        <v/>
      </c>
      <c r="F418" s="96" t="str">
        <f>IF(E418="En retard","●","")</f>
        <v/>
      </c>
      <c r="G418" s="97">
        <f>IF(ISNUMBER($S418),MAX(0,INT((G$6+6-$S418)/$T418)-MAX(0,-INT(-(G$6-$S418)/$T418))+1),0)</f>
        <v>0.0</v>
      </c>
      <c r="H418" s="97">
        <f>IF(ISNUMBER($S418),MAX(0,INT((H$6+6-$S418)/$T418)-MAX(0,-INT(-(H$6-$S418)/$T418))+1),0)</f>
        <v>0.0</v>
      </c>
      <c r="I418" s="97">
        <f>IF(ISNUMBER($S418),MAX(0,INT((I$6+6-$S418)/$T418)-MAX(0,-INT(-(I$6-$S418)/$T418))+1),0)</f>
        <v>0.0</v>
      </c>
      <c r="J418" s="97">
        <f>IF(ISNUMBER($S418),MAX(0,INT((J$6+6-$S418)/$T418)-MAX(0,-INT(-(J$6-$S418)/$T418))+1),0)</f>
        <v>0.0</v>
      </c>
      <c r="K418" s="97">
        <f>IF(ISNUMBER($S418),MAX(0,INT((K$6+6-$S418)/$T418)-MAX(0,-INT(-(K$6-$S418)/$T418))+1),0)</f>
        <v>0.0</v>
      </c>
      <c r="L418" s="97">
        <f>IF(ISNUMBER($S418),MAX(0,INT((L$6+6-$S418)/$T418)-MAX(0,-INT(-(L$6-$S418)/$T418))+1),0)</f>
        <v>0.0</v>
      </c>
      <c r="M418" s="97">
        <f>IF(ISNUMBER($S418),MAX(0,INT((M$6+6-$S418)/$T418)-MAX(0,-INT(-(M$6-$S418)/$T418))+1),0)</f>
        <v>0.0</v>
      </c>
      <c r="N418" s="97">
        <f>IF(ISNUMBER($S418),MAX(0,INT((N$6+6-$S418)/$T418)-MAX(0,-INT(-(N$6-$S418)/$T418))+1),0)</f>
        <v>0.0</v>
      </c>
      <c r="O418" s="97">
        <f>IF(ISNUMBER($S418),MAX(0,INT((O$6+6-$S418)/$T418)-MAX(0,-INT(-(O$6-$S418)/$T418))+1),0)</f>
        <v>0.0</v>
      </c>
      <c r="P418" s="97">
        <f>IF(ISNUMBER($S418),MAX(0,INT((P$6+6-$S418)/$T418)-MAX(0,-INT(-(P$6-$S418)/$T418))+1),0)</f>
        <v>0.0</v>
      </c>
      <c r="Q418" s="97">
        <f>IF(ISNUMBER($S418),MAX(0,INT((Q$6+6-$S418)/$T418)-MAX(0,-INT(-(Q$6-$S418)/$T418))+1),0)</f>
        <v>0.0</v>
      </c>
      <c r="R418" s="97">
        <f>IF(ISNUMBER($S418),MAX(0,INT((R$6+6-$S418)/$T418)-MAX(0,-INT(-(R$6-$S418)/$T418))+1),0)</f>
        <v>0.0</v>
      </c>
      <c r="S418" t="str">
        <f>IF(ISNUMBER(INDEX(pl_period,409)),MAX(INDEX(pl_due,409),p_today),"")</f>
        <v/>
      </c>
      <c r="T418" t="str">
        <f>IF(ISNUMBER(INDEX(pl_period,409)),INDEX(pl_period,409),"")</f>
        <v/>
      </c>
      <c r="U418">
        <f>N(INDEX(pl_dur,409))</f>
        <v>0.0</v>
      </c>
    </row>
    <row r="419">
      <c r="A419" s="93" t="str">
        <f>IF(INDEX(pl_status,410)="","",INDEX(pl_num,410)&amp;"")</f>
        <v/>
      </c>
      <c r="B419" s="93" t="str">
        <f>IF(INDEX(pl_status,410)="","",INDEX(pl_eq,410)&amp;"")</f>
        <v/>
      </c>
      <c r="C419" s="93" t="str">
        <f>IF(INDEX(pl_status,410)="","",INDEX(pl_task,410)&amp;"")</f>
        <v/>
      </c>
      <c r="D419" s="94" t="str">
        <f>IF(ISNUMBER(INDEX(pl_due,410)),INDEX(pl_due,410),"")</f>
        <v/>
      </c>
      <c r="E419" s="95" t="str">
        <f>INDEX(pl_status,410)&amp;""</f>
        <v/>
      </c>
      <c r="F419" s="96" t="str">
        <f>IF(E419="En retard","●","")</f>
        <v/>
      </c>
      <c r="G419" s="97">
        <f>IF(ISNUMBER($S419),MAX(0,INT((G$6+6-$S419)/$T419)-MAX(0,-INT(-(G$6-$S419)/$T419))+1),0)</f>
        <v>0.0</v>
      </c>
      <c r="H419" s="97">
        <f>IF(ISNUMBER($S419),MAX(0,INT((H$6+6-$S419)/$T419)-MAX(0,-INT(-(H$6-$S419)/$T419))+1),0)</f>
        <v>0.0</v>
      </c>
      <c r="I419" s="97">
        <f>IF(ISNUMBER($S419),MAX(0,INT((I$6+6-$S419)/$T419)-MAX(0,-INT(-(I$6-$S419)/$T419))+1),0)</f>
        <v>0.0</v>
      </c>
      <c r="J419" s="97">
        <f>IF(ISNUMBER($S419),MAX(0,INT((J$6+6-$S419)/$T419)-MAX(0,-INT(-(J$6-$S419)/$T419))+1),0)</f>
        <v>0.0</v>
      </c>
      <c r="K419" s="97">
        <f>IF(ISNUMBER($S419),MAX(0,INT((K$6+6-$S419)/$T419)-MAX(0,-INT(-(K$6-$S419)/$T419))+1),0)</f>
        <v>0.0</v>
      </c>
      <c r="L419" s="97">
        <f>IF(ISNUMBER($S419),MAX(0,INT((L$6+6-$S419)/$T419)-MAX(0,-INT(-(L$6-$S419)/$T419))+1),0)</f>
        <v>0.0</v>
      </c>
      <c r="M419" s="97">
        <f>IF(ISNUMBER($S419),MAX(0,INT((M$6+6-$S419)/$T419)-MAX(0,-INT(-(M$6-$S419)/$T419))+1),0)</f>
        <v>0.0</v>
      </c>
      <c r="N419" s="97">
        <f>IF(ISNUMBER($S419),MAX(0,INT((N$6+6-$S419)/$T419)-MAX(0,-INT(-(N$6-$S419)/$T419))+1),0)</f>
        <v>0.0</v>
      </c>
      <c r="O419" s="97">
        <f>IF(ISNUMBER($S419),MAX(0,INT((O$6+6-$S419)/$T419)-MAX(0,-INT(-(O$6-$S419)/$T419))+1),0)</f>
        <v>0.0</v>
      </c>
      <c r="P419" s="97">
        <f>IF(ISNUMBER($S419),MAX(0,INT((P$6+6-$S419)/$T419)-MAX(0,-INT(-(P$6-$S419)/$T419))+1),0)</f>
        <v>0.0</v>
      </c>
      <c r="Q419" s="97">
        <f>IF(ISNUMBER($S419),MAX(0,INT((Q$6+6-$S419)/$T419)-MAX(0,-INT(-(Q$6-$S419)/$T419))+1),0)</f>
        <v>0.0</v>
      </c>
      <c r="R419" s="97">
        <f>IF(ISNUMBER($S419),MAX(0,INT((R$6+6-$S419)/$T419)-MAX(0,-INT(-(R$6-$S419)/$T419))+1),0)</f>
        <v>0.0</v>
      </c>
      <c r="S419" t="str">
        <f>IF(ISNUMBER(INDEX(pl_period,410)),MAX(INDEX(pl_due,410),p_today),"")</f>
        <v/>
      </c>
      <c r="T419" t="str">
        <f>IF(ISNUMBER(INDEX(pl_period,410)),INDEX(pl_period,410),"")</f>
        <v/>
      </c>
      <c r="U419">
        <f>N(INDEX(pl_dur,410))</f>
        <v>0.0</v>
      </c>
    </row>
    <row r="420">
      <c r="A420" s="93" t="str">
        <f>IF(INDEX(pl_status,411)="","",INDEX(pl_num,411)&amp;"")</f>
        <v/>
      </c>
      <c r="B420" s="93" t="str">
        <f>IF(INDEX(pl_status,411)="","",INDEX(pl_eq,411)&amp;"")</f>
        <v/>
      </c>
      <c r="C420" s="93" t="str">
        <f>IF(INDEX(pl_status,411)="","",INDEX(pl_task,411)&amp;"")</f>
        <v/>
      </c>
      <c r="D420" s="94" t="str">
        <f>IF(ISNUMBER(INDEX(pl_due,411)),INDEX(pl_due,411),"")</f>
        <v/>
      </c>
      <c r="E420" s="95" t="str">
        <f>INDEX(pl_status,411)&amp;""</f>
        <v/>
      </c>
      <c r="F420" s="96" t="str">
        <f>IF(E420="En retard","●","")</f>
        <v/>
      </c>
      <c r="G420" s="97">
        <f>IF(ISNUMBER($S420),MAX(0,INT((G$6+6-$S420)/$T420)-MAX(0,-INT(-(G$6-$S420)/$T420))+1),0)</f>
        <v>0.0</v>
      </c>
      <c r="H420" s="97">
        <f>IF(ISNUMBER($S420),MAX(0,INT((H$6+6-$S420)/$T420)-MAX(0,-INT(-(H$6-$S420)/$T420))+1),0)</f>
        <v>0.0</v>
      </c>
      <c r="I420" s="97">
        <f>IF(ISNUMBER($S420),MAX(0,INT((I$6+6-$S420)/$T420)-MAX(0,-INT(-(I$6-$S420)/$T420))+1),0)</f>
        <v>0.0</v>
      </c>
      <c r="J420" s="97">
        <f>IF(ISNUMBER($S420),MAX(0,INT((J$6+6-$S420)/$T420)-MAX(0,-INT(-(J$6-$S420)/$T420))+1),0)</f>
        <v>0.0</v>
      </c>
      <c r="K420" s="97">
        <f>IF(ISNUMBER($S420),MAX(0,INT((K$6+6-$S420)/$T420)-MAX(0,-INT(-(K$6-$S420)/$T420))+1),0)</f>
        <v>0.0</v>
      </c>
      <c r="L420" s="97">
        <f>IF(ISNUMBER($S420),MAX(0,INT((L$6+6-$S420)/$T420)-MAX(0,-INT(-(L$6-$S420)/$T420))+1),0)</f>
        <v>0.0</v>
      </c>
      <c r="M420" s="97">
        <f>IF(ISNUMBER($S420),MAX(0,INT((M$6+6-$S420)/$T420)-MAX(0,-INT(-(M$6-$S420)/$T420))+1),0)</f>
        <v>0.0</v>
      </c>
      <c r="N420" s="97">
        <f>IF(ISNUMBER($S420),MAX(0,INT((N$6+6-$S420)/$T420)-MAX(0,-INT(-(N$6-$S420)/$T420))+1),0)</f>
        <v>0.0</v>
      </c>
      <c r="O420" s="97">
        <f>IF(ISNUMBER($S420),MAX(0,INT((O$6+6-$S420)/$T420)-MAX(0,-INT(-(O$6-$S420)/$T420))+1),0)</f>
        <v>0.0</v>
      </c>
      <c r="P420" s="97">
        <f>IF(ISNUMBER($S420),MAX(0,INT((P$6+6-$S420)/$T420)-MAX(0,-INT(-(P$6-$S420)/$T420))+1),0)</f>
        <v>0.0</v>
      </c>
      <c r="Q420" s="97">
        <f>IF(ISNUMBER($S420),MAX(0,INT((Q$6+6-$S420)/$T420)-MAX(0,-INT(-(Q$6-$S420)/$T420))+1),0)</f>
        <v>0.0</v>
      </c>
      <c r="R420" s="97">
        <f>IF(ISNUMBER($S420),MAX(0,INT((R$6+6-$S420)/$T420)-MAX(0,-INT(-(R$6-$S420)/$T420))+1),0)</f>
        <v>0.0</v>
      </c>
      <c r="S420" t="str">
        <f>IF(ISNUMBER(INDEX(pl_period,411)),MAX(INDEX(pl_due,411),p_today),"")</f>
        <v/>
      </c>
      <c r="T420" t="str">
        <f>IF(ISNUMBER(INDEX(pl_period,411)),INDEX(pl_period,411),"")</f>
        <v/>
      </c>
      <c r="U420">
        <f>N(INDEX(pl_dur,411))</f>
        <v>0.0</v>
      </c>
    </row>
    <row r="421">
      <c r="A421" s="93" t="str">
        <f>IF(INDEX(pl_status,412)="","",INDEX(pl_num,412)&amp;"")</f>
        <v/>
      </c>
      <c r="B421" s="93" t="str">
        <f>IF(INDEX(pl_status,412)="","",INDEX(pl_eq,412)&amp;"")</f>
        <v/>
      </c>
      <c r="C421" s="93" t="str">
        <f>IF(INDEX(pl_status,412)="","",INDEX(pl_task,412)&amp;"")</f>
        <v/>
      </c>
      <c r="D421" s="94" t="str">
        <f>IF(ISNUMBER(INDEX(pl_due,412)),INDEX(pl_due,412),"")</f>
        <v/>
      </c>
      <c r="E421" s="95" t="str">
        <f>INDEX(pl_status,412)&amp;""</f>
        <v/>
      </c>
      <c r="F421" s="96" t="str">
        <f>IF(E421="En retard","●","")</f>
        <v/>
      </c>
      <c r="G421" s="97">
        <f>IF(ISNUMBER($S421),MAX(0,INT((G$6+6-$S421)/$T421)-MAX(0,-INT(-(G$6-$S421)/$T421))+1),0)</f>
        <v>0.0</v>
      </c>
      <c r="H421" s="97">
        <f>IF(ISNUMBER($S421),MAX(0,INT((H$6+6-$S421)/$T421)-MAX(0,-INT(-(H$6-$S421)/$T421))+1),0)</f>
        <v>0.0</v>
      </c>
      <c r="I421" s="97">
        <f>IF(ISNUMBER($S421),MAX(0,INT((I$6+6-$S421)/$T421)-MAX(0,-INT(-(I$6-$S421)/$T421))+1),0)</f>
        <v>0.0</v>
      </c>
      <c r="J421" s="97">
        <f>IF(ISNUMBER($S421),MAX(0,INT((J$6+6-$S421)/$T421)-MAX(0,-INT(-(J$6-$S421)/$T421))+1),0)</f>
        <v>0.0</v>
      </c>
      <c r="K421" s="97">
        <f>IF(ISNUMBER($S421),MAX(0,INT((K$6+6-$S421)/$T421)-MAX(0,-INT(-(K$6-$S421)/$T421))+1),0)</f>
        <v>0.0</v>
      </c>
      <c r="L421" s="97">
        <f>IF(ISNUMBER($S421),MAX(0,INT((L$6+6-$S421)/$T421)-MAX(0,-INT(-(L$6-$S421)/$T421))+1),0)</f>
        <v>0.0</v>
      </c>
      <c r="M421" s="97">
        <f>IF(ISNUMBER($S421),MAX(0,INT((M$6+6-$S421)/$T421)-MAX(0,-INT(-(M$6-$S421)/$T421))+1),0)</f>
        <v>0.0</v>
      </c>
      <c r="N421" s="97">
        <f>IF(ISNUMBER($S421),MAX(0,INT((N$6+6-$S421)/$T421)-MAX(0,-INT(-(N$6-$S421)/$T421))+1),0)</f>
        <v>0.0</v>
      </c>
      <c r="O421" s="97">
        <f>IF(ISNUMBER($S421),MAX(0,INT((O$6+6-$S421)/$T421)-MAX(0,-INT(-(O$6-$S421)/$T421))+1),0)</f>
        <v>0.0</v>
      </c>
      <c r="P421" s="97">
        <f>IF(ISNUMBER($S421),MAX(0,INT((P$6+6-$S421)/$T421)-MAX(0,-INT(-(P$6-$S421)/$T421))+1),0)</f>
        <v>0.0</v>
      </c>
      <c r="Q421" s="97">
        <f>IF(ISNUMBER($S421),MAX(0,INT((Q$6+6-$S421)/$T421)-MAX(0,-INT(-(Q$6-$S421)/$T421))+1),0)</f>
        <v>0.0</v>
      </c>
      <c r="R421" s="97">
        <f>IF(ISNUMBER($S421),MAX(0,INT((R$6+6-$S421)/$T421)-MAX(0,-INT(-(R$6-$S421)/$T421))+1),0)</f>
        <v>0.0</v>
      </c>
      <c r="S421" t="str">
        <f>IF(ISNUMBER(INDEX(pl_period,412)),MAX(INDEX(pl_due,412),p_today),"")</f>
        <v/>
      </c>
      <c r="T421" t="str">
        <f>IF(ISNUMBER(INDEX(pl_period,412)),INDEX(pl_period,412),"")</f>
        <v/>
      </c>
      <c r="U421">
        <f>N(INDEX(pl_dur,412))</f>
        <v>0.0</v>
      </c>
    </row>
    <row r="422">
      <c r="A422" s="93" t="str">
        <f>IF(INDEX(pl_status,413)="","",INDEX(pl_num,413)&amp;"")</f>
        <v/>
      </c>
      <c r="B422" s="93" t="str">
        <f>IF(INDEX(pl_status,413)="","",INDEX(pl_eq,413)&amp;"")</f>
        <v/>
      </c>
      <c r="C422" s="93" t="str">
        <f>IF(INDEX(pl_status,413)="","",INDEX(pl_task,413)&amp;"")</f>
        <v/>
      </c>
      <c r="D422" s="94" t="str">
        <f>IF(ISNUMBER(INDEX(pl_due,413)),INDEX(pl_due,413),"")</f>
        <v/>
      </c>
      <c r="E422" s="95" t="str">
        <f>INDEX(pl_status,413)&amp;""</f>
        <v/>
      </c>
      <c r="F422" s="96" t="str">
        <f>IF(E422="En retard","●","")</f>
        <v/>
      </c>
      <c r="G422" s="97">
        <f>IF(ISNUMBER($S422),MAX(0,INT((G$6+6-$S422)/$T422)-MAX(0,-INT(-(G$6-$S422)/$T422))+1),0)</f>
        <v>0.0</v>
      </c>
      <c r="H422" s="97">
        <f>IF(ISNUMBER($S422),MAX(0,INT((H$6+6-$S422)/$T422)-MAX(0,-INT(-(H$6-$S422)/$T422))+1),0)</f>
        <v>0.0</v>
      </c>
      <c r="I422" s="97">
        <f>IF(ISNUMBER($S422),MAX(0,INT((I$6+6-$S422)/$T422)-MAX(0,-INT(-(I$6-$S422)/$T422))+1),0)</f>
        <v>0.0</v>
      </c>
      <c r="J422" s="97">
        <f>IF(ISNUMBER($S422),MAX(0,INT((J$6+6-$S422)/$T422)-MAX(0,-INT(-(J$6-$S422)/$T422))+1),0)</f>
        <v>0.0</v>
      </c>
      <c r="K422" s="97">
        <f>IF(ISNUMBER($S422),MAX(0,INT((K$6+6-$S422)/$T422)-MAX(0,-INT(-(K$6-$S422)/$T422))+1),0)</f>
        <v>0.0</v>
      </c>
      <c r="L422" s="97">
        <f>IF(ISNUMBER($S422),MAX(0,INT((L$6+6-$S422)/$T422)-MAX(0,-INT(-(L$6-$S422)/$T422))+1),0)</f>
        <v>0.0</v>
      </c>
      <c r="M422" s="97">
        <f>IF(ISNUMBER($S422),MAX(0,INT((M$6+6-$S422)/$T422)-MAX(0,-INT(-(M$6-$S422)/$T422))+1),0)</f>
        <v>0.0</v>
      </c>
      <c r="N422" s="97">
        <f>IF(ISNUMBER($S422),MAX(0,INT((N$6+6-$S422)/$T422)-MAX(0,-INT(-(N$6-$S422)/$T422))+1),0)</f>
        <v>0.0</v>
      </c>
      <c r="O422" s="97">
        <f>IF(ISNUMBER($S422),MAX(0,INT((O$6+6-$S422)/$T422)-MAX(0,-INT(-(O$6-$S422)/$T422))+1),0)</f>
        <v>0.0</v>
      </c>
      <c r="P422" s="97">
        <f>IF(ISNUMBER($S422),MAX(0,INT((P$6+6-$S422)/$T422)-MAX(0,-INT(-(P$6-$S422)/$T422))+1),0)</f>
        <v>0.0</v>
      </c>
      <c r="Q422" s="97">
        <f>IF(ISNUMBER($S422),MAX(0,INT((Q$6+6-$S422)/$T422)-MAX(0,-INT(-(Q$6-$S422)/$T422))+1),0)</f>
        <v>0.0</v>
      </c>
      <c r="R422" s="97">
        <f>IF(ISNUMBER($S422),MAX(0,INT((R$6+6-$S422)/$T422)-MAX(0,-INT(-(R$6-$S422)/$T422))+1),0)</f>
        <v>0.0</v>
      </c>
      <c r="S422" t="str">
        <f>IF(ISNUMBER(INDEX(pl_period,413)),MAX(INDEX(pl_due,413),p_today),"")</f>
        <v/>
      </c>
      <c r="T422" t="str">
        <f>IF(ISNUMBER(INDEX(pl_period,413)),INDEX(pl_period,413),"")</f>
        <v/>
      </c>
      <c r="U422">
        <f>N(INDEX(pl_dur,413))</f>
        <v>0.0</v>
      </c>
    </row>
    <row r="423">
      <c r="A423" s="93" t="str">
        <f>IF(INDEX(pl_status,414)="","",INDEX(pl_num,414)&amp;"")</f>
        <v/>
      </c>
      <c r="B423" s="93" t="str">
        <f>IF(INDEX(pl_status,414)="","",INDEX(pl_eq,414)&amp;"")</f>
        <v/>
      </c>
      <c r="C423" s="93" t="str">
        <f>IF(INDEX(pl_status,414)="","",INDEX(pl_task,414)&amp;"")</f>
        <v/>
      </c>
      <c r="D423" s="94" t="str">
        <f>IF(ISNUMBER(INDEX(pl_due,414)),INDEX(pl_due,414),"")</f>
        <v/>
      </c>
      <c r="E423" s="95" t="str">
        <f>INDEX(pl_status,414)&amp;""</f>
        <v/>
      </c>
      <c r="F423" s="96" t="str">
        <f>IF(E423="En retard","●","")</f>
        <v/>
      </c>
      <c r="G423" s="97">
        <f>IF(ISNUMBER($S423),MAX(0,INT((G$6+6-$S423)/$T423)-MAX(0,-INT(-(G$6-$S423)/$T423))+1),0)</f>
        <v>0.0</v>
      </c>
      <c r="H423" s="97">
        <f>IF(ISNUMBER($S423),MAX(0,INT((H$6+6-$S423)/$T423)-MAX(0,-INT(-(H$6-$S423)/$T423))+1),0)</f>
        <v>0.0</v>
      </c>
      <c r="I423" s="97">
        <f>IF(ISNUMBER($S423),MAX(0,INT((I$6+6-$S423)/$T423)-MAX(0,-INT(-(I$6-$S423)/$T423))+1),0)</f>
        <v>0.0</v>
      </c>
      <c r="J423" s="97">
        <f>IF(ISNUMBER($S423),MAX(0,INT((J$6+6-$S423)/$T423)-MAX(0,-INT(-(J$6-$S423)/$T423))+1),0)</f>
        <v>0.0</v>
      </c>
      <c r="K423" s="97">
        <f>IF(ISNUMBER($S423),MAX(0,INT((K$6+6-$S423)/$T423)-MAX(0,-INT(-(K$6-$S423)/$T423))+1),0)</f>
        <v>0.0</v>
      </c>
      <c r="L423" s="97">
        <f>IF(ISNUMBER($S423),MAX(0,INT((L$6+6-$S423)/$T423)-MAX(0,-INT(-(L$6-$S423)/$T423))+1),0)</f>
        <v>0.0</v>
      </c>
      <c r="M423" s="97">
        <f>IF(ISNUMBER($S423),MAX(0,INT((M$6+6-$S423)/$T423)-MAX(0,-INT(-(M$6-$S423)/$T423))+1),0)</f>
        <v>0.0</v>
      </c>
      <c r="N423" s="97">
        <f>IF(ISNUMBER($S423),MAX(0,INT((N$6+6-$S423)/$T423)-MAX(0,-INT(-(N$6-$S423)/$T423))+1),0)</f>
        <v>0.0</v>
      </c>
      <c r="O423" s="97">
        <f>IF(ISNUMBER($S423),MAX(0,INT((O$6+6-$S423)/$T423)-MAX(0,-INT(-(O$6-$S423)/$T423))+1),0)</f>
        <v>0.0</v>
      </c>
      <c r="P423" s="97">
        <f>IF(ISNUMBER($S423),MAX(0,INT((P$6+6-$S423)/$T423)-MAX(0,-INT(-(P$6-$S423)/$T423))+1),0)</f>
        <v>0.0</v>
      </c>
      <c r="Q423" s="97">
        <f>IF(ISNUMBER($S423),MAX(0,INT((Q$6+6-$S423)/$T423)-MAX(0,-INT(-(Q$6-$S423)/$T423))+1),0)</f>
        <v>0.0</v>
      </c>
      <c r="R423" s="97">
        <f>IF(ISNUMBER($S423),MAX(0,INT((R$6+6-$S423)/$T423)-MAX(0,-INT(-(R$6-$S423)/$T423))+1),0)</f>
        <v>0.0</v>
      </c>
      <c r="S423" t="str">
        <f>IF(ISNUMBER(INDEX(pl_period,414)),MAX(INDEX(pl_due,414),p_today),"")</f>
        <v/>
      </c>
      <c r="T423" t="str">
        <f>IF(ISNUMBER(INDEX(pl_period,414)),INDEX(pl_period,414),"")</f>
        <v/>
      </c>
      <c r="U423">
        <f>N(INDEX(pl_dur,414))</f>
        <v>0.0</v>
      </c>
    </row>
    <row r="424">
      <c r="A424" s="93" t="str">
        <f>IF(INDEX(pl_status,415)="","",INDEX(pl_num,415)&amp;"")</f>
        <v/>
      </c>
      <c r="B424" s="93" t="str">
        <f>IF(INDEX(pl_status,415)="","",INDEX(pl_eq,415)&amp;"")</f>
        <v/>
      </c>
      <c r="C424" s="93" t="str">
        <f>IF(INDEX(pl_status,415)="","",INDEX(pl_task,415)&amp;"")</f>
        <v/>
      </c>
      <c r="D424" s="94" t="str">
        <f>IF(ISNUMBER(INDEX(pl_due,415)),INDEX(pl_due,415),"")</f>
        <v/>
      </c>
      <c r="E424" s="95" t="str">
        <f>INDEX(pl_status,415)&amp;""</f>
        <v/>
      </c>
      <c r="F424" s="96" t="str">
        <f>IF(E424="En retard","●","")</f>
        <v/>
      </c>
      <c r="G424" s="97">
        <f>IF(ISNUMBER($S424),MAX(0,INT((G$6+6-$S424)/$T424)-MAX(0,-INT(-(G$6-$S424)/$T424))+1),0)</f>
        <v>0.0</v>
      </c>
      <c r="H424" s="97">
        <f>IF(ISNUMBER($S424),MAX(0,INT((H$6+6-$S424)/$T424)-MAX(0,-INT(-(H$6-$S424)/$T424))+1),0)</f>
        <v>0.0</v>
      </c>
      <c r="I424" s="97">
        <f>IF(ISNUMBER($S424),MAX(0,INT((I$6+6-$S424)/$T424)-MAX(0,-INT(-(I$6-$S424)/$T424))+1),0)</f>
        <v>0.0</v>
      </c>
      <c r="J424" s="97">
        <f>IF(ISNUMBER($S424),MAX(0,INT((J$6+6-$S424)/$T424)-MAX(0,-INT(-(J$6-$S424)/$T424))+1),0)</f>
        <v>0.0</v>
      </c>
      <c r="K424" s="97">
        <f>IF(ISNUMBER($S424),MAX(0,INT((K$6+6-$S424)/$T424)-MAX(0,-INT(-(K$6-$S424)/$T424))+1),0)</f>
        <v>0.0</v>
      </c>
      <c r="L424" s="97">
        <f>IF(ISNUMBER($S424),MAX(0,INT((L$6+6-$S424)/$T424)-MAX(0,-INT(-(L$6-$S424)/$T424))+1),0)</f>
        <v>0.0</v>
      </c>
      <c r="M424" s="97">
        <f>IF(ISNUMBER($S424),MAX(0,INT((M$6+6-$S424)/$T424)-MAX(0,-INT(-(M$6-$S424)/$T424))+1),0)</f>
        <v>0.0</v>
      </c>
      <c r="N424" s="97">
        <f>IF(ISNUMBER($S424),MAX(0,INT((N$6+6-$S424)/$T424)-MAX(0,-INT(-(N$6-$S424)/$T424))+1),0)</f>
        <v>0.0</v>
      </c>
      <c r="O424" s="97">
        <f>IF(ISNUMBER($S424),MAX(0,INT((O$6+6-$S424)/$T424)-MAX(0,-INT(-(O$6-$S424)/$T424))+1),0)</f>
        <v>0.0</v>
      </c>
      <c r="P424" s="97">
        <f>IF(ISNUMBER($S424),MAX(0,INT((P$6+6-$S424)/$T424)-MAX(0,-INT(-(P$6-$S424)/$T424))+1),0)</f>
        <v>0.0</v>
      </c>
      <c r="Q424" s="97">
        <f>IF(ISNUMBER($S424),MAX(0,INT((Q$6+6-$S424)/$T424)-MAX(0,-INT(-(Q$6-$S424)/$T424))+1),0)</f>
        <v>0.0</v>
      </c>
      <c r="R424" s="97">
        <f>IF(ISNUMBER($S424),MAX(0,INT((R$6+6-$S424)/$T424)-MAX(0,-INT(-(R$6-$S424)/$T424))+1),0)</f>
        <v>0.0</v>
      </c>
      <c r="S424" t="str">
        <f>IF(ISNUMBER(INDEX(pl_period,415)),MAX(INDEX(pl_due,415),p_today),"")</f>
        <v/>
      </c>
      <c r="T424" t="str">
        <f>IF(ISNUMBER(INDEX(pl_period,415)),INDEX(pl_period,415),"")</f>
        <v/>
      </c>
      <c r="U424">
        <f>N(INDEX(pl_dur,415))</f>
        <v>0.0</v>
      </c>
    </row>
    <row r="425">
      <c r="A425" s="93" t="str">
        <f>IF(INDEX(pl_status,416)="","",INDEX(pl_num,416)&amp;"")</f>
        <v/>
      </c>
      <c r="B425" s="93" t="str">
        <f>IF(INDEX(pl_status,416)="","",INDEX(pl_eq,416)&amp;"")</f>
        <v/>
      </c>
      <c r="C425" s="93" t="str">
        <f>IF(INDEX(pl_status,416)="","",INDEX(pl_task,416)&amp;"")</f>
        <v/>
      </c>
      <c r="D425" s="94" t="str">
        <f>IF(ISNUMBER(INDEX(pl_due,416)),INDEX(pl_due,416),"")</f>
        <v/>
      </c>
      <c r="E425" s="95" t="str">
        <f>INDEX(pl_status,416)&amp;""</f>
        <v/>
      </c>
      <c r="F425" s="96" t="str">
        <f>IF(E425="En retard","●","")</f>
        <v/>
      </c>
      <c r="G425" s="97">
        <f>IF(ISNUMBER($S425),MAX(0,INT((G$6+6-$S425)/$T425)-MAX(0,-INT(-(G$6-$S425)/$T425))+1),0)</f>
        <v>0.0</v>
      </c>
      <c r="H425" s="97">
        <f>IF(ISNUMBER($S425),MAX(0,INT((H$6+6-$S425)/$T425)-MAX(0,-INT(-(H$6-$S425)/$T425))+1),0)</f>
        <v>0.0</v>
      </c>
      <c r="I425" s="97">
        <f>IF(ISNUMBER($S425),MAX(0,INT((I$6+6-$S425)/$T425)-MAX(0,-INT(-(I$6-$S425)/$T425))+1),0)</f>
        <v>0.0</v>
      </c>
      <c r="J425" s="97">
        <f>IF(ISNUMBER($S425),MAX(0,INT((J$6+6-$S425)/$T425)-MAX(0,-INT(-(J$6-$S425)/$T425))+1),0)</f>
        <v>0.0</v>
      </c>
      <c r="K425" s="97">
        <f>IF(ISNUMBER($S425),MAX(0,INT((K$6+6-$S425)/$T425)-MAX(0,-INT(-(K$6-$S425)/$T425))+1),0)</f>
        <v>0.0</v>
      </c>
      <c r="L425" s="97">
        <f>IF(ISNUMBER($S425),MAX(0,INT((L$6+6-$S425)/$T425)-MAX(0,-INT(-(L$6-$S425)/$T425))+1),0)</f>
        <v>0.0</v>
      </c>
      <c r="M425" s="97">
        <f>IF(ISNUMBER($S425),MAX(0,INT((M$6+6-$S425)/$T425)-MAX(0,-INT(-(M$6-$S425)/$T425))+1),0)</f>
        <v>0.0</v>
      </c>
      <c r="N425" s="97">
        <f>IF(ISNUMBER($S425),MAX(0,INT((N$6+6-$S425)/$T425)-MAX(0,-INT(-(N$6-$S425)/$T425))+1),0)</f>
        <v>0.0</v>
      </c>
      <c r="O425" s="97">
        <f>IF(ISNUMBER($S425),MAX(0,INT((O$6+6-$S425)/$T425)-MAX(0,-INT(-(O$6-$S425)/$T425))+1),0)</f>
        <v>0.0</v>
      </c>
      <c r="P425" s="97">
        <f>IF(ISNUMBER($S425),MAX(0,INT((P$6+6-$S425)/$T425)-MAX(0,-INT(-(P$6-$S425)/$T425))+1),0)</f>
        <v>0.0</v>
      </c>
      <c r="Q425" s="97">
        <f>IF(ISNUMBER($S425),MAX(0,INT((Q$6+6-$S425)/$T425)-MAX(0,-INT(-(Q$6-$S425)/$T425))+1),0)</f>
        <v>0.0</v>
      </c>
      <c r="R425" s="97">
        <f>IF(ISNUMBER($S425),MAX(0,INT((R$6+6-$S425)/$T425)-MAX(0,-INT(-(R$6-$S425)/$T425))+1),0)</f>
        <v>0.0</v>
      </c>
      <c r="S425" t="str">
        <f>IF(ISNUMBER(INDEX(pl_period,416)),MAX(INDEX(pl_due,416),p_today),"")</f>
        <v/>
      </c>
      <c r="T425" t="str">
        <f>IF(ISNUMBER(INDEX(pl_period,416)),INDEX(pl_period,416),"")</f>
        <v/>
      </c>
      <c r="U425">
        <f>N(INDEX(pl_dur,416))</f>
        <v>0.0</v>
      </c>
    </row>
    <row r="426">
      <c r="A426" s="93" t="str">
        <f>IF(INDEX(pl_status,417)="","",INDEX(pl_num,417)&amp;"")</f>
        <v/>
      </c>
      <c r="B426" s="93" t="str">
        <f>IF(INDEX(pl_status,417)="","",INDEX(pl_eq,417)&amp;"")</f>
        <v/>
      </c>
      <c r="C426" s="93" t="str">
        <f>IF(INDEX(pl_status,417)="","",INDEX(pl_task,417)&amp;"")</f>
        <v/>
      </c>
      <c r="D426" s="94" t="str">
        <f>IF(ISNUMBER(INDEX(pl_due,417)),INDEX(pl_due,417),"")</f>
        <v/>
      </c>
      <c r="E426" s="95" t="str">
        <f>INDEX(pl_status,417)&amp;""</f>
        <v/>
      </c>
      <c r="F426" s="96" t="str">
        <f>IF(E426="En retard","●","")</f>
        <v/>
      </c>
      <c r="G426" s="97">
        <f>IF(ISNUMBER($S426),MAX(0,INT((G$6+6-$S426)/$T426)-MAX(0,-INT(-(G$6-$S426)/$T426))+1),0)</f>
        <v>0.0</v>
      </c>
      <c r="H426" s="97">
        <f>IF(ISNUMBER($S426),MAX(0,INT((H$6+6-$S426)/$T426)-MAX(0,-INT(-(H$6-$S426)/$T426))+1),0)</f>
        <v>0.0</v>
      </c>
      <c r="I426" s="97">
        <f>IF(ISNUMBER($S426),MAX(0,INT((I$6+6-$S426)/$T426)-MAX(0,-INT(-(I$6-$S426)/$T426))+1),0)</f>
        <v>0.0</v>
      </c>
      <c r="J426" s="97">
        <f>IF(ISNUMBER($S426),MAX(0,INT((J$6+6-$S426)/$T426)-MAX(0,-INT(-(J$6-$S426)/$T426))+1),0)</f>
        <v>0.0</v>
      </c>
      <c r="K426" s="97">
        <f>IF(ISNUMBER($S426),MAX(0,INT((K$6+6-$S426)/$T426)-MAX(0,-INT(-(K$6-$S426)/$T426))+1),0)</f>
        <v>0.0</v>
      </c>
      <c r="L426" s="97">
        <f>IF(ISNUMBER($S426),MAX(0,INT((L$6+6-$S426)/$T426)-MAX(0,-INT(-(L$6-$S426)/$T426))+1),0)</f>
        <v>0.0</v>
      </c>
      <c r="M426" s="97">
        <f>IF(ISNUMBER($S426),MAX(0,INT((M$6+6-$S426)/$T426)-MAX(0,-INT(-(M$6-$S426)/$T426))+1),0)</f>
        <v>0.0</v>
      </c>
      <c r="N426" s="97">
        <f>IF(ISNUMBER($S426),MAX(0,INT((N$6+6-$S426)/$T426)-MAX(0,-INT(-(N$6-$S426)/$T426))+1),0)</f>
        <v>0.0</v>
      </c>
      <c r="O426" s="97">
        <f>IF(ISNUMBER($S426),MAX(0,INT((O$6+6-$S426)/$T426)-MAX(0,-INT(-(O$6-$S426)/$T426))+1),0)</f>
        <v>0.0</v>
      </c>
      <c r="P426" s="97">
        <f>IF(ISNUMBER($S426),MAX(0,INT((P$6+6-$S426)/$T426)-MAX(0,-INT(-(P$6-$S426)/$T426))+1),0)</f>
        <v>0.0</v>
      </c>
      <c r="Q426" s="97">
        <f>IF(ISNUMBER($S426),MAX(0,INT((Q$6+6-$S426)/$T426)-MAX(0,-INT(-(Q$6-$S426)/$T426))+1),0)</f>
        <v>0.0</v>
      </c>
      <c r="R426" s="97">
        <f>IF(ISNUMBER($S426),MAX(0,INT((R$6+6-$S426)/$T426)-MAX(0,-INT(-(R$6-$S426)/$T426))+1),0)</f>
        <v>0.0</v>
      </c>
      <c r="S426" t="str">
        <f>IF(ISNUMBER(INDEX(pl_period,417)),MAX(INDEX(pl_due,417),p_today),"")</f>
        <v/>
      </c>
      <c r="T426" t="str">
        <f>IF(ISNUMBER(INDEX(pl_period,417)),INDEX(pl_period,417),"")</f>
        <v/>
      </c>
      <c r="U426">
        <f>N(INDEX(pl_dur,417))</f>
        <v>0.0</v>
      </c>
    </row>
    <row r="427">
      <c r="A427" s="93" t="str">
        <f>IF(INDEX(pl_status,418)="","",INDEX(pl_num,418)&amp;"")</f>
        <v/>
      </c>
      <c r="B427" s="93" t="str">
        <f>IF(INDEX(pl_status,418)="","",INDEX(pl_eq,418)&amp;"")</f>
        <v/>
      </c>
      <c r="C427" s="93" t="str">
        <f>IF(INDEX(pl_status,418)="","",INDEX(pl_task,418)&amp;"")</f>
        <v/>
      </c>
      <c r="D427" s="94" t="str">
        <f>IF(ISNUMBER(INDEX(pl_due,418)),INDEX(pl_due,418),"")</f>
        <v/>
      </c>
      <c r="E427" s="95" t="str">
        <f>INDEX(pl_status,418)&amp;""</f>
        <v/>
      </c>
      <c r="F427" s="96" t="str">
        <f>IF(E427="En retard","●","")</f>
        <v/>
      </c>
      <c r="G427" s="97">
        <f>IF(ISNUMBER($S427),MAX(0,INT((G$6+6-$S427)/$T427)-MAX(0,-INT(-(G$6-$S427)/$T427))+1),0)</f>
        <v>0.0</v>
      </c>
      <c r="H427" s="97">
        <f>IF(ISNUMBER($S427),MAX(0,INT((H$6+6-$S427)/$T427)-MAX(0,-INT(-(H$6-$S427)/$T427))+1),0)</f>
        <v>0.0</v>
      </c>
      <c r="I427" s="97">
        <f>IF(ISNUMBER($S427),MAX(0,INT((I$6+6-$S427)/$T427)-MAX(0,-INT(-(I$6-$S427)/$T427))+1),0)</f>
        <v>0.0</v>
      </c>
      <c r="J427" s="97">
        <f>IF(ISNUMBER($S427),MAX(0,INT((J$6+6-$S427)/$T427)-MAX(0,-INT(-(J$6-$S427)/$T427))+1),0)</f>
        <v>0.0</v>
      </c>
      <c r="K427" s="97">
        <f>IF(ISNUMBER($S427),MAX(0,INT((K$6+6-$S427)/$T427)-MAX(0,-INT(-(K$6-$S427)/$T427))+1),0)</f>
        <v>0.0</v>
      </c>
      <c r="L427" s="97">
        <f>IF(ISNUMBER($S427),MAX(0,INT((L$6+6-$S427)/$T427)-MAX(0,-INT(-(L$6-$S427)/$T427))+1),0)</f>
        <v>0.0</v>
      </c>
      <c r="M427" s="97">
        <f>IF(ISNUMBER($S427),MAX(0,INT((M$6+6-$S427)/$T427)-MAX(0,-INT(-(M$6-$S427)/$T427))+1),0)</f>
        <v>0.0</v>
      </c>
      <c r="N427" s="97">
        <f>IF(ISNUMBER($S427),MAX(0,INT((N$6+6-$S427)/$T427)-MAX(0,-INT(-(N$6-$S427)/$T427))+1),0)</f>
        <v>0.0</v>
      </c>
      <c r="O427" s="97">
        <f>IF(ISNUMBER($S427),MAX(0,INT((O$6+6-$S427)/$T427)-MAX(0,-INT(-(O$6-$S427)/$T427))+1),0)</f>
        <v>0.0</v>
      </c>
      <c r="P427" s="97">
        <f>IF(ISNUMBER($S427),MAX(0,INT((P$6+6-$S427)/$T427)-MAX(0,-INT(-(P$6-$S427)/$T427))+1),0)</f>
        <v>0.0</v>
      </c>
      <c r="Q427" s="97">
        <f>IF(ISNUMBER($S427),MAX(0,INT((Q$6+6-$S427)/$T427)-MAX(0,-INT(-(Q$6-$S427)/$T427))+1),0)</f>
        <v>0.0</v>
      </c>
      <c r="R427" s="97">
        <f>IF(ISNUMBER($S427),MAX(0,INT((R$6+6-$S427)/$T427)-MAX(0,-INT(-(R$6-$S427)/$T427))+1),0)</f>
        <v>0.0</v>
      </c>
      <c r="S427" t="str">
        <f>IF(ISNUMBER(INDEX(pl_period,418)),MAX(INDEX(pl_due,418),p_today),"")</f>
        <v/>
      </c>
      <c r="T427" t="str">
        <f>IF(ISNUMBER(INDEX(pl_period,418)),INDEX(pl_period,418),"")</f>
        <v/>
      </c>
      <c r="U427">
        <f>N(INDEX(pl_dur,418))</f>
        <v>0.0</v>
      </c>
    </row>
    <row r="428">
      <c r="A428" s="93" t="str">
        <f>IF(INDEX(pl_status,419)="","",INDEX(pl_num,419)&amp;"")</f>
        <v/>
      </c>
      <c r="B428" s="93" t="str">
        <f>IF(INDEX(pl_status,419)="","",INDEX(pl_eq,419)&amp;"")</f>
        <v/>
      </c>
      <c r="C428" s="93" t="str">
        <f>IF(INDEX(pl_status,419)="","",INDEX(pl_task,419)&amp;"")</f>
        <v/>
      </c>
      <c r="D428" s="94" t="str">
        <f>IF(ISNUMBER(INDEX(pl_due,419)),INDEX(pl_due,419),"")</f>
        <v/>
      </c>
      <c r="E428" s="95" t="str">
        <f>INDEX(pl_status,419)&amp;""</f>
        <v/>
      </c>
      <c r="F428" s="96" t="str">
        <f>IF(E428="En retard","●","")</f>
        <v/>
      </c>
      <c r="G428" s="97">
        <f>IF(ISNUMBER($S428),MAX(0,INT((G$6+6-$S428)/$T428)-MAX(0,-INT(-(G$6-$S428)/$T428))+1),0)</f>
        <v>0.0</v>
      </c>
      <c r="H428" s="97">
        <f>IF(ISNUMBER($S428),MAX(0,INT((H$6+6-$S428)/$T428)-MAX(0,-INT(-(H$6-$S428)/$T428))+1),0)</f>
        <v>0.0</v>
      </c>
      <c r="I428" s="97">
        <f>IF(ISNUMBER($S428),MAX(0,INT((I$6+6-$S428)/$T428)-MAX(0,-INT(-(I$6-$S428)/$T428))+1),0)</f>
        <v>0.0</v>
      </c>
      <c r="J428" s="97">
        <f>IF(ISNUMBER($S428),MAX(0,INT((J$6+6-$S428)/$T428)-MAX(0,-INT(-(J$6-$S428)/$T428))+1),0)</f>
        <v>0.0</v>
      </c>
      <c r="K428" s="97">
        <f>IF(ISNUMBER($S428),MAX(0,INT((K$6+6-$S428)/$T428)-MAX(0,-INT(-(K$6-$S428)/$T428))+1),0)</f>
        <v>0.0</v>
      </c>
      <c r="L428" s="97">
        <f>IF(ISNUMBER($S428),MAX(0,INT((L$6+6-$S428)/$T428)-MAX(0,-INT(-(L$6-$S428)/$T428))+1),0)</f>
        <v>0.0</v>
      </c>
      <c r="M428" s="97">
        <f>IF(ISNUMBER($S428),MAX(0,INT((M$6+6-$S428)/$T428)-MAX(0,-INT(-(M$6-$S428)/$T428))+1),0)</f>
        <v>0.0</v>
      </c>
      <c r="N428" s="97">
        <f>IF(ISNUMBER($S428),MAX(0,INT((N$6+6-$S428)/$T428)-MAX(0,-INT(-(N$6-$S428)/$T428))+1),0)</f>
        <v>0.0</v>
      </c>
      <c r="O428" s="97">
        <f>IF(ISNUMBER($S428),MAX(0,INT((O$6+6-$S428)/$T428)-MAX(0,-INT(-(O$6-$S428)/$T428))+1),0)</f>
        <v>0.0</v>
      </c>
      <c r="P428" s="97">
        <f>IF(ISNUMBER($S428),MAX(0,INT((P$6+6-$S428)/$T428)-MAX(0,-INT(-(P$6-$S428)/$T428))+1),0)</f>
        <v>0.0</v>
      </c>
      <c r="Q428" s="97">
        <f>IF(ISNUMBER($S428),MAX(0,INT((Q$6+6-$S428)/$T428)-MAX(0,-INT(-(Q$6-$S428)/$T428))+1),0)</f>
        <v>0.0</v>
      </c>
      <c r="R428" s="97">
        <f>IF(ISNUMBER($S428),MAX(0,INT((R$6+6-$S428)/$T428)-MAX(0,-INT(-(R$6-$S428)/$T428))+1),0)</f>
        <v>0.0</v>
      </c>
      <c r="S428" t="str">
        <f>IF(ISNUMBER(INDEX(pl_period,419)),MAX(INDEX(pl_due,419),p_today),"")</f>
        <v/>
      </c>
      <c r="T428" t="str">
        <f>IF(ISNUMBER(INDEX(pl_period,419)),INDEX(pl_period,419),"")</f>
        <v/>
      </c>
      <c r="U428">
        <f>N(INDEX(pl_dur,419))</f>
        <v>0.0</v>
      </c>
    </row>
    <row r="429">
      <c r="A429" s="93" t="str">
        <f>IF(INDEX(pl_status,420)="","",INDEX(pl_num,420)&amp;"")</f>
        <v/>
      </c>
      <c r="B429" s="93" t="str">
        <f>IF(INDEX(pl_status,420)="","",INDEX(pl_eq,420)&amp;"")</f>
        <v/>
      </c>
      <c r="C429" s="93" t="str">
        <f>IF(INDEX(pl_status,420)="","",INDEX(pl_task,420)&amp;"")</f>
        <v/>
      </c>
      <c r="D429" s="94" t="str">
        <f>IF(ISNUMBER(INDEX(pl_due,420)),INDEX(pl_due,420),"")</f>
        <v/>
      </c>
      <c r="E429" s="95" t="str">
        <f>INDEX(pl_status,420)&amp;""</f>
        <v/>
      </c>
      <c r="F429" s="96" t="str">
        <f>IF(E429="En retard","●","")</f>
        <v/>
      </c>
      <c r="G429" s="97">
        <f>IF(ISNUMBER($S429),MAX(0,INT((G$6+6-$S429)/$T429)-MAX(0,-INT(-(G$6-$S429)/$T429))+1),0)</f>
        <v>0.0</v>
      </c>
      <c r="H429" s="97">
        <f>IF(ISNUMBER($S429),MAX(0,INT((H$6+6-$S429)/$T429)-MAX(0,-INT(-(H$6-$S429)/$T429))+1),0)</f>
        <v>0.0</v>
      </c>
      <c r="I429" s="97">
        <f>IF(ISNUMBER($S429),MAX(0,INT((I$6+6-$S429)/$T429)-MAX(0,-INT(-(I$6-$S429)/$T429))+1),0)</f>
        <v>0.0</v>
      </c>
      <c r="J429" s="97">
        <f>IF(ISNUMBER($S429),MAX(0,INT((J$6+6-$S429)/$T429)-MAX(0,-INT(-(J$6-$S429)/$T429))+1),0)</f>
        <v>0.0</v>
      </c>
      <c r="K429" s="97">
        <f>IF(ISNUMBER($S429),MAX(0,INT((K$6+6-$S429)/$T429)-MAX(0,-INT(-(K$6-$S429)/$T429))+1),0)</f>
        <v>0.0</v>
      </c>
      <c r="L429" s="97">
        <f>IF(ISNUMBER($S429),MAX(0,INT((L$6+6-$S429)/$T429)-MAX(0,-INT(-(L$6-$S429)/$T429))+1),0)</f>
        <v>0.0</v>
      </c>
      <c r="M429" s="97">
        <f>IF(ISNUMBER($S429),MAX(0,INT((M$6+6-$S429)/$T429)-MAX(0,-INT(-(M$6-$S429)/$T429))+1),0)</f>
        <v>0.0</v>
      </c>
      <c r="N429" s="97">
        <f>IF(ISNUMBER($S429),MAX(0,INT((N$6+6-$S429)/$T429)-MAX(0,-INT(-(N$6-$S429)/$T429))+1),0)</f>
        <v>0.0</v>
      </c>
      <c r="O429" s="97">
        <f>IF(ISNUMBER($S429),MAX(0,INT((O$6+6-$S429)/$T429)-MAX(0,-INT(-(O$6-$S429)/$T429))+1),0)</f>
        <v>0.0</v>
      </c>
      <c r="P429" s="97">
        <f>IF(ISNUMBER($S429),MAX(0,INT((P$6+6-$S429)/$T429)-MAX(0,-INT(-(P$6-$S429)/$T429))+1),0)</f>
        <v>0.0</v>
      </c>
      <c r="Q429" s="97">
        <f>IF(ISNUMBER($S429),MAX(0,INT((Q$6+6-$S429)/$T429)-MAX(0,-INT(-(Q$6-$S429)/$T429))+1),0)</f>
        <v>0.0</v>
      </c>
      <c r="R429" s="97">
        <f>IF(ISNUMBER($S429),MAX(0,INT((R$6+6-$S429)/$T429)-MAX(0,-INT(-(R$6-$S429)/$T429))+1),0)</f>
        <v>0.0</v>
      </c>
      <c r="S429" t="str">
        <f>IF(ISNUMBER(INDEX(pl_period,420)),MAX(INDEX(pl_due,420),p_today),"")</f>
        <v/>
      </c>
      <c r="T429" t="str">
        <f>IF(ISNUMBER(INDEX(pl_period,420)),INDEX(pl_period,420),"")</f>
        <v/>
      </c>
      <c r="U429">
        <f>N(INDEX(pl_dur,420))</f>
        <v>0.0</v>
      </c>
    </row>
    <row r="430">
      <c r="A430" s="93" t="str">
        <f>IF(INDEX(pl_status,421)="","",INDEX(pl_num,421)&amp;"")</f>
        <v/>
      </c>
      <c r="B430" s="93" t="str">
        <f>IF(INDEX(pl_status,421)="","",INDEX(pl_eq,421)&amp;"")</f>
        <v/>
      </c>
      <c r="C430" s="93" t="str">
        <f>IF(INDEX(pl_status,421)="","",INDEX(pl_task,421)&amp;"")</f>
        <v/>
      </c>
      <c r="D430" s="94" t="str">
        <f>IF(ISNUMBER(INDEX(pl_due,421)),INDEX(pl_due,421),"")</f>
        <v/>
      </c>
      <c r="E430" s="95" t="str">
        <f>INDEX(pl_status,421)&amp;""</f>
        <v/>
      </c>
      <c r="F430" s="96" t="str">
        <f>IF(E430="En retard","●","")</f>
        <v/>
      </c>
      <c r="G430" s="97">
        <f>IF(ISNUMBER($S430),MAX(0,INT((G$6+6-$S430)/$T430)-MAX(0,-INT(-(G$6-$S430)/$T430))+1),0)</f>
        <v>0.0</v>
      </c>
      <c r="H430" s="97">
        <f>IF(ISNUMBER($S430),MAX(0,INT((H$6+6-$S430)/$T430)-MAX(0,-INT(-(H$6-$S430)/$T430))+1),0)</f>
        <v>0.0</v>
      </c>
      <c r="I430" s="97">
        <f>IF(ISNUMBER($S430),MAX(0,INT((I$6+6-$S430)/$T430)-MAX(0,-INT(-(I$6-$S430)/$T430))+1),0)</f>
        <v>0.0</v>
      </c>
      <c r="J430" s="97">
        <f>IF(ISNUMBER($S430),MAX(0,INT((J$6+6-$S430)/$T430)-MAX(0,-INT(-(J$6-$S430)/$T430))+1),0)</f>
        <v>0.0</v>
      </c>
      <c r="K430" s="97">
        <f>IF(ISNUMBER($S430),MAX(0,INT((K$6+6-$S430)/$T430)-MAX(0,-INT(-(K$6-$S430)/$T430))+1),0)</f>
        <v>0.0</v>
      </c>
      <c r="L430" s="97">
        <f>IF(ISNUMBER($S430),MAX(0,INT((L$6+6-$S430)/$T430)-MAX(0,-INT(-(L$6-$S430)/$T430))+1),0)</f>
        <v>0.0</v>
      </c>
      <c r="M430" s="97">
        <f>IF(ISNUMBER($S430),MAX(0,INT((M$6+6-$S430)/$T430)-MAX(0,-INT(-(M$6-$S430)/$T430))+1),0)</f>
        <v>0.0</v>
      </c>
      <c r="N430" s="97">
        <f>IF(ISNUMBER($S430),MAX(0,INT((N$6+6-$S430)/$T430)-MAX(0,-INT(-(N$6-$S430)/$T430))+1),0)</f>
        <v>0.0</v>
      </c>
      <c r="O430" s="97">
        <f>IF(ISNUMBER($S430),MAX(0,INT((O$6+6-$S430)/$T430)-MAX(0,-INT(-(O$6-$S430)/$T430))+1),0)</f>
        <v>0.0</v>
      </c>
      <c r="P430" s="97">
        <f>IF(ISNUMBER($S430),MAX(0,INT((P$6+6-$S430)/$T430)-MAX(0,-INT(-(P$6-$S430)/$T430))+1),0)</f>
        <v>0.0</v>
      </c>
      <c r="Q430" s="97">
        <f>IF(ISNUMBER($S430),MAX(0,INT((Q$6+6-$S430)/$T430)-MAX(0,-INT(-(Q$6-$S430)/$T430))+1),0)</f>
        <v>0.0</v>
      </c>
      <c r="R430" s="97">
        <f>IF(ISNUMBER($S430),MAX(0,INT((R$6+6-$S430)/$T430)-MAX(0,-INT(-(R$6-$S430)/$T430))+1),0)</f>
        <v>0.0</v>
      </c>
      <c r="S430" t="str">
        <f>IF(ISNUMBER(INDEX(pl_period,421)),MAX(INDEX(pl_due,421),p_today),"")</f>
        <v/>
      </c>
      <c r="T430" t="str">
        <f>IF(ISNUMBER(INDEX(pl_period,421)),INDEX(pl_period,421),"")</f>
        <v/>
      </c>
      <c r="U430">
        <f>N(INDEX(pl_dur,421))</f>
        <v>0.0</v>
      </c>
    </row>
    <row r="431">
      <c r="A431" s="93" t="str">
        <f>IF(INDEX(pl_status,422)="","",INDEX(pl_num,422)&amp;"")</f>
        <v/>
      </c>
      <c r="B431" s="93" t="str">
        <f>IF(INDEX(pl_status,422)="","",INDEX(pl_eq,422)&amp;"")</f>
        <v/>
      </c>
      <c r="C431" s="93" t="str">
        <f>IF(INDEX(pl_status,422)="","",INDEX(pl_task,422)&amp;"")</f>
        <v/>
      </c>
      <c r="D431" s="94" t="str">
        <f>IF(ISNUMBER(INDEX(pl_due,422)),INDEX(pl_due,422),"")</f>
        <v/>
      </c>
      <c r="E431" s="95" t="str">
        <f>INDEX(pl_status,422)&amp;""</f>
        <v/>
      </c>
      <c r="F431" s="96" t="str">
        <f>IF(E431="En retard","●","")</f>
        <v/>
      </c>
      <c r="G431" s="97">
        <f>IF(ISNUMBER($S431),MAX(0,INT((G$6+6-$S431)/$T431)-MAX(0,-INT(-(G$6-$S431)/$T431))+1),0)</f>
        <v>0.0</v>
      </c>
      <c r="H431" s="97">
        <f>IF(ISNUMBER($S431),MAX(0,INT((H$6+6-$S431)/$T431)-MAX(0,-INT(-(H$6-$S431)/$T431))+1),0)</f>
        <v>0.0</v>
      </c>
      <c r="I431" s="97">
        <f>IF(ISNUMBER($S431),MAX(0,INT((I$6+6-$S431)/$T431)-MAX(0,-INT(-(I$6-$S431)/$T431))+1),0)</f>
        <v>0.0</v>
      </c>
      <c r="J431" s="97">
        <f>IF(ISNUMBER($S431),MAX(0,INT((J$6+6-$S431)/$T431)-MAX(0,-INT(-(J$6-$S431)/$T431))+1),0)</f>
        <v>0.0</v>
      </c>
      <c r="K431" s="97">
        <f>IF(ISNUMBER($S431),MAX(0,INT((K$6+6-$S431)/$T431)-MAX(0,-INT(-(K$6-$S431)/$T431))+1),0)</f>
        <v>0.0</v>
      </c>
      <c r="L431" s="97">
        <f>IF(ISNUMBER($S431),MAX(0,INT((L$6+6-$S431)/$T431)-MAX(0,-INT(-(L$6-$S431)/$T431))+1),0)</f>
        <v>0.0</v>
      </c>
      <c r="M431" s="97">
        <f>IF(ISNUMBER($S431),MAX(0,INT((M$6+6-$S431)/$T431)-MAX(0,-INT(-(M$6-$S431)/$T431))+1),0)</f>
        <v>0.0</v>
      </c>
      <c r="N431" s="97">
        <f>IF(ISNUMBER($S431),MAX(0,INT((N$6+6-$S431)/$T431)-MAX(0,-INT(-(N$6-$S431)/$T431))+1),0)</f>
        <v>0.0</v>
      </c>
      <c r="O431" s="97">
        <f>IF(ISNUMBER($S431),MAX(0,INT((O$6+6-$S431)/$T431)-MAX(0,-INT(-(O$6-$S431)/$T431))+1),0)</f>
        <v>0.0</v>
      </c>
      <c r="P431" s="97">
        <f>IF(ISNUMBER($S431),MAX(0,INT((P$6+6-$S431)/$T431)-MAX(0,-INT(-(P$6-$S431)/$T431))+1),0)</f>
        <v>0.0</v>
      </c>
      <c r="Q431" s="97">
        <f>IF(ISNUMBER($S431),MAX(0,INT((Q$6+6-$S431)/$T431)-MAX(0,-INT(-(Q$6-$S431)/$T431))+1),0)</f>
        <v>0.0</v>
      </c>
      <c r="R431" s="97">
        <f>IF(ISNUMBER($S431),MAX(0,INT((R$6+6-$S431)/$T431)-MAX(0,-INT(-(R$6-$S431)/$T431))+1),0)</f>
        <v>0.0</v>
      </c>
      <c r="S431" t="str">
        <f>IF(ISNUMBER(INDEX(pl_period,422)),MAX(INDEX(pl_due,422),p_today),"")</f>
        <v/>
      </c>
      <c r="T431" t="str">
        <f>IF(ISNUMBER(INDEX(pl_period,422)),INDEX(pl_period,422),"")</f>
        <v/>
      </c>
      <c r="U431">
        <f>N(INDEX(pl_dur,422))</f>
        <v>0.0</v>
      </c>
    </row>
    <row r="432">
      <c r="A432" s="93" t="str">
        <f>IF(INDEX(pl_status,423)="","",INDEX(pl_num,423)&amp;"")</f>
        <v/>
      </c>
      <c r="B432" s="93" t="str">
        <f>IF(INDEX(pl_status,423)="","",INDEX(pl_eq,423)&amp;"")</f>
        <v/>
      </c>
      <c r="C432" s="93" t="str">
        <f>IF(INDEX(pl_status,423)="","",INDEX(pl_task,423)&amp;"")</f>
        <v/>
      </c>
      <c r="D432" s="94" t="str">
        <f>IF(ISNUMBER(INDEX(pl_due,423)),INDEX(pl_due,423),"")</f>
        <v/>
      </c>
      <c r="E432" s="95" t="str">
        <f>INDEX(pl_status,423)&amp;""</f>
        <v/>
      </c>
      <c r="F432" s="96" t="str">
        <f>IF(E432="En retard","●","")</f>
        <v/>
      </c>
      <c r="G432" s="97">
        <f>IF(ISNUMBER($S432),MAX(0,INT((G$6+6-$S432)/$T432)-MAX(0,-INT(-(G$6-$S432)/$T432))+1),0)</f>
        <v>0.0</v>
      </c>
      <c r="H432" s="97">
        <f>IF(ISNUMBER($S432),MAX(0,INT((H$6+6-$S432)/$T432)-MAX(0,-INT(-(H$6-$S432)/$T432))+1),0)</f>
        <v>0.0</v>
      </c>
      <c r="I432" s="97">
        <f>IF(ISNUMBER($S432),MAX(0,INT((I$6+6-$S432)/$T432)-MAX(0,-INT(-(I$6-$S432)/$T432))+1),0)</f>
        <v>0.0</v>
      </c>
      <c r="J432" s="97">
        <f>IF(ISNUMBER($S432),MAX(0,INT((J$6+6-$S432)/$T432)-MAX(0,-INT(-(J$6-$S432)/$T432))+1),0)</f>
        <v>0.0</v>
      </c>
      <c r="K432" s="97">
        <f>IF(ISNUMBER($S432),MAX(0,INT((K$6+6-$S432)/$T432)-MAX(0,-INT(-(K$6-$S432)/$T432))+1),0)</f>
        <v>0.0</v>
      </c>
      <c r="L432" s="97">
        <f>IF(ISNUMBER($S432),MAX(0,INT((L$6+6-$S432)/$T432)-MAX(0,-INT(-(L$6-$S432)/$T432))+1),0)</f>
        <v>0.0</v>
      </c>
      <c r="M432" s="97">
        <f>IF(ISNUMBER($S432),MAX(0,INT((M$6+6-$S432)/$T432)-MAX(0,-INT(-(M$6-$S432)/$T432))+1),0)</f>
        <v>0.0</v>
      </c>
      <c r="N432" s="97">
        <f>IF(ISNUMBER($S432),MAX(0,INT((N$6+6-$S432)/$T432)-MAX(0,-INT(-(N$6-$S432)/$T432))+1),0)</f>
        <v>0.0</v>
      </c>
      <c r="O432" s="97">
        <f>IF(ISNUMBER($S432),MAX(0,INT((O$6+6-$S432)/$T432)-MAX(0,-INT(-(O$6-$S432)/$T432))+1),0)</f>
        <v>0.0</v>
      </c>
      <c r="P432" s="97">
        <f>IF(ISNUMBER($S432),MAX(0,INT((P$6+6-$S432)/$T432)-MAX(0,-INT(-(P$6-$S432)/$T432))+1),0)</f>
        <v>0.0</v>
      </c>
      <c r="Q432" s="97">
        <f>IF(ISNUMBER($S432),MAX(0,INT((Q$6+6-$S432)/$T432)-MAX(0,-INT(-(Q$6-$S432)/$T432))+1),0)</f>
        <v>0.0</v>
      </c>
      <c r="R432" s="97">
        <f>IF(ISNUMBER($S432),MAX(0,INT((R$6+6-$S432)/$T432)-MAX(0,-INT(-(R$6-$S432)/$T432))+1),0)</f>
        <v>0.0</v>
      </c>
      <c r="S432" t="str">
        <f>IF(ISNUMBER(INDEX(pl_period,423)),MAX(INDEX(pl_due,423),p_today),"")</f>
        <v/>
      </c>
      <c r="T432" t="str">
        <f>IF(ISNUMBER(INDEX(pl_period,423)),INDEX(pl_period,423),"")</f>
        <v/>
      </c>
      <c r="U432">
        <f>N(INDEX(pl_dur,423))</f>
        <v>0.0</v>
      </c>
    </row>
    <row r="433">
      <c r="A433" s="93" t="str">
        <f>IF(INDEX(pl_status,424)="","",INDEX(pl_num,424)&amp;"")</f>
        <v/>
      </c>
      <c r="B433" s="93" t="str">
        <f>IF(INDEX(pl_status,424)="","",INDEX(pl_eq,424)&amp;"")</f>
        <v/>
      </c>
      <c r="C433" s="93" t="str">
        <f>IF(INDEX(pl_status,424)="","",INDEX(pl_task,424)&amp;"")</f>
        <v/>
      </c>
      <c r="D433" s="94" t="str">
        <f>IF(ISNUMBER(INDEX(pl_due,424)),INDEX(pl_due,424),"")</f>
        <v/>
      </c>
      <c r="E433" s="95" t="str">
        <f>INDEX(pl_status,424)&amp;""</f>
        <v/>
      </c>
      <c r="F433" s="96" t="str">
        <f>IF(E433="En retard","●","")</f>
        <v/>
      </c>
      <c r="G433" s="97">
        <f>IF(ISNUMBER($S433),MAX(0,INT((G$6+6-$S433)/$T433)-MAX(0,-INT(-(G$6-$S433)/$T433))+1),0)</f>
        <v>0.0</v>
      </c>
      <c r="H433" s="97">
        <f>IF(ISNUMBER($S433),MAX(0,INT((H$6+6-$S433)/$T433)-MAX(0,-INT(-(H$6-$S433)/$T433))+1),0)</f>
        <v>0.0</v>
      </c>
      <c r="I433" s="97">
        <f>IF(ISNUMBER($S433),MAX(0,INT((I$6+6-$S433)/$T433)-MAX(0,-INT(-(I$6-$S433)/$T433))+1),0)</f>
        <v>0.0</v>
      </c>
      <c r="J433" s="97">
        <f>IF(ISNUMBER($S433),MAX(0,INT((J$6+6-$S433)/$T433)-MAX(0,-INT(-(J$6-$S433)/$T433))+1),0)</f>
        <v>0.0</v>
      </c>
      <c r="K433" s="97">
        <f>IF(ISNUMBER($S433),MAX(0,INT((K$6+6-$S433)/$T433)-MAX(0,-INT(-(K$6-$S433)/$T433))+1),0)</f>
        <v>0.0</v>
      </c>
      <c r="L433" s="97">
        <f>IF(ISNUMBER($S433),MAX(0,INT((L$6+6-$S433)/$T433)-MAX(0,-INT(-(L$6-$S433)/$T433))+1),0)</f>
        <v>0.0</v>
      </c>
      <c r="M433" s="97">
        <f>IF(ISNUMBER($S433),MAX(0,INT((M$6+6-$S433)/$T433)-MAX(0,-INT(-(M$6-$S433)/$T433))+1),0)</f>
        <v>0.0</v>
      </c>
      <c r="N433" s="97">
        <f>IF(ISNUMBER($S433),MAX(0,INT((N$6+6-$S433)/$T433)-MAX(0,-INT(-(N$6-$S433)/$T433))+1),0)</f>
        <v>0.0</v>
      </c>
      <c r="O433" s="97">
        <f>IF(ISNUMBER($S433),MAX(0,INT((O$6+6-$S433)/$T433)-MAX(0,-INT(-(O$6-$S433)/$T433))+1),0)</f>
        <v>0.0</v>
      </c>
      <c r="P433" s="97">
        <f>IF(ISNUMBER($S433),MAX(0,INT((P$6+6-$S433)/$T433)-MAX(0,-INT(-(P$6-$S433)/$T433))+1),0)</f>
        <v>0.0</v>
      </c>
      <c r="Q433" s="97">
        <f>IF(ISNUMBER($S433),MAX(0,INT((Q$6+6-$S433)/$T433)-MAX(0,-INT(-(Q$6-$S433)/$T433))+1),0)</f>
        <v>0.0</v>
      </c>
      <c r="R433" s="97">
        <f>IF(ISNUMBER($S433),MAX(0,INT((R$6+6-$S433)/$T433)-MAX(0,-INT(-(R$6-$S433)/$T433))+1),0)</f>
        <v>0.0</v>
      </c>
      <c r="S433" t="str">
        <f>IF(ISNUMBER(INDEX(pl_period,424)),MAX(INDEX(pl_due,424),p_today),"")</f>
        <v/>
      </c>
      <c r="T433" t="str">
        <f>IF(ISNUMBER(INDEX(pl_period,424)),INDEX(pl_period,424),"")</f>
        <v/>
      </c>
      <c r="U433">
        <f>N(INDEX(pl_dur,424))</f>
        <v>0.0</v>
      </c>
    </row>
    <row r="434">
      <c r="A434" s="93" t="str">
        <f>IF(INDEX(pl_status,425)="","",INDEX(pl_num,425)&amp;"")</f>
        <v/>
      </c>
      <c r="B434" s="93" t="str">
        <f>IF(INDEX(pl_status,425)="","",INDEX(pl_eq,425)&amp;"")</f>
        <v/>
      </c>
      <c r="C434" s="93" t="str">
        <f>IF(INDEX(pl_status,425)="","",INDEX(pl_task,425)&amp;"")</f>
        <v/>
      </c>
      <c r="D434" s="94" t="str">
        <f>IF(ISNUMBER(INDEX(pl_due,425)),INDEX(pl_due,425),"")</f>
        <v/>
      </c>
      <c r="E434" s="95" t="str">
        <f>INDEX(pl_status,425)&amp;""</f>
        <v/>
      </c>
      <c r="F434" s="96" t="str">
        <f>IF(E434="En retard","●","")</f>
        <v/>
      </c>
      <c r="G434" s="97">
        <f>IF(ISNUMBER($S434),MAX(0,INT((G$6+6-$S434)/$T434)-MAX(0,-INT(-(G$6-$S434)/$T434))+1),0)</f>
        <v>0.0</v>
      </c>
      <c r="H434" s="97">
        <f>IF(ISNUMBER($S434),MAX(0,INT((H$6+6-$S434)/$T434)-MAX(0,-INT(-(H$6-$S434)/$T434))+1),0)</f>
        <v>0.0</v>
      </c>
      <c r="I434" s="97">
        <f>IF(ISNUMBER($S434),MAX(0,INT((I$6+6-$S434)/$T434)-MAX(0,-INT(-(I$6-$S434)/$T434))+1),0)</f>
        <v>0.0</v>
      </c>
      <c r="J434" s="97">
        <f>IF(ISNUMBER($S434),MAX(0,INT((J$6+6-$S434)/$T434)-MAX(0,-INT(-(J$6-$S434)/$T434))+1),0)</f>
        <v>0.0</v>
      </c>
      <c r="K434" s="97">
        <f>IF(ISNUMBER($S434),MAX(0,INT((K$6+6-$S434)/$T434)-MAX(0,-INT(-(K$6-$S434)/$T434))+1),0)</f>
        <v>0.0</v>
      </c>
      <c r="L434" s="97">
        <f>IF(ISNUMBER($S434),MAX(0,INT((L$6+6-$S434)/$T434)-MAX(0,-INT(-(L$6-$S434)/$T434))+1),0)</f>
        <v>0.0</v>
      </c>
      <c r="M434" s="97">
        <f>IF(ISNUMBER($S434),MAX(0,INT((M$6+6-$S434)/$T434)-MAX(0,-INT(-(M$6-$S434)/$T434))+1),0)</f>
        <v>0.0</v>
      </c>
      <c r="N434" s="97">
        <f>IF(ISNUMBER($S434),MAX(0,INT((N$6+6-$S434)/$T434)-MAX(0,-INT(-(N$6-$S434)/$T434))+1),0)</f>
        <v>0.0</v>
      </c>
      <c r="O434" s="97">
        <f>IF(ISNUMBER($S434),MAX(0,INT((O$6+6-$S434)/$T434)-MAX(0,-INT(-(O$6-$S434)/$T434))+1),0)</f>
        <v>0.0</v>
      </c>
      <c r="P434" s="97">
        <f>IF(ISNUMBER($S434),MAX(0,INT((P$6+6-$S434)/$T434)-MAX(0,-INT(-(P$6-$S434)/$T434))+1),0)</f>
        <v>0.0</v>
      </c>
      <c r="Q434" s="97">
        <f>IF(ISNUMBER($S434),MAX(0,INT((Q$6+6-$S434)/$T434)-MAX(0,-INT(-(Q$6-$S434)/$T434))+1),0)</f>
        <v>0.0</v>
      </c>
      <c r="R434" s="97">
        <f>IF(ISNUMBER($S434),MAX(0,INT((R$6+6-$S434)/$T434)-MAX(0,-INT(-(R$6-$S434)/$T434))+1),0)</f>
        <v>0.0</v>
      </c>
      <c r="S434" t="str">
        <f>IF(ISNUMBER(INDEX(pl_period,425)),MAX(INDEX(pl_due,425),p_today),"")</f>
        <v/>
      </c>
      <c r="T434" t="str">
        <f>IF(ISNUMBER(INDEX(pl_period,425)),INDEX(pl_period,425),"")</f>
        <v/>
      </c>
      <c r="U434">
        <f>N(INDEX(pl_dur,425))</f>
        <v>0.0</v>
      </c>
    </row>
    <row r="435">
      <c r="A435" s="93" t="str">
        <f>IF(INDEX(pl_status,426)="","",INDEX(pl_num,426)&amp;"")</f>
        <v/>
      </c>
      <c r="B435" s="93" t="str">
        <f>IF(INDEX(pl_status,426)="","",INDEX(pl_eq,426)&amp;"")</f>
        <v/>
      </c>
      <c r="C435" s="93" t="str">
        <f>IF(INDEX(pl_status,426)="","",INDEX(pl_task,426)&amp;"")</f>
        <v/>
      </c>
      <c r="D435" s="94" t="str">
        <f>IF(ISNUMBER(INDEX(pl_due,426)),INDEX(pl_due,426),"")</f>
        <v/>
      </c>
      <c r="E435" s="95" t="str">
        <f>INDEX(pl_status,426)&amp;""</f>
        <v/>
      </c>
      <c r="F435" s="96" t="str">
        <f>IF(E435="En retard","●","")</f>
        <v/>
      </c>
      <c r="G435" s="97">
        <f>IF(ISNUMBER($S435),MAX(0,INT((G$6+6-$S435)/$T435)-MAX(0,-INT(-(G$6-$S435)/$T435))+1),0)</f>
        <v>0.0</v>
      </c>
      <c r="H435" s="97">
        <f>IF(ISNUMBER($S435),MAX(0,INT((H$6+6-$S435)/$T435)-MAX(0,-INT(-(H$6-$S435)/$T435))+1),0)</f>
        <v>0.0</v>
      </c>
      <c r="I435" s="97">
        <f>IF(ISNUMBER($S435),MAX(0,INT((I$6+6-$S435)/$T435)-MAX(0,-INT(-(I$6-$S435)/$T435))+1),0)</f>
        <v>0.0</v>
      </c>
      <c r="J435" s="97">
        <f>IF(ISNUMBER($S435),MAX(0,INT((J$6+6-$S435)/$T435)-MAX(0,-INT(-(J$6-$S435)/$T435))+1),0)</f>
        <v>0.0</v>
      </c>
      <c r="K435" s="97">
        <f>IF(ISNUMBER($S435),MAX(0,INT((K$6+6-$S435)/$T435)-MAX(0,-INT(-(K$6-$S435)/$T435))+1),0)</f>
        <v>0.0</v>
      </c>
      <c r="L435" s="97">
        <f>IF(ISNUMBER($S435),MAX(0,INT((L$6+6-$S435)/$T435)-MAX(0,-INT(-(L$6-$S435)/$T435))+1),0)</f>
        <v>0.0</v>
      </c>
      <c r="M435" s="97">
        <f>IF(ISNUMBER($S435),MAX(0,INT((M$6+6-$S435)/$T435)-MAX(0,-INT(-(M$6-$S435)/$T435))+1),0)</f>
        <v>0.0</v>
      </c>
      <c r="N435" s="97">
        <f>IF(ISNUMBER($S435),MAX(0,INT((N$6+6-$S435)/$T435)-MAX(0,-INT(-(N$6-$S435)/$T435))+1),0)</f>
        <v>0.0</v>
      </c>
      <c r="O435" s="97">
        <f>IF(ISNUMBER($S435),MAX(0,INT((O$6+6-$S435)/$T435)-MAX(0,-INT(-(O$6-$S435)/$T435))+1),0)</f>
        <v>0.0</v>
      </c>
      <c r="P435" s="97">
        <f>IF(ISNUMBER($S435),MAX(0,INT((P$6+6-$S435)/$T435)-MAX(0,-INT(-(P$6-$S435)/$T435))+1),0)</f>
        <v>0.0</v>
      </c>
      <c r="Q435" s="97">
        <f>IF(ISNUMBER($S435),MAX(0,INT((Q$6+6-$S435)/$T435)-MAX(0,-INT(-(Q$6-$S435)/$T435))+1),0)</f>
        <v>0.0</v>
      </c>
      <c r="R435" s="97">
        <f>IF(ISNUMBER($S435),MAX(0,INT((R$6+6-$S435)/$T435)-MAX(0,-INT(-(R$6-$S435)/$T435))+1),0)</f>
        <v>0.0</v>
      </c>
      <c r="S435" t="str">
        <f>IF(ISNUMBER(INDEX(pl_period,426)),MAX(INDEX(pl_due,426),p_today),"")</f>
        <v/>
      </c>
      <c r="T435" t="str">
        <f>IF(ISNUMBER(INDEX(pl_period,426)),INDEX(pl_period,426),"")</f>
        <v/>
      </c>
      <c r="U435">
        <f>N(INDEX(pl_dur,426))</f>
        <v>0.0</v>
      </c>
    </row>
    <row r="436">
      <c r="A436" s="93" t="str">
        <f>IF(INDEX(pl_status,427)="","",INDEX(pl_num,427)&amp;"")</f>
        <v/>
      </c>
      <c r="B436" s="93" t="str">
        <f>IF(INDEX(pl_status,427)="","",INDEX(pl_eq,427)&amp;"")</f>
        <v/>
      </c>
      <c r="C436" s="93" t="str">
        <f>IF(INDEX(pl_status,427)="","",INDEX(pl_task,427)&amp;"")</f>
        <v/>
      </c>
      <c r="D436" s="94" t="str">
        <f>IF(ISNUMBER(INDEX(pl_due,427)),INDEX(pl_due,427),"")</f>
        <v/>
      </c>
      <c r="E436" s="95" t="str">
        <f>INDEX(pl_status,427)&amp;""</f>
        <v/>
      </c>
      <c r="F436" s="96" t="str">
        <f>IF(E436="En retard","●","")</f>
        <v/>
      </c>
      <c r="G436" s="97">
        <f>IF(ISNUMBER($S436),MAX(0,INT((G$6+6-$S436)/$T436)-MAX(0,-INT(-(G$6-$S436)/$T436))+1),0)</f>
        <v>0.0</v>
      </c>
      <c r="H436" s="97">
        <f>IF(ISNUMBER($S436),MAX(0,INT((H$6+6-$S436)/$T436)-MAX(0,-INT(-(H$6-$S436)/$T436))+1),0)</f>
        <v>0.0</v>
      </c>
      <c r="I436" s="97">
        <f>IF(ISNUMBER($S436),MAX(0,INT((I$6+6-$S436)/$T436)-MAX(0,-INT(-(I$6-$S436)/$T436))+1),0)</f>
        <v>0.0</v>
      </c>
      <c r="J436" s="97">
        <f>IF(ISNUMBER($S436),MAX(0,INT((J$6+6-$S436)/$T436)-MAX(0,-INT(-(J$6-$S436)/$T436))+1),0)</f>
        <v>0.0</v>
      </c>
      <c r="K436" s="97">
        <f>IF(ISNUMBER($S436),MAX(0,INT((K$6+6-$S436)/$T436)-MAX(0,-INT(-(K$6-$S436)/$T436))+1),0)</f>
        <v>0.0</v>
      </c>
      <c r="L436" s="97">
        <f>IF(ISNUMBER($S436),MAX(0,INT((L$6+6-$S436)/$T436)-MAX(0,-INT(-(L$6-$S436)/$T436))+1),0)</f>
        <v>0.0</v>
      </c>
      <c r="M436" s="97">
        <f>IF(ISNUMBER($S436),MAX(0,INT((M$6+6-$S436)/$T436)-MAX(0,-INT(-(M$6-$S436)/$T436))+1),0)</f>
        <v>0.0</v>
      </c>
      <c r="N436" s="97">
        <f>IF(ISNUMBER($S436),MAX(0,INT((N$6+6-$S436)/$T436)-MAX(0,-INT(-(N$6-$S436)/$T436))+1),0)</f>
        <v>0.0</v>
      </c>
      <c r="O436" s="97">
        <f>IF(ISNUMBER($S436),MAX(0,INT((O$6+6-$S436)/$T436)-MAX(0,-INT(-(O$6-$S436)/$T436))+1),0)</f>
        <v>0.0</v>
      </c>
      <c r="P436" s="97">
        <f>IF(ISNUMBER($S436),MAX(0,INT((P$6+6-$S436)/$T436)-MAX(0,-INT(-(P$6-$S436)/$T436))+1),0)</f>
        <v>0.0</v>
      </c>
      <c r="Q436" s="97">
        <f>IF(ISNUMBER($S436),MAX(0,INT((Q$6+6-$S436)/$T436)-MAX(0,-INT(-(Q$6-$S436)/$T436))+1),0)</f>
        <v>0.0</v>
      </c>
      <c r="R436" s="97">
        <f>IF(ISNUMBER($S436),MAX(0,INT((R$6+6-$S436)/$T436)-MAX(0,-INT(-(R$6-$S436)/$T436))+1),0)</f>
        <v>0.0</v>
      </c>
      <c r="S436" t="str">
        <f>IF(ISNUMBER(INDEX(pl_period,427)),MAX(INDEX(pl_due,427),p_today),"")</f>
        <v/>
      </c>
      <c r="T436" t="str">
        <f>IF(ISNUMBER(INDEX(pl_period,427)),INDEX(pl_period,427),"")</f>
        <v/>
      </c>
      <c r="U436">
        <f>N(INDEX(pl_dur,427))</f>
        <v>0.0</v>
      </c>
    </row>
    <row r="437">
      <c r="A437" s="93" t="str">
        <f>IF(INDEX(pl_status,428)="","",INDEX(pl_num,428)&amp;"")</f>
        <v/>
      </c>
      <c r="B437" s="93" t="str">
        <f>IF(INDEX(pl_status,428)="","",INDEX(pl_eq,428)&amp;"")</f>
        <v/>
      </c>
      <c r="C437" s="93" t="str">
        <f>IF(INDEX(pl_status,428)="","",INDEX(pl_task,428)&amp;"")</f>
        <v/>
      </c>
      <c r="D437" s="94" t="str">
        <f>IF(ISNUMBER(INDEX(pl_due,428)),INDEX(pl_due,428),"")</f>
        <v/>
      </c>
      <c r="E437" s="95" t="str">
        <f>INDEX(pl_status,428)&amp;""</f>
        <v/>
      </c>
      <c r="F437" s="96" t="str">
        <f>IF(E437="En retard","●","")</f>
        <v/>
      </c>
      <c r="G437" s="97">
        <f>IF(ISNUMBER($S437),MAX(0,INT((G$6+6-$S437)/$T437)-MAX(0,-INT(-(G$6-$S437)/$T437))+1),0)</f>
        <v>0.0</v>
      </c>
      <c r="H437" s="97">
        <f>IF(ISNUMBER($S437),MAX(0,INT((H$6+6-$S437)/$T437)-MAX(0,-INT(-(H$6-$S437)/$T437))+1),0)</f>
        <v>0.0</v>
      </c>
      <c r="I437" s="97">
        <f>IF(ISNUMBER($S437),MAX(0,INT((I$6+6-$S437)/$T437)-MAX(0,-INT(-(I$6-$S437)/$T437))+1),0)</f>
        <v>0.0</v>
      </c>
      <c r="J437" s="97">
        <f>IF(ISNUMBER($S437),MAX(0,INT((J$6+6-$S437)/$T437)-MAX(0,-INT(-(J$6-$S437)/$T437))+1),0)</f>
        <v>0.0</v>
      </c>
      <c r="K437" s="97">
        <f>IF(ISNUMBER($S437),MAX(0,INT((K$6+6-$S437)/$T437)-MAX(0,-INT(-(K$6-$S437)/$T437))+1),0)</f>
        <v>0.0</v>
      </c>
      <c r="L437" s="97">
        <f>IF(ISNUMBER($S437),MAX(0,INT((L$6+6-$S437)/$T437)-MAX(0,-INT(-(L$6-$S437)/$T437))+1),0)</f>
        <v>0.0</v>
      </c>
      <c r="M437" s="97">
        <f>IF(ISNUMBER($S437),MAX(0,INT((M$6+6-$S437)/$T437)-MAX(0,-INT(-(M$6-$S437)/$T437))+1),0)</f>
        <v>0.0</v>
      </c>
      <c r="N437" s="97">
        <f>IF(ISNUMBER($S437),MAX(0,INT((N$6+6-$S437)/$T437)-MAX(0,-INT(-(N$6-$S437)/$T437))+1),0)</f>
        <v>0.0</v>
      </c>
      <c r="O437" s="97">
        <f>IF(ISNUMBER($S437),MAX(0,INT((O$6+6-$S437)/$T437)-MAX(0,-INT(-(O$6-$S437)/$T437))+1),0)</f>
        <v>0.0</v>
      </c>
      <c r="P437" s="97">
        <f>IF(ISNUMBER($S437),MAX(0,INT((P$6+6-$S437)/$T437)-MAX(0,-INT(-(P$6-$S437)/$T437))+1),0)</f>
        <v>0.0</v>
      </c>
      <c r="Q437" s="97">
        <f>IF(ISNUMBER($S437),MAX(0,INT((Q$6+6-$S437)/$T437)-MAX(0,-INT(-(Q$6-$S437)/$T437))+1),0)</f>
        <v>0.0</v>
      </c>
      <c r="R437" s="97">
        <f>IF(ISNUMBER($S437),MAX(0,INT((R$6+6-$S437)/$T437)-MAX(0,-INT(-(R$6-$S437)/$T437))+1),0)</f>
        <v>0.0</v>
      </c>
      <c r="S437" t="str">
        <f>IF(ISNUMBER(INDEX(pl_period,428)),MAX(INDEX(pl_due,428),p_today),"")</f>
        <v/>
      </c>
      <c r="T437" t="str">
        <f>IF(ISNUMBER(INDEX(pl_period,428)),INDEX(pl_period,428),"")</f>
        <v/>
      </c>
      <c r="U437">
        <f>N(INDEX(pl_dur,428))</f>
        <v>0.0</v>
      </c>
    </row>
    <row r="438">
      <c r="A438" s="93" t="str">
        <f>IF(INDEX(pl_status,429)="","",INDEX(pl_num,429)&amp;"")</f>
        <v/>
      </c>
      <c r="B438" s="93" t="str">
        <f>IF(INDEX(pl_status,429)="","",INDEX(pl_eq,429)&amp;"")</f>
        <v/>
      </c>
      <c r="C438" s="93" t="str">
        <f>IF(INDEX(pl_status,429)="","",INDEX(pl_task,429)&amp;"")</f>
        <v/>
      </c>
      <c r="D438" s="94" t="str">
        <f>IF(ISNUMBER(INDEX(pl_due,429)),INDEX(pl_due,429),"")</f>
        <v/>
      </c>
      <c r="E438" s="95" t="str">
        <f>INDEX(pl_status,429)&amp;""</f>
        <v/>
      </c>
      <c r="F438" s="96" t="str">
        <f>IF(E438="En retard","●","")</f>
        <v/>
      </c>
      <c r="G438" s="97">
        <f>IF(ISNUMBER($S438),MAX(0,INT((G$6+6-$S438)/$T438)-MAX(0,-INT(-(G$6-$S438)/$T438))+1),0)</f>
        <v>0.0</v>
      </c>
      <c r="H438" s="97">
        <f>IF(ISNUMBER($S438),MAX(0,INT((H$6+6-$S438)/$T438)-MAX(0,-INT(-(H$6-$S438)/$T438))+1),0)</f>
        <v>0.0</v>
      </c>
      <c r="I438" s="97">
        <f>IF(ISNUMBER($S438),MAX(0,INT((I$6+6-$S438)/$T438)-MAX(0,-INT(-(I$6-$S438)/$T438))+1),0)</f>
        <v>0.0</v>
      </c>
      <c r="J438" s="97">
        <f>IF(ISNUMBER($S438),MAX(0,INT((J$6+6-$S438)/$T438)-MAX(0,-INT(-(J$6-$S438)/$T438))+1),0)</f>
        <v>0.0</v>
      </c>
      <c r="K438" s="97">
        <f>IF(ISNUMBER($S438),MAX(0,INT((K$6+6-$S438)/$T438)-MAX(0,-INT(-(K$6-$S438)/$T438))+1),0)</f>
        <v>0.0</v>
      </c>
      <c r="L438" s="97">
        <f>IF(ISNUMBER($S438),MAX(0,INT((L$6+6-$S438)/$T438)-MAX(0,-INT(-(L$6-$S438)/$T438))+1),0)</f>
        <v>0.0</v>
      </c>
      <c r="M438" s="97">
        <f>IF(ISNUMBER($S438),MAX(0,INT((M$6+6-$S438)/$T438)-MAX(0,-INT(-(M$6-$S438)/$T438))+1),0)</f>
        <v>0.0</v>
      </c>
      <c r="N438" s="97">
        <f>IF(ISNUMBER($S438),MAX(0,INT((N$6+6-$S438)/$T438)-MAX(0,-INT(-(N$6-$S438)/$T438))+1),0)</f>
        <v>0.0</v>
      </c>
      <c r="O438" s="97">
        <f>IF(ISNUMBER($S438),MAX(0,INT((O$6+6-$S438)/$T438)-MAX(0,-INT(-(O$6-$S438)/$T438))+1),0)</f>
        <v>0.0</v>
      </c>
      <c r="P438" s="97">
        <f>IF(ISNUMBER($S438),MAX(0,INT((P$6+6-$S438)/$T438)-MAX(0,-INT(-(P$6-$S438)/$T438))+1),0)</f>
        <v>0.0</v>
      </c>
      <c r="Q438" s="97">
        <f>IF(ISNUMBER($S438),MAX(0,INT((Q$6+6-$S438)/$T438)-MAX(0,-INT(-(Q$6-$S438)/$T438))+1),0)</f>
        <v>0.0</v>
      </c>
      <c r="R438" s="97">
        <f>IF(ISNUMBER($S438),MAX(0,INT((R$6+6-$S438)/$T438)-MAX(0,-INT(-(R$6-$S438)/$T438))+1),0)</f>
        <v>0.0</v>
      </c>
      <c r="S438" t="str">
        <f>IF(ISNUMBER(INDEX(pl_period,429)),MAX(INDEX(pl_due,429),p_today),"")</f>
        <v/>
      </c>
      <c r="T438" t="str">
        <f>IF(ISNUMBER(INDEX(pl_period,429)),INDEX(pl_period,429),"")</f>
        <v/>
      </c>
      <c r="U438">
        <f>N(INDEX(pl_dur,429))</f>
        <v>0.0</v>
      </c>
    </row>
    <row r="439">
      <c r="A439" s="93" t="str">
        <f>IF(INDEX(pl_status,430)="","",INDEX(pl_num,430)&amp;"")</f>
        <v/>
      </c>
      <c r="B439" s="93" t="str">
        <f>IF(INDEX(pl_status,430)="","",INDEX(pl_eq,430)&amp;"")</f>
        <v/>
      </c>
      <c r="C439" s="93" t="str">
        <f>IF(INDEX(pl_status,430)="","",INDEX(pl_task,430)&amp;"")</f>
        <v/>
      </c>
      <c r="D439" s="94" t="str">
        <f>IF(ISNUMBER(INDEX(pl_due,430)),INDEX(pl_due,430),"")</f>
        <v/>
      </c>
      <c r="E439" s="95" t="str">
        <f>INDEX(pl_status,430)&amp;""</f>
        <v/>
      </c>
      <c r="F439" s="96" t="str">
        <f>IF(E439="En retard","●","")</f>
        <v/>
      </c>
      <c r="G439" s="97">
        <f>IF(ISNUMBER($S439),MAX(0,INT((G$6+6-$S439)/$T439)-MAX(0,-INT(-(G$6-$S439)/$T439))+1),0)</f>
        <v>0.0</v>
      </c>
      <c r="H439" s="97">
        <f>IF(ISNUMBER($S439),MAX(0,INT((H$6+6-$S439)/$T439)-MAX(0,-INT(-(H$6-$S439)/$T439))+1),0)</f>
        <v>0.0</v>
      </c>
      <c r="I439" s="97">
        <f>IF(ISNUMBER($S439),MAX(0,INT((I$6+6-$S439)/$T439)-MAX(0,-INT(-(I$6-$S439)/$T439))+1),0)</f>
        <v>0.0</v>
      </c>
      <c r="J439" s="97">
        <f>IF(ISNUMBER($S439),MAX(0,INT((J$6+6-$S439)/$T439)-MAX(0,-INT(-(J$6-$S439)/$T439))+1),0)</f>
        <v>0.0</v>
      </c>
      <c r="K439" s="97">
        <f>IF(ISNUMBER($S439),MAX(0,INT((K$6+6-$S439)/$T439)-MAX(0,-INT(-(K$6-$S439)/$T439))+1),0)</f>
        <v>0.0</v>
      </c>
      <c r="L439" s="97">
        <f>IF(ISNUMBER($S439),MAX(0,INT((L$6+6-$S439)/$T439)-MAX(0,-INT(-(L$6-$S439)/$T439))+1),0)</f>
        <v>0.0</v>
      </c>
      <c r="M439" s="97">
        <f>IF(ISNUMBER($S439),MAX(0,INT((M$6+6-$S439)/$T439)-MAX(0,-INT(-(M$6-$S439)/$T439))+1),0)</f>
        <v>0.0</v>
      </c>
      <c r="N439" s="97">
        <f>IF(ISNUMBER($S439),MAX(0,INT((N$6+6-$S439)/$T439)-MAX(0,-INT(-(N$6-$S439)/$T439))+1),0)</f>
        <v>0.0</v>
      </c>
      <c r="O439" s="97">
        <f>IF(ISNUMBER($S439),MAX(0,INT((O$6+6-$S439)/$T439)-MAX(0,-INT(-(O$6-$S439)/$T439))+1),0)</f>
        <v>0.0</v>
      </c>
      <c r="P439" s="97">
        <f>IF(ISNUMBER($S439),MAX(0,INT((P$6+6-$S439)/$T439)-MAX(0,-INT(-(P$6-$S439)/$T439))+1),0)</f>
        <v>0.0</v>
      </c>
      <c r="Q439" s="97">
        <f>IF(ISNUMBER($S439),MAX(0,INT((Q$6+6-$S439)/$T439)-MAX(0,-INT(-(Q$6-$S439)/$T439))+1),0)</f>
        <v>0.0</v>
      </c>
      <c r="R439" s="97">
        <f>IF(ISNUMBER($S439),MAX(0,INT((R$6+6-$S439)/$T439)-MAX(0,-INT(-(R$6-$S439)/$T439))+1),0)</f>
        <v>0.0</v>
      </c>
      <c r="S439" t="str">
        <f>IF(ISNUMBER(INDEX(pl_period,430)),MAX(INDEX(pl_due,430),p_today),"")</f>
        <v/>
      </c>
      <c r="T439" t="str">
        <f>IF(ISNUMBER(INDEX(pl_period,430)),INDEX(pl_period,430),"")</f>
        <v/>
      </c>
      <c r="U439">
        <f>N(INDEX(pl_dur,430))</f>
        <v>0.0</v>
      </c>
    </row>
    <row r="440">
      <c r="A440" s="93" t="str">
        <f>IF(INDEX(pl_status,431)="","",INDEX(pl_num,431)&amp;"")</f>
        <v/>
      </c>
      <c r="B440" s="93" t="str">
        <f>IF(INDEX(pl_status,431)="","",INDEX(pl_eq,431)&amp;"")</f>
        <v/>
      </c>
      <c r="C440" s="93" t="str">
        <f>IF(INDEX(pl_status,431)="","",INDEX(pl_task,431)&amp;"")</f>
        <v/>
      </c>
      <c r="D440" s="94" t="str">
        <f>IF(ISNUMBER(INDEX(pl_due,431)),INDEX(pl_due,431),"")</f>
        <v/>
      </c>
      <c r="E440" s="95" t="str">
        <f>INDEX(pl_status,431)&amp;""</f>
        <v/>
      </c>
      <c r="F440" s="96" t="str">
        <f>IF(E440="En retard","●","")</f>
        <v/>
      </c>
      <c r="G440" s="97">
        <f>IF(ISNUMBER($S440),MAX(0,INT((G$6+6-$S440)/$T440)-MAX(0,-INT(-(G$6-$S440)/$T440))+1),0)</f>
        <v>0.0</v>
      </c>
      <c r="H440" s="97">
        <f>IF(ISNUMBER($S440),MAX(0,INT((H$6+6-$S440)/$T440)-MAX(0,-INT(-(H$6-$S440)/$T440))+1),0)</f>
        <v>0.0</v>
      </c>
      <c r="I440" s="97">
        <f>IF(ISNUMBER($S440),MAX(0,INT((I$6+6-$S440)/$T440)-MAX(0,-INT(-(I$6-$S440)/$T440))+1),0)</f>
        <v>0.0</v>
      </c>
      <c r="J440" s="97">
        <f>IF(ISNUMBER($S440),MAX(0,INT((J$6+6-$S440)/$T440)-MAX(0,-INT(-(J$6-$S440)/$T440))+1),0)</f>
        <v>0.0</v>
      </c>
      <c r="K440" s="97">
        <f>IF(ISNUMBER($S440),MAX(0,INT((K$6+6-$S440)/$T440)-MAX(0,-INT(-(K$6-$S440)/$T440))+1),0)</f>
        <v>0.0</v>
      </c>
      <c r="L440" s="97">
        <f>IF(ISNUMBER($S440),MAX(0,INT((L$6+6-$S440)/$T440)-MAX(0,-INT(-(L$6-$S440)/$T440))+1),0)</f>
        <v>0.0</v>
      </c>
      <c r="M440" s="97">
        <f>IF(ISNUMBER($S440),MAX(0,INT((M$6+6-$S440)/$T440)-MAX(0,-INT(-(M$6-$S440)/$T440))+1),0)</f>
        <v>0.0</v>
      </c>
      <c r="N440" s="97">
        <f>IF(ISNUMBER($S440),MAX(0,INT((N$6+6-$S440)/$T440)-MAX(0,-INT(-(N$6-$S440)/$T440))+1),0)</f>
        <v>0.0</v>
      </c>
      <c r="O440" s="97">
        <f>IF(ISNUMBER($S440),MAX(0,INT((O$6+6-$S440)/$T440)-MAX(0,-INT(-(O$6-$S440)/$T440))+1),0)</f>
        <v>0.0</v>
      </c>
      <c r="P440" s="97">
        <f>IF(ISNUMBER($S440),MAX(0,INT((P$6+6-$S440)/$T440)-MAX(0,-INT(-(P$6-$S440)/$T440))+1),0)</f>
        <v>0.0</v>
      </c>
      <c r="Q440" s="97">
        <f>IF(ISNUMBER($S440),MAX(0,INT((Q$6+6-$S440)/$T440)-MAX(0,-INT(-(Q$6-$S440)/$T440))+1),0)</f>
        <v>0.0</v>
      </c>
      <c r="R440" s="97">
        <f>IF(ISNUMBER($S440),MAX(0,INT((R$6+6-$S440)/$T440)-MAX(0,-INT(-(R$6-$S440)/$T440))+1),0)</f>
        <v>0.0</v>
      </c>
      <c r="S440" t="str">
        <f>IF(ISNUMBER(INDEX(pl_period,431)),MAX(INDEX(pl_due,431),p_today),"")</f>
        <v/>
      </c>
      <c r="T440" t="str">
        <f>IF(ISNUMBER(INDEX(pl_period,431)),INDEX(pl_period,431),"")</f>
        <v/>
      </c>
      <c r="U440">
        <f>N(INDEX(pl_dur,431))</f>
        <v>0.0</v>
      </c>
    </row>
    <row r="441">
      <c r="A441" s="93" t="str">
        <f>IF(INDEX(pl_status,432)="","",INDEX(pl_num,432)&amp;"")</f>
        <v/>
      </c>
      <c r="B441" s="93" t="str">
        <f>IF(INDEX(pl_status,432)="","",INDEX(pl_eq,432)&amp;"")</f>
        <v/>
      </c>
      <c r="C441" s="93" t="str">
        <f>IF(INDEX(pl_status,432)="","",INDEX(pl_task,432)&amp;"")</f>
        <v/>
      </c>
      <c r="D441" s="94" t="str">
        <f>IF(ISNUMBER(INDEX(pl_due,432)),INDEX(pl_due,432),"")</f>
        <v/>
      </c>
      <c r="E441" s="95" t="str">
        <f>INDEX(pl_status,432)&amp;""</f>
        <v/>
      </c>
      <c r="F441" s="96" t="str">
        <f>IF(E441="En retard","●","")</f>
        <v/>
      </c>
      <c r="G441" s="97">
        <f>IF(ISNUMBER($S441),MAX(0,INT((G$6+6-$S441)/$T441)-MAX(0,-INT(-(G$6-$S441)/$T441))+1),0)</f>
        <v>0.0</v>
      </c>
      <c r="H441" s="97">
        <f>IF(ISNUMBER($S441),MAX(0,INT((H$6+6-$S441)/$T441)-MAX(0,-INT(-(H$6-$S441)/$T441))+1),0)</f>
        <v>0.0</v>
      </c>
      <c r="I441" s="97">
        <f>IF(ISNUMBER($S441),MAX(0,INT((I$6+6-$S441)/$T441)-MAX(0,-INT(-(I$6-$S441)/$T441))+1),0)</f>
        <v>0.0</v>
      </c>
      <c r="J441" s="97">
        <f>IF(ISNUMBER($S441),MAX(0,INT((J$6+6-$S441)/$T441)-MAX(0,-INT(-(J$6-$S441)/$T441))+1),0)</f>
        <v>0.0</v>
      </c>
      <c r="K441" s="97">
        <f>IF(ISNUMBER($S441),MAX(0,INT((K$6+6-$S441)/$T441)-MAX(0,-INT(-(K$6-$S441)/$T441))+1),0)</f>
        <v>0.0</v>
      </c>
      <c r="L441" s="97">
        <f>IF(ISNUMBER($S441),MAX(0,INT((L$6+6-$S441)/$T441)-MAX(0,-INT(-(L$6-$S441)/$T441))+1),0)</f>
        <v>0.0</v>
      </c>
      <c r="M441" s="97">
        <f>IF(ISNUMBER($S441),MAX(0,INT((M$6+6-$S441)/$T441)-MAX(0,-INT(-(M$6-$S441)/$T441))+1),0)</f>
        <v>0.0</v>
      </c>
      <c r="N441" s="97">
        <f>IF(ISNUMBER($S441),MAX(0,INT((N$6+6-$S441)/$T441)-MAX(0,-INT(-(N$6-$S441)/$T441))+1),0)</f>
        <v>0.0</v>
      </c>
      <c r="O441" s="97">
        <f>IF(ISNUMBER($S441),MAX(0,INT((O$6+6-$S441)/$T441)-MAX(0,-INT(-(O$6-$S441)/$T441))+1),0)</f>
        <v>0.0</v>
      </c>
      <c r="P441" s="97">
        <f>IF(ISNUMBER($S441),MAX(0,INT((P$6+6-$S441)/$T441)-MAX(0,-INT(-(P$6-$S441)/$T441))+1),0)</f>
        <v>0.0</v>
      </c>
      <c r="Q441" s="97">
        <f>IF(ISNUMBER($S441),MAX(0,INT((Q$6+6-$S441)/$T441)-MAX(0,-INT(-(Q$6-$S441)/$T441))+1),0)</f>
        <v>0.0</v>
      </c>
      <c r="R441" s="97">
        <f>IF(ISNUMBER($S441),MAX(0,INT((R$6+6-$S441)/$T441)-MAX(0,-INT(-(R$6-$S441)/$T441))+1),0)</f>
        <v>0.0</v>
      </c>
      <c r="S441" t="str">
        <f>IF(ISNUMBER(INDEX(pl_period,432)),MAX(INDEX(pl_due,432),p_today),"")</f>
        <v/>
      </c>
      <c r="T441" t="str">
        <f>IF(ISNUMBER(INDEX(pl_period,432)),INDEX(pl_period,432),"")</f>
        <v/>
      </c>
      <c r="U441">
        <f>N(INDEX(pl_dur,432))</f>
        <v>0.0</v>
      </c>
    </row>
    <row r="442">
      <c r="A442" s="93" t="str">
        <f>IF(INDEX(pl_status,433)="","",INDEX(pl_num,433)&amp;"")</f>
        <v/>
      </c>
      <c r="B442" s="93" t="str">
        <f>IF(INDEX(pl_status,433)="","",INDEX(pl_eq,433)&amp;"")</f>
        <v/>
      </c>
      <c r="C442" s="93" t="str">
        <f>IF(INDEX(pl_status,433)="","",INDEX(pl_task,433)&amp;"")</f>
        <v/>
      </c>
      <c r="D442" s="94" t="str">
        <f>IF(ISNUMBER(INDEX(pl_due,433)),INDEX(pl_due,433),"")</f>
        <v/>
      </c>
      <c r="E442" s="95" t="str">
        <f>INDEX(pl_status,433)&amp;""</f>
        <v/>
      </c>
      <c r="F442" s="96" t="str">
        <f>IF(E442="En retard","●","")</f>
        <v/>
      </c>
      <c r="G442" s="97">
        <f>IF(ISNUMBER($S442),MAX(0,INT((G$6+6-$S442)/$T442)-MAX(0,-INT(-(G$6-$S442)/$T442))+1),0)</f>
        <v>0.0</v>
      </c>
      <c r="H442" s="97">
        <f>IF(ISNUMBER($S442),MAX(0,INT((H$6+6-$S442)/$T442)-MAX(0,-INT(-(H$6-$S442)/$T442))+1),0)</f>
        <v>0.0</v>
      </c>
      <c r="I442" s="97">
        <f>IF(ISNUMBER($S442),MAX(0,INT((I$6+6-$S442)/$T442)-MAX(0,-INT(-(I$6-$S442)/$T442))+1),0)</f>
        <v>0.0</v>
      </c>
      <c r="J442" s="97">
        <f>IF(ISNUMBER($S442),MAX(0,INT((J$6+6-$S442)/$T442)-MAX(0,-INT(-(J$6-$S442)/$T442))+1),0)</f>
        <v>0.0</v>
      </c>
      <c r="K442" s="97">
        <f>IF(ISNUMBER($S442),MAX(0,INT((K$6+6-$S442)/$T442)-MAX(0,-INT(-(K$6-$S442)/$T442))+1),0)</f>
        <v>0.0</v>
      </c>
      <c r="L442" s="97">
        <f>IF(ISNUMBER($S442),MAX(0,INT((L$6+6-$S442)/$T442)-MAX(0,-INT(-(L$6-$S442)/$T442))+1),0)</f>
        <v>0.0</v>
      </c>
      <c r="M442" s="97">
        <f>IF(ISNUMBER($S442),MAX(0,INT((M$6+6-$S442)/$T442)-MAX(0,-INT(-(M$6-$S442)/$T442))+1),0)</f>
        <v>0.0</v>
      </c>
      <c r="N442" s="97">
        <f>IF(ISNUMBER($S442),MAX(0,INT((N$6+6-$S442)/$T442)-MAX(0,-INT(-(N$6-$S442)/$T442))+1),0)</f>
        <v>0.0</v>
      </c>
      <c r="O442" s="97">
        <f>IF(ISNUMBER($S442),MAX(0,INT((O$6+6-$S442)/$T442)-MAX(0,-INT(-(O$6-$S442)/$T442))+1),0)</f>
        <v>0.0</v>
      </c>
      <c r="P442" s="97">
        <f>IF(ISNUMBER($S442),MAX(0,INT((P$6+6-$S442)/$T442)-MAX(0,-INT(-(P$6-$S442)/$T442))+1),0)</f>
        <v>0.0</v>
      </c>
      <c r="Q442" s="97">
        <f>IF(ISNUMBER($S442),MAX(0,INT((Q$6+6-$S442)/$T442)-MAX(0,-INT(-(Q$6-$S442)/$T442))+1),0)</f>
        <v>0.0</v>
      </c>
      <c r="R442" s="97">
        <f>IF(ISNUMBER($S442),MAX(0,INT((R$6+6-$S442)/$T442)-MAX(0,-INT(-(R$6-$S442)/$T442))+1),0)</f>
        <v>0.0</v>
      </c>
      <c r="S442" t="str">
        <f>IF(ISNUMBER(INDEX(pl_period,433)),MAX(INDEX(pl_due,433),p_today),"")</f>
        <v/>
      </c>
      <c r="T442" t="str">
        <f>IF(ISNUMBER(INDEX(pl_period,433)),INDEX(pl_period,433),"")</f>
        <v/>
      </c>
      <c r="U442">
        <f>N(INDEX(pl_dur,433))</f>
        <v>0.0</v>
      </c>
    </row>
    <row r="443">
      <c r="A443" s="93" t="str">
        <f>IF(INDEX(pl_status,434)="","",INDEX(pl_num,434)&amp;"")</f>
        <v/>
      </c>
      <c r="B443" s="93" t="str">
        <f>IF(INDEX(pl_status,434)="","",INDEX(pl_eq,434)&amp;"")</f>
        <v/>
      </c>
      <c r="C443" s="93" t="str">
        <f>IF(INDEX(pl_status,434)="","",INDEX(pl_task,434)&amp;"")</f>
        <v/>
      </c>
      <c r="D443" s="94" t="str">
        <f>IF(ISNUMBER(INDEX(pl_due,434)),INDEX(pl_due,434),"")</f>
        <v/>
      </c>
      <c r="E443" s="95" t="str">
        <f>INDEX(pl_status,434)&amp;""</f>
        <v/>
      </c>
      <c r="F443" s="96" t="str">
        <f>IF(E443="En retard","●","")</f>
        <v/>
      </c>
      <c r="G443" s="97">
        <f>IF(ISNUMBER($S443),MAX(0,INT((G$6+6-$S443)/$T443)-MAX(0,-INT(-(G$6-$S443)/$T443))+1),0)</f>
        <v>0.0</v>
      </c>
      <c r="H443" s="97">
        <f>IF(ISNUMBER($S443),MAX(0,INT((H$6+6-$S443)/$T443)-MAX(0,-INT(-(H$6-$S443)/$T443))+1),0)</f>
        <v>0.0</v>
      </c>
      <c r="I443" s="97">
        <f>IF(ISNUMBER($S443),MAX(0,INT((I$6+6-$S443)/$T443)-MAX(0,-INT(-(I$6-$S443)/$T443))+1),0)</f>
        <v>0.0</v>
      </c>
      <c r="J443" s="97">
        <f>IF(ISNUMBER($S443),MAX(0,INT((J$6+6-$S443)/$T443)-MAX(0,-INT(-(J$6-$S443)/$T443))+1),0)</f>
        <v>0.0</v>
      </c>
      <c r="K443" s="97">
        <f>IF(ISNUMBER($S443),MAX(0,INT((K$6+6-$S443)/$T443)-MAX(0,-INT(-(K$6-$S443)/$T443))+1),0)</f>
        <v>0.0</v>
      </c>
      <c r="L443" s="97">
        <f>IF(ISNUMBER($S443),MAX(0,INT((L$6+6-$S443)/$T443)-MAX(0,-INT(-(L$6-$S443)/$T443))+1),0)</f>
        <v>0.0</v>
      </c>
      <c r="M443" s="97">
        <f>IF(ISNUMBER($S443),MAX(0,INT((M$6+6-$S443)/$T443)-MAX(0,-INT(-(M$6-$S443)/$T443))+1),0)</f>
        <v>0.0</v>
      </c>
      <c r="N443" s="97">
        <f>IF(ISNUMBER($S443),MAX(0,INT((N$6+6-$S443)/$T443)-MAX(0,-INT(-(N$6-$S443)/$T443))+1),0)</f>
        <v>0.0</v>
      </c>
      <c r="O443" s="97">
        <f>IF(ISNUMBER($S443),MAX(0,INT((O$6+6-$S443)/$T443)-MAX(0,-INT(-(O$6-$S443)/$T443))+1),0)</f>
        <v>0.0</v>
      </c>
      <c r="P443" s="97">
        <f>IF(ISNUMBER($S443),MAX(0,INT((P$6+6-$S443)/$T443)-MAX(0,-INT(-(P$6-$S443)/$T443))+1),0)</f>
        <v>0.0</v>
      </c>
      <c r="Q443" s="97">
        <f>IF(ISNUMBER($S443),MAX(0,INT((Q$6+6-$S443)/$T443)-MAX(0,-INT(-(Q$6-$S443)/$T443))+1),0)</f>
        <v>0.0</v>
      </c>
      <c r="R443" s="97">
        <f>IF(ISNUMBER($S443),MAX(0,INT((R$6+6-$S443)/$T443)-MAX(0,-INT(-(R$6-$S443)/$T443))+1),0)</f>
        <v>0.0</v>
      </c>
      <c r="S443" t="str">
        <f>IF(ISNUMBER(INDEX(pl_period,434)),MAX(INDEX(pl_due,434),p_today),"")</f>
        <v/>
      </c>
      <c r="T443" t="str">
        <f>IF(ISNUMBER(INDEX(pl_period,434)),INDEX(pl_period,434),"")</f>
        <v/>
      </c>
      <c r="U443">
        <f>N(INDEX(pl_dur,434))</f>
        <v>0.0</v>
      </c>
    </row>
    <row r="444">
      <c r="A444" s="93" t="str">
        <f>IF(INDEX(pl_status,435)="","",INDEX(pl_num,435)&amp;"")</f>
        <v/>
      </c>
      <c r="B444" s="93" t="str">
        <f>IF(INDEX(pl_status,435)="","",INDEX(pl_eq,435)&amp;"")</f>
        <v/>
      </c>
      <c r="C444" s="93" t="str">
        <f>IF(INDEX(pl_status,435)="","",INDEX(pl_task,435)&amp;"")</f>
        <v/>
      </c>
      <c r="D444" s="94" t="str">
        <f>IF(ISNUMBER(INDEX(pl_due,435)),INDEX(pl_due,435),"")</f>
        <v/>
      </c>
      <c r="E444" s="95" t="str">
        <f>INDEX(pl_status,435)&amp;""</f>
        <v/>
      </c>
      <c r="F444" s="96" t="str">
        <f>IF(E444="En retard","●","")</f>
        <v/>
      </c>
      <c r="G444" s="97">
        <f>IF(ISNUMBER($S444),MAX(0,INT((G$6+6-$S444)/$T444)-MAX(0,-INT(-(G$6-$S444)/$T444))+1),0)</f>
        <v>0.0</v>
      </c>
      <c r="H444" s="97">
        <f>IF(ISNUMBER($S444),MAX(0,INT((H$6+6-$S444)/$T444)-MAX(0,-INT(-(H$6-$S444)/$T444))+1),0)</f>
        <v>0.0</v>
      </c>
      <c r="I444" s="97">
        <f>IF(ISNUMBER($S444),MAX(0,INT((I$6+6-$S444)/$T444)-MAX(0,-INT(-(I$6-$S444)/$T444))+1),0)</f>
        <v>0.0</v>
      </c>
      <c r="J444" s="97">
        <f>IF(ISNUMBER($S444),MAX(0,INT((J$6+6-$S444)/$T444)-MAX(0,-INT(-(J$6-$S444)/$T444))+1),0)</f>
        <v>0.0</v>
      </c>
      <c r="K444" s="97">
        <f>IF(ISNUMBER($S444),MAX(0,INT((K$6+6-$S444)/$T444)-MAX(0,-INT(-(K$6-$S444)/$T444))+1),0)</f>
        <v>0.0</v>
      </c>
      <c r="L444" s="97">
        <f>IF(ISNUMBER($S444),MAX(0,INT((L$6+6-$S444)/$T444)-MAX(0,-INT(-(L$6-$S444)/$T444))+1),0)</f>
        <v>0.0</v>
      </c>
      <c r="M444" s="97">
        <f>IF(ISNUMBER($S444),MAX(0,INT((M$6+6-$S444)/$T444)-MAX(0,-INT(-(M$6-$S444)/$T444))+1),0)</f>
        <v>0.0</v>
      </c>
      <c r="N444" s="97">
        <f>IF(ISNUMBER($S444),MAX(0,INT((N$6+6-$S444)/$T444)-MAX(0,-INT(-(N$6-$S444)/$T444))+1),0)</f>
        <v>0.0</v>
      </c>
      <c r="O444" s="97">
        <f>IF(ISNUMBER($S444),MAX(0,INT((O$6+6-$S444)/$T444)-MAX(0,-INT(-(O$6-$S444)/$T444))+1),0)</f>
        <v>0.0</v>
      </c>
      <c r="P444" s="97">
        <f>IF(ISNUMBER($S444),MAX(0,INT((P$6+6-$S444)/$T444)-MAX(0,-INT(-(P$6-$S444)/$T444))+1),0)</f>
        <v>0.0</v>
      </c>
      <c r="Q444" s="97">
        <f>IF(ISNUMBER($S444),MAX(0,INT((Q$6+6-$S444)/$T444)-MAX(0,-INT(-(Q$6-$S444)/$T444))+1),0)</f>
        <v>0.0</v>
      </c>
      <c r="R444" s="97">
        <f>IF(ISNUMBER($S444),MAX(0,INT((R$6+6-$S444)/$T444)-MAX(0,-INT(-(R$6-$S444)/$T444))+1),0)</f>
        <v>0.0</v>
      </c>
      <c r="S444" t="str">
        <f>IF(ISNUMBER(INDEX(pl_period,435)),MAX(INDEX(pl_due,435),p_today),"")</f>
        <v/>
      </c>
      <c r="T444" t="str">
        <f>IF(ISNUMBER(INDEX(pl_period,435)),INDEX(pl_period,435),"")</f>
        <v/>
      </c>
      <c r="U444">
        <f>N(INDEX(pl_dur,435))</f>
        <v>0.0</v>
      </c>
    </row>
    <row r="445">
      <c r="A445" s="93" t="str">
        <f>IF(INDEX(pl_status,436)="","",INDEX(pl_num,436)&amp;"")</f>
        <v/>
      </c>
      <c r="B445" s="93" t="str">
        <f>IF(INDEX(pl_status,436)="","",INDEX(pl_eq,436)&amp;"")</f>
        <v/>
      </c>
      <c r="C445" s="93" t="str">
        <f>IF(INDEX(pl_status,436)="","",INDEX(pl_task,436)&amp;"")</f>
        <v/>
      </c>
      <c r="D445" s="94" t="str">
        <f>IF(ISNUMBER(INDEX(pl_due,436)),INDEX(pl_due,436),"")</f>
        <v/>
      </c>
      <c r="E445" s="95" t="str">
        <f>INDEX(pl_status,436)&amp;""</f>
        <v/>
      </c>
      <c r="F445" s="96" t="str">
        <f>IF(E445="En retard","●","")</f>
        <v/>
      </c>
      <c r="G445" s="97">
        <f>IF(ISNUMBER($S445),MAX(0,INT((G$6+6-$S445)/$T445)-MAX(0,-INT(-(G$6-$S445)/$T445))+1),0)</f>
        <v>0.0</v>
      </c>
      <c r="H445" s="97">
        <f>IF(ISNUMBER($S445),MAX(0,INT((H$6+6-$S445)/$T445)-MAX(0,-INT(-(H$6-$S445)/$T445))+1),0)</f>
        <v>0.0</v>
      </c>
      <c r="I445" s="97">
        <f>IF(ISNUMBER($S445),MAX(0,INT((I$6+6-$S445)/$T445)-MAX(0,-INT(-(I$6-$S445)/$T445))+1),0)</f>
        <v>0.0</v>
      </c>
      <c r="J445" s="97">
        <f>IF(ISNUMBER($S445),MAX(0,INT((J$6+6-$S445)/$T445)-MAX(0,-INT(-(J$6-$S445)/$T445))+1),0)</f>
        <v>0.0</v>
      </c>
      <c r="K445" s="97">
        <f>IF(ISNUMBER($S445),MAX(0,INT((K$6+6-$S445)/$T445)-MAX(0,-INT(-(K$6-$S445)/$T445))+1),0)</f>
        <v>0.0</v>
      </c>
      <c r="L445" s="97">
        <f>IF(ISNUMBER($S445),MAX(0,INT((L$6+6-$S445)/$T445)-MAX(0,-INT(-(L$6-$S445)/$T445))+1),0)</f>
        <v>0.0</v>
      </c>
      <c r="M445" s="97">
        <f>IF(ISNUMBER($S445),MAX(0,INT((M$6+6-$S445)/$T445)-MAX(0,-INT(-(M$6-$S445)/$T445))+1),0)</f>
        <v>0.0</v>
      </c>
      <c r="N445" s="97">
        <f>IF(ISNUMBER($S445),MAX(0,INT((N$6+6-$S445)/$T445)-MAX(0,-INT(-(N$6-$S445)/$T445))+1),0)</f>
        <v>0.0</v>
      </c>
      <c r="O445" s="97">
        <f>IF(ISNUMBER($S445),MAX(0,INT((O$6+6-$S445)/$T445)-MAX(0,-INT(-(O$6-$S445)/$T445))+1),0)</f>
        <v>0.0</v>
      </c>
      <c r="P445" s="97">
        <f>IF(ISNUMBER($S445),MAX(0,INT((P$6+6-$S445)/$T445)-MAX(0,-INT(-(P$6-$S445)/$T445))+1),0)</f>
        <v>0.0</v>
      </c>
      <c r="Q445" s="97">
        <f>IF(ISNUMBER($S445),MAX(0,INT((Q$6+6-$S445)/$T445)-MAX(0,-INT(-(Q$6-$S445)/$T445))+1),0)</f>
        <v>0.0</v>
      </c>
      <c r="R445" s="97">
        <f>IF(ISNUMBER($S445),MAX(0,INT((R$6+6-$S445)/$T445)-MAX(0,-INT(-(R$6-$S445)/$T445))+1),0)</f>
        <v>0.0</v>
      </c>
      <c r="S445" t="str">
        <f>IF(ISNUMBER(INDEX(pl_period,436)),MAX(INDEX(pl_due,436),p_today),"")</f>
        <v/>
      </c>
      <c r="T445" t="str">
        <f>IF(ISNUMBER(INDEX(pl_period,436)),INDEX(pl_period,436),"")</f>
        <v/>
      </c>
      <c r="U445">
        <f>N(INDEX(pl_dur,436))</f>
        <v>0.0</v>
      </c>
    </row>
    <row r="446">
      <c r="A446" s="93" t="str">
        <f>IF(INDEX(pl_status,437)="","",INDEX(pl_num,437)&amp;"")</f>
        <v/>
      </c>
      <c r="B446" s="93" t="str">
        <f>IF(INDEX(pl_status,437)="","",INDEX(pl_eq,437)&amp;"")</f>
        <v/>
      </c>
      <c r="C446" s="93" t="str">
        <f>IF(INDEX(pl_status,437)="","",INDEX(pl_task,437)&amp;"")</f>
        <v/>
      </c>
      <c r="D446" s="94" t="str">
        <f>IF(ISNUMBER(INDEX(pl_due,437)),INDEX(pl_due,437),"")</f>
        <v/>
      </c>
      <c r="E446" s="95" t="str">
        <f>INDEX(pl_status,437)&amp;""</f>
        <v/>
      </c>
      <c r="F446" s="96" t="str">
        <f>IF(E446="En retard","●","")</f>
        <v/>
      </c>
      <c r="G446" s="97">
        <f>IF(ISNUMBER($S446),MAX(0,INT((G$6+6-$S446)/$T446)-MAX(0,-INT(-(G$6-$S446)/$T446))+1),0)</f>
        <v>0.0</v>
      </c>
      <c r="H446" s="97">
        <f>IF(ISNUMBER($S446),MAX(0,INT((H$6+6-$S446)/$T446)-MAX(0,-INT(-(H$6-$S446)/$T446))+1),0)</f>
        <v>0.0</v>
      </c>
      <c r="I446" s="97">
        <f>IF(ISNUMBER($S446),MAX(0,INT((I$6+6-$S446)/$T446)-MAX(0,-INT(-(I$6-$S446)/$T446))+1),0)</f>
        <v>0.0</v>
      </c>
      <c r="J446" s="97">
        <f>IF(ISNUMBER($S446),MAX(0,INT((J$6+6-$S446)/$T446)-MAX(0,-INT(-(J$6-$S446)/$T446))+1),0)</f>
        <v>0.0</v>
      </c>
      <c r="K446" s="97">
        <f>IF(ISNUMBER($S446),MAX(0,INT((K$6+6-$S446)/$T446)-MAX(0,-INT(-(K$6-$S446)/$T446))+1),0)</f>
        <v>0.0</v>
      </c>
      <c r="L446" s="97">
        <f>IF(ISNUMBER($S446),MAX(0,INT((L$6+6-$S446)/$T446)-MAX(0,-INT(-(L$6-$S446)/$T446))+1),0)</f>
        <v>0.0</v>
      </c>
      <c r="M446" s="97">
        <f>IF(ISNUMBER($S446),MAX(0,INT((M$6+6-$S446)/$T446)-MAX(0,-INT(-(M$6-$S446)/$T446))+1),0)</f>
        <v>0.0</v>
      </c>
      <c r="N446" s="97">
        <f>IF(ISNUMBER($S446),MAX(0,INT((N$6+6-$S446)/$T446)-MAX(0,-INT(-(N$6-$S446)/$T446))+1),0)</f>
        <v>0.0</v>
      </c>
      <c r="O446" s="97">
        <f>IF(ISNUMBER($S446),MAX(0,INT((O$6+6-$S446)/$T446)-MAX(0,-INT(-(O$6-$S446)/$T446))+1),0)</f>
        <v>0.0</v>
      </c>
      <c r="P446" s="97">
        <f>IF(ISNUMBER($S446),MAX(0,INT((P$6+6-$S446)/$T446)-MAX(0,-INT(-(P$6-$S446)/$T446))+1),0)</f>
        <v>0.0</v>
      </c>
      <c r="Q446" s="97">
        <f>IF(ISNUMBER($S446),MAX(0,INT((Q$6+6-$S446)/$T446)-MAX(0,-INT(-(Q$6-$S446)/$T446))+1),0)</f>
        <v>0.0</v>
      </c>
      <c r="R446" s="97">
        <f>IF(ISNUMBER($S446),MAX(0,INT((R$6+6-$S446)/$T446)-MAX(0,-INT(-(R$6-$S446)/$T446))+1),0)</f>
        <v>0.0</v>
      </c>
      <c r="S446" t="str">
        <f>IF(ISNUMBER(INDEX(pl_period,437)),MAX(INDEX(pl_due,437),p_today),"")</f>
        <v/>
      </c>
      <c r="T446" t="str">
        <f>IF(ISNUMBER(INDEX(pl_period,437)),INDEX(pl_period,437),"")</f>
        <v/>
      </c>
      <c r="U446">
        <f>N(INDEX(pl_dur,437))</f>
        <v>0.0</v>
      </c>
    </row>
    <row r="447">
      <c r="A447" s="93" t="str">
        <f>IF(INDEX(pl_status,438)="","",INDEX(pl_num,438)&amp;"")</f>
        <v/>
      </c>
      <c r="B447" s="93" t="str">
        <f>IF(INDEX(pl_status,438)="","",INDEX(pl_eq,438)&amp;"")</f>
        <v/>
      </c>
      <c r="C447" s="93" t="str">
        <f>IF(INDEX(pl_status,438)="","",INDEX(pl_task,438)&amp;"")</f>
        <v/>
      </c>
      <c r="D447" s="94" t="str">
        <f>IF(ISNUMBER(INDEX(pl_due,438)),INDEX(pl_due,438),"")</f>
        <v/>
      </c>
      <c r="E447" s="95" t="str">
        <f>INDEX(pl_status,438)&amp;""</f>
        <v/>
      </c>
      <c r="F447" s="96" t="str">
        <f>IF(E447="En retard","●","")</f>
        <v/>
      </c>
      <c r="G447" s="97">
        <f>IF(ISNUMBER($S447),MAX(0,INT((G$6+6-$S447)/$T447)-MAX(0,-INT(-(G$6-$S447)/$T447))+1),0)</f>
        <v>0.0</v>
      </c>
      <c r="H447" s="97">
        <f>IF(ISNUMBER($S447),MAX(0,INT((H$6+6-$S447)/$T447)-MAX(0,-INT(-(H$6-$S447)/$T447))+1),0)</f>
        <v>0.0</v>
      </c>
      <c r="I447" s="97">
        <f>IF(ISNUMBER($S447),MAX(0,INT((I$6+6-$S447)/$T447)-MAX(0,-INT(-(I$6-$S447)/$T447))+1),0)</f>
        <v>0.0</v>
      </c>
      <c r="J447" s="97">
        <f>IF(ISNUMBER($S447),MAX(0,INT((J$6+6-$S447)/$T447)-MAX(0,-INT(-(J$6-$S447)/$T447))+1),0)</f>
        <v>0.0</v>
      </c>
      <c r="K447" s="97">
        <f>IF(ISNUMBER($S447),MAX(0,INT((K$6+6-$S447)/$T447)-MAX(0,-INT(-(K$6-$S447)/$T447))+1),0)</f>
        <v>0.0</v>
      </c>
      <c r="L447" s="97">
        <f>IF(ISNUMBER($S447),MAX(0,INT((L$6+6-$S447)/$T447)-MAX(0,-INT(-(L$6-$S447)/$T447))+1),0)</f>
        <v>0.0</v>
      </c>
      <c r="M447" s="97">
        <f>IF(ISNUMBER($S447),MAX(0,INT((M$6+6-$S447)/$T447)-MAX(0,-INT(-(M$6-$S447)/$T447))+1),0)</f>
        <v>0.0</v>
      </c>
      <c r="N447" s="97">
        <f>IF(ISNUMBER($S447),MAX(0,INT((N$6+6-$S447)/$T447)-MAX(0,-INT(-(N$6-$S447)/$T447))+1),0)</f>
        <v>0.0</v>
      </c>
      <c r="O447" s="97">
        <f>IF(ISNUMBER($S447),MAX(0,INT((O$6+6-$S447)/$T447)-MAX(0,-INT(-(O$6-$S447)/$T447))+1),0)</f>
        <v>0.0</v>
      </c>
      <c r="P447" s="97">
        <f>IF(ISNUMBER($S447),MAX(0,INT((P$6+6-$S447)/$T447)-MAX(0,-INT(-(P$6-$S447)/$T447))+1),0)</f>
        <v>0.0</v>
      </c>
      <c r="Q447" s="97">
        <f>IF(ISNUMBER($S447),MAX(0,INT((Q$6+6-$S447)/$T447)-MAX(0,-INT(-(Q$6-$S447)/$T447))+1),0)</f>
        <v>0.0</v>
      </c>
      <c r="R447" s="97">
        <f>IF(ISNUMBER($S447),MAX(0,INT((R$6+6-$S447)/$T447)-MAX(0,-INT(-(R$6-$S447)/$T447))+1),0)</f>
        <v>0.0</v>
      </c>
      <c r="S447" t="str">
        <f>IF(ISNUMBER(INDEX(pl_period,438)),MAX(INDEX(pl_due,438),p_today),"")</f>
        <v/>
      </c>
      <c r="T447" t="str">
        <f>IF(ISNUMBER(INDEX(pl_period,438)),INDEX(pl_period,438),"")</f>
        <v/>
      </c>
      <c r="U447">
        <f>N(INDEX(pl_dur,438))</f>
        <v>0.0</v>
      </c>
    </row>
    <row r="448">
      <c r="A448" s="93" t="str">
        <f>IF(INDEX(pl_status,439)="","",INDEX(pl_num,439)&amp;"")</f>
        <v/>
      </c>
      <c r="B448" s="93" t="str">
        <f>IF(INDEX(pl_status,439)="","",INDEX(pl_eq,439)&amp;"")</f>
        <v/>
      </c>
      <c r="C448" s="93" t="str">
        <f>IF(INDEX(pl_status,439)="","",INDEX(pl_task,439)&amp;"")</f>
        <v/>
      </c>
      <c r="D448" s="94" t="str">
        <f>IF(ISNUMBER(INDEX(pl_due,439)),INDEX(pl_due,439),"")</f>
        <v/>
      </c>
      <c r="E448" s="95" t="str">
        <f>INDEX(pl_status,439)&amp;""</f>
        <v/>
      </c>
      <c r="F448" s="96" t="str">
        <f>IF(E448="En retard","●","")</f>
        <v/>
      </c>
      <c r="G448" s="97">
        <f>IF(ISNUMBER($S448),MAX(0,INT((G$6+6-$S448)/$T448)-MAX(0,-INT(-(G$6-$S448)/$T448))+1),0)</f>
        <v>0.0</v>
      </c>
      <c r="H448" s="97">
        <f>IF(ISNUMBER($S448),MAX(0,INT((H$6+6-$S448)/$T448)-MAX(0,-INT(-(H$6-$S448)/$T448))+1),0)</f>
        <v>0.0</v>
      </c>
      <c r="I448" s="97">
        <f>IF(ISNUMBER($S448),MAX(0,INT((I$6+6-$S448)/$T448)-MAX(0,-INT(-(I$6-$S448)/$T448))+1),0)</f>
        <v>0.0</v>
      </c>
      <c r="J448" s="97">
        <f>IF(ISNUMBER($S448),MAX(0,INT((J$6+6-$S448)/$T448)-MAX(0,-INT(-(J$6-$S448)/$T448))+1),0)</f>
        <v>0.0</v>
      </c>
      <c r="K448" s="97">
        <f>IF(ISNUMBER($S448),MAX(0,INT((K$6+6-$S448)/$T448)-MAX(0,-INT(-(K$6-$S448)/$T448))+1),0)</f>
        <v>0.0</v>
      </c>
      <c r="L448" s="97">
        <f>IF(ISNUMBER($S448),MAX(0,INT((L$6+6-$S448)/$T448)-MAX(0,-INT(-(L$6-$S448)/$T448))+1),0)</f>
        <v>0.0</v>
      </c>
      <c r="M448" s="97">
        <f>IF(ISNUMBER($S448),MAX(0,INT((M$6+6-$S448)/$T448)-MAX(0,-INT(-(M$6-$S448)/$T448))+1),0)</f>
        <v>0.0</v>
      </c>
      <c r="N448" s="97">
        <f>IF(ISNUMBER($S448),MAX(0,INT((N$6+6-$S448)/$T448)-MAX(0,-INT(-(N$6-$S448)/$T448))+1),0)</f>
        <v>0.0</v>
      </c>
      <c r="O448" s="97">
        <f>IF(ISNUMBER($S448),MAX(0,INT((O$6+6-$S448)/$T448)-MAX(0,-INT(-(O$6-$S448)/$T448))+1),0)</f>
        <v>0.0</v>
      </c>
      <c r="P448" s="97">
        <f>IF(ISNUMBER($S448),MAX(0,INT((P$6+6-$S448)/$T448)-MAX(0,-INT(-(P$6-$S448)/$T448))+1),0)</f>
        <v>0.0</v>
      </c>
      <c r="Q448" s="97">
        <f>IF(ISNUMBER($S448),MAX(0,INT((Q$6+6-$S448)/$T448)-MAX(0,-INT(-(Q$6-$S448)/$T448))+1),0)</f>
        <v>0.0</v>
      </c>
      <c r="R448" s="97">
        <f>IF(ISNUMBER($S448),MAX(0,INT((R$6+6-$S448)/$T448)-MAX(0,-INT(-(R$6-$S448)/$T448))+1),0)</f>
        <v>0.0</v>
      </c>
      <c r="S448" t="str">
        <f>IF(ISNUMBER(INDEX(pl_period,439)),MAX(INDEX(pl_due,439),p_today),"")</f>
        <v/>
      </c>
      <c r="T448" t="str">
        <f>IF(ISNUMBER(INDEX(pl_period,439)),INDEX(pl_period,439),"")</f>
        <v/>
      </c>
      <c r="U448">
        <f>N(INDEX(pl_dur,439))</f>
        <v>0.0</v>
      </c>
    </row>
    <row r="449">
      <c r="A449" s="93" t="str">
        <f>IF(INDEX(pl_status,440)="","",INDEX(pl_num,440)&amp;"")</f>
        <v/>
      </c>
      <c r="B449" s="93" t="str">
        <f>IF(INDEX(pl_status,440)="","",INDEX(pl_eq,440)&amp;"")</f>
        <v/>
      </c>
      <c r="C449" s="93" t="str">
        <f>IF(INDEX(pl_status,440)="","",INDEX(pl_task,440)&amp;"")</f>
        <v/>
      </c>
      <c r="D449" s="94" t="str">
        <f>IF(ISNUMBER(INDEX(pl_due,440)),INDEX(pl_due,440),"")</f>
        <v/>
      </c>
      <c r="E449" s="95" t="str">
        <f>INDEX(pl_status,440)&amp;""</f>
        <v/>
      </c>
      <c r="F449" s="96" t="str">
        <f>IF(E449="En retard","●","")</f>
        <v/>
      </c>
      <c r="G449" s="97">
        <f>IF(ISNUMBER($S449),MAX(0,INT((G$6+6-$S449)/$T449)-MAX(0,-INT(-(G$6-$S449)/$T449))+1),0)</f>
        <v>0.0</v>
      </c>
      <c r="H449" s="97">
        <f>IF(ISNUMBER($S449),MAX(0,INT((H$6+6-$S449)/$T449)-MAX(0,-INT(-(H$6-$S449)/$T449))+1),0)</f>
        <v>0.0</v>
      </c>
      <c r="I449" s="97">
        <f>IF(ISNUMBER($S449),MAX(0,INT((I$6+6-$S449)/$T449)-MAX(0,-INT(-(I$6-$S449)/$T449))+1),0)</f>
        <v>0.0</v>
      </c>
      <c r="J449" s="97">
        <f>IF(ISNUMBER($S449),MAX(0,INT((J$6+6-$S449)/$T449)-MAX(0,-INT(-(J$6-$S449)/$T449))+1),0)</f>
        <v>0.0</v>
      </c>
      <c r="K449" s="97">
        <f>IF(ISNUMBER($S449),MAX(0,INT((K$6+6-$S449)/$T449)-MAX(0,-INT(-(K$6-$S449)/$T449))+1),0)</f>
        <v>0.0</v>
      </c>
      <c r="L449" s="97">
        <f>IF(ISNUMBER($S449),MAX(0,INT((L$6+6-$S449)/$T449)-MAX(0,-INT(-(L$6-$S449)/$T449))+1),0)</f>
        <v>0.0</v>
      </c>
      <c r="M449" s="97">
        <f>IF(ISNUMBER($S449),MAX(0,INT((M$6+6-$S449)/$T449)-MAX(0,-INT(-(M$6-$S449)/$T449))+1),0)</f>
        <v>0.0</v>
      </c>
      <c r="N449" s="97">
        <f>IF(ISNUMBER($S449),MAX(0,INT((N$6+6-$S449)/$T449)-MAX(0,-INT(-(N$6-$S449)/$T449))+1),0)</f>
        <v>0.0</v>
      </c>
      <c r="O449" s="97">
        <f>IF(ISNUMBER($S449),MAX(0,INT((O$6+6-$S449)/$T449)-MAX(0,-INT(-(O$6-$S449)/$T449))+1),0)</f>
        <v>0.0</v>
      </c>
      <c r="P449" s="97">
        <f>IF(ISNUMBER($S449),MAX(0,INT((P$6+6-$S449)/$T449)-MAX(0,-INT(-(P$6-$S449)/$T449))+1),0)</f>
        <v>0.0</v>
      </c>
      <c r="Q449" s="97">
        <f>IF(ISNUMBER($S449),MAX(0,INT((Q$6+6-$S449)/$T449)-MAX(0,-INT(-(Q$6-$S449)/$T449))+1),0)</f>
        <v>0.0</v>
      </c>
      <c r="R449" s="97">
        <f>IF(ISNUMBER($S449),MAX(0,INT((R$6+6-$S449)/$T449)-MAX(0,-INT(-(R$6-$S449)/$T449))+1),0)</f>
        <v>0.0</v>
      </c>
      <c r="S449" t="str">
        <f>IF(ISNUMBER(INDEX(pl_period,440)),MAX(INDEX(pl_due,440),p_today),"")</f>
        <v/>
      </c>
      <c r="T449" t="str">
        <f>IF(ISNUMBER(INDEX(pl_period,440)),INDEX(pl_period,440),"")</f>
        <v/>
      </c>
      <c r="U449">
        <f>N(INDEX(pl_dur,440))</f>
        <v>0.0</v>
      </c>
    </row>
    <row r="450">
      <c r="A450" s="93" t="str">
        <f>IF(INDEX(pl_status,441)="","",INDEX(pl_num,441)&amp;"")</f>
        <v/>
      </c>
      <c r="B450" s="93" t="str">
        <f>IF(INDEX(pl_status,441)="","",INDEX(pl_eq,441)&amp;"")</f>
        <v/>
      </c>
      <c r="C450" s="93" t="str">
        <f>IF(INDEX(pl_status,441)="","",INDEX(pl_task,441)&amp;"")</f>
        <v/>
      </c>
      <c r="D450" s="94" t="str">
        <f>IF(ISNUMBER(INDEX(pl_due,441)),INDEX(pl_due,441),"")</f>
        <v/>
      </c>
      <c r="E450" s="95" t="str">
        <f>INDEX(pl_status,441)&amp;""</f>
        <v/>
      </c>
      <c r="F450" s="96" t="str">
        <f>IF(E450="En retard","●","")</f>
        <v/>
      </c>
      <c r="G450" s="97">
        <f>IF(ISNUMBER($S450),MAX(0,INT((G$6+6-$S450)/$T450)-MAX(0,-INT(-(G$6-$S450)/$T450))+1),0)</f>
        <v>0.0</v>
      </c>
      <c r="H450" s="97">
        <f>IF(ISNUMBER($S450),MAX(0,INT((H$6+6-$S450)/$T450)-MAX(0,-INT(-(H$6-$S450)/$T450))+1),0)</f>
        <v>0.0</v>
      </c>
      <c r="I450" s="97">
        <f>IF(ISNUMBER($S450),MAX(0,INT((I$6+6-$S450)/$T450)-MAX(0,-INT(-(I$6-$S450)/$T450))+1),0)</f>
        <v>0.0</v>
      </c>
      <c r="J450" s="97">
        <f>IF(ISNUMBER($S450),MAX(0,INT((J$6+6-$S450)/$T450)-MAX(0,-INT(-(J$6-$S450)/$T450))+1),0)</f>
        <v>0.0</v>
      </c>
      <c r="K450" s="97">
        <f>IF(ISNUMBER($S450),MAX(0,INT((K$6+6-$S450)/$T450)-MAX(0,-INT(-(K$6-$S450)/$T450))+1),0)</f>
        <v>0.0</v>
      </c>
      <c r="L450" s="97">
        <f>IF(ISNUMBER($S450),MAX(0,INT((L$6+6-$S450)/$T450)-MAX(0,-INT(-(L$6-$S450)/$T450))+1),0)</f>
        <v>0.0</v>
      </c>
      <c r="M450" s="97">
        <f>IF(ISNUMBER($S450),MAX(0,INT((M$6+6-$S450)/$T450)-MAX(0,-INT(-(M$6-$S450)/$T450))+1),0)</f>
        <v>0.0</v>
      </c>
      <c r="N450" s="97">
        <f>IF(ISNUMBER($S450),MAX(0,INT((N$6+6-$S450)/$T450)-MAX(0,-INT(-(N$6-$S450)/$T450))+1),0)</f>
        <v>0.0</v>
      </c>
      <c r="O450" s="97">
        <f>IF(ISNUMBER($S450),MAX(0,INT((O$6+6-$S450)/$T450)-MAX(0,-INT(-(O$6-$S450)/$T450))+1),0)</f>
        <v>0.0</v>
      </c>
      <c r="P450" s="97">
        <f>IF(ISNUMBER($S450),MAX(0,INT((P$6+6-$S450)/$T450)-MAX(0,-INT(-(P$6-$S450)/$T450))+1),0)</f>
        <v>0.0</v>
      </c>
      <c r="Q450" s="97">
        <f>IF(ISNUMBER($S450),MAX(0,INT((Q$6+6-$S450)/$T450)-MAX(0,-INT(-(Q$6-$S450)/$T450))+1),0)</f>
        <v>0.0</v>
      </c>
      <c r="R450" s="97">
        <f>IF(ISNUMBER($S450),MAX(0,INT((R$6+6-$S450)/$T450)-MAX(0,-INT(-(R$6-$S450)/$T450))+1),0)</f>
        <v>0.0</v>
      </c>
      <c r="S450" t="str">
        <f>IF(ISNUMBER(INDEX(pl_period,441)),MAX(INDEX(pl_due,441),p_today),"")</f>
        <v/>
      </c>
      <c r="T450" t="str">
        <f>IF(ISNUMBER(INDEX(pl_period,441)),INDEX(pl_period,441),"")</f>
        <v/>
      </c>
      <c r="U450">
        <f>N(INDEX(pl_dur,441))</f>
        <v>0.0</v>
      </c>
    </row>
    <row r="451">
      <c r="A451" s="93" t="str">
        <f>IF(INDEX(pl_status,442)="","",INDEX(pl_num,442)&amp;"")</f>
        <v/>
      </c>
      <c r="B451" s="93" t="str">
        <f>IF(INDEX(pl_status,442)="","",INDEX(pl_eq,442)&amp;"")</f>
        <v/>
      </c>
      <c r="C451" s="93" t="str">
        <f>IF(INDEX(pl_status,442)="","",INDEX(pl_task,442)&amp;"")</f>
        <v/>
      </c>
      <c r="D451" s="94" t="str">
        <f>IF(ISNUMBER(INDEX(pl_due,442)),INDEX(pl_due,442),"")</f>
        <v/>
      </c>
      <c r="E451" s="95" t="str">
        <f>INDEX(pl_status,442)&amp;""</f>
        <v/>
      </c>
      <c r="F451" s="96" t="str">
        <f>IF(E451="En retard","●","")</f>
        <v/>
      </c>
      <c r="G451" s="97">
        <f>IF(ISNUMBER($S451),MAX(0,INT((G$6+6-$S451)/$T451)-MAX(0,-INT(-(G$6-$S451)/$T451))+1),0)</f>
        <v>0.0</v>
      </c>
      <c r="H451" s="97">
        <f>IF(ISNUMBER($S451),MAX(0,INT((H$6+6-$S451)/$T451)-MAX(0,-INT(-(H$6-$S451)/$T451))+1),0)</f>
        <v>0.0</v>
      </c>
      <c r="I451" s="97">
        <f>IF(ISNUMBER($S451),MAX(0,INT((I$6+6-$S451)/$T451)-MAX(0,-INT(-(I$6-$S451)/$T451))+1),0)</f>
        <v>0.0</v>
      </c>
      <c r="J451" s="97">
        <f>IF(ISNUMBER($S451),MAX(0,INT((J$6+6-$S451)/$T451)-MAX(0,-INT(-(J$6-$S451)/$T451))+1),0)</f>
        <v>0.0</v>
      </c>
      <c r="K451" s="97">
        <f>IF(ISNUMBER($S451),MAX(0,INT((K$6+6-$S451)/$T451)-MAX(0,-INT(-(K$6-$S451)/$T451))+1),0)</f>
        <v>0.0</v>
      </c>
      <c r="L451" s="97">
        <f>IF(ISNUMBER($S451),MAX(0,INT((L$6+6-$S451)/$T451)-MAX(0,-INT(-(L$6-$S451)/$T451))+1),0)</f>
        <v>0.0</v>
      </c>
      <c r="M451" s="97">
        <f>IF(ISNUMBER($S451),MAX(0,INT((M$6+6-$S451)/$T451)-MAX(0,-INT(-(M$6-$S451)/$T451))+1),0)</f>
        <v>0.0</v>
      </c>
      <c r="N451" s="97">
        <f>IF(ISNUMBER($S451),MAX(0,INT((N$6+6-$S451)/$T451)-MAX(0,-INT(-(N$6-$S451)/$T451))+1),0)</f>
        <v>0.0</v>
      </c>
      <c r="O451" s="97">
        <f>IF(ISNUMBER($S451),MAX(0,INT((O$6+6-$S451)/$T451)-MAX(0,-INT(-(O$6-$S451)/$T451))+1),0)</f>
        <v>0.0</v>
      </c>
      <c r="P451" s="97">
        <f>IF(ISNUMBER($S451),MAX(0,INT((P$6+6-$S451)/$T451)-MAX(0,-INT(-(P$6-$S451)/$T451))+1),0)</f>
        <v>0.0</v>
      </c>
      <c r="Q451" s="97">
        <f>IF(ISNUMBER($S451),MAX(0,INT((Q$6+6-$S451)/$T451)-MAX(0,-INT(-(Q$6-$S451)/$T451))+1),0)</f>
        <v>0.0</v>
      </c>
      <c r="R451" s="97">
        <f>IF(ISNUMBER($S451),MAX(0,INT((R$6+6-$S451)/$T451)-MAX(0,-INT(-(R$6-$S451)/$T451))+1),0)</f>
        <v>0.0</v>
      </c>
      <c r="S451" t="str">
        <f>IF(ISNUMBER(INDEX(pl_period,442)),MAX(INDEX(pl_due,442),p_today),"")</f>
        <v/>
      </c>
      <c r="T451" t="str">
        <f>IF(ISNUMBER(INDEX(pl_period,442)),INDEX(pl_period,442),"")</f>
        <v/>
      </c>
      <c r="U451">
        <f>N(INDEX(pl_dur,442))</f>
        <v>0.0</v>
      </c>
    </row>
    <row r="452">
      <c r="A452" s="93" t="str">
        <f>IF(INDEX(pl_status,443)="","",INDEX(pl_num,443)&amp;"")</f>
        <v/>
      </c>
      <c r="B452" s="93" t="str">
        <f>IF(INDEX(pl_status,443)="","",INDEX(pl_eq,443)&amp;"")</f>
        <v/>
      </c>
      <c r="C452" s="93" t="str">
        <f>IF(INDEX(pl_status,443)="","",INDEX(pl_task,443)&amp;"")</f>
        <v/>
      </c>
      <c r="D452" s="94" t="str">
        <f>IF(ISNUMBER(INDEX(pl_due,443)),INDEX(pl_due,443),"")</f>
        <v/>
      </c>
      <c r="E452" s="95" t="str">
        <f>INDEX(pl_status,443)&amp;""</f>
        <v/>
      </c>
      <c r="F452" s="96" t="str">
        <f>IF(E452="En retard","●","")</f>
        <v/>
      </c>
      <c r="G452" s="97">
        <f>IF(ISNUMBER($S452),MAX(0,INT((G$6+6-$S452)/$T452)-MAX(0,-INT(-(G$6-$S452)/$T452))+1),0)</f>
        <v>0.0</v>
      </c>
      <c r="H452" s="97">
        <f>IF(ISNUMBER($S452),MAX(0,INT((H$6+6-$S452)/$T452)-MAX(0,-INT(-(H$6-$S452)/$T452))+1),0)</f>
        <v>0.0</v>
      </c>
      <c r="I452" s="97">
        <f>IF(ISNUMBER($S452),MAX(0,INT((I$6+6-$S452)/$T452)-MAX(0,-INT(-(I$6-$S452)/$T452))+1),0)</f>
        <v>0.0</v>
      </c>
      <c r="J452" s="97">
        <f>IF(ISNUMBER($S452),MAX(0,INT((J$6+6-$S452)/$T452)-MAX(0,-INT(-(J$6-$S452)/$T452))+1),0)</f>
        <v>0.0</v>
      </c>
      <c r="K452" s="97">
        <f>IF(ISNUMBER($S452),MAX(0,INT((K$6+6-$S452)/$T452)-MAX(0,-INT(-(K$6-$S452)/$T452))+1),0)</f>
        <v>0.0</v>
      </c>
      <c r="L452" s="97">
        <f>IF(ISNUMBER($S452),MAX(0,INT((L$6+6-$S452)/$T452)-MAX(0,-INT(-(L$6-$S452)/$T452))+1),0)</f>
        <v>0.0</v>
      </c>
      <c r="M452" s="97">
        <f>IF(ISNUMBER($S452),MAX(0,INT((M$6+6-$S452)/$T452)-MAX(0,-INT(-(M$6-$S452)/$T452))+1),0)</f>
        <v>0.0</v>
      </c>
      <c r="N452" s="97">
        <f>IF(ISNUMBER($S452),MAX(0,INT((N$6+6-$S452)/$T452)-MAX(0,-INT(-(N$6-$S452)/$T452))+1),0)</f>
        <v>0.0</v>
      </c>
      <c r="O452" s="97">
        <f>IF(ISNUMBER($S452),MAX(0,INT((O$6+6-$S452)/$T452)-MAX(0,-INT(-(O$6-$S452)/$T452))+1),0)</f>
        <v>0.0</v>
      </c>
      <c r="P452" s="97">
        <f>IF(ISNUMBER($S452),MAX(0,INT((P$6+6-$S452)/$T452)-MAX(0,-INT(-(P$6-$S452)/$T452))+1),0)</f>
        <v>0.0</v>
      </c>
      <c r="Q452" s="97">
        <f>IF(ISNUMBER($S452),MAX(0,INT((Q$6+6-$S452)/$T452)-MAX(0,-INT(-(Q$6-$S452)/$T452))+1),0)</f>
        <v>0.0</v>
      </c>
      <c r="R452" s="97">
        <f>IF(ISNUMBER($S452),MAX(0,INT((R$6+6-$S452)/$T452)-MAX(0,-INT(-(R$6-$S452)/$T452))+1),0)</f>
        <v>0.0</v>
      </c>
      <c r="S452" t="str">
        <f>IF(ISNUMBER(INDEX(pl_period,443)),MAX(INDEX(pl_due,443),p_today),"")</f>
        <v/>
      </c>
      <c r="T452" t="str">
        <f>IF(ISNUMBER(INDEX(pl_period,443)),INDEX(pl_period,443),"")</f>
        <v/>
      </c>
      <c r="U452">
        <f>N(INDEX(pl_dur,443))</f>
        <v>0.0</v>
      </c>
    </row>
    <row r="453">
      <c r="A453" s="93" t="str">
        <f>IF(INDEX(pl_status,444)="","",INDEX(pl_num,444)&amp;"")</f>
        <v/>
      </c>
      <c r="B453" s="93" t="str">
        <f>IF(INDEX(pl_status,444)="","",INDEX(pl_eq,444)&amp;"")</f>
        <v/>
      </c>
      <c r="C453" s="93" t="str">
        <f>IF(INDEX(pl_status,444)="","",INDEX(pl_task,444)&amp;"")</f>
        <v/>
      </c>
      <c r="D453" s="94" t="str">
        <f>IF(ISNUMBER(INDEX(pl_due,444)),INDEX(pl_due,444),"")</f>
        <v/>
      </c>
      <c r="E453" s="95" t="str">
        <f>INDEX(pl_status,444)&amp;""</f>
        <v/>
      </c>
      <c r="F453" s="96" t="str">
        <f>IF(E453="En retard","●","")</f>
        <v/>
      </c>
      <c r="G453" s="97">
        <f>IF(ISNUMBER($S453),MAX(0,INT((G$6+6-$S453)/$T453)-MAX(0,-INT(-(G$6-$S453)/$T453))+1),0)</f>
        <v>0.0</v>
      </c>
      <c r="H453" s="97">
        <f>IF(ISNUMBER($S453),MAX(0,INT((H$6+6-$S453)/$T453)-MAX(0,-INT(-(H$6-$S453)/$T453))+1),0)</f>
        <v>0.0</v>
      </c>
      <c r="I453" s="97">
        <f>IF(ISNUMBER($S453),MAX(0,INT((I$6+6-$S453)/$T453)-MAX(0,-INT(-(I$6-$S453)/$T453))+1),0)</f>
        <v>0.0</v>
      </c>
      <c r="J453" s="97">
        <f>IF(ISNUMBER($S453),MAX(0,INT((J$6+6-$S453)/$T453)-MAX(0,-INT(-(J$6-$S453)/$T453))+1),0)</f>
        <v>0.0</v>
      </c>
      <c r="K453" s="97">
        <f>IF(ISNUMBER($S453),MAX(0,INT((K$6+6-$S453)/$T453)-MAX(0,-INT(-(K$6-$S453)/$T453))+1),0)</f>
        <v>0.0</v>
      </c>
      <c r="L453" s="97">
        <f>IF(ISNUMBER($S453),MAX(0,INT((L$6+6-$S453)/$T453)-MAX(0,-INT(-(L$6-$S453)/$T453))+1),0)</f>
        <v>0.0</v>
      </c>
      <c r="M453" s="97">
        <f>IF(ISNUMBER($S453),MAX(0,INT((M$6+6-$S453)/$T453)-MAX(0,-INT(-(M$6-$S453)/$T453))+1),0)</f>
        <v>0.0</v>
      </c>
      <c r="N453" s="97">
        <f>IF(ISNUMBER($S453),MAX(0,INT((N$6+6-$S453)/$T453)-MAX(0,-INT(-(N$6-$S453)/$T453))+1),0)</f>
        <v>0.0</v>
      </c>
      <c r="O453" s="97">
        <f>IF(ISNUMBER($S453),MAX(0,INT((O$6+6-$S453)/$T453)-MAX(0,-INT(-(O$6-$S453)/$T453))+1),0)</f>
        <v>0.0</v>
      </c>
      <c r="P453" s="97">
        <f>IF(ISNUMBER($S453),MAX(0,INT((P$6+6-$S453)/$T453)-MAX(0,-INT(-(P$6-$S453)/$T453))+1),0)</f>
        <v>0.0</v>
      </c>
      <c r="Q453" s="97">
        <f>IF(ISNUMBER($S453),MAX(0,INT((Q$6+6-$S453)/$T453)-MAX(0,-INT(-(Q$6-$S453)/$T453))+1),0)</f>
        <v>0.0</v>
      </c>
      <c r="R453" s="97">
        <f>IF(ISNUMBER($S453),MAX(0,INT((R$6+6-$S453)/$T453)-MAX(0,-INT(-(R$6-$S453)/$T453))+1),0)</f>
        <v>0.0</v>
      </c>
      <c r="S453" t="str">
        <f>IF(ISNUMBER(INDEX(pl_period,444)),MAX(INDEX(pl_due,444),p_today),"")</f>
        <v/>
      </c>
      <c r="T453" t="str">
        <f>IF(ISNUMBER(INDEX(pl_period,444)),INDEX(pl_period,444),"")</f>
        <v/>
      </c>
      <c r="U453">
        <f>N(INDEX(pl_dur,444))</f>
        <v>0.0</v>
      </c>
    </row>
    <row r="454">
      <c r="A454" s="93" t="str">
        <f>IF(INDEX(pl_status,445)="","",INDEX(pl_num,445)&amp;"")</f>
        <v/>
      </c>
      <c r="B454" s="93" t="str">
        <f>IF(INDEX(pl_status,445)="","",INDEX(pl_eq,445)&amp;"")</f>
        <v/>
      </c>
      <c r="C454" s="93" t="str">
        <f>IF(INDEX(pl_status,445)="","",INDEX(pl_task,445)&amp;"")</f>
        <v/>
      </c>
      <c r="D454" s="94" t="str">
        <f>IF(ISNUMBER(INDEX(pl_due,445)),INDEX(pl_due,445),"")</f>
        <v/>
      </c>
      <c r="E454" s="95" t="str">
        <f>INDEX(pl_status,445)&amp;""</f>
        <v/>
      </c>
      <c r="F454" s="96" t="str">
        <f>IF(E454="En retard","●","")</f>
        <v/>
      </c>
      <c r="G454" s="97">
        <f>IF(ISNUMBER($S454),MAX(0,INT((G$6+6-$S454)/$T454)-MAX(0,-INT(-(G$6-$S454)/$T454))+1),0)</f>
        <v>0.0</v>
      </c>
      <c r="H454" s="97">
        <f>IF(ISNUMBER($S454),MAX(0,INT((H$6+6-$S454)/$T454)-MAX(0,-INT(-(H$6-$S454)/$T454))+1),0)</f>
        <v>0.0</v>
      </c>
      <c r="I454" s="97">
        <f>IF(ISNUMBER($S454),MAX(0,INT((I$6+6-$S454)/$T454)-MAX(0,-INT(-(I$6-$S454)/$T454))+1),0)</f>
        <v>0.0</v>
      </c>
      <c r="J454" s="97">
        <f>IF(ISNUMBER($S454),MAX(0,INT((J$6+6-$S454)/$T454)-MAX(0,-INT(-(J$6-$S454)/$T454))+1),0)</f>
        <v>0.0</v>
      </c>
      <c r="K454" s="97">
        <f>IF(ISNUMBER($S454),MAX(0,INT((K$6+6-$S454)/$T454)-MAX(0,-INT(-(K$6-$S454)/$T454))+1),0)</f>
        <v>0.0</v>
      </c>
      <c r="L454" s="97">
        <f>IF(ISNUMBER($S454),MAX(0,INT((L$6+6-$S454)/$T454)-MAX(0,-INT(-(L$6-$S454)/$T454))+1),0)</f>
        <v>0.0</v>
      </c>
      <c r="M454" s="97">
        <f>IF(ISNUMBER($S454),MAX(0,INT((M$6+6-$S454)/$T454)-MAX(0,-INT(-(M$6-$S454)/$T454))+1),0)</f>
        <v>0.0</v>
      </c>
      <c r="N454" s="97">
        <f>IF(ISNUMBER($S454),MAX(0,INT((N$6+6-$S454)/$T454)-MAX(0,-INT(-(N$6-$S454)/$T454))+1),0)</f>
        <v>0.0</v>
      </c>
      <c r="O454" s="97">
        <f>IF(ISNUMBER($S454),MAX(0,INT((O$6+6-$S454)/$T454)-MAX(0,-INT(-(O$6-$S454)/$T454))+1),0)</f>
        <v>0.0</v>
      </c>
      <c r="P454" s="97">
        <f>IF(ISNUMBER($S454),MAX(0,INT((P$6+6-$S454)/$T454)-MAX(0,-INT(-(P$6-$S454)/$T454))+1),0)</f>
        <v>0.0</v>
      </c>
      <c r="Q454" s="97">
        <f>IF(ISNUMBER($S454),MAX(0,INT((Q$6+6-$S454)/$T454)-MAX(0,-INT(-(Q$6-$S454)/$T454))+1),0)</f>
        <v>0.0</v>
      </c>
      <c r="R454" s="97">
        <f>IF(ISNUMBER($S454),MAX(0,INT((R$6+6-$S454)/$T454)-MAX(0,-INT(-(R$6-$S454)/$T454))+1),0)</f>
        <v>0.0</v>
      </c>
      <c r="S454" t="str">
        <f>IF(ISNUMBER(INDEX(pl_period,445)),MAX(INDEX(pl_due,445),p_today),"")</f>
        <v/>
      </c>
      <c r="T454" t="str">
        <f>IF(ISNUMBER(INDEX(pl_period,445)),INDEX(pl_period,445),"")</f>
        <v/>
      </c>
      <c r="U454">
        <f>N(INDEX(pl_dur,445))</f>
        <v>0.0</v>
      </c>
    </row>
    <row r="455">
      <c r="A455" s="93" t="str">
        <f>IF(INDEX(pl_status,446)="","",INDEX(pl_num,446)&amp;"")</f>
        <v/>
      </c>
      <c r="B455" s="93" t="str">
        <f>IF(INDEX(pl_status,446)="","",INDEX(pl_eq,446)&amp;"")</f>
        <v/>
      </c>
      <c r="C455" s="93" t="str">
        <f>IF(INDEX(pl_status,446)="","",INDEX(pl_task,446)&amp;"")</f>
        <v/>
      </c>
      <c r="D455" s="94" t="str">
        <f>IF(ISNUMBER(INDEX(pl_due,446)),INDEX(pl_due,446),"")</f>
        <v/>
      </c>
      <c r="E455" s="95" t="str">
        <f>INDEX(pl_status,446)&amp;""</f>
        <v/>
      </c>
      <c r="F455" s="96" t="str">
        <f>IF(E455="En retard","●","")</f>
        <v/>
      </c>
      <c r="G455" s="97">
        <f>IF(ISNUMBER($S455),MAX(0,INT((G$6+6-$S455)/$T455)-MAX(0,-INT(-(G$6-$S455)/$T455))+1),0)</f>
        <v>0.0</v>
      </c>
      <c r="H455" s="97">
        <f>IF(ISNUMBER($S455),MAX(0,INT((H$6+6-$S455)/$T455)-MAX(0,-INT(-(H$6-$S455)/$T455))+1),0)</f>
        <v>0.0</v>
      </c>
      <c r="I455" s="97">
        <f>IF(ISNUMBER($S455),MAX(0,INT((I$6+6-$S455)/$T455)-MAX(0,-INT(-(I$6-$S455)/$T455))+1),0)</f>
        <v>0.0</v>
      </c>
      <c r="J455" s="97">
        <f>IF(ISNUMBER($S455),MAX(0,INT((J$6+6-$S455)/$T455)-MAX(0,-INT(-(J$6-$S455)/$T455))+1),0)</f>
        <v>0.0</v>
      </c>
      <c r="K455" s="97">
        <f>IF(ISNUMBER($S455),MAX(0,INT((K$6+6-$S455)/$T455)-MAX(0,-INT(-(K$6-$S455)/$T455))+1),0)</f>
        <v>0.0</v>
      </c>
      <c r="L455" s="97">
        <f>IF(ISNUMBER($S455),MAX(0,INT((L$6+6-$S455)/$T455)-MAX(0,-INT(-(L$6-$S455)/$T455))+1),0)</f>
        <v>0.0</v>
      </c>
      <c r="M455" s="97">
        <f>IF(ISNUMBER($S455),MAX(0,INT((M$6+6-$S455)/$T455)-MAX(0,-INT(-(M$6-$S455)/$T455))+1),0)</f>
        <v>0.0</v>
      </c>
      <c r="N455" s="97">
        <f>IF(ISNUMBER($S455),MAX(0,INT((N$6+6-$S455)/$T455)-MAX(0,-INT(-(N$6-$S455)/$T455))+1),0)</f>
        <v>0.0</v>
      </c>
      <c r="O455" s="97">
        <f>IF(ISNUMBER($S455),MAX(0,INT((O$6+6-$S455)/$T455)-MAX(0,-INT(-(O$6-$S455)/$T455))+1),0)</f>
        <v>0.0</v>
      </c>
      <c r="P455" s="97">
        <f>IF(ISNUMBER($S455),MAX(0,INT((P$6+6-$S455)/$T455)-MAX(0,-INT(-(P$6-$S455)/$T455))+1),0)</f>
        <v>0.0</v>
      </c>
      <c r="Q455" s="97">
        <f>IF(ISNUMBER($S455),MAX(0,INT((Q$6+6-$S455)/$T455)-MAX(0,-INT(-(Q$6-$S455)/$T455))+1),0)</f>
        <v>0.0</v>
      </c>
      <c r="R455" s="97">
        <f>IF(ISNUMBER($S455),MAX(0,INT((R$6+6-$S455)/$T455)-MAX(0,-INT(-(R$6-$S455)/$T455))+1),0)</f>
        <v>0.0</v>
      </c>
      <c r="S455" t="str">
        <f>IF(ISNUMBER(INDEX(pl_period,446)),MAX(INDEX(pl_due,446),p_today),"")</f>
        <v/>
      </c>
      <c r="T455" t="str">
        <f>IF(ISNUMBER(INDEX(pl_period,446)),INDEX(pl_period,446),"")</f>
        <v/>
      </c>
      <c r="U455">
        <f>N(INDEX(pl_dur,446))</f>
        <v>0.0</v>
      </c>
    </row>
    <row r="456">
      <c r="A456" s="93" t="str">
        <f>IF(INDEX(pl_status,447)="","",INDEX(pl_num,447)&amp;"")</f>
        <v/>
      </c>
      <c r="B456" s="93" t="str">
        <f>IF(INDEX(pl_status,447)="","",INDEX(pl_eq,447)&amp;"")</f>
        <v/>
      </c>
      <c r="C456" s="93" t="str">
        <f>IF(INDEX(pl_status,447)="","",INDEX(pl_task,447)&amp;"")</f>
        <v/>
      </c>
      <c r="D456" s="94" t="str">
        <f>IF(ISNUMBER(INDEX(pl_due,447)),INDEX(pl_due,447),"")</f>
        <v/>
      </c>
      <c r="E456" s="95" t="str">
        <f>INDEX(pl_status,447)&amp;""</f>
        <v/>
      </c>
      <c r="F456" s="96" t="str">
        <f>IF(E456="En retard","●","")</f>
        <v/>
      </c>
      <c r="G456" s="97">
        <f>IF(ISNUMBER($S456),MAX(0,INT((G$6+6-$S456)/$T456)-MAX(0,-INT(-(G$6-$S456)/$T456))+1),0)</f>
        <v>0.0</v>
      </c>
      <c r="H456" s="97">
        <f>IF(ISNUMBER($S456),MAX(0,INT((H$6+6-$S456)/$T456)-MAX(0,-INT(-(H$6-$S456)/$T456))+1),0)</f>
        <v>0.0</v>
      </c>
      <c r="I456" s="97">
        <f>IF(ISNUMBER($S456),MAX(0,INT((I$6+6-$S456)/$T456)-MAX(0,-INT(-(I$6-$S456)/$T456))+1),0)</f>
        <v>0.0</v>
      </c>
      <c r="J456" s="97">
        <f>IF(ISNUMBER($S456),MAX(0,INT((J$6+6-$S456)/$T456)-MAX(0,-INT(-(J$6-$S456)/$T456))+1),0)</f>
        <v>0.0</v>
      </c>
      <c r="K456" s="97">
        <f>IF(ISNUMBER($S456),MAX(0,INT((K$6+6-$S456)/$T456)-MAX(0,-INT(-(K$6-$S456)/$T456))+1),0)</f>
        <v>0.0</v>
      </c>
      <c r="L456" s="97">
        <f>IF(ISNUMBER($S456),MAX(0,INT((L$6+6-$S456)/$T456)-MAX(0,-INT(-(L$6-$S456)/$T456))+1),0)</f>
        <v>0.0</v>
      </c>
      <c r="M456" s="97">
        <f>IF(ISNUMBER($S456),MAX(0,INT((M$6+6-$S456)/$T456)-MAX(0,-INT(-(M$6-$S456)/$T456))+1),0)</f>
        <v>0.0</v>
      </c>
      <c r="N456" s="97">
        <f>IF(ISNUMBER($S456),MAX(0,INT((N$6+6-$S456)/$T456)-MAX(0,-INT(-(N$6-$S456)/$T456))+1),0)</f>
        <v>0.0</v>
      </c>
      <c r="O456" s="97">
        <f>IF(ISNUMBER($S456),MAX(0,INT((O$6+6-$S456)/$T456)-MAX(0,-INT(-(O$6-$S456)/$T456))+1),0)</f>
        <v>0.0</v>
      </c>
      <c r="P456" s="97">
        <f>IF(ISNUMBER($S456),MAX(0,INT((P$6+6-$S456)/$T456)-MAX(0,-INT(-(P$6-$S456)/$T456))+1),0)</f>
        <v>0.0</v>
      </c>
      <c r="Q456" s="97">
        <f>IF(ISNUMBER($S456),MAX(0,INT((Q$6+6-$S456)/$T456)-MAX(0,-INT(-(Q$6-$S456)/$T456))+1),0)</f>
        <v>0.0</v>
      </c>
      <c r="R456" s="97">
        <f>IF(ISNUMBER($S456),MAX(0,INT((R$6+6-$S456)/$T456)-MAX(0,-INT(-(R$6-$S456)/$T456))+1),0)</f>
        <v>0.0</v>
      </c>
      <c r="S456" t="str">
        <f>IF(ISNUMBER(INDEX(pl_period,447)),MAX(INDEX(pl_due,447),p_today),"")</f>
        <v/>
      </c>
      <c r="T456" t="str">
        <f>IF(ISNUMBER(INDEX(pl_period,447)),INDEX(pl_period,447),"")</f>
        <v/>
      </c>
      <c r="U456">
        <f>N(INDEX(pl_dur,447))</f>
        <v>0.0</v>
      </c>
    </row>
    <row r="457">
      <c r="A457" s="93" t="str">
        <f>IF(INDEX(pl_status,448)="","",INDEX(pl_num,448)&amp;"")</f>
        <v/>
      </c>
      <c r="B457" s="93" t="str">
        <f>IF(INDEX(pl_status,448)="","",INDEX(pl_eq,448)&amp;"")</f>
        <v/>
      </c>
      <c r="C457" s="93" t="str">
        <f>IF(INDEX(pl_status,448)="","",INDEX(pl_task,448)&amp;"")</f>
        <v/>
      </c>
      <c r="D457" s="94" t="str">
        <f>IF(ISNUMBER(INDEX(pl_due,448)),INDEX(pl_due,448),"")</f>
        <v/>
      </c>
      <c r="E457" s="95" t="str">
        <f>INDEX(pl_status,448)&amp;""</f>
        <v/>
      </c>
      <c r="F457" s="96" t="str">
        <f>IF(E457="En retard","●","")</f>
        <v/>
      </c>
      <c r="G457" s="97">
        <f>IF(ISNUMBER($S457),MAX(0,INT((G$6+6-$S457)/$T457)-MAX(0,-INT(-(G$6-$S457)/$T457))+1),0)</f>
        <v>0.0</v>
      </c>
      <c r="H457" s="97">
        <f>IF(ISNUMBER($S457),MAX(0,INT((H$6+6-$S457)/$T457)-MAX(0,-INT(-(H$6-$S457)/$T457))+1),0)</f>
        <v>0.0</v>
      </c>
      <c r="I457" s="97">
        <f>IF(ISNUMBER($S457),MAX(0,INT((I$6+6-$S457)/$T457)-MAX(0,-INT(-(I$6-$S457)/$T457))+1),0)</f>
        <v>0.0</v>
      </c>
      <c r="J457" s="97">
        <f>IF(ISNUMBER($S457),MAX(0,INT((J$6+6-$S457)/$T457)-MAX(0,-INT(-(J$6-$S457)/$T457))+1),0)</f>
        <v>0.0</v>
      </c>
      <c r="K457" s="97">
        <f>IF(ISNUMBER($S457),MAX(0,INT((K$6+6-$S457)/$T457)-MAX(0,-INT(-(K$6-$S457)/$T457))+1),0)</f>
        <v>0.0</v>
      </c>
      <c r="L457" s="97">
        <f>IF(ISNUMBER($S457),MAX(0,INT((L$6+6-$S457)/$T457)-MAX(0,-INT(-(L$6-$S457)/$T457))+1),0)</f>
        <v>0.0</v>
      </c>
      <c r="M457" s="97">
        <f>IF(ISNUMBER($S457),MAX(0,INT((M$6+6-$S457)/$T457)-MAX(0,-INT(-(M$6-$S457)/$T457))+1),0)</f>
        <v>0.0</v>
      </c>
      <c r="N457" s="97">
        <f>IF(ISNUMBER($S457),MAX(0,INT((N$6+6-$S457)/$T457)-MAX(0,-INT(-(N$6-$S457)/$T457))+1),0)</f>
        <v>0.0</v>
      </c>
      <c r="O457" s="97">
        <f>IF(ISNUMBER($S457),MAX(0,INT((O$6+6-$S457)/$T457)-MAX(0,-INT(-(O$6-$S457)/$T457))+1),0)</f>
        <v>0.0</v>
      </c>
      <c r="P457" s="97">
        <f>IF(ISNUMBER($S457),MAX(0,INT((P$6+6-$S457)/$T457)-MAX(0,-INT(-(P$6-$S457)/$T457))+1),0)</f>
        <v>0.0</v>
      </c>
      <c r="Q457" s="97">
        <f>IF(ISNUMBER($S457),MAX(0,INT((Q$6+6-$S457)/$T457)-MAX(0,-INT(-(Q$6-$S457)/$T457))+1),0)</f>
        <v>0.0</v>
      </c>
      <c r="R457" s="97">
        <f>IF(ISNUMBER($S457),MAX(0,INT((R$6+6-$S457)/$T457)-MAX(0,-INT(-(R$6-$S457)/$T457))+1),0)</f>
        <v>0.0</v>
      </c>
      <c r="S457" t="str">
        <f>IF(ISNUMBER(INDEX(pl_period,448)),MAX(INDEX(pl_due,448),p_today),"")</f>
        <v/>
      </c>
      <c r="T457" t="str">
        <f>IF(ISNUMBER(INDEX(pl_period,448)),INDEX(pl_period,448),"")</f>
        <v/>
      </c>
      <c r="U457">
        <f>N(INDEX(pl_dur,448))</f>
        <v>0.0</v>
      </c>
    </row>
    <row r="458">
      <c r="A458" s="93" t="str">
        <f>IF(INDEX(pl_status,449)="","",INDEX(pl_num,449)&amp;"")</f>
        <v/>
      </c>
      <c r="B458" s="93" t="str">
        <f>IF(INDEX(pl_status,449)="","",INDEX(pl_eq,449)&amp;"")</f>
        <v/>
      </c>
      <c r="C458" s="93" t="str">
        <f>IF(INDEX(pl_status,449)="","",INDEX(pl_task,449)&amp;"")</f>
        <v/>
      </c>
      <c r="D458" s="94" t="str">
        <f>IF(ISNUMBER(INDEX(pl_due,449)),INDEX(pl_due,449),"")</f>
        <v/>
      </c>
      <c r="E458" s="95" t="str">
        <f>INDEX(pl_status,449)&amp;""</f>
        <v/>
      </c>
      <c r="F458" s="96" t="str">
        <f>IF(E458="En retard","●","")</f>
        <v/>
      </c>
      <c r="G458" s="97">
        <f>IF(ISNUMBER($S458),MAX(0,INT((G$6+6-$S458)/$T458)-MAX(0,-INT(-(G$6-$S458)/$T458))+1),0)</f>
        <v>0.0</v>
      </c>
      <c r="H458" s="97">
        <f>IF(ISNUMBER($S458),MAX(0,INT((H$6+6-$S458)/$T458)-MAX(0,-INT(-(H$6-$S458)/$T458))+1),0)</f>
        <v>0.0</v>
      </c>
      <c r="I458" s="97">
        <f>IF(ISNUMBER($S458),MAX(0,INT((I$6+6-$S458)/$T458)-MAX(0,-INT(-(I$6-$S458)/$T458))+1),0)</f>
        <v>0.0</v>
      </c>
      <c r="J458" s="97">
        <f>IF(ISNUMBER($S458),MAX(0,INT((J$6+6-$S458)/$T458)-MAX(0,-INT(-(J$6-$S458)/$T458))+1),0)</f>
        <v>0.0</v>
      </c>
      <c r="K458" s="97">
        <f>IF(ISNUMBER($S458),MAX(0,INT((K$6+6-$S458)/$T458)-MAX(0,-INT(-(K$6-$S458)/$T458))+1),0)</f>
        <v>0.0</v>
      </c>
      <c r="L458" s="97">
        <f>IF(ISNUMBER($S458),MAX(0,INT((L$6+6-$S458)/$T458)-MAX(0,-INT(-(L$6-$S458)/$T458))+1),0)</f>
        <v>0.0</v>
      </c>
      <c r="M458" s="97">
        <f>IF(ISNUMBER($S458),MAX(0,INT((M$6+6-$S458)/$T458)-MAX(0,-INT(-(M$6-$S458)/$T458))+1),0)</f>
        <v>0.0</v>
      </c>
      <c r="N458" s="97">
        <f>IF(ISNUMBER($S458),MAX(0,INT((N$6+6-$S458)/$T458)-MAX(0,-INT(-(N$6-$S458)/$T458))+1),0)</f>
        <v>0.0</v>
      </c>
      <c r="O458" s="97">
        <f>IF(ISNUMBER($S458),MAX(0,INT((O$6+6-$S458)/$T458)-MAX(0,-INT(-(O$6-$S458)/$T458))+1),0)</f>
        <v>0.0</v>
      </c>
      <c r="P458" s="97">
        <f>IF(ISNUMBER($S458),MAX(0,INT((P$6+6-$S458)/$T458)-MAX(0,-INT(-(P$6-$S458)/$T458))+1),0)</f>
        <v>0.0</v>
      </c>
      <c r="Q458" s="97">
        <f>IF(ISNUMBER($S458),MAX(0,INT((Q$6+6-$S458)/$T458)-MAX(0,-INT(-(Q$6-$S458)/$T458))+1),0)</f>
        <v>0.0</v>
      </c>
      <c r="R458" s="97">
        <f>IF(ISNUMBER($S458),MAX(0,INT((R$6+6-$S458)/$T458)-MAX(0,-INT(-(R$6-$S458)/$T458))+1),0)</f>
        <v>0.0</v>
      </c>
      <c r="S458" t="str">
        <f>IF(ISNUMBER(INDEX(pl_period,449)),MAX(INDEX(pl_due,449),p_today),"")</f>
        <v/>
      </c>
      <c r="T458" t="str">
        <f>IF(ISNUMBER(INDEX(pl_period,449)),INDEX(pl_period,449),"")</f>
        <v/>
      </c>
      <c r="U458">
        <f>N(INDEX(pl_dur,449))</f>
        <v>0.0</v>
      </c>
    </row>
    <row r="459">
      <c r="A459" s="93" t="str">
        <f>IF(INDEX(pl_status,450)="","",INDEX(pl_num,450)&amp;"")</f>
        <v/>
      </c>
      <c r="B459" s="93" t="str">
        <f>IF(INDEX(pl_status,450)="","",INDEX(pl_eq,450)&amp;"")</f>
        <v/>
      </c>
      <c r="C459" s="93" t="str">
        <f>IF(INDEX(pl_status,450)="","",INDEX(pl_task,450)&amp;"")</f>
        <v/>
      </c>
      <c r="D459" s="94" t="str">
        <f>IF(ISNUMBER(INDEX(pl_due,450)),INDEX(pl_due,450),"")</f>
        <v/>
      </c>
      <c r="E459" s="95" t="str">
        <f>INDEX(pl_status,450)&amp;""</f>
        <v/>
      </c>
      <c r="F459" s="96" t="str">
        <f>IF(E459="En retard","●","")</f>
        <v/>
      </c>
      <c r="G459" s="97">
        <f>IF(ISNUMBER($S459),MAX(0,INT((G$6+6-$S459)/$T459)-MAX(0,-INT(-(G$6-$S459)/$T459))+1),0)</f>
        <v>0.0</v>
      </c>
      <c r="H459" s="97">
        <f>IF(ISNUMBER($S459),MAX(0,INT((H$6+6-$S459)/$T459)-MAX(0,-INT(-(H$6-$S459)/$T459))+1),0)</f>
        <v>0.0</v>
      </c>
      <c r="I459" s="97">
        <f>IF(ISNUMBER($S459),MAX(0,INT((I$6+6-$S459)/$T459)-MAX(0,-INT(-(I$6-$S459)/$T459))+1),0)</f>
        <v>0.0</v>
      </c>
      <c r="J459" s="97">
        <f>IF(ISNUMBER($S459),MAX(0,INT((J$6+6-$S459)/$T459)-MAX(0,-INT(-(J$6-$S459)/$T459))+1),0)</f>
        <v>0.0</v>
      </c>
      <c r="K459" s="97">
        <f>IF(ISNUMBER($S459),MAX(0,INT((K$6+6-$S459)/$T459)-MAX(0,-INT(-(K$6-$S459)/$T459))+1),0)</f>
        <v>0.0</v>
      </c>
      <c r="L459" s="97">
        <f>IF(ISNUMBER($S459),MAX(0,INT((L$6+6-$S459)/$T459)-MAX(0,-INT(-(L$6-$S459)/$T459))+1),0)</f>
        <v>0.0</v>
      </c>
      <c r="M459" s="97">
        <f>IF(ISNUMBER($S459),MAX(0,INT((M$6+6-$S459)/$T459)-MAX(0,-INT(-(M$6-$S459)/$T459))+1),0)</f>
        <v>0.0</v>
      </c>
      <c r="N459" s="97">
        <f>IF(ISNUMBER($S459),MAX(0,INT((N$6+6-$S459)/$T459)-MAX(0,-INT(-(N$6-$S459)/$T459))+1),0)</f>
        <v>0.0</v>
      </c>
      <c r="O459" s="97">
        <f>IF(ISNUMBER($S459),MAX(0,INT((O$6+6-$S459)/$T459)-MAX(0,-INT(-(O$6-$S459)/$T459))+1),0)</f>
        <v>0.0</v>
      </c>
      <c r="P459" s="97">
        <f>IF(ISNUMBER($S459),MAX(0,INT((P$6+6-$S459)/$T459)-MAX(0,-INT(-(P$6-$S459)/$T459))+1),0)</f>
        <v>0.0</v>
      </c>
      <c r="Q459" s="97">
        <f>IF(ISNUMBER($S459),MAX(0,INT((Q$6+6-$S459)/$T459)-MAX(0,-INT(-(Q$6-$S459)/$T459))+1),0)</f>
        <v>0.0</v>
      </c>
      <c r="R459" s="97">
        <f>IF(ISNUMBER($S459),MAX(0,INT((R$6+6-$S459)/$T459)-MAX(0,-INT(-(R$6-$S459)/$T459))+1),0)</f>
        <v>0.0</v>
      </c>
      <c r="S459" t="str">
        <f>IF(ISNUMBER(INDEX(pl_period,450)),MAX(INDEX(pl_due,450),p_today),"")</f>
        <v/>
      </c>
      <c r="T459" t="str">
        <f>IF(ISNUMBER(INDEX(pl_period,450)),INDEX(pl_period,450),"")</f>
        <v/>
      </c>
      <c r="U459">
        <f>N(INDEX(pl_dur,450))</f>
        <v>0.0</v>
      </c>
    </row>
    <row r="460">
      <c r="A460" s="93" t="str">
        <f>IF(INDEX(pl_status,451)="","",INDEX(pl_num,451)&amp;"")</f>
        <v/>
      </c>
      <c r="B460" s="93" t="str">
        <f>IF(INDEX(pl_status,451)="","",INDEX(pl_eq,451)&amp;"")</f>
        <v/>
      </c>
      <c r="C460" s="93" t="str">
        <f>IF(INDEX(pl_status,451)="","",INDEX(pl_task,451)&amp;"")</f>
        <v/>
      </c>
      <c r="D460" s="94" t="str">
        <f>IF(ISNUMBER(INDEX(pl_due,451)),INDEX(pl_due,451),"")</f>
        <v/>
      </c>
      <c r="E460" s="95" t="str">
        <f>INDEX(pl_status,451)&amp;""</f>
        <v/>
      </c>
      <c r="F460" s="96" t="str">
        <f>IF(E460="En retard","●","")</f>
        <v/>
      </c>
      <c r="G460" s="97">
        <f>IF(ISNUMBER($S460),MAX(0,INT((G$6+6-$S460)/$T460)-MAX(0,-INT(-(G$6-$S460)/$T460))+1),0)</f>
        <v>0.0</v>
      </c>
      <c r="H460" s="97">
        <f>IF(ISNUMBER($S460),MAX(0,INT((H$6+6-$S460)/$T460)-MAX(0,-INT(-(H$6-$S460)/$T460))+1),0)</f>
        <v>0.0</v>
      </c>
      <c r="I460" s="97">
        <f>IF(ISNUMBER($S460),MAX(0,INT((I$6+6-$S460)/$T460)-MAX(0,-INT(-(I$6-$S460)/$T460))+1),0)</f>
        <v>0.0</v>
      </c>
      <c r="J460" s="97">
        <f>IF(ISNUMBER($S460),MAX(0,INT((J$6+6-$S460)/$T460)-MAX(0,-INT(-(J$6-$S460)/$T460))+1),0)</f>
        <v>0.0</v>
      </c>
      <c r="K460" s="97">
        <f>IF(ISNUMBER($S460),MAX(0,INT((K$6+6-$S460)/$T460)-MAX(0,-INT(-(K$6-$S460)/$T460))+1),0)</f>
        <v>0.0</v>
      </c>
      <c r="L460" s="97">
        <f>IF(ISNUMBER($S460),MAX(0,INT((L$6+6-$S460)/$T460)-MAX(0,-INT(-(L$6-$S460)/$T460))+1),0)</f>
        <v>0.0</v>
      </c>
      <c r="M460" s="97">
        <f>IF(ISNUMBER($S460),MAX(0,INT((M$6+6-$S460)/$T460)-MAX(0,-INT(-(M$6-$S460)/$T460))+1),0)</f>
        <v>0.0</v>
      </c>
      <c r="N460" s="97">
        <f>IF(ISNUMBER($S460),MAX(0,INT((N$6+6-$S460)/$T460)-MAX(0,-INT(-(N$6-$S460)/$T460))+1),0)</f>
        <v>0.0</v>
      </c>
      <c r="O460" s="97">
        <f>IF(ISNUMBER($S460),MAX(0,INT((O$6+6-$S460)/$T460)-MAX(0,-INT(-(O$6-$S460)/$T460))+1),0)</f>
        <v>0.0</v>
      </c>
      <c r="P460" s="97">
        <f>IF(ISNUMBER($S460),MAX(0,INT((P$6+6-$S460)/$T460)-MAX(0,-INT(-(P$6-$S460)/$T460))+1),0)</f>
        <v>0.0</v>
      </c>
      <c r="Q460" s="97">
        <f>IF(ISNUMBER($S460),MAX(0,INT((Q$6+6-$S460)/$T460)-MAX(0,-INT(-(Q$6-$S460)/$T460))+1),0)</f>
        <v>0.0</v>
      </c>
      <c r="R460" s="97">
        <f>IF(ISNUMBER($S460),MAX(0,INT((R$6+6-$S460)/$T460)-MAX(0,-INT(-(R$6-$S460)/$T460))+1),0)</f>
        <v>0.0</v>
      </c>
      <c r="S460" t="str">
        <f>IF(ISNUMBER(INDEX(pl_period,451)),MAX(INDEX(pl_due,451),p_today),"")</f>
        <v/>
      </c>
      <c r="T460" t="str">
        <f>IF(ISNUMBER(INDEX(pl_period,451)),INDEX(pl_period,451),"")</f>
        <v/>
      </c>
      <c r="U460">
        <f>N(INDEX(pl_dur,451))</f>
        <v>0.0</v>
      </c>
    </row>
    <row r="461">
      <c r="A461" s="93" t="str">
        <f>IF(INDEX(pl_status,452)="","",INDEX(pl_num,452)&amp;"")</f>
        <v/>
      </c>
      <c r="B461" s="93" t="str">
        <f>IF(INDEX(pl_status,452)="","",INDEX(pl_eq,452)&amp;"")</f>
        <v/>
      </c>
      <c r="C461" s="93" t="str">
        <f>IF(INDEX(pl_status,452)="","",INDEX(pl_task,452)&amp;"")</f>
        <v/>
      </c>
      <c r="D461" s="94" t="str">
        <f>IF(ISNUMBER(INDEX(pl_due,452)),INDEX(pl_due,452),"")</f>
        <v/>
      </c>
      <c r="E461" s="95" t="str">
        <f>INDEX(pl_status,452)&amp;""</f>
        <v/>
      </c>
      <c r="F461" s="96" t="str">
        <f>IF(E461="En retard","●","")</f>
        <v/>
      </c>
      <c r="G461" s="97">
        <f>IF(ISNUMBER($S461),MAX(0,INT((G$6+6-$S461)/$T461)-MAX(0,-INT(-(G$6-$S461)/$T461))+1),0)</f>
        <v>0.0</v>
      </c>
      <c r="H461" s="97">
        <f>IF(ISNUMBER($S461),MAX(0,INT((H$6+6-$S461)/$T461)-MAX(0,-INT(-(H$6-$S461)/$T461))+1),0)</f>
        <v>0.0</v>
      </c>
      <c r="I461" s="97">
        <f>IF(ISNUMBER($S461),MAX(0,INT((I$6+6-$S461)/$T461)-MAX(0,-INT(-(I$6-$S461)/$T461))+1),0)</f>
        <v>0.0</v>
      </c>
      <c r="J461" s="97">
        <f>IF(ISNUMBER($S461),MAX(0,INT((J$6+6-$S461)/$T461)-MAX(0,-INT(-(J$6-$S461)/$T461))+1),0)</f>
        <v>0.0</v>
      </c>
      <c r="K461" s="97">
        <f>IF(ISNUMBER($S461),MAX(0,INT((K$6+6-$S461)/$T461)-MAX(0,-INT(-(K$6-$S461)/$T461))+1),0)</f>
        <v>0.0</v>
      </c>
      <c r="L461" s="97">
        <f>IF(ISNUMBER($S461),MAX(0,INT((L$6+6-$S461)/$T461)-MAX(0,-INT(-(L$6-$S461)/$T461))+1),0)</f>
        <v>0.0</v>
      </c>
      <c r="M461" s="97">
        <f>IF(ISNUMBER($S461),MAX(0,INT((M$6+6-$S461)/$T461)-MAX(0,-INT(-(M$6-$S461)/$T461))+1),0)</f>
        <v>0.0</v>
      </c>
      <c r="N461" s="97">
        <f>IF(ISNUMBER($S461),MAX(0,INT((N$6+6-$S461)/$T461)-MAX(0,-INT(-(N$6-$S461)/$T461))+1),0)</f>
        <v>0.0</v>
      </c>
      <c r="O461" s="97">
        <f>IF(ISNUMBER($S461),MAX(0,INT((O$6+6-$S461)/$T461)-MAX(0,-INT(-(O$6-$S461)/$T461))+1),0)</f>
        <v>0.0</v>
      </c>
      <c r="P461" s="97">
        <f>IF(ISNUMBER($S461),MAX(0,INT((P$6+6-$S461)/$T461)-MAX(0,-INT(-(P$6-$S461)/$T461))+1),0)</f>
        <v>0.0</v>
      </c>
      <c r="Q461" s="97">
        <f>IF(ISNUMBER($S461),MAX(0,INT((Q$6+6-$S461)/$T461)-MAX(0,-INT(-(Q$6-$S461)/$T461))+1),0)</f>
        <v>0.0</v>
      </c>
      <c r="R461" s="97">
        <f>IF(ISNUMBER($S461),MAX(0,INT((R$6+6-$S461)/$T461)-MAX(0,-INT(-(R$6-$S461)/$T461))+1),0)</f>
        <v>0.0</v>
      </c>
      <c r="S461" t="str">
        <f>IF(ISNUMBER(INDEX(pl_period,452)),MAX(INDEX(pl_due,452),p_today),"")</f>
        <v/>
      </c>
      <c r="T461" t="str">
        <f>IF(ISNUMBER(INDEX(pl_period,452)),INDEX(pl_period,452),"")</f>
        <v/>
      </c>
      <c r="U461">
        <f>N(INDEX(pl_dur,452))</f>
        <v>0.0</v>
      </c>
    </row>
    <row r="462">
      <c r="A462" s="93" t="str">
        <f>IF(INDEX(pl_status,453)="","",INDEX(pl_num,453)&amp;"")</f>
        <v/>
      </c>
      <c r="B462" s="93" t="str">
        <f>IF(INDEX(pl_status,453)="","",INDEX(pl_eq,453)&amp;"")</f>
        <v/>
      </c>
      <c r="C462" s="93" t="str">
        <f>IF(INDEX(pl_status,453)="","",INDEX(pl_task,453)&amp;"")</f>
        <v/>
      </c>
      <c r="D462" s="94" t="str">
        <f>IF(ISNUMBER(INDEX(pl_due,453)),INDEX(pl_due,453),"")</f>
        <v/>
      </c>
      <c r="E462" s="95" t="str">
        <f>INDEX(pl_status,453)&amp;""</f>
        <v/>
      </c>
      <c r="F462" s="96" t="str">
        <f>IF(E462="En retard","●","")</f>
        <v/>
      </c>
      <c r="G462" s="97">
        <f>IF(ISNUMBER($S462),MAX(0,INT((G$6+6-$S462)/$T462)-MAX(0,-INT(-(G$6-$S462)/$T462))+1),0)</f>
        <v>0.0</v>
      </c>
      <c r="H462" s="97">
        <f>IF(ISNUMBER($S462),MAX(0,INT((H$6+6-$S462)/$T462)-MAX(0,-INT(-(H$6-$S462)/$T462))+1),0)</f>
        <v>0.0</v>
      </c>
      <c r="I462" s="97">
        <f>IF(ISNUMBER($S462),MAX(0,INT((I$6+6-$S462)/$T462)-MAX(0,-INT(-(I$6-$S462)/$T462))+1),0)</f>
        <v>0.0</v>
      </c>
      <c r="J462" s="97">
        <f>IF(ISNUMBER($S462),MAX(0,INT((J$6+6-$S462)/$T462)-MAX(0,-INT(-(J$6-$S462)/$T462))+1),0)</f>
        <v>0.0</v>
      </c>
      <c r="K462" s="97">
        <f>IF(ISNUMBER($S462),MAX(0,INT((K$6+6-$S462)/$T462)-MAX(0,-INT(-(K$6-$S462)/$T462))+1),0)</f>
        <v>0.0</v>
      </c>
      <c r="L462" s="97">
        <f>IF(ISNUMBER($S462),MAX(0,INT((L$6+6-$S462)/$T462)-MAX(0,-INT(-(L$6-$S462)/$T462))+1),0)</f>
        <v>0.0</v>
      </c>
      <c r="M462" s="97">
        <f>IF(ISNUMBER($S462),MAX(0,INT((M$6+6-$S462)/$T462)-MAX(0,-INT(-(M$6-$S462)/$T462))+1),0)</f>
        <v>0.0</v>
      </c>
      <c r="N462" s="97">
        <f>IF(ISNUMBER($S462),MAX(0,INT((N$6+6-$S462)/$T462)-MAX(0,-INT(-(N$6-$S462)/$T462))+1),0)</f>
        <v>0.0</v>
      </c>
      <c r="O462" s="97">
        <f>IF(ISNUMBER($S462),MAX(0,INT((O$6+6-$S462)/$T462)-MAX(0,-INT(-(O$6-$S462)/$T462))+1),0)</f>
        <v>0.0</v>
      </c>
      <c r="P462" s="97">
        <f>IF(ISNUMBER($S462),MAX(0,INT((P$6+6-$S462)/$T462)-MAX(0,-INT(-(P$6-$S462)/$T462))+1),0)</f>
        <v>0.0</v>
      </c>
      <c r="Q462" s="97">
        <f>IF(ISNUMBER($S462),MAX(0,INT((Q$6+6-$S462)/$T462)-MAX(0,-INT(-(Q$6-$S462)/$T462))+1),0)</f>
        <v>0.0</v>
      </c>
      <c r="R462" s="97">
        <f>IF(ISNUMBER($S462),MAX(0,INT((R$6+6-$S462)/$T462)-MAX(0,-INT(-(R$6-$S462)/$T462))+1),0)</f>
        <v>0.0</v>
      </c>
      <c r="S462" t="str">
        <f>IF(ISNUMBER(INDEX(pl_period,453)),MAX(INDEX(pl_due,453),p_today),"")</f>
        <v/>
      </c>
      <c r="T462" t="str">
        <f>IF(ISNUMBER(INDEX(pl_period,453)),INDEX(pl_period,453),"")</f>
        <v/>
      </c>
      <c r="U462">
        <f>N(INDEX(pl_dur,453))</f>
        <v>0.0</v>
      </c>
    </row>
    <row r="463">
      <c r="A463" s="93" t="str">
        <f>IF(INDEX(pl_status,454)="","",INDEX(pl_num,454)&amp;"")</f>
        <v/>
      </c>
      <c r="B463" s="93" t="str">
        <f>IF(INDEX(pl_status,454)="","",INDEX(pl_eq,454)&amp;"")</f>
        <v/>
      </c>
      <c r="C463" s="93" t="str">
        <f>IF(INDEX(pl_status,454)="","",INDEX(pl_task,454)&amp;"")</f>
        <v/>
      </c>
      <c r="D463" s="94" t="str">
        <f>IF(ISNUMBER(INDEX(pl_due,454)),INDEX(pl_due,454),"")</f>
        <v/>
      </c>
      <c r="E463" s="95" t="str">
        <f>INDEX(pl_status,454)&amp;""</f>
        <v/>
      </c>
      <c r="F463" s="96" t="str">
        <f>IF(E463="En retard","●","")</f>
        <v/>
      </c>
      <c r="G463" s="97">
        <f>IF(ISNUMBER($S463),MAX(0,INT((G$6+6-$S463)/$T463)-MAX(0,-INT(-(G$6-$S463)/$T463))+1),0)</f>
        <v>0.0</v>
      </c>
      <c r="H463" s="97">
        <f>IF(ISNUMBER($S463),MAX(0,INT((H$6+6-$S463)/$T463)-MAX(0,-INT(-(H$6-$S463)/$T463))+1),0)</f>
        <v>0.0</v>
      </c>
      <c r="I463" s="97">
        <f>IF(ISNUMBER($S463),MAX(0,INT((I$6+6-$S463)/$T463)-MAX(0,-INT(-(I$6-$S463)/$T463))+1),0)</f>
        <v>0.0</v>
      </c>
      <c r="J463" s="97">
        <f>IF(ISNUMBER($S463),MAX(0,INT((J$6+6-$S463)/$T463)-MAX(0,-INT(-(J$6-$S463)/$T463))+1),0)</f>
        <v>0.0</v>
      </c>
      <c r="K463" s="97">
        <f>IF(ISNUMBER($S463),MAX(0,INT((K$6+6-$S463)/$T463)-MAX(0,-INT(-(K$6-$S463)/$T463))+1),0)</f>
        <v>0.0</v>
      </c>
      <c r="L463" s="97">
        <f>IF(ISNUMBER($S463),MAX(0,INT((L$6+6-$S463)/$T463)-MAX(0,-INT(-(L$6-$S463)/$T463))+1),0)</f>
        <v>0.0</v>
      </c>
      <c r="M463" s="97">
        <f>IF(ISNUMBER($S463),MAX(0,INT((M$6+6-$S463)/$T463)-MAX(0,-INT(-(M$6-$S463)/$T463))+1),0)</f>
        <v>0.0</v>
      </c>
      <c r="N463" s="97">
        <f>IF(ISNUMBER($S463),MAX(0,INT((N$6+6-$S463)/$T463)-MAX(0,-INT(-(N$6-$S463)/$T463))+1),0)</f>
        <v>0.0</v>
      </c>
      <c r="O463" s="97">
        <f>IF(ISNUMBER($S463),MAX(0,INT((O$6+6-$S463)/$T463)-MAX(0,-INT(-(O$6-$S463)/$T463))+1),0)</f>
        <v>0.0</v>
      </c>
      <c r="P463" s="97">
        <f>IF(ISNUMBER($S463),MAX(0,INT((P$6+6-$S463)/$T463)-MAX(0,-INT(-(P$6-$S463)/$T463))+1),0)</f>
        <v>0.0</v>
      </c>
      <c r="Q463" s="97">
        <f>IF(ISNUMBER($S463),MAX(0,INT((Q$6+6-$S463)/$T463)-MAX(0,-INT(-(Q$6-$S463)/$T463))+1),0)</f>
        <v>0.0</v>
      </c>
      <c r="R463" s="97">
        <f>IF(ISNUMBER($S463),MAX(0,INT((R$6+6-$S463)/$T463)-MAX(0,-INT(-(R$6-$S463)/$T463))+1),0)</f>
        <v>0.0</v>
      </c>
      <c r="S463" t="str">
        <f>IF(ISNUMBER(INDEX(pl_period,454)),MAX(INDEX(pl_due,454),p_today),"")</f>
        <v/>
      </c>
      <c r="T463" t="str">
        <f>IF(ISNUMBER(INDEX(pl_period,454)),INDEX(pl_period,454),"")</f>
        <v/>
      </c>
      <c r="U463">
        <f>N(INDEX(pl_dur,454))</f>
        <v>0.0</v>
      </c>
    </row>
    <row r="464">
      <c r="A464" s="93" t="str">
        <f>IF(INDEX(pl_status,455)="","",INDEX(pl_num,455)&amp;"")</f>
        <v/>
      </c>
      <c r="B464" s="93" t="str">
        <f>IF(INDEX(pl_status,455)="","",INDEX(pl_eq,455)&amp;"")</f>
        <v/>
      </c>
      <c r="C464" s="93" t="str">
        <f>IF(INDEX(pl_status,455)="","",INDEX(pl_task,455)&amp;"")</f>
        <v/>
      </c>
      <c r="D464" s="94" t="str">
        <f>IF(ISNUMBER(INDEX(pl_due,455)),INDEX(pl_due,455),"")</f>
        <v/>
      </c>
      <c r="E464" s="95" t="str">
        <f>INDEX(pl_status,455)&amp;""</f>
        <v/>
      </c>
      <c r="F464" s="96" t="str">
        <f>IF(E464="En retard","●","")</f>
        <v/>
      </c>
      <c r="G464" s="97">
        <f>IF(ISNUMBER($S464),MAX(0,INT((G$6+6-$S464)/$T464)-MAX(0,-INT(-(G$6-$S464)/$T464))+1),0)</f>
        <v>0.0</v>
      </c>
      <c r="H464" s="97">
        <f>IF(ISNUMBER($S464),MAX(0,INT((H$6+6-$S464)/$T464)-MAX(0,-INT(-(H$6-$S464)/$T464))+1),0)</f>
        <v>0.0</v>
      </c>
      <c r="I464" s="97">
        <f>IF(ISNUMBER($S464),MAX(0,INT((I$6+6-$S464)/$T464)-MAX(0,-INT(-(I$6-$S464)/$T464))+1),0)</f>
        <v>0.0</v>
      </c>
      <c r="J464" s="97">
        <f>IF(ISNUMBER($S464),MAX(0,INT((J$6+6-$S464)/$T464)-MAX(0,-INT(-(J$6-$S464)/$T464))+1),0)</f>
        <v>0.0</v>
      </c>
      <c r="K464" s="97">
        <f>IF(ISNUMBER($S464),MAX(0,INT((K$6+6-$S464)/$T464)-MAX(0,-INT(-(K$6-$S464)/$T464))+1),0)</f>
        <v>0.0</v>
      </c>
      <c r="L464" s="97">
        <f>IF(ISNUMBER($S464),MAX(0,INT((L$6+6-$S464)/$T464)-MAX(0,-INT(-(L$6-$S464)/$T464))+1),0)</f>
        <v>0.0</v>
      </c>
      <c r="M464" s="97">
        <f>IF(ISNUMBER($S464),MAX(0,INT((M$6+6-$S464)/$T464)-MAX(0,-INT(-(M$6-$S464)/$T464))+1),0)</f>
        <v>0.0</v>
      </c>
      <c r="N464" s="97">
        <f>IF(ISNUMBER($S464),MAX(0,INT((N$6+6-$S464)/$T464)-MAX(0,-INT(-(N$6-$S464)/$T464))+1),0)</f>
        <v>0.0</v>
      </c>
      <c r="O464" s="97">
        <f>IF(ISNUMBER($S464),MAX(0,INT((O$6+6-$S464)/$T464)-MAX(0,-INT(-(O$6-$S464)/$T464))+1),0)</f>
        <v>0.0</v>
      </c>
      <c r="P464" s="97">
        <f>IF(ISNUMBER($S464),MAX(0,INT((P$6+6-$S464)/$T464)-MAX(0,-INT(-(P$6-$S464)/$T464))+1),0)</f>
        <v>0.0</v>
      </c>
      <c r="Q464" s="97">
        <f>IF(ISNUMBER($S464),MAX(0,INT((Q$6+6-$S464)/$T464)-MAX(0,-INT(-(Q$6-$S464)/$T464))+1),0)</f>
        <v>0.0</v>
      </c>
      <c r="R464" s="97">
        <f>IF(ISNUMBER($S464),MAX(0,INT((R$6+6-$S464)/$T464)-MAX(0,-INT(-(R$6-$S464)/$T464))+1),0)</f>
        <v>0.0</v>
      </c>
      <c r="S464" t="str">
        <f>IF(ISNUMBER(INDEX(pl_period,455)),MAX(INDEX(pl_due,455),p_today),"")</f>
        <v/>
      </c>
      <c r="T464" t="str">
        <f>IF(ISNUMBER(INDEX(pl_period,455)),INDEX(pl_period,455),"")</f>
        <v/>
      </c>
      <c r="U464">
        <f>N(INDEX(pl_dur,455))</f>
        <v>0.0</v>
      </c>
    </row>
    <row r="465">
      <c r="A465" s="93" t="str">
        <f>IF(INDEX(pl_status,456)="","",INDEX(pl_num,456)&amp;"")</f>
        <v/>
      </c>
      <c r="B465" s="93" t="str">
        <f>IF(INDEX(pl_status,456)="","",INDEX(pl_eq,456)&amp;"")</f>
        <v/>
      </c>
      <c r="C465" s="93" t="str">
        <f>IF(INDEX(pl_status,456)="","",INDEX(pl_task,456)&amp;"")</f>
        <v/>
      </c>
      <c r="D465" s="94" t="str">
        <f>IF(ISNUMBER(INDEX(pl_due,456)),INDEX(pl_due,456),"")</f>
        <v/>
      </c>
      <c r="E465" s="95" t="str">
        <f>INDEX(pl_status,456)&amp;""</f>
        <v/>
      </c>
      <c r="F465" s="96" t="str">
        <f>IF(E465="En retard","●","")</f>
        <v/>
      </c>
      <c r="G465" s="97">
        <f>IF(ISNUMBER($S465),MAX(0,INT((G$6+6-$S465)/$T465)-MAX(0,-INT(-(G$6-$S465)/$T465))+1),0)</f>
        <v>0.0</v>
      </c>
      <c r="H465" s="97">
        <f>IF(ISNUMBER($S465),MAX(0,INT((H$6+6-$S465)/$T465)-MAX(0,-INT(-(H$6-$S465)/$T465))+1),0)</f>
        <v>0.0</v>
      </c>
      <c r="I465" s="97">
        <f>IF(ISNUMBER($S465),MAX(0,INT((I$6+6-$S465)/$T465)-MAX(0,-INT(-(I$6-$S465)/$T465))+1),0)</f>
        <v>0.0</v>
      </c>
      <c r="J465" s="97">
        <f>IF(ISNUMBER($S465),MAX(0,INT((J$6+6-$S465)/$T465)-MAX(0,-INT(-(J$6-$S465)/$T465))+1),0)</f>
        <v>0.0</v>
      </c>
      <c r="K465" s="97">
        <f>IF(ISNUMBER($S465),MAX(0,INT((K$6+6-$S465)/$T465)-MAX(0,-INT(-(K$6-$S465)/$T465))+1),0)</f>
        <v>0.0</v>
      </c>
      <c r="L465" s="97">
        <f>IF(ISNUMBER($S465),MAX(0,INT((L$6+6-$S465)/$T465)-MAX(0,-INT(-(L$6-$S465)/$T465))+1),0)</f>
        <v>0.0</v>
      </c>
      <c r="M465" s="97">
        <f>IF(ISNUMBER($S465),MAX(0,INT((M$6+6-$S465)/$T465)-MAX(0,-INT(-(M$6-$S465)/$T465))+1),0)</f>
        <v>0.0</v>
      </c>
      <c r="N465" s="97">
        <f>IF(ISNUMBER($S465),MAX(0,INT((N$6+6-$S465)/$T465)-MAX(0,-INT(-(N$6-$S465)/$T465))+1),0)</f>
        <v>0.0</v>
      </c>
      <c r="O465" s="97">
        <f>IF(ISNUMBER($S465),MAX(0,INT((O$6+6-$S465)/$T465)-MAX(0,-INT(-(O$6-$S465)/$T465))+1),0)</f>
        <v>0.0</v>
      </c>
      <c r="P465" s="97">
        <f>IF(ISNUMBER($S465),MAX(0,INT((P$6+6-$S465)/$T465)-MAX(0,-INT(-(P$6-$S465)/$T465))+1),0)</f>
        <v>0.0</v>
      </c>
      <c r="Q465" s="97">
        <f>IF(ISNUMBER($S465),MAX(0,INT((Q$6+6-$S465)/$T465)-MAX(0,-INT(-(Q$6-$S465)/$T465))+1),0)</f>
        <v>0.0</v>
      </c>
      <c r="R465" s="97">
        <f>IF(ISNUMBER($S465),MAX(0,INT((R$6+6-$S465)/$T465)-MAX(0,-INT(-(R$6-$S465)/$T465))+1),0)</f>
        <v>0.0</v>
      </c>
      <c r="S465" t="str">
        <f>IF(ISNUMBER(INDEX(pl_period,456)),MAX(INDEX(pl_due,456),p_today),"")</f>
        <v/>
      </c>
      <c r="T465" t="str">
        <f>IF(ISNUMBER(INDEX(pl_period,456)),INDEX(pl_period,456),"")</f>
        <v/>
      </c>
      <c r="U465">
        <f>N(INDEX(pl_dur,456))</f>
        <v>0.0</v>
      </c>
    </row>
    <row r="466">
      <c r="A466" s="93" t="str">
        <f>IF(INDEX(pl_status,457)="","",INDEX(pl_num,457)&amp;"")</f>
        <v/>
      </c>
      <c r="B466" s="93" t="str">
        <f>IF(INDEX(pl_status,457)="","",INDEX(pl_eq,457)&amp;"")</f>
        <v/>
      </c>
      <c r="C466" s="93" t="str">
        <f>IF(INDEX(pl_status,457)="","",INDEX(pl_task,457)&amp;"")</f>
        <v/>
      </c>
      <c r="D466" s="94" t="str">
        <f>IF(ISNUMBER(INDEX(pl_due,457)),INDEX(pl_due,457),"")</f>
        <v/>
      </c>
      <c r="E466" s="95" t="str">
        <f>INDEX(pl_status,457)&amp;""</f>
        <v/>
      </c>
      <c r="F466" s="96" t="str">
        <f>IF(E466="En retard","●","")</f>
        <v/>
      </c>
      <c r="G466" s="97">
        <f>IF(ISNUMBER($S466),MAX(0,INT((G$6+6-$S466)/$T466)-MAX(0,-INT(-(G$6-$S466)/$T466))+1),0)</f>
        <v>0.0</v>
      </c>
      <c r="H466" s="97">
        <f>IF(ISNUMBER($S466),MAX(0,INT((H$6+6-$S466)/$T466)-MAX(0,-INT(-(H$6-$S466)/$T466))+1),0)</f>
        <v>0.0</v>
      </c>
      <c r="I466" s="97">
        <f>IF(ISNUMBER($S466),MAX(0,INT((I$6+6-$S466)/$T466)-MAX(0,-INT(-(I$6-$S466)/$T466))+1),0)</f>
        <v>0.0</v>
      </c>
      <c r="J466" s="97">
        <f>IF(ISNUMBER($S466),MAX(0,INT((J$6+6-$S466)/$T466)-MAX(0,-INT(-(J$6-$S466)/$T466))+1),0)</f>
        <v>0.0</v>
      </c>
      <c r="K466" s="97">
        <f>IF(ISNUMBER($S466),MAX(0,INT((K$6+6-$S466)/$T466)-MAX(0,-INT(-(K$6-$S466)/$T466))+1),0)</f>
        <v>0.0</v>
      </c>
      <c r="L466" s="97">
        <f>IF(ISNUMBER($S466),MAX(0,INT((L$6+6-$S466)/$T466)-MAX(0,-INT(-(L$6-$S466)/$T466))+1),0)</f>
        <v>0.0</v>
      </c>
      <c r="M466" s="97">
        <f>IF(ISNUMBER($S466),MAX(0,INT((M$6+6-$S466)/$T466)-MAX(0,-INT(-(M$6-$S466)/$T466))+1),0)</f>
        <v>0.0</v>
      </c>
      <c r="N466" s="97">
        <f>IF(ISNUMBER($S466),MAX(0,INT((N$6+6-$S466)/$T466)-MAX(0,-INT(-(N$6-$S466)/$T466))+1),0)</f>
        <v>0.0</v>
      </c>
      <c r="O466" s="97">
        <f>IF(ISNUMBER($S466),MAX(0,INT((O$6+6-$S466)/$T466)-MAX(0,-INT(-(O$6-$S466)/$T466))+1),0)</f>
        <v>0.0</v>
      </c>
      <c r="P466" s="97">
        <f>IF(ISNUMBER($S466),MAX(0,INT((P$6+6-$S466)/$T466)-MAX(0,-INT(-(P$6-$S466)/$T466))+1),0)</f>
        <v>0.0</v>
      </c>
      <c r="Q466" s="97">
        <f>IF(ISNUMBER($S466),MAX(0,INT((Q$6+6-$S466)/$T466)-MAX(0,-INT(-(Q$6-$S466)/$T466))+1),0)</f>
        <v>0.0</v>
      </c>
      <c r="R466" s="97">
        <f>IF(ISNUMBER($S466),MAX(0,INT((R$6+6-$S466)/$T466)-MAX(0,-INT(-(R$6-$S466)/$T466))+1),0)</f>
        <v>0.0</v>
      </c>
      <c r="S466" t="str">
        <f>IF(ISNUMBER(INDEX(pl_period,457)),MAX(INDEX(pl_due,457),p_today),"")</f>
        <v/>
      </c>
      <c r="T466" t="str">
        <f>IF(ISNUMBER(INDEX(pl_period,457)),INDEX(pl_period,457),"")</f>
        <v/>
      </c>
      <c r="U466">
        <f>N(INDEX(pl_dur,457))</f>
        <v>0.0</v>
      </c>
    </row>
    <row r="467">
      <c r="A467" s="93" t="str">
        <f>IF(INDEX(pl_status,458)="","",INDEX(pl_num,458)&amp;"")</f>
        <v/>
      </c>
      <c r="B467" s="93" t="str">
        <f>IF(INDEX(pl_status,458)="","",INDEX(pl_eq,458)&amp;"")</f>
        <v/>
      </c>
      <c r="C467" s="93" t="str">
        <f>IF(INDEX(pl_status,458)="","",INDEX(pl_task,458)&amp;"")</f>
        <v/>
      </c>
      <c r="D467" s="94" t="str">
        <f>IF(ISNUMBER(INDEX(pl_due,458)),INDEX(pl_due,458),"")</f>
        <v/>
      </c>
      <c r="E467" s="95" t="str">
        <f>INDEX(pl_status,458)&amp;""</f>
        <v/>
      </c>
      <c r="F467" s="96" t="str">
        <f>IF(E467="En retard","●","")</f>
        <v/>
      </c>
      <c r="G467" s="97">
        <f>IF(ISNUMBER($S467),MAX(0,INT((G$6+6-$S467)/$T467)-MAX(0,-INT(-(G$6-$S467)/$T467))+1),0)</f>
        <v>0.0</v>
      </c>
      <c r="H467" s="97">
        <f>IF(ISNUMBER($S467),MAX(0,INT((H$6+6-$S467)/$T467)-MAX(0,-INT(-(H$6-$S467)/$T467))+1),0)</f>
        <v>0.0</v>
      </c>
      <c r="I467" s="97">
        <f>IF(ISNUMBER($S467),MAX(0,INT((I$6+6-$S467)/$T467)-MAX(0,-INT(-(I$6-$S467)/$T467))+1),0)</f>
        <v>0.0</v>
      </c>
      <c r="J467" s="97">
        <f>IF(ISNUMBER($S467),MAX(0,INT((J$6+6-$S467)/$T467)-MAX(0,-INT(-(J$6-$S467)/$T467))+1),0)</f>
        <v>0.0</v>
      </c>
      <c r="K467" s="97">
        <f>IF(ISNUMBER($S467),MAX(0,INT((K$6+6-$S467)/$T467)-MAX(0,-INT(-(K$6-$S467)/$T467))+1),0)</f>
        <v>0.0</v>
      </c>
      <c r="L467" s="97">
        <f>IF(ISNUMBER($S467),MAX(0,INT((L$6+6-$S467)/$T467)-MAX(0,-INT(-(L$6-$S467)/$T467))+1),0)</f>
        <v>0.0</v>
      </c>
      <c r="M467" s="97">
        <f>IF(ISNUMBER($S467),MAX(0,INT((M$6+6-$S467)/$T467)-MAX(0,-INT(-(M$6-$S467)/$T467))+1),0)</f>
        <v>0.0</v>
      </c>
      <c r="N467" s="97">
        <f>IF(ISNUMBER($S467),MAX(0,INT((N$6+6-$S467)/$T467)-MAX(0,-INT(-(N$6-$S467)/$T467))+1),0)</f>
        <v>0.0</v>
      </c>
      <c r="O467" s="97">
        <f>IF(ISNUMBER($S467),MAX(0,INT((O$6+6-$S467)/$T467)-MAX(0,-INT(-(O$6-$S467)/$T467))+1),0)</f>
        <v>0.0</v>
      </c>
      <c r="P467" s="97">
        <f>IF(ISNUMBER($S467),MAX(0,INT((P$6+6-$S467)/$T467)-MAX(0,-INT(-(P$6-$S467)/$T467))+1),0)</f>
        <v>0.0</v>
      </c>
      <c r="Q467" s="97">
        <f>IF(ISNUMBER($S467),MAX(0,INT((Q$6+6-$S467)/$T467)-MAX(0,-INT(-(Q$6-$S467)/$T467))+1),0)</f>
        <v>0.0</v>
      </c>
      <c r="R467" s="97">
        <f>IF(ISNUMBER($S467),MAX(0,INT((R$6+6-$S467)/$T467)-MAX(0,-INT(-(R$6-$S467)/$T467))+1),0)</f>
        <v>0.0</v>
      </c>
      <c r="S467" t="str">
        <f>IF(ISNUMBER(INDEX(pl_period,458)),MAX(INDEX(pl_due,458),p_today),"")</f>
        <v/>
      </c>
      <c r="T467" t="str">
        <f>IF(ISNUMBER(INDEX(pl_period,458)),INDEX(pl_period,458),"")</f>
        <v/>
      </c>
      <c r="U467">
        <f>N(INDEX(pl_dur,458))</f>
        <v>0.0</v>
      </c>
    </row>
    <row r="468">
      <c r="A468" s="93" t="str">
        <f>IF(INDEX(pl_status,459)="","",INDEX(pl_num,459)&amp;"")</f>
        <v/>
      </c>
      <c r="B468" s="93" t="str">
        <f>IF(INDEX(pl_status,459)="","",INDEX(pl_eq,459)&amp;"")</f>
        <v/>
      </c>
      <c r="C468" s="93" t="str">
        <f>IF(INDEX(pl_status,459)="","",INDEX(pl_task,459)&amp;"")</f>
        <v/>
      </c>
      <c r="D468" s="94" t="str">
        <f>IF(ISNUMBER(INDEX(pl_due,459)),INDEX(pl_due,459),"")</f>
        <v/>
      </c>
      <c r="E468" s="95" t="str">
        <f>INDEX(pl_status,459)&amp;""</f>
        <v/>
      </c>
      <c r="F468" s="96" t="str">
        <f>IF(E468="En retard","●","")</f>
        <v/>
      </c>
      <c r="G468" s="97">
        <f>IF(ISNUMBER($S468),MAX(0,INT((G$6+6-$S468)/$T468)-MAX(0,-INT(-(G$6-$S468)/$T468))+1),0)</f>
        <v>0.0</v>
      </c>
      <c r="H468" s="97">
        <f>IF(ISNUMBER($S468),MAX(0,INT((H$6+6-$S468)/$T468)-MAX(0,-INT(-(H$6-$S468)/$T468))+1),0)</f>
        <v>0.0</v>
      </c>
      <c r="I468" s="97">
        <f>IF(ISNUMBER($S468),MAX(0,INT((I$6+6-$S468)/$T468)-MAX(0,-INT(-(I$6-$S468)/$T468))+1),0)</f>
        <v>0.0</v>
      </c>
      <c r="J468" s="97">
        <f>IF(ISNUMBER($S468),MAX(0,INT((J$6+6-$S468)/$T468)-MAX(0,-INT(-(J$6-$S468)/$T468))+1),0)</f>
        <v>0.0</v>
      </c>
      <c r="K468" s="97">
        <f>IF(ISNUMBER($S468),MAX(0,INT((K$6+6-$S468)/$T468)-MAX(0,-INT(-(K$6-$S468)/$T468))+1),0)</f>
        <v>0.0</v>
      </c>
      <c r="L468" s="97">
        <f>IF(ISNUMBER($S468),MAX(0,INT((L$6+6-$S468)/$T468)-MAX(0,-INT(-(L$6-$S468)/$T468))+1),0)</f>
        <v>0.0</v>
      </c>
      <c r="M468" s="97">
        <f>IF(ISNUMBER($S468),MAX(0,INT((M$6+6-$S468)/$T468)-MAX(0,-INT(-(M$6-$S468)/$T468))+1),0)</f>
        <v>0.0</v>
      </c>
      <c r="N468" s="97">
        <f>IF(ISNUMBER($S468),MAX(0,INT((N$6+6-$S468)/$T468)-MAX(0,-INT(-(N$6-$S468)/$T468))+1),0)</f>
        <v>0.0</v>
      </c>
      <c r="O468" s="97">
        <f>IF(ISNUMBER($S468),MAX(0,INT((O$6+6-$S468)/$T468)-MAX(0,-INT(-(O$6-$S468)/$T468))+1),0)</f>
        <v>0.0</v>
      </c>
      <c r="P468" s="97">
        <f>IF(ISNUMBER($S468),MAX(0,INT((P$6+6-$S468)/$T468)-MAX(0,-INT(-(P$6-$S468)/$T468))+1),0)</f>
        <v>0.0</v>
      </c>
      <c r="Q468" s="97">
        <f>IF(ISNUMBER($S468),MAX(0,INT((Q$6+6-$S468)/$T468)-MAX(0,-INT(-(Q$6-$S468)/$T468))+1),0)</f>
        <v>0.0</v>
      </c>
      <c r="R468" s="97">
        <f>IF(ISNUMBER($S468),MAX(0,INT((R$6+6-$S468)/$T468)-MAX(0,-INT(-(R$6-$S468)/$T468))+1),0)</f>
        <v>0.0</v>
      </c>
      <c r="S468" t="str">
        <f>IF(ISNUMBER(INDEX(pl_period,459)),MAX(INDEX(pl_due,459),p_today),"")</f>
        <v/>
      </c>
      <c r="T468" t="str">
        <f>IF(ISNUMBER(INDEX(pl_period,459)),INDEX(pl_period,459),"")</f>
        <v/>
      </c>
      <c r="U468">
        <f>N(INDEX(pl_dur,459))</f>
        <v>0.0</v>
      </c>
    </row>
    <row r="469">
      <c r="A469" s="93" t="str">
        <f>IF(INDEX(pl_status,460)="","",INDEX(pl_num,460)&amp;"")</f>
        <v/>
      </c>
      <c r="B469" s="93" t="str">
        <f>IF(INDEX(pl_status,460)="","",INDEX(pl_eq,460)&amp;"")</f>
        <v/>
      </c>
      <c r="C469" s="93" t="str">
        <f>IF(INDEX(pl_status,460)="","",INDEX(pl_task,460)&amp;"")</f>
        <v/>
      </c>
      <c r="D469" s="94" t="str">
        <f>IF(ISNUMBER(INDEX(pl_due,460)),INDEX(pl_due,460),"")</f>
        <v/>
      </c>
      <c r="E469" s="95" t="str">
        <f>INDEX(pl_status,460)&amp;""</f>
        <v/>
      </c>
      <c r="F469" s="96" t="str">
        <f>IF(E469="En retard","●","")</f>
        <v/>
      </c>
      <c r="G469" s="97">
        <f>IF(ISNUMBER($S469),MAX(0,INT((G$6+6-$S469)/$T469)-MAX(0,-INT(-(G$6-$S469)/$T469))+1),0)</f>
        <v>0.0</v>
      </c>
      <c r="H469" s="97">
        <f>IF(ISNUMBER($S469),MAX(0,INT((H$6+6-$S469)/$T469)-MAX(0,-INT(-(H$6-$S469)/$T469))+1),0)</f>
        <v>0.0</v>
      </c>
      <c r="I469" s="97">
        <f>IF(ISNUMBER($S469),MAX(0,INT((I$6+6-$S469)/$T469)-MAX(0,-INT(-(I$6-$S469)/$T469))+1),0)</f>
        <v>0.0</v>
      </c>
      <c r="J469" s="97">
        <f>IF(ISNUMBER($S469),MAX(0,INT((J$6+6-$S469)/$T469)-MAX(0,-INT(-(J$6-$S469)/$T469))+1),0)</f>
        <v>0.0</v>
      </c>
      <c r="K469" s="97">
        <f>IF(ISNUMBER($S469),MAX(0,INT((K$6+6-$S469)/$T469)-MAX(0,-INT(-(K$6-$S469)/$T469))+1),0)</f>
        <v>0.0</v>
      </c>
      <c r="L469" s="97">
        <f>IF(ISNUMBER($S469),MAX(0,INT((L$6+6-$S469)/$T469)-MAX(0,-INT(-(L$6-$S469)/$T469))+1),0)</f>
        <v>0.0</v>
      </c>
      <c r="M469" s="97">
        <f>IF(ISNUMBER($S469),MAX(0,INT((M$6+6-$S469)/$T469)-MAX(0,-INT(-(M$6-$S469)/$T469))+1),0)</f>
        <v>0.0</v>
      </c>
      <c r="N469" s="97">
        <f>IF(ISNUMBER($S469),MAX(0,INT((N$6+6-$S469)/$T469)-MAX(0,-INT(-(N$6-$S469)/$T469))+1),0)</f>
        <v>0.0</v>
      </c>
      <c r="O469" s="97">
        <f>IF(ISNUMBER($S469),MAX(0,INT((O$6+6-$S469)/$T469)-MAX(0,-INT(-(O$6-$S469)/$T469))+1),0)</f>
        <v>0.0</v>
      </c>
      <c r="P469" s="97">
        <f>IF(ISNUMBER($S469),MAX(0,INT((P$6+6-$S469)/$T469)-MAX(0,-INT(-(P$6-$S469)/$T469))+1),0)</f>
        <v>0.0</v>
      </c>
      <c r="Q469" s="97">
        <f>IF(ISNUMBER($S469),MAX(0,INT((Q$6+6-$S469)/$T469)-MAX(0,-INT(-(Q$6-$S469)/$T469))+1),0)</f>
        <v>0.0</v>
      </c>
      <c r="R469" s="97">
        <f>IF(ISNUMBER($S469),MAX(0,INT((R$6+6-$S469)/$T469)-MAX(0,-INT(-(R$6-$S469)/$T469))+1),0)</f>
        <v>0.0</v>
      </c>
      <c r="S469" t="str">
        <f>IF(ISNUMBER(INDEX(pl_period,460)),MAX(INDEX(pl_due,460),p_today),"")</f>
        <v/>
      </c>
      <c r="T469" t="str">
        <f>IF(ISNUMBER(INDEX(pl_period,460)),INDEX(pl_period,460),"")</f>
        <v/>
      </c>
      <c r="U469">
        <f>N(INDEX(pl_dur,460))</f>
        <v>0.0</v>
      </c>
    </row>
    <row r="470">
      <c r="A470" s="93" t="str">
        <f>IF(INDEX(pl_status,461)="","",INDEX(pl_num,461)&amp;"")</f>
        <v/>
      </c>
      <c r="B470" s="93" t="str">
        <f>IF(INDEX(pl_status,461)="","",INDEX(pl_eq,461)&amp;"")</f>
        <v/>
      </c>
      <c r="C470" s="93" t="str">
        <f>IF(INDEX(pl_status,461)="","",INDEX(pl_task,461)&amp;"")</f>
        <v/>
      </c>
      <c r="D470" s="94" t="str">
        <f>IF(ISNUMBER(INDEX(pl_due,461)),INDEX(pl_due,461),"")</f>
        <v/>
      </c>
      <c r="E470" s="95" t="str">
        <f>INDEX(pl_status,461)&amp;""</f>
        <v/>
      </c>
      <c r="F470" s="96" t="str">
        <f>IF(E470="En retard","●","")</f>
        <v/>
      </c>
      <c r="G470" s="97">
        <f>IF(ISNUMBER($S470),MAX(0,INT((G$6+6-$S470)/$T470)-MAX(0,-INT(-(G$6-$S470)/$T470))+1),0)</f>
        <v>0.0</v>
      </c>
      <c r="H470" s="97">
        <f>IF(ISNUMBER($S470),MAX(0,INT((H$6+6-$S470)/$T470)-MAX(0,-INT(-(H$6-$S470)/$T470))+1),0)</f>
        <v>0.0</v>
      </c>
      <c r="I470" s="97">
        <f>IF(ISNUMBER($S470),MAX(0,INT((I$6+6-$S470)/$T470)-MAX(0,-INT(-(I$6-$S470)/$T470))+1),0)</f>
        <v>0.0</v>
      </c>
      <c r="J470" s="97">
        <f>IF(ISNUMBER($S470),MAX(0,INT((J$6+6-$S470)/$T470)-MAX(0,-INT(-(J$6-$S470)/$T470))+1),0)</f>
        <v>0.0</v>
      </c>
      <c r="K470" s="97">
        <f>IF(ISNUMBER($S470),MAX(0,INT((K$6+6-$S470)/$T470)-MAX(0,-INT(-(K$6-$S470)/$T470))+1),0)</f>
        <v>0.0</v>
      </c>
      <c r="L470" s="97">
        <f>IF(ISNUMBER($S470),MAX(0,INT((L$6+6-$S470)/$T470)-MAX(0,-INT(-(L$6-$S470)/$T470))+1),0)</f>
        <v>0.0</v>
      </c>
      <c r="M470" s="97">
        <f>IF(ISNUMBER($S470),MAX(0,INT((M$6+6-$S470)/$T470)-MAX(0,-INT(-(M$6-$S470)/$T470))+1),0)</f>
        <v>0.0</v>
      </c>
      <c r="N470" s="97">
        <f>IF(ISNUMBER($S470),MAX(0,INT((N$6+6-$S470)/$T470)-MAX(0,-INT(-(N$6-$S470)/$T470))+1),0)</f>
        <v>0.0</v>
      </c>
      <c r="O470" s="97">
        <f>IF(ISNUMBER($S470),MAX(0,INT((O$6+6-$S470)/$T470)-MAX(0,-INT(-(O$6-$S470)/$T470))+1),0)</f>
        <v>0.0</v>
      </c>
      <c r="P470" s="97">
        <f>IF(ISNUMBER($S470),MAX(0,INT((P$6+6-$S470)/$T470)-MAX(0,-INT(-(P$6-$S470)/$T470))+1),0)</f>
        <v>0.0</v>
      </c>
      <c r="Q470" s="97">
        <f>IF(ISNUMBER($S470),MAX(0,INT((Q$6+6-$S470)/$T470)-MAX(0,-INT(-(Q$6-$S470)/$T470))+1),0)</f>
        <v>0.0</v>
      </c>
      <c r="R470" s="97">
        <f>IF(ISNUMBER($S470),MAX(0,INT((R$6+6-$S470)/$T470)-MAX(0,-INT(-(R$6-$S470)/$T470))+1),0)</f>
        <v>0.0</v>
      </c>
      <c r="S470" t="str">
        <f>IF(ISNUMBER(INDEX(pl_period,461)),MAX(INDEX(pl_due,461),p_today),"")</f>
        <v/>
      </c>
      <c r="T470" t="str">
        <f>IF(ISNUMBER(INDEX(pl_period,461)),INDEX(pl_period,461),"")</f>
        <v/>
      </c>
      <c r="U470">
        <f>N(INDEX(pl_dur,461))</f>
        <v>0.0</v>
      </c>
    </row>
    <row r="471">
      <c r="A471" s="93" t="str">
        <f>IF(INDEX(pl_status,462)="","",INDEX(pl_num,462)&amp;"")</f>
        <v/>
      </c>
      <c r="B471" s="93" t="str">
        <f>IF(INDEX(pl_status,462)="","",INDEX(pl_eq,462)&amp;"")</f>
        <v/>
      </c>
      <c r="C471" s="93" t="str">
        <f>IF(INDEX(pl_status,462)="","",INDEX(pl_task,462)&amp;"")</f>
        <v/>
      </c>
      <c r="D471" s="94" t="str">
        <f>IF(ISNUMBER(INDEX(pl_due,462)),INDEX(pl_due,462),"")</f>
        <v/>
      </c>
      <c r="E471" s="95" t="str">
        <f>INDEX(pl_status,462)&amp;""</f>
        <v/>
      </c>
      <c r="F471" s="96" t="str">
        <f>IF(E471="En retard","●","")</f>
        <v/>
      </c>
      <c r="G471" s="97">
        <f>IF(ISNUMBER($S471),MAX(0,INT((G$6+6-$S471)/$T471)-MAX(0,-INT(-(G$6-$S471)/$T471))+1),0)</f>
        <v>0.0</v>
      </c>
      <c r="H471" s="97">
        <f>IF(ISNUMBER($S471),MAX(0,INT((H$6+6-$S471)/$T471)-MAX(0,-INT(-(H$6-$S471)/$T471))+1),0)</f>
        <v>0.0</v>
      </c>
      <c r="I471" s="97">
        <f>IF(ISNUMBER($S471),MAX(0,INT((I$6+6-$S471)/$T471)-MAX(0,-INT(-(I$6-$S471)/$T471))+1),0)</f>
        <v>0.0</v>
      </c>
      <c r="J471" s="97">
        <f>IF(ISNUMBER($S471),MAX(0,INT((J$6+6-$S471)/$T471)-MAX(0,-INT(-(J$6-$S471)/$T471))+1),0)</f>
        <v>0.0</v>
      </c>
      <c r="K471" s="97">
        <f>IF(ISNUMBER($S471),MAX(0,INT((K$6+6-$S471)/$T471)-MAX(0,-INT(-(K$6-$S471)/$T471))+1),0)</f>
        <v>0.0</v>
      </c>
      <c r="L471" s="97">
        <f>IF(ISNUMBER($S471),MAX(0,INT((L$6+6-$S471)/$T471)-MAX(0,-INT(-(L$6-$S471)/$T471))+1),0)</f>
        <v>0.0</v>
      </c>
      <c r="M471" s="97">
        <f>IF(ISNUMBER($S471),MAX(0,INT((M$6+6-$S471)/$T471)-MAX(0,-INT(-(M$6-$S471)/$T471))+1),0)</f>
        <v>0.0</v>
      </c>
      <c r="N471" s="97">
        <f>IF(ISNUMBER($S471),MAX(0,INT((N$6+6-$S471)/$T471)-MAX(0,-INT(-(N$6-$S471)/$T471))+1),0)</f>
        <v>0.0</v>
      </c>
      <c r="O471" s="97">
        <f>IF(ISNUMBER($S471),MAX(0,INT((O$6+6-$S471)/$T471)-MAX(0,-INT(-(O$6-$S471)/$T471))+1),0)</f>
        <v>0.0</v>
      </c>
      <c r="P471" s="97">
        <f>IF(ISNUMBER($S471),MAX(0,INT((P$6+6-$S471)/$T471)-MAX(0,-INT(-(P$6-$S471)/$T471))+1),0)</f>
        <v>0.0</v>
      </c>
      <c r="Q471" s="97">
        <f>IF(ISNUMBER($S471),MAX(0,INT((Q$6+6-$S471)/$T471)-MAX(0,-INT(-(Q$6-$S471)/$T471))+1),0)</f>
        <v>0.0</v>
      </c>
      <c r="R471" s="97">
        <f>IF(ISNUMBER($S471),MAX(0,INT((R$6+6-$S471)/$T471)-MAX(0,-INT(-(R$6-$S471)/$T471))+1),0)</f>
        <v>0.0</v>
      </c>
      <c r="S471" t="str">
        <f>IF(ISNUMBER(INDEX(pl_period,462)),MAX(INDEX(pl_due,462),p_today),"")</f>
        <v/>
      </c>
      <c r="T471" t="str">
        <f>IF(ISNUMBER(INDEX(pl_period,462)),INDEX(pl_period,462),"")</f>
        <v/>
      </c>
      <c r="U471">
        <f>N(INDEX(pl_dur,462))</f>
        <v>0.0</v>
      </c>
    </row>
    <row r="472">
      <c r="A472" s="93" t="str">
        <f>IF(INDEX(pl_status,463)="","",INDEX(pl_num,463)&amp;"")</f>
        <v/>
      </c>
      <c r="B472" s="93" t="str">
        <f>IF(INDEX(pl_status,463)="","",INDEX(pl_eq,463)&amp;"")</f>
        <v/>
      </c>
      <c r="C472" s="93" t="str">
        <f>IF(INDEX(pl_status,463)="","",INDEX(pl_task,463)&amp;"")</f>
        <v/>
      </c>
      <c r="D472" s="94" t="str">
        <f>IF(ISNUMBER(INDEX(pl_due,463)),INDEX(pl_due,463),"")</f>
        <v/>
      </c>
      <c r="E472" s="95" t="str">
        <f>INDEX(pl_status,463)&amp;""</f>
        <v/>
      </c>
      <c r="F472" s="96" t="str">
        <f>IF(E472="En retard","●","")</f>
        <v/>
      </c>
      <c r="G472" s="97">
        <f>IF(ISNUMBER($S472),MAX(0,INT((G$6+6-$S472)/$T472)-MAX(0,-INT(-(G$6-$S472)/$T472))+1),0)</f>
        <v>0.0</v>
      </c>
      <c r="H472" s="97">
        <f>IF(ISNUMBER($S472),MAX(0,INT((H$6+6-$S472)/$T472)-MAX(0,-INT(-(H$6-$S472)/$T472))+1),0)</f>
        <v>0.0</v>
      </c>
      <c r="I472" s="97">
        <f>IF(ISNUMBER($S472),MAX(0,INT((I$6+6-$S472)/$T472)-MAX(0,-INT(-(I$6-$S472)/$T472))+1),0)</f>
        <v>0.0</v>
      </c>
      <c r="J472" s="97">
        <f>IF(ISNUMBER($S472),MAX(0,INT((J$6+6-$S472)/$T472)-MAX(0,-INT(-(J$6-$S472)/$T472))+1),0)</f>
        <v>0.0</v>
      </c>
      <c r="K472" s="97">
        <f>IF(ISNUMBER($S472),MAX(0,INT((K$6+6-$S472)/$T472)-MAX(0,-INT(-(K$6-$S472)/$T472))+1),0)</f>
        <v>0.0</v>
      </c>
      <c r="L472" s="97">
        <f>IF(ISNUMBER($S472),MAX(0,INT((L$6+6-$S472)/$T472)-MAX(0,-INT(-(L$6-$S472)/$T472))+1),0)</f>
        <v>0.0</v>
      </c>
      <c r="M472" s="97">
        <f>IF(ISNUMBER($S472),MAX(0,INT((M$6+6-$S472)/$T472)-MAX(0,-INT(-(M$6-$S472)/$T472))+1),0)</f>
        <v>0.0</v>
      </c>
      <c r="N472" s="97">
        <f>IF(ISNUMBER($S472),MAX(0,INT((N$6+6-$S472)/$T472)-MAX(0,-INT(-(N$6-$S472)/$T472))+1),0)</f>
        <v>0.0</v>
      </c>
      <c r="O472" s="97">
        <f>IF(ISNUMBER($S472),MAX(0,INT((O$6+6-$S472)/$T472)-MAX(0,-INT(-(O$6-$S472)/$T472))+1),0)</f>
        <v>0.0</v>
      </c>
      <c r="P472" s="97">
        <f>IF(ISNUMBER($S472),MAX(0,INT((P$6+6-$S472)/$T472)-MAX(0,-INT(-(P$6-$S472)/$T472))+1),0)</f>
        <v>0.0</v>
      </c>
      <c r="Q472" s="97">
        <f>IF(ISNUMBER($S472),MAX(0,INT((Q$6+6-$S472)/$T472)-MAX(0,-INT(-(Q$6-$S472)/$T472))+1),0)</f>
        <v>0.0</v>
      </c>
      <c r="R472" s="97">
        <f>IF(ISNUMBER($S472),MAX(0,INT((R$6+6-$S472)/$T472)-MAX(0,-INT(-(R$6-$S472)/$T472))+1),0)</f>
        <v>0.0</v>
      </c>
      <c r="S472" t="str">
        <f>IF(ISNUMBER(INDEX(pl_period,463)),MAX(INDEX(pl_due,463),p_today),"")</f>
        <v/>
      </c>
      <c r="T472" t="str">
        <f>IF(ISNUMBER(INDEX(pl_period,463)),INDEX(pl_period,463),"")</f>
        <v/>
      </c>
      <c r="U472">
        <f>N(INDEX(pl_dur,463))</f>
        <v>0.0</v>
      </c>
    </row>
    <row r="473">
      <c r="A473" s="93" t="str">
        <f>IF(INDEX(pl_status,464)="","",INDEX(pl_num,464)&amp;"")</f>
        <v/>
      </c>
      <c r="B473" s="93" t="str">
        <f>IF(INDEX(pl_status,464)="","",INDEX(pl_eq,464)&amp;"")</f>
        <v/>
      </c>
      <c r="C473" s="93" t="str">
        <f>IF(INDEX(pl_status,464)="","",INDEX(pl_task,464)&amp;"")</f>
        <v/>
      </c>
      <c r="D473" s="94" t="str">
        <f>IF(ISNUMBER(INDEX(pl_due,464)),INDEX(pl_due,464),"")</f>
        <v/>
      </c>
      <c r="E473" s="95" t="str">
        <f>INDEX(pl_status,464)&amp;""</f>
        <v/>
      </c>
      <c r="F473" s="96" t="str">
        <f>IF(E473="En retard","●","")</f>
        <v/>
      </c>
      <c r="G473" s="97">
        <f>IF(ISNUMBER($S473),MAX(0,INT((G$6+6-$S473)/$T473)-MAX(0,-INT(-(G$6-$S473)/$T473))+1),0)</f>
        <v>0.0</v>
      </c>
      <c r="H473" s="97">
        <f>IF(ISNUMBER($S473),MAX(0,INT((H$6+6-$S473)/$T473)-MAX(0,-INT(-(H$6-$S473)/$T473))+1),0)</f>
        <v>0.0</v>
      </c>
      <c r="I473" s="97">
        <f>IF(ISNUMBER($S473),MAX(0,INT((I$6+6-$S473)/$T473)-MAX(0,-INT(-(I$6-$S473)/$T473))+1),0)</f>
        <v>0.0</v>
      </c>
      <c r="J473" s="97">
        <f>IF(ISNUMBER($S473),MAX(0,INT((J$6+6-$S473)/$T473)-MAX(0,-INT(-(J$6-$S473)/$T473))+1),0)</f>
        <v>0.0</v>
      </c>
      <c r="K473" s="97">
        <f>IF(ISNUMBER($S473),MAX(0,INT((K$6+6-$S473)/$T473)-MAX(0,-INT(-(K$6-$S473)/$T473))+1),0)</f>
        <v>0.0</v>
      </c>
      <c r="L473" s="97">
        <f>IF(ISNUMBER($S473),MAX(0,INT((L$6+6-$S473)/$T473)-MAX(0,-INT(-(L$6-$S473)/$T473))+1),0)</f>
        <v>0.0</v>
      </c>
      <c r="M473" s="97">
        <f>IF(ISNUMBER($S473),MAX(0,INT((M$6+6-$S473)/$T473)-MAX(0,-INT(-(M$6-$S473)/$T473))+1),0)</f>
        <v>0.0</v>
      </c>
      <c r="N473" s="97">
        <f>IF(ISNUMBER($S473),MAX(0,INT((N$6+6-$S473)/$T473)-MAX(0,-INT(-(N$6-$S473)/$T473))+1),0)</f>
        <v>0.0</v>
      </c>
      <c r="O473" s="97">
        <f>IF(ISNUMBER($S473),MAX(0,INT((O$6+6-$S473)/$T473)-MAX(0,-INT(-(O$6-$S473)/$T473))+1),0)</f>
        <v>0.0</v>
      </c>
      <c r="P473" s="97">
        <f>IF(ISNUMBER($S473),MAX(0,INT((P$6+6-$S473)/$T473)-MAX(0,-INT(-(P$6-$S473)/$T473))+1),0)</f>
        <v>0.0</v>
      </c>
      <c r="Q473" s="97">
        <f>IF(ISNUMBER($S473),MAX(0,INT((Q$6+6-$S473)/$T473)-MAX(0,-INT(-(Q$6-$S473)/$T473))+1),0)</f>
        <v>0.0</v>
      </c>
      <c r="R473" s="97">
        <f>IF(ISNUMBER($S473),MAX(0,INT((R$6+6-$S473)/$T473)-MAX(0,-INT(-(R$6-$S473)/$T473))+1),0)</f>
        <v>0.0</v>
      </c>
      <c r="S473" t="str">
        <f>IF(ISNUMBER(INDEX(pl_period,464)),MAX(INDEX(pl_due,464),p_today),"")</f>
        <v/>
      </c>
      <c r="T473" t="str">
        <f>IF(ISNUMBER(INDEX(pl_period,464)),INDEX(pl_period,464),"")</f>
        <v/>
      </c>
      <c r="U473">
        <f>N(INDEX(pl_dur,464))</f>
        <v>0.0</v>
      </c>
    </row>
    <row r="474">
      <c r="A474" s="93" t="str">
        <f>IF(INDEX(pl_status,465)="","",INDEX(pl_num,465)&amp;"")</f>
        <v/>
      </c>
      <c r="B474" s="93" t="str">
        <f>IF(INDEX(pl_status,465)="","",INDEX(pl_eq,465)&amp;"")</f>
        <v/>
      </c>
      <c r="C474" s="93" t="str">
        <f>IF(INDEX(pl_status,465)="","",INDEX(pl_task,465)&amp;"")</f>
        <v/>
      </c>
      <c r="D474" s="94" t="str">
        <f>IF(ISNUMBER(INDEX(pl_due,465)),INDEX(pl_due,465),"")</f>
        <v/>
      </c>
      <c r="E474" s="95" t="str">
        <f>INDEX(pl_status,465)&amp;""</f>
        <v/>
      </c>
      <c r="F474" s="96" t="str">
        <f>IF(E474="En retard","●","")</f>
        <v/>
      </c>
      <c r="G474" s="97">
        <f>IF(ISNUMBER($S474),MAX(0,INT((G$6+6-$S474)/$T474)-MAX(0,-INT(-(G$6-$S474)/$T474))+1),0)</f>
        <v>0.0</v>
      </c>
      <c r="H474" s="97">
        <f>IF(ISNUMBER($S474),MAX(0,INT((H$6+6-$S474)/$T474)-MAX(0,-INT(-(H$6-$S474)/$T474))+1),0)</f>
        <v>0.0</v>
      </c>
      <c r="I474" s="97">
        <f>IF(ISNUMBER($S474),MAX(0,INT((I$6+6-$S474)/$T474)-MAX(0,-INT(-(I$6-$S474)/$T474))+1),0)</f>
        <v>0.0</v>
      </c>
      <c r="J474" s="97">
        <f>IF(ISNUMBER($S474),MAX(0,INT((J$6+6-$S474)/$T474)-MAX(0,-INT(-(J$6-$S474)/$T474))+1),0)</f>
        <v>0.0</v>
      </c>
      <c r="K474" s="97">
        <f>IF(ISNUMBER($S474),MAX(0,INT((K$6+6-$S474)/$T474)-MAX(0,-INT(-(K$6-$S474)/$T474))+1),0)</f>
        <v>0.0</v>
      </c>
      <c r="L474" s="97">
        <f>IF(ISNUMBER($S474),MAX(0,INT((L$6+6-$S474)/$T474)-MAX(0,-INT(-(L$6-$S474)/$T474))+1),0)</f>
        <v>0.0</v>
      </c>
      <c r="M474" s="97">
        <f>IF(ISNUMBER($S474),MAX(0,INT((M$6+6-$S474)/$T474)-MAX(0,-INT(-(M$6-$S474)/$T474))+1),0)</f>
        <v>0.0</v>
      </c>
      <c r="N474" s="97">
        <f>IF(ISNUMBER($S474),MAX(0,INT((N$6+6-$S474)/$T474)-MAX(0,-INT(-(N$6-$S474)/$T474))+1),0)</f>
        <v>0.0</v>
      </c>
      <c r="O474" s="97">
        <f>IF(ISNUMBER($S474),MAX(0,INT((O$6+6-$S474)/$T474)-MAX(0,-INT(-(O$6-$S474)/$T474))+1),0)</f>
        <v>0.0</v>
      </c>
      <c r="P474" s="97">
        <f>IF(ISNUMBER($S474),MAX(0,INT((P$6+6-$S474)/$T474)-MAX(0,-INT(-(P$6-$S474)/$T474))+1),0)</f>
        <v>0.0</v>
      </c>
      <c r="Q474" s="97">
        <f>IF(ISNUMBER($S474),MAX(0,INT((Q$6+6-$S474)/$T474)-MAX(0,-INT(-(Q$6-$S474)/$T474))+1),0)</f>
        <v>0.0</v>
      </c>
      <c r="R474" s="97">
        <f>IF(ISNUMBER($S474),MAX(0,INT((R$6+6-$S474)/$T474)-MAX(0,-INT(-(R$6-$S474)/$T474))+1),0)</f>
        <v>0.0</v>
      </c>
      <c r="S474" t="str">
        <f>IF(ISNUMBER(INDEX(pl_period,465)),MAX(INDEX(pl_due,465),p_today),"")</f>
        <v/>
      </c>
      <c r="T474" t="str">
        <f>IF(ISNUMBER(INDEX(pl_period,465)),INDEX(pl_period,465),"")</f>
        <v/>
      </c>
      <c r="U474">
        <f>N(INDEX(pl_dur,465))</f>
        <v>0.0</v>
      </c>
    </row>
    <row r="475">
      <c r="A475" s="93" t="str">
        <f>IF(INDEX(pl_status,466)="","",INDEX(pl_num,466)&amp;"")</f>
        <v/>
      </c>
      <c r="B475" s="93" t="str">
        <f>IF(INDEX(pl_status,466)="","",INDEX(pl_eq,466)&amp;"")</f>
        <v/>
      </c>
      <c r="C475" s="93" t="str">
        <f>IF(INDEX(pl_status,466)="","",INDEX(pl_task,466)&amp;"")</f>
        <v/>
      </c>
      <c r="D475" s="94" t="str">
        <f>IF(ISNUMBER(INDEX(pl_due,466)),INDEX(pl_due,466),"")</f>
        <v/>
      </c>
      <c r="E475" s="95" t="str">
        <f>INDEX(pl_status,466)&amp;""</f>
        <v/>
      </c>
      <c r="F475" s="96" t="str">
        <f>IF(E475="En retard","●","")</f>
        <v/>
      </c>
      <c r="G475" s="97">
        <f>IF(ISNUMBER($S475),MAX(0,INT((G$6+6-$S475)/$T475)-MAX(0,-INT(-(G$6-$S475)/$T475))+1),0)</f>
        <v>0.0</v>
      </c>
      <c r="H475" s="97">
        <f>IF(ISNUMBER($S475),MAX(0,INT((H$6+6-$S475)/$T475)-MAX(0,-INT(-(H$6-$S475)/$T475))+1),0)</f>
        <v>0.0</v>
      </c>
      <c r="I475" s="97">
        <f>IF(ISNUMBER($S475),MAX(0,INT((I$6+6-$S475)/$T475)-MAX(0,-INT(-(I$6-$S475)/$T475))+1),0)</f>
        <v>0.0</v>
      </c>
      <c r="J475" s="97">
        <f>IF(ISNUMBER($S475),MAX(0,INT((J$6+6-$S475)/$T475)-MAX(0,-INT(-(J$6-$S475)/$T475))+1),0)</f>
        <v>0.0</v>
      </c>
      <c r="K475" s="97">
        <f>IF(ISNUMBER($S475),MAX(0,INT((K$6+6-$S475)/$T475)-MAX(0,-INT(-(K$6-$S475)/$T475))+1),0)</f>
        <v>0.0</v>
      </c>
      <c r="L475" s="97">
        <f>IF(ISNUMBER($S475),MAX(0,INT((L$6+6-$S475)/$T475)-MAX(0,-INT(-(L$6-$S475)/$T475))+1),0)</f>
        <v>0.0</v>
      </c>
      <c r="M475" s="97">
        <f>IF(ISNUMBER($S475),MAX(0,INT((M$6+6-$S475)/$T475)-MAX(0,-INT(-(M$6-$S475)/$T475))+1),0)</f>
        <v>0.0</v>
      </c>
      <c r="N475" s="97">
        <f>IF(ISNUMBER($S475),MAX(0,INT((N$6+6-$S475)/$T475)-MAX(0,-INT(-(N$6-$S475)/$T475))+1),0)</f>
        <v>0.0</v>
      </c>
      <c r="O475" s="97">
        <f>IF(ISNUMBER($S475),MAX(0,INT((O$6+6-$S475)/$T475)-MAX(0,-INT(-(O$6-$S475)/$T475))+1),0)</f>
        <v>0.0</v>
      </c>
      <c r="P475" s="97">
        <f>IF(ISNUMBER($S475),MAX(0,INT((P$6+6-$S475)/$T475)-MAX(0,-INT(-(P$6-$S475)/$T475))+1),0)</f>
        <v>0.0</v>
      </c>
      <c r="Q475" s="97">
        <f>IF(ISNUMBER($S475),MAX(0,INT((Q$6+6-$S475)/$T475)-MAX(0,-INT(-(Q$6-$S475)/$T475))+1),0)</f>
        <v>0.0</v>
      </c>
      <c r="R475" s="97">
        <f>IF(ISNUMBER($S475),MAX(0,INT((R$6+6-$S475)/$T475)-MAX(0,-INT(-(R$6-$S475)/$T475))+1),0)</f>
        <v>0.0</v>
      </c>
      <c r="S475" t="str">
        <f>IF(ISNUMBER(INDEX(pl_period,466)),MAX(INDEX(pl_due,466),p_today),"")</f>
        <v/>
      </c>
      <c r="T475" t="str">
        <f>IF(ISNUMBER(INDEX(pl_period,466)),INDEX(pl_period,466),"")</f>
        <v/>
      </c>
      <c r="U475">
        <f>N(INDEX(pl_dur,466))</f>
        <v>0.0</v>
      </c>
    </row>
    <row r="476">
      <c r="A476" s="93" t="str">
        <f>IF(INDEX(pl_status,467)="","",INDEX(pl_num,467)&amp;"")</f>
        <v/>
      </c>
      <c r="B476" s="93" t="str">
        <f>IF(INDEX(pl_status,467)="","",INDEX(pl_eq,467)&amp;"")</f>
        <v/>
      </c>
      <c r="C476" s="93" t="str">
        <f>IF(INDEX(pl_status,467)="","",INDEX(pl_task,467)&amp;"")</f>
        <v/>
      </c>
      <c r="D476" s="94" t="str">
        <f>IF(ISNUMBER(INDEX(pl_due,467)),INDEX(pl_due,467),"")</f>
        <v/>
      </c>
      <c r="E476" s="95" t="str">
        <f>INDEX(pl_status,467)&amp;""</f>
        <v/>
      </c>
      <c r="F476" s="96" t="str">
        <f>IF(E476="En retard","●","")</f>
        <v/>
      </c>
      <c r="G476" s="97">
        <f>IF(ISNUMBER($S476),MAX(0,INT((G$6+6-$S476)/$T476)-MAX(0,-INT(-(G$6-$S476)/$T476))+1),0)</f>
        <v>0.0</v>
      </c>
      <c r="H476" s="97">
        <f>IF(ISNUMBER($S476),MAX(0,INT((H$6+6-$S476)/$T476)-MAX(0,-INT(-(H$6-$S476)/$T476))+1),0)</f>
        <v>0.0</v>
      </c>
      <c r="I476" s="97">
        <f>IF(ISNUMBER($S476),MAX(0,INT((I$6+6-$S476)/$T476)-MAX(0,-INT(-(I$6-$S476)/$T476))+1),0)</f>
        <v>0.0</v>
      </c>
      <c r="J476" s="97">
        <f>IF(ISNUMBER($S476),MAX(0,INT((J$6+6-$S476)/$T476)-MAX(0,-INT(-(J$6-$S476)/$T476))+1),0)</f>
        <v>0.0</v>
      </c>
      <c r="K476" s="97">
        <f>IF(ISNUMBER($S476),MAX(0,INT((K$6+6-$S476)/$T476)-MAX(0,-INT(-(K$6-$S476)/$T476))+1),0)</f>
        <v>0.0</v>
      </c>
      <c r="L476" s="97">
        <f>IF(ISNUMBER($S476),MAX(0,INT((L$6+6-$S476)/$T476)-MAX(0,-INT(-(L$6-$S476)/$T476))+1),0)</f>
        <v>0.0</v>
      </c>
      <c r="M476" s="97">
        <f>IF(ISNUMBER($S476),MAX(0,INT((M$6+6-$S476)/$T476)-MAX(0,-INT(-(M$6-$S476)/$T476))+1),0)</f>
        <v>0.0</v>
      </c>
      <c r="N476" s="97">
        <f>IF(ISNUMBER($S476),MAX(0,INT((N$6+6-$S476)/$T476)-MAX(0,-INT(-(N$6-$S476)/$T476))+1),0)</f>
        <v>0.0</v>
      </c>
      <c r="O476" s="97">
        <f>IF(ISNUMBER($S476),MAX(0,INT((O$6+6-$S476)/$T476)-MAX(0,-INT(-(O$6-$S476)/$T476))+1),0)</f>
        <v>0.0</v>
      </c>
      <c r="P476" s="97">
        <f>IF(ISNUMBER($S476),MAX(0,INT((P$6+6-$S476)/$T476)-MAX(0,-INT(-(P$6-$S476)/$T476))+1),0)</f>
        <v>0.0</v>
      </c>
      <c r="Q476" s="97">
        <f>IF(ISNUMBER($S476),MAX(0,INT((Q$6+6-$S476)/$T476)-MAX(0,-INT(-(Q$6-$S476)/$T476))+1),0)</f>
        <v>0.0</v>
      </c>
      <c r="R476" s="97">
        <f>IF(ISNUMBER($S476),MAX(0,INT((R$6+6-$S476)/$T476)-MAX(0,-INT(-(R$6-$S476)/$T476))+1),0)</f>
        <v>0.0</v>
      </c>
      <c r="S476" t="str">
        <f>IF(ISNUMBER(INDEX(pl_period,467)),MAX(INDEX(pl_due,467),p_today),"")</f>
        <v/>
      </c>
      <c r="T476" t="str">
        <f>IF(ISNUMBER(INDEX(pl_period,467)),INDEX(pl_period,467),"")</f>
        <v/>
      </c>
      <c r="U476">
        <f>N(INDEX(pl_dur,467))</f>
        <v>0.0</v>
      </c>
    </row>
    <row r="477">
      <c r="A477" s="93" t="str">
        <f>IF(INDEX(pl_status,468)="","",INDEX(pl_num,468)&amp;"")</f>
        <v/>
      </c>
      <c r="B477" s="93" t="str">
        <f>IF(INDEX(pl_status,468)="","",INDEX(pl_eq,468)&amp;"")</f>
        <v/>
      </c>
      <c r="C477" s="93" t="str">
        <f>IF(INDEX(pl_status,468)="","",INDEX(pl_task,468)&amp;"")</f>
        <v/>
      </c>
      <c r="D477" s="94" t="str">
        <f>IF(ISNUMBER(INDEX(pl_due,468)),INDEX(pl_due,468),"")</f>
        <v/>
      </c>
      <c r="E477" s="95" t="str">
        <f>INDEX(pl_status,468)&amp;""</f>
        <v/>
      </c>
      <c r="F477" s="96" t="str">
        <f>IF(E477="En retard","●","")</f>
        <v/>
      </c>
      <c r="G477" s="97">
        <f>IF(ISNUMBER($S477),MAX(0,INT((G$6+6-$S477)/$T477)-MAX(0,-INT(-(G$6-$S477)/$T477))+1),0)</f>
        <v>0.0</v>
      </c>
      <c r="H477" s="97">
        <f>IF(ISNUMBER($S477),MAX(0,INT((H$6+6-$S477)/$T477)-MAX(0,-INT(-(H$6-$S477)/$T477))+1),0)</f>
        <v>0.0</v>
      </c>
      <c r="I477" s="97">
        <f>IF(ISNUMBER($S477),MAX(0,INT((I$6+6-$S477)/$T477)-MAX(0,-INT(-(I$6-$S477)/$T477))+1),0)</f>
        <v>0.0</v>
      </c>
      <c r="J477" s="97">
        <f>IF(ISNUMBER($S477),MAX(0,INT((J$6+6-$S477)/$T477)-MAX(0,-INT(-(J$6-$S477)/$T477))+1),0)</f>
        <v>0.0</v>
      </c>
      <c r="K477" s="97">
        <f>IF(ISNUMBER($S477),MAX(0,INT((K$6+6-$S477)/$T477)-MAX(0,-INT(-(K$6-$S477)/$T477))+1),0)</f>
        <v>0.0</v>
      </c>
      <c r="L477" s="97">
        <f>IF(ISNUMBER($S477),MAX(0,INT((L$6+6-$S477)/$T477)-MAX(0,-INT(-(L$6-$S477)/$T477))+1),0)</f>
        <v>0.0</v>
      </c>
      <c r="M477" s="97">
        <f>IF(ISNUMBER($S477),MAX(0,INT((M$6+6-$S477)/$T477)-MAX(0,-INT(-(M$6-$S477)/$T477))+1),0)</f>
        <v>0.0</v>
      </c>
      <c r="N477" s="97">
        <f>IF(ISNUMBER($S477),MAX(0,INT((N$6+6-$S477)/$T477)-MAX(0,-INT(-(N$6-$S477)/$T477))+1),0)</f>
        <v>0.0</v>
      </c>
      <c r="O477" s="97">
        <f>IF(ISNUMBER($S477),MAX(0,INT((O$6+6-$S477)/$T477)-MAX(0,-INT(-(O$6-$S477)/$T477))+1),0)</f>
        <v>0.0</v>
      </c>
      <c r="P477" s="97">
        <f>IF(ISNUMBER($S477),MAX(0,INT((P$6+6-$S477)/$T477)-MAX(0,-INT(-(P$6-$S477)/$T477))+1),0)</f>
        <v>0.0</v>
      </c>
      <c r="Q477" s="97">
        <f>IF(ISNUMBER($S477),MAX(0,INT((Q$6+6-$S477)/$T477)-MAX(0,-INT(-(Q$6-$S477)/$T477))+1),0)</f>
        <v>0.0</v>
      </c>
      <c r="R477" s="97">
        <f>IF(ISNUMBER($S477),MAX(0,INT((R$6+6-$S477)/$T477)-MAX(0,-INT(-(R$6-$S477)/$T477))+1),0)</f>
        <v>0.0</v>
      </c>
      <c r="S477" t="str">
        <f>IF(ISNUMBER(INDEX(pl_period,468)),MAX(INDEX(pl_due,468),p_today),"")</f>
        <v/>
      </c>
      <c r="T477" t="str">
        <f>IF(ISNUMBER(INDEX(pl_period,468)),INDEX(pl_period,468),"")</f>
        <v/>
      </c>
      <c r="U477">
        <f>N(INDEX(pl_dur,468))</f>
        <v>0.0</v>
      </c>
    </row>
    <row r="478">
      <c r="A478" s="93" t="str">
        <f>IF(INDEX(pl_status,469)="","",INDEX(pl_num,469)&amp;"")</f>
        <v/>
      </c>
      <c r="B478" s="93" t="str">
        <f>IF(INDEX(pl_status,469)="","",INDEX(pl_eq,469)&amp;"")</f>
        <v/>
      </c>
      <c r="C478" s="93" t="str">
        <f>IF(INDEX(pl_status,469)="","",INDEX(pl_task,469)&amp;"")</f>
        <v/>
      </c>
      <c r="D478" s="94" t="str">
        <f>IF(ISNUMBER(INDEX(pl_due,469)),INDEX(pl_due,469),"")</f>
        <v/>
      </c>
      <c r="E478" s="95" t="str">
        <f>INDEX(pl_status,469)&amp;""</f>
        <v/>
      </c>
      <c r="F478" s="96" t="str">
        <f>IF(E478="En retard","●","")</f>
        <v/>
      </c>
      <c r="G478" s="97">
        <f>IF(ISNUMBER($S478),MAX(0,INT((G$6+6-$S478)/$T478)-MAX(0,-INT(-(G$6-$S478)/$T478))+1),0)</f>
        <v>0.0</v>
      </c>
      <c r="H478" s="97">
        <f>IF(ISNUMBER($S478),MAX(0,INT((H$6+6-$S478)/$T478)-MAX(0,-INT(-(H$6-$S478)/$T478))+1),0)</f>
        <v>0.0</v>
      </c>
      <c r="I478" s="97">
        <f>IF(ISNUMBER($S478),MAX(0,INT((I$6+6-$S478)/$T478)-MAX(0,-INT(-(I$6-$S478)/$T478))+1),0)</f>
        <v>0.0</v>
      </c>
      <c r="J478" s="97">
        <f>IF(ISNUMBER($S478),MAX(0,INT((J$6+6-$S478)/$T478)-MAX(0,-INT(-(J$6-$S478)/$T478))+1),0)</f>
        <v>0.0</v>
      </c>
      <c r="K478" s="97">
        <f>IF(ISNUMBER($S478),MAX(0,INT((K$6+6-$S478)/$T478)-MAX(0,-INT(-(K$6-$S478)/$T478))+1),0)</f>
        <v>0.0</v>
      </c>
      <c r="L478" s="97">
        <f>IF(ISNUMBER($S478),MAX(0,INT((L$6+6-$S478)/$T478)-MAX(0,-INT(-(L$6-$S478)/$T478))+1),0)</f>
        <v>0.0</v>
      </c>
      <c r="M478" s="97">
        <f>IF(ISNUMBER($S478),MAX(0,INT((M$6+6-$S478)/$T478)-MAX(0,-INT(-(M$6-$S478)/$T478))+1),0)</f>
        <v>0.0</v>
      </c>
      <c r="N478" s="97">
        <f>IF(ISNUMBER($S478),MAX(0,INT((N$6+6-$S478)/$T478)-MAX(0,-INT(-(N$6-$S478)/$T478))+1),0)</f>
        <v>0.0</v>
      </c>
      <c r="O478" s="97">
        <f>IF(ISNUMBER($S478),MAX(0,INT((O$6+6-$S478)/$T478)-MAX(0,-INT(-(O$6-$S478)/$T478))+1),0)</f>
        <v>0.0</v>
      </c>
      <c r="P478" s="97">
        <f>IF(ISNUMBER($S478),MAX(0,INT((P$6+6-$S478)/$T478)-MAX(0,-INT(-(P$6-$S478)/$T478))+1),0)</f>
        <v>0.0</v>
      </c>
      <c r="Q478" s="97">
        <f>IF(ISNUMBER($S478),MAX(0,INT((Q$6+6-$S478)/$T478)-MAX(0,-INT(-(Q$6-$S478)/$T478))+1),0)</f>
        <v>0.0</v>
      </c>
      <c r="R478" s="97">
        <f>IF(ISNUMBER($S478),MAX(0,INT((R$6+6-$S478)/$T478)-MAX(0,-INT(-(R$6-$S478)/$T478))+1),0)</f>
        <v>0.0</v>
      </c>
      <c r="S478" t="str">
        <f>IF(ISNUMBER(INDEX(pl_period,469)),MAX(INDEX(pl_due,469),p_today),"")</f>
        <v/>
      </c>
      <c r="T478" t="str">
        <f>IF(ISNUMBER(INDEX(pl_period,469)),INDEX(pl_period,469),"")</f>
        <v/>
      </c>
      <c r="U478">
        <f>N(INDEX(pl_dur,469))</f>
        <v>0.0</v>
      </c>
    </row>
    <row r="479">
      <c r="A479" s="93" t="str">
        <f>IF(INDEX(pl_status,470)="","",INDEX(pl_num,470)&amp;"")</f>
        <v/>
      </c>
      <c r="B479" s="93" t="str">
        <f>IF(INDEX(pl_status,470)="","",INDEX(pl_eq,470)&amp;"")</f>
        <v/>
      </c>
      <c r="C479" s="93" t="str">
        <f>IF(INDEX(pl_status,470)="","",INDEX(pl_task,470)&amp;"")</f>
        <v/>
      </c>
      <c r="D479" s="94" t="str">
        <f>IF(ISNUMBER(INDEX(pl_due,470)),INDEX(pl_due,470),"")</f>
        <v/>
      </c>
      <c r="E479" s="95" t="str">
        <f>INDEX(pl_status,470)&amp;""</f>
        <v/>
      </c>
      <c r="F479" s="96" t="str">
        <f>IF(E479="En retard","●","")</f>
        <v/>
      </c>
      <c r="G479" s="97">
        <f>IF(ISNUMBER($S479),MAX(0,INT((G$6+6-$S479)/$T479)-MAX(0,-INT(-(G$6-$S479)/$T479))+1),0)</f>
        <v>0.0</v>
      </c>
      <c r="H479" s="97">
        <f>IF(ISNUMBER($S479),MAX(0,INT((H$6+6-$S479)/$T479)-MAX(0,-INT(-(H$6-$S479)/$T479))+1),0)</f>
        <v>0.0</v>
      </c>
      <c r="I479" s="97">
        <f>IF(ISNUMBER($S479),MAX(0,INT((I$6+6-$S479)/$T479)-MAX(0,-INT(-(I$6-$S479)/$T479))+1),0)</f>
        <v>0.0</v>
      </c>
      <c r="J479" s="97">
        <f>IF(ISNUMBER($S479),MAX(0,INT((J$6+6-$S479)/$T479)-MAX(0,-INT(-(J$6-$S479)/$T479))+1),0)</f>
        <v>0.0</v>
      </c>
      <c r="K479" s="97">
        <f>IF(ISNUMBER($S479),MAX(0,INT((K$6+6-$S479)/$T479)-MAX(0,-INT(-(K$6-$S479)/$T479))+1),0)</f>
        <v>0.0</v>
      </c>
      <c r="L479" s="97">
        <f>IF(ISNUMBER($S479),MAX(0,INT((L$6+6-$S479)/$T479)-MAX(0,-INT(-(L$6-$S479)/$T479))+1),0)</f>
        <v>0.0</v>
      </c>
      <c r="M479" s="97">
        <f>IF(ISNUMBER($S479),MAX(0,INT((M$6+6-$S479)/$T479)-MAX(0,-INT(-(M$6-$S479)/$T479))+1),0)</f>
        <v>0.0</v>
      </c>
      <c r="N479" s="97">
        <f>IF(ISNUMBER($S479),MAX(0,INT((N$6+6-$S479)/$T479)-MAX(0,-INT(-(N$6-$S479)/$T479))+1),0)</f>
        <v>0.0</v>
      </c>
      <c r="O479" s="97">
        <f>IF(ISNUMBER($S479),MAX(0,INT((O$6+6-$S479)/$T479)-MAX(0,-INT(-(O$6-$S479)/$T479))+1),0)</f>
        <v>0.0</v>
      </c>
      <c r="P479" s="97">
        <f>IF(ISNUMBER($S479),MAX(0,INT((P$6+6-$S479)/$T479)-MAX(0,-INT(-(P$6-$S479)/$T479))+1),0)</f>
        <v>0.0</v>
      </c>
      <c r="Q479" s="97">
        <f>IF(ISNUMBER($S479),MAX(0,INT((Q$6+6-$S479)/$T479)-MAX(0,-INT(-(Q$6-$S479)/$T479))+1),0)</f>
        <v>0.0</v>
      </c>
      <c r="R479" s="97">
        <f>IF(ISNUMBER($S479),MAX(0,INT((R$6+6-$S479)/$T479)-MAX(0,-INT(-(R$6-$S479)/$T479))+1),0)</f>
        <v>0.0</v>
      </c>
      <c r="S479" t="str">
        <f>IF(ISNUMBER(INDEX(pl_period,470)),MAX(INDEX(pl_due,470),p_today),"")</f>
        <v/>
      </c>
      <c r="T479" t="str">
        <f>IF(ISNUMBER(INDEX(pl_period,470)),INDEX(pl_period,470),"")</f>
        <v/>
      </c>
      <c r="U479">
        <f>N(INDEX(pl_dur,470))</f>
        <v>0.0</v>
      </c>
    </row>
    <row r="480">
      <c r="A480" s="93" t="str">
        <f>IF(INDEX(pl_status,471)="","",INDEX(pl_num,471)&amp;"")</f>
        <v/>
      </c>
      <c r="B480" s="93" t="str">
        <f>IF(INDEX(pl_status,471)="","",INDEX(pl_eq,471)&amp;"")</f>
        <v/>
      </c>
      <c r="C480" s="93" t="str">
        <f>IF(INDEX(pl_status,471)="","",INDEX(pl_task,471)&amp;"")</f>
        <v/>
      </c>
      <c r="D480" s="94" t="str">
        <f>IF(ISNUMBER(INDEX(pl_due,471)),INDEX(pl_due,471),"")</f>
        <v/>
      </c>
      <c r="E480" s="95" t="str">
        <f>INDEX(pl_status,471)&amp;""</f>
        <v/>
      </c>
      <c r="F480" s="96" t="str">
        <f>IF(E480="En retard","●","")</f>
        <v/>
      </c>
      <c r="G480" s="97">
        <f>IF(ISNUMBER($S480),MAX(0,INT((G$6+6-$S480)/$T480)-MAX(0,-INT(-(G$6-$S480)/$T480))+1),0)</f>
        <v>0.0</v>
      </c>
      <c r="H480" s="97">
        <f>IF(ISNUMBER($S480),MAX(0,INT((H$6+6-$S480)/$T480)-MAX(0,-INT(-(H$6-$S480)/$T480))+1),0)</f>
        <v>0.0</v>
      </c>
      <c r="I480" s="97">
        <f>IF(ISNUMBER($S480),MAX(0,INT((I$6+6-$S480)/$T480)-MAX(0,-INT(-(I$6-$S480)/$T480))+1),0)</f>
        <v>0.0</v>
      </c>
      <c r="J480" s="97">
        <f>IF(ISNUMBER($S480),MAX(0,INT((J$6+6-$S480)/$T480)-MAX(0,-INT(-(J$6-$S480)/$T480))+1),0)</f>
        <v>0.0</v>
      </c>
      <c r="K480" s="97">
        <f>IF(ISNUMBER($S480),MAX(0,INT((K$6+6-$S480)/$T480)-MAX(0,-INT(-(K$6-$S480)/$T480))+1),0)</f>
        <v>0.0</v>
      </c>
      <c r="L480" s="97">
        <f>IF(ISNUMBER($S480),MAX(0,INT((L$6+6-$S480)/$T480)-MAX(0,-INT(-(L$6-$S480)/$T480))+1),0)</f>
        <v>0.0</v>
      </c>
      <c r="M480" s="97">
        <f>IF(ISNUMBER($S480),MAX(0,INT((M$6+6-$S480)/$T480)-MAX(0,-INT(-(M$6-$S480)/$T480))+1),0)</f>
        <v>0.0</v>
      </c>
      <c r="N480" s="97">
        <f>IF(ISNUMBER($S480),MAX(0,INT((N$6+6-$S480)/$T480)-MAX(0,-INT(-(N$6-$S480)/$T480))+1),0)</f>
        <v>0.0</v>
      </c>
      <c r="O480" s="97">
        <f>IF(ISNUMBER($S480),MAX(0,INT((O$6+6-$S480)/$T480)-MAX(0,-INT(-(O$6-$S480)/$T480))+1),0)</f>
        <v>0.0</v>
      </c>
      <c r="P480" s="97">
        <f>IF(ISNUMBER($S480),MAX(0,INT((P$6+6-$S480)/$T480)-MAX(0,-INT(-(P$6-$S480)/$T480))+1),0)</f>
        <v>0.0</v>
      </c>
      <c r="Q480" s="97">
        <f>IF(ISNUMBER($S480),MAX(0,INT((Q$6+6-$S480)/$T480)-MAX(0,-INT(-(Q$6-$S480)/$T480))+1),0)</f>
        <v>0.0</v>
      </c>
      <c r="R480" s="97">
        <f>IF(ISNUMBER($S480),MAX(0,INT((R$6+6-$S480)/$T480)-MAX(0,-INT(-(R$6-$S480)/$T480))+1),0)</f>
        <v>0.0</v>
      </c>
      <c r="S480" t="str">
        <f>IF(ISNUMBER(INDEX(pl_period,471)),MAX(INDEX(pl_due,471),p_today),"")</f>
        <v/>
      </c>
      <c r="T480" t="str">
        <f>IF(ISNUMBER(INDEX(pl_period,471)),INDEX(pl_period,471),"")</f>
        <v/>
      </c>
      <c r="U480">
        <f>N(INDEX(pl_dur,471))</f>
        <v>0.0</v>
      </c>
    </row>
    <row r="481">
      <c r="A481" s="93" t="str">
        <f>IF(INDEX(pl_status,472)="","",INDEX(pl_num,472)&amp;"")</f>
        <v/>
      </c>
      <c r="B481" s="93" t="str">
        <f>IF(INDEX(pl_status,472)="","",INDEX(pl_eq,472)&amp;"")</f>
        <v/>
      </c>
      <c r="C481" s="93" t="str">
        <f>IF(INDEX(pl_status,472)="","",INDEX(pl_task,472)&amp;"")</f>
        <v/>
      </c>
      <c r="D481" s="94" t="str">
        <f>IF(ISNUMBER(INDEX(pl_due,472)),INDEX(pl_due,472),"")</f>
        <v/>
      </c>
      <c r="E481" s="95" t="str">
        <f>INDEX(pl_status,472)&amp;""</f>
        <v/>
      </c>
      <c r="F481" s="96" t="str">
        <f>IF(E481="En retard","●","")</f>
        <v/>
      </c>
      <c r="G481" s="97">
        <f>IF(ISNUMBER($S481),MAX(0,INT((G$6+6-$S481)/$T481)-MAX(0,-INT(-(G$6-$S481)/$T481))+1),0)</f>
        <v>0.0</v>
      </c>
      <c r="H481" s="97">
        <f>IF(ISNUMBER($S481),MAX(0,INT((H$6+6-$S481)/$T481)-MAX(0,-INT(-(H$6-$S481)/$T481))+1),0)</f>
        <v>0.0</v>
      </c>
      <c r="I481" s="97">
        <f>IF(ISNUMBER($S481),MAX(0,INT((I$6+6-$S481)/$T481)-MAX(0,-INT(-(I$6-$S481)/$T481))+1),0)</f>
        <v>0.0</v>
      </c>
      <c r="J481" s="97">
        <f>IF(ISNUMBER($S481),MAX(0,INT((J$6+6-$S481)/$T481)-MAX(0,-INT(-(J$6-$S481)/$T481))+1),0)</f>
        <v>0.0</v>
      </c>
      <c r="K481" s="97">
        <f>IF(ISNUMBER($S481),MAX(0,INT((K$6+6-$S481)/$T481)-MAX(0,-INT(-(K$6-$S481)/$T481))+1),0)</f>
        <v>0.0</v>
      </c>
      <c r="L481" s="97">
        <f>IF(ISNUMBER($S481),MAX(0,INT((L$6+6-$S481)/$T481)-MAX(0,-INT(-(L$6-$S481)/$T481))+1),0)</f>
        <v>0.0</v>
      </c>
      <c r="M481" s="97">
        <f>IF(ISNUMBER($S481),MAX(0,INT((M$6+6-$S481)/$T481)-MAX(0,-INT(-(M$6-$S481)/$T481))+1),0)</f>
        <v>0.0</v>
      </c>
      <c r="N481" s="97">
        <f>IF(ISNUMBER($S481),MAX(0,INT((N$6+6-$S481)/$T481)-MAX(0,-INT(-(N$6-$S481)/$T481))+1),0)</f>
        <v>0.0</v>
      </c>
      <c r="O481" s="97">
        <f>IF(ISNUMBER($S481),MAX(0,INT((O$6+6-$S481)/$T481)-MAX(0,-INT(-(O$6-$S481)/$T481))+1),0)</f>
        <v>0.0</v>
      </c>
      <c r="P481" s="97">
        <f>IF(ISNUMBER($S481),MAX(0,INT((P$6+6-$S481)/$T481)-MAX(0,-INT(-(P$6-$S481)/$T481))+1),0)</f>
        <v>0.0</v>
      </c>
      <c r="Q481" s="97">
        <f>IF(ISNUMBER($S481),MAX(0,INT((Q$6+6-$S481)/$T481)-MAX(0,-INT(-(Q$6-$S481)/$T481))+1),0)</f>
        <v>0.0</v>
      </c>
      <c r="R481" s="97">
        <f>IF(ISNUMBER($S481),MAX(0,INT((R$6+6-$S481)/$T481)-MAX(0,-INT(-(R$6-$S481)/$T481))+1),0)</f>
        <v>0.0</v>
      </c>
      <c r="S481" t="str">
        <f>IF(ISNUMBER(INDEX(pl_period,472)),MAX(INDEX(pl_due,472),p_today),"")</f>
        <v/>
      </c>
      <c r="T481" t="str">
        <f>IF(ISNUMBER(INDEX(pl_period,472)),INDEX(pl_period,472),"")</f>
        <v/>
      </c>
      <c r="U481">
        <f>N(INDEX(pl_dur,472))</f>
        <v>0.0</v>
      </c>
    </row>
    <row r="482">
      <c r="A482" s="93" t="str">
        <f>IF(INDEX(pl_status,473)="","",INDEX(pl_num,473)&amp;"")</f>
        <v/>
      </c>
      <c r="B482" s="93" t="str">
        <f>IF(INDEX(pl_status,473)="","",INDEX(pl_eq,473)&amp;"")</f>
        <v/>
      </c>
      <c r="C482" s="93" t="str">
        <f>IF(INDEX(pl_status,473)="","",INDEX(pl_task,473)&amp;"")</f>
        <v/>
      </c>
      <c r="D482" s="94" t="str">
        <f>IF(ISNUMBER(INDEX(pl_due,473)),INDEX(pl_due,473),"")</f>
        <v/>
      </c>
      <c r="E482" s="95" t="str">
        <f>INDEX(pl_status,473)&amp;""</f>
        <v/>
      </c>
      <c r="F482" s="96" t="str">
        <f>IF(E482="En retard","●","")</f>
        <v/>
      </c>
      <c r="G482" s="97">
        <f>IF(ISNUMBER($S482),MAX(0,INT((G$6+6-$S482)/$T482)-MAX(0,-INT(-(G$6-$S482)/$T482))+1),0)</f>
        <v>0.0</v>
      </c>
      <c r="H482" s="97">
        <f>IF(ISNUMBER($S482),MAX(0,INT((H$6+6-$S482)/$T482)-MAX(0,-INT(-(H$6-$S482)/$T482))+1),0)</f>
        <v>0.0</v>
      </c>
      <c r="I482" s="97">
        <f>IF(ISNUMBER($S482),MAX(0,INT((I$6+6-$S482)/$T482)-MAX(0,-INT(-(I$6-$S482)/$T482))+1),0)</f>
        <v>0.0</v>
      </c>
      <c r="J482" s="97">
        <f>IF(ISNUMBER($S482),MAX(0,INT((J$6+6-$S482)/$T482)-MAX(0,-INT(-(J$6-$S482)/$T482))+1),0)</f>
        <v>0.0</v>
      </c>
      <c r="K482" s="97">
        <f>IF(ISNUMBER($S482),MAX(0,INT((K$6+6-$S482)/$T482)-MAX(0,-INT(-(K$6-$S482)/$T482))+1),0)</f>
        <v>0.0</v>
      </c>
      <c r="L482" s="97">
        <f>IF(ISNUMBER($S482),MAX(0,INT((L$6+6-$S482)/$T482)-MAX(0,-INT(-(L$6-$S482)/$T482))+1),0)</f>
        <v>0.0</v>
      </c>
      <c r="M482" s="97">
        <f>IF(ISNUMBER($S482),MAX(0,INT((M$6+6-$S482)/$T482)-MAX(0,-INT(-(M$6-$S482)/$T482))+1),0)</f>
        <v>0.0</v>
      </c>
      <c r="N482" s="97">
        <f>IF(ISNUMBER($S482),MAX(0,INT((N$6+6-$S482)/$T482)-MAX(0,-INT(-(N$6-$S482)/$T482))+1),0)</f>
        <v>0.0</v>
      </c>
      <c r="O482" s="97">
        <f>IF(ISNUMBER($S482),MAX(0,INT((O$6+6-$S482)/$T482)-MAX(0,-INT(-(O$6-$S482)/$T482))+1),0)</f>
        <v>0.0</v>
      </c>
      <c r="P482" s="97">
        <f>IF(ISNUMBER($S482),MAX(0,INT((P$6+6-$S482)/$T482)-MAX(0,-INT(-(P$6-$S482)/$T482))+1),0)</f>
        <v>0.0</v>
      </c>
      <c r="Q482" s="97">
        <f>IF(ISNUMBER($S482),MAX(0,INT((Q$6+6-$S482)/$T482)-MAX(0,-INT(-(Q$6-$S482)/$T482))+1),0)</f>
        <v>0.0</v>
      </c>
      <c r="R482" s="97">
        <f>IF(ISNUMBER($S482),MAX(0,INT((R$6+6-$S482)/$T482)-MAX(0,-INT(-(R$6-$S482)/$T482))+1),0)</f>
        <v>0.0</v>
      </c>
      <c r="S482" t="str">
        <f>IF(ISNUMBER(INDEX(pl_period,473)),MAX(INDEX(pl_due,473),p_today),"")</f>
        <v/>
      </c>
      <c r="T482" t="str">
        <f>IF(ISNUMBER(INDEX(pl_period,473)),INDEX(pl_period,473),"")</f>
        <v/>
      </c>
      <c r="U482">
        <f>N(INDEX(pl_dur,473))</f>
        <v>0.0</v>
      </c>
    </row>
    <row r="483">
      <c r="A483" s="93" t="str">
        <f>IF(INDEX(pl_status,474)="","",INDEX(pl_num,474)&amp;"")</f>
        <v/>
      </c>
      <c r="B483" s="93" t="str">
        <f>IF(INDEX(pl_status,474)="","",INDEX(pl_eq,474)&amp;"")</f>
        <v/>
      </c>
      <c r="C483" s="93" t="str">
        <f>IF(INDEX(pl_status,474)="","",INDEX(pl_task,474)&amp;"")</f>
        <v/>
      </c>
      <c r="D483" s="94" t="str">
        <f>IF(ISNUMBER(INDEX(pl_due,474)),INDEX(pl_due,474),"")</f>
        <v/>
      </c>
      <c r="E483" s="95" t="str">
        <f>INDEX(pl_status,474)&amp;""</f>
        <v/>
      </c>
      <c r="F483" s="96" t="str">
        <f>IF(E483="En retard","●","")</f>
        <v/>
      </c>
      <c r="G483" s="97">
        <f>IF(ISNUMBER($S483),MAX(0,INT((G$6+6-$S483)/$T483)-MAX(0,-INT(-(G$6-$S483)/$T483))+1),0)</f>
        <v>0.0</v>
      </c>
      <c r="H483" s="97">
        <f>IF(ISNUMBER($S483),MAX(0,INT((H$6+6-$S483)/$T483)-MAX(0,-INT(-(H$6-$S483)/$T483))+1),0)</f>
        <v>0.0</v>
      </c>
      <c r="I483" s="97">
        <f>IF(ISNUMBER($S483),MAX(0,INT((I$6+6-$S483)/$T483)-MAX(0,-INT(-(I$6-$S483)/$T483))+1),0)</f>
        <v>0.0</v>
      </c>
      <c r="J483" s="97">
        <f>IF(ISNUMBER($S483),MAX(0,INT((J$6+6-$S483)/$T483)-MAX(0,-INT(-(J$6-$S483)/$T483))+1),0)</f>
        <v>0.0</v>
      </c>
      <c r="K483" s="97">
        <f>IF(ISNUMBER($S483),MAX(0,INT((K$6+6-$S483)/$T483)-MAX(0,-INT(-(K$6-$S483)/$T483))+1),0)</f>
        <v>0.0</v>
      </c>
      <c r="L483" s="97">
        <f>IF(ISNUMBER($S483),MAX(0,INT((L$6+6-$S483)/$T483)-MAX(0,-INT(-(L$6-$S483)/$T483))+1),0)</f>
        <v>0.0</v>
      </c>
      <c r="M483" s="97">
        <f>IF(ISNUMBER($S483),MAX(0,INT((M$6+6-$S483)/$T483)-MAX(0,-INT(-(M$6-$S483)/$T483))+1),0)</f>
        <v>0.0</v>
      </c>
      <c r="N483" s="97">
        <f>IF(ISNUMBER($S483),MAX(0,INT((N$6+6-$S483)/$T483)-MAX(0,-INT(-(N$6-$S483)/$T483))+1),0)</f>
        <v>0.0</v>
      </c>
      <c r="O483" s="97">
        <f>IF(ISNUMBER($S483),MAX(0,INT((O$6+6-$S483)/$T483)-MAX(0,-INT(-(O$6-$S483)/$T483))+1),0)</f>
        <v>0.0</v>
      </c>
      <c r="P483" s="97">
        <f>IF(ISNUMBER($S483),MAX(0,INT((P$6+6-$S483)/$T483)-MAX(0,-INT(-(P$6-$S483)/$T483))+1),0)</f>
        <v>0.0</v>
      </c>
      <c r="Q483" s="97">
        <f>IF(ISNUMBER($S483),MAX(0,INT((Q$6+6-$S483)/$T483)-MAX(0,-INT(-(Q$6-$S483)/$T483))+1),0)</f>
        <v>0.0</v>
      </c>
      <c r="R483" s="97">
        <f>IF(ISNUMBER($S483),MAX(0,INT((R$6+6-$S483)/$T483)-MAX(0,-INT(-(R$6-$S483)/$T483))+1),0)</f>
        <v>0.0</v>
      </c>
      <c r="S483" t="str">
        <f>IF(ISNUMBER(INDEX(pl_period,474)),MAX(INDEX(pl_due,474),p_today),"")</f>
        <v/>
      </c>
      <c r="T483" t="str">
        <f>IF(ISNUMBER(INDEX(pl_period,474)),INDEX(pl_period,474),"")</f>
        <v/>
      </c>
      <c r="U483">
        <f>N(INDEX(pl_dur,474))</f>
        <v>0.0</v>
      </c>
    </row>
    <row r="484">
      <c r="A484" s="93" t="str">
        <f>IF(INDEX(pl_status,475)="","",INDEX(pl_num,475)&amp;"")</f>
        <v/>
      </c>
      <c r="B484" s="93" t="str">
        <f>IF(INDEX(pl_status,475)="","",INDEX(pl_eq,475)&amp;"")</f>
        <v/>
      </c>
      <c r="C484" s="93" t="str">
        <f>IF(INDEX(pl_status,475)="","",INDEX(pl_task,475)&amp;"")</f>
        <v/>
      </c>
      <c r="D484" s="94" t="str">
        <f>IF(ISNUMBER(INDEX(pl_due,475)),INDEX(pl_due,475),"")</f>
        <v/>
      </c>
      <c r="E484" s="95" t="str">
        <f>INDEX(pl_status,475)&amp;""</f>
        <v/>
      </c>
      <c r="F484" s="96" t="str">
        <f>IF(E484="En retard","●","")</f>
        <v/>
      </c>
      <c r="G484" s="97">
        <f>IF(ISNUMBER($S484),MAX(0,INT((G$6+6-$S484)/$T484)-MAX(0,-INT(-(G$6-$S484)/$T484))+1),0)</f>
        <v>0.0</v>
      </c>
      <c r="H484" s="97">
        <f>IF(ISNUMBER($S484),MAX(0,INT((H$6+6-$S484)/$T484)-MAX(0,-INT(-(H$6-$S484)/$T484))+1),0)</f>
        <v>0.0</v>
      </c>
      <c r="I484" s="97">
        <f>IF(ISNUMBER($S484),MAX(0,INT((I$6+6-$S484)/$T484)-MAX(0,-INT(-(I$6-$S484)/$T484))+1),0)</f>
        <v>0.0</v>
      </c>
      <c r="J484" s="97">
        <f>IF(ISNUMBER($S484),MAX(0,INT((J$6+6-$S484)/$T484)-MAX(0,-INT(-(J$6-$S484)/$T484))+1),0)</f>
        <v>0.0</v>
      </c>
      <c r="K484" s="97">
        <f>IF(ISNUMBER($S484),MAX(0,INT((K$6+6-$S484)/$T484)-MAX(0,-INT(-(K$6-$S484)/$T484))+1),0)</f>
        <v>0.0</v>
      </c>
      <c r="L484" s="97">
        <f>IF(ISNUMBER($S484),MAX(0,INT((L$6+6-$S484)/$T484)-MAX(0,-INT(-(L$6-$S484)/$T484))+1),0)</f>
        <v>0.0</v>
      </c>
      <c r="M484" s="97">
        <f>IF(ISNUMBER($S484),MAX(0,INT((M$6+6-$S484)/$T484)-MAX(0,-INT(-(M$6-$S484)/$T484))+1),0)</f>
        <v>0.0</v>
      </c>
      <c r="N484" s="97">
        <f>IF(ISNUMBER($S484),MAX(0,INT((N$6+6-$S484)/$T484)-MAX(0,-INT(-(N$6-$S484)/$T484))+1),0)</f>
        <v>0.0</v>
      </c>
      <c r="O484" s="97">
        <f>IF(ISNUMBER($S484),MAX(0,INT((O$6+6-$S484)/$T484)-MAX(0,-INT(-(O$6-$S484)/$T484))+1),0)</f>
        <v>0.0</v>
      </c>
      <c r="P484" s="97">
        <f>IF(ISNUMBER($S484),MAX(0,INT((P$6+6-$S484)/$T484)-MAX(0,-INT(-(P$6-$S484)/$T484))+1),0)</f>
        <v>0.0</v>
      </c>
      <c r="Q484" s="97">
        <f>IF(ISNUMBER($S484),MAX(0,INT((Q$6+6-$S484)/$T484)-MAX(0,-INT(-(Q$6-$S484)/$T484))+1),0)</f>
        <v>0.0</v>
      </c>
      <c r="R484" s="97">
        <f>IF(ISNUMBER($S484),MAX(0,INT((R$6+6-$S484)/$T484)-MAX(0,-INT(-(R$6-$S484)/$T484))+1),0)</f>
        <v>0.0</v>
      </c>
      <c r="S484" t="str">
        <f>IF(ISNUMBER(INDEX(pl_period,475)),MAX(INDEX(pl_due,475),p_today),"")</f>
        <v/>
      </c>
      <c r="T484" t="str">
        <f>IF(ISNUMBER(INDEX(pl_period,475)),INDEX(pl_period,475),"")</f>
        <v/>
      </c>
      <c r="U484">
        <f>N(INDEX(pl_dur,475))</f>
        <v>0.0</v>
      </c>
    </row>
    <row r="485">
      <c r="A485" s="93" t="str">
        <f>IF(INDEX(pl_status,476)="","",INDEX(pl_num,476)&amp;"")</f>
        <v/>
      </c>
      <c r="B485" s="93" t="str">
        <f>IF(INDEX(pl_status,476)="","",INDEX(pl_eq,476)&amp;"")</f>
        <v/>
      </c>
      <c r="C485" s="93" t="str">
        <f>IF(INDEX(pl_status,476)="","",INDEX(pl_task,476)&amp;"")</f>
        <v/>
      </c>
      <c r="D485" s="94" t="str">
        <f>IF(ISNUMBER(INDEX(pl_due,476)),INDEX(pl_due,476),"")</f>
        <v/>
      </c>
      <c r="E485" s="95" t="str">
        <f>INDEX(pl_status,476)&amp;""</f>
        <v/>
      </c>
      <c r="F485" s="96" t="str">
        <f>IF(E485="En retard","●","")</f>
        <v/>
      </c>
      <c r="G485" s="97">
        <f>IF(ISNUMBER($S485),MAX(0,INT((G$6+6-$S485)/$T485)-MAX(0,-INT(-(G$6-$S485)/$T485))+1),0)</f>
        <v>0.0</v>
      </c>
      <c r="H485" s="97">
        <f>IF(ISNUMBER($S485),MAX(0,INT((H$6+6-$S485)/$T485)-MAX(0,-INT(-(H$6-$S485)/$T485))+1),0)</f>
        <v>0.0</v>
      </c>
      <c r="I485" s="97">
        <f>IF(ISNUMBER($S485),MAX(0,INT((I$6+6-$S485)/$T485)-MAX(0,-INT(-(I$6-$S485)/$T485))+1),0)</f>
        <v>0.0</v>
      </c>
      <c r="J485" s="97">
        <f>IF(ISNUMBER($S485),MAX(0,INT((J$6+6-$S485)/$T485)-MAX(0,-INT(-(J$6-$S485)/$T485))+1),0)</f>
        <v>0.0</v>
      </c>
      <c r="K485" s="97">
        <f>IF(ISNUMBER($S485),MAX(0,INT((K$6+6-$S485)/$T485)-MAX(0,-INT(-(K$6-$S485)/$T485))+1),0)</f>
        <v>0.0</v>
      </c>
      <c r="L485" s="97">
        <f>IF(ISNUMBER($S485),MAX(0,INT((L$6+6-$S485)/$T485)-MAX(0,-INT(-(L$6-$S485)/$T485))+1),0)</f>
        <v>0.0</v>
      </c>
      <c r="M485" s="97">
        <f>IF(ISNUMBER($S485),MAX(0,INT((M$6+6-$S485)/$T485)-MAX(0,-INT(-(M$6-$S485)/$T485))+1),0)</f>
        <v>0.0</v>
      </c>
      <c r="N485" s="97">
        <f>IF(ISNUMBER($S485),MAX(0,INT((N$6+6-$S485)/$T485)-MAX(0,-INT(-(N$6-$S485)/$T485))+1),0)</f>
        <v>0.0</v>
      </c>
      <c r="O485" s="97">
        <f>IF(ISNUMBER($S485),MAX(0,INT((O$6+6-$S485)/$T485)-MAX(0,-INT(-(O$6-$S485)/$T485))+1),0)</f>
        <v>0.0</v>
      </c>
      <c r="P485" s="97">
        <f>IF(ISNUMBER($S485),MAX(0,INT((P$6+6-$S485)/$T485)-MAX(0,-INT(-(P$6-$S485)/$T485))+1),0)</f>
        <v>0.0</v>
      </c>
      <c r="Q485" s="97">
        <f>IF(ISNUMBER($S485),MAX(0,INT((Q$6+6-$S485)/$T485)-MAX(0,-INT(-(Q$6-$S485)/$T485))+1),0)</f>
        <v>0.0</v>
      </c>
      <c r="R485" s="97">
        <f>IF(ISNUMBER($S485),MAX(0,INT((R$6+6-$S485)/$T485)-MAX(0,-INT(-(R$6-$S485)/$T485))+1),0)</f>
        <v>0.0</v>
      </c>
      <c r="S485" t="str">
        <f>IF(ISNUMBER(INDEX(pl_period,476)),MAX(INDEX(pl_due,476),p_today),"")</f>
        <v/>
      </c>
      <c r="T485" t="str">
        <f>IF(ISNUMBER(INDEX(pl_period,476)),INDEX(pl_period,476),"")</f>
        <v/>
      </c>
      <c r="U485">
        <f>N(INDEX(pl_dur,476))</f>
        <v>0.0</v>
      </c>
    </row>
    <row r="486">
      <c r="A486" s="93" t="str">
        <f>IF(INDEX(pl_status,477)="","",INDEX(pl_num,477)&amp;"")</f>
        <v/>
      </c>
      <c r="B486" s="93" t="str">
        <f>IF(INDEX(pl_status,477)="","",INDEX(pl_eq,477)&amp;"")</f>
        <v/>
      </c>
      <c r="C486" s="93" t="str">
        <f>IF(INDEX(pl_status,477)="","",INDEX(pl_task,477)&amp;"")</f>
        <v/>
      </c>
      <c r="D486" s="94" t="str">
        <f>IF(ISNUMBER(INDEX(pl_due,477)),INDEX(pl_due,477),"")</f>
        <v/>
      </c>
      <c r="E486" s="95" t="str">
        <f>INDEX(pl_status,477)&amp;""</f>
        <v/>
      </c>
      <c r="F486" s="96" t="str">
        <f>IF(E486="En retard","●","")</f>
        <v/>
      </c>
      <c r="G486" s="97">
        <f>IF(ISNUMBER($S486),MAX(0,INT((G$6+6-$S486)/$T486)-MAX(0,-INT(-(G$6-$S486)/$T486))+1),0)</f>
        <v>0.0</v>
      </c>
      <c r="H486" s="97">
        <f>IF(ISNUMBER($S486),MAX(0,INT((H$6+6-$S486)/$T486)-MAX(0,-INT(-(H$6-$S486)/$T486))+1),0)</f>
        <v>0.0</v>
      </c>
      <c r="I486" s="97">
        <f>IF(ISNUMBER($S486),MAX(0,INT((I$6+6-$S486)/$T486)-MAX(0,-INT(-(I$6-$S486)/$T486))+1),0)</f>
        <v>0.0</v>
      </c>
      <c r="J486" s="97">
        <f>IF(ISNUMBER($S486),MAX(0,INT((J$6+6-$S486)/$T486)-MAX(0,-INT(-(J$6-$S486)/$T486))+1),0)</f>
        <v>0.0</v>
      </c>
      <c r="K486" s="97">
        <f>IF(ISNUMBER($S486),MAX(0,INT((K$6+6-$S486)/$T486)-MAX(0,-INT(-(K$6-$S486)/$T486))+1),0)</f>
        <v>0.0</v>
      </c>
      <c r="L486" s="97">
        <f>IF(ISNUMBER($S486),MAX(0,INT((L$6+6-$S486)/$T486)-MAX(0,-INT(-(L$6-$S486)/$T486))+1),0)</f>
        <v>0.0</v>
      </c>
      <c r="M486" s="97">
        <f>IF(ISNUMBER($S486),MAX(0,INT((M$6+6-$S486)/$T486)-MAX(0,-INT(-(M$6-$S486)/$T486))+1),0)</f>
        <v>0.0</v>
      </c>
      <c r="N486" s="97">
        <f>IF(ISNUMBER($S486),MAX(0,INT((N$6+6-$S486)/$T486)-MAX(0,-INT(-(N$6-$S486)/$T486))+1),0)</f>
        <v>0.0</v>
      </c>
      <c r="O486" s="97">
        <f>IF(ISNUMBER($S486),MAX(0,INT((O$6+6-$S486)/$T486)-MAX(0,-INT(-(O$6-$S486)/$T486))+1),0)</f>
        <v>0.0</v>
      </c>
      <c r="P486" s="97">
        <f>IF(ISNUMBER($S486),MAX(0,INT((P$6+6-$S486)/$T486)-MAX(0,-INT(-(P$6-$S486)/$T486))+1),0)</f>
        <v>0.0</v>
      </c>
      <c r="Q486" s="97">
        <f>IF(ISNUMBER($S486),MAX(0,INT((Q$6+6-$S486)/$T486)-MAX(0,-INT(-(Q$6-$S486)/$T486))+1),0)</f>
        <v>0.0</v>
      </c>
      <c r="R486" s="97">
        <f>IF(ISNUMBER($S486),MAX(0,INT((R$6+6-$S486)/$T486)-MAX(0,-INT(-(R$6-$S486)/$T486))+1),0)</f>
        <v>0.0</v>
      </c>
      <c r="S486" t="str">
        <f>IF(ISNUMBER(INDEX(pl_period,477)),MAX(INDEX(pl_due,477),p_today),"")</f>
        <v/>
      </c>
      <c r="T486" t="str">
        <f>IF(ISNUMBER(INDEX(pl_period,477)),INDEX(pl_period,477),"")</f>
        <v/>
      </c>
      <c r="U486">
        <f>N(INDEX(pl_dur,477))</f>
        <v>0.0</v>
      </c>
    </row>
    <row r="487">
      <c r="A487" s="93" t="str">
        <f>IF(INDEX(pl_status,478)="","",INDEX(pl_num,478)&amp;"")</f>
        <v/>
      </c>
      <c r="B487" s="93" t="str">
        <f>IF(INDEX(pl_status,478)="","",INDEX(pl_eq,478)&amp;"")</f>
        <v/>
      </c>
      <c r="C487" s="93" t="str">
        <f>IF(INDEX(pl_status,478)="","",INDEX(pl_task,478)&amp;"")</f>
        <v/>
      </c>
      <c r="D487" s="94" t="str">
        <f>IF(ISNUMBER(INDEX(pl_due,478)),INDEX(pl_due,478),"")</f>
        <v/>
      </c>
      <c r="E487" s="95" t="str">
        <f>INDEX(pl_status,478)&amp;""</f>
        <v/>
      </c>
      <c r="F487" s="96" t="str">
        <f>IF(E487="En retard","●","")</f>
        <v/>
      </c>
      <c r="G487" s="97">
        <f>IF(ISNUMBER($S487),MAX(0,INT((G$6+6-$S487)/$T487)-MAX(0,-INT(-(G$6-$S487)/$T487))+1),0)</f>
        <v>0.0</v>
      </c>
      <c r="H487" s="97">
        <f>IF(ISNUMBER($S487),MAX(0,INT((H$6+6-$S487)/$T487)-MAX(0,-INT(-(H$6-$S487)/$T487))+1),0)</f>
        <v>0.0</v>
      </c>
      <c r="I487" s="97">
        <f>IF(ISNUMBER($S487),MAX(0,INT((I$6+6-$S487)/$T487)-MAX(0,-INT(-(I$6-$S487)/$T487))+1),0)</f>
        <v>0.0</v>
      </c>
      <c r="J487" s="97">
        <f>IF(ISNUMBER($S487),MAX(0,INT((J$6+6-$S487)/$T487)-MAX(0,-INT(-(J$6-$S487)/$T487))+1),0)</f>
        <v>0.0</v>
      </c>
      <c r="K487" s="97">
        <f>IF(ISNUMBER($S487),MAX(0,INT((K$6+6-$S487)/$T487)-MAX(0,-INT(-(K$6-$S487)/$T487))+1),0)</f>
        <v>0.0</v>
      </c>
      <c r="L487" s="97">
        <f>IF(ISNUMBER($S487),MAX(0,INT((L$6+6-$S487)/$T487)-MAX(0,-INT(-(L$6-$S487)/$T487))+1),0)</f>
        <v>0.0</v>
      </c>
      <c r="M487" s="97">
        <f>IF(ISNUMBER($S487),MAX(0,INT((M$6+6-$S487)/$T487)-MAX(0,-INT(-(M$6-$S487)/$T487))+1),0)</f>
        <v>0.0</v>
      </c>
      <c r="N487" s="97">
        <f>IF(ISNUMBER($S487),MAX(0,INT((N$6+6-$S487)/$T487)-MAX(0,-INT(-(N$6-$S487)/$T487))+1),0)</f>
        <v>0.0</v>
      </c>
      <c r="O487" s="97">
        <f>IF(ISNUMBER($S487),MAX(0,INT((O$6+6-$S487)/$T487)-MAX(0,-INT(-(O$6-$S487)/$T487))+1),0)</f>
        <v>0.0</v>
      </c>
      <c r="P487" s="97">
        <f>IF(ISNUMBER($S487),MAX(0,INT((P$6+6-$S487)/$T487)-MAX(0,-INT(-(P$6-$S487)/$T487))+1),0)</f>
        <v>0.0</v>
      </c>
      <c r="Q487" s="97">
        <f>IF(ISNUMBER($S487),MAX(0,INT((Q$6+6-$S487)/$T487)-MAX(0,-INT(-(Q$6-$S487)/$T487))+1),0)</f>
        <v>0.0</v>
      </c>
      <c r="R487" s="97">
        <f>IF(ISNUMBER($S487),MAX(0,INT((R$6+6-$S487)/$T487)-MAX(0,-INT(-(R$6-$S487)/$T487))+1),0)</f>
        <v>0.0</v>
      </c>
      <c r="S487" t="str">
        <f>IF(ISNUMBER(INDEX(pl_period,478)),MAX(INDEX(pl_due,478),p_today),"")</f>
        <v/>
      </c>
      <c r="T487" t="str">
        <f>IF(ISNUMBER(INDEX(pl_period,478)),INDEX(pl_period,478),"")</f>
        <v/>
      </c>
      <c r="U487">
        <f>N(INDEX(pl_dur,478))</f>
        <v>0.0</v>
      </c>
    </row>
    <row r="488">
      <c r="A488" s="93" t="str">
        <f>IF(INDEX(pl_status,479)="","",INDEX(pl_num,479)&amp;"")</f>
        <v/>
      </c>
      <c r="B488" s="93" t="str">
        <f>IF(INDEX(pl_status,479)="","",INDEX(pl_eq,479)&amp;"")</f>
        <v/>
      </c>
      <c r="C488" s="93" t="str">
        <f>IF(INDEX(pl_status,479)="","",INDEX(pl_task,479)&amp;"")</f>
        <v/>
      </c>
      <c r="D488" s="94" t="str">
        <f>IF(ISNUMBER(INDEX(pl_due,479)),INDEX(pl_due,479),"")</f>
        <v/>
      </c>
      <c r="E488" s="95" t="str">
        <f>INDEX(pl_status,479)&amp;""</f>
        <v/>
      </c>
      <c r="F488" s="96" t="str">
        <f>IF(E488="En retard","●","")</f>
        <v/>
      </c>
      <c r="G488" s="97">
        <f>IF(ISNUMBER($S488),MAX(0,INT((G$6+6-$S488)/$T488)-MAX(0,-INT(-(G$6-$S488)/$T488))+1),0)</f>
        <v>0.0</v>
      </c>
      <c r="H488" s="97">
        <f>IF(ISNUMBER($S488),MAX(0,INT((H$6+6-$S488)/$T488)-MAX(0,-INT(-(H$6-$S488)/$T488))+1),0)</f>
        <v>0.0</v>
      </c>
      <c r="I488" s="97">
        <f>IF(ISNUMBER($S488),MAX(0,INT((I$6+6-$S488)/$T488)-MAX(0,-INT(-(I$6-$S488)/$T488))+1),0)</f>
        <v>0.0</v>
      </c>
      <c r="J488" s="97">
        <f>IF(ISNUMBER($S488),MAX(0,INT((J$6+6-$S488)/$T488)-MAX(0,-INT(-(J$6-$S488)/$T488))+1),0)</f>
        <v>0.0</v>
      </c>
      <c r="K488" s="97">
        <f>IF(ISNUMBER($S488),MAX(0,INT((K$6+6-$S488)/$T488)-MAX(0,-INT(-(K$6-$S488)/$T488))+1),0)</f>
        <v>0.0</v>
      </c>
      <c r="L488" s="97">
        <f>IF(ISNUMBER($S488),MAX(0,INT((L$6+6-$S488)/$T488)-MAX(0,-INT(-(L$6-$S488)/$T488))+1),0)</f>
        <v>0.0</v>
      </c>
      <c r="M488" s="97">
        <f>IF(ISNUMBER($S488),MAX(0,INT((M$6+6-$S488)/$T488)-MAX(0,-INT(-(M$6-$S488)/$T488))+1),0)</f>
        <v>0.0</v>
      </c>
      <c r="N488" s="97">
        <f>IF(ISNUMBER($S488),MAX(0,INT((N$6+6-$S488)/$T488)-MAX(0,-INT(-(N$6-$S488)/$T488))+1),0)</f>
        <v>0.0</v>
      </c>
      <c r="O488" s="97">
        <f>IF(ISNUMBER($S488),MAX(0,INT((O$6+6-$S488)/$T488)-MAX(0,-INT(-(O$6-$S488)/$T488))+1),0)</f>
        <v>0.0</v>
      </c>
      <c r="P488" s="97">
        <f>IF(ISNUMBER($S488),MAX(0,INT((P$6+6-$S488)/$T488)-MAX(0,-INT(-(P$6-$S488)/$T488))+1),0)</f>
        <v>0.0</v>
      </c>
      <c r="Q488" s="97">
        <f>IF(ISNUMBER($S488),MAX(0,INT((Q$6+6-$S488)/$T488)-MAX(0,-INT(-(Q$6-$S488)/$T488))+1),0)</f>
        <v>0.0</v>
      </c>
      <c r="R488" s="97">
        <f>IF(ISNUMBER($S488),MAX(0,INT((R$6+6-$S488)/$T488)-MAX(0,-INT(-(R$6-$S488)/$T488))+1),0)</f>
        <v>0.0</v>
      </c>
      <c r="S488" t="str">
        <f>IF(ISNUMBER(INDEX(pl_period,479)),MAX(INDEX(pl_due,479),p_today),"")</f>
        <v/>
      </c>
      <c r="T488" t="str">
        <f>IF(ISNUMBER(INDEX(pl_period,479)),INDEX(pl_period,479),"")</f>
        <v/>
      </c>
      <c r="U488">
        <f>N(INDEX(pl_dur,479))</f>
        <v>0.0</v>
      </c>
    </row>
    <row r="489">
      <c r="A489" s="93" t="str">
        <f>IF(INDEX(pl_status,480)="","",INDEX(pl_num,480)&amp;"")</f>
        <v/>
      </c>
      <c r="B489" s="93" t="str">
        <f>IF(INDEX(pl_status,480)="","",INDEX(pl_eq,480)&amp;"")</f>
        <v/>
      </c>
      <c r="C489" s="93" t="str">
        <f>IF(INDEX(pl_status,480)="","",INDEX(pl_task,480)&amp;"")</f>
        <v/>
      </c>
      <c r="D489" s="94" t="str">
        <f>IF(ISNUMBER(INDEX(pl_due,480)),INDEX(pl_due,480),"")</f>
        <v/>
      </c>
      <c r="E489" s="95" t="str">
        <f>INDEX(pl_status,480)&amp;""</f>
        <v/>
      </c>
      <c r="F489" s="96" t="str">
        <f>IF(E489="En retard","●","")</f>
        <v/>
      </c>
      <c r="G489" s="97">
        <f>IF(ISNUMBER($S489),MAX(0,INT((G$6+6-$S489)/$T489)-MAX(0,-INT(-(G$6-$S489)/$T489))+1),0)</f>
        <v>0.0</v>
      </c>
      <c r="H489" s="97">
        <f>IF(ISNUMBER($S489),MAX(0,INT((H$6+6-$S489)/$T489)-MAX(0,-INT(-(H$6-$S489)/$T489))+1),0)</f>
        <v>0.0</v>
      </c>
      <c r="I489" s="97">
        <f>IF(ISNUMBER($S489),MAX(0,INT((I$6+6-$S489)/$T489)-MAX(0,-INT(-(I$6-$S489)/$T489))+1),0)</f>
        <v>0.0</v>
      </c>
      <c r="J489" s="97">
        <f>IF(ISNUMBER($S489),MAX(0,INT((J$6+6-$S489)/$T489)-MAX(0,-INT(-(J$6-$S489)/$T489))+1),0)</f>
        <v>0.0</v>
      </c>
      <c r="K489" s="97">
        <f>IF(ISNUMBER($S489),MAX(0,INT((K$6+6-$S489)/$T489)-MAX(0,-INT(-(K$6-$S489)/$T489))+1),0)</f>
        <v>0.0</v>
      </c>
      <c r="L489" s="97">
        <f>IF(ISNUMBER($S489),MAX(0,INT((L$6+6-$S489)/$T489)-MAX(0,-INT(-(L$6-$S489)/$T489))+1),0)</f>
        <v>0.0</v>
      </c>
      <c r="M489" s="97">
        <f>IF(ISNUMBER($S489),MAX(0,INT((M$6+6-$S489)/$T489)-MAX(0,-INT(-(M$6-$S489)/$T489))+1),0)</f>
        <v>0.0</v>
      </c>
      <c r="N489" s="97">
        <f>IF(ISNUMBER($S489),MAX(0,INT((N$6+6-$S489)/$T489)-MAX(0,-INT(-(N$6-$S489)/$T489))+1),0)</f>
        <v>0.0</v>
      </c>
      <c r="O489" s="97">
        <f>IF(ISNUMBER($S489),MAX(0,INT((O$6+6-$S489)/$T489)-MAX(0,-INT(-(O$6-$S489)/$T489))+1),0)</f>
        <v>0.0</v>
      </c>
      <c r="P489" s="97">
        <f>IF(ISNUMBER($S489),MAX(0,INT((P$6+6-$S489)/$T489)-MAX(0,-INT(-(P$6-$S489)/$T489))+1),0)</f>
        <v>0.0</v>
      </c>
      <c r="Q489" s="97">
        <f>IF(ISNUMBER($S489),MAX(0,INT((Q$6+6-$S489)/$T489)-MAX(0,-INT(-(Q$6-$S489)/$T489))+1),0)</f>
        <v>0.0</v>
      </c>
      <c r="R489" s="97">
        <f>IF(ISNUMBER($S489),MAX(0,INT((R$6+6-$S489)/$T489)-MAX(0,-INT(-(R$6-$S489)/$T489))+1),0)</f>
        <v>0.0</v>
      </c>
      <c r="S489" t="str">
        <f>IF(ISNUMBER(INDEX(pl_period,480)),MAX(INDEX(pl_due,480),p_today),"")</f>
        <v/>
      </c>
      <c r="T489" t="str">
        <f>IF(ISNUMBER(INDEX(pl_period,480)),INDEX(pl_period,480),"")</f>
        <v/>
      </c>
      <c r="U489">
        <f>N(INDEX(pl_dur,480))</f>
        <v>0.0</v>
      </c>
    </row>
    <row r="490">
      <c r="A490" s="93" t="str">
        <f>IF(INDEX(pl_status,481)="","",INDEX(pl_num,481)&amp;"")</f>
        <v/>
      </c>
      <c r="B490" s="93" t="str">
        <f>IF(INDEX(pl_status,481)="","",INDEX(pl_eq,481)&amp;"")</f>
        <v/>
      </c>
      <c r="C490" s="93" t="str">
        <f>IF(INDEX(pl_status,481)="","",INDEX(pl_task,481)&amp;"")</f>
        <v/>
      </c>
      <c r="D490" s="94" t="str">
        <f>IF(ISNUMBER(INDEX(pl_due,481)),INDEX(pl_due,481),"")</f>
        <v/>
      </c>
      <c r="E490" s="95" t="str">
        <f>INDEX(pl_status,481)&amp;""</f>
        <v/>
      </c>
      <c r="F490" s="96" t="str">
        <f>IF(E490="En retard","●","")</f>
        <v/>
      </c>
      <c r="G490" s="97">
        <f>IF(ISNUMBER($S490),MAX(0,INT((G$6+6-$S490)/$T490)-MAX(0,-INT(-(G$6-$S490)/$T490))+1),0)</f>
        <v>0.0</v>
      </c>
      <c r="H490" s="97">
        <f>IF(ISNUMBER($S490),MAX(0,INT((H$6+6-$S490)/$T490)-MAX(0,-INT(-(H$6-$S490)/$T490))+1),0)</f>
        <v>0.0</v>
      </c>
      <c r="I490" s="97">
        <f>IF(ISNUMBER($S490),MAX(0,INT((I$6+6-$S490)/$T490)-MAX(0,-INT(-(I$6-$S490)/$T490))+1),0)</f>
        <v>0.0</v>
      </c>
      <c r="J490" s="97">
        <f>IF(ISNUMBER($S490),MAX(0,INT((J$6+6-$S490)/$T490)-MAX(0,-INT(-(J$6-$S490)/$T490))+1),0)</f>
        <v>0.0</v>
      </c>
      <c r="K490" s="97">
        <f>IF(ISNUMBER($S490),MAX(0,INT((K$6+6-$S490)/$T490)-MAX(0,-INT(-(K$6-$S490)/$T490))+1),0)</f>
        <v>0.0</v>
      </c>
      <c r="L490" s="97">
        <f>IF(ISNUMBER($S490),MAX(0,INT((L$6+6-$S490)/$T490)-MAX(0,-INT(-(L$6-$S490)/$T490))+1),0)</f>
        <v>0.0</v>
      </c>
      <c r="M490" s="97">
        <f>IF(ISNUMBER($S490),MAX(0,INT((M$6+6-$S490)/$T490)-MAX(0,-INT(-(M$6-$S490)/$T490))+1),0)</f>
        <v>0.0</v>
      </c>
      <c r="N490" s="97">
        <f>IF(ISNUMBER($S490),MAX(0,INT((N$6+6-$S490)/$T490)-MAX(0,-INT(-(N$6-$S490)/$T490))+1),0)</f>
        <v>0.0</v>
      </c>
      <c r="O490" s="97">
        <f>IF(ISNUMBER($S490),MAX(0,INT((O$6+6-$S490)/$T490)-MAX(0,-INT(-(O$6-$S490)/$T490))+1),0)</f>
        <v>0.0</v>
      </c>
      <c r="P490" s="97">
        <f>IF(ISNUMBER($S490),MAX(0,INT((P$6+6-$S490)/$T490)-MAX(0,-INT(-(P$6-$S490)/$T490))+1),0)</f>
        <v>0.0</v>
      </c>
      <c r="Q490" s="97">
        <f>IF(ISNUMBER($S490),MAX(0,INT((Q$6+6-$S490)/$T490)-MAX(0,-INT(-(Q$6-$S490)/$T490))+1),0)</f>
        <v>0.0</v>
      </c>
      <c r="R490" s="97">
        <f>IF(ISNUMBER($S490),MAX(0,INT((R$6+6-$S490)/$T490)-MAX(0,-INT(-(R$6-$S490)/$T490))+1),0)</f>
        <v>0.0</v>
      </c>
      <c r="S490" t="str">
        <f>IF(ISNUMBER(INDEX(pl_period,481)),MAX(INDEX(pl_due,481),p_today),"")</f>
        <v/>
      </c>
      <c r="T490" t="str">
        <f>IF(ISNUMBER(INDEX(pl_period,481)),INDEX(pl_period,481),"")</f>
        <v/>
      </c>
      <c r="U490">
        <f>N(INDEX(pl_dur,481))</f>
        <v>0.0</v>
      </c>
    </row>
    <row r="491">
      <c r="A491" s="93" t="str">
        <f>IF(INDEX(pl_status,482)="","",INDEX(pl_num,482)&amp;"")</f>
        <v/>
      </c>
      <c r="B491" s="93" t="str">
        <f>IF(INDEX(pl_status,482)="","",INDEX(pl_eq,482)&amp;"")</f>
        <v/>
      </c>
      <c r="C491" s="93" t="str">
        <f>IF(INDEX(pl_status,482)="","",INDEX(pl_task,482)&amp;"")</f>
        <v/>
      </c>
      <c r="D491" s="94" t="str">
        <f>IF(ISNUMBER(INDEX(pl_due,482)),INDEX(pl_due,482),"")</f>
        <v/>
      </c>
      <c r="E491" s="95" t="str">
        <f>INDEX(pl_status,482)&amp;""</f>
        <v/>
      </c>
      <c r="F491" s="96" t="str">
        <f>IF(E491="En retard","●","")</f>
        <v/>
      </c>
      <c r="G491" s="97">
        <f>IF(ISNUMBER($S491),MAX(0,INT((G$6+6-$S491)/$T491)-MAX(0,-INT(-(G$6-$S491)/$T491))+1),0)</f>
        <v>0.0</v>
      </c>
      <c r="H491" s="97">
        <f>IF(ISNUMBER($S491),MAX(0,INT((H$6+6-$S491)/$T491)-MAX(0,-INT(-(H$6-$S491)/$T491))+1),0)</f>
        <v>0.0</v>
      </c>
      <c r="I491" s="97">
        <f>IF(ISNUMBER($S491),MAX(0,INT((I$6+6-$S491)/$T491)-MAX(0,-INT(-(I$6-$S491)/$T491))+1),0)</f>
        <v>0.0</v>
      </c>
      <c r="J491" s="97">
        <f>IF(ISNUMBER($S491),MAX(0,INT((J$6+6-$S491)/$T491)-MAX(0,-INT(-(J$6-$S491)/$T491))+1),0)</f>
        <v>0.0</v>
      </c>
      <c r="K491" s="97">
        <f>IF(ISNUMBER($S491),MAX(0,INT((K$6+6-$S491)/$T491)-MAX(0,-INT(-(K$6-$S491)/$T491))+1),0)</f>
        <v>0.0</v>
      </c>
      <c r="L491" s="97">
        <f>IF(ISNUMBER($S491),MAX(0,INT((L$6+6-$S491)/$T491)-MAX(0,-INT(-(L$6-$S491)/$T491))+1),0)</f>
        <v>0.0</v>
      </c>
      <c r="M491" s="97">
        <f>IF(ISNUMBER($S491),MAX(0,INT((M$6+6-$S491)/$T491)-MAX(0,-INT(-(M$6-$S491)/$T491))+1),0)</f>
        <v>0.0</v>
      </c>
      <c r="N491" s="97">
        <f>IF(ISNUMBER($S491),MAX(0,INT((N$6+6-$S491)/$T491)-MAX(0,-INT(-(N$6-$S491)/$T491))+1),0)</f>
        <v>0.0</v>
      </c>
      <c r="O491" s="97">
        <f>IF(ISNUMBER($S491),MAX(0,INT((O$6+6-$S491)/$T491)-MAX(0,-INT(-(O$6-$S491)/$T491))+1),0)</f>
        <v>0.0</v>
      </c>
      <c r="P491" s="97">
        <f>IF(ISNUMBER($S491),MAX(0,INT((P$6+6-$S491)/$T491)-MAX(0,-INT(-(P$6-$S491)/$T491))+1),0)</f>
        <v>0.0</v>
      </c>
      <c r="Q491" s="97">
        <f>IF(ISNUMBER($S491),MAX(0,INT((Q$6+6-$S491)/$T491)-MAX(0,-INT(-(Q$6-$S491)/$T491))+1),0)</f>
        <v>0.0</v>
      </c>
      <c r="R491" s="97">
        <f>IF(ISNUMBER($S491),MAX(0,INT((R$6+6-$S491)/$T491)-MAX(0,-INT(-(R$6-$S491)/$T491))+1),0)</f>
        <v>0.0</v>
      </c>
      <c r="S491" t="str">
        <f>IF(ISNUMBER(INDEX(pl_period,482)),MAX(INDEX(pl_due,482),p_today),"")</f>
        <v/>
      </c>
      <c r="T491" t="str">
        <f>IF(ISNUMBER(INDEX(pl_period,482)),INDEX(pl_period,482),"")</f>
        <v/>
      </c>
      <c r="U491">
        <f>N(INDEX(pl_dur,482))</f>
        <v>0.0</v>
      </c>
    </row>
    <row r="492">
      <c r="A492" s="93" t="str">
        <f>IF(INDEX(pl_status,483)="","",INDEX(pl_num,483)&amp;"")</f>
        <v/>
      </c>
      <c r="B492" s="93" t="str">
        <f>IF(INDEX(pl_status,483)="","",INDEX(pl_eq,483)&amp;"")</f>
        <v/>
      </c>
      <c r="C492" s="93" t="str">
        <f>IF(INDEX(pl_status,483)="","",INDEX(pl_task,483)&amp;"")</f>
        <v/>
      </c>
      <c r="D492" s="94" t="str">
        <f>IF(ISNUMBER(INDEX(pl_due,483)),INDEX(pl_due,483),"")</f>
        <v/>
      </c>
      <c r="E492" s="95" t="str">
        <f>INDEX(pl_status,483)&amp;""</f>
        <v/>
      </c>
      <c r="F492" s="96" t="str">
        <f>IF(E492="En retard","●","")</f>
        <v/>
      </c>
      <c r="G492" s="97">
        <f>IF(ISNUMBER($S492),MAX(0,INT((G$6+6-$S492)/$T492)-MAX(0,-INT(-(G$6-$S492)/$T492))+1),0)</f>
        <v>0.0</v>
      </c>
      <c r="H492" s="97">
        <f>IF(ISNUMBER($S492),MAX(0,INT((H$6+6-$S492)/$T492)-MAX(0,-INT(-(H$6-$S492)/$T492))+1),0)</f>
        <v>0.0</v>
      </c>
      <c r="I492" s="97">
        <f>IF(ISNUMBER($S492),MAX(0,INT((I$6+6-$S492)/$T492)-MAX(0,-INT(-(I$6-$S492)/$T492))+1),0)</f>
        <v>0.0</v>
      </c>
      <c r="J492" s="97">
        <f>IF(ISNUMBER($S492),MAX(0,INT((J$6+6-$S492)/$T492)-MAX(0,-INT(-(J$6-$S492)/$T492))+1),0)</f>
        <v>0.0</v>
      </c>
      <c r="K492" s="97">
        <f>IF(ISNUMBER($S492),MAX(0,INT((K$6+6-$S492)/$T492)-MAX(0,-INT(-(K$6-$S492)/$T492))+1),0)</f>
        <v>0.0</v>
      </c>
      <c r="L492" s="97">
        <f>IF(ISNUMBER($S492),MAX(0,INT((L$6+6-$S492)/$T492)-MAX(0,-INT(-(L$6-$S492)/$T492))+1),0)</f>
        <v>0.0</v>
      </c>
      <c r="M492" s="97">
        <f>IF(ISNUMBER($S492),MAX(0,INT((M$6+6-$S492)/$T492)-MAX(0,-INT(-(M$6-$S492)/$T492))+1),0)</f>
        <v>0.0</v>
      </c>
      <c r="N492" s="97">
        <f>IF(ISNUMBER($S492),MAX(0,INT((N$6+6-$S492)/$T492)-MAX(0,-INT(-(N$6-$S492)/$T492))+1),0)</f>
        <v>0.0</v>
      </c>
      <c r="O492" s="97">
        <f>IF(ISNUMBER($S492),MAX(0,INT((O$6+6-$S492)/$T492)-MAX(0,-INT(-(O$6-$S492)/$T492))+1),0)</f>
        <v>0.0</v>
      </c>
      <c r="P492" s="97">
        <f>IF(ISNUMBER($S492),MAX(0,INT((P$6+6-$S492)/$T492)-MAX(0,-INT(-(P$6-$S492)/$T492))+1),0)</f>
        <v>0.0</v>
      </c>
      <c r="Q492" s="97">
        <f>IF(ISNUMBER($S492),MAX(0,INT((Q$6+6-$S492)/$T492)-MAX(0,-INT(-(Q$6-$S492)/$T492))+1),0)</f>
        <v>0.0</v>
      </c>
      <c r="R492" s="97">
        <f>IF(ISNUMBER($S492),MAX(0,INT((R$6+6-$S492)/$T492)-MAX(0,-INT(-(R$6-$S492)/$T492))+1),0)</f>
        <v>0.0</v>
      </c>
      <c r="S492" t="str">
        <f>IF(ISNUMBER(INDEX(pl_period,483)),MAX(INDEX(pl_due,483),p_today),"")</f>
        <v/>
      </c>
      <c r="T492" t="str">
        <f>IF(ISNUMBER(INDEX(pl_period,483)),INDEX(pl_period,483),"")</f>
        <v/>
      </c>
      <c r="U492">
        <f>N(INDEX(pl_dur,483))</f>
        <v>0.0</v>
      </c>
    </row>
    <row r="493">
      <c r="A493" s="93" t="str">
        <f>IF(INDEX(pl_status,484)="","",INDEX(pl_num,484)&amp;"")</f>
        <v/>
      </c>
      <c r="B493" s="93" t="str">
        <f>IF(INDEX(pl_status,484)="","",INDEX(pl_eq,484)&amp;"")</f>
        <v/>
      </c>
      <c r="C493" s="93" t="str">
        <f>IF(INDEX(pl_status,484)="","",INDEX(pl_task,484)&amp;"")</f>
        <v/>
      </c>
      <c r="D493" s="94" t="str">
        <f>IF(ISNUMBER(INDEX(pl_due,484)),INDEX(pl_due,484),"")</f>
        <v/>
      </c>
      <c r="E493" s="95" t="str">
        <f>INDEX(pl_status,484)&amp;""</f>
        <v/>
      </c>
      <c r="F493" s="96" t="str">
        <f>IF(E493="En retard","●","")</f>
        <v/>
      </c>
      <c r="G493" s="97">
        <f>IF(ISNUMBER($S493),MAX(0,INT((G$6+6-$S493)/$T493)-MAX(0,-INT(-(G$6-$S493)/$T493))+1),0)</f>
        <v>0.0</v>
      </c>
      <c r="H493" s="97">
        <f>IF(ISNUMBER($S493),MAX(0,INT((H$6+6-$S493)/$T493)-MAX(0,-INT(-(H$6-$S493)/$T493))+1),0)</f>
        <v>0.0</v>
      </c>
      <c r="I493" s="97">
        <f>IF(ISNUMBER($S493),MAX(0,INT((I$6+6-$S493)/$T493)-MAX(0,-INT(-(I$6-$S493)/$T493))+1),0)</f>
        <v>0.0</v>
      </c>
      <c r="J493" s="97">
        <f>IF(ISNUMBER($S493),MAX(0,INT((J$6+6-$S493)/$T493)-MAX(0,-INT(-(J$6-$S493)/$T493))+1),0)</f>
        <v>0.0</v>
      </c>
      <c r="K493" s="97">
        <f>IF(ISNUMBER($S493),MAX(0,INT((K$6+6-$S493)/$T493)-MAX(0,-INT(-(K$6-$S493)/$T493))+1),0)</f>
        <v>0.0</v>
      </c>
      <c r="L493" s="97">
        <f>IF(ISNUMBER($S493),MAX(0,INT((L$6+6-$S493)/$T493)-MAX(0,-INT(-(L$6-$S493)/$T493))+1),0)</f>
        <v>0.0</v>
      </c>
      <c r="M493" s="97">
        <f>IF(ISNUMBER($S493),MAX(0,INT((M$6+6-$S493)/$T493)-MAX(0,-INT(-(M$6-$S493)/$T493))+1),0)</f>
        <v>0.0</v>
      </c>
      <c r="N493" s="97">
        <f>IF(ISNUMBER($S493),MAX(0,INT((N$6+6-$S493)/$T493)-MAX(0,-INT(-(N$6-$S493)/$T493))+1),0)</f>
        <v>0.0</v>
      </c>
      <c r="O493" s="97">
        <f>IF(ISNUMBER($S493),MAX(0,INT((O$6+6-$S493)/$T493)-MAX(0,-INT(-(O$6-$S493)/$T493))+1),0)</f>
        <v>0.0</v>
      </c>
      <c r="P493" s="97">
        <f>IF(ISNUMBER($S493),MAX(0,INT((P$6+6-$S493)/$T493)-MAX(0,-INT(-(P$6-$S493)/$T493))+1),0)</f>
        <v>0.0</v>
      </c>
      <c r="Q493" s="97">
        <f>IF(ISNUMBER($S493),MAX(0,INT((Q$6+6-$S493)/$T493)-MAX(0,-INT(-(Q$6-$S493)/$T493))+1),0)</f>
        <v>0.0</v>
      </c>
      <c r="R493" s="97">
        <f>IF(ISNUMBER($S493),MAX(0,INT((R$6+6-$S493)/$T493)-MAX(0,-INT(-(R$6-$S493)/$T493))+1),0)</f>
        <v>0.0</v>
      </c>
      <c r="S493" t="str">
        <f>IF(ISNUMBER(INDEX(pl_period,484)),MAX(INDEX(pl_due,484),p_today),"")</f>
        <v/>
      </c>
      <c r="T493" t="str">
        <f>IF(ISNUMBER(INDEX(pl_period,484)),INDEX(pl_period,484),"")</f>
        <v/>
      </c>
      <c r="U493">
        <f>N(INDEX(pl_dur,484))</f>
        <v>0.0</v>
      </c>
    </row>
    <row r="494">
      <c r="A494" s="93" t="str">
        <f>IF(INDEX(pl_status,485)="","",INDEX(pl_num,485)&amp;"")</f>
        <v/>
      </c>
      <c r="B494" s="93" t="str">
        <f>IF(INDEX(pl_status,485)="","",INDEX(pl_eq,485)&amp;"")</f>
        <v/>
      </c>
      <c r="C494" s="93" t="str">
        <f>IF(INDEX(pl_status,485)="","",INDEX(pl_task,485)&amp;"")</f>
        <v/>
      </c>
      <c r="D494" s="94" t="str">
        <f>IF(ISNUMBER(INDEX(pl_due,485)),INDEX(pl_due,485),"")</f>
        <v/>
      </c>
      <c r="E494" s="95" t="str">
        <f>INDEX(pl_status,485)&amp;""</f>
        <v/>
      </c>
      <c r="F494" s="96" t="str">
        <f>IF(E494="En retard","●","")</f>
        <v/>
      </c>
      <c r="G494" s="97">
        <f>IF(ISNUMBER($S494),MAX(0,INT((G$6+6-$S494)/$T494)-MAX(0,-INT(-(G$6-$S494)/$T494))+1),0)</f>
        <v>0.0</v>
      </c>
      <c r="H494" s="97">
        <f>IF(ISNUMBER($S494),MAX(0,INT((H$6+6-$S494)/$T494)-MAX(0,-INT(-(H$6-$S494)/$T494))+1),0)</f>
        <v>0.0</v>
      </c>
      <c r="I494" s="97">
        <f>IF(ISNUMBER($S494),MAX(0,INT((I$6+6-$S494)/$T494)-MAX(0,-INT(-(I$6-$S494)/$T494))+1),0)</f>
        <v>0.0</v>
      </c>
      <c r="J494" s="97">
        <f>IF(ISNUMBER($S494),MAX(0,INT((J$6+6-$S494)/$T494)-MAX(0,-INT(-(J$6-$S494)/$T494))+1),0)</f>
        <v>0.0</v>
      </c>
      <c r="K494" s="97">
        <f>IF(ISNUMBER($S494),MAX(0,INT((K$6+6-$S494)/$T494)-MAX(0,-INT(-(K$6-$S494)/$T494))+1),0)</f>
        <v>0.0</v>
      </c>
      <c r="L494" s="97">
        <f>IF(ISNUMBER($S494),MAX(0,INT((L$6+6-$S494)/$T494)-MAX(0,-INT(-(L$6-$S494)/$T494))+1),0)</f>
        <v>0.0</v>
      </c>
      <c r="M494" s="97">
        <f>IF(ISNUMBER($S494),MAX(0,INT((M$6+6-$S494)/$T494)-MAX(0,-INT(-(M$6-$S494)/$T494))+1),0)</f>
        <v>0.0</v>
      </c>
      <c r="N494" s="97">
        <f>IF(ISNUMBER($S494),MAX(0,INT((N$6+6-$S494)/$T494)-MAX(0,-INT(-(N$6-$S494)/$T494))+1),0)</f>
        <v>0.0</v>
      </c>
      <c r="O494" s="97">
        <f>IF(ISNUMBER($S494),MAX(0,INT((O$6+6-$S494)/$T494)-MAX(0,-INT(-(O$6-$S494)/$T494))+1),0)</f>
        <v>0.0</v>
      </c>
      <c r="P494" s="97">
        <f>IF(ISNUMBER($S494),MAX(0,INT((P$6+6-$S494)/$T494)-MAX(0,-INT(-(P$6-$S494)/$T494))+1),0)</f>
        <v>0.0</v>
      </c>
      <c r="Q494" s="97">
        <f>IF(ISNUMBER($S494),MAX(0,INT((Q$6+6-$S494)/$T494)-MAX(0,-INT(-(Q$6-$S494)/$T494))+1),0)</f>
        <v>0.0</v>
      </c>
      <c r="R494" s="97">
        <f>IF(ISNUMBER($S494),MAX(0,INT((R$6+6-$S494)/$T494)-MAX(0,-INT(-(R$6-$S494)/$T494))+1),0)</f>
        <v>0.0</v>
      </c>
      <c r="S494" t="str">
        <f>IF(ISNUMBER(INDEX(pl_period,485)),MAX(INDEX(pl_due,485),p_today),"")</f>
        <v/>
      </c>
      <c r="T494" t="str">
        <f>IF(ISNUMBER(INDEX(pl_period,485)),INDEX(pl_period,485),"")</f>
        <v/>
      </c>
      <c r="U494">
        <f>N(INDEX(pl_dur,485))</f>
        <v>0.0</v>
      </c>
    </row>
    <row r="495">
      <c r="A495" s="93" t="str">
        <f>IF(INDEX(pl_status,486)="","",INDEX(pl_num,486)&amp;"")</f>
        <v/>
      </c>
      <c r="B495" s="93" t="str">
        <f>IF(INDEX(pl_status,486)="","",INDEX(pl_eq,486)&amp;"")</f>
        <v/>
      </c>
      <c r="C495" s="93" t="str">
        <f>IF(INDEX(pl_status,486)="","",INDEX(pl_task,486)&amp;"")</f>
        <v/>
      </c>
      <c r="D495" s="94" t="str">
        <f>IF(ISNUMBER(INDEX(pl_due,486)),INDEX(pl_due,486),"")</f>
        <v/>
      </c>
      <c r="E495" s="95" t="str">
        <f>INDEX(pl_status,486)&amp;""</f>
        <v/>
      </c>
      <c r="F495" s="96" t="str">
        <f>IF(E495="En retard","●","")</f>
        <v/>
      </c>
      <c r="G495" s="97">
        <f>IF(ISNUMBER($S495),MAX(0,INT((G$6+6-$S495)/$T495)-MAX(0,-INT(-(G$6-$S495)/$T495))+1),0)</f>
        <v>0.0</v>
      </c>
      <c r="H495" s="97">
        <f>IF(ISNUMBER($S495),MAX(0,INT((H$6+6-$S495)/$T495)-MAX(0,-INT(-(H$6-$S495)/$T495))+1),0)</f>
        <v>0.0</v>
      </c>
      <c r="I495" s="97">
        <f>IF(ISNUMBER($S495),MAX(0,INT((I$6+6-$S495)/$T495)-MAX(0,-INT(-(I$6-$S495)/$T495))+1),0)</f>
        <v>0.0</v>
      </c>
      <c r="J495" s="97">
        <f>IF(ISNUMBER($S495),MAX(0,INT((J$6+6-$S495)/$T495)-MAX(0,-INT(-(J$6-$S495)/$T495))+1),0)</f>
        <v>0.0</v>
      </c>
      <c r="K495" s="97">
        <f>IF(ISNUMBER($S495),MAX(0,INT((K$6+6-$S495)/$T495)-MAX(0,-INT(-(K$6-$S495)/$T495))+1),0)</f>
        <v>0.0</v>
      </c>
      <c r="L495" s="97">
        <f>IF(ISNUMBER($S495),MAX(0,INT((L$6+6-$S495)/$T495)-MAX(0,-INT(-(L$6-$S495)/$T495))+1),0)</f>
        <v>0.0</v>
      </c>
      <c r="M495" s="97">
        <f>IF(ISNUMBER($S495),MAX(0,INT((M$6+6-$S495)/$T495)-MAX(0,-INT(-(M$6-$S495)/$T495))+1),0)</f>
        <v>0.0</v>
      </c>
      <c r="N495" s="97">
        <f>IF(ISNUMBER($S495),MAX(0,INT((N$6+6-$S495)/$T495)-MAX(0,-INT(-(N$6-$S495)/$T495))+1),0)</f>
        <v>0.0</v>
      </c>
      <c r="O495" s="97">
        <f>IF(ISNUMBER($S495),MAX(0,INT((O$6+6-$S495)/$T495)-MAX(0,-INT(-(O$6-$S495)/$T495))+1),0)</f>
        <v>0.0</v>
      </c>
      <c r="P495" s="97">
        <f>IF(ISNUMBER($S495),MAX(0,INT((P$6+6-$S495)/$T495)-MAX(0,-INT(-(P$6-$S495)/$T495))+1),0)</f>
        <v>0.0</v>
      </c>
      <c r="Q495" s="97">
        <f>IF(ISNUMBER($S495),MAX(0,INT((Q$6+6-$S495)/$T495)-MAX(0,-INT(-(Q$6-$S495)/$T495))+1),0)</f>
        <v>0.0</v>
      </c>
      <c r="R495" s="97">
        <f>IF(ISNUMBER($S495),MAX(0,INT((R$6+6-$S495)/$T495)-MAX(0,-INT(-(R$6-$S495)/$T495))+1),0)</f>
        <v>0.0</v>
      </c>
      <c r="S495" t="str">
        <f>IF(ISNUMBER(INDEX(pl_period,486)),MAX(INDEX(pl_due,486),p_today),"")</f>
        <v/>
      </c>
      <c r="T495" t="str">
        <f>IF(ISNUMBER(INDEX(pl_period,486)),INDEX(pl_period,486),"")</f>
        <v/>
      </c>
      <c r="U495">
        <f>N(INDEX(pl_dur,486))</f>
        <v>0.0</v>
      </c>
    </row>
    <row r="496">
      <c r="A496" s="93" t="str">
        <f>IF(INDEX(pl_status,487)="","",INDEX(pl_num,487)&amp;"")</f>
        <v/>
      </c>
      <c r="B496" s="93" t="str">
        <f>IF(INDEX(pl_status,487)="","",INDEX(pl_eq,487)&amp;"")</f>
        <v/>
      </c>
      <c r="C496" s="93" t="str">
        <f>IF(INDEX(pl_status,487)="","",INDEX(pl_task,487)&amp;"")</f>
        <v/>
      </c>
      <c r="D496" s="94" t="str">
        <f>IF(ISNUMBER(INDEX(pl_due,487)),INDEX(pl_due,487),"")</f>
        <v/>
      </c>
      <c r="E496" s="95" t="str">
        <f>INDEX(pl_status,487)&amp;""</f>
        <v/>
      </c>
      <c r="F496" s="96" t="str">
        <f>IF(E496="En retard","●","")</f>
        <v/>
      </c>
      <c r="G496" s="97">
        <f>IF(ISNUMBER($S496),MAX(0,INT((G$6+6-$S496)/$T496)-MAX(0,-INT(-(G$6-$S496)/$T496))+1),0)</f>
        <v>0.0</v>
      </c>
      <c r="H496" s="97">
        <f>IF(ISNUMBER($S496),MAX(0,INT((H$6+6-$S496)/$T496)-MAX(0,-INT(-(H$6-$S496)/$T496))+1),0)</f>
        <v>0.0</v>
      </c>
      <c r="I496" s="97">
        <f>IF(ISNUMBER($S496),MAX(0,INT((I$6+6-$S496)/$T496)-MAX(0,-INT(-(I$6-$S496)/$T496))+1),0)</f>
        <v>0.0</v>
      </c>
      <c r="J496" s="97">
        <f>IF(ISNUMBER($S496),MAX(0,INT((J$6+6-$S496)/$T496)-MAX(0,-INT(-(J$6-$S496)/$T496))+1),0)</f>
        <v>0.0</v>
      </c>
      <c r="K496" s="97">
        <f>IF(ISNUMBER($S496),MAX(0,INT((K$6+6-$S496)/$T496)-MAX(0,-INT(-(K$6-$S496)/$T496))+1),0)</f>
        <v>0.0</v>
      </c>
      <c r="L496" s="97">
        <f>IF(ISNUMBER($S496),MAX(0,INT((L$6+6-$S496)/$T496)-MAX(0,-INT(-(L$6-$S496)/$T496))+1),0)</f>
        <v>0.0</v>
      </c>
      <c r="M496" s="97">
        <f>IF(ISNUMBER($S496),MAX(0,INT((M$6+6-$S496)/$T496)-MAX(0,-INT(-(M$6-$S496)/$T496))+1),0)</f>
        <v>0.0</v>
      </c>
      <c r="N496" s="97">
        <f>IF(ISNUMBER($S496),MAX(0,INT((N$6+6-$S496)/$T496)-MAX(0,-INT(-(N$6-$S496)/$T496))+1),0)</f>
        <v>0.0</v>
      </c>
      <c r="O496" s="97">
        <f>IF(ISNUMBER($S496),MAX(0,INT((O$6+6-$S496)/$T496)-MAX(0,-INT(-(O$6-$S496)/$T496))+1),0)</f>
        <v>0.0</v>
      </c>
      <c r="P496" s="97">
        <f>IF(ISNUMBER($S496),MAX(0,INT((P$6+6-$S496)/$T496)-MAX(0,-INT(-(P$6-$S496)/$T496))+1),0)</f>
        <v>0.0</v>
      </c>
      <c r="Q496" s="97">
        <f>IF(ISNUMBER($S496),MAX(0,INT((Q$6+6-$S496)/$T496)-MAX(0,-INT(-(Q$6-$S496)/$T496))+1),0)</f>
        <v>0.0</v>
      </c>
      <c r="R496" s="97">
        <f>IF(ISNUMBER($S496),MAX(0,INT((R$6+6-$S496)/$T496)-MAX(0,-INT(-(R$6-$S496)/$T496))+1),0)</f>
        <v>0.0</v>
      </c>
      <c r="S496" t="str">
        <f>IF(ISNUMBER(INDEX(pl_period,487)),MAX(INDEX(pl_due,487),p_today),"")</f>
        <v/>
      </c>
      <c r="T496" t="str">
        <f>IF(ISNUMBER(INDEX(pl_period,487)),INDEX(pl_period,487),"")</f>
        <v/>
      </c>
      <c r="U496">
        <f>N(INDEX(pl_dur,487))</f>
        <v>0.0</v>
      </c>
    </row>
    <row r="497">
      <c r="A497" s="93" t="str">
        <f>IF(INDEX(pl_status,488)="","",INDEX(pl_num,488)&amp;"")</f>
        <v/>
      </c>
      <c r="B497" s="93" t="str">
        <f>IF(INDEX(pl_status,488)="","",INDEX(pl_eq,488)&amp;"")</f>
        <v/>
      </c>
      <c r="C497" s="93" t="str">
        <f>IF(INDEX(pl_status,488)="","",INDEX(pl_task,488)&amp;"")</f>
        <v/>
      </c>
      <c r="D497" s="94" t="str">
        <f>IF(ISNUMBER(INDEX(pl_due,488)),INDEX(pl_due,488),"")</f>
        <v/>
      </c>
      <c r="E497" s="95" t="str">
        <f>INDEX(pl_status,488)&amp;""</f>
        <v/>
      </c>
      <c r="F497" s="96" t="str">
        <f>IF(E497="En retard","●","")</f>
        <v/>
      </c>
      <c r="G497" s="97">
        <f>IF(ISNUMBER($S497),MAX(0,INT((G$6+6-$S497)/$T497)-MAX(0,-INT(-(G$6-$S497)/$T497))+1),0)</f>
        <v>0.0</v>
      </c>
      <c r="H497" s="97">
        <f>IF(ISNUMBER($S497),MAX(0,INT((H$6+6-$S497)/$T497)-MAX(0,-INT(-(H$6-$S497)/$T497))+1),0)</f>
        <v>0.0</v>
      </c>
      <c r="I497" s="97">
        <f>IF(ISNUMBER($S497),MAX(0,INT((I$6+6-$S497)/$T497)-MAX(0,-INT(-(I$6-$S497)/$T497))+1),0)</f>
        <v>0.0</v>
      </c>
      <c r="J497" s="97">
        <f>IF(ISNUMBER($S497),MAX(0,INT((J$6+6-$S497)/$T497)-MAX(0,-INT(-(J$6-$S497)/$T497))+1),0)</f>
        <v>0.0</v>
      </c>
      <c r="K497" s="97">
        <f>IF(ISNUMBER($S497),MAX(0,INT((K$6+6-$S497)/$T497)-MAX(0,-INT(-(K$6-$S497)/$T497))+1),0)</f>
        <v>0.0</v>
      </c>
      <c r="L497" s="97">
        <f>IF(ISNUMBER($S497),MAX(0,INT((L$6+6-$S497)/$T497)-MAX(0,-INT(-(L$6-$S497)/$T497))+1),0)</f>
        <v>0.0</v>
      </c>
      <c r="M497" s="97">
        <f>IF(ISNUMBER($S497),MAX(0,INT((M$6+6-$S497)/$T497)-MAX(0,-INT(-(M$6-$S497)/$T497))+1),0)</f>
        <v>0.0</v>
      </c>
      <c r="N497" s="97">
        <f>IF(ISNUMBER($S497),MAX(0,INT((N$6+6-$S497)/$T497)-MAX(0,-INT(-(N$6-$S497)/$T497))+1),0)</f>
        <v>0.0</v>
      </c>
      <c r="O497" s="97">
        <f>IF(ISNUMBER($S497),MAX(0,INT((O$6+6-$S497)/$T497)-MAX(0,-INT(-(O$6-$S497)/$T497))+1),0)</f>
        <v>0.0</v>
      </c>
      <c r="P497" s="97">
        <f>IF(ISNUMBER($S497),MAX(0,INT((P$6+6-$S497)/$T497)-MAX(0,-INT(-(P$6-$S497)/$T497))+1),0)</f>
        <v>0.0</v>
      </c>
      <c r="Q497" s="97">
        <f>IF(ISNUMBER($S497),MAX(0,INT((Q$6+6-$S497)/$T497)-MAX(0,-INT(-(Q$6-$S497)/$T497))+1),0)</f>
        <v>0.0</v>
      </c>
      <c r="R497" s="97">
        <f>IF(ISNUMBER($S497),MAX(0,INT((R$6+6-$S497)/$T497)-MAX(0,-INT(-(R$6-$S497)/$T497))+1),0)</f>
        <v>0.0</v>
      </c>
      <c r="S497" t="str">
        <f>IF(ISNUMBER(INDEX(pl_period,488)),MAX(INDEX(pl_due,488),p_today),"")</f>
        <v/>
      </c>
      <c r="T497" t="str">
        <f>IF(ISNUMBER(INDEX(pl_period,488)),INDEX(pl_period,488),"")</f>
        <v/>
      </c>
      <c r="U497">
        <f>N(INDEX(pl_dur,488))</f>
        <v>0.0</v>
      </c>
    </row>
    <row r="498">
      <c r="A498" s="93" t="str">
        <f>IF(INDEX(pl_status,489)="","",INDEX(pl_num,489)&amp;"")</f>
        <v/>
      </c>
      <c r="B498" s="93" t="str">
        <f>IF(INDEX(pl_status,489)="","",INDEX(pl_eq,489)&amp;"")</f>
        <v/>
      </c>
      <c r="C498" s="93" t="str">
        <f>IF(INDEX(pl_status,489)="","",INDEX(pl_task,489)&amp;"")</f>
        <v/>
      </c>
      <c r="D498" s="94" t="str">
        <f>IF(ISNUMBER(INDEX(pl_due,489)),INDEX(pl_due,489),"")</f>
        <v/>
      </c>
      <c r="E498" s="95" t="str">
        <f>INDEX(pl_status,489)&amp;""</f>
        <v/>
      </c>
      <c r="F498" s="96" t="str">
        <f>IF(E498="En retard","●","")</f>
        <v/>
      </c>
      <c r="G498" s="97">
        <f>IF(ISNUMBER($S498),MAX(0,INT((G$6+6-$S498)/$T498)-MAX(0,-INT(-(G$6-$S498)/$T498))+1),0)</f>
        <v>0.0</v>
      </c>
      <c r="H498" s="97">
        <f>IF(ISNUMBER($S498),MAX(0,INT((H$6+6-$S498)/$T498)-MAX(0,-INT(-(H$6-$S498)/$T498))+1),0)</f>
        <v>0.0</v>
      </c>
      <c r="I498" s="97">
        <f>IF(ISNUMBER($S498),MAX(0,INT((I$6+6-$S498)/$T498)-MAX(0,-INT(-(I$6-$S498)/$T498))+1),0)</f>
        <v>0.0</v>
      </c>
      <c r="J498" s="97">
        <f>IF(ISNUMBER($S498),MAX(0,INT((J$6+6-$S498)/$T498)-MAX(0,-INT(-(J$6-$S498)/$T498))+1),0)</f>
        <v>0.0</v>
      </c>
      <c r="K498" s="97">
        <f>IF(ISNUMBER($S498),MAX(0,INT((K$6+6-$S498)/$T498)-MAX(0,-INT(-(K$6-$S498)/$T498))+1),0)</f>
        <v>0.0</v>
      </c>
      <c r="L498" s="97">
        <f>IF(ISNUMBER($S498),MAX(0,INT((L$6+6-$S498)/$T498)-MAX(0,-INT(-(L$6-$S498)/$T498))+1),0)</f>
        <v>0.0</v>
      </c>
      <c r="M498" s="97">
        <f>IF(ISNUMBER($S498),MAX(0,INT((M$6+6-$S498)/$T498)-MAX(0,-INT(-(M$6-$S498)/$T498))+1),0)</f>
        <v>0.0</v>
      </c>
      <c r="N498" s="97">
        <f>IF(ISNUMBER($S498),MAX(0,INT((N$6+6-$S498)/$T498)-MAX(0,-INT(-(N$6-$S498)/$T498))+1),0)</f>
        <v>0.0</v>
      </c>
      <c r="O498" s="97">
        <f>IF(ISNUMBER($S498),MAX(0,INT((O$6+6-$S498)/$T498)-MAX(0,-INT(-(O$6-$S498)/$T498))+1),0)</f>
        <v>0.0</v>
      </c>
      <c r="P498" s="97">
        <f>IF(ISNUMBER($S498),MAX(0,INT((P$6+6-$S498)/$T498)-MAX(0,-INT(-(P$6-$S498)/$T498))+1),0)</f>
        <v>0.0</v>
      </c>
      <c r="Q498" s="97">
        <f>IF(ISNUMBER($S498),MAX(0,INT((Q$6+6-$S498)/$T498)-MAX(0,-INT(-(Q$6-$S498)/$T498))+1),0)</f>
        <v>0.0</v>
      </c>
      <c r="R498" s="97">
        <f>IF(ISNUMBER($S498),MAX(0,INT((R$6+6-$S498)/$T498)-MAX(0,-INT(-(R$6-$S498)/$T498))+1),0)</f>
        <v>0.0</v>
      </c>
      <c r="S498" t="str">
        <f>IF(ISNUMBER(INDEX(pl_period,489)),MAX(INDEX(pl_due,489),p_today),"")</f>
        <v/>
      </c>
      <c r="T498" t="str">
        <f>IF(ISNUMBER(INDEX(pl_period,489)),INDEX(pl_period,489),"")</f>
        <v/>
      </c>
      <c r="U498">
        <f>N(INDEX(pl_dur,489))</f>
        <v>0.0</v>
      </c>
    </row>
    <row r="499">
      <c r="A499" s="93" t="str">
        <f>IF(INDEX(pl_status,490)="","",INDEX(pl_num,490)&amp;"")</f>
        <v/>
      </c>
      <c r="B499" s="93" t="str">
        <f>IF(INDEX(pl_status,490)="","",INDEX(pl_eq,490)&amp;"")</f>
        <v/>
      </c>
      <c r="C499" s="93" t="str">
        <f>IF(INDEX(pl_status,490)="","",INDEX(pl_task,490)&amp;"")</f>
        <v/>
      </c>
      <c r="D499" s="94" t="str">
        <f>IF(ISNUMBER(INDEX(pl_due,490)),INDEX(pl_due,490),"")</f>
        <v/>
      </c>
      <c r="E499" s="95" t="str">
        <f>INDEX(pl_status,490)&amp;""</f>
        <v/>
      </c>
      <c r="F499" s="96" t="str">
        <f>IF(E499="En retard","●","")</f>
        <v/>
      </c>
      <c r="G499" s="97">
        <f>IF(ISNUMBER($S499),MAX(0,INT((G$6+6-$S499)/$T499)-MAX(0,-INT(-(G$6-$S499)/$T499))+1),0)</f>
        <v>0.0</v>
      </c>
      <c r="H499" s="97">
        <f>IF(ISNUMBER($S499),MAX(0,INT((H$6+6-$S499)/$T499)-MAX(0,-INT(-(H$6-$S499)/$T499))+1),0)</f>
        <v>0.0</v>
      </c>
      <c r="I499" s="97">
        <f>IF(ISNUMBER($S499),MAX(0,INT((I$6+6-$S499)/$T499)-MAX(0,-INT(-(I$6-$S499)/$T499))+1),0)</f>
        <v>0.0</v>
      </c>
      <c r="J499" s="97">
        <f>IF(ISNUMBER($S499),MAX(0,INT((J$6+6-$S499)/$T499)-MAX(0,-INT(-(J$6-$S499)/$T499))+1),0)</f>
        <v>0.0</v>
      </c>
      <c r="K499" s="97">
        <f>IF(ISNUMBER($S499),MAX(0,INT((K$6+6-$S499)/$T499)-MAX(0,-INT(-(K$6-$S499)/$T499))+1),0)</f>
        <v>0.0</v>
      </c>
      <c r="L499" s="97">
        <f>IF(ISNUMBER($S499),MAX(0,INT((L$6+6-$S499)/$T499)-MAX(0,-INT(-(L$6-$S499)/$T499))+1),0)</f>
        <v>0.0</v>
      </c>
      <c r="M499" s="97">
        <f>IF(ISNUMBER($S499),MAX(0,INT((M$6+6-$S499)/$T499)-MAX(0,-INT(-(M$6-$S499)/$T499))+1),0)</f>
        <v>0.0</v>
      </c>
      <c r="N499" s="97">
        <f>IF(ISNUMBER($S499),MAX(0,INT((N$6+6-$S499)/$T499)-MAX(0,-INT(-(N$6-$S499)/$T499))+1),0)</f>
        <v>0.0</v>
      </c>
      <c r="O499" s="97">
        <f>IF(ISNUMBER($S499),MAX(0,INT((O$6+6-$S499)/$T499)-MAX(0,-INT(-(O$6-$S499)/$T499))+1),0)</f>
        <v>0.0</v>
      </c>
      <c r="P499" s="97">
        <f>IF(ISNUMBER($S499),MAX(0,INT((P$6+6-$S499)/$T499)-MAX(0,-INT(-(P$6-$S499)/$T499))+1),0)</f>
        <v>0.0</v>
      </c>
      <c r="Q499" s="97">
        <f>IF(ISNUMBER($S499),MAX(0,INT((Q$6+6-$S499)/$T499)-MAX(0,-INT(-(Q$6-$S499)/$T499))+1),0)</f>
        <v>0.0</v>
      </c>
      <c r="R499" s="97">
        <f>IF(ISNUMBER($S499),MAX(0,INT((R$6+6-$S499)/$T499)-MAX(0,-INT(-(R$6-$S499)/$T499))+1),0)</f>
        <v>0.0</v>
      </c>
      <c r="S499" t="str">
        <f>IF(ISNUMBER(INDEX(pl_period,490)),MAX(INDEX(pl_due,490),p_today),"")</f>
        <v/>
      </c>
      <c r="T499" t="str">
        <f>IF(ISNUMBER(INDEX(pl_period,490)),INDEX(pl_period,490),"")</f>
        <v/>
      </c>
      <c r="U499">
        <f>N(INDEX(pl_dur,490))</f>
        <v>0.0</v>
      </c>
    </row>
    <row r="500">
      <c r="A500" s="93" t="str">
        <f>IF(INDEX(pl_status,491)="","",INDEX(pl_num,491)&amp;"")</f>
        <v/>
      </c>
      <c r="B500" s="93" t="str">
        <f>IF(INDEX(pl_status,491)="","",INDEX(pl_eq,491)&amp;"")</f>
        <v/>
      </c>
      <c r="C500" s="93" t="str">
        <f>IF(INDEX(pl_status,491)="","",INDEX(pl_task,491)&amp;"")</f>
        <v/>
      </c>
      <c r="D500" s="94" t="str">
        <f>IF(ISNUMBER(INDEX(pl_due,491)),INDEX(pl_due,491),"")</f>
        <v/>
      </c>
      <c r="E500" s="95" t="str">
        <f>INDEX(pl_status,491)&amp;""</f>
        <v/>
      </c>
      <c r="F500" s="96" t="str">
        <f>IF(E500="En retard","●","")</f>
        <v/>
      </c>
      <c r="G500" s="97">
        <f>IF(ISNUMBER($S500),MAX(0,INT((G$6+6-$S500)/$T500)-MAX(0,-INT(-(G$6-$S500)/$T500))+1),0)</f>
        <v>0.0</v>
      </c>
      <c r="H500" s="97">
        <f>IF(ISNUMBER($S500),MAX(0,INT((H$6+6-$S500)/$T500)-MAX(0,-INT(-(H$6-$S500)/$T500))+1),0)</f>
        <v>0.0</v>
      </c>
      <c r="I500" s="97">
        <f>IF(ISNUMBER($S500),MAX(0,INT((I$6+6-$S500)/$T500)-MAX(0,-INT(-(I$6-$S500)/$T500))+1),0)</f>
        <v>0.0</v>
      </c>
      <c r="J500" s="97">
        <f>IF(ISNUMBER($S500),MAX(0,INT((J$6+6-$S500)/$T500)-MAX(0,-INT(-(J$6-$S500)/$T500))+1),0)</f>
        <v>0.0</v>
      </c>
      <c r="K500" s="97">
        <f>IF(ISNUMBER($S500),MAX(0,INT((K$6+6-$S500)/$T500)-MAX(0,-INT(-(K$6-$S500)/$T500))+1),0)</f>
        <v>0.0</v>
      </c>
      <c r="L500" s="97">
        <f>IF(ISNUMBER($S500),MAX(0,INT((L$6+6-$S500)/$T500)-MAX(0,-INT(-(L$6-$S500)/$T500))+1),0)</f>
        <v>0.0</v>
      </c>
      <c r="M500" s="97">
        <f>IF(ISNUMBER($S500),MAX(0,INT((M$6+6-$S500)/$T500)-MAX(0,-INT(-(M$6-$S500)/$T500))+1),0)</f>
        <v>0.0</v>
      </c>
      <c r="N500" s="97">
        <f>IF(ISNUMBER($S500),MAX(0,INT((N$6+6-$S500)/$T500)-MAX(0,-INT(-(N$6-$S500)/$T500))+1),0)</f>
        <v>0.0</v>
      </c>
      <c r="O500" s="97">
        <f>IF(ISNUMBER($S500),MAX(0,INT((O$6+6-$S500)/$T500)-MAX(0,-INT(-(O$6-$S500)/$T500))+1),0)</f>
        <v>0.0</v>
      </c>
      <c r="P500" s="97">
        <f>IF(ISNUMBER($S500),MAX(0,INT((P$6+6-$S500)/$T500)-MAX(0,-INT(-(P$6-$S500)/$T500))+1),0)</f>
        <v>0.0</v>
      </c>
      <c r="Q500" s="97">
        <f>IF(ISNUMBER($S500),MAX(0,INT((Q$6+6-$S500)/$T500)-MAX(0,-INT(-(Q$6-$S500)/$T500))+1),0)</f>
        <v>0.0</v>
      </c>
      <c r="R500" s="97">
        <f>IF(ISNUMBER($S500),MAX(0,INT((R$6+6-$S500)/$T500)-MAX(0,-INT(-(R$6-$S500)/$T500))+1),0)</f>
        <v>0.0</v>
      </c>
      <c r="S500" t="str">
        <f>IF(ISNUMBER(INDEX(pl_period,491)),MAX(INDEX(pl_due,491),p_today),"")</f>
        <v/>
      </c>
      <c r="T500" t="str">
        <f>IF(ISNUMBER(INDEX(pl_period,491)),INDEX(pl_period,491),"")</f>
        <v/>
      </c>
      <c r="U500">
        <f>N(INDEX(pl_dur,491))</f>
        <v>0.0</v>
      </c>
    </row>
    <row r="501">
      <c r="A501" s="93" t="str">
        <f>IF(INDEX(pl_status,492)="","",INDEX(pl_num,492)&amp;"")</f>
        <v/>
      </c>
      <c r="B501" s="93" t="str">
        <f>IF(INDEX(pl_status,492)="","",INDEX(pl_eq,492)&amp;"")</f>
        <v/>
      </c>
      <c r="C501" s="93" t="str">
        <f>IF(INDEX(pl_status,492)="","",INDEX(pl_task,492)&amp;"")</f>
        <v/>
      </c>
      <c r="D501" s="94" t="str">
        <f>IF(ISNUMBER(INDEX(pl_due,492)),INDEX(pl_due,492),"")</f>
        <v/>
      </c>
      <c r="E501" s="95" t="str">
        <f>INDEX(pl_status,492)&amp;""</f>
        <v/>
      </c>
      <c r="F501" s="96" t="str">
        <f>IF(E501="En retard","●","")</f>
        <v/>
      </c>
      <c r="G501" s="97">
        <f>IF(ISNUMBER($S501),MAX(0,INT((G$6+6-$S501)/$T501)-MAX(0,-INT(-(G$6-$S501)/$T501))+1),0)</f>
        <v>0.0</v>
      </c>
      <c r="H501" s="97">
        <f>IF(ISNUMBER($S501),MAX(0,INT((H$6+6-$S501)/$T501)-MAX(0,-INT(-(H$6-$S501)/$T501))+1),0)</f>
        <v>0.0</v>
      </c>
      <c r="I501" s="97">
        <f>IF(ISNUMBER($S501),MAX(0,INT((I$6+6-$S501)/$T501)-MAX(0,-INT(-(I$6-$S501)/$T501))+1),0)</f>
        <v>0.0</v>
      </c>
      <c r="J501" s="97">
        <f>IF(ISNUMBER($S501),MAX(0,INT((J$6+6-$S501)/$T501)-MAX(0,-INT(-(J$6-$S501)/$T501))+1),0)</f>
        <v>0.0</v>
      </c>
      <c r="K501" s="97">
        <f>IF(ISNUMBER($S501),MAX(0,INT((K$6+6-$S501)/$T501)-MAX(0,-INT(-(K$6-$S501)/$T501))+1),0)</f>
        <v>0.0</v>
      </c>
      <c r="L501" s="97">
        <f>IF(ISNUMBER($S501),MAX(0,INT((L$6+6-$S501)/$T501)-MAX(0,-INT(-(L$6-$S501)/$T501))+1),0)</f>
        <v>0.0</v>
      </c>
      <c r="M501" s="97">
        <f>IF(ISNUMBER($S501),MAX(0,INT((M$6+6-$S501)/$T501)-MAX(0,-INT(-(M$6-$S501)/$T501))+1),0)</f>
        <v>0.0</v>
      </c>
      <c r="N501" s="97">
        <f>IF(ISNUMBER($S501),MAX(0,INT((N$6+6-$S501)/$T501)-MAX(0,-INT(-(N$6-$S501)/$T501))+1),0)</f>
        <v>0.0</v>
      </c>
      <c r="O501" s="97">
        <f>IF(ISNUMBER($S501),MAX(0,INT((O$6+6-$S501)/$T501)-MAX(0,-INT(-(O$6-$S501)/$T501))+1),0)</f>
        <v>0.0</v>
      </c>
      <c r="P501" s="97">
        <f>IF(ISNUMBER($S501),MAX(0,INT((P$6+6-$S501)/$T501)-MAX(0,-INT(-(P$6-$S501)/$T501))+1),0)</f>
        <v>0.0</v>
      </c>
      <c r="Q501" s="97">
        <f>IF(ISNUMBER($S501),MAX(0,INT((Q$6+6-$S501)/$T501)-MAX(0,-INT(-(Q$6-$S501)/$T501))+1),0)</f>
        <v>0.0</v>
      </c>
      <c r="R501" s="97">
        <f>IF(ISNUMBER($S501),MAX(0,INT((R$6+6-$S501)/$T501)-MAX(0,-INT(-(R$6-$S501)/$T501))+1),0)</f>
        <v>0.0</v>
      </c>
      <c r="S501" t="str">
        <f>IF(ISNUMBER(INDEX(pl_period,492)),MAX(INDEX(pl_due,492),p_today),"")</f>
        <v/>
      </c>
      <c r="T501" t="str">
        <f>IF(ISNUMBER(INDEX(pl_period,492)),INDEX(pl_period,492),"")</f>
        <v/>
      </c>
      <c r="U501">
        <f>N(INDEX(pl_dur,492))</f>
        <v>0.0</v>
      </c>
    </row>
    <row r="502">
      <c r="A502" s="93" t="str">
        <f>IF(INDEX(pl_status,493)="","",INDEX(pl_num,493)&amp;"")</f>
        <v/>
      </c>
      <c r="B502" s="93" t="str">
        <f>IF(INDEX(pl_status,493)="","",INDEX(pl_eq,493)&amp;"")</f>
        <v/>
      </c>
      <c r="C502" s="93" t="str">
        <f>IF(INDEX(pl_status,493)="","",INDEX(pl_task,493)&amp;"")</f>
        <v/>
      </c>
      <c r="D502" s="94" t="str">
        <f>IF(ISNUMBER(INDEX(pl_due,493)),INDEX(pl_due,493),"")</f>
        <v/>
      </c>
      <c r="E502" s="95" t="str">
        <f>INDEX(pl_status,493)&amp;""</f>
        <v/>
      </c>
      <c r="F502" s="96" t="str">
        <f>IF(E502="En retard","●","")</f>
        <v/>
      </c>
      <c r="G502" s="97">
        <f>IF(ISNUMBER($S502),MAX(0,INT((G$6+6-$S502)/$T502)-MAX(0,-INT(-(G$6-$S502)/$T502))+1),0)</f>
        <v>0.0</v>
      </c>
      <c r="H502" s="97">
        <f>IF(ISNUMBER($S502),MAX(0,INT((H$6+6-$S502)/$T502)-MAX(0,-INT(-(H$6-$S502)/$T502))+1),0)</f>
        <v>0.0</v>
      </c>
      <c r="I502" s="97">
        <f>IF(ISNUMBER($S502),MAX(0,INT((I$6+6-$S502)/$T502)-MAX(0,-INT(-(I$6-$S502)/$T502))+1),0)</f>
        <v>0.0</v>
      </c>
      <c r="J502" s="97">
        <f>IF(ISNUMBER($S502),MAX(0,INT((J$6+6-$S502)/$T502)-MAX(0,-INT(-(J$6-$S502)/$T502))+1),0)</f>
        <v>0.0</v>
      </c>
      <c r="K502" s="97">
        <f>IF(ISNUMBER($S502),MAX(0,INT((K$6+6-$S502)/$T502)-MAX(0,-INT(-(K$6-$S502)/$T502))+1),0)</f>
        <v>0.0</v>
      </c>
      <c r="L502" s="97">
        <f>IF(ISNUMBER($S502),MAX(0,INT((L$6+6-$S502)/$T502)-MAX(0,-INT(-(L$6-$S502)/$T502))+1),0)</f>
        <v>0.0</v>
      </c>
      <c r="M502" s="97">
        <f>IF(ISNUMBER($S502),MAX(0,INT((M$6+6-$S502)/$T502)-MAX(0,-INT(-(M$6-$S502)/$T502))+1),0)</f>
        <v>0.0</v>
      </c>
      <c r="N502" s="97">
        <f>IF(ISNUMBER($S502),MAX(0,INT((N$6+6-$S502)/$T502)-MAX(0,-INT(-(N$6-$S502)/$T502))+1),0)</f>
        <v>0.0</v>
      </c>
      <c r="O502" s="97">
        <f>IF(ISNUMBER($S502),MAX(0,INT((O$6+6-$S502)/$T502)-MAX(0,-INT(-(O$6-$S502)/$T502))+1),0)</f>
        <v>0.0</v>
      </c>
      <c r="P502" s="97">
        <f>IF(ISNUMBER($S502),MAX(0,INT((P$6+6-$S502)/$T502)-MAX(0,-INT(-(P$6-$S502)/$T502))+1),0)</f>
        <v>0.0</v>
      </c>
      <c r="Q502" s="97">
        <f>IF(ISNUMBER($S502),MAX(0,INT((Q$6+6-$S502)/$T502)-MAX(0,-INT(-(Q$6-$S502)/$T502))+1),0)</f>
        <v>0.0</v>
      </c>
      <c r="R502" s="97">
        <f>IF(ISNUMBER($S502),MAX(0,INT((R$6+6-$S502)/$T502)-MAX(0,-INT(-(R$6-$S502)/$T502))+1),0)</f>
        <v>0.0</v>
      </c>
      <c r="S502" t="str">
        <f>IF(ISNUMBER(INDEX(pl_period,493)),MAX(INDEX(pl_due,493),p_today),"")</f>
        <v/>
      </c>
      <c r="T502" t="str">
        <f>IF(ISNUMBER(INDEX(pl_period,493)),INDEX(pl_period,493),"")</f>
        <v/>
      </c>
      <c r="U502">
        <f>N(INDEX(pl_dur,493))</f>
        <v>0.0</v>
      </c>
    </row>
    <row r="503">
      <c r="A503" s="93" t="str">
        <f>IF(INDEX(pl_status,494)="","",INDEX(pl_num,494)&amp;"")</f>
        <v/>
      </c>
      <c r="B503" s="93" t="str">
        <f>IF(INDEX(pl_status,494)="","",INDEX(pl_eq,494)&amp;"")</f>
        <v/>
      </c>
      <c r="C503" s="93" t="str">
        <f>IF(INDEX(pl_status,494)="","",INDEX(pl_task,494)&amp;"")</f>
        <v/>
      </c>
      <c r="D503" s="94" t="str">
        <f>IF(ISNUMBER(INDEX(pl_due,494)),INDEX(pl_due,494),"")</f>
        <v/>
      </c>
      <c r="E503" s="95" t="str">
        <f>INDEX(pl_status,494)&amp;""</f>
        <v/>
      </c>
      <c r="F503" s="96" t="str">
        <f>IF(E503="En retard","●","")</f>
        <v/>
      </c>
      <c r="G503" s="97">
        <f>IF(ISNUMBER($S503),MAX(0,INT((G$6+6-$S503)/$T503)-MAX(0,-INT(-(G$6-$S503)/$T503))+1),0)</f>
        <v>0.0</v>
      </c>
      <c r="H503" s="97">
        <f>IF(ISNUMBER($S503),MAX(0,INT((H$6+6-$S503)/$T503)-MAX(0,-INT(-(H$6-$S503)/$T503))+1),0)</f>
        <v>0.0</v>
      </c>
      <c r="I503" s="97">
        <f>IF(ISNUMBER($S503),MAX(0,INT((I$6+6-$S503)/$T503)-MAX(0,-INT(-(I$6-$S503)/$T503))+1),0)</f>
        <v>0.0</v>
      </c>
      <c r="J503" s="97">
        <f>IF(ISNUMBER($S503),MAX(0,INT((J$6+6-$S503)/$T503)-MAX(0,-INT(-(J$6-$S503)/$T503))+1),0)</f>
        <v>0.0</v>
      </c>
      <c r="K503" s="97">
        <f>IF(ISNUMBER($S503),MAX(0,INT((K$6+6-$S503)/$T503)-MAX(0,-INT(-(K$6-$S503)/$T503))+1),0)</f>
        <v>0.0</v>
      </c>
      <c r="L503" s="97">
        <f>IF(ISNUMBER($S503),MAX(0,INT((L$6+6-$S503)/$T503)-MAX(0,-INT(-(L$6-$S503)/$T503))+1),0)</f>
        <v>0.0</v>
      </c>
      <c r="M503" s="97">
        <f>IF(ISNUMBER($S503),MAX(0,INT((M$6+6-$S503)/$T503)-MAX(0,-INT(-(M$6-$S503)/$T503))+1),0)</f>
        <v>0.0</v>
      </c>
      <c r="N503" s="97">
        <f>IF(ISNUMBER($S503),MAX(0,INT((N$6+6-$S503)/$T503)-MAX(0,-INT(-(N$6-$S503)/$T503))+1),0)</f>
        <v>0.0</v>
      </c>
      <c r="O503" s="97">
        <f>IF(ISNUMBER($S503),MAX(0,INT((O$6+6-$S503)/$T503)-MAX(0,-INT(-(O$6-$S503)/$T503))+1),0)</f>
        <v>0.0</v>
      </c>
      <c r="P503" s="97">
        <f>IF(ISNUMBER($S503),MAX(0,INT((P$6+6-$S503)/$T503)-MAX(0,-INT(-(P$6-$S503)/$T503))+1),0)</f>
        <v>0.0</v>
      </c>
      <c r="Q503" s="97">
        <f>IF(ISNUMBER($S503),MAX(0,INT((Q$6+6-$S503)/$T503)-MAX(0,-INT(-(Q$6-$S503)/$T503))+1),0)</f>
        <v>0.0</v>
      </c>
      <c r="R503" s="97">
        <f>IF(ISNUMBER($S503),MAX(0,INT((R$6+6-$S503)/$T503)-MAX(0,-INT(-(R$6-$S503)/$T503))+1),0)</f>
        <v>0.0</v>
      </c>
      <c r="S503" t="str">
        <f>IF(ISNUMBER(INDEX(pl_period,494)),MAX(INDEX(pl_due,494),p_today),"")</f>
        <v/>
      </c>
      <c r="T503" t="str">
        <f>IF(ISNUMBER(INDEX(pl_period,494)),INDEX(pl_period,494),"")</f>
        <v/>
      </c>
      <c r="U503">
        <f>N(INDEX(pl_dur,494))</f>
        <v>0.0</v>
      </c>
    </row>
    <row r="504">
      <c r="A504" s="93" t="str">
        <f>IF(INDEX(pl_status,495)="","",INDEX(pl_num,495)&amp;"")</f>
        <v/>
      </c>
      <c r="B504" s="93" t="str">
        <f>IF(INDEX(pl_status,495)="","",INDEX(pl_eq,495)&amp;"")</f>
        <v/>
      </c>
      <c r="C504" s="93" t="str">
        <f>IF(INDEX(pl_status,495)="","",INDEX(pl_task,495)&amp;"")</f>
        <v/>
      </c>
      <c r="D504" s="94" t="str">
        <f>IF(ISNUMBER(INDEX(pl_due,495)),INDEX(pl_due,495),"")</f>
        <v/>
      </c>
      <c r="E504" s="95" t="str">
        <f>INDEX(pl_status,495)&amp;""</f>
        <v/>
      </c>
      <c r="F504" s="96" t="str">
        <f>IF(E504="En retard","●","")</f>
        <v/>
      </c>
      <c r="G504" s="97">
        <f>IF(ISNUMBER($S504),MAX(0,INT((G$6+6-$S504)/$T504)-MAX(0,-INT(-(G$6-$S504)/$T504))+1),0)</f>
        <v>0.0</v>
      </c>
      <c r="H504" s="97">
        <f>IF(ISNUMBER($S504),MAX(0,INT((H$6+6-$S504)/$T504)-MAX(0,-INT(-(H$6-$S504)/$T504))+1),0)</f>
        <v>0.0</v>
      </c>
      <c r="I504" s="97">
        <f>IF(ISNUMBER($S504),MAX(0,INT((I$6+6-$S504)/$T504)-MAX(0,-INT(-(I$6-$S504)/$T504))+1),0)</f>
        <v>0.0</v>
      </c>
      <c r="J504" s="97">
        <f>IF(ISNUMBER($S504),MAX(0,INT((J$6+6-$S504)/$T504)-MAX(0,-INT(-(J$6-$S504)/$T504))+1),0)</f>
        <v>0.0</v>
      </c>
      <c r="K504" s="97">
        <f>IF(ISNUMBER($S504),MAX(0,INT((K$6+6-$S504)/$T504)-MAX(0,-INT(-(K$6-$S504)/$T504))+1),0)</f>
        <v>0.0</v>
      </c>
      <c r="L504" s="97">
        <f>IF(ISNUMBER($S504),MAX(0,INT((L$6+6-$S504)/$T504)-MAX(0,-INT(-(L$6-$S504)/$T504))+1),0)</f>
        <v>0.0</v>
      </c>
      <c r="M504" s="97">
        <f>IF(ISNUMBER($S504),MAX(0,INT((M$6+6-$S504)/$T504)-MAX(0,-INT(-(M$6-$S504)/$T504))+1),0)</f>
        <v>0.0</v>
      </c>
      <c r="N504" s="97">
        <f>IF(ISNUMBER($S504),MAX(0,INT((N$6+6-$S504)/$T504)-MAX(0,-INT(-(N$6-$S504)/$T504))+1),0)</f>
        <v>0.0</v>
      </c>
      <c r="O504" s="97">
        <f>IF(ISNUMBER($S504),MAX(0,INT((O$6+6-$S504)/$T504)-MAX(0,-INT(-(O$6-$S504)/$T504))+1),0)</f>
        <v>0.0</v>
      </c>
      <c r="P504" s="97">
        <f>IF(ISNUMBER($S504),MAX(0,INT((P$6+6-$S504)/$T504)-MAX(0,-INT(-(P$6-$S504)/$T504))+1),0)</f>
        <v>0.0</v>
      </c>
      <c r="Q504" s="97">
        <f>IF(ISNUMBER($S504),MAX(0,INT((Q$6+6-$S504)/$T504)-MAX(0,-INT(-(Q$6-$S504)/$T504))+1),0)</f>
        <v>0.0</v>
      </c>
      <c r="R504" s="97">
        <f>IF(ISNUMBER($S504),MAX(0,INT((R$6+6-$S504)/$T504)-MAX(0,-INT(-(R$6-$S504)/$T504))+1),0)</f>
        <v>0.0</v>
      </c>
      <c r="S504" t="str">
        <f>IF(ISNUMBER(INDEX(pl_period,495)),MAX(INDEX(pl_due,495),p_today),"")</f>
        <v/>
      </c>
      <c r="T504" t="str">
        <f>IF(ISNUMBER(INDEX(pl_period,495)),INDEX(pl_period,495),"")</f>
        <v/>
      </c>
      <c r="U504">
        <f>N(INDEX(pl_dur,495))</f>
        <v>0.0</v>
      </c>
    </row>
    <row r="505">
      <c r="A505" s="93" t="str">
        <f>IF(INDEX(pl_status,496)="","",INDEX(pl_num,496)&amp;"")</f>
        <v/>
      </c>
      <c r="B505" s="93" t="str">
        <f>IF(INDEX(pl_status,496)="","",INDEX(pl_eq,496)&amp;"")</f>
        <v/>
      </c>
      <c r="C505" s="93" t="str">
        <f>IF(INDEX(pl_status,496)="","",INDEX(pl_task,496)&amp;"")</f>
        <v/>
      </c>
      <c r="D505" s="94" t="str">
        <f>IF(ISNUMBER(INDEX(pl_due,496)),INDEX(pl_due,496),"")</f>
        <v/>
      </c>
      <c r="E505" s="95" t="str">
        <f>INDEX(pl_status,496)&amp;""</f>
        <v/>
      </c>
      <c r="F505" s="96" t="str">
        <f>IF(E505="En retard","●","")</f>
        <v/>
      </c>
      <c r="G505" s="97">
        <f>IF(ISNUMBER($S505),MAX(0,INT((G$6+6-$S505)/$T505)-MAX(0,-INT(-(G$6-$S505)/$T505))+1),0)</f>
        <v>0.0</v>
      </c>
      <c r="H505" s="97">
        <f>IF(ISNUMBER($S505),MAX(0,INT((H$6+6-$S505)/$T505)-MAX(0,-INT(-(H$6-$S505)/$T505))+1),0)</f>
        <v>0.0</v>
      </c>
      <c r="I505" s="97">
        <f>IF(ISNUMBER($S505),MAX(0,INT((I$6+6-$S505)/$T505)-MAX(0,-INT(-(I$6-$S505)/$T505))+1),0)</f>
        <v>0.0</v>
      </c>
      <c r="J505" s="97">
        <f>IF(ISNUMBER($S505),MAX(0,INT((J$6+6-$S505)/$T505)-MAX(0,-INT(-(J$6-$S505)/$T505))+1),0)</f>
        <v>0.0</v>
      </c>
      <c r="K505" s="97">
        <f>IF(ISNUMBER($S505),MAX(0,INT((K$6+6-$S505)/$T505)-MAX(0,-INT(-(K$6-$S505)/$T505))+1),0)</f>
        <v>0.0</v>
      </c>
      <c r="L505" s="97">
        <f>IF(ISNUMBER($S505),MAX(0,INT((L$6+6-$S505)/$T505)-MAX(0,-INT(-(L$6-$S505)/$T505))+1),0)</f>
        <v>0.0</v>
      </c>
      <c r="M505" s="97">
        <f>IF(ISNUMBER($S505),MAX(0,INT((M$6+6-$S505)/$T505)-MAX(0,-INT(-(M$6-$S505)/$T505))+1),0)</f>
        <v>0.0</v>
      </c>
      <c r="N505" s="97">
        <f>IF(ISNUMBER($S505),MAX(0,INT((N$6+6-$S505)/$T505)-MAX(0,-INT(-(N$6-$S505)/$T505))+1),0)</f>
        <v>0.0</v>
      </c>
      <c r="O505" s="97">
        <f>IF(ISNUMBER($S505),MAX(0,INT((O$6+6-$S505)/$T505)-MAX(0,-INT(-(O$6-$S505)/$T505))+1),0)</f>
        <v>0.0</v>
      </c>
      <c r="P505" s="97">
        <f>IF(ISNUMBER($S505),MAX(0,INT((P$6+6-$S505)/$T505)-MAX(0,-INT(-(P$6-$S505)/$T505))+1),0)</f>
        <v>0.0</v>
      </c>
      <c r="Q505" s="97">
        <f>IF(ISNUMBER($S505),MAX(0,INT((Q$6+6-$S505)/$T505)-MAX(0,-INT(-(Q$6-$S505)/$T505))+1),0)</f>
        <v>0.0</v>
      </c>
      <c r="R505" s="97">
        <f>IF(ISNUMBER($S505),MAX(0,INT((R$6+6-$S505)/$T505)-MAX(0,-INT(-(R$6-$S505)/$T505))+1),0)</f>
        <v>0.0</v>
      </c>
      <c r="S505" t="str">
        <f>IF(ISNUMBER(INDEX(pl_period,496)),MAX(INDEX(pl_due,496),p_today),"")</f>
        <v/>
      </c>
      <c r="T505" t="str">
        <f>IF(ISNUMBER(INDEX(pl_period,496)),INDEX(pl_period,496),"")</f>
        <v/>
      </c>
      <c r="U505">
        <f>N(INDEX(pl_dur,496))</f>
        <v>0.0</v>
      </c>
    </row>
    <row r="506">
      <c r="A506" s="93" t="str">
        <f>IF(INDEX(pl_status,497)="","",INDEX(pl_num,497)&amp;"")</f>
        <v/>
      </c>
      <c r="B506" s="93" t="str">
        <f>IF(INDEX(pl_status,497)="","",INDEX(pl_eq,497)&amp;"")</f>
        <v/>
      </c>
      <c r="C506" s="93" t="str">
        <f>IF(INDEX(pl_status,497)="","",INDEX(pl_task,497)&amp;"")</f>
        <v/>
      </c>
      <c r="D506" s="94" t="str">
        <f>IF(ISNUMBER(INDEX(pl_due,497)),INDEX(pl_due,497),"")</f>
        <v/>
      </c>
      <c r="E506" s="95" t="str">
        <f>INDEX(pl_status,497)&amp;""</f>
        <v/>
      </c>
      <c r="F506" s="96" t="str">
        <f>IF(E506="En retard","●","")</f>
        <v/>
      </c>
      <c r="G506" s="97">
        <f>IF(ISNUMBER($S506),MAX(0,INT((G$6+6-$S506)/$T506)-MAX(0,-INT(-(G$6-$S506)/$T506))+1),0)</f>
        <v>0.0</v>
      </c>
      <c r="H506" s="97">
        <f>IF(ISNUMBER($S506),MAX(0,INT((H$6+6-$S506)/$T506)-MAX(0,-INT(-(H$6-$S506)/$T506))+1),0)</f>
        <v>0.0</v>
      </c>
      <c r="I506" s="97">
        <f>IF(ISNUMBER($S506),MAX(0,INT((I$6+6-$S506)/$T506)-MAX(0,-INT(-(I$6-$S506)/$T506))+1),0)</f>
        <v>0.0</v>
      </c>
      <c r="J506" s="97">
        <f>IF(ISNUMBER($S506),MAX(0,INT((J$6+6-$S506)/$T506)-MAX(0,-INT(-(J$6-$S506)/$T506))+1),0)</f>
        <v>0.0</v>
      </c>
      <c r="K506" s="97">
        <f>IF(ISNUMBER($S506),MAX(0,INT((K$6+6-$S506)/$T506)-MAX(0,-INT(-(K$6-$S506)/$T506))+1),0)</f>
        <v>0.0</v>
      </c>
      <c r="L506" s="97">
        <f>IF(ISNUMBER($S506),MAX(0,INT((L$6+6-$S506)/$T506)-MAX(0,-INT(-(L$6-$S506)/$T506))+1),0)</f>
        <v>0.0</v>
      </c>
      <c r="M506" s="97">
        <f>IF(ISNUMBER($S506),MAX(0,INT((M$6+6-$S506)/$T506)-MAX(0,-INT(-(M$6-$S506)/$T506))+1),0)</f>
        <v>0.0</v>
      </c>
      <c r="N506" s="97">
        <f>IF(ISNUMBER($S506),MAX(0,INT((N$6+6-$S506)/$T506)-MAX(0,-INT(-(N$6-$S506)/$T506))+1),0)</f>
        <v>0.0</v>
      </c>
      <c r="O506" s="97">
        <f>IF(ISNUMBER($S506),MAX(0,INT((O$6+6-$S506)/$T506)-MAX(0,-INT(-(O$6-$S506)/$T506))+1),0)</f>
        <v>0.0</v>
      </c>
      <c r="P506" s="97">
        <f>IF(ISNUMBER($S506),MAX(0,INT((P$6+6-$S506)/$T506)-MAX(0,-INT(-(P$6-$S506)/$T506))+1),0)</f>
        <v>0.0</v>
      </c>
      <c r="Q506" s="97">
        <f>IF(ISNUMBER($S506),MAX(0,INT((Q$6+6-$S506)/$T506)-MAX(0,-INT(-(Q$6-$S506)/$T506))+1),0)</f>
        <v>0.0</v>
      </c>
      <c r="R506" s="97">
        <f>IF(ISNUMBER($S506),MAX(0,INT((R$6+6-$S506)/$T506)-MAX(0,-INT(-(R$6-$S506)/$T506))+1),0)</f>
        <v>0.0</v>
      </c>
      <c r="S506" t="str">
        <f>IF(ISNUMBER(INDEX(pl_period,497)),MAX(INDEX(pl_due,497),p_today),"")</f>
        <v/>
      </c>
      <c r="T506" t="str">
        <f>IF(ISNUMBER(INDEX(pl_period,497)),INDEX(pl_period,497),"")</f>
        <v/>
      </c>
      <c r="U506">
        <f>N(INDEX(pl_dur,497))</f>
        <v>0.0</v>
      </c>
    </row>
    <row r="507">
      <c r="A507" s="93" t="str">
        <f>IF(INDEX(pl_status,498)="","",INDEX(pl_num,498)&amp;"")</f>
        <v/>
      </c>
      <c r="B507" s="93" t="str">
        <f>IF(INDEX(pl_status,498)="","",INDEX(pl_eq,498)&amp;"")</f>
        <v/>
      </c>
      <c r="C507" s="93" t="str">
        <f>IF(INDEX(pl_status,498)="","",INDEX(pl_task,498)&amp;"")</f>
        <v/>
      </c>
      <c r="D507" s="94" t="str">
        <f>IF(ISNUMBER(INDEX(pl_due,498)),INDEX(pl_due,498),"")</f>
        <v/>
      </c>
      <c r="E507" s="95" t="str">
        <f>INDEX(pl_status,498)&amp;""</f>
        <v/>
      </c>
      <c r="F507" s="96" t="str">
        <f>IF(E507="En retard","●","")</f>
        <v/>
      </c>
      <c r="G507" s="97">
        <f>IF(ISNUMBER($S507),MAX(0,INT((G$6+6-$S507)/$T507)-MAX(0,-INT(-(G$6-$S507)/$T507))+1),0)</f>
        <v>0.0</v>
      </c>
      <c r="H507" s="97">
        <f>IF(ISNUMBER($S507),MAX(0,INT((H$6+6-$S507)/$T507)-MAX(0,-INT(-(H$6-$S507)/$T507))+1),0)</f>
        <v>0.0</v>
      </c>
      <c r="I507" s="97">
        <f>IF(ISNUMBER($S507),MAX(0,INT((I$6+6-$S507)/$T507)-MAX(0,-INT(-(I$6-$S507)/$T507))+1),0)</f>
        <v>0.0</v>
      </c>
      <c r="J507" s="97">
        <f>IF(ISNUMBER($S507),MAX(0,INT((J$6+6-$S507)/$T507)-MAX(0,-INT(-(J$6-$S507)/$T507))+1),0)</f>
        <v>0.0</v>
      </c>
      <c r="K507" s="97">
        <f>IF(ISNUMBER($S507),MAX(0,INT((K$6+6-$S507)/$T507)-MAX(0,-INT(-(K$6-$S507)/$T507))+1),0)</f>
        <v>0.0</v>
      </c>
      <c r="L507" s="97">
        <f>IF(ISNUMBER($S507),MAX(0,INT((L$6+6-$S507)/$T507)-MAX(0,-INT(-(L$6-$S507)/$T507))+1),0)</f>
        <v>0.0</v>
      </c>
      <c r="M507" s="97">
        <f>IF(ISNUMBER($S507),MAX(0,INT((M$6+6-$S507)/$T507)-MAX(0,-INT(-(M$6-$S507)/$T507))+1),0)</f>
        <v>0.0</v>
      </c>
      <c r="N507" s="97">
        <f>IF(ISNUMBER($S507),MAX(0,INT((N$6+6-$S507)/$T507)-MAX(0,-INT(-(N$6-$S507)/$T507))+1),0)</f>
        <v>0.0</v>
      </c>
      <c r="O507" s="97">
        <f>IF(ISNUMBER($S507),MAX(0,INT((O$6+6-$S507)/$T507)-MAX(0,-INT(-(O$6-$S507)/$T507))+1),0)</f>
        <v>0.0</v>
      </c>
      <c r="P507" s="97">
        <f>IF(ISNUMBER($S507),MAX(0,INT((P$6+6-$S507)/$T507)-MAX(0,-INT(-(P$6-$S507)/$T507))+1),0)</f>
        <v>0.0</v>
      </c>
      <c r="Q507" s="97">
        <f>IF(ISNUMBER($S507),MAX(0,INT((Q$6+6-$S507)/$T507)-MAX(0,-INT(-(Q$6-$S507)/$T507))+1),0)</f>
        <v>0.0</v>
      </c>
      <c r="R507" s="97">
        <f>IF(ISNUMBER($S507),MAX(0,INT((R$6+6-$S507)/$T507)-MAX(0,-INT(-(R$6-$S507)/$T507))+1),0)</f>
        <v>0.0</v>
      </c>
      <c r="S507" t="str">
        <f>IF(ISNUMBER(INDEX(pl_period,498)),MAX(INDEX(pl_due,498),p_today),"")</f>
        <v/>
      </c>
      <c r="T507" t="str">
        <f>IF(ISNUMBER(INDEX(pl_period,498)),INDEX(pl_period,498),"")</f>
        <v/>
      </c>
      <c r="U507">
        <f>N(INDEX(pl_dur,498))</f>
        <v>0.0</v>
      </c>
    </row>
    <row r="508">
      <c r="A508" s="93" t="str">
        <f>IF(INDEX(pl_status,499)="","",INDEX(pl_num,499)&amp;"")</f>
        <v/>
      </c>
      <c r="B508" s="93" t="str">
        <f>IF(INDEX(pl_status,499)="","",INDEX(pl_eq,499)&amp;"")</f>
        <v/>
      </c>
      <c r="C508" s="93" t="str">
        <f>IF(INDEX(pl_status,499)="","",INDEX(pl_task,499)&amp;"")</f>
        <v/>
      </c>
      <c r="D508" s="94" t="str">
        <f>IF(ISNUMBER(INDEX(pl_due,499)),INDEX(pl_due,499),"")</f>
        <v/>
      </c>
      <c r="E508" s="95" t="str">
        <f>INDEX(pl_status,499)&amp;""</f>
        <v/>
      </c>
      <c r="F508" s="96" t="str">
        <f>IF(E508="En retard","●","")</f>
        <v/>
      </c>
      <c r="G508" s="97">
        <f>IF(ISNUMBER($S508),MAX(0,INT((G$6+6-$S508)/$T508)-MAX(0,-INT(-(G$6-$S508)/$T508))+1),0)</f>
        <v>0.0</v>
      </c>
      <c r="H508" s="97">
        <f>IF(ISNUMBER($S508),MAX(0,INT((H$6+6-$S508)/$T508)-MAX(0,-INT(-(H$6-$S508)/$T508))+1),0)</f>
        <v>0.0</v>
      </c>
      <c r="I508" s="97">
        <f>IF(ISNUMBER($S508),MAX(0,INT((I$6+6-$S508)/$T508)-MAX(0,-INT(-(I$6-$S508)/$T508))+1),0)</f>
        <v>0.0</v>
      </c>
      <c r="J508" s="97">
        <f>IF(ISNUMBER($S508),MAX(0,INT((J$6+6-$S508)/$T508)-MAX(0,-INT(-(J$6-$S508)/$T508))+1),0)</f>
        <v>0.0</v>
      </c>
      <c r="K508" s="97">
        <f>IF(ISNUMBER($S508),MAX(0,INT((K$6+6-$S508)/$T508)-MAX(0,-INT(-(K$6-$S508)/$T508))+1),0)</f>
        <v>0.0</v>
      </c>
      <c r="L508" s="97">
        <f>IF(ISNUMBER($S508),MAX(0,INT((L$6+6-$S508)/$T508)-MAX(0,-INT(-(L$6-$S508)/$T508))+1),0)</f>
        <v>0.0</v>
      </c>
      <c r="M508" s="97">
        <f>IF(ISNUMBER($S508),MAX(0,INT((M$6+6-$S508)/$T508)-MAX(0,-INT(-(M$6-$S508)/$T508))+1),0)</f>
        <v>0.0</v>
      </c>
      <c r="N508" s="97">
        <f>IF(ISNUMBER($S508),MAX(0,INT((N$6+6-$S508)/$T508)-MAX(0,-INT(-(N$6-$S508)/$T508))+1),0)</f>
        <v>0.0</v>
      </c>
      <c r="O508" s="97">
        <f>IF(ISNUMBER($S508),MAX(0,INT((O$6+6-$S508)/$T508)-MAX(0,-INT(-(O$6-$S508)/$T508))+1),0)</f>
        <v>0.0</v>
      </c>
      <c r="P508" s="97">
        <f>IF(ISNUMBER($S508),MAX(0,INT((P$6+6-$S508)/$T508)-MAX(0,-INT(-(P$6-$S508)/$T508))+1),0)</f>
        <v>0.0</v>
      </c>
      <c r="Q508" s="97">
        <f>IF(ISNUMBER($S508),MAX(0,INT((Q$6+6-$S508)/$T508)-MAX(0,-INT(-(Q$6-$S508)/$T508))+1),0)</f>
        <v>0.0</v>
      </c>
      <c r="R508" s="97">
        <f>IF(ISNUMBER($S508),MAX(0,INT((R$6+6-$S508)/$T508)-MAX(0,-INT(-(R$6-$S508)/$T508))+1),0)</f>
        <v>0.0</v>
      </c>
      <c r="S508" t="str">
        <f>IF(ISNUMBER(INDEX(pl_period,499)),MAX(INDEX(pl_due,499),p_today),"")</f>
        <v/>
      </c>
      <c r="T508" t="str">
        <f>IF(ISNUMBER(INDEX(pl_period,499)),INDEX(pl_period,499),"")</f>
        <v/>
      </c>
      <c r="U508">
        <f>N(INDEX(pl_dur,499))</f>
        <v>0.0</v>
      </c>
    </row>
    <row r="509">
      <c r="A509" s="93" t="str">
        <f>IF(INDEX(pl_status,500)="","",INDEX(pl_num,500)&amp;"")</f>
        <v/>
      </c>
      <c r="B509" s="93" t="str">
        <f>IF(INDEX(pl_status,500)="","",INDEX(pl_eq,500)&amp;"")</f>
        <v/>
      </c>
      <c r="C509" s="93" t="str">
        <f>IF(INDEX(pl_status,500)="","",INDEX(pl_task,500)&amp;"")</f>
        <v/>
      </c>
      <c r="D509" s="94" t="str">
        <f>IF(ISNUMBER(INDEX(pl_due,500)),INDEX(pl_due,500),"")</f>
        <v/>
      </c>
      <c r="E509" s="95" t="str">
        <f>INDEX(pl_status,500)&amp;""</f>
        <v/>
      </c>
      <c r="F509" s="96" t="str">
        <f>IF(E509="En retard","●","")</f>
        <v/>
      </c>
      <c r="G509" s="97">
        <f>IF(ISNUMBER($S509),MAX(0,INT((G$6+6-$S509)/$T509)-MAX(0,-INT(-(G$6-$S509)/$T509))+1),0)</f>
        <v>0.0</v>
      </c>
      <c r="H509" s="97">
        <f>IF(ISNUMBER($S509),MAX(0,INT((H$6+6-$S509)/$T509)-MAX(0,-INT(-(H$6-$S509)/$T509))+1),0)</f>
        <v>0.0</v>
      </c>
      <c r="I509" s="97">
        <f>IF(ISNUMBER($S509),MAX(0,INT((I$6+6-$S509)/$T509)-MAX(0,-INT(-(I$6-$S509)/$T509))+1),0)</f>
        <v>0.0</v>
      </c>
      <c r="J509" s="97">
        <f>IF(ISNUMBER($S509),MAX(0,INT((J$6+6-$S509)/$T509)-MAX(0,-INT(-(J$6-$S509)/$T509))+1),0)</f>
        <v>0.0</v>
      </c>
      <c r="K509" s="97">
        <f>IF(ISNUMBER($S509),MAX(0,INT((K$6+6-$S509)/$T509)-MAX(0,-INT(-(K$6-$S509)/$T509))+1),0)</f>
        <v>0.0</v>
      </c>
      <c r="L509" s="97">
        <f>IF(ISNUMBER($S509),MAX(0,INT((L$6+6-$S509)/$T509)-MAX(0,-INT(-(L$6-$S509)/$T509))+1),0)</f>
        <v>0.0</v>
      </c>
      <c r="M509" s="97">
        <f>IF(ISNUMBER($S509),MAX(0,INT((M$6+6-$S509)/$T509)-MAX(0,-INT(-(M$6-$S509)/$T509))+1),0)</f>
        <v>0.0</v>
      </c>
      <c r="N509" s="97">
        <f>IF(ISNUMBER($S509),MAX(0,INT((N$6+6-$S509)/$T509)-MAX(0,-INT(-(N$6-$S509)/$T509))+1),0)</f>
        <v>0.0</v>
      </c>
      <c r="O509" s="97">
        <f>IF(ISNUMBER($S509),MAX(0,INT((O$6+6-$S509)/$T509)-MAX(0,-INT(-(O$6-$S509)/$T509))+1),0)</f>
        <v>0.0</v>
      </c>
      <c r="P509" s="97">
        <f>IF(ISNUMBER($S509),MAX(0,INT((P$6+6-$S509)/$T509)-MAX(0,-INT(-(P$6-$S509)/$T509))+1),0)</f>
        <v>0.0</v>
      </c>
      <c r="Q509" s="97">
        <f>IF(ISNUMBER($S509),MAX(0,INT((Q$6+6-$S509)/$T509)-MAX(0,-INT(-(Q$6-$S509)/$T509))+1),0)</f>
        <v>0.0</v>
      </c>
      <c r="R509" s="97">
        <f>IF(ISNUMBER($S509),MAX(0,INT((R$6+6-$S509)/$T509)-MAX(0,-INT(-(R$6-$S509)/$T509))+1),0)</f>
        <v>0.0</v>
      </c>
      <c r="S509" t="str">
        <f>IF(ISNUMBER(INDEX(pl_period,500)),MAX(INDEX(pl_due,500),p_today),"")</f>
        <v/>
      </c>
      <c r="T509" t="str">
        <f>IF(ISNUMBER(INDEX(pl_period,500)),INDEX(pl_period,500),"")</f>
        <v/>
      </c>
      <c r="U509">
        <f>N(INDEX(pl_dur,500))</f>
        <v>0.0</v>
      </c>
    </row>
  </sheetData>
  <mergeCells count="2">
    <mergeCell ref="P1:R1"/>
    <mergeCell ref="E3:R3"/>
  </mergeCells>
  <conditionalFormatting sqref="G10:R509">
    <cfRule type="expression" priority="1" dxfId="3" stopIfTrue="1">
      <formula>AND(G10&gt;0,$E10="En retard")</formula>
    </cfRule>
    <cfRule type="expression" priority="2" dxfId="4" stopIfTrue="1">
      <formula>AND(G10&gt;0,$E10="Bientôt")</formula>
    </cfRule>
    <cfRule type="expression" priority="3" dxfId="14" stopIfTrue="1">
      <formula>AND(G10&gt;0,$E10="À jour")</formula>
    </cfRule>
  </conditionalFormatting>
  <conditionalFormatting sqref="E10:E509">
    <cfRule type="expression" priority="4" dxfId="3">
      <formula>$E10="En retard"</formula>
    </cfRule>
    <cfRule type="expression" priority="5" dxfId="4">
      <formula>$E10="Bientôt"</formula>
    </cfRule>
    <cfRule type="expression" priority="6" dxfId="0">
      <formula>$E10="À jour"</formula>
    </cfRule>
    <cfRule type="expression" priority="7" dxfId="5">
      <formula>$E10="Inactif"</formula>
    </cfRule>
    <cfRule type="expression" priority="8" dxfId="2">
      <formula>$E10="À compléter"</formula>
    </cfRule>
  </conditionalFormatting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H42"/>
  <sheetViews>
    <sheetView showGridLines="0" tabSelected="0" zoomScale="100" workbookViewId="0">
      <selection activeCell="A1" sqref="A1"/>
    </sheetView>
  </sheetViews>
  <sheetFormatPr baseColWidth="8" defaultRowHeight="15"/>
  <cols>
    <col width="2" customWidth="1" min="1" max="1"/>
    <col width="17" customWidth="1" min="2" max="2"/>
    <col width="14" customWidth="1" min="3" max="3"/>
    <col width="14" customWidth="1" min="4" max="4"/>
    <col width="4" customWidth="1" min="5" max="5"/>
    <col width="17" customWidth="1" min="6" max="6"/>
    <col width="14" customWidth="1" min="7" max="7"/>
    <col width="14" customWidth="1" min="8" max="8"/>
    <col width="2" customWidth="1" min="9" max="9"/>
  </cols>
  <sheetData>
    <row r="1" ht="38" customHeight="1">
      <c r="A1" s="1" t="n"/>
      <c r="B1" s="2" t="inlineStr">
        <is>
          <t>Fiche d'intervention</t>
        </is>
      </c>
      <c r="C1" s="1" t="n"/>
      <c r="D1" s="1" t="n"/>
      <c r="E1" s="1" t="n"/>
      <c r="F1" s="18" t="inlineStr">
        <is>
          <t>⌂ Mode d'emploi</t>
        </is>
      </c>
    </row>
    <row r="2" ht="22" customHeight="1">
      <c r="A2" s="3" t="n"/>
      <c r="B2" s="4" t="inlineStr">
        <is>
          <t>Choisissez un N° d'intervention pour l'imprimer. Laissez vide pour un bon d'intervention vierge.</t>
        </is>
      </c>
      <c r="C2" s="3" t="n"/>
      <c r="D2" s="3" t="n"/>
      <c r="E2" s="3" t="n"/>
      <c r="F2" s="3" t="n"/>
      <c r="G2" s="3" t="n"/>
      <c r="H2" s="3" t="n"/>
    </row>
    <row r="3" ht="18" customHeight="1"/>
    <row r="4">
      <c r="B4" s="98" t="inlineStr">
        <is>
          <t>N° d'intervention</t>
        </is>
      </c>
      <c r="C4" s="99" t="n"/>
      <c r="D4" s="42" t="str">
        <f>IF(C4="","Bon vierge, à remplir à la main.",IF(H4="","N° introuvable dans le journal.",""))</f>
        <v>Bon vierge, à remplir à la main.</v>
      </c>
      <c r="H4" s="100" t="str">
        <f>IF(C4="","",IFERROR(MATCH(C4,in_num,0),""))</f>
        <v/>
      </c>
    </row>
    <row r="6" ht="30" customHeight="1">
      <c r="B6" s="101" t="str">
        <f>IF(p_company="","Entreprise",p_company)</f>
        <v>Entreprise</v>
      </c>
      <c r="F6" s="102" t="inlineStr">
        <is>
          <t>FICHE D'INTERVENTION</t>
        </is>
      </c>
    </row>
    <row r="7">
      <c r="B7" s="6" t="n"/>
      <c r="C7" s="6" t="n"/>
      <c r="D7" s="6" t="n"/>
      <c r="E7" s="6" t="n"/>
      <c r="F7" s="103" t="inlineStr">
        <is>
          <t>N°</t>
        </is>
      </c>
      <c r="G7" s="5" t="str">
        <f>IF($H$4="","",C4)</f>
        <v/>
      </c>
      <c r="H7" s="6" t="n"/>
    </row>
    <row r="9" ht="22" customHeight="1">
      <c r="B9" s="5" t="inlineStr">
        <is>
          <t>Équipement</t>
        </is>
      </c>
      <c r="C9" s="6" t="n"/>
      <c r="D9" s="6" t="n"/>
      <c r="E9" s="6" t="n"/>
      <c r="F9" s="6" t="n"/>
      <c r="G9" s="6" t="n"/>
      <c r="H9" s="6" t="n"/>
    </row>
    <row r="10" ht="22" customHeight="1">
      <c r="B10" s="104" t="inlineStr">
        <is>
          <t>Code</t>
        </is>
      </c>
      <c r="C10" s="105" t="str">
        <f>IF($H$4="","",INDEX(in_eq,$H$4)&amp;"")</f>
        <v/>
      </c>
      <c r="D10" s="50" t="n"/>
      <c r="F10" s="104" t="inlineStr">
        <is>
          <t>Désignation</t>
        </is>
      </c>
      <c r="G10" s="105" t="str">
        <f>IF($H$4="","",IFERROR(INDEX(eq_des,MATCH(INDEX(in_eq,$H$4),eq_code,0))&amp;"",""))</f>
        <v/>
      </c>
      <c r="H10" s="50" t="n"/>
    </row>
    <row r="11" ht="22" customHeight="1">
      <c r="B11" s="104" t="inlineStr">
        <is>
          <t>Fabricant / modèle</t>
        </is>
      </c>
      <c r="C11" s="105" t="str">
        <f>IF($H$4="","",IFERROR(INDEX(eq_model,MATCH(INDEX(in_eq,$H$4),eq_code,0))&amp;"",""))</f>
        <v/>
      </c>
      <c r="D11" s="50" t="n"/>
      <c r="F11" s="104" t="inlineStr">
        <is>
          <t>Atelier</t>
        </is>
      </c>
      <c r="G11" s="105" t="str">
        <f>IF($H$4="","",IFERROR(INDEX(eq_shop,MATCH(INDEX(in_eq,$H$4),eq_code,0))&amp;"",""))</f>
        <v/>
      </c>
      <c r="H11" s="50" t="n"/>
    </row>
    <row r="12" ht="22" customHeight="1">
      <c r="B12" s="104" t="inlineStr">
        <is>
          <t>Criticité</t>
        </is>
      </c>
      <c r="C12" s="105" t="str">
        <f>IF($H$4="","",IFERROR(INDEX(eq_crit,MATCH(INDEX(in_eq,$H$4),eq_code,0))&amp;"",""))</f>
        <v/>
      </c>
      <c r="D12" s="50" t="n"/>
      <c r="F12" s="104" t="inlineStr">
        <is>
          <t>Compteur relevé</t>
        </is>
      </c>
      <c r="G12" s="106" t="str">
        <f>IF($H$4="","",IF(ISNUMBER(INDEX(in_counter,$H$4)),INDEX(in_counter,$H$4),""))</f>
        <v/>
      </c>
      <c r="H12" s="50" t="n"/>
    </row>
    <row r="14" ht="22" customHeight="1">
      <c r="B14" s="5" t="inlineStr">
        <is>
          <t>Intervention</t>
        </is>
      </c>
      <c r="C14" s="6" t="n"/>
      <c r="D14" s="6" t="n"/>
      <c r="E14" s="6" t="n"/>
      <c r="F14" s="6" t="n"/>
      <c r="G14" s="6" t="n"/>
      <c r="H14" s="6" t="n"/>
    </row>
    <row r="15" ht="22" customHeight="1">
      <c r="B15" s="104" t="inlineStr">
        <is>
          <t>Date</t>
        </is>
      </c>
      <c r="C15" s="107" t="str">
        <f>IF($H$4="","",IF(ISNUMBER(INDEX(in_date,$H$4)),INDEX(in_date,$H$4),""))</f>
        <v/>
      </c>
      <c r="D15" s="50" t="n"/>
      <c r="F15" s="104" t="inlineStr">
        <is>
          <t>Type</t>
        </is>
      </c>
      <c r="G15" s="105" t="str">
        <f>IF($H$4="","",INDEX(in_type,$H$4)&amp;"")</f>
        <v/>
      </c>
      <c r="H15" s="50" t="n"/>
    </row>
    <row r="16" ht="22" customHeight="1">
      <c r="B16" s="104" t="inlineStr">
        <is>
          <t>Statut</t>
        </is>
      </c>
      <c r="C16" s="105" t="str">
        <f>IF($H$4="","",INDEX(in_status,$H$4)&amp;"")</f>
        <v/>
      </c>
      <c r="D16" s="50" t="n"/>
      <c r="F16" s="104" t="inlineStr">
        <is>
          <t>Technicien</t>
        </is>
      </c>
      <c r="G16" s="105" t="str">
        <f>IF($H$4="","",INDEX(in_tech,$H$4)&amp;"")</f>
        <v/>
      </c>
      <c r="H16" s="50" t="n"/>
    </row>
    <row r="17" ht="22" customHeight="1">
      <c r="B17" s="104" t="inlineStr">
        <is>
          <t>Plan lié</t>
        </is>
      </c>
      <c r="C17" s="105" t="str">
        <f>IF($H$4="","",INDEX(in_plan,$H$4)&amp;"")</f>
        <v/>
      </c>
      <c r="D17" s="50" t="n"/>
      <c r="F17" s="104" t="inlineStr">
        <is>
          <t>Tâche du plan</t>
        </is>
      </c>
      <c r="G17" s="105" t="str">
        <f>IF($H$4="","",IFERROR(INDEX(pl_task,MATCH(INDEX(in_plan,$H$4),pl_num,0))&amp;"",""))</f>
        <v/>
      </c>
      <c r="H17" s="50" t="n"/>
    </row>
    <row r="19" ht="22" customHeight="1">
      <c r="B19" s="5" t="inlineStr">
        <is>
          <t>Description</t>
        </is>
      </c>
      <c r="C19" s="6" t="n"/>
      <c r="D19" s="6" t="n"/>
      <c r="E19" s="6" t="n"/>
      <c r="F19" s="6" t="n"/>
      <c r="G19" s="6" t="n"/>
      <c r="H19" s="6" t="n"/>
    </row>
    <row r="20" ht="44" customHeight="1">
      <c r="B20" s="104" t="inlineStr">
        <is>
          <t>Panne ou travail demandé</t>
        </is>
      </c>
      <c r="C20" s="105" t="str">
        <f>IF($H$4="","",INDEX(in_desc,$H$4)&amp;"")</f>
        <v/>
      </c>
      <c r="D20" s="108" t="n"/>
      <c r="E20" s="108" t="n"/>
      <c r="F20" s="108" t="n"/>
      <c r="G20" s="108" t="n"/>
      <c r="H20" s="50" t="n"/>
    </row>
    <row r="21" ht="32" customHeight="1">
      <c r="B21" s="104" t="inlineStr">
        <is>
          <t>Cause constatée</t>
        </is>
      </c>
      <c r="C21" s="105" t="str">
        <f>IF($H$4="","",INDEX(in_cause,$H$4)&amp;"")</f>
        <v/>
      </c>
      <c r="D21" s="108" t="n"/>
      <c r="E21" s="108" t="n"/>
      <c r="F21" s="108" t="n"/>
      <c r="G21" s="108" t="n"/>
      <c r="H21" s="50" t="n"/>
    </row>
    <row r="23" ht="22" customHeight="1">
      <c r="B23" s="5" t="inlineStr">
        <is>
          <t>Temps et coûts</t>
        </is>
      </c>
      <c r="C23" s="6" t="n"/>
      <c r="D23" s="6" t="n"/>
      <c r="E23" s="6" t="n"/>
      <c r="F23" s="6" t="n"/>
      <c r="G23" s="6" t="n"/>
      <c r="H23" s="6" t="n"/>
    </row>
    <row r="24" ht="22" customHeight="1">
      <c r="B24" s="104" t="inlineStr">
        <is>
          <t>Durée d'arrêt (h)</t>
        </is>
      </c>
      <c r="C24" s="109" t="str">
        <f>IF($H$4="","",IF(ISNUMBER(INDEX(in_stopraw,$H$4)),INDEX(in_stopraw,$H$4),""))</f>
        <v/>
      </c>
      <c r="D24" s="50" t="n"/>
      <c r="F24" s="104" t="inlineStr">
        <is>
          <t>Coût pièces</t>
        </is>
      </c>
      <c r="G24" s="110" t="str">
        <f>IF($H$4="","",IF(ISNUMBER(INDEX(in_partsraw,$H$4)),INDEX(in_partsraw,$H$4),""))</f>
        <v/>
      </c>
      <c r="H24" s="50" t="n"/>
    </row>
    <row r="25" ht="22" customHeight="1">
      <c r="B25" s="104" t="inlineStr">
        <is>
          <t>Durée d'intervention (h)</t>
        </is>
      </c>
      <c r="C25" s="109" t="str">
        <f>IF($H$4="","",IF(ISNUMBER(INDEX(in_workraw,$H$4)),INDEX(in_workraw,$H$4),""))</f>
        <v/>
      </c>
      <c r="D25" s="50" t="n"/>
      <c r="F25" s="104" t="inlineStr">
        <is>
          <t>Main-d'oeuvre</t>
        </is>
      </c>
      <c r="G25" s="110" t="str">
        <f>IF($H$4="","",IF(ISNUMBER(INDEX(in_mo,$H$4)),INDEX(in_mo,$H$4),""))</f>
        <v/>
      </c>
      <c r="H25" s="50" t="n"/>
    </row>
    <row r="26" ht="22" customHeight="1">
      <c r="B26" s="104" t="inlineStr">
        <is>
          <t>Début / fin (heure)</t>
        </is>
      </c>
      <c r="C26" s="105" t="n"/>
      <c r="D26" s="50" t="n"/>
      <c r="F26" s="104" t="inlineStr">
        <is>
          <t>Autres coûts</t>
        </is>
      </c>
      <c r="G26" s="110" t="str">
        <f>IF($H$4="","",IF(ISNUMBER(INDEX(in_otherraw,$H$4)),INDEX(in_otherraw,$H$4),""))</f>
        <v/>
      </c>
      <c r="H26" s="50" t="n"/>
    </row>
    <row r="27" ht="22" customHeight="1">
      <c r="F27" s="104" t="inlineStr">
        <is>
          <t>Coût total</t>
        </is>
      </c>
      <c r="G27" s="111" t="str">
        <f>IF($H$4="","",IF(ISNUMBER(INDEX(in_total,$H$4)),INDEX(in_total,$H$4),""))</f>
        <v/>
      </c>
      <c r="H27" s="50" t="n"/>
    </row>
    <row r="29" ht="22" customHeight="1">
      <c r="B29" s="5" t="inlineStr">
        <is>
          <t>Travaux réalisés et pièces utilisées</t>
        </is>
      </c>
      <c r="C29" s="6" t="n"/>
      <c r="D29" s="6" t="n"/>
      <c r="E29" s="6" t="n"/>
      <c r="F29" s="6" t="n"/>
      <c r="G29" s="6" t="n"/>
      <c r="H29" s="6" t="n"/>
    </row>
    <row r="30" ht="22" customHeight="1">
      <c r="B30" s="112" t="inlineStr">
        <is>
          <t>Travaux réalisés :</t>
        </is>
      </c>
      <c r="C30" s="113" t="n"/>
      <c r="D30" s="113" t="n"/>
      <c r="E30" s="113" t="n"/>
      <c r="F30" s="113" t="n"/>
      <c r="G30" s="113" t="n"/>
      <c r="H30" s="113" t="n"/>
    </row>
    <row r="31" ht="22" customHeight="1">
      <c r="B31" s="113" t="n"/>
      <c r="C31" s="113" t="n"/>
      <c r="D31" s="113" t="n"/>
      <c r="E31" s="113" t="n"/>
      <c r="F31" s="113" t="n"/>
      <c r="G31" s="113" t="n"/>
      <c r="H31" s="113" t="n"/>
    </row>
    <row r="32" ht="22" customHeight="1">
      <c r="B32" s="113" t="n"/>
      <c r="C32" s="113" t="n"/>
      <c r="D32" s="113" t="n"/>
      <c r="E32" s="113" t="n"/>
      <c r="F32" s="113" t="n"/>
      <c r="G32" s="113" t="n"/>
      <c r="H32" s="113" t="n"/>
    </row>
    <row r="33" ht="22" customHeight="1">
      <c r="B33" s="113" t="n"/>
      <c r="C33" s="113" t="n"/>
      <c r="D33" s="113" t="n"/>
      <c r="E33" s="113" t="n"/>
      <c r="F33" s="113" t="n"/>
      <c r="G33" s="113" t="n"/>
      <c r="H33" s="113" t="n"/>
    </row>
    <row r="34" ht="22" customHeight="1">
      <c r="B34" s="112" t="inlineStr">
        <is>
          <t>Pièces (référence, quantité) :</t>
        </is>
      </c>
      <c r="C34" s="113" t="n"/>
      <c r="D34" s="113" t="n"/>
      <c r="E34" s="113" t="n"/>
      <c r="F34" s="113" t="n"/>
      <c r="G34" s="113" t="n"/>
      <c r="H34" s="113" t="n"/>
    </row>
    <row r="35" ht="22" customHeight="1">
      <c r="B35" s="113" t="n"/>
      <c r="C35" s="113" t="n"/>
      <c r="D35" s="113" t="n"/>
      <c r="E35" s="113" t="n"/>
      <c r="F35" s="113" t="n"/>
      <c r="G35" s="113" t="n"/>
      <c r="H35" s="113" t="n"/>
    </row>
    <row r="36" ht="22" customHeight="1">
      <c r="B36" s="113" t="n"/>
      <c r="C36" s="113" t="n"/>
      <c r="D36" s="113" t="n"/>
      <c r="E36" s="113" t="n"/>
      <c r="F36" s="113" t="n"/>
      <c r="G36" s="113" t="n"/>
      <c r="H36" s="113" t="n"/>
    </row>
    <row r="38" ht="22" customHeight="1">
      <c r="B38" s="5" t="inlineStr">
        <is>
          <t>Signatures</t>
        </is>
      </c>
      <c r="C38" s="6" t="n"/>
      <c r="D38" s="6" t="n"/>
      <c r="E38" s="6" t="n"/>
      <c r="F38" s="6" t="n"/>
      <c r="G38" s="6" t="n"/>
      <c r="H38" s="6" t="n"/>
    </row>
    <row r="39">
      <c r="B39" s="114" t="inlineStr">
        <is>
          <t>Technicien</t>
        </is>
      </c>
      <c r="D39" s="114" t="inlineStr">
        <is>
          <t>Responsable maintenance</t>
        </is>
      </c>
      <c r="G39" s="114" t="inlineStr">
        <is>
          <t>Production (remise en service)</t>
        </is>
      </c>
    </row>
    <row r="40" ht="20" customHeight="1">
      <c r="B40" s="115" t="n"/>
      <c r="C40" s="115" t="n"/>
      <c r="D40" s="115" t="n"/>
      <c r="E40" s="115" t="n"/>
      <c r="F40" s="115" t="n"/>
      <c r="G40" s="115" t="n"/>
      <c r="H40" s="115" t="n"/>
    </row>
    <row r="41" ht="20" customHeight="1">
      <c r="B41" s="115" t="n"/>
      <c r="C41" s="115" t="n"/>
      <c r="D41" s="115" t="n"/>
      <c r="E41" s="115" t="n"/>
      <c r="F41" s="115" t="n"/>
      <c r="G41" s="115" t="n"/>
      <c r="H41" s="115" t="n"/>
    </row>
    <row r="42" ht="20" customHeight="1">
      <c r="B42" s="115" t="n"/>
      <c r="C42" s="115" t="n"/>
      <c r="D42" s="115" t="n"/>
      <c r="E42" s="115" t="n"/>
      <c r="F42" s="115" t="n"/>
      <c r="G42" s="115" t="n"/>
      <c r="H42" s="115" t="n"/>
    </row>
  </sheetData>
  <mergeCells count="32">
    <mergeCell ref="G12:H12"/>
    <mergeCell ref="C24:D24"/>
    <mergeCell ref="C15:D15"/>
    <mergeCell ref="G11:H11"/>
    <mergeCell ref="G27:H27"/>
    <mergeCell ref="C26:D26"/>
    <mergeCell ref="C21:H21"/>
    <mergeCell ref="G17:H17"/>
    <mergeCell ref="G39:H39"/>
    <mergeCell ref="B39:C39"/>
    <mergeCell ref="C10:D10"/>
    <mergeCell ref="C16:D16"/>
    <mergeCell ref="G7:H7"/>
    <mergeCell ref="C25:D25"/>
    <mergeCell ref="G10:H10"/>
    <mergeCell ref="D39:F39"/>
    <mergeCell ref="B6:D6"/>
    <mergeCell ref="C12:D12"/>
    <mergeCell ref="G24:H24"/>
    <mergeCell ref="C11:D11"/>
    <mergeCell ref="G15:H15"/>
    <mergeCell ref="F1:H1"/>
    <mergeCell ref="C17:D17"/>
    <mergeCell ref="G26:H26"/>
    <mergeCell ref="B40:C42"/>
    <mergeCell ref="F6:H6"/>
    <mergeCell ref="G16:H16"/>
    <mergeCell ref="G25:H25"/>
    <mergeCell ref="D40:F42"/>
    <mergeCell ref="C20:H20"/>
    <mergeCell ref="G40:H42"/>
    <mergeCell ref="D4:G4"/>
  </mergeCells>
  <conditionalFormatting sqref="G24:G27">
    <cfRule type="expression" priority="1" dxfId="11">
      <formula>p_currency="MAD"</formula>
    </cfRule>
    <cfRule type="expression" priority="2" dxfId="12">
      <formula>p_currency="EUR"</formula>
    </cfRule>
    <cfRule type="expression" priority="3" dxfId="13">
      <formula>p_currency="USD"</formula>
    </cfRule>
  </conditionalFormatting>
  <dataValidations count="1">
    <dataValidation sqref="C4" showDropDown="0" showInputMessage="1" showErrorMessage="1" allowBlank="1" errorTitle="N° d'intervention" error="Choisissez le numéro dans la liste (colonne N° de la feuille Interventions)." promptTitle="N° d'intervention" prompt="Choisissez le numéro dans la liste (colonne N° de la feuille Interventions)." type="list">
      <formula1>=in_num</formula1>
    </dataValidation>
  </dataValidations>
  <hyperlinks>
    <hyperlink ref="F1" location="'Mode d''emploi'!A1"/>
  </hyperlinks>
  <printOptions horizontalCentered="1"/>
  <pageMargins left="0.4" right="0.4" top="0.5" bottom="0.5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T211"/>
  <sheetViews>
    <sheetView showGridLines="0" tabSelected="0" zoomScale="10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1" customWidth="1" min="4" max="4"/>
    <col width="10" customWidth="1" min="5" max="5"/>
    <col width="9" customWidth="1" min="6" max="6"/>
    <col width="10" customWidth="1" min="7" max="7"/>
    <col width="10" customWidth="1" min="8" max="8"/>
    <col width="11" customWidth="1" min="9" max="9"/>
    <col width="12" customWidth="1" min="10" max="10"/>
    <col width="10" customWidth="1" min="11" max="11"/>
    <col width="10" customWidth="1" min="12" max="12"/>
    <col width="11" customWidth="1" min="13" max="13"/>
    <col width="10" customWidth="1" min="14" max="14"/>
    <col width="12" customWidth="1" min="15" max="15"/>
    <col width="12" customWidth="1" min="16" max="16"/>
    <col width="12" customWidth="1" min="17" max="17"/>
    <col width="13" customWidth="1" min="18" max="18"/>
    <col hidden="1" width="6" customWidth="1" min="19" max="19"/>
    <col hidden="1" width="6" customWidth="1" min="20" max="20"/>
  </cols>
  <sheetData>
    <row r="1" ht="38" customHeight="1">
      <c r="A1" s="2" t="inlineStr">
        <is>
          <t>Indicateurs de maintenance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8" t="inlineStr">
        <is>
          <t>⌂ Mode d'emploi</t>
        </is>
      </c>
    </row>
    <row r="2" ht="22" customHeight="1">
      <c r="A2" s="4" t="inlineStr">
        <is>
          <t>MTBF, MTTR, disponibilité, heures et coûts par équipement sur la période choisie. Seules les interventions terminées comptent.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18" customHeight="1">
      <c r="Q3" s="16" t="inlineStr">
        <is>
          <t>Saisie</t>
        </is>
      </c>
      <c r="R3" s="17" t="inlineStr">
        <is>
          <t>Calcul auto</t>
        </is>
      </c>
    </row>
    <row r="5" ht="18" customHeight="1">
      <c r="A5" s="98" t="inlineStr">
        <is>
          <t>Période du</t>
        </is>
      </c>
      <c r="B5" s="116" t="n"/>
      <c r="C5" s="117" t="inlineStr">
        <is>
          <t>Retenu</t>
        </is>
      </c>
      <c r="D5" s="118">
        <f>IF(N(p_from_in)&gt;0,INT(p_from_in),DATE(YEAR(p_today),1,1))</f>
        <v>46023.0</v>
      </c>
      <c r="E5" s="50" t="n"/>
      <c r="G5" s="86" t="inlineStr">
        <is>
          <t>Temps d'ouverture = heures d'ouverture par jour x jours travaillés de la période, depuis la mise en service. Panne = intervention corrective terminée. MTBF = (ouverture - arrêts) / pannes. MTTR = heures d'intervention des pannes / pannes. Arrêt moyen = heures d'arrêt des pannes / pannes. Disponibilité = (ouverture - arrêts) / ouverture, tous arrêts compris (préventifs aussi).</t>
        </is>
      </c>
    </row>
    <row r="6" ht="18" customHeight="1">
      <c r="A6" s="98" t="inlineStr">
        <is>
          <t>au</t>
        </is>
      </c>
      <c r="B6" s="116" t="n"/>
      <c r="C6" s="117" t="inlineStr">
        <is>
          <t>Retenu</t>
        </is>
      </c>
      <c r="D6" s="118">
        <f>IF(N(p_to_in)&gt;0,INT(p_to_in),p_today)</f>
        <v>46331.0</v>
      </c>
      <c r="E6" s="50" t="n"/>
    </row>
    <row r="7" ht="18" customHeight="1"/>
    <row r="8" ht="18" customHeight="1"/>
    <row r="10" ht="44" customHeight="1">
      <c r="A10" s="43" t="inlineStr">
        <is>
          <t>Code</t>
        </is>
      </c>
      <c r="B10" s="43" t="inlineStr">
        <is>
          <t>Désignation</t>
        </is>
      </c>
      <c r="C10" s="43" t="inlineStr">
        <is>
          <t>Crit.</t>
        </is>
      </c>
      <c r="D10" s="43" t="inlineStr">
        <is>
          <t>Ouverture (h)</t>
        </is>
      </c>
      <c r="E10" s="43" t="inlineStr">
        <is>
          <t>Arrêts (h)</t>
        </is>
      </c>
      <c r="F10" s="43" t="inlineStr">
        <is>
          <t>Pannes</t>
        </is>
      </c>
      <c r="G10" s="43" t="inlineStr">
        <is>
          <t>MTBF (h)</t>
        </is>
      </c>
      <c r="H10" s="43" t="inlineStr">
        <is>
          <t>MTTR (h)</t>
        </is>
      </c>
      <c r="I10" s="43" t="inlineStr">
        <is>
          <t>Arrêt moyen par panne (h)</t>
        </is>
      </c>
      <c r="J10" s="43" t="inlineStr">
        <is>
          <t>Disponibilité</t>
        </is>
      </c>
      <c r="K10" s="43" t="inlineStr">
        <is>
          <t>Heures préventif</t>
        </is>
      </c>
      <c r="L10" s="43" t="inlineStr">
        <is>
          <t>Heures correctif</t>
        </is>
      </c>
      <c r="M10" s="43" t="inlineStr">
        <is>
          <t>Heures amélioratif</t>
        </is>
      </c>
      <c r="N10" s="43" t="inlineStr">
        <is>
          <t>Part du préventif</t>
        </is>
      </c>
      <c r="O10" s="43" t="inlineStr">
        <is>
          <t>Pièces</t>
        </is>
      </c>
      <c r="P10" s="43" t="inlineStr">
        <is>
          <t>Main-d'oeuvre</t>
        </is>
      </c>
      <c r="Q10" s="43" t="inlineStr">
        <is>
          <t>Autres coûts</t>
        </is>
      </c>
      <c r="R10" s="43" t="inlineStr">
        <is>
          <t>Coût total</t>
        </is>
      </c>
      <c r="S10" s="43" t="inlineStr">
        <is>
          <t>H corr.</t>
        </is>
      </c>
      <c r="T10" s="43" t="inlineStr">
        <is>
          <t>Arr. corr.</t>
        </is>
      </c>
    </row>
    <row r="11">
      <c r="A11" s="119" t="inlineStr">
        <is>
          <t>Total</t>
        </is>
      </c>
      <c r="B11" s="119" t="inlineStr">
        <is>
          <t>Tous les équipements</t>
        </is>
      </c>
      <c r="C11" s="120" t="n"/>
      <c r="D11" s="121">
        <f>SUM(D12:D211)</f>
        <v>0.0</v>
      </c>
      <c r="E11" s="122">
        <f>SUM(E12:E211)</f>
        <v>0.0</v>
      </c>
      <c r="F11" s="123">
        <f>SUM(F12:F211)</f>
        <v>0.0</v>
      </c>
      <c r="G11" s="124" t="str">
        <f>IF(F11=0,"",MAX(0,D11-E11)/F11)</f>
        <v/>
      </c>
      <c r="H11" s="125" t="str">
        <f>IF(F11=0,"",S11/F11)</f>
        <v/>
      </c>
      <c r="I11" s="125" t="str">
        <f>IF(F11=0,"",T11/F11)</f>
        <v/>
      </c>
      <c r="J11" s="126" t="str">
        <f>IF(D11=0,"",MAX(0,D11-E11)/D11)</f>
        <v/>
      </c>
      <c r="K11" s="122">
        <f>SUM(K12:K211)</f>
        <v>0.0</v>
      </c>
      <c r="L11" s="122">
        <f>SUM(L12:L211)</f>
        <v>0.0</v>
      </c>
      <c r="M11" s="122">
        <f>SUM(M12:M211)</f>
        <v>0.0</v>
      </c>
      <c r="N11" s="126" t="str">
        <f>IF(K11+L11+M11=0,"",K11/(K11+L11+M11))</f>
        <v/>
      </c>
      <c r="O11" s="125">
        <f>SUM(O12:O211)</f>
        <v>0.0</v>
      </c>
      <c r="P11" s="125">
        <f>SUM(P12:P211)</f>
        <v>0.0</v>
      </c>
      <c r="Q11" s="125">
        <f>SUM(Q12:Q211)</f>
        <v>0.0</v>
      </c>
      <c r="R11" s="125">
        <f>SUM(R12:R211)</f>
        <v>0.0</v>
      </c>
      <c r="S11" s="119">
        <f>SUM(S12:S211)</f>
        <v>0.0</v>
      </c>
      <c r="T11" s="119">
        <f>SUM(T12:T211)</f>
        <v>0.0</v>
      </c>
    </row>
    <row r="12">
      <c r="A12" s="67" t="str">
        <f>IF(INDEX(eq_code,1)="","",INDEX(eq_code,1)&amp;"")</f>
        <v/>
      </c>
      <c r="B12" s="67" t="str">
        <f>IF(A12="","",INDEX(eq_des,1)&amp;"")</f>
        <v/>
      </c>
      <c r="C12" s="79" t="str">
        <f>IF(A12="","",INDEX(eq_crit,1)&amp;"")</f>
        <v/>
      </c>
      <c r="D12" s="127" t="str">
        <f>IF(A12="","",IF(MAX(p_from,N(INDEX(eq_start,1)))&gt;p_to,0,ROUND(IF(AND(ISNUMBER(INDEX(eq_hours,1)),N(INDEX(eq_hours,1))&gt;0,N(INDEX(eq_hours,1))&lt;=24),INDEX(eq_hours,1),0)*IF(p_days="7 jours sur 7",p_to-MAX(p_from,N(INDEX(eq_start,1)))+1,NETWORKDAYS.INTL(MAX(p_from,N(INDEX(eq_start,1))),p_to,p_weekend,p_holidays)),2)))</f>
        <v/>
      </c>
      <c r="E12" s="128" t="str">
        <f>IF(A12="","",SUMIFS(in_stop,in_eq,A12,in_done,1,in_dnum,"&gt;="&amp;p_from,in_dnum,"&lt;="&amp;p_to))</f>
        <v/>
      </c>
      <c r="F12" s="129" t="str">
        <f>IF(A12="","",COUNTIFS(in_eq,A12,in_type,"Correctif",in_done,1,in_dnum,"&gt;="&amp;p_from,in_dnum,"&lt;="&amp;p_to))</f>
        <v/>
      </c>
      <c r="G12" s="130" t="str">
        <f>IF(OR(A12="",N(F12)=0),"",MAX(0,D12-E12)/F12)</f>
        <v/>
      </c>
      <c r="H12" s="81" t="str">
        <f>IF(OR(A12="",N(F12)=0),"",S12/F12)</f>
        <v/>
      </c>
      <c r="I12" s="81" t="str">
        <f>IF(OR(A12="",N(F12)=0),"",T12/F12)</f>
        <v/>
      </c>
      <c r="J12" s="131" t="str">
        <f>IF(OR(A12="",N(D12)=0),"",MAX(0,D12-E12)/D12)</f>
        <v/>
      </c>
      <c r="K12" s="128" t="str">
        <f>IF(A12="","",SUMIFS(in_work,in_eq,A12,in_type,"Préventif",in_done,1,in_dnum,"&gt;="&amp;p_from,in_dnum,"&lt;="&amp;p_to))</f>
        <v/>
      </c>
      <c r="L12" s="128" t="str">
        <f>IF(A12="","",SUMIFS(in_work,in_eq,A12,in_type,"Correctif",in_done,1,in_dnum,"&gt;="&amp;p_from,in_dnum,"&lt;="&amp;p_to))</f>
        <v/>
      </c>
      <c r="M12" s="128" t="str">
        <f>IF(A12="","",SUMIFS(in_work,in_eq,A12,in_type,"Amélioratif",in_done,1,in_dnum,"&gt;="&amp;p_from,in_dnum,"&lt;="&amp;p_to))</f>
        <v/>
      </c>
      <c r="N12" s="131" t="str">
        <f>IF(OR(A12="",N(K12)+N(L12)+N(M12)=0),"",K12/(K12+L12+M12))</f>
        <v/>
      </c>
      <c r="O12" s="81" t="str">
        <f>IF(A12="","",SUMIFS(in_parts,in_eq,A12,in_done,1,in_dnum,"&gt;="&amp;p_from,in_dnum,"&lt;="&amp;p_to))</f>
        <v/>
      </c>
      <c r="P12" s="81" t="str">
        <f>IF(A12="","",SUMIFS(in_mo,in_eq,A12,in_done,1,in_dnum,"&gt;="&amp;p_from,in_dnum,"&lt;="&amp;p_to))</f>
        <v/>
      </c>
      <c r="Q12" s="81" t="str">
        <f>IF(A12="","",SUMIFS(in_other,in_eq,A12,in_done,1,in_dnum,"&gt;="&amp;p_from,in_dnum,"&lt;="&amp;p_to))</f>
        <v/>
      </c>
      <c r="R12" s="81" t="str">
        <f>IF(A12="","",SUMIFS(in_total,in_eq,A12,in_done,1,in_dnum,"&gt;="&amp;p_from,in_dnum,"&lt;="&amp;p_to))</f>
        <v/>
      </c>
      <c r="S12" s="67" t="str">
        <f>IF(A12="","",SUMIFS(in_work,in_eq,A12,in_type,"Correctif",in_done,1,in_dnum,"&gt;="&amp;p_from,in_dnum,"&lt;="&amp;p_to))</f>
        <v/>
      </c>
      <c r="T12" s="67" t="str">
        <f>IF(A12="","",SUMIFS(in_stop,in_eq,A12,in_type,"Correctif",in_done,1,in_dnum,"&gt;="&amp;p_from,in_dnum,"&lt;="&amp;p_to))</f>
        <v/>
      </c>
    </row>
    <row r="13">
      <c r="A13" s="67" t="str">
        <f>IF(INDEX(eq_code,2)="","",INDEX(eq_code,2)&amp;"")</f>
        <v/>
      </c>
      <c r="B13" s="67" t="str">
        <f>IF(A13="","",INDEX(eq_des,2)&amp;"")</f>
        <v/>
      </c>
      <c r="C13" s="79" t="str">
        <f>IF(A13="","",INDEX(eq_crit,2)&amp;"")</f>
        <v/>
      </c>
      <c r="D13" s="127" t="str">
        <f>IF(A13="","",IF(MAX(p_from,N(INDEX(eq_start,2)))&gt;p_to,0,ROUND(IF(AND(ISNUMBER(INDEX(eq_hours,2)),N(INDEX(eq_hours,2))&gt;0,N(INDEX(eq_hours,2))&lt;=24),INDEX(eq_hours,2),0)*IF(p_days="7 jours sur 7",p_to-MAX(p_from,N(INDEX(eq_start,2)))+1,NETWORKDAYS.INTL(MAX(p_from,N(INDEX(eq_start,2))),p_to,p_weekend,p_holidays)),2)))</f>
        <v/>
      </c>
      <c r="E13" s="128" t="str">
        <f>IF(A13="","",SUMIFS(in_stop,in_eq,A13,in_done,1,in_dnum,"&gt;="&amp;p_from,in_dnum,"&lt;="&amp;p_to))</f>
        <v/>
      </c>
      <c r="F13" s="129" t="str">
        <f>IF(A13="","",COUNTIFS(in_eq,A13,in_type,"Correctif",in_done,1,in_dnum,"&gt;="&amp;p_from,in_dnum,"&lt;="&amp;p_to))</f>
        <v/>
      </c>
      <c r="G13" s="130" t="str">
        <f>IF(OR(A13="",N(F13)=0),"",MAX(0,D13-E13)/F13)</f>
        <v/>
      </c>
      <c r="H13" s="81" t="str">
        <f>IF(OR(A13="",N(F13)=0),"",S13/F13)</f>
        <v/>
      </c>
      <c r="I13" s="81" t="str">
        <f>IF(OR(A13="",N(F13)=0),"",T13/F13)</f>
        <v/>
      </c>
      <c r="J13" s="131" t="str">
        <f>IF(OR(A13="",N(D13)=0),"",MAX(0,D13-E13)/D13)</f>
        <v/>
      </c>
      <c r="K13" s="128" t="str">
        <f>IF(A13="","",SUMIFS(in_work,in_eq,A13,in_type,"Préventif",in_done,1,in_dnum,"&gt;="&amp;p_from,in_dnum,"&lt;="&amp;p_to))</f>
        <v/>
      </c>
      <c r="L13" s="128" t="str">
        <f>IF(A13="","",SUMIFS(in_work,in_eq,A13,in_type,"Correctif",in_done,1,in_dnum,"&gt;="&amp;p_from,in_dnum,"&lt;="&amp;p_to))</f>
        <v/>
      </c>
      <c r="M13" s="128" t="str">
        <f>IF(A13="","",SUMIFS(in_work,in_eq,A13,in_type,"Amélioratif",in_done,1,in_dnum,"&gt;="&amp;p_from,in_dnum,"&lt;="&amp;p_to))</f>
        <v/>
      </c>
      <c r="N13" s="131" t="str">
        <f>IF(OR(A13="",N(K13)+N(L13)+N(M13)=0),"",K13/(K13+L13+M13))</f>
        <v/>
      </c>
      <c r="O13" s="81" t="str">
        <f>IF(A13="","",SUMIFS(in_parts,in_eq,A13,in_done,1,in_dnum,"&gt;="&amp;p_from,in_dnum,"&lt;="&amp;p_to))</f>
        <v/>
      </c>
      <c r="P13" s="81" t="str">
        <f>IF(A13="","",SUMIFS(in_mo,in_eq,A13,in_done,1,in_dnum,"&gt;="&amp;p_from,in_dnum,"&lt;="&amp;p_to))</f>
        <v/>
      </c>
      <c r="Q13" s="81" t="str">
        <f>IF(A13="","",SUMIFS(in_other,in_eq,A13,in_done,1,in_dnum,"&gt;="&amp;p_from,in_dnum,"&lt;="&amp;p_to))</f>
        <v/>
      </c>
      <c r="R13" s="81" t="str">
        <f>IF(A13="","",SUMIFS(in_total,in_eq,A13,in_done,1,in_dnum,"&gt;="&amp;p_from,in_dnum,"&lt;="&amp;p_to))</f>
        <v/>
      </c>
      <c r="S13" s="67" t="str">
        <f>IF(A13="","",SUMIFS(in_work,in_eq,A13,in_type,"Correctif",in_done,1,in_dnum,"&gt;="&amp;p_from,in_dnum,"&lt;="&amp;p_to))</f>
        <v/>
      </c>
      <c r="T13" s="67" t="str">
        <f>IF(A13="","",SUMIFS(in_stop,in_eq,A13,in_type,"Correctif",in_done,1,in_dnum,"&gt;="&amp;p_from,in_dnum,"&lt;="&amp;p_to))</f>
        <v/>
      </c>
    </row>
    <row r="14">
      <c r="A14" s="67" t="str">
        <f>IF(INDEX(eq_code,3)="","",INDEX(eq_code,3)&amp;"")</f>
        <v/>
      </c>
      <c r="B14" s="67" t="str">
        <f>IF(A14="","",INDEX(eq_des,3)&amp;"")</f>
        <v/>
      </c>
      <c r="C14" s="79" t="str">
        <f>IF(A14="","",INDEX(eq_crit,3)&amp;"")</f>
        <v/>
      </c>
      <c r="D14" s="127" t="str">
        <f>IF(A14="","",IF(MAX(p_from,N(INDEX(eq_start,3)))&gt;p_to,0,ROUND(IF(AND(ISNUMBER(INDEX(eq_hours,3)),N(INDEX(eq_hours,3))&gt;0,N(INDEX(eq_hours,3))&lt;=24),INDEX(eq_hours,3),0)*IF(p_days="7 jours sur 7",p_to-MAX(p_from,N(INDEX(eq_start,3)))+1,NETWORKDAYS.INTL(MAX(p_from,N(INDEX(eq_start,3))),p_to,p_weekend,p_holidays)),2)))</f>
        <v/>
      </c>
      <c r="E14" s="128" t="str">
        <f>IF(A14="","",SUMIFS(in_stop,in_eq,A14,in_done,1,in_dnum,"&gt;="&amp;p_from,in_dnum,"&lt;="&amp;p_to))</f>
        <v/>
      </c>
      <c r="F14" s="129" t="str">
        <f>IF(A14="","",COUNTIFS(in_eq,A14,in_type,"Correctif",in_done,1,in_dnum,"&gt;="&amp;p_from,in_dnum,"&lt;="&amp;p_to))</f>
        <v/>
      </c>
      <c r="G14" s="130" t="str">
        <f>IF(OR(A14="",N(F14)=0),"",MAX(0,D14-E14)/F14)</f>
        <v/>
      </c>
      <c r="H14" s="81" t="str">
        <f>IF(OR(A14="",N(F14)=0),"",S14/F14)</f>
        <v/>
      </c>
      <c r="I14" s="81" t="str">
        <f>IF(OR(A14="",N(F14)=0),"",T14/F14)</f>
        <v/>
      </c>
      <c r="J14" s="131" t="str">
        <f>IF(OR(A14="",N(D14)=0),"",MAX(0,D14-E14)/D14)</f>
        <v/>
      </c>
      <c r="K14" s="128" t="str">
        <f>IF(A14="","",SUMIFS(in_work,in_eq,A14,in_type,"Préventif",in_done,1,in_dnum,"&gt;="&amp;p_from,in_dnum,"&lt;="&amp;p_to))</f>
        <v/>
      </c>
      <c r="L14" s="128" t="str">
        <f>IF(A14="","",SUMIFS(in_work,in_eq,A14,in_type,"Correctif",in_done,1,in_dnum,"&gt;="&amp;p_from,in_dnum,"&lt;="&amp;p_to))</f>
        <v/>
      </c>
      <c r="M14" s="128" t="str">
        <f>IF(A14="","",SUMIFS(in_work,in_eq,A14,in_type,"Amélioratif",in_done,1,in_dnum,"&gt;="&amp;p_from,in_dnum,"&lt;="&amp;p_to))</f>
        <v/>
      </c>
      <c r="N14" s="131" t="str">
        <f>IF(OR(A14="",N(K14)+N(L14)+N(M14)=0),"",K14/(K14+L14+M14))</f>
        <v/>
      </c>
      <c r="O14" s="81" t="str">
        <f>IF(A14="","",SUMIFS(in_parts,in_eq,A14,in_done,1,in_dnum,"&gt;="&amp;p_from,in_dnum,"&lt;="&amp;p_to))</f>
        <v/>
      </c>
      <c r="P14" s="81" t="str">
        <f>IF(A14="","",SUMIFS(in_mo,in_eq,A14,in_done,1,in_dnum,"&gt;="&amp;p_from,in_dnum,"&lt;="&amp;p_to))</f>
        <v/>
      </c>
      <c r="Q14" s="81" t="str">
        <f>IF(A14="","",SUMIFS(in_other,in_eq,A14,in_done,1,in_dnum,"&gt;="&amp;p_from,in_dnum,"&lt;="&amp;p_to))</f>
        <v/>
      </c>
      <c r="R14" s="81" t="str">
        <f>IF(A14="","",SUMIFS(in_total,in_eq,A14,in_done,1,in_dnum,"&gt;="&amp;p_from,in_dnum,"&lt;="&amp;p_to))</f>
        <v/>
      </c>
      <c r="S14" s="67" t="str">
        <f>IF(A14="","",SUMIFS(in_work,in_eq,A14,in_type,"Correctif",in_done,1,in_dnum,"&gt;="&amp;p_from,in_dnum,"&lt;="&amp;p_to))</f>
        <v/>
      </c>
      <c r="T14" s="67" t="str">
        <f>IF(A14="","",SUMIFS(in_stop,in_eq,A14,in_type,"Correctif",in_done,1,in_dnum,"&gt;="&amp;p_from,in_dnum,"&lt;="&amp;p_to))</f>
        <v/>
      </c>
    </row>
    <row r="15">
      <c r="A15" s="67" t="str">
        <f>IF(INDEX(eq_code,4)="","",INDEX(eq_code,4)&amp;"")</f>
        <v/>
      </c>
      <c r="B15" s="67" t="str">
        <f>IF(A15="","",INDEX(eq_des,4)&amp;"")</f>
        <v/>
      </c>
      <c r="C15" s="79" t="str">
        <f>IF(A15="","",INDEX(eq_crit,4)&amp;"")</f>
        <v/>
      </c>
      <c r="D15" s="127" t="str">
        <f>IF(A15="","",IF(MAX(p_from,N(INDEX(eq_start,4)))&gt;p_to,0,ROUND(IF(AND(ISNUMBER(INDEX(eq_hours,4)),N(INDEX(eq_hours,4))&gt;0,N(INDEX(eq_hours,4))&lt;=24),INDEX(eq_hours,4),0)*IF(p_days="7 jours sur 7",p_to-MAX(p_from,N(INDEX(eq_start,4)))+1,NETWORKDAYS.INTL(MAX(p_from,N(INDEX(eq_start,4))),p_to,p_weekend,p_holidays)),2)))</f>
        <v/>
      </c>
      <c r="E15" s="128" t="str">
        <f>IF(A15="","",SUMIFS(in_stop,in_eq,A15,in_done,1,in_dnum,"&gt;="&amp;p_from,in_dnum,"&lt;="&amp;p_to))</f>
        <v/>
      </c>
      <c r="F15" s="129" t="str">
        <f>IF(A15="","",COUNTIFS(in_eq,A15,in_type,"Correctif",in_done,1,in_dnum,"&gt;="&amp;p_from,in_dnum,"&lt;="&amp;p_to))</f>
        <v/>
      </c>
      <c r="G15" s="130" t="str">
        <f>IF(OR(A15="",N(F15)=0),"",MAX(0,D15-E15)/F15)</f>
        <v/>
      </c>
      <c r="H15" s="81" t="str">
        <f>IF(OR(A15="",N(F15)=0),"",S15/F15)</f>
        <v/>
      </c>
      <c r="I15" s="81" t="str">
        <f>IF(OR(A15="",N(F15)=0),"",T15/F15)</f>
        <v/>
      </c>
      <c r="J15" s="131" t="str">
        <f>IF(OR(A15="",N(D15)=0),"",MAX(0,D15-E15)/D15)</f>
        <v/>
      </c>
      <c r="K15" s="128" t="str">
        <f>IF(A15="","",SUMIFS(in_work,in_eq,A15,in_type,"Préventif",in_done,1,in_dnum,"&gt;="&amp;p_from,in_dnum,"&lt;="&amp;p_to))</f>
        <v/>
      </c>
      <c r="L15" s="128" t="str">
        <f>IF(A15="","",SUMIFS(in_work,in_eq,A15,in_type,"Correctif",in_done,1,in_dnum,"&gt;="&amp;p_from,in_dnum,"&lt;="&amp;p_to))</f>
        <v/>
      </c>
      <c r="M15" s="128" t="str">
        <f>IF(A15="","",SUMIFS(in_work,in_eq,A15,in_type,"Amélioratif",in_done,1,in_dnum,"&gt;="&amp;p_from,in_dnum,"&lt;="&amp;p_to))</f>
        <v/>
      </c>
      <c r="N15" s="131" t="str">
        <f>IF(OR(A15="",N(K15)+N(L15)+N(M15)=0),"",K15/(K15+L15+M15))</f>
        <v/>
      </c>
      <c r="O15" s="81" t="str">
        <f>IF(A15="","",SUMIFS(in_parts,in_eq,A15,in_done,1,in_dnum,"&gt;="&amp;p_from,in_dnum,"&lt;="&amp;p_to))</f>
        <v/>
      </c>
      <c r="P15" s="81" t="str">
        <f>IF(A15="","",SUMIFS(in_mo,in_eq,A15,in_done,1,in_dnum,"&gt;="&amp;p_from,in_dnum,"&lt;="&amp;p_to))</f>
        <v/>
      </c>
      <c r="Q15" s="81" t="str">
        <f>IF(A15="","",SUMIFS(in_other,in_eq,A15,in_done,1,in_dnum,"&gt;="&amp;p_from,in_dnum,"&lt;="&amp;p_to))</f>
        <v/>
      </c>
      <c r="R15" s="81" t="str">
        <f>IF(A15="","",SUMIFS(in_total,in_eq,A15,in_done,1,in_dnum,"&gt;="&amp;p_from,in_dnum,"&lt;="&amp;p_to))</f>
        <v/>
      </c>
      <c r="S15" s="67" t="str">
        <f>IF(A15="","",SUMIFS(in_work,in_eq,A15,in_type,"Correctif",in_done,1,in_dnum,"&gt;="&amp;p_from,in_dnum,"&lt;="&amp;p_to))</f>
        <v/>
      </c>
      <c r="T15" s="67" t="str">
        <f>IF(A15="","",SUMIFS(in_stop,in_eq,A15,in_type,"Correctif",in_done,1,in_dnum,"&gt;="&amp;p_from,in_dnum,"&lt;="&amp;p_to))</f>
        <v/>
      </c>
    </row>
    <row r="16">
      <c r="A16" s="67" t="str">
        <f>IF(INDEX(eq_code,5)="","",INDEX(eq_code,5)&amp;"")</f>
        <v/>
      </c>
      <c r="B16" s="67" t="str">
        <f>IF(A16="","",INDEX(eq_des,5)&amp;"")</f>
        <v/>
      </c>
      <c r="C16" s="79" t="str">
        <f>IF(A16="","",INDEX(eq_crit,5)&amp;"")</f>
        <v/>
      </c>
      <c r="D16" s="127" t="str">
        <f>IF(A16="","",IF(MAX(p_from,N(INDEX(eq_start,5)))&gt;p_to,0,ROUND(IF(AND(ISNUMBER(INDEX(eq_hours,5)),N(INDEX(eq_hours,5))&gt;0,N(INDEX(eq_hours,5))&lt;=24),INDEX(eq_hours,5),0)*IF(p_days="7 jours sur 7",p_to-MAX(p_from,N(INDEX(eq_start,5)))+1,NETWORKDAYS.INTL(MAX(p_from,N(INDEX(eq_start,5))),p_to,p_weekend,p_holidays)),2)))</f>
        <v/>
      </c>
      <c r="E16" s="128" t="str">
        <f>IF(A16="","",SUMIFS(in_stop,in_eq,A16,in_done,1,in_dnum,"&gt;="&amp;p_from,in_dnum,"&lt;="&amp;p_to))</f>
        <v/>
      </c>
      <c r="F16" s="129" t="str">
        <f>IF(A16="","",COUNTIFS(in_eq,A16,in_type,"Correctif",in_done,1,in_dnum,"&gt;="&amp;p_from,in_dnum,"&lt;="&amp;p_to))</f>
        <v/>
      </c>
      <c r="G16" s="130" t="str">
        <f>IF(OR(A16="",N(F16)=0),"",MAX(0,D16-E16)/F16)</f>
        <v/>
      </c>
      <c r="H16" s="81" t="str">
        <f>IF(OR(A16="",N(F16)=0),"",S16/F16)</f>
        <v/>
      </c>
      <c r="I16" s="81" t="str">
        <f>IF(OR(A16="",N(F16)=0),"",T16/F16)</f>
        <v/>
      </c>
      <c r="J16" s="131" t="str">
        <f>IF(OR(A16="",N(D16)=0),"",MAX(0,D16-E16)/D16)</f>
        <v/>
      </c>
      <c r="K16" s="128" t="str">
        <f>IF(A16="","",SUMIFS(in_work,in_eq,A16,in_type,"Préventif",in_done,1,in_dnum,"&gt;="&amp;p_from,in_dnum,"&lt;="&amp;p_to))</f>
        <v/>
      </c>
      <c r="L16" s="128" t="str">
        <f>IF(A16="","",SUMIFS(in_work,in_eq,A16,in_type,"Correctif",in_done,1,in_dnum,"&gt;="&amp;p_from,in_dnum,"&lt;="&amp;p_to))</f>
        <v/>
      </c>
      <c r="M16" s="128" t="str">
        <f>IF(A16="","",SUMIFS(in_work,in_eq,A16,in_type,"Amélioratif",in_done,1,in_dnum,"&gt;="&amp;p_from,in_dnum,"&lt;="&amp;p_to))</f>
        <v/>
      </c>
      <c r="N16" s="131" t="str">
        <f>IF(OR(A16="",N(K16)+N(L16)+N(M16)=0),"",K16/(K16+L16+M16))</f>
        <v/>
      </c>
      <c r="O16" s="81" t="str">
        <f>IF(A16="","",SUMIFS(in_parts,in_eq,A16,in_done,1,in_dnum,"&gt;="&amp;p_from,in_dnum,"&lt;="&amp;p_to))</f>
        <v/>
      </c>
      <c r="P16" s="81" t="str">
        <f>IF(A16="","",SUMIFS(in_mo,in_eq,A16,in_done,1,in_dnum,"&gt;="&amp;p_from,in_dnum,"&lt;="&amp;p_to))</f>
        <v/>
      </c>
      <c r="Q16" s="81" t="str">
        <f>IF(A16="","",SUMIFS(in_other,in_eq,A16,in_done,1,in_dnum,"&gt;="&amp;p_from,in_dnum,"&lt;="&amp;p_to))</f>
        <v/>
      </c>
      <c r="R16" s="81" t="str">
        <f>IF(A16="","",SUMIFS(in_total,in_eq,A16,in_done,1,in_dnum,"&gt;="&amp;p_from,in_dnum,"&lt;="&amp;p_to))</f>
        <v/>
      </c>
      <c r="S16" s="67" t="str">
        <f>IF(A16="","",SUMIFS(in_work,in_eq,A16,in_type,"Correctif",in_done,1,in_dnum,"&gt;="&amp;p_from,in_dnum,"&lt;="&amp;p_to))</f>
        <v/>
      </c>
      <c r="T16" s="67" t="str">
        <f>IF(A16="","",SUMIFS(in_stop,in_eq,A16,in_type,"Correctif",in_done,1,in_dnum,"&gt;="&amp;p_from,in_dnum,"&lt;="&amp;p_to))</f>
        <v/>
      </c>
    </row>
    <row r="17">
      <c r="A17" s="67" t="str">
        <f>IF(INDEX(eq_code,6)="","",INDEX(eq_code,6)&amp;"")</f>
        <v/>
      </c>
      <c r="B17" s="67" t="str">
        <f>IF(A17="","",INDEX(eq_des,6)&amp;"")</f>
        <v/>
      </c>
      <c r="C17" s="79" t="str">
        <f>IF(A17="","",INDEX(eq_crit,6)&amp;"")</f>
        <v/>
      </c>
      <c r="D17" s="127" t="str">
        <f>IF(A17="","",IF(MAX(p_from,N(INDEX(eq_start,6)))&gt;p_to,0,ROUND(IF(AND(ISNUMBER(INDEX(eq_hours,6)),N(INDEX(eq_hours,6))&gt;0,N(INDEX(eq_hours,6))&lt;=24),INDEX(eq_hours,6),0)*IF(p_days="7 jours sur 7",p_to-MAX(p_from,N(INDEX(eq_start,6)))+1,NETWORKDAYS.INTL(MAX(p_from,N(INDEX(eq_start,6))),p_to,p_weekend,p_holidays)),2)))</f>
        <v/>
      </c>
      <c r="E17" s="128" t="str">
        <f>IF(A17="","",SUMIFS(in_stop,in_eq,A17,in_done,1,in_dnum,"&gt;="&amp;p_from,in_dnum,"&lt;="&amp;p_to))</f>
        <v/>
      </c>
      <c r="F17" s="129" t="str">
        <f>IF(A17="","",COUNTIFS(in_eq,A17,in_type,"Correctif",in_done,1,in_dnum,"&gt;="&amp;p_from,in_dnum,"&lt;="&amp;p_to))</f>
        <v/>
      </c>
      <c r="G17" s="130" t="str">
        <f>IF(OR(A17="",N(F17)=0),"",MAX(0,D17-E17)/F17)</f>
        <v/>
      </c>
      <c r="H17" s="81" t="str">
        <f>IF(OR(A17="",N(F17)=0),"",S17/F17)</f>
        <v/>
      </c>
      <c r="I17" s="81" t="str">
        <f>IF(OR(A17="",N(F17)=0),"",T17/F17)</f>
        <v/>
      </c>
      <c r="J17" s="131" t="str">
        <f>IF(OR(A17="",N(D17)=0),"",MAX(0,D17-E17)/D17)</f>
        <v/>
      </c>
      <c r="K17" s="128" t="str">
        <f>IF(A17="","",SUMIFS(in_work,in_eq,A17,in_type,"Préventif",in_done,1,in_dnum,"&gt;="&amp;p_from,in_dnum,"&lt;="&amp;p_to))</f>
        <v/>
      </c>
      <c r="L17" s="128" t="str">
        <f>IF(A17="","",SUMIFS(in_work,in_eq,A17,in_type,"Correctif",in_done,1,in_dnum,"&gt;="&amp;p_from,in_dnum,"&lt;="&amp;p_to))</f>
        <v/>
      </c>
      <c r="M17" s="128" t="str">
        <f>IF(A17="","",SUMIFS(in_work,in_eq,A17,in_type,"Amélioratif",in_done,1,in_dnum,"&gt;="&amp;p_from,in_dnum,"&lt;="&amp;p_to))</f>
        <v/>
      </c>
      <c r="N17" s="131" t="str">
        <f>IF(OR(A17="",N(K17)+N(L17)+N(M17)=0),"",K17/(K17+L17+M17))</f>
        <v/>
      </c>
      <c r="O17" s="81" t="str">
        <f>IF(A17="","",SUMIFS(in_parts,in_eq,A17,in_done,1,in_dnum,"&gt;="&amp;p_from,in_dnum,"&lt;="&amp;p_to))</f>
        <v/>
      </c>
      <c r="P17" s="81" t="str">
        <f>IF(A17="","",SUMIFS(in_mo,in_eq,A17,in_done,1,in_dnum,"&gt;="&amp;p_from,in_dnum,"&lt;="&amp;p_to))</f>
        <v/>
      </c>
      <c r="Q17" s="81" t="str">
        <f>IF(A17="","",SUMIFS(in_other,in_eq,A17,in_done,1,in_dnum,"&gt;="&amp;p_from,in_dnum,"&lt;="&amp;p_to))</f>
        <v/>
      </c>
      <c r="R17" s="81" t="str">
        <f>IF(A17="","",SUMIFS(in_total,in_eq,A17,in_done,1,in_dnum,"&gt;="&amp;p_from,in_dnum,"&lt;="&amp;p_to))</f>
        <v/>
      </c>
      <c r="S17" s="67" t="str">
        <f>IF(A17="","",SUMIFS(in_work,in_eq,A17,in_type,"Correctif",in_done,1,in_dnum,"&gt;="&amp;p_from,in_dnum,"&lt;="&amp;p_to))</f>
        <v/>
      </c>
      <c r="T17" s="67" t="str">
        <f>IF(A17="","",SUMIFS(in_stop,in_eq,A17,in_type,"Correctif",in_done,1,in_dnum,"&gt;="&amp;p_from,in_dnum,"&lt;="&amp;p_to))</f>
        <v/>
      </c>
    </row>
    <row r="18">
      <c r="A18" s="67" t="str">
        <f>IF(INDEX(eq_code,7)="","",INDEX(eq_code,7)&amp;"")</f>
        <v/>
      </c>
      <c r="B18" s="67" t="str">
        <f>IF(A18="","",INDEX(eq_des,7)&amp;"")</f>
        <v/>
      </c>
      <c r="C18" s="79" t="str">
        <f>IF(A18="","",INDEX(eq_crit,7)&amp;"")</f>
        <v/>
      </c>
      <c r="D18" s="127" t="str">
        <f>IF(A18="","",IF(MAX(p_from,N(INDEX(eq_start,7)))&gt;p_to,0,ROUND(IF(AND(ISNUMBER(INDEX(eq_hours,7)),N(INDEX(eq_hours,7))&gt;0,N(INDEX(eq_hours,7))&lt;=24),INDEX(eq_hours,7),0)*IF(p_days="7 jours sur 7",p_to-MAX(p_from,N(INDEX(eq_start,7)))+1,NETWORKDAYS.INTL(MAX(p_from,N(INDEX(eq_start,7))),p_to,p_weekend,p_holidays)),2)))</f>
        <v/>
      </c>
      <c r="E18" s="128" t="str">
        <f>IF(A18="","",SUMIFS(in_stop,in_eq,A18,in_done,1,in_dnum,"&gt;="&amp;p_from,in_dnum,"&lt;="&amp;p_to))</f>
        <v/>
      </c>
      <c r="F18" s="129" t="str">
        <f>IF(A18="","",COUNTIFS(in_eq,A18,in_type,"Correctif",in_done,1,in_dnum,"&gt;="&amp;p_from,in_dnum,"&lt;="&amp;p_to))</f>
        <v/>
      </c>
      <c r="G18" s="130" t="str">
        <f>IF(OR(A18="",N(F18)=0),"",MAX(0,D18-E18)/F18)</f>
        <v/>
      </c>
      <c r="H18" s="81" t="str">
        <f>IF(OR(A18="",N(F18)=0),"",S18/F18)</f>
        <v/>
      </c>
      <c r="I18" s="81" t="str">
        <f>IF(OR(A18="",N(F18)=0),"",T18/F18)</f>
        <v/>
      </c>
      <c r="J18" s="131" t="str">
        <f>IF(OR(A18="",N(D18)=0),"",MAX(0,D18-E18)/D18)</f>
        <v/>
      </c>
      <c r="K18" s="128" t="str">
        <f>IF(A18="","",SUMIFS(in_work,in_eq,A18,in_type,"Préventif",in_done,1,in_dnum,"&gt;="&amp;p_from,in_dnum,"&lt;="&amp;p_to))</f>
        <v/>
      </c>
      <c r="L18" s="128" t="str">
        <f>IF(A18="","",SUMIFS(in_work,in_eq,A18,in_type,"Correctif",in_done,1,in_dnum,"&gt;="&amp;p_from,in_dnum,"&lt;="&amp;p_to))</f>
        <v/>
      </c>
      <c r="M18" s="128" t="str">
        <f>IF(A18="","",SUMIFS(in_work,in_eq,A18,in_type,"Amélioratif",in_done,1,in_dnum,"&gt;="&amp;p_from,in_dnum,"&lt;="&amp;p_to))</f>
        <v/>
      </c>
      <c r="N18" s="131" t="str">
        <f>IF(OR(A18="",N(K18)+N(L18)+N(M18)=0),"",K18/(K18+L18+M18))</f>
        <v/>
      </c>
      <c r="O18" s="81" t="str">
        <f>IF(A18="","",SUMIFS(in_parts,in_eq,A18,in_done,1,in_dnum,"&gt;="&amp;p_from,in_dnum,"&lt;="&amp;p_to))</f>
        <v/>
      </c>
      <c r="P18" s="81" t="str">
        <f>IF(A18="","",SUMIFS(in_mo,in_eq,A18,in_done,1,in_dnum,"&gt;="&amp;p_from,in_dnum,"&lt;="&amp;p_to))</f>
        <v/>
      </c>
      <c r="Q18" s="81" t="str">
        <f>IF(A18="","",SUMIFS(in_other,in_eq,A18,in_done,1,in_dnum,"&gt;="&amp;p_from,in_dnum,"&lt;="&amp;p_to))</f>
        <v/>
      </c>
      <c r="R18" s="81" t="str">
        <f>IF(A18="","",SUMIFS(in_total,in_eq,A18,in_done,1,in_dnum,"&gt;="&amp;p_from,in_dnum,"&lt;="&amp;p_to))</f>
        <v/>
      </c>
      <c r="S18" s="67" t="str">
        <f>IF(A18="","",SUMIFS(in_work,in_eq,A18,in_type,"Correctif",in_done,1,in_dnum,"&gt;="&amp;p_from,in_dnum,"&lt;="&amp;p_to))</f>
        <v/>
      </c>
      <c r="T18" s="67" t="str">
        <f>IF(A18="","",SUMIFS(in_stop,in_eq,A18,in_type,"Correctif",in_done,1,in_dnum,"&gt;="&amp;p_from,in_dnum,"&lt;="&amp;p_to))</f>
        <v/>
      </c>
    </row>
    <row r="19">
      <c r="A19" s="67" t="str">
        <f>IF(INDEX(eq_code,8)="","",INDEX(eq_code,8)&amp;"")</f>
        <v/>
      </c>
      <c r="B19" s="67" t="str">
        <f>IF(A19="","",INDEX(eq_des,8)&amp;"")</f>
        <v/>
      </c>
      <c r="C19" s="79" t="str">
        <f>IF(A19="","",INDEX(eq_crit,8)&amp;"")</f>
        <v/>
      </c>
      <c r="D19" s="127" t="str">
        <f>IF(A19="","",IF(MAX(p_from,N(INDEX(eq_start,8)))&gt;p_to,0,ROUND(IF(AND(ISNUMBER(INDEX(eq_hours,8)),N(INDEX(eq_hours,8))&gt;0,N(INDEX(eq_hours,8))&lt;=24),INDEX(eq_hours,8),0)*IF(p_days="7 jours sur 7",p_to-MAX(p_from,N(INDEX(eq_start,8)))+1,NETWORKDAYS.INTL(MAX(p_from,N(INDEX(eq_start,8))),p_to,p_weekend,p_holidays)),2)))</f>
        <v/>
      </c>
      <c r="E19" s="128" t="str">
        <f>IF(A19="","",SUMIFS(in_stop,in_eq,A19,in_done,1,in_dnum,"&gt;="&amp;p_from,in_dnum,"&lt;="&amp;p_to))</f>
        <v/>
      </c>
      <c r="F19" s="129" t="str">
        <f>IF(A19="","",COUNTIFS(in_eq,A19,in_type,"Correctif",in_done,1,in_dnum,"&gt;="&amp;p_from,in_dnum,"&lt;="&amp;p_to))</f>
        <v/>
      </c>
      <c r="G19" s="130" t="str">
        <f>IF(OR(A19="",N(F19)=0),"",MAX(0,D19-E19)/F19)</f>
        <v/>
      </c>
      <c r="H19" s="81" t="str">
        <f>IF(OR(A19="",N(F19)=0),"",S19/F19)</f>
        <v/>
      </c>
      <c r="I19" s="81" t="str">
        <f>IF(OR(A19="",N(F19)=0),"",T19/F19)</f>
        <v/>
      </c>
      <c r="J19" s="131" t="str">
        <f>IF(OR(A19="",N(D19)=0),"",MAX(0,D19-E19)/D19)</f>
        <v/>
      </c>
      <c r="K19" s="128" t="str">
        <f>IF(A19="","",SUMIFS(in_work,in_eq,A19,in_type,"Préventif",in_done,1,in_dnum,"&gt;="&amp;p_from,in_dnum,"&lt;="&amp;p_to))</f>
        <v/>
      </c>
      <c r="L19" s="128" t="str">
        <f>IF(A19="","",SUMIFS(in_work,in_eq,A19,in_type,"Correctif",in_done,1,in_dnum,"&gt;="&amp;p_from,in_dnum,"&lt;="&amp;p_to))</f>
        <v/>
      </c>
      <c r="M19" s="128" t="str">
        <f>IF(A19="","",SUMIFS(in_work,in_eq,A19,in_type,"Amélioratif",in_done,1,in_dnum,"&gt;="&amp;p_from,in_dnum,"&lt;="&amp;p_to))</f>
        <v/>
      </c>
      <c r="N19" s="131" t="str">
        <f>IF(OR(A19="",N(K19)+N(L19)+N(M19)=0),"",K19/(K19+L19+M19))</f>
        <v/>
      </c>
      <c r="O19" s="81" t="str">
        <f>IF(A19="","",SUMIFS(in_parts,in_eq,A19,in_done,1,in_dnum,"&gt;="&amp;p_from,in_dnum,"&lt;="&amp;p_to))</f>
        <v/>
      </c>
      <c r="P19" s="81" t="str">
        <f>IF(A19="","",SUMIFS(in_mo,in_eq,A19,in_done,1,in_dnum,"&gt;="&amp;p_from,in_dnum,"&lt;="&amp;p_to))</f>
        <v/>
      </c>
      <c r="Q19" s="81" t="str">
        <f>IF(A19="","",SUMIFS(in_other,in_eq,A19,in_done,1,in_dnum,"&gt;="&amp;p_from,in_dnum,"&lt;="&amp;p_to))</f>
        <v/>
      </c>
      <c r="R19" s="81" t="str">
        <f>IF(A19="","",SUMIFS(in_total,in_eq,A19,in_done,1,in_dnum,"&gt;="&amp;p_from,in_dnum,"&lt;="&amp;p_to))</f>
        <v/>
      </c>
      <c r="S19" s="67" t="str">
        <f>IF(A19="","",SUMIFS(in_work,in_eq,A19,in_type,"Correctif",in_done,1,in_dnum,"&gt;="&amp;p_from,in_dnum,"&lt;="&amp;p_to))</f>
        <v/>
      </c>
      <c r="T19" s="67" t="str">
        <f>IF(A19="","",SUMIFS(in_stop,in_eq,A19,in_type,"Correctif",in_done,1,in_dnum,"&gt;="&amp;p_from,in_dnum,"&lt;="&amp;p_to))</f>
        <v/>
      </c>
    </row>
    <row r="20">
      <c r="A20" s="67" t="str">
        <f>IF(INDEX(eq_code,9)="","",INDEX(eq_code,9)&amp;"")</f>
        <v/>
      </c>
      <c r="B20" s="67" t="str">
        <f>IF(A20="","",INDEX(eq_des,9)&amp;"")</f>
        <v/>
      </c>
      <c r="C20" s="79" t="str">
        <f>IF(A20="","",INDEX(eq_crit,9)&amp;"")</f>
        <v/>
      </c>
      <c r="D20" s="127" t="str">
        <f>IF(A20="","",IF(MAX(p_from,N(INDEX(eq_start,9)))&gt;p_to,0,ROUND(IF(AND(ISNUMBER(INDEX(eq_hours,9)),N(INDEX(eq_hours,9))&gt;0,N(INDEX(eq_hours,9))&lt;=24),INDEX(eq_hours,9),0)*IF(p_days="7 jours sur 7",p_to-MAX(p_from,N(INDEX(eq_start,9)))+1,NETWORKDAYS.INTL(MAX(p_from,N(INDEX(eq_start,9))),p_to,p_weekend,p_holidays)),2)))</f>
        <v/>
      </c>
      <c r="E20" s="128" t="str">
        <f>IF(A20="","",SUMIFS(in_stop,in_eq,A20,in_done,1,in_dnum,"&gt;="&amp;p_from,in_dnum,"&lt;="&amp;p_to))</f>
        <v/>
      </c>
      <c r="F20" s="129" t="str">
        <f>IF(A20="","",COUNTIFS(in_eq,A20,in_type,"Correctif",in_done,1,in_dnum,"&gt;="&amp;p_from,in_dnum,"&lt;="&amp;p_to))</f>
        <v/>
      </c>
      <c r="G20" s="130" t="str">
        <f>IF(OR(A20="",N(F20)=0),"",MAX(0,D20-E20)/F20)</f>
        <v/>
      </c>
      <c r="H20" s="81" t="str">
        <f>IF(OR(A20="",N(F20)=0),"",S20/F20)</f>
        <v/>
      </c>
      <c r="I20" s="81" t="str">
        <f>IF(OR(A20="",N(F20)=0),"",T20/F20)</f>
        <v/>
      </c>
      <c r="J20" s="131" t="str">
        <f>IF(OR(A20="",N(D20)=0),"",MAX(0,D20-E20)/D20)</f>
        <v/>
      </c>
      <c r="K20" s="128" t="str">
        <f>IF(A20="","",SUMIFS(in_work,in_eq,A20,in_type,"Préventif",in_done,1,in_dnum,"&gt;="&amp;p_from,in_dnum,"&lt;="&amp;p_to))</f>
        <v/>
      </c>
      <c r="L20" s="128" t="str">
        <f>IF(A20="","",SUMIFS(in_work,in_eq,A20,in_type,"Correctif",in_done,1,in_dnum,"&gt;="&amp;p_from,in_dnum,"&lt;="&amp;p_to))</f>
        <v/>
      </c>
      <c r="M20" s="128" t="str">
        <f>IF(A20="","",SUMIFS(in_work,in_eq,A20,in_type,"Amélioratif",in_done,1,in_dnum,"&gt;="&amp;p_from,in_dnum,"&lt;="&amp;p_to))</f>
        <v/>
      </c>
      <c r="N20" s="131" t="str">
        <f>IF(OR(A20="",N(K20)+N(L20)+N(M20)=0),"",K20/(K20+L20+M20))</f>
        <v/>
      </c>
      <c r="O20" s="81" t="str">
        <f>IF(A20="","",SUMIFS(in_parts,in_eq,A20,in_done,1,in_dnum,"&gt;="&amp;p_from,in_dnum,"&lt;="&amp;p_to))</f>
        <v/>
      </c>
      <c r="P20" s="81" t="str">
        <f>IF(A20="","",SUMIFS(in_mo,in_eq,A20,in_done,1,in_dnum,"&gt;="&amp;p_from,in_dnum,"&lt;="&amp;p_to))</f>
        <v/>
      </c>
      <c r="Q20" s="81" t="str">
        <f>IF(A20="","",SUMIFS(in_other,in_eq,A20,in_done,1,in_dnum,"&gt;="&amp;p_from,in_dnum,"&lt;="&amp;p_to))</f>
        <v/>
      </c>
      <c r="R20" s="81" t="str">
        <f>IF(A20="","",SUMIFS(in_total,in_eq,A20,in_done,1,in_dnum,"&gt;="&amp;p_from,in_dnum,"&lt;="&amp;p_to))</f>
        <v/>
      </c>
      <c r="S20" s="67" t="str">
        <f>IF(A20="","",SUMIFS(in_work,in_eq,A20,in_type,"Correctif",in_done,1,in_dnum,"&gt;="&amp;p_from,in_dnum,"&lt;="&amp;p_to))</f>
        <v/>
      </c>
      <c r="T20" s="67" t="str">
        <f>IF(A20="","",SUMIFS(in_stop,in_eq,A20,in_type,"Correctif",in_done,1,in_dnum,"&gt;="&amp;p_from,in_dnum,"&lt;="&amp;p_to))</f>
        <v/>
      </c>
    </row>
    <row r="21">
      <c r="A21" s="67" t="str">
        <f>IF(INDEX(eq_code,10)="","",INDEX(eq_code,10)&amp;"")</f>
        <v/>
      </c>
      <c r="B21" s="67" t="str">
        <f>IF(A21="","",INDEX(eq_des,10)&amp;"")</f>
        <v/>
      </c>
      <c r="C21" s="79" t="str">
        <f>IF(A21="","",INDEX(eq_crit,10)&amp;"")</f>
        <v/>
      </c>
      <c r="D21" s="127" t="str">
        <f>IF(A21="","",IF(MAX(p_from,N(INDEX(eq_start,10)))&gt;p_to,0,ROUND(IF(AND(ISNUMBER(INDEX(eq_hours,10)),N(INDEX(eq_hours,10))&gt;0,N(INDEX(eq_hours,10))&lt;=24),INDEX(eq_hours,10),0)*IF(p_days="7 jours sur 7",p_to-MAX(p_from,N(INDEX(eq_start,10)))+1,NETWORKDAYS.INTL(MAX(p_from,N(INDEX(eq_start,10))),p_to,p_weekend,p_holidays)),2)))</f>
        <v/>
      </c>
      <c r="E21" s="128" t="str">
        <f>IF(A21="","",SUMIFS(in_stop,in_eq,A21,in_done,1,in_dnum,"&gt;="&amp;p_from,in_dnum,"&lt;="&amp;p_to))</f>
        <v/>
      </c>
      <c r="F21" s="129" t="str">
        <f>IF(A21="","",COUNTIFS(in_eq,A21,in_type,"Correctif",in_done,1,in_dnum,"&gt;="&amp;p_from,in_dnum,"&lt;="&amp;p_to))</f>
        <v/>
      </c>
      <c r="G21" s="130" t="str">
        <f>IF(OR(A21="",N(F21)=0),"",MAX(0,D21-E21)/F21)</f>
        <v/>
      </c>
      <c r="H21" s="81" t="str">
        <f>IF(OR(A21="",N(F21)=0),"",S21/F21)</f>
        <v/>
      </c>
      <c r="I21" s="81" t="str">
        <f>IF(OR(A21="",N(F21)=0),"",T21/F21)</f>
        <v/>
      </c>
      <c r="J21" s="131" t="str">
        <f>IF(OR(A21="",N(D21)=0),"",MAX(0,D21-E21)/D21)</f>
        <v/>
      </c>
      <c r="K21" s="128" t="str">
        <f>IF(A21="","",SUMIFS(in_work,in_eq,A21,in_type,"Préventif",in_done,1,in_dnum,"&gt;="&amp;p_from,in_dnum,"&lt;="&amp;p_to))</f>
        <v/>
      </c>
      <c r="L21" s="128" t="str">
        <f>IF(A21="","",SUMIFS(in_work,in_eq,A21,in_type,"Correctif",in_done,1,in_dnum,"&gt;="&amp;p_from,in_dnum,"&lt;="&amp;p_to))</f>
        <v/>
      </c>
      <c r="M21" s="128" t="str">
        <f>IF(A21="","",SUMIFS(in_work,in_eq,A21,in_type,"Amélioratif",in_done,1,in_dnum,"&gt;="&amp;p_from,in_dnum,"&lt;="&amp;p_to))</f>
        <v/>
      </c>
      <c r="N21" s="131" t="str">
        <f>IF(OR(A21="",N(K21)+N(L21)+N(M21)=0),"",K21/(K21+L21+M21))</f>
        <v/>
      </c>
      <c r="O21" s="81" t="str">
        <f>IF(A21="","",SUMIFS(in_parts,in_eq,A21,in_done,1,in_dnum,"&gt;="&amp;p_from,in_dnum,"&lt;="&amp;p_to))</f>
        <v/>
      </c>
      <c r="P21" s="81" t="str">
        <f>IF(A21="","",SUMIFS(in_mo,in_eq,A21,in_done,1,in_dnum,"&gt;="&amp;p_from,in_dnum,"&lt;="&amp;p_to))</f>
        <v/>
      </c>
      <c r="Q21" s="81" t="str">
        <f>IF(A21="","",SUMIFS(in_other,in_eq,A21,in_done,1,in_dnum,"&gt;="&amp;p_from,in_dnum,"&lt;="&amp;p_to))</f>
        <v/>
      </c>
      <c r="R21" s="81" t="str">
        <f>IF(A21="","",SUMIFS(in_total,in_eq,A21,in_done,1,in_dnum,"&gt;="&amp;p_from,in_dnum,"&lt;="&amp;p_to))</f>
        <v/>
      </c>
      <c r="S21" s="67" t="str">
        <f>IF(A21="","",SUMIFS(in_work,in_eq,A21,in_type,"Correctif",in_done,1,in_dnum,"&gt;="&amp;p_from,in_dnum,"&lt;="&amp;p_to))</f>
        <v/>
      </c>
      <c r="T21" s="67" t="str">
        <f>IF(A21="","",SUMIFS(in_stop,in_eq,A21,in_type,"Correctif",in_done,1,in_dnum,"&gt;="&amp;p_from,in_dnum,"&lt;="&amp;p_to))</f>
        <v/>
      </c>
    </row>
    <row r="22">
      <c r="A22" s="67" t="str">
        <f>IF(INDEX(eq_code,11)="","",INDEX(eq_code,11)&amp;"")</f>
        <v/>
      </c>
      <c r="B22" s="67" t="str">
        <f>IF(A22="","",INDEX(eq_des,11)&amp;"")</f>
        <v/>
      </c>
      <c r="C22" s="79" t="str">
        <f>IF(A22="","",INDEX(eq_crit,11)&amp;"")</f>
        <v/>
      </c>
      <c r="D22" s="127" t="str">
        <f>IF(A22="","",IF(MAX(p_from,N(INDEX(eq_start,11)))&gt;p_to,0,ROUND(IF(AND(ISNUMBER(INDEX(eq_hours,11)),N(INDEX(eq_hours,11))&gt;0,N(INDEX(eq_hours,11))&lt;=24),INDEX(eq_hours,11),0)*IF(p_days="7 jours sur 7",p_to-MAX(p_from,N(INDEX(eq_start,11)))+1,NETWORKDAYS.INTL(MAX(p_from,N(INDEX(eq_start,11))),p_to,p_weekend,p_holidays)),2)))</f>
        <v/>
      </c>
      <c r="E22" s="128" t="str">
        <f>IF(A22="","",SUMIFS(in_stop,in_eq,A22,in_done,1,in_dnum,"&gt;="&amp;p_from,in_dnum,"&lt;="&amp;p_to))</f>
        <v/>
      </c>
      <c r="F22" s="129" t="str">
        <f>IF(A22="","",COUNTIFS(in_eq,A22,in_type,"Correctif",in_done,1,in_dnum,"&gt;="&amp;p_from,in_dnum,"&lt;="&amp;p_to))</f>
        <v/>
      </c>
      <c r="G22" s="130" t="str">
        <f>IF(OR(A22="",N(F22)=0),"",MAX(0,D22-E22)/F22)</f>
        <v/>
      </c>
      <c r="H22" s="81" t="str">
        <f>IF(OR(A22="",N(F22)=0),"",S22/F22)</f>
        <v/>
      </c>
      <c r="I22" s="81" t="str">
        <f>IF(OR(A22="",N(F22)=0),"",T22/F22)</f>
        <v/>
      </c>
      <c r="J22" s="131" t="str">
        <f>IF(OR(A22="",N(D22)=0),"",MAX(0,D22-E22)/D22)</f>
        <v/>
      </c>
      <c r="K22" s="128" t="str">
        <f>IF(A22="","",SUMIFS(in_work,in_eq,A22,in_type,"Préventif",in_done,1,in_dnum,"&gt;="&amp;p_from,in_dnum,"&lt;="&amp;p_to))</f>
        <v/>
      </c>
      <c r="L22" s="128" t="str">
        <f>IF(A22="","",SUMIFS(in_work,in_eq,A22,in_type,"Correctif",in_done,1,in_dnum,"&gt;="&amp;p_from,in_dnum,"&lt;="&amp;p_to))</f>
        <v/>
      </c>
      <c r="M22" s="128" t="str">
        <f>IF(A22="","",SUMIFS(in_work,in_eq,A22,in_type,"Amélioratif",in_done,1,in_dnum,"&gt;="&amp;p_from,in_dnum,"&lt;="&amp;p_to))</f>
        <v/>
      </c>
      <c r="N22" s="131" t="str">
        <f>IF(OR(A22="",N(K22)+N(L22)+N(M22)=0),"",K22/(K22+L22+M22))</f>
        <v/>
      </c>
      <c r="O22" s="81" t="str">
        <f>IF(A22="","",SUMIFS(in_parts,in_eq,A22,in_done,1,in_dnum,"&gt;="&amp;p_from,in_dnum,"&lt;="&amp;p_to))</f>
        <v/>
      </c>
      <c r="P22" s="81" t="str">
        <f>IF(A22="","",SUMIFS(in_mo,in_eq,A22,in_done,1,in_dnum,"&gt;="&amp;p_from,in_dnum,"&lt;="&amp;p_to))</f>
        <v/>
      </c>
      <c r="Q22" s="81" t="str">
        <f>IF(A22="","",SUMIFS(in_other,in_eq,A22,in_done,1,in_dnum,"&gt;="&amp;p_from,in_dnum,"&lt;="&amp;p_to))</f>
        <v/>
      </c>
      <c r="R22" s="81" t="str">
        <f>IF(A22="","",SUMIFS(in_total,in_eq,A22,in_done,1,in_dnum,"&gt;="&amp;p_from,in_dnum,"&lt;="&amp;p_to))</f>
        <v/>
      </c>
      <c r="S22" s="67" t="str">
        <f>IF(A22="","",SUMIFS(in_work,in_eq,A22,in_type,"Correctif",in_done,1,in_dnum,"&gt;="&amp;p_from,in_dnum,"&lt;="&amp;p_to))</f>
        <v/>
      </c>
      <c r="T22" s="67" t="str">
        <f>IF(A22="","",SUMIFS(in_stop,in_eq,A22,in_type,"Correctif",in_done,1,in_dnum,"&gt;="&amp;p_from,in_dnum,"&lt;="&amp;p_to))</f>
        <v/>
      </c>
    </row>
    <row r="23">
      <c r="A23" s="67" t="str">
        <f>IF(INDEX(eq_code,12)="","",INDEX(eq_code,12)&amp;"")</f>
        <v/>
      </c>
      <c r="B23" s="67" t="str">
        <f>IF(A23="","",INDEX(eq_des,12)&amp;"")</f>
        <v/>
      </c>
      <c r="C23" s="79" t="str">
        <f>IF(A23="","",INDEX(eq_crit,12)&amp;"")</f>
        <v/>
      </c>
      <c r="D23" s="127" t="str">
        <f>IF(A23="","",IF(MAX(p_from,N(INDEX(eq_start,12)))&gt;p_to,0,ROUND(IF(AND(ISNUMBER(INDEX(eq_hours,12)),N(INDEX(eq_hours,12))&gt;0,N(INDEX(eq_hours,12))&lt;=24),INDEX(eq_hours,12),0)*IF(p_days="7 jours sur 7",p_to-MAX(p_from,N(INDEX(eq_start,12)))+1,NETWORKDAYS.INTL(MAX(p_from,N(INDEX(eq_start,12))),p_to,p_weekend,p_holidays)),2)))</f>
        <v/>
      </c>
      <c r="E23" s="128" t="str">
        <f>IF(A23="","",SUMIFS(in_stop,in_eq,A23,in_done,1,in_dnum,"&gt;="&amp;p_from,in_dnum,"&lt;="&amp;p_to))</f>
        <v/>
      </c>
      <c r="F23" s="129" t="str">
        <f>IF(A23="","",COUNTIFS(in_eq,A23,in_type,"Correctif",in_done,1,in_dnum,"&gt;="&amp;p_from,in_dnum,"&lt;="&amp;p_to))</f>
        <v/>
      </c>
      <c r="G23" s="130" t="str">
        <f>IF(OR(A23="",N(F23)=0),"",MAX(0,D23-E23)/F23)</f>
        <v/>
      </c>
      <c r="H23" s="81" t="str">
        <f>IF(OR(A23="",N(F23)=0),"",S23/F23)</f>
        <v/>
      </c>
      <c r="I23" s="81" t="str">
        <f>IF(OR(A23="",N(F23)=0),"",T23/F23)</f>
        <v/>
      </c>
      <c r="J23" s="131" t="str">
        <f>IF(OR(A23="",N(D23)=0),"",MAX(0,D23-E23)/D23)</f>
        <v/>
      </c>
      <c r="K23" s="128" t="str">
        <f>IF(A23="","",SUMIFS(in_work,in_eq,A23,in_type,"Préventif",in_done,1,in_dnum,"&gt;="&amp;p_from,in_dnum,"&lt;="&amp;p_to))</f>
        <v/>
      </c>
      <c r="L23" s="128" t="str">
        <f>IF(A23="","",SUMIFS(in_work,in_eq,A23,in_type,"Correctif",in_done,1,in_dnum,"&gt;="&amp;p_from,in_dnum,"&lt;="&amp;p_to))</f>
        <v/>
      </c>
      <c r="M23" s="128" t="str">
        <f>IF(A23="","",SUMIFS(in_work,in_eq,A23,in_type,"Amélioratif",in_done,1,in_dnum,"&gt;="&amp;p_from,in_dnum,"&lt;="&amp;p_to))</f>
        <v/>
      </c>
      <c r="N23" s="131" t="str">
        <f>IF(OR(A23="",N(K23)+N(L23)+N(M23)=0),"",K23/(K23+L23+M23))</f>
        <v/>
      </c>
      <c r="O23" s="81" t="str">
        <f>IF(A23="","",SUMIFS(in_parts,in_eq,A23,in_done,1,in_dnum,"&gt;="&amp;p_from,in_dnum,"&lt;="&amp;p_to))</f>
        <v/>
      </c>
      <c r="P23" s="81" t="str">
        <f>IF(A23="","",SUMIFS(in_mo,in_eq,A23,in_done,1,in_dnum,"&gt;="&amp;p_from,in_dnum,"&lt;="&amp;p_to))</f>
        <v/>
      </c>
      <c r="Q23" s="81" t="str">
        <f>IF(A23="","",SUMIFS(in_other,in_eq,A23,in_done,1,in_dnum,"&gt;="&amp;p_from,in_dnum,"&lt;="&amp;p_to))</f>
        <v/>
      </c>
      <c r="R23" s="81" t="str">
        <f>IF(A23="","",SUMIFS(in_total,in_eq,A23,in_done,1,in_dnum,"&gt;="&amp;p_from,in_dnum,"&lt;="&amp;p_to))</f>
        <v/>
      </c>
      <c r="S23" s="67" t="str">
        <f>IF(A23="","",SUMIFS(in_work,in_eq,A23,in_type,"Correctif",in_done,1,in_dnum,"&gt;="&amp;p_from,in_dnum,"&lt;="&amp;p_to))</f>
        <v/>
      </c>
      <c r="T23" s="67" t="str">
        <f>IF(A23="","",SUMIFS(in_stop,in_eq,A23,in_type,"Correctif",in_done,1,in_dnum,"&gt;="&amp;p_from,in_dnum,"&lt;="&amp;p_to))</f>
        <v/>
      </c>
    </row>
    <row r="24">
      <c r="A24" s="67" t="str">
        <f>IF(INDEX(eq_code,13)="","",INDEX(eq_code,13)&amp;"")</f>
        <v/>
      </c>
      <c r="B24" s="67" t="str">
        <f>IF(A24="","",INDEX(eq_des,13)&amp;"")</f>
        <v/>
      </c>
      <c r="C24" s="79" t="str">
        <f>IF(A24="","",INDEX(eq_crit,13)&amp;"")</f>
        <v/>
      </c>
      <c r="D24" s="127" t="str">
        <f>IF(A24="","",IF(MAX(p_from,N(INDEX(eq_start,13)))&gt;p_to,0,ROUND(IF(AND(ISNUMBER(INDEX(eq_hours,13)),N(INDEX(eq_hours,13))&gt;0,N(INDEX(eq_hours,13))&lt;=24),INDEX(eq_hours,13),0)*IF(p_days="7 jours sur 7",p_to-MAX(p_from,N(INDEX(eq_start,13)))+1,NETWORKDAYS.INTL(MAX(p_from,N(INDEX(eq_start,13))),p_to,p_weekend,p_holidays)),2)))</f>
        <v/>
      </c>
      <c r="E24" s="128" t="str">
        <f>IF(A24="","",SUMIFS(in_stop,in_eq,A24,in_done,1,in_dnum,"&gt;="&amp;p_from,in_dnum,"&lt;="&amp;p_to))</f>
        <v/>
      </c>
      <c r="F24" s="129" t="str">
        <f>IF(A24="","",COUNTIFS(in_eq,A24,in_type,"Correctif",in_done,1,in_dnum,"&gt;="&amp;p_from,in_dnum,"&lt;="&amp;p_to))</f>
        <v/>
      </c>
      <c r="G24" s="130" t="str">
        <f>IF(OR(A24="",N(F24)=0),"",MAX(0,D24-E24)/F24)</f>
        <v/>
      </c>
      <c r="H24" s="81" t="str">
        <f>IF(OR(A24="",N(F24)=0),"",S24/F24)</f>
        <v/>
      </c>
      <c r="I24" s="81" t="str">
        <f>IF(OR(A24="",N(F24)=0),"",T24/F24)</f>
        <v/>
      </c>
      <c r="J24" s="131" t="str">
        <f>IF(OR(A24="",N(D24)=0),"",MAX(0,D24-E24)/D24)</f>
        <v/>
      </c>
      <c r="K24" s="128" t="str">
        <f>IF(A24="","",SUMIFS(in_work,in_eq,A24,in_type,"Préventif",in_done,1,in_dnum,"&gt;="&amp;p_from,in_dnum,"&lt;="&amp;p_to))</f>
        <v/>
      </c>
      <c r="L24" s="128" t="str">
        <f>IF(A24="","",SUMIFS(in_work,in_eq,A24,in_type,"Correctif",in_done,1,in_dnum,"&gt;="&amp;p_from,in_dnum,"&lt;="&amp;p_to))</f>
        <v/>
      </c>
      <c r="M24" s="128" t="str">
        <f>IF(A24="","",SUMIFS(in_work,in_eq,A24,in_type,"Amélioratif",in_done,1,in_dnum,"&gt;="&amp;p_from,in_dnum,"&lt;="&amp;p_to))</f>
        <v/>
      </c>
      <c r="N24" s="131" t="str">
        <f>IF(OR(A24="",N(K24)+N(L24)+N(M24)=0),"",K24/(K24+L24+M24))</f>
        <v/>
      </c>
      <c r="O24" s="81" t="str">
        <f>IF(A24="","",SUMIFS(in_parts,in_eq,A24,in_done,1,in_dnum,"&gt;="&amp;p_from,in_dnum,"&lt;="&amp;p_to))</f>
        <v/>
      </c>
      <c r="P24" s="81" t="str">
        <f>IF(A24="","",SUMIFS(in_mo,in_eq,A24,in_done,1,in_dnum,"&gt;="&amp;p_from,in_dnum,"&lt;="&amp;p_to))</f>
        <v/>
      </c>
      <c r="Q24" s="81" t="str">
        <f>IF(A24="","",SUMIFS(in_other,in_eq,A24,in_done,1,in_dnum,"&gt;="&amp;p_from,in_dnum,"&lt;="&amp;p_to))</f>
        <v/>
      </c>
      <c r="R24" s="81" t="str">
        <f>IF(A24="","",SUMIFS(in_total,in_eq,A24,in_done,1,in_dnum,"&gt;="&amp;p_from,in_dnum,"&lt;="&amp;p_to))</f>
        <v/>
      </c>
      <c r="S24" s="67" t="str">
        <f>IF(A24="","",SUMIFS(in_work,in_eq,A24,in_type,"Correctif",in_done,1,in_dnum,"&gt;="&amp;p_from,in_dnum,"&lt;="&amp;p_to))</f>
        <v/>
      </c>
      <c r="T24" s="67" t="str">
        <f>IF(A24="","",SUMIFS(in_stop,in_eq,A24,in_type,"Correctif",in_done,1,in_dnum,"&gt;="&amp;p_from,in_dnum,"&lt;="&amp;p_to))</f>
        <v/>
      </c>
    </row>
    <row r="25">
      <c r="A25" s="67" t="str">
        <f>IF(INDEX(eq_code,14)="","",INDEX(eq_code,14)&amp;"")</f>
        <v/>
      </c>
      <c r="B25" s="67" t="str">
        <f>IF(A25="","",INDEX(eq_des,14)&amp;"")</f>
        <v/>
      </c>
      <c r="C25" s="79" t="str">
        <f>IF(A25="","",INDEX(eq_crit,14)&amp;"")</f>
        <v/>
      </c>
      <c r="D25" s="127" t="str">
        <f>IF(A25="","",IF(MAX(p_from,N(INDEX(eq_start,14)))&gt;p_to,0,ROUND(IF(AND(ISNUMBER(INDEX(eq_hours,14)),N(INDEX(eq_hours,14))&gt;0,N(INDEX(eq_hours,14))&lt;=24),INDEX(eq_hours,14),0)*IF(p_days="7 jours sur 7",p_to-MAX(p_from,N(INDEX(eq_start,14)))+1,NETWORKDAYS.INTL(MAX(p_from,N(INDEX(eq_start,14))),p_to,p_weekend,p_holidays)),2)))</f>
        <v/>
      </c>
      <c r="E25" s="128" t="str">
        <f>IF(A25="","",SUMIFS(in_stop,in_eq,A25,in_done,1,in_dnum,"&gt;="&amp;p_from,in_dnum,"&lt;="&amp;p_to))</f>
        <v/>
      </c>
      <c r="F25" s="129" t="str">
        <f>IF(A25="","",COUNTIFS(in_eq,A25,in_type,"Correctif",in_done,1,in_dnum,"&gt;="&amp;p_from,in_dnum,"&lt;="&amp;p_to))</f>
        <v/>
      </c>
      <c r="G25" s="130" t="str">
        <f>IF(OR(A25="",N(F25)=0),"",MAX(0,D25-E25)/F25)</f>
        <v/>
      </c>
      <c r="H25" s="81" t="str">
        <f>IF(OR(A25="",N(F25)=0),"",S25/F25)</f>
        <v/>
      </c>
      <c r="I25" s="81" t="str">
        <f>IF(OR(A25="",N(F25)=0),"",T25/F25)</f>
        <v/>
      </c>
      <c r="J25" s="131" t="str">
        <f>IF(OR(A25="",N(D25)=0),"",MAX(0,D25-E25)/D25)</f>
        <v/>
      </c>
      <c r="K25" s="128" t="str">
        <f>IF(A25="","",SUMIFS(in_work,in_eq,A25,in_type,"Préventif",in_done,1,in_dnum,"&gt;="&amp;p_from,in_dnum,"&lt;="&amp;p_to))</f>
        <v/>
      </c>
      <c r="L25" s="128" t="str">
        <f>IF(A25="","",SUMIFS(in_work,in_eq,A25,in_type,"Correctif",in_done,1,in_dnum,"&gt;="&amp;p_from,in_dnum,"&lt;="&amp;p_to))</f>
        <v/>
      </c>
      <c r="M25" s="128" t="str">
        <f>IF(A25="","",SUMIFS(in_work,in_eq,A25,in_type,"Amélioratif",in_done,1,in_dnum,"&gt;="&amp;p_from,in_dnum,"&lt;="&amp;p_to))</f>
        <v/>
      </c>
      <c r="N25" s="131" t="str">
        <f>IF(OR(A25="",N(K25)+N(L25)+N(M25)=0),"",K25/(K25+L25+M25))</f>
        <v/>
      </c>
      <c r="O25" s="81" t="str">
        <f>IF(A25="","",SUMIFS(in_parts,in_eq,A25,in_done,1,in_dnum,"&gt;="&amp;p_from,in_dnum,"&lt;="&amp;p_to))</f>
        <v/>
      </c>
      <c r="P25" s="81" t="str">
        <f>IF(A25="","",SUMIFS(in_mo,in_eq,A25,in_done,1,in_dnum,"&gt;="&amp;p_from,in_dnum,"&lt;="&amp;p_to))</f>
        <v/>
      </c>
      <c r="Q25" s="81" t="str">
        <f>IF(A25="","",SUMIFS(in_other,in_eq,A25,in_done,1,in_dnum,"&gt;="&amp;p_from,in_dnum,"&lt;="&amp;p_to))</f>
        <v/>
      </c>
      <c r="R25" s="81" t="str">
        <f>IF(A25="","",SUMIFS(in_total,in_eq,A25,in_done,1,in_dnum,"&gt;="&amp;p_from,in_dnum,"&lt;="&amp;p_to))</f>
        <v/>
      </c>
      <c r="S25" s="67" t="str">
        <f>IF(A25="","",SUMIFS(in_work,in_eq,A25,in_type,"Correctif",in_done,1,in_dnum,"&gt;="&amp;p_from,in_dnum,"&lt;="&amp;p_to))</f>
        <v/>
      </c>
      <c r="T25" s="67" t="str">
        <f>IF(A25="","",SUMIFS(in_stop,in_eq,A25,in_type,"Correctif",in_done,1,in_dnum,"&gt;="&amp;p_from,in_dnum,"&lt;="&amp;p_to))</f>
        <v/>
      </c>
    </row>
    <row r="26">
      <c r="A26" s="67" t="str">
        <f>IF(INDEX(eq_code,15)="","",INDEX(eq_code,15)&amp;"")</f>
        <v/>
      </c>
      <c r="B26" s="67" t="str">
        <f>IF(A26="","",INDEX(eq_des,15)&amp;"")</f>
        <v/>
      </c>
      <c r="C26" s="79" t="str">
        <f>IF(A26="","",INDEX(eq_crit,15)&amp;"")</f>
        <v/>
      </c>
      <c r="D26" s="127" t="str">
        <f>IF(A26="","",IF(MAX(p_from,N(INDEX(eq_start,15)))&gt;p_to,0,ROUND(IF(AND(ISNUMBER(INDEX(eq_hours,15)),N(INDEX(eq_hours,15))&gt;0,N(INDEX(eq_hours,15))&lt;=24),INDEX(eq_hours,15),0)*IF(p_days="7 jours sur 7",p_to-MAX(p_from,N(INDEX(eq_start,15)))+1,NETWORKDAYS.INTL(MAX(p_from,N(INDEX(eq_start,15))),p_to,p_weekend,p_holidays)),2)))</f>
        <v/>
      </c>
      <c r="E26" s="128" t="str">
        <f>IF(A26="","",SUMIFS(in_stop,in_eq,A26,in_done,1,in_dnum,"&gt;="&amp;p_from,in_dnum,"&lt;="&amp;p_to))</f>
        <v/>
      </c>
      <c r="F26" s="129" t="str">
        <f>IF(A26="","",COUNTIFS(in_eq,A26,in_type,"Correctif",in_done,1,in_dnum,"&gt;="&amp;p_from,in_dnum,"&lt;="&amp;p_to))</f>
        <v/>
      </c>
      <c r="G26" s="130" t="str">
        <f>IF(OR(A26="",N(F26)=0),"",MAX(0,D26-E26)/F26)</f>
        <v/>
      </c>
      <c r="H26" s="81" t="str">
        <f>IF(OR(A26="",N(F26)=0),"",S26/F26)</f>
        <v/>
      </c>
      <c r="I26" s="81" t="str">
        <f>IF(OR(A26="",N(F26)=0),"",T26/F26)</f>
        <v/>
      </c>
      <c r="J26" s="131" t="str">
        <f>IF(OR(A26="",N(D26)=0),"",MAX(0,D26-E26)/D26)</f>
        <v/>
      </c>
      <c r="K26" s="128" t="str">
        <f>IF(A26="","",SUMIFS(in_work,in_eq,A26,in_type,"Préventif",in_done,1,in_dnum,"&gt;="&amp;p_from,in_dnum,"&lt;="&amp;p_to))</f>
        <v/>
      </c>
      <c r="L26" s="128" t="str">
        <f>IF(A26="","",SUMIFS(in_work,in_eq,A26,in_type,"Correctif",in_done,1,in_dnum,"&gt;="&amp;p_from,in_dnum,"&lt;="&amp;p_to))</f>
        <v/>
      </c>
      <c r="M26" s="128" t="str">
        <f>IF(A26="","",SUMIFS(in_work,in_eq,A26,in_type,"Amélioratif",in_done,1,in_dnum,"&gt;="&amp;p_from,in_dnum,"&lt;="&amp;p_to))</f>
        <v/>
      </c>
      <c r="N26" s="131" t="str">
        <f>IF(OR(A26="",N(K26)+N(L26)+N(M26)=0),"",K26/(K26+L26+M26))</f>
        <v/>
      </c>
      <c r="O26" s="81" t="str">
        <f>IF(A26="","",SUMIFS(in_parts,in_eq,A26,in_done,1,in_dnum,"&gt;="&amp;p_from,in_dnum,"&lt;="&amp;p_to))</f>
        <v/>
      </c>
      <c r="P26" s="81" t="str">
        <f>IF(A26="","",SUMIFS(in_mo,in_eq,A26,in_done,1,in_dnum,"&gt;="&amp;p_from,in_dnum,"&lt;="&amp;p_to))</f>
        <v/>
      </c>
      <c r="Q26" s="81" t="str">
        <f>IF(A26="","",SUMIFS(in_other,in_eq,A26,in_done,1,in_dnum,"&gt;="&amp;p_from,in_dnum,"&lt;="&amp;p_to))</f>
        <v/>
      </c>
      <c r="R26" s="81" t="str">
        <f>IF(A26="","",SUMIFS(in_total,in_eq,A26,in_done,1,in_dnum,"&gt;="&amp;p_from,in_dnum,"&lt;="&amp;p_to))</f>
        <v/>
      </c>
      <c r="S26" s="67" t="str">
        <f>IF(A26="","",SUMIFS(in_work,in_eq,A26,in_type,"Correctif",in_done,1,in_dnum,"&gt;="&amp;p_from,in_dnum,"&lt;="&amp;p_to))</f>
        <v/>
      </c>
      <c r="T26" s="67" t="str">
        <f>IF(A26="","",SUMIFS(in_stop,in_eq,A26,in_type,"Correctif",in_done,1,in_dnum,"&gt;="&amp;p_from,in_dnum,"&lt;="&amp;p_to))</f>
        <v/>
      </c>
    </row>
    <row r="27">
      <c r="A27" s="67" t="str">
        <f>IF(INDEX(eq_code,16)="","",INDEX(eq_code,16)&amp;"")</f>
        <v/>
      </c>
      <c r="B27" s="67" t="str">
        <f>IF(A27="","",INDEX(eq_des,16)&amp;"")</f>
        <v/>
      </c>
      <c r="C27" s="79" t="str">
        <f>IF(A27="","",INDEX(eq_crit,16)&amp;"")</f>
        <v/>
      </c>
      <c r="D27" s="127" t="str">
        <f>IF(A27="","",IF(MAX(p_from,N(INDEX(eq_start,16)))&gt;p_to,0,ROUND(IF(AND(ISNUMBER(INDEX(eq_hours,16)),N(INDEX(eq_hours,16))&gt;0,N(INDEX(eq_hours,16))&lt;=24),INDEX(eq_hours,16),0)*IF(p_days="7 jours sur 7",p_to-MAX(p_from,N(INDEX(eq_start,16)))+1,NETWORKDAYS.INTL(MAX(p_from,N(INDEX(eq_start,16))),p_to,p_weekend,p_holidays)),2)))</f>
        <v/>
      </c>
      <c r="E27" s="128" t="str">
        <f>IF(A27="","",SUMIFS(in_stop,in_eq,A27,in_done,1,in_dnum,"&gt;="&amp;p_from,in_dnum,"&lt;="&amp;p_to))</f>
        <v/>
      </c>
      <c r="F27" s="129" t="str">
        <f>IF(A27="","",COUNTIFS(in_eq,A27,in_type,"Correctif",in_done,1,in_dnum,"&gt;="&amp;p_from,in_dnum,"&lt;="&amp;p_to))</f>
        <v/>
      </c>
      <c r="G27" s="130" t="str">
        <f>IF(OR(A27="",N(F27)=0),"",MAX(0,D27-E27)/F27)</f>
        <v/>
      </c>
      <c r="H27" s="81" t="str">
        <f>IF(OR(A27="",N(F27)=0),"",S27/F27)</f>
        <v/>
      </c>
      <c r="I27" s="81" t="str">
        <f>IF(OR(A27="",N(F27)=0),"",T27/F27)</f>
        <v/>
      </c>
      <c r="J27" s="131" t="str">
        <f>IF(OR(A27="",N(D27)=0),"",MAX(0,D27-E27)/D27)</f>
        <v/>
      </c>
      <c r="K27" s="128" t="str">
        <f>IF(A27="","",SUMIFS(in_work,in_eq,A27,in_type,"Préventif",in_done,1,in_dnum,"&gt;="&amp;p_from,in_dnum,"&lt;="&amp;p_to))</f>
        <v/>
      </c>
      <c r="L27" s="128" t="str">
        <f>IF(A27="","",SUMIFS(in_work,in_eq,A27,in_type,"Correctif",in_done,1,in_dnum,"&gt;="&amp;p_from,in_dnum,"&lt;="&amp;p_to))</f>
        <v/>
      </c>
      <c r="M27" s="128" t="str">
        <f>IF(A27="","",SUMIFS(in_work,in_eq,A27,in_type,"Amélioratif",in_done,1,in_dnum,"&gt;="&amp;p_from,in_dnum,"&lt;="&amp;p_to))</f>
        <v/>
      </c>
      <c r="N27" s="131" t="str">
        <f>IF(OR(A27="",N(K27)+N(L27)+N(M27)=0),"",K27/(K27+L27+M27))</f>
        <v/>
      </c>
      <c r="O27" s="81" t="str">
        <f>IF(A27="","",SUMIFS(in_parts,in_eq,A27,in_done,1,in_dnum,"&gt;="&amp;p_from,in_dnum,"&lt;="&amp;p_to))</f>
        <v/>
      </c>
      <c r="P27" s="81" t="str">
        <f>IF(A27="","",SUMIFS(in_mo,in_eq,A27,in_done,1,in_dnum,"&gt;="&amp;p_from,in_dnum,"&lt;="&amp;p_to))</f>
        <v/>
      </c>
      <c r="Q27" s="81" t="str">
        <f>IF(A27="","",SUMIFS(in_other,in_eq,A27,in_done,1,in_dnum,"&gt;="&amp;p_from,in_dnum,"&lt;="&amp;p_to))</f>
        <v/>
      </c>
      <c r="R27" s="81" t="str">
        <f>IF(A27="","",SUMIFS(in_total,in_eq,A27,in_done,1,in_dnum,"&gt;="&amp;p_from,in_dnum,"&lt;="&amp;p_to))</f>
        <v/>
      </c>
      <c r="S27" s="67" t="str">
        <f>IF(A27="","",SUMIFS(in_work,in_eq,A27,in_type,"Correctif",in_done,1,in_dnum,"&gt;="&amp;p_from,in_dnum,"&lt;="&amp;p_to))</f>
        <v/>
      </c>
      <c r="T27" s="67" t="str">
        <f>IF(A27="","",SUMIFS(in_stop,in_eq,A27,in_type,"Correctif",in_done,1,in_dnum,"&gt;="&amp;p_from,in_dnum,"&lt;="&amp;p_to))</f>
        <v/>
      </c>
    </row>
    <row r="28">
      <c r="A28" s="67" t="str">
        <f>IF(INDEX(eq_code,17)="","",INDEX(eq_code,17)&amp;"")</f>
        <v/>
      </c>
      <c r="B28" s="67" t="str">
        <f>IF(A28="","",INDEX(eq_des,17)&amp;"")</f>
        <v/>
      </c>
      <c r="C28" s="79" t="str">
        <f>IF(A28="","",INDEX(eq_crit,17)&amp;"")</f>
        <v/>
      </c>
      <c r="D28" s="127" t="str">
        <f>IF(A28="","",IF(MAX(p_from,N(INDEX(eq_start,17)))&gt;p_to,0,ROUND(IF(AND(ISNUMBER(INDEX(eq_hours,17)),N(INDEX(eq_hours,17))&gt;0,N(INDEX(eq_hours,17))&lt;=24),INDEX(eq_hours,17),0)*IF(p_days="7 jours sur 7",p_to-MAX(p_from,N(INDEX(eq_start,17)))+1,NETWORKDAYS.INTL(MAX(p_from,N(INDEX(eq_start,17))),p_to,p_weekend,p_holidays)),2)))</f>
        <v/>
      </c>
      <c r="E28" s="128" t="str">
        <f>IF(A28="","",SUMIFS(in_stop,in_eq,A28,in_done,1,in_dnum,"&gt;="&amp;p_from,in_dnum,"&lt;="&amp;p_to))</f>
        <v/>
      </c>
      <c r="F28" s="129" t="str">
        <f>IF(A28="","",COUNTIFS(in_eq,A28,in_type,"Correctif",in_done,1,in_dnum,"&gt;="&amp;p_from,in_dnum,"&lt;="&amp;p_to))</f>
        <v/>
      </c>
      <c r="G28" s="130" t="str">
        <f>IF(OR(A28="",N(F28)=0),"",MAX(0,D28-E28)/F28)</f>
        <v/>
      </c>
      <c r="H28" s="81" t="str">
        <f>IF(OR(A28="",N(F28)=0),"",S28/F28)</f>
        <v/>
      </c>
      <c r="I28" s="81" t="str">
        <f>IF(OR(A28="",N(F28)=0),"",T28/F28)</f>
        <v/>
      </c>
      <c r="J28" s="131" t="str">
        <f>IF(OR(A28="",N(D28)=0),"",MAX(0,D28-E28)/D28)</f>
        <v/>
      </c>
      <c r="K28" s="128" t="str">
        <f>IF(A28="","",SUMIFS(in_work,in_eq,A28,in_type,"Préventif",in_done,1,in_dnum,"&gt;="&amp;p_from,in_dnum,"&lt;="&amp;p_to))</f>
        <v/>
      </c>
      <c r="L28" s="128" t="str">
        <f>IF(A28="","",SUMIFS(in_work,in_eq,A28,in_type,"Correctif",in_done,1,in_dnum,"&gt;="&amp;p_from,in_dnum,"&lt;="&amp;p_to))</f>
        <v/>
      </c>
      <c r="M28" s="128" t="str">
        <f>IF(A28="","",SUMIFS(in_work,in_eq,A28,in_type,"Amélioratif",in_done,1,in_dnum,"&gt;="&amp;p_from,in_dnum,"&lt;="&amp;p_to))</f>
        <v/>
      </c>
      <c r="N28" s="131" t="str">
        <f>IF(OR(A28="",N(K28)+N(L28)+N(M28)=0),"",K28/(K28+L28+M28))</f>
        <v/>
      </c>
      <c r="O28" s="81" t="str">
        <f>IF(A28="","",SUMIFS(in_parts,in_eq,A28,in_done,1,in_dnum,"&gt;="&amp;p_from,in_dnum,"&lt;="&amp;p_to))</f>
        <v/>
      </c>
      <c r="P28" s="81" t="str">
        <f>IF(A28="","",SUMIFS(in_mo,in_eq,A28,in_done,1,in_dnum,"&gt;="&amp;p_from,in_dnum,"&lt;="&amp;p_to))</f>
        <v/>
      </c>
      <c r="Q28" s="81" t="str">
        <f>IF(A28="","",SUMIFS(in_other,in_eq,A28,in_done,1,in_dnum,"&gt;="&amp;p_from,in_dnum,"&lt;="&amp;p_to))</f>
        <v/>
      </c>
      <c r="R28" s="81" t="str">
        <f>IF(A28="","",SUMIFS(in_total,in_eq,A28,in_done,1,in_dnum,"&gt;="&amp;p_from,in_dnum,"&lt;="&amp;p_to))</f>
        <v/>
      </c>
      <c r="S28" s="67" t="str">
        <f>IF(A28="","",SUMIFS(in_work,in_eq,A28,in_type,"Correctif",in_done,1,in_dnum,"&gt;="&amp;p_from,in_dnum,"&lt;="&amp;p_to))</f>
        <v/>
      </c>
      <c r="T28" s="67" t="str">
        <f>IF(A28="","",SUMIFS(in_stop,in_eq,A28,in_type,"Correctif",in_done,1,in_dnum,"&gt;="&amp;p_from,in_dnum,"&lt;="&amp;p_to))</f>
        <v/>
      </c>
    </row>
    <row r="29">
      <c r="A29" s="67" t="str">
        <f>IF(INDEX(eq_code,18)="","",INDEX(eq_code,18)&amp;"")</f>
        <v/>
      </c>
      <c r="B29" s="67" t="str">
        <f>IF(A29="","",INDEX(eq_des,18)&amp;"")</f>
        <v/>
      </c>
      <c r="C29" s="79" t="str">
        <f>IF(A29="","",INDEX(eq_crit,18)&amp;"")</f>
        <v/>
      </c>
      <c r="D29" s="127" t="str">
        <f>IF(A29="","",IF(MAX(p_from,N(INDEX(eq_start,18)))&gt;p_to,0,ROUND(IF(AND(ISNUMBER(INDEX(eq_hours,18)),N(INDEX(eq_hours,18))&gt;0,N(INDEX(eq_hours,18))&lt;=24),INDEX(eq_hours,18),0)*IF(p_days="7 jours sur 7",p_to-MAX(p_from,N(INDEX(eq_start,18)))+1,NETWORKDAYS.INTL(MAX(p_from,N(INDEX(eq_start,18))),p_to,p_weekend,p_holidays)),2)))</f>
        <v/>
      </c>
      <c r="E29" s="128" t="str">
        <f>IF(A29="","",SUMIFS(in_stop,in_eq,A29,in_done,1,in_dnum,"&gt;="&amp;p_from,in_dnum,"&lt;="&amp;p_to))</f>
        <v/>
      </c>
      <c r="F29" s="129" t="str">
        <f>IF(A29="","",COUNTIFS(in_eq,A29,in_type,"Correctif",in_done,1,in_dnum,"&gt;="&amp;p_from,in_dnum,"&lt;="&amp;p_to))</f>
        <v/>
      </c>
      <c r="G29" s="130" t="str">
        <f>IF(OR(A29="",N(F29)=0),"",MAX(0,D29-E29)/F29)</f>
        <v/>
      </c>
      <c r="H29" s="81" t="str">
        <f>IF(OR(A29="",N(F29)=0),"",S29/F29)</f>
        <v/>
      </c>
      <c r="I29" s="81" t="str">
        <f>IF(OR(A29="",N(F29)=0),"",T29/F29)</f>
        <v/>
      </c>
      <c r="J29" s="131" t="str">
        <f>IF(OR(A29="",N(D29)=0),"",MAX(0,D29-E29)/D29)</f>
        <v/>
      </c>
      <c r="K29" s="128" t="str">
        <f>IF(A29="","",SUMIFS(in_work,in_eq,A29,in_type,"Préventif",in_done,1,in_dnum,"&gt;="&amp;p_from,in_dnum,"&lt;="&amp;p_to))</f>
        <v/>
      </c>
      <c r="L29" s="128" t="str">
        <f>IF(A29="","",SUMIFS(in_work,in_eq,A29,in_type,"Correctif",in_done,1,in_dnum,"&gt;="&amp;p_from,in_dnum,"&lt;="&amp;p_to))</f>
        <v/>
      </c>
      <c r="M29" s="128" t="str">
        <f>IF(A29="","",SUMIFS(in_work,in_eq,A29,in_type,"Amélioratif",in_done,1,in_dnum,"&gt;="&amp;p_from,in_dnum,"&lt;="&amp;p_to))</f>
        <v/>
      </c>
      <c r="N29" s="131" t="str">
        <f>IF(OR(A29="",N(K29)+N(L29)+N(M29)=0),"",K29/(K29+L29+M29))</f>
        <v/>
      </c>
      <c r="O29" s="81" t="str">
        <f>IF(A29="","",SUMIFS(in_parts,in_eq,A29,in_done,1,in_dnum,"&gt;="&amp;p_from,in_dnum,"&lt;="&amp;p_to))</f>
        <v/>
      </c>
      <c r="P29" s="81" t="str">
        <f>IF(A29="","",SUMIFS(in_mo,in_eq,A29,in_done,1,in_dnum,"&gt;="&amp;p_from,in_dnum,"&lt;="&amp;p_to))</f>
        <v/>
      </c>
      <c r="Q29" s="81" t="str">
        <f>IF(A29="","",SUMIFS(in_other,in_eq,A29,in_done,1,in_dnum,"&gt;="&amp;p_from,in_dnum,"&lt;="&amp;p_to))</f>
        <v/>
      </c>
      <c r="R29" s="81" t="str">
        <f>IF(A29="","",SUMIFS(in_total,in_eq,A29,in_done,1,in_dnum,"&gt;="&amp;p_from,in_dnum,"&lt;="&amp;p_to))</f>
        <v/>
      </c>
      <c r="S29" s="67" t="str">
        <f>IF(A29="","",SUMIFS(in_work,in_eq,A29,in_type,"Correctif",in_done,1,in_dnum,"&gt;="&amp;p_from,in_dnum,"&lt;="&amp;p_to))</f>
        <v/>
      </c>
      <c r="T29" s="67" t="str">
        <f>IF(A29="","",SUMIFS(in_stop,in_eq,A29,in_type,"Correctif",in_done,1,in_dnum,"&gt;="&amp;p_from,in_dnum,"&lt;="&amp;p_to))</f>
        <v/>
      </c>
    </row>
    <row r="30">
      <c r="A30" s="67" t="str">
        <f>IF(INDEX(eq_code,19)="","",INDEX(eq_code,19)&amp;"")</f>
        <v/>
      </c>
      <c r="B30" s="67" t="str">
        <f>IF(A30="","",INDEX(eq_des,19)&amp;"")</f>
        <v/>
      </c>
      <c r="C30" s="79" t="str">
        <f>IF(A30="","",INDEX(eq_crit,19)&amp;"")</f>
        <v/>
      </c>
      <c r="D30" s="127" t="str">
        <f>IF(A30="","",IF(MAX(p_from,N(INDEX(eq_start,19)))&gt;p_to,0,ROUND(IF(AND(ISNUMBER(INDEX(eq_hours,19)),N(INDEX(eq_hours,19))&gt;0,N(INDEX(eq_hours,19))&lt;=24),INDEX(eq_hours,19),0)*IF(p_days="7 jours sur 7",p_to-MAX(p_from,N(INDEX(eq_start,19)))+1,NETWORKDAYS.INTL(MAX(p_from,N(INDEX(eq_start,19))),p_to,p_weekend,p_holidays)),2)))</f>
        <v/>
      </c>
      <c r="E30" s="128" t="str">
        <f>IF(A30="","",SUMIFS(in_stop,in_eq,A30,in_done,1,in_dnum,"&gt;="&amp;p_from,in_dnum,"&lt;="&amp;p_to))</f>
        <v/>
      </c>
      <c r="F30" s="129" t="str">
        <f>IF(A30="","",COUNTIFS(in_eq,A30,in_type,"Correctif",in_done,1,in_dnum,"&gt;="&amp;p_from,in_dnum,"&lt;="&amp;p_to))</f>
        <v/>
      </c>
      <c r="G30" s="130" t="str">
        <f>IF(OR(A30="",N(F30)=0),"",MAX(0,D30-E30)/F30)</f>
        <v/>
      </c>
      <c r="H30" s="81" t="str">
        <f>IF(OR(A30="",N(F30)=0),"",S30/F30)</f>
        <v/>
      </c>
      <c r="I30" s="81" t="str">
        <f>IF(OR(A30="",N(F30)=0),"",T30/F30)</f>
        <v/>
      </c>
      <c r="J30" s="131" t="str">
        <f>IF(OR(A30="",N(D30)=0),"",MAX(0,D30-E30)/D30)</f>
        <v/>
      </c>
      <c r="K30" s="128" t="str">
        <f>IF(A30="","",SUMIFS(in_work,in_eq,A30,in_type,"Préventif",in_done,1,in_dnum,"&gt;="&amp;p_from,in_dnum,"&lt;="&amp;p_to))</f>
        <v/>
      </c>
      <c r="L30" s="128" t="str">
        <f>IF(A30="","",SUMIFS(in_work,in_eq,A30,in_type,"Correctif",in_done,1,in_dnum,"&gt;="&amp;p_from,in_dnum,"&lt;="&amp;p_to))</f>
        <v/>
      </c>
      <c r="M30" s="128" t="str">
        <f>IF(A30="","",SUMIFS(in_work,in_eq,A30,in_type,"Amélioratif",in_done,1,in_dnum,"&gt;="&amp;p_from,in_dnum,"&lt;="&amp;p_to))</f>
        <v/>
      </c>
      <c r="N30" s="131" t="str">
        <f>IF(OR(A30="",N(K30)+N(L30)+N(M30)=0),"",K30/(K30+L30+M30))</f>
        <v/>
      </c>
      <c r="O30" s="81" t="str">
        <f>IF(A30="","",SUMIFS(in_parts,in_eq,A30,in_done,1,in_dnum,"&gt;="&amp;p_from,in_dnum,"&lt;="&amp;p_to))</f>
        <v/>
      </c>
      <c r="P30" s="81" t="str">
        <f>IF(A30="","",SUMIFS(in_mo,in_eq,A30,in_done,1,in_dnum,"&gt;="&amp;p_from,in_dnum,"&lt;="&amp;p_to))</f>
        <v/>
      </c>
      <c r="Q30" s="81" t="str">
        <f>IF(A30="","",SUMIFS(in_other,in_eq,A30,in_done,1,in_dnum,"&gt;="&amp;p_from,in_dnum,"&lt;="&amp;p_to))</f>
        <v/>
      </c>
      <c r="R30" s="81" t="str">
        <f>IF(A30="","",SUMIFS(in_total,in_eq,A30,in_done,1,in_dnum,"&gt;="&amp;p_from,in_dnum,"&lt;="&amp;p_to))</f>
        <v/>
      </c>
      <c r="S30" s="67" t="str">
        <f>IF(A30="","",SUMIFS(in_work,in_eq,A30,in_type,"Correctif",in_done,1,in_dnum,"&gt;="&amp;p_from,in_dnum,"&lt;="&amp;p_to))</f>
        <v/>
      </c>
      <c r="T30" s="67" t="str">
        <f>IF(A30="","",SUMIFS(in_stop,in_eq,A30,in_type,"Correctif",in_done,1,in_dnum,"&gt;="&amp;p_from,in_dnum,"&lt;="&amp;p_to))</f>
        <v/>
      </c>
    </row>
    <row r="31">
      <c r="A31" s="67" t="str">
        <f>IF(INDEX(eq_code,20)="","",INDEX(eq_code,20)&amp;"")</f>
        <v/>
      </c>
      <c r="B31" s="67" t="str">
        <f>IF(A31="","",INDEX(eq_des,20)&amp;"")</f>
        <v/>
      </c>
      <c r="C31" s="79" t="str">
        <f>IF(A31="","",INDEX(eq_crit,20)&amp;"")</f>
        <v/>
      </c>
      <c r="D31" s="127" t="str">
        <f>IF(A31="","",IF(MAX(p_from,N(INDEX(eq_start,20)))&gt;p_to,0,ROUND(IF(AND(ISNUMBER(INDEX(eq_hours,20)),N(INDEX(eq_hours,20))&gt;0,N(INDEX(eq_hours,20))&lt;=24),INDEX(eq_hours,20),0)*IF(p_days="7 jours sur 7",p_to-MAX(p_from,N(INDEX(eq_start,20)))+1,NETWORKDAYS.INTL(MAX(p_from,N(INDEX(eq_start,20))),p_to,p_weekend,p_holidays)),2)))</f>
        <v/>
      </c>
      <c r="E31" s="128" t="str">
        <f>IF(A31="","",SUMIFS(in_stop,in_eq,A31,in_done,1,in_dnum,"&gt;="&amp;p_from,in_dnum,"&lt;="&amp;p_to))</f>
        <v/>
      </c>
      <c r="F31" s="129" t="str">
        <f>IF(A31="","",COUNTIFS(in_eq,A31,in_type,"Correctif",in_done,1,in_dnum,"&gt;="&amp;p_from,in_dnum,"&lt;="&amp;p_to))</f>
        <v/>
      </c>
      <c r="G31" s="130" t="str">
        <f>IF(OR(A31="",N(F31)=0),"",MAX(0,D31-E31)/F31)</f>
        <v/>
      </c>
      <c r="H31" s="81" t="str">
        <f>IF(OR(A31="",N(F31)=0),"",S31/F31)</f>
        <v/>
      </c>
      <c r="I31" s="81" t="str">
        <f>IF(OR(A31="",N(F31)=0),"",T31/F31)</f>
        <v/>
      </c>
      <c r="J31" s="131" t="str">
        <f>IF(OR(A31="",N(D31)=0),"",MAX(0,D31-E31)/D31)</f>
        <v/>
      </c>
      <c r="K31" s="128" t="str">
        <f>IF(A31="","",SUMIFS(in_work,in_eq,A31,in_type,"Préventif",in_done,1,in_dnum,"&gt;="&amp;p_from,in_dnum,"&lt;="&amp;p_to))</f>
        <v/>
      </c>
      <c r="L31" s="128" t="str">
        <f>IF(A31="","",SUMIFS(in_work,in_eq,A31,in_type,"Correctif",in_done,1,in_dnum,"&gt;="&amp;p_from,in_dnum,"&lt;="&amp;p_to))</f>
        <v/>
      </c>
      <c r="M31" s="128" t="str">
        <f>IF(A31="","",SUMIFS(in_work,in_eq,A31,in_type,"Amélioratif",in_done,1,in_dnum,"&gt;="&amp;p_from,in_dnum,"&lt;="&amp;p_to))</f>
        <v/>
      </c>
      <c r="N31" s="131" t="str">
        <f>IF(OR(A31="",N(K31)+N(L31)+N(M31)=0),"",K31/(K31+L31+M31))</f>
        <v/>
      </c>
      <c r="O31" s="81" t="str">
        <f>IF(A31="","",SUMIFS(in_parts,in_eq,A31,in_done,1,in_dnum,"&gt;="&amp;p_from,in_dnum,"&lt;="&amp;p_to))</f>
        <v/>
      </c>
      <c r="P31" s="81" t="str">
        <f>IF(A31="","",SUMIFS(in_mo,in_eq,A31,in_done,1,in_dnum,"&gt;="&amp;p_from,in_dnum,"&lt;="&amp;p_to))</f>
        <v/>
      </c>
      <c r="Q31" s="81" t="str">
        <f>IF(A31="","",SUMIFS(in_other,in_eq,A31,in_done,1,in_dnum,"&gt;="&amp;p_from,in_dnum,"&lt;="&amp;p_to))</f>
        <v/>
      </c>
      <c r="R31" s="81" t="str">
        <f>IF(A31="","",SUMIFS(in_total,in_eq,A31,in_done,1,in_dnum,"&gt;="&amp;p_from,in_dnum,"&lt;="&amp;p_to))</f>
        <v/>
      </c>
      <c r="S31" s="67" t="str">
        <f>IF(A31="","",SUMIFS(in_work,in_eq,A31,in_type,"Correctif",in_done,1,in_dnum,"&gt;="&amp;p_from,in_dnum,"&lt;="&amp;p_to))</f>
        <v/>
      </c>
      <c r="T31" s="67" t="str">
        <f>IF(A31="","",SUMIFS(in_stop,in_eq,A31,in_type,"Correctif",in_done,1,in_dnum,"&gt;="&amp;p_from,in_dnum,"&lt;="&amp;p_to))</f>
        <v/>
      </c>
    </row>
    <row r="32">
      <c r="A32" s="67" t="str">
        <f>IF(INDEX(eq_code,21)="","",INDEX(eq_code,21)&amp;"")</f>
        <v/>
      </c>
      <c r="B32" s="67" t="str">
        <f>IF(A32="","",INDEX(eq_des,21)&amp;"")</f>
        <v/>
      </c>
      <c r="C32" s="79" t="str">
        <f>IF(A32="","",INDEX(eq_crit,21)&amp;"")</f>
        <v/>
      </c>
      <c r="D32" s="127" t="str">
        <f>IF(A32="","",IF(MAX(p_from,N(INDEX(eq_start,21)))&gt;p_to,0,ROUND(IF(AND(ISNUMBER(INDEX(eq_hours,21)),N(INDEX(eq_hours,21))&gt;0,N(INDEX(eq_hours,21))&lt;=24),INDEX(eq_hours,21),0)*IF(p_days="7 jours sur 7",p_to-MAX(p_from,N(INDEX(eq_start,21)))+1,NETWORKDAYS.INTL(MAX(p_from,N(INDEX(eq_start,21))),p_to,p_weekend,p_holidays)),2)))</f>
        <v/>
      </c>
      <c r="E32" s="128" t="str">
        <f>IF(A32="","",SUMIFS(in_stop,in_eq,A32,in_done,1,in_dnum,"&gt;="&amp;p_from,in_dnum,"&lt;="&amp;p_to))</f>
        <v/>
      </c>
      <c r="F32" s="129" t="str">
        <f>IF(A32="","",COUNTIFS(in_eq,A32,in_type,"Correctif",in_done,1,in_dnum,"&gt;="&amp;p_from,in_dnum,"&lt;="&amp;p_to))</f>
        <v/>
      </c>
      <c r="G32" s="130" t="str">
        <f>IF(OR(A32="",N(F32)=0),"",MAX(0,D32-E32)/F32)</f>
        <v/>
      </c>
      <c r="H32" s="81" t="str">
        <f>IF(OR(A32="",N(F32)=0),"",S32/F32)</f>
        <v/>
      </c>
      <c r="I32" s="81" t="str">
        <f>IF(OR(A32="",N(F32)=0),"",T32/F32)</f>
        <v/>
      </c>
      <c r="J32" s="131" t="str">
        <f>IF(OR(A32="",N(D32)=0),"",MAX(0,D32-E32)/D32)</f>
        <v/>
      </c>
      <c r="K32" s="128" t="str">
        <f>IF(A32="","",SUMIFS(in_work,in_eq,A32,in_type,"Préventif",in_done,1,in_dnum,"&gt;="&amp;p_from,in_dnum,"&lt;="&amp;p_to))</f>
        <v/>
      </c>
      <c r="L32" s="128" t="str">
        <f>IF(A32="","",SUMIFS(in_work,in_eq,A32,in_type,"Correctif",in_done,1,in_dnum,"&gt;="&amp;p_from,in_dnum,"&lt;="&amp;p_to))</f>
        <v/>
      </c>
      <c r="M32" s="128" t="str">
        <f>IF(A32="","",SUMIFS(in_work,in_eq,A32,in_type,"Amélioratif",in_done,1,in_dnum,"&gt;="&amp;p_from,in_dnum,"&lt;="&amp;p_to))</f>
        <v/>
      </c>
      <c r="N32" s="131" t="str">
        <f>IF(OR(A32="",N(K32)+N(L32)+N(M32)=0),"",K32/(K32+L32+M32))</f>
        <v/>
      </c>
      <c r="O32" s="81" t="str">
        <f>IF(A32="","",SUMIFS(in_parts,in_eq,A32,in_done,1,in_dnum,"&gt;="&amp;p_from,in_dnum,"&lt;="&amp;p_to))</f>
        <v/>
      </c>
      <c r="P32" s="81" t="str">
        <f>IF(A32="","",SUMIFS(in_mo,in_eq,A32,in_done,1,in_dnum,"&gt;="&amp;p_from,in_dnum,"&lt;="&amp;p_to))</f>
        <v/>
      </c>
      <c r="Q32" s="81" t="str">
        <f>IF(A32="","",SUMIFS(in_other,in_eq,A32,in_done,1,in_dnum,"&gt;="&amp;p_from,in_dnum,"&lt;="&amp;p_to))</f>
        <v/>
      </c>
      <c r="R32" s="81" t="str">
        <f>IF(A32="","",SUMIFS(in_total,in_eq,A32,in_done,1,in_dnum,"&gt;="&amp;p_from,in_dnum,"&lt;="&amp;p_to))</f>
        <v/>
      </c>
      <c r="S32" s="67" t="str">
        <f>IF(A32="","",SUMIFS(in_work,in_eq,A32,in_type,"Correctif",in_done,1,in_dnum,"&gt;="&amp;p_from,in_dnum,"&lt;="&amp;p_to))</f>
        <v/>
      </c>
      <c r="T32" s="67" t="str">
        <f>IF(A32="","",SUMIFS(in_stop,in_eq,A32,in_type,"Correctif",in_done,1,in_dnum,"&gt;="&amp;p_from,in_dnum,"&lt;="&amp;p_to))</f>
        <v/>
      </c>
    </row>
    <row r="33">
      <c r="A33" s="67" t="str">
        <f>IF(INDEX(eq_code,22)="","",INDEX(eq_code,22)&amp;"")</f>
        <v/>
      </c>
      <c r="B33" s="67" t="str">
        <f>IF(A33="","",INDEX(eq_des,22)&amp;"")</f>
        <v/>
      </c>
      <c r="C33" s="79" t="str">
        <f>IF(A33="","",INDEX(eq_crit,22)&amp;"")</f>
        <v/>
      </c>
      <c r="D33" s="127" t="str">
        <f>IF(A33="","",IF(MAX(p_from,N(INDEX(eq_start,22)))&gt;p_to,0,ROUND(IF(AND(ISNUMBER(INDEX(eq_hours,22)),N(INDEX(eq_hours,22))&gt;0,N(INDEX(eq_hours,22))&lt;=24),INDEX(eq_hours,22),0)*IF(p_days="7 jours sur 7",p_to-MAX(p_from,N(INDEX(eq_start,22)))+1,NETWORKDAYS.INTL(MAX(p_from,N(INDEX(eq_start,22))),p_to,p_weekend,p_holidays)),2)))</f>
        <v/>
      </c>
      <c r="E33" s="128" t="str">
        <f>IF(A33="","",SUMIFS(in_stop,in_eq,A33,in_done,1,in_dnum,"&gt;="&amp;p_from,in_dnum,"&lt;="&amp;p_to))</f>
        <v/>
      </c>
      <c r="F33" s="129" t="str">
        <f>IF(A33="","",COUNTIFS(in_eq,A33,in_type,"Correctif",in_done,1,in_dnum,"&gt;="&amp;p_from,in_dnum,"&lt;="&amp;p_to))</f>
        <v/>
      </c>
      <c r="G33" s="130" t="str">
        <f>IF(OR(A33="",N(F33)=0),"",MAX(0,D33-E33)/F33)</f>
        <v/>
      </c>
      <c r="H33" s="81" t="str">
        <f>IF(OR(A33="",N(F33)=0),"",S33/F33)</f>
        <v/>
      </c>
      <c r="I33" s="81" t="str">
        <f>IF(OR(A33="",N(F33)=0),"",T33/F33)</f>
        <v/>
      </c>
      <c r="J33" s="131" t="str">
        <f>IF(OR(A33="",N(D33)=0),"",MAX(0,D33-E33)/D33)</f>
        <v/>
      </c>
      <c r="K33" s="128" t="str">
        <f>IF(A33="","",SUMIFS(in_work,in_eq,A33,in_type,"Préventif",in_done,1,in_dnum,"&gt;="&amp;p_from,in_dnum,"&lt;="&amp;p_to))</f>
        <v/>
      </c>
      <c r="L33" s="128" t="str">
        <f>IF(A33="","",SUMIFS(in_work,in_eq,A33,in_type,"Correctif",in_done,1,in_dnum,"&gt;="&amp;p_from,in_dnum,"&lt;="&amp;p_to))</f>
        <v/>
      </c>
      <c r="M33" s="128" t="str">
        <f>IF(A33="","",SUMIFS(in_work,in_eq,A33,in_type,"Amélioratif",in_done,1,in_dnum,"&gt;="&amp;p_from,in_dnum,"&lt;="&amp;p_to))</f>
        <v/>
      </c>
      <c r="N33" s="131" t="str">
        <f>IF(OR(A33="",N(K33)+N(L33)+N(M33)=0),"",K33/(K33+L33+M33))</f>
        <v/>
      </c>
      <c r="O33" s="81" t="str">
        <f>IF(A33="","",SUMIFS(in_parts,in_eq,A33,in_done,1,in_dnum,"&gt;="&amp;p_from,in_dnum,"&lt;="&amp;p_to))</f>
        <v/>
      </c>
      <c r="P33" s="81" t="str">
        <f>IF(A33="","",SUMIFS(in_mo,in_eq,A33,in_done,1,in_dnum,"&gt;="&amp;p_from,in_dnum,"&lt;="&amp;p_to))</f>
        <v/>
      </c>
      <c r="Q33" s="81" t="str">
        <f>IF(A33="","",SUMIFS(in_other,in_eq,A33,in_done,1,in_dnum,"&gt;="&amp;p_from,in_dnum,"&lt;="&amp;p_to))</f>
        <v/>
      </c>
      <c r="R33" s="81" t="str">
        <f>IF(A33="","",SUMIFS(in_total,in_eq,A33,in_done,1,in_dnum,"&gt;="&amp;p_from,in_dnum,"&lt;="&amp;p_to))</f>
        <v/>
      </c>
      <c r="S33" s="67" t="str">
        <f>IF(A33="","",SUMIFS(in_work,in_eq,A33,in_type,"Correctif",in_done,1,in_dnum,"&gt;="&amp;p_from,in_dnum,"&lt;="&amp;p_to))</f>
        <v/>
      </c>
      <c r="T33" s="67" t="str">
        <f>IF(A33="","",SUMIFS(in_stop,in_eq,A33,in_type,"Correctif",in_done,1,in_dnum,"&gt;="&amp;p_from,in_dnum,"&lt;="&amp;p_to))</f>
        <v/>
      </c>
    </row>
    <row r="34">
      <c r="A34" s="67" t="str">
        <f>IF(INDEX(eq_code,23)="","",INDEX(eq_code,23)&amp;"")</f>
        <v/>
      </c>
      <c r="B34" s="67" t="str">
        <f>IF(A34="","",INDEX(eq_des,23)&amp;"")</f>
        <v/>
      </c>
      <c r="C34" s="79" t="str">
        <f>IF(A34="","",INDEX(eq_crit,23)&amp;"")</f>
        <v/>
      </c>
      <c r="D34" s="127" t="str">
        <f>IF(A34="","",IF(MAX(p_from,N(INDEX(eq_start,23)))&gt;p_to,0,ROUND(IF(AND(ISNUMBER(INDEX(eq_hours,23)),N(INDEX(eq_hours,23))&gt;0,N(INDEX(eq_hours,23))&lt;=24),INDEX(eq_hours,23),0)*IF(p_days="7 jours sur 7",p_to-MAX(p_from,N(INDEX(eq_start,23)))+1,NETWORKDAYS.INTL(MAX(p_from,N(INDEX(eq_start,23))),p_to,p_weekend,p_holidays)),2)))</f>
        <v/>
      </c>
      <c r="E34" s="128" t="str">
        <f>IF(A34="","",SUMIFS(in_stop,in_eq,A34,in_done,1,in_dnum,"&gt;="&amp;p_from,in_dnum,"&lt;="&amp;p_to))</f>
        <v/>
      </c>
      <c r="F34" s="129" t="str">
        <f>IF(A34="","",COUNTIFS(in_eq,A34,in_type,"Correctif",in_done,1,in_dnum,"&gt;="&amp;p_from,in_dnum,"&lt;="&amp;p_to))</f>
        <v/>
      </c>
      <c r="G34" s="130" t="str">
        <f>IF(OR(A34="",N(F34)=0),"",MAX(0,D34-E34)/F34)</f>
        <v/>
      </c>
      <c r="H34" s="81" t="str">
        <f>IF(OR(A34="",N(F34)=0),"",S34/F34)</f>
        <v/>
      </c>
      <c r="I34" s="81" t="str">
        <f>IF(OR(A34="",N(F34)=0),"",T34/F34)</f>
        <v/>
      </c>
      <c r="J34" s="131" t="str">
        <f>IF(OR(A34="",N(D34)=0),"",MAX(0,D34-E34)/D34)</f>
        <v/>
      </c>
      <c r="K34" s="128" t="str">
        <f>IF(A34="","",SUMIFS(in_work,in_eq,A34,in_type,"Préventif",in_done,1,in_dnum,"&gt;="&amp;p_from,in_dnum,"&lt;="&amp;p_to))</f>
        <v/>
      </c>
      <c r="L34" s="128" t="str">
        <f>IF(A34="","",SUMIFS(in_work,in_eq,A34,in_type,"Correctif",in_done,1,in_dnum,"&gt;="&amp;p_from,in_dnum,"&lt;="&amp;p_to))</f>
        <v/>
      </c>
      <c r="M34" s="128" t="str">
        <f>IF(A34="","",SUMIFS(in_work,in_eq,A34,in_type,"Amélioratif",in_done,1,in_dnum,"&gt;="&amp;p_from,in_dnum,"&lt;="&amp;p_to))</f>
        <v/>
      </c>
      <c r="N34" s="131" t="str">
        <f>IF(OR(A34="",N(K34)+N(L34)+N(M34)=0),"",K34/(K34+L34+M34))</f>
        <v/>
      </c>
      <c r="O34" s="81" t="str">
        <f>IF(A34="","",SUMIFS(in_parts,in_eq,A34,in_done,1,in_dnum,"&gt;="&amp;p_from,in_dnum,"&lt;="&amp;p_to))</f>
        <v/>
      </c>
      <c r="P34" s="81" t="str">
        <f>IF(A34="","",SUMIFS(in_mo,in_eq,A34,in_done,1,in_dnum,"&gt;="&amp;p_from,in_dnum,"&lt;="&amp;p_to))</f>
        <v/>
      </c>
      <c r="Q34" s="81" t="str">
        <f>IF(A34="","",SUMIFS(in_other,in_eq,A34,in_done,1,in_dnum,"&gt;="&amp;p_from,in_dnum,"&lt;="&amp;p_to))</f>
        <v/>
      </c>
      <c r="R34" s="81" t="str">
        <f>IF(A34="","",SUMIFS(in_total,in_eq,A34,in_done,1,in_dnum,"&gt;="&amp;p_from,in_dnum,"&lt;="&amp;p_to))</f>
        <v/>
      </c>
      <c r="S34" s="67" t="str">
        <f>IF(A34="","",SUMIFS(in_work,in_eq,A34,in_type,"Correctif",in_done,1,in_dnum,"&gt;="&amp;p_from,in_dnum,"&lt;="&amp;p_to))</f>
        <v/>
      </c>
      <c r="T34" s="67" t="str">
        <f>IF(A34="","",SUMIFS(in_stop,in_eq,A34,in_type,"Correctif",in_done,1,in_dnum,"&gt;="&amp;p_from,in_dnum,"&lt;="&amp;p_to))</f>
        <v/>
      </c>
    </row>
    <row r="35">
      <c r="A35" s="67" t="str">
        <f>IF(INDEX(eq_code,24)="","",INDEX(eq_code,24)&amp;"")</f>
        <v/>
      </c>
      <c r="B35" s="67" t="str">
        <f>IF(A35="","",INDEX(eq_des,24)&amp;"")</f>
        <v/>
      </c>
      <c r="C35" s="79" t="str">
        <f>IF(A35="","",INDEX(eq_crit,24)&amp;"")</f>
        <v/>
      </c>
      <c r="D35" s="127" t="str">
        <f>IF(A35="","",IF(MAX(p_from,N(INDEX(eq_start,24)))&gt;p_to,0,ROUND(IF(AND(ISNUMBER(INDEX(eq_hours,24)),N(INDEX(eq_hours,24))&gt;0,N(INDEX(eq_hours,24))&lt;=24),INDEX(eq_hours,24),0)*IF(p_days="7 jours sur 7",p_to-MAX(p_from,N(INDEX(eq_start,24)))+1,NETWORKDAYS.INTL(MAX(p_from,N(INDEX(eq_start,24))),p_to,p_weekend,p_holidays)),2)))</f>
        <v/>
      </c>
      <c r="E35" s="128" t="str">
        <f>IF(A35="","",SUMIFS(in_stop,in_eq,A35,in_done,1,in_dnum,"&gt;="&amp;p_from,in_dnum,"&lt;="&amp;p_to))</f>
        <v/>
      </c>
      <c r="F35" s="129" t="str">
        <f>IF(A35="","",COUNTIFS(in_eq,A35,in_type,"Correctif",in_done,1,in_dnum,"&gt;="&amp;p_from,in_dnum,"&lt;="&amp;p_to))</f>
        <v/>
      </c>
      <c r="G35" s="130" t="str">
        <f>IF(OR(A35="",N(F35)=0),"",MAX(0,D35-E35)/F35)</f>
        <v/>
      </c>
      <c r="H35" s="81" t="str">
        <f>IF(OR(A35="",N(F35)=0),"",S35/F35)</f>
        <v/>
      </c>
      <c r="I35" s="81" t="str">
        <f>IF(OR(A35="",N(F35)=0),"",T35/F35)</f>
        <v/>
      </c>
      <c r="J35" s="131" t="str">
        <f>IF(OR(A35="",N(D35)=0),"",MAX(0,D35-E35)/D35)</f>
        <v/>
      </c>
      <c r="K35" s="128" t="str">
        <f>IF(A35="","",SUMIFS(in_work,in_eq,A35,in_type,"Préventif",in_done,1,in_dnum,"&gt;="&amp;p_from,in_dnum,"&lt;="&amp;p_to))</f>
        <v/>
      </c>
      <c r="L35" s="128" t="str">
        <f>IF(A35="","",SUMIFS(in_work,in_eq,A35,in_type,"Correctif",in_done,1,in_dnum,"&gt;="&amp;p_from,in_dnum,"&lt;="&amp;p_to))</f>
        <v/>
      </c>
      <c r="M35" s="128" t="str">
        <f>IF(A35="","",SUMIFS(in_work,in_eq,A35,in_type,"Amélioratif",in_done,1,in_dnum,"&gt;="&amp;p_from,in_dnum,"&lt;="&amp;p_to))</f>
        <v/>
      </c>
      <c r="N35" s="131" t="str">
        <f>IF(OR(A35="",N(K35)+N(L35)+N(M35)=0),"",K35/(K35+L35+M35))</f>
        <v/>
      </c>
      <c r="O35" s="81" t="str">
        <f>IF(A35="","",SUMIFS(in_parts,in_eq,A35,in_done,1,in_dnum,"&gt;="&amp;p_from,in_dnum,"&lt;="&amp;p_to))</f>
        <v/>
      </c>
      <c r="P35" s="81" t="str">
        <f>IF(A35="","",SUMIFS(in_mo,in_eq,A35,in_done,1,in_dnum,"&gt;="&amp;p_from,in_dnum,"&lt;="&amp;p_to))</f>
        <v/>
      </c>
      <c r="Q35" s="81" t="str">
        <f>IF(A35="","",SUMIFS(in_other,in_eq,A35,in_done,1,in_dnum,"&gt;="&amp;p_from,in_dnum,"&lt;="&amp;p_to))</f>
        <v/>
      </c>
      <c r="R35" s="81" t="str">
        <f>IF(A35="","",SUMIFS(in_total,in_eq,A35,in_done,1,in_dnum,"&gt;="&amp;p_from,in_dnum,"&lt;="&amp;p_to))</f>
        <v/>
      </c>
      <c r="S35" s="67" t="str">
        <f>IF(A35="","",SUMIFS(in_work,in_eq,A35,in_type,"Correctif",in_done,1,in_dnum,"&gt;="&amp;p_from,in_dnum,"&lt;="&amp;p_to))</f>
        <v/>
      </c>
      <c r="T35" s="67" t="str">
        <f>IF(A35="","",SUMIFS(in_stop,in_eq,A35,in_type,"Correctif",in_done,1,in_dnum,"&gt;="&amp;p_from,in_dnum,"&lt;="&amp;p_to))</f>
        <v/>
      </c>
    </row>
    <row r="36">
      <c r="A36" s="67" t="str">
        <f>IF(INDEX(eq_code,25)="","",INDEX(eq_code,25)&amp;"")</f>
        <v/>
      </c>
      <c r="B36" s="67" t="str">
        <f>IF(A36="","",INDEX(eq_des,25)&amp;"")</f>
        <v/>
      </c>
      <c r="C36" s="79" t="str">
        <f>IF(A36="","",INDEX(eq_crit,25)&amp;"")</f>
        <v/>
      </c>
      <c r="D36" s="127" t="str">
        <f>IF(A36="","",IF(MAX(p_from,N(INDEX(eq_start,25)))&gt;p_to,0,ROUND(IF(AND(ISNUMBER(INDEX(eq_hours,25)),N(INDEX(eq_hours,25))&gt;0,N(INDEX(eq_hours,25))&lt;=24),INDEX(eq_hours,25),0)*IF(p_days="7 jours sur 7",p_to-MAX(p_from,N(INDEX(eq_start,25)))+1,NETWORKDAYS.INTL(MAX(p_from,N(INDEX(eq_start,25))),p_to,p_weekend,p_holidays)),2)))</f>
        <v/>
      </c>
      <c r="E36" s="128" t="str">
        <f>IF(A36="","",SUMIFS(in_stop,in_eq,A36,in_done,1,in_dnum,"&gt;="&amp;p_from,in_dnum,"&lt;="&amp;p_to))</f>
        <v/>
      </c>
      <c r="F36" s="129" t="str">
        <f>IF(A36="","",COUNTIFS(in_eq,A36,in_type,"Correctif",in_done,1,in_dnum,"&gt;="&amp;p_from,in_dnum,"&lt;="&amp;p_to))</f>
        <v/>
      </c>
      <c r="G36" s="130" t="str">
        <f>IF(OR(A36="",N(F36)=0),"",MAX(0,D36-E36)/F36)</f>
        <v/>
      </c>
      <c r="H36" s="81" t="str">
        <f>IF(OR(A36="",N(F36)=0),"",S36/F36)</f>
        <v/>
      </c>
      <c r="I36" s="81" t="str">
        <f>IF(OR(A36="",N(F36)=0),"",T36/F36)</f>
        <v/>
      </c>
      <c r="J36" s="131" t="str">
        <f>IF(OR(A36="",N(D36)=0),"",MAX(0,D36-E36)/D36)</f>
        <v/>
      </c>
      <c r="K36" s="128" t="str">
        <f>IF(A36="","",SUMIFS(in_work,in_eq,A36,in_type,"Préventif",in_done,1,in_dnum,"&gt;="&amp;p_from,in_dnum,"&lt;="&amp;p_to))</f>
        <v/>
      </c>
      <c r="L36" s="128" t="str">
        <f>IF(A36="","",SUMIFS(in_work,in_eq,A36,in_type,"Correctif",in_done,1,in_dnum,"&gt;="&amp;p_from,in_dnum,"&lt;="&amp;p_to))</f>
        <v/>
      </c>
      <c r="M36" s="128" t="str">
        <f>IF(A36="","",SUMIFS(in_work,in_eq,A36,in_type,"Amélioratif",in_done,1,in_dnum,"&gt;="&amp;p_from,in_dnum,"&lt;="&amp;p_to))</f>
        <v/>
      </c>
      <c r="N36" s="131" t="str">
        <f>IF(OR(A36="",N(K36)+N(L36)+N(M36)=0),"",K36/(K36+L36+M36))</f>
        <v/>
      </c>
      <c r="O36" s="81" t="str">
        <f>IF(A36="","",SUMIFS(in_parts,in_eq,A36,in_done,1,in_dnum,"&gt;="&amp;p_from,in_dnum,"&lt;="&amp;p_to))</f>
        <v/>
      </c>
      <c r="P36" s="81" t="str">
        <f>IF(A36="","",SUMIFS(in_mo,in_eq,A36,in_done,1,in_dnum,"&gt;="&amp;p_from,in_dnum,"&lt;="&amp;p_to))</f>
        <v/>
      </c>
      <c r="Q36" s="81" t="str">
        <f>IF(A36="","",SUMIFS(in_other,in_eq,A36,in_done,1,in_dnum,"&gt;="&amp;p_from,in_dnum,"&lt;="&amp;p_to))</f>
        <v/>
      </c>
      <c r="R36" s="81" t="str">
        <f>IF(A36="","",SUMIFS(in_total,in_eq,A36,in_done,1,in_dnum,"&gt;="&amp;p_from,in_dnum,"&lt;="&amp;p_to))</f>
        <v/>
      </c>
      <c r="S36" s="67" t="str">
        <f>IF(A36="","",SUMIFS(in_work,in_eq,A36,in_type,"Correctif",in_done,1,in_dnum,"&gt;="&amp;p_from,in_dnum,"&lt;="&amp;p_to))</f>
        <v/>
      </c>
      <c r="T36" s="67" t="str">
        <f>IF(A36="","",SUMIFS(in_stop,in_eq,A36,in_type,"Correctif",in_done,1,in_dnum,"&gt;="&amp;p_from,in_dnum,"&lt;="&amp;p_to))</f>
        <v/>
      </c>
    </row>
    <row r="37">
      <c r="A37" s="67" t="str">
        <f>IF(INDEX(eq_code,26)="","",INDEX(eq_code,26)&amp;"")</f>
        <v/>
      </c>
      <c r="B37" s="67" t="str">
        <f>IF(A37="","",INDEX(eq_des,26)&amp;"")</f>
        <v/>
      </c>
      <c r="C37" s="79" t="str">
        <f>IF(A37="","",INDEX(eq_crit,26)&amp;"")</f>
        <v/>
      </c>
      <c r="D37" s="127" t="str">
        <f>IF(A37="","",IF(MAX(p_from,N(INDEX(eq_start,26)))&gt;p_to,0,ROUND(IF(AND(ISNUMBER(INDEX(eq_hours,26)),N(INDEX(eq_hours,26))&gt;0,N(INDEX(eq_hours,26))&lt;=24),INDEX(eq_hours,26),0)*IF(p_days="7 jours sur 7",p_to-MAX(p_from,N(INDEX(eq_start,26)))+1,NETWORKDAYS.INTL(MAX(p_from,N(INDEX(eq_start,26))),p_to,p_weekend,p_holidays)),2)))</f>
        <v/>
      </c>
      <c r="E37" s="128" t="str">
        <f>IF(A37="","",SUMIFS(in_stop,in_eq,A37,in_done,1,in_dnum,"&gt;="&amp;p_from,in_dnum,"&lt;="&amp;p_to))</f>
        <v/>
      </c>
      <c r="F37" s="129" t="str">
        <f>IF(A37="","",COUNTIFS(in_eq,A37,in_type,"Correctif",in_done,1,in_dnum,"&gt;="&amp;p_from,in_dnum,"&lt;="&amp;p_to))</f>
        <v/>
      </c>
      <c r="G37" s="130" t="str">
        <f>IF(OR(A37="",N(F37)=0),"",MAX(0,D37-E37)/F37)</f>
        <v/>
      </c>
      <c r="H37" s="81" t="str">
        <f>IF(OR(A37="",N(F37)=0),"",S37/F37)</f>
        <v/>
      </c>
      <c r="I37" s="81" t="str">
        <f>IF(OR(A37="",N(F37)=0),"",T37/F37)</f>
        <v/>
      </c>
      <c r="J37" s="131" t="str">
        <f>IF(OR(A37="",N(D37)=0),"",MAX(0,D37-E37)/D37)</f>
        <v/>
      </c>
      <c r="K37" s="128" t="str">
        <f>IF(A37="","",SUMIFS(in_work,in_eq,A37,in_type,"Préventif",in_done,1,in_dnum,"&gt;="&amp;p_from,in_dnum,"&lt;="&amp;p_to))</f>
        <v/>
      </c>
      <c r="L37" s="128" t="str">
        <f>IF(A37="","",SUMIFS(in_work,in_eq,A37,in_type,"Correctif",in_done,1,in_dnum,"&gt;="&amp;p_from,in_dnum,"&lt;="&amp;p_to))</f>
        <v/>
      </c>
      <c r="M37" s="128" t="str">
        <f>IF(A37="","",SUMIFS(in_work,in_eq,A37,in_type,"Amélioratif",in_done,1,in_dnum,"&gt;="&amp;p_from,in_dnum,"&lt;="&amp;p_to))</f>
        <v/>
      </c>
      <c r="N37" s="131" t="str">
        <f>IF(OR(A37="",N(K37)+N(L37)+N(M37)=0),"",K37/(K37+L37+M37))</f>
        <v/>
      </c>
      <c r="O37" s="81" t="str">
        <f>IF(A37="","",SUMIFS(in_parts,in_eq,A37,in_done,1,in_dnum,"&gt;="&amp;p_from,in_dnum,"&lt;="&amp;p_to))</f>
        <v/>
      </c>
      <c r="P37" s="81" t="str">
        <f>IF(A37="","",SUMIFS(in_mo,in_eq,A37,in_done,1,in_dnum,"&gt;="&amp;p_from,in_dnum,"&lt;="&amp;p_to))</f>
        <v/>
      </c>
      <c r="Q37" s="81" t="str">
        <f>IF(A37="","",SUMIFS(in_other,in_eq,A37,in_done,1,in_dnum,"&gt;="&amp;p_from,in_dnum,"&lt;="&amp;p_to))</f>
        <v/>
      </c>
      <c r="R37" s="81" t="str">
        <f>IF(A37="","",SUMIFS(in_total,in_eq,A37,in_done,1,in_dnum,"&gt;="&amp;p_from,in_dnum,"&lt;="&amp;p_to))</f>
        <v/>
      </c>
      <c r="S37" s="67" t="str">
        <f>IF(A37="","",SUMIFS(in_work,in_eq,A37,in_type,"Correctif",in_done,1,in_dnum,"&gt;="&amp;p_from,in_dnum,"&lt;="&amp;p_to))</f>
        <v/>
      </c>
      <c r="T37" s="67" t="str">
        <f>IF(A37="","",SUMIFS(in_stop,in_eq,A37,in_type,"Correctif",in_done,1,in_dnum,"&gt;="&amp;p_from,in_dnum,"&lt;="&amp;p_to))</f>
        <v/>
      </c>
    </row>
    <row r="38">
      <c r="A38" s="67" t="str">
        <f>IF(INDEX(eq_code,27)="","",INDEX(eq_code,27)&amp;"")</f>
        <v/>
      </c>
      <c r="B38" s="67" t="str">
        <f>IF(A38="","",INDEX(eq_des,27)&amp;"")</f>
        <v/>
      </c>
      <c r="C38" s="79" t="str">
        <f>IF(A38="","",INDEX(eq_crit,27)&amp;"")</f>
        <v/>
      </c>
      <c r="D38" s="127" t="str">
        <f>IF(A38="","",IF(MAX(p_from,N(INDEX(eq_start,27)))&gt;p_to,0,ROUND(IF(AND(ISNUMBER(INDEX(eq_hours,27)),N(INDEX(eq_hours,27))&gt;0,N(INDEX(eq_hours,27))&lt;=24),INDEX(eq_hours,27),0)*IF(p_days="7 jours sur 7",p_to-MAX(p_from,N(INDEX(eq_start,27)))+1,NETWORKDAYS.INTL(MAX(p_from,N(INDEX(eq_start,27))),p_to,p_weekend,p_holidays)),2)))</f>
        <v/>
      </c>
      <c r="E38" s="128" t="str">
        <f>IF(A38="","",SUMIFS(in_stop,in_eq,A38,in_done,1,in_dnum,"&gt;="&amp;p_from,in_dnum,"&lt;="&amp;p_to))</f>
        <v/>
      </c>
      <c r="F38" s="129" t="str">
        <f>IF(A38="","",COUNTIFS(in_eq,A38,in_type,"Correctif",in_done,1,in_dnum,"&gt;="&amp;p_from,in_dnum,"&lt;="&amp;p_to))</f>
        <v/>
      </c>
      <c r="G38" s="130" t="str">
        <f>IF(OR(A38="",N(F38)=0),"",MAX(0,D38-E38)/F38)</f>
        <v/>
      </c>
      <c r="H38" s="81" t="str">
        <f>IF(OR(A38="",N(F38)=0),"",S38/F38)</f>
        <v/>
      </c>
      <c r="I38" s="81" t="str">
        <f>IF(OR(A38="",N(F38)=0),"",T38/F38)</f>
        <v/>
      </c>
      <c r="J38" s="131" t="str">
        <f>IF(OR(A38="",N(D38)=0),"",MAX(0,D38-E38)/D38)</f>
        <v/>
      </c>
      <c r="K38" s="128" t="str">
        <f>IF(A38="","",SUMIFS(in_work,in_eq,A38,in_type,"Préventif",in_done,1,in_dnum,"&gt;="&amp;p_from,in_dnum,"&lt;="&amp;p_to))</f>
        <v/>
      </c>
      <c r="L38" s="128" t="str">
        <f>IF(A38="","",SUMIFS(in_work,in_eq,A38,in_type,"Correctif",in_done,1,in_dnum,"&gt;="&amp;p_from,in_dnum,"&lt;="&amp;p_to))</f>
        <v/>
      </c>
      <c r="M38" s="128" t="str">
        <f>IF(A38="","",SUMIFS(in_work,in_eq,A38,in_type,"Amélioratif",in_done,1,in_dnum,"&gt;="&amp;p_from,in_dnum,"&lt;="&amp;p_to))</f>
        <v/>
      </c>
      <c r="N38" s="131" t="str">
        <f>IF(OR(A38="",N(K38)+N(L38)+N(M38)=0),"",K38/(K38+L38+M38))</f>
        <v/>
      </c>
      <c r="O38" s="81" t="str">
        <f>IF(A38="","",SUMIFS(in_parts,in_eq,A38,in_done,1,in_dnum,"&gt;="&amp;p_from,in_dnum,"&lt;="&amp;p_to))</f>
        <v/>
      </c>
      <c r="P38" s="81" t="str">
        <f>IF(A38="","",SUMIFS(in_mo,in_eq,A38,in_done,1,in_dnum,"&gt;="&amp;p_from,in_dnum,"&lt;="&amp;p_to))</f>
        <v/>
      </c>
      <c r="Q38" s="81" t="str">
        <f>IF(A38="","",SUMIFS(in_other,in_eq,A38,in_done,1,in_dnum,"&gt;="&amp;p_from,in_dnum,"&lt;="&amp;p_to))</f>
        <v/>
      </c>
      <c r="R38" s="81" t="str">
        <f>IF(A38="","",SUMIFS(in_total,in_eq,A38,in_done,1,in_dnum,"&gt;="&amp;p_from,in_dnum,"&lt;="&amp;p_to))</f>
        <v/>
      </c>
      <c r="S38" s="67" t="str">
        <f>IF(A38="","",SUMIFS(in_work,in_eq,A38,in_type,"Correctif",in_done,1,in_dnum,"&gt;="&amp;p_from,in_dnum,"&lt;="&amp;p_to))</f>
        <v/>
      </c>
      <c r="T38" s="67" t="str">
        <f>IF(A38="","",SUMIFS(in_stop,in_eq,A38,in_type,"Correctif",in_done,1,in_dnum,"&gt;="&amp;p_from,in_dnum,"&lt;="&amp;p_to))</f>
        <v/>
      </c>
    </row>
    <row r="39">
      <c r="A39" s="67" t="str">
        <f>IF(INDEX(eq_code,28)="","",INDEX(eq_code,28)&amp;"")</f>
        <v/>
      </c>
      <c r="B39" s="67" t="str">
        <f>IF(A39="","",INDEX(eq_des,28)&amp;"")</f>
        <v/>
      </c>
      <c r="C39" s="79" t="str">
        <f>IF(A39="","",INDEX(eq_crit,28)&amp;"")</f>
        <v/>
      </c>
      <c r="D39" s="127" t="str">
        <f>IF(A39="","",IF(MAX(p_from,N(INDEX(eq_start,28)))&gt;p_to,0,ROUND(IF(AND(ISNUMBER(INDEX(eq_hours,28)),N(INDEX(eq_hours,28))&gt;0,N(INDEX(eq_hours,28))&lt;=24),INDEX(eq_hours,28),0)*IF(p_days="7 jours sur 7",p_to-MAX(p_from,N(INDEX(eq_start,28)))+1,NETWORKDAYS.INTL(MAX(p_from,N(INDEX(eq_start,28))),p_to,p_weekend,p_holidays)),2)))</f>
        <v/>
      </c>
      <c r="E39" s="128" t="str">
        <f>IF(A39="","",SUMIFS(in_stop,in_eq,A39,in_done,1,in_dnum,"&gt;="&amp;p_from,in_dnum,"&lt;="&amp;p_to))</f>
        <v/>
      </c>
      <c r="F39" s="129" t="str">
        <f>IF(A39="","",COUNTIFS(in_eq,A39,in_type,"Correctif",in_done,1,in_dnum,"&gt;="&amp;p_from,in_dnum,"&lt;="&amp;p_to))</f>
        <v/>
      </c>
      <c r="G39" s="130" t="str">
        <f>IF(OR(A39="",N(F39)=0),"",MAX(0,D39-E39)/F39)</f>
        <v/>
      </c>
      <c r="H39" s="81" t="str">
        <f>IF(OR(A39="",N(F39)=0),"",S39/F39)</f>
        <v/>
      </c>
      <c r="I39" s="81" t="str">
        <f>IF(OR(A39="",N(F39)=0),"",T39/F39)</f>
        <v/>
      </c>
      <c r="J39" s="131" t="str">
        <f>IF(OR(A39="",N(D39)=0),"",MAX(0,D39-E39)/D39)</f>
        <v/>
      </c>
      <c r="K39" s="128" t="str">
        <f>IF(A39="","",SUMIFS(in_work,in_eq,A39,in_type,"Préventif",in_done,1,in_dnum,"&gt;="&amp;p_from,in_dnum,"&lt;="&amp;p_to))</f>
        <v/>
      </c>
      <c r="L39" s="128" t="str">
        <f>IF(A39="","",SUMIFS(in_work,in_eq,A39,in_type,"Correctif",in_done,1,in_dnum,"&gt;="&amp;p_from,in_dnum,"&lt;="&amp;p_to))</f>
        <v/>
      </c>
      <c r="M39" s="128" t="str">
        <f>IF(A39="","",SUMIFS(in_work,in_eq,A39,in_type,"Amélioratif",in_done,1,in_dnum,"&gt;="&amp;p_from,in_dnum,"&lt;="&amp;p_to))</f>
        <v/>
      </c>
      <c r="N39" s="131" t="str">
        <f>IF(OR(A39="",N(K39)+N(L39)+N(M39)=0),"",K39/(K39+L39+M39))</f>
        <v/>
      </c>
      <c r="O39" s="81" t="str">
        <f>IF(A39="","",SUMIFS(in_parts,in_eq,A39,in_done,1,in_dnum,"&gt;="&amp;p_from,in_dnum,"&lt;="&amp;p_to))</f>
        <v/>
      </c>
      <c r="P39" s="81" t="str">
        <f>IF(A39="","",SUMIFS(in_mo,in_eq,A39,in_done,1,in_dnum,"&gt;="&amp;p_from,in_dnum,"&lt;="&amp;p_to))</f>
        <v/>
      </c>
      <c r="Q39" s="81" t="str">
        <f>IF(A39="","",SUMIFS(in_other,in_eq,A39,in_done,1,in_dnum,"&gt;="&amp;p_from,in_dnum,"&lt;="&amp;p_to))</f>
        <v/>
      </c>
      <c r="R39" s="81" t="str">
        <f>IF(A39="","",SUMIFS(in_total,in_eq,A39,in_done,1,in_dnum,"&gt;="&amp;p_from,in_dnum,"&lt;="&amp;p_to))</f>
        <v/>
      </c>
      <c r="S39" s="67" t="str">
        <f>IF(A39="","",SUMIFS(in_work,in_eq,A39,in_type,"Correctif",in_done,1,in_dnum,"&gt;="&amp;p_from,in_dnum,"&lt;="&amp;p_to))</f>
        <v/>
      </c>
      <c r="T39" s="67" t="str">
        <f>IF(A39="","",SUMIFS(in_stop,in_eq,A39,in_type,"Correctif",in_done,1,in_dnum,"&gt;="&amp;p_from,in_dnum,"&lt;="&amp;p_to))</f>
        <v/>
      </c>
    </row>
    <row r="40">
      <c r="A40" s="67" t="str">
        <f>IF(INDEX(eq_code,29)="","",INDEX(eq_code,29)&amp;"")</f>
        <v/>
      </c>
      <c r="B40" s="67" t="str">
        <f>IF(A40="","",INDEX(eq_des,29)&amp;"")</f>
        <v/>
      </c>
      <c r="C40" s="79" t="str">
        <f>IF(A40="","",INDEX(eq_crit,29)&amp;"")</f>
        <v/>
      </c>
      <c r="D40" s="127" t="str">
        <f>IF(A40="","",IF(MAX(p_from,N(INDEX(eq_start,29)))&gt;p_to,0,ROUND(IF(AND(ISNUMBER(INDEX(eq_hours,29)),N(INDEX(eq_hours,29))&gt;0,N(INDEX(eq_hours,29))&lt;=24),INDEX(eq_hours,29),0)*IF(p_days="7 jours sur 7",p_to-MAX(p_from,N(INDEX(eq_start,29)))+1,NETWORKDAYS.INTL(MAX(p_from,N(INDEX(eq_start,29))),p_to,p_weekend,p_holidays)),2)))</f>
        <v/>
      </c>
      <c r="E40" s="128" t="str">
        <f>IF(A40="","",SUMIFS(in_stop,in_eq,A40,in_done,1,in_dnum,"&gt;="&amp;p_from,in_dnum,"&lt;="&amp;p_to))</f>
        <v/>
      </c>
      <c r="F40" s="129" t="str">
        <f>IF(A40="","",COUNTIFS(in_eq,A40,in_type,"Correctif",in_done,1,in_dnum,"&gt;="&amp;p_from,in_dnum,"&lt;="&amp;p_to))</f>
        <v/>
      </c>
      <c r="G40" s="130" t="str">
        <f>IF(OR(A40="",N(F40)=0),"",MAX(0,D40-E40)/F40)</f>
        <v/>
      </c>
      <c r="H40" s="81" t="str">
        <f>IF(OR(A40="",N(F40)=0),"",S40/F40)</f>
        <v/>
      </c>
      <c r="I40" s="81" t="str">
        <f>IF(OR(A40="",N(F40)=0),"",T40/F40)</f>
        <v/>
      </c>
      <c r="J40" s="131" t="str">
        <f>IF(OR(A40="",N(D40)=0),"",MAX(0,D40-E40)/D40)</f>
        <v/>
      </c>
      <c r="K40" s="128" t="str">
        <f>IF(A40="","",SUMIFS(in_work,in_eq,A40,in_type,"Préventif",in_done,1,in_dnum,"&gt;="&amp;p_from,in_dnum,"&lt;="&amp;p_to))</f>
        <v/>
      </c>
      <c r="L40" s="128" t="str">
        <f>IF(A40="","",SUMIFS(in_work,in_eq,A40,in_type,"Correctif",in_done,1,in_dnum,"&gt;="&amp;p_from,in_dnum,"&lt;="&amp;p_to))</f>
        <v/>
      </c>
      <c r="M40" s="128" t="str">
        <f>IF(A40="","",SUMIFS(in_work,in_eq,A40,in_type,"Amélioratif",in_done,1,in_dnum,"&gt;="&amp;p_from,in_dnum,"&lt;="&amp;p_to))</f>
        <v/>
      </c>
      <c r="N40" s="131" t="str">
        <f>IF(OR(A40="",N(K40)+N(L40)+N(M40)=0),"",K40/(K40+L40+M40))</f>
        <v/>
      </c>
      <c r="O40" s="81" t="str">
        <f>IF(A40="","",SUMIFS(in_parts,in_eq,A40,in_done,1,in_dnum,"&gt;="&amp;p_from,in_dnum,"&lt;="&amp;p_to))</f>
        <v/>
      </c>
      <c r="P40" s="81" t="str">
        <f>IF(A40="","",SUMIFS(in_mo,in_eq,A40,in_done,1,in_dnum,"&gt;="&amp;p_from,in_dnum,"&lt;="&amp;p_to))</f>
        <v/>
      </c>
      <c r="Q40" s="81" t="str">
        <f>IF(A40="","",SUMIFS(in_other,in_eq,A40,in_done,1,in_dnum,"&gt;="&amp;p_from,in_dnum,"&lt;="&amp;p_to))</f>
        <v/>
      </c>
      <c r="R40" s="81" t="str">
        <f>IF(A40="","",SUMIFS(in_total,in_eq,A40,in_done,1,in_dnum,"&gt;="&amp;p_from,in_dnum,"&lt;="&amp;p_to))</f>
        <v/>
      </c>
      <c r="S40" s="67" t="str">
        <f>IF(A40="","",SUMIFS(in_work,in_eq,A40,in_type,"Correctif",in_done,1,in_dnum,"&gt;="&amp;p_from,in_dnum,"&lt;="&amp;p_to))</f>
        <v/>
      </c>
      <c r="T40" s="67" t="str">
        <f>IF(A40="","",SUMIFS(in_stop,in_eq,A40,in_type,"Correctif",in_done,1,in_dnum,"&gt;="&amp;p_from,in_dnum,"&lt;="&amp;p_to))</f>
        <v/>
      </c>
    </row>
    <row r="41">
      <c r="A41" s="67" t="str">
        <f>IF(INDEX(eq_code,30)="","",INDEX(eq_code,30)&amp;"")</f>
        <v/>
      </c>
      <c r="B41" s="67" t="str">
        <f>IF(A41="","",INDEX(eq_des,30)&amp;"")</f>
        <v/>
      </c>
      <c r="C41" s="79" t="str">
        <f>IF(A41="","",INDEX(eq_crit,30)&amp;"")</f>
        <v/>
      </c>
      <c r="D41" s="127" t="str">
        <f>IF(A41="","",IF(MAX(p_from,N(INDEX(eq_start,30)))&gt;p_to,0,ROUND(IF(AND(ISNUMBER(INDEX(eq_hours,30)),N(INDEX(eq_hours,30))&gt;0,N(INDEX(eq_hours,30))&lt;=24),INDEX(eq_hours,30),0)*IF(p_days="7 jours sur 7",p_to-MAX(p_from,N(INDEX(eq_start,30)))+1,NETWORKDAYS.INTL(MAX(p_from,N(INDEX(eq_start,30))),p_to,p_weekend,p_holidays)),2)))</f>
        <v/>
      </c>
      <c r="E41" s="128" t="str">
        <f>IF(A41="","",SUMIFS(in_stop,in_eq,A41,in_done,1,in_dnum,"&gt;="&amp;p_from,in_dnum,"&lt;="&amp;p_to))</f>
        <v/>
      </c>
      <c r="F41" s="129" t="str">
        <f>IF(A41="","",COUNTIFS(in_eq,A41,in_type,"Correctif",in_done,1,in_dnum,"&gt;="&amp;p_from,in_dnum,"&lt;="&amp;p_to))</f>
        <v/>
      </c>
      <c r="G41" s="130" t="str">
        <f>IF(OR(A41="",N(F41)=0),"",MAX(0,D41-E41)/F41)</f>
        <v/>
      </c>
      <c r="H41" s="81" t="str">
        <f>IF(OR(A41="",N(F41)=0),"",S41/F41)</f>
        <v/>
      </c>
      <c r="I41" s="81" t="str">
        <f>IF(OR(A41="",N(F41)=0),"",T41/F41)</f>
        <v/>
      </c>
      <c r="J41" s="131" t="str">
        <f>IF(OR(A41="",N(D41)=0),"",MAX(0,D41-E41)/D41)</f>
        <v/>
      </c>
      <c r="K41" s="128" t="str">
        <f>IF(A41="","",SUMIFS(in_work,in_eq,A41,in_type,"Préventif",in_done,1,in_dnum,"&gt;="&amp;p_from,in_dnum,"&lt;="&amp;p_to))</f>
        <v/>
      </c>
      <c r="L41" s="128" t="str">
        <f>IF(A41="","",SUMIFS(in_work,in_eq,A41,in_type,"Correctif",in_done,1,in_dnum,"&gt;="&amp;p_from,in_dnum,"&lt;="&amp;p_to))</f>
        <v/>
      </c>
      <c r="M41" s="128" t="str">
        <f>IF(A41="","",SUMIFS(in_work,in_eq,A41,in_type,"Amélioratif",in_done,1,in_dnum,"&gt;="&amp;p_from,in_dnum,"&lt;="&amp;p_to))</f>
        <v/>
      </c>
      <c r="N41" s="131" t="str">
        <f>IF(OR(A41="",N(K41)+N(L41)+N(M41)=0),"",K41/(K41+L41+M41))</f>
        <v/>
      </c>
      <c r="O41" s="81" t="str">
        <f>IF(A41="","",SUMIFS(in_parts,in_eq,A41,in_done,1,in_dnum,"&gt;="&amp;p_from,in_dnum,"&lt;="&amp;p_to))</f>
        <v/>
      </c>
      <c r="P41" s="81" t="str">
        <f>IF(A41="","",SUMIFS(in_mo,in_eq,A41,in_done,1,in_dnum,"&gt;="&amp;p_from,in_dnum,"&lt;="&amp;p_to))</f>
        <v/>
      </c>
      <c r="Q41" s="81" t="str">
        <f>IF(A41="","",SUMIFS(in_other,in_eq,A41,in_done,1,in_dnum,"&gt;="&amp;p_from,in_dnum,"&lt;="&amp;p_to))</f>
        <v/>
      </c>
      <c r="R41" s="81" t="str">
        <f>IF(A41="","",SUMIFS(in_total,in_eq,A41,in_done,1,in_dnum,"&gt;="&amp;p_from,in_dnum,"&lt;="&amp;p_to))</f>
        <v/>
      </c>
      <c r="S41" s="67" t="str">
        <f>IF(A41="","",SUMIFS(in_work,in_eq,A41,in_type,"Correctif",in_done,1,in_dnum,"&gt;="&amp;p_from,in_dnum,"&lt;="&amp;p_to))</f>
        <v/>
      </c>
      <c r="T41" s="67" t="str">
        <f>IF(A41="","",SUMIFS(in_stop,in_eq,A41,in_type,"Correctif",in_done,1,in_dnum,"&gt;="&amp;p_from,in_dnum,"&lt;="&amp;p_to))</f>
        <v/>
      </c>
    </row>
    <row r="42">
      <c r="A42" s="67" t="str">
        <f>IF(INDEX(eq_code,31)="","",INDEX(eq_code,31)&amp;"")</f>
        <v/>
      </c>
      <c r="B42" s="67" t="str">
        <f>IF(A42="","",INDEX(eq_des,31)&amp;"")</f>
        <v/>
      </c>
      <c r="C42" s="79" t="str">
        <f>IF(A42="","",INDEX(eq_crit,31)&amp;"")</f>
        <v/>
      </c>
      <c r="D42" s="127" t="str">
        <f>IF(A42="","",IF(MAX(p_from,N(INDEX(eq_start,31)))&gt;p_to,0,ROUND(IF(AND(ISNUMBER(INDEX(eq_hours,31)),N(INDEX(eq_hours,31))&gt;0,N(INDEX(eq_hours,31))&lt;=24),INDEX(eq_hours,31),0)*IF(p_days="7 jours sur 7",p_to-MAX(p_from,N(INDEX(eq_start,31)))+1,NETWORKDAYS.INTL(MAX(p_from,N(INDEX(eq_start,31))),p_to,p_weekend,p_holidays)),2)))</f>
        <v/>
      </c>
      <c r="E42" s="128" t="str">
        <f>IF(A42="","",SUMIFS(in_stop,in_eq,A42,in_done,1,in_dnum,"&gt;="&amp;p_from,in_dnum,"&lt;="&amp;p_to))</f>
        <v/>
      </c>
      <c r="F42" s="129" t="str">
        <f>IF(A42="","",COUNTIFS(in_eq,A42,in_type,"Correctif",in_done,1,in_dnum,"&gt;="&amp;p_from,in_dnum,"&lt;="&amp;p_to))</f>
        <v/>
      </c>
      <c r="G42" s="130" t="str">
        <f>IF(OR(A42="",N(F42)=0),"",MAX(0,D42-E42)/F42)</f>
        <v/>
      </c>
      <c r="H42" s="81" t="str">
        <f>IF(OR(A42="",N(F42)=0),"",S42/F42)</f>
        <v/>
      </c>
      <c r="I42" s="81" t="str">
        <f>IF(OR(A42="",N(F42)=0),"",T42/F42)</f>
        <v/>
      </c>
      <c r="J42" s="131" t="str">
        <f>IF(OR(A42="",N(D42)=0),"",MAX(0,D42-E42)/D42)</f>
        <v/>
      </c>
      <c r="K42" s="128" t="str">
        <f>IF(A42="","",SUMIFS(in_work,in_eq,A42,in_type,"Préventif",in_done,1,in_dnum,"&gt;="&amp;p_from,in_dnum,"&lt;="&amp;p_to))</f>
        <v/>
      </c>
      <c r="L42" s="128" t="str">
        <f>IF(A42="","",SUMIFS(in_work,in_eq,A42,in_type,"Correctif",in_done,1,in_dnum,"&gt;="&amp;p_from,in_dnum,"&lt;="&amp;p_to))</f>
        <v/>
      </c>
      <c r="M42" s="128" t="str">
        <f>IF(A42="","",SUMIFS(in_work,in_eq,A42,in_type,"Amélioratif",in_done,1,in_dnum,"&gt;="&amp;p_from,in_dnum,"&lt;="&amp;p_to))</f>
        <v/>
      </c>
      <c r="N42" s="131" t="str">
        <f>IF(OR(A42="",N(K42)+N(L42)+N(M42)=0),"",K42/(K42+L42+M42))</f>
        <v/>
      </c>
      <c r="O42" s="81" t="str">
        <f>IF(A42="","",SUMIFS(in_parts,in_eq,A42,in_done,1,in_dnum,"&gt;="&amp;p_from,in_dnum,"&lt;="&amp;p_to))</f>
        <v/>
      </c>
      <c r="P42" s="81" t="str">
        <f>IF(A42="","",SUMIFS(in_mo,in_eq,A42,in_done,1,in_dnum,"&gt;="&amp;p_from,in_dnum,"&lt;="&amp;p_to))</f>
        <v/>
      </c>
      <c r="Q42" s="81" t="str">
        <f>IF(A42="","",SUMIFS(in_other,in_eq,A42,in_done,1,in_dnum,"&gt;="&amp;p_from,in_dnum,"&lt;="&amp;p_to))</f>
        <v/>
      </c>
      <c r="R42" s="81" t="str">
        <f>IF(A42="","",SUMIFS(in_total,in_eq,A42,in_done,1,in_dnum,"&gt;="&amp;p_from,in_dnum,"&lt;="&amp;p_to))</f>
        <v/>
      </c>
      <c r="S42" s="67" t="str">
        <f>IF(A42="","",SUMIFS(in_work,in_eq,A42,in_type,"Correctif",in_done,1,in_dnum,"&gt;="&amp;p_from,in_dnum,"&lt;="&amp;p_to))</f>
        <v/>
      </c>
      <c r="T42" s="67" t="str">
        <f>IF(A42="","",SUMIFS(in_stop,in_eq,A42,in_type,"Correctif",in_done,1,in_dnum,"&gt;="&amp;p_from,in_dnum,"&lt;="&amp;p_to))</f>
        <v/>
      </c>
    </row>
    <row r="43">
      <c r="A43" s="67" t="str">
        <f>IF(INDEX(eq_code,32)="","",INDEX(eq_code,32)&amp;"")</f>
        <v/>
      </c>
      <c r="B43" s="67" t="str">
        <f>IF(A43="","",INDEX(eq_des,32)&amp;"")</f>
        <v/>
      </c>
      <c r="C43" s="79" t="str">
        <f>IF(A43="","",INDEX(eq_crit,32)&amp;"")</f>
        <v/>
      </c>
      <c r="D43" s="127" t="str">
        <f>IF(A43="","",IF(MAX(p_from,N(INDEX(eq_start,32)))&gt;p_to,0,ROUND(IF(AND(ISNUMBER(INDEX(eq_hours,32)),N(INDEX(eq_hours,32))&gt;0,N(INDEX(eq_hours,32))&lt;=24),INDEX(eq_hours,32),0)*IF(p_days="7 jours sur 7",p_to-MAX(p_from,N(INDEX(eq_start,32)))+1,NETWORKDAYS.INTL(MAX(p_from,N(INDEX(eq_start,32))),p_to,p_weekend,p_holidays)),2)))</f>
        <v/>
      </c>
      <c r="E43" s="128" t="str">
        <f>IF(A43="","",SUMIFS(in_stop,in_eq,A43,in_done,1,in_dnum,"&gt;="&amp;p_from,in_dnum,"&lt;="&amp;p_to))</f>
        <v/>
      </c>
      <c r="F43" s="129" t="str">
        <f>IF(A43="","",COUNTIFS(in_eq,A43,in_type,"Correctif",in_done,1,in_dnum,"&gt;="&amp;p_from,in_dnum,"&lt;="&amp;p_to))</f>
        <v/>
      </c>
      <c r="G43" s="130" t="str">
        <f>IF(OR(A43="",N(F43)=0),"",MAX(0,D43-E43)/F43)</f>
        <v/>
      </c>
      <c r="H43" s="81" t="str">
        <f>IF(OR(A43="",N(F43)=0),"",S43/F43)</f>
        <v/>
      </c>
      <c r="I43" s="81" t="str">
        <f>IF(OR(A43="",N(F43)=0),"",T43/F43)</f>
        <v/>
      </c>
      <c r="J43" s="131" t="str">
        <f>IF(OR(A43="",N(D43)=0),"",MAX(0,D43-E43)/D43)</f>
        <v/>
      </c>
      <c r="K43" s="128" t="str">
        <f>IF(A43="","",SUMIFS(in_work,in_eq,A43,in_type,"Préventif",in_done,1,in_dnum,"&gt;="&amp;p_from,in_dnum,"&lt;="&amp;p_to))</f>
        <v/>
      </c>
      <c r="L43" s="128" t="str">
        <f>IF(A43="","",SUMIFS(in_work,in_eq,A43,in_type,"Correctif",in_done,1,in_dnum,"&gt;="&amp;p_from,in_dnum,"&lt;="&amp;p_to))</f>
        <v/>
      </c>
      <c r="M43" s="128" t="str">
        <f>IF(A43="","",SUMIFS(in_work,in_eq,A43,in_type,"Amélioratif",in_done,1,in_dnum,"&gt;="&amp;p_from,in_dnum,"&lt;="&amp;p_to))</f>
        <v/>
      </c>
      <c r="N43" s="131" t="str">
        <f>IF(OR(A43="",N(K43)+N(L43)+N(M43)=0),"",K43/(K43+L43+M43))</f>
        <v/>
      </c>
      <c r="O43" s="81" t="str">
        <f>IF(A43="","",SUMIFS(in_parts,in_eq,A43,in_done,1,in_dnum,"&gt;="&amp;p_from,in_dnum,"&lt;="&amp;p_to))</f>
        <v/>
      </c>
      <c r="P43" s="81" t="str">
        <f>IF(A43="","",SUMIFS(in_mo,in_eq,A43,in_done,1,in_dnum,"&gt;="&amp;p_from,in_dnum,"&lt;="&amp;p_to))</f>
        <v/>
      </c>
      <c r="Q43" s="81" t="str">
        <f>IF(A43="","",SUMIFS(in_other,in_eq,A43,in_done,1,in_dnum,"&gt;="&amp;p_from,in_dnum,"&lt;="&amp;p_to))</f>
        <v/>
      </c>
      <c r="R43" s="81" t="str">
        <f>IF(A43="","",SUMIFS(in_total,in_eq,A43,in_done,1,in_dnum,"&gt;="&amp;p_from,in_dnum,"&lt;="&amp;p_to))</f>
        <v/>
      </c>
      <c r="S43" s="67" t="str">
        <f>IF(A43="","",SUMIFS(in_work,in_eq,A43,in_type,"Correctif",in_done,1,in_dnum,"&gt;="&amp;p_from,in_dnum,"&lt;="&amp;p_to))</f>
        <v/>
      </c>
      <c r="T43" s="67" t="str">
        <f>IF(A43="","",SUMIFS(in_stop,in_eq,A43,in_type,"Correctif",in_done,1,in_dnum,"&gt;="&amp;p_from,in_dnum,"&lt;="&amp;p_to))</f>
        <v/>
      </c>
    </row>
    <row r="44">
      <c r="A44" s="67" t="str">
        <f>IF(INDEX(eq_code,33)="","",INDEX(eq_code,33)&amp;"")</f>
        <v/>
      </c>
      <c r="B44" s="67" t="str">
        <f>IF(A44="","",INDEX(eq_des,33)&amp;"")</f>
        <v/>
      </c>
      <c r="C44" s="79" t="str">
        <f>IF(A44="","",INDEX(eq_crit,33)&amp;"")</f>
        <v/>
      </c>
      <c r="D44" s="127" t="str">
        <f>IF(A44="","",IF(MAX(p_from,N(INDEX(eq_start,33)))&gt;p_to,0,ROUND(IF(AND(ISNUMBER(INDEX(eq_hours,33)),N(INDEX(eq_hours,33))&gt;0,N(INDEX(eq_hours,33))&lt;=24),INDEX(eq_hours,33),0)*IF(p_days="7 jours sur 7",p_to-MAX(p_from,N(INDEX(eq_start,33)))+1,NETWORKDAYS.INTL(MAX(p_from,N(INDEX(eq_start,33))),p_to,p_weekend,p_holidays)),2)))</f>
        <v/>
      </c>
      <c r="E44" s="128" t="str">
        <f>IF(A44="","",SUMIFS(in_stop,in_eq,A44,in_done,1,in_dnum,"&gt;="&amp;p_from,in_dnum,"&lt;="&amp;p_to))</f>
        <v/>
      </c>
      <c r="F44" s="129" t="str">
        <f>IF(A44="","",COUNTIFS(in_eq,A44,in_type,"Correctif",in_done,1,in_dnum,"&gt;="&amp;p_from,in_dnum,"&lt;="&amp;p_to))</f>
        <v/>
      </c>
      <c r="G44" s="130" t="str">
        <f>IF(OR(A44="",N(F44)=0),"",MAX(0,D44-E44)/F44)</f>
        <v/>
      </c>
      <c r="H44" s="81" t="str">
        <f>IF(OR(A44="",N(F44)=0),"",S44/F44)</f>
        <v/>
      </c>
      <c r="I44" s="81" t="str">
        <f>IF(OR(A44="",N(F44)=0),"",T44/F44)</f>
        <v/>
      </c>
      <c r="J44" s="131" t="str">
        <f>IF(OR(A44="",N(D44)=0),"",MAX(0,D44-E44)/D44)</f>
        <v/>
      </c>
      <c r="K44" s="128" t="str">
        <f>IF(A44="","",SUMIFS(in_work,in_eq,A44,in_type,"Préventif",in_done,1,in_dnum,"&gt;="&amp;p_from,in_dnum,"&lt;="&amp;p_to))</f>
        <v/>
      </c>
      <c r="L44" s="128" t="str">
        <f>IF(A44="","",SUMIFS(in_work,in_eq,A44,in_type,"Correctif",in_done,1,in_dnum,"&gt;="&amp;p_from,in_dnum,"&lt;="&amp;p_to))</f>
        <v/>
      </c>
      <c r="M44" s="128" t="str">
        <f>IF(A44="","",SUMIFS(in_work,in_eq,A44,in_type,"Amélioratif",in_done,1,in_dnum,"&gt;="&amp;p_from,in_dnum,"&lt;="&amp;p_to))</f>
        <v/>
      </c>
      <c r="N44" s="131" t="str">
        <f>IF(OR(A44="",N(K44)+N(L44)+N(M44)=0),"",K44/(K44+L44+M44))</f>
        <v/>
      </c>
      <c r="O44" s="81" t="str">
        <f>IF(A44="","",SUMIFS(in_parts,in_eq,A44,in_done,1,in_dnum,"&gt;="&amp;p_from,in_dnum,"&lt;="&amp;p_to))</f>
        <v/>
      </c>
      <c r="P44" s="81" t="str">
        <f>IF(A44="","",SUMIFS(in_mo,in_eq,A44,in_done,1,in_dnum,"&gt;="&amp;p_from,in_dnum,"&lt;="&amp;p_to))</f>
        <v/>
      </c>
      <c r="Q44" s="81" t="str">
        <f>IF(A44="","",SUMIFS(in_other,in_eq,A44,in_done,1,in_dnum,"&gt;="&amp;p_from,in_dnum,"&lt;="&amp;p_to))</f>
        <v/>
      </c>
      <c r="R44" s="81" t="str">
        <f>IF(A44="","",SUMIFS(in_total,in_eq,A44,in_done,1,in_dnum,"&gt;="&amp;p_from,in_dnum,"&lt;="&amp;p_to))</f>
        <v/>
      </c>
      <c r="S44" s="67" t="str">
        <f>IF(A44="","",SUMIFS(in_work,in_eq,A44,in_type,"Correctif",in_done,1,in_dnum,"&gt;="&amp;p_from,in_dnum,"&lt;="&amp;p_to))</f>
        <v/>
      </c>
      <c r="T44" s="67" t="str">
        <f>IF(A44="","",SUMIFS(in_stop,in_eq,A44,in_type,"Correctif",in_done,1,in_dnum,"&gt;="&amp;p_from,in_dnum,"&lt;="&amp;p_to))</f>
        <v/>
      </c>
    </row>
    <row r="45">
      <c r="A45" s="67" t="str">
        <f>IF(INDEX(eq_code,34)="","",INDEX(eq_code,34)&amp;"")</f>
        <v/>
      </c>
      <c r="B45" s="67" t="str">
        <f>IF(A45="","",INDEX(eq_des,34)&amp;"")</f>
        <v/>
      </c>
      <c r="C45" s="79" t="str">
        <f>IF(A45="","",INDEX(eq_crit,34)&amp;"")</f>
        <v/>
      </c>
      <c r="D45" s="127" t="str">
        <f>IF(A45="","",IF(MAX(p_from,N(INDEX(eq_start,34)))&gt;p_to,0,ROUND(IF(AND(ISNUMBER(INDEX(eq_hours,34)),N(INDEX(eq_hours,34))&gt;0,N(INDEX(eq_hours,34))&lt;=24),INDEX(eq_hours,34),0)*IF(p_days="7 jours sur 7",p_to-MAX(p_from,N(INDEX(eq_start,34)))+1,NETWORKDAYS.INTL(MAX(p_from,N(INDEX(eq_start,34))),p_to,p_weekend,p_holidays)),2)))</f>
        <v/>
      </c>
      <c r="E45" s="128" t="str">
        <f>IF(A45="","",SUMIFS(in_stop,in_eq,A45,in_done,1,in_dnum,"&gt;="&amp;p_from,in_dnum,"&lt;="&amp;p_to))</f>
        <v/>
      </c>
      <c r="F45" s="129" t="str">
        <f>IF(A45="","",COUNTIFS(in_eq,A45,in_type,"Correctif",in_done,1,in_dnum,"&gt;="&amp;p_from,in_dnum,"&lt;="&amp;p_to))</f>
        <v/>
      </c>
      <c r="G45" s="130" t="str">
        <f>IF(OR(A45="",N(F45)=0),"",MAX(0,D45-E45)/F45)</f>
        <v/>
      </c>
      <c r="H45" s="81" t="str">
        <f>IF(OR(A45="",N(F45)=0),"",S45/F45)</f>
        <v/>
      </c>
      <c r="I45" s="81" t="str">
        <f>IF(OR(A45="",N(F45)=0),"",T45/F45)</f>
        <v/>
      </c>
      <c r="J45" s="131" t="str">
        <f>IF(OR(A45="",N(D45)=0),"",MAX(0,D45-E45)/D45)</f>
        <v/>
      </c>
      <c r="K45" s="128" t="str">
        <f>IF(A45="","",SUMIFS(in_work,in_eq,A45,in_type,"Préventif",in_done,1,in_dnum,"&gt;="&amp;p_from,in_dnum,"&lt;="&amp;p_to))</f>
        <v/>
      </c>
      <c r="L45" s="128" t="str">
        <f>IF(A45="","",SUMIFS(in_work,in_eq,A45,in_type,"Correctif",in_done,1,in_dnum,"&gt;="&amp;p_from,in_dnum,"&lt;="&amp;p_to))</f>
        <v/>
      </c>
      <c r="M45" s="128" t="str">
        <f>IF(A45="","",SUMIFS(in_work,in_eq,A45,in_type,"Amélioratif",in_done,1,in_dnum,"&gt;="&amp;p_from,in_dnum,"&lt;="&amp;p_to))</f>
        <v/>
      </c>
      <c r="N45" s="131" t="str">
        <f>IF(OR(A45="",N(K45)+N(L45)+N(M45)=0),"",K45/(K45+L45+M45))</f>
        <v/>
      </c>
      <c r="O45" s="81" t="str">
        <f>IF(A45="","",SUMIFS(in_parts,in_eq,A45,in_done,1,in_dnum,"&gt;="&amp;p_from,in_dnum,"&lt;="&amp;p_to))</f>
        <v/>
      </c>
      <c r="P45" s="81" t="str">
        <f>IF(A45="","",SUMIFS(in_mo,in_eq,A45,in_done,1,in_dnum,"&gt;="&amp;p_from,in_dnum,"&lt;="&amp;p_to))</f>
        <v/>
      </c>
      <c r="Q45" s="81" t="str">
        <f>IF(A45="","",SUMIFS(in_other,in_eq,A45,in_done,1,in_dnum,"&gt;="&amp;p_from,in_dnum,"&lt;="&amp;p_to))</f>
        <v/>
      </c>
      <c r="R45" s="81" t="str">
        <f>IF(A45="","",SUMIFS(in_total,in_eq,A45,in_done,1,in_dnum,"&gt;="&amp;p_from,in_dnum,"&lt;="&amp;p_to))</f>
        <v/>
      </c>
      <c r="S45" s="67" t="str">
        <f>IF(A45="","",SUMIFS(in_work,in_eq,A45,in_type,"Correctif",in_done,1,in_dnum,"&gt;="&amp;p_from,in_dnum,"&lt;="&amp;p_to))</f>
        <v/>
      </c>
      <c r="T45" s="67" t="str">
        <f>IF(A45="","",SUMIFS(in_stop,in_eq,A45,in_type,"Correctif",in_done,1,in_dnum,"&gt;="&amp;p_from,in_dnum,"&lt;="&amp;p_to))</f>
        <v/>
      </c>
    </row>
    <row r="46">
      <c r="A46" s="67" t="str">
        <f>IF(INDEX(eq_code,35)="","",INDEX(eq_code,35)&amp;"")</f>
        <v/>
      </c>
      <c r="B46" s="67" t="str">
        <f>IF(A46="","",INDEX(eq_des,35)&amp;"")</f>
        <v/>
      </c>
      <c r="C46" s="79" t="str">
        <f>IF(A46="","",INDEX(eq_crit,35)&amp;"")</f>
        <v/>
      </c>
      <c r="D46" s="127" t="str">
        <f>IF(A46="","",IF(MAX(p_from,N(INDEX(eq_start,35)))&gt;p_to,0,ROUND(IF(AND(ISNUMBER(INDEX(eq_hours,35)),N(INDEX(eq_hours,35))&gt;0,N(INDEX(eq_hours,35))&lt;=24),INDEX(eq_hours,35),0)*IF(p_days="7 jours sur 7",p_to-MAX(p_from,N(INDEX(eq_start,35)))+1,NETWORKDAYS.INTL(MAX(p_from,N(INDEX(eq_start,35))),p_to,p_weekend,p_holidays)),2)))</f>
        <v/>
      </c>
      <c r="E46" s="128" t="str">
        <f>IF(A46="","",SUMIFS(in_stop,in_eq,A46,in_done,1,in_dnum,"&gt;="&amp;p_from,in_dnum,"&lt;="&amp;p_to))</f>
        <v/>
      </c>
      <c r="F46" s="129" t="str">
        <f>IF(A46="","",COUNTIFS(in_eq,A46,in_type,"Correctif",in_done,1,in_dnum,"&gt;="&amp;p_from,in_dnum,"&lt;="&amp;p_to))</f>
        <v/>
      </c>
      <c r="G46" s="130" t="str">
        <f>IF(OR(A46="",N(F46)=0),"",MAX(0,D46-E46)/F46)</f>
        <v/>
      </c>
      <c r="H46" s="81" t="str">
        <f>IF(OR(A46="",N(F46)=0),"",S46/F46)</f>
        <v/>
      </c>
      <c r="I46" s="81" t="str">
        <f>IF(OR(A46="",N(F46)=0),"",T46/F46)</f>
        <v/>
      </c>
      <c r="J46" s="131" t="str">
        <f>IF(OR(A46="",N(D46)=0),"",MAX(0,D46-E46)/D46)</f>
        <v/>
      </c>
      <c r="K46" s="128" t="str">
        <f>IF(A46="","",SUMIFS(in_work,in_eq,A46,in_type,"Préventif",in_done,1,in_dnum,"&gt;="&amp;p_from,in_dnum,"&lt;="&amp;p_to))</f>
        <v/>
      </c>
      <c r="L46" s="128" t="str">
        <f>IF(A46="","",SUMIFS(in_work,in_eq,A46,in_type,"Correctif",in_done,1,in_dnum,"&gt;="&amp;p_from,in_dnum,"&lt;="&amp;p_to))</f>
        <v/>
      </c>
      <c r="M46" s="128" t="str">
        <f>IF(A46="","",SUMIFS(in_work,in_eq,A46,in_type,"Amélioratif",in_done,1,in_dnum,"&gt;="&amp;p_from,in_dnum,"&lt;="&amp;p_to))</f>
        <v/>
      </c>
      <c r="N46" s="131" t="str">
        <f>IF(OR(A46="",N(K46)+N(L46)+N(M46)=0),"",K46/(K46+L46+M46))</f>
        <v/>
      </c>
      <c r="O46" s="81" t="str">
        <f>IF(A46="","",SUMIFS(in_parts,in_eq,A46,in_done,1,in_dnum,"&gt;="&amp;p_from,in_dnum,"&lt;="&amp;p_to))</f>
        <v/>
      </c>
      <c r="P46" s="81" t="str">
        <f>IF(A46="","",SUMIFS(in_mo,in_eq,A46,in_done,1,in_dnum,"&gt;="&amp;p_from,in_dnum,"&lt;="&amp;p_to))</f>
        <v/>
      </c>
      <c r="Q46" s="81" t="str">
        <f>IF(A46="","",SUMIFS(in_other,in_eq,A46,in_done,1,in_dnum,"&gt;="&amp;p_from,in_dnum,"&lt;="&amp;p_to))</f>
        <v/>
      </c>
      <c r="R46" s="81" t="str">
        <f>IF(A46="","",SUMIFS(in_total,in_eq,A46,in_done,1,in_dnum,"&gt;="&amp;p_from,in_dnum,"&lt;="&amp;p_to))</f>
        <v/>
      </c>
      <c r="S46" s="67" t="str">
        <f>IF(A46="","",SUMIFS(in_work,in_eq,A46,in_type,"Correctif",in_done,1,in_dnum,"&gt;="&amp;p_from,in_dnum,"&lt;="&amp;p_to))</f>
        <v/>
      </c>
      <c r="T46" s="67" t="str">
        <f>IF(A46="","",SUMIFS(in_stop,in_eq,A46,in_type,"Correctif",in_done,1,in_dnum,"&gt;="&amp;p_from,in_dnum,"&lt;="&amp;p_to))</f>
        <v/>
      </c>
    </row>
    <row r="47">
      <c r="A47" s="67" t="str">
        <f>IF(INDEX(eq_code,36)="","",INDEX(eq_code,36)&amp;"")</f>
        <v/>
      </c>
      <c r="B47" s="67" t="str">
        <f>IF(A47="","",INDEX(eq_des,36)&amp;"")</f>
        <v/>
      </c>
      <c r="C47" s="79" t="str">
        <f>IF(A47="","",INDEX(eq_crit,36)&amp;"")</f>
        <v/>
      </c>
      <c r="D47" s="127" t="str">
        <f>IF(A47="","",IF(MAX(p_from,N(INDEX(eq_start,36)))&gt;p_to,0,ROUND(IF(AND(ISNUMBER(INDEX(eq_hours,36)),N(INDEX(eq_hours,36))&gt;0,N(INDEX(eq_hours,36))&lt;=24),INDEX(eq_hours,36),0)*IF(p_days="7 jours sur 7",p_to-MAX(p_from,N(INDEX(eq_start,36)))+1,NETWORKDAYS.INTL(MAX(p_from,N(INDEX(eq_start,36))),p_to,p_weekend,p_holidays)),2)))</f>
        <v/>
      </c>
      <c r="E47" s="128" t="str">
        <f>IF(A47="","",SUMIFS(in_stop,in_eq,A47,in_done,1,in_dnum,"&gt;="&amp;p_from,in_dnum,"&lt;="&amp;p_to))</f>
        <v/>
      </c>
      <c r="F47" s="129" t="str">
        <f>IF(A47="","",COUNTIFS(in_eq,A47,in_type,"Correctif",in_done,1,in_dnum,"&gt;="&amp;p_from,in_dnum,"&lt;="&amp;p_to))</f>
        <v/>
      </c>
      <c r="G47" s="130" t="str">
        <f>IF(OR(A47="",N(F47)=0),"",MAX(0,D47-E47)/F47)</f>
        <v/>
      </c>
      <c r="H47" s="81" t="str">
        <f>IF(OR(A47="",N(F47)=0),"",S47/F47)</f>
        <v/>
      </c>
      <c r="I47" s="81" t="str">
        <f>IF(OR(A47="",N(F47)=0),"",T47/F47)</f>
        <v/>
      </c>
      <c r="J47" s="131" t="str">
        <f>IF(OR(A47="",N(D47)=0),"",MAX(0,D47-E47)/D47)</f>
        <v/>
      </c>
      <c r="K47" s="128" t="str">
        <f>IF(A47="","",SUMIFS(in_work,in_eq,A47,in_type,"Préventif",in_done,1,in_dnum,"&gt;="&amp;p_from,in_dnum,"&lt;="&amp;p_to))</f>
        <v/>
      </c>
      <c r="L47" s="128" t="str">
        <f>IF(A47="","",SUMIFS(in_work,in_eq,A47,in_type,"Correctif",in_done,1,in_dnum,"&gt;="&amp;p_from,in_dnum,"&lt;="&amp;p_to))</f>
        <v/>
      </c>
      <c r="M47" s="128" t="str">
        <f>IF(A47="","",SUMIFS(in_work,in_eq,A47,in_type,"Amélioratif",in_done,1,in_dnum,"&gt;="&amp;p_from,in_dnum,"&lt;="&amp;p_to))</f>
        <v/>
      </c>
      <c r="N47" s="131" t="str">
        <f>IF(OR(A47="",N(K47)+N(L47)+N(M47)=0),"",K47/(K47+L47+M47))</f>
        <v/>
      </c>
      <c r="O47" s="81" t="str">
        <f>IF(A47="","",SUMIFS(in_parts,in_eq,A47,in_done,1,in_dnum,"&gt;="&amp;p_from,in_dnum,"&lt;="&amp;p_to))</f>
        <v/>
      </c>
      <c r="P47" s="81" t="str">
        <f>IF(A47="","",SUMIFS(in_mo,in_eq,A47,in_done,1,in_dnum,"&gt;="&amp;p_from,in_dnum,"&lt;="&amp;p_to))</f>
        <v/>
      </c>
      <c r="Q47" s="81" t="str">
        <f>IF(A47="","",SUMIFS(in_other,in_eq,A47,in_done,1,in_dnum,"&gt;="&amp;p_from,in_dnum,"&lt;="&amp;p_to))</f>
        <v/>
      </c>
      <c r="R47" s="81" t="str">
        <f>IF(A47="","",SUMIFS(in_total,in_eq,A47,in_done,1,in_dnum,"&gt;="&amp;p_from,in_dnum,"&lt;="&amp;p_to))</f>
        <v/>
      </c>
      <c r="S47" s="67" t="str">
        <f>IF(A47="","",SUMIFS(in_work,in_eq,A47,in_type,"Correctif",in_done,1,in_dnum,"&gt;="&amp;p_from,in_dnum,"&lt;="&amp;p_to))</f>
        <v/>
      </c>
      <c r="T47" s="67" t="str">
        <f>IF(A47="","",SUMIFS(in_stop,in_eq,A47,in_type,"Correctif",in_done,1,in_dnum,"&gt;="&amp;p_from,in_dnum,"&lt;="&amp;p_to))</f>
        <v/>
      </c>
    </row>
    <row r="48">
      <c r="A48" s="67" t="str">
        <f>IF(INDEX(eq_code,37)="","",INDEX(eq_code,37)&amp;"")</f>
        <v/>
      </c>
      <c r="B48" s="67" t="str">
        <f>IF(A48="","",INDEX(eq_des,37)&amp;"")</f>
        <v/>
      </c>
      <c r="C48" s="79" t="str">
        <f>IF(A48="","",INDEX(eq_crit,37)&amp;"")</f>
        <v/>
      </c>
      <c r="D48" s="127" t="str">
        <f>IF(A48="","",IF(MAX(p_from,N(INDEX(eq_start,37)))&gt;p_to,0,ROUND(IF(AND(ISNUMBER(INDEX(eq_hours,37)),N(INDEX(eq_hours,37))&gt;0,N(INDEX(eq_hours,37))&lt;=24),INDEX(eq_hours,37),0)*IF(p_days="7 jours sur 7",p_to-MAX(p_from,N(INDEX(eq_start,37)))+1,NETWORKDAYS.INTL(MAX(p_from,N(INDEX(eq_start,37))),p_to,p_weekend,p_holidays)),2)))</f>
        <v/>
      </c>
      <c r="E48" s="128" t="str">
        <f>IF(A48="","",SUMIFS(in_stop,in_eq,A48,in_done,1,in_dnum,"&gt;="&amp;p_from,in_dnum,"&lt;="&amp;p_to))</f>
        <v/>
      </c>
      <c r="F48" s="129" t="str">
        <f>IF(A48="","",COUNTIFS(in_eq,A48,in_type,"Correctif",in_done,1,in_dnum,"&gt;="&amp;p_from,in_dnum,"&lt;="&amp;p_to))</f>
        <v/>
      </c>
      <c r="G48" s="130" t="str">
        <f>IF(OR(A48="",N(F48)=0),"",MAX(0,D48-E48)/F48)</f>
        <v/>
      </c>
      <c r="H48" s="81" t="str">
        <f>IF(OR(A48="",N(F48)=0),"",S48/F48)</f>
        <v/>
      </c>
      <c r="I48" s="81" t="str">
        <f>IF(OR(A48="",N(F48)=0),"",T48/F48)</f>
        <v/>
      </c>
      <c r="J48" s="131" t="str">
        <f>IF(OR(A48="",N(D48)=0),"",MAX(0,D48-E48)/D48)</f>
        <v/>
      </c>
      <c r="K48" s="128" t="str">
        <f>IF(A48="","",SUMIFS(in_work,in_eq,A48,in_type,"Préventif",in_done,1,in_dnum,"&gt;="&amp;p_from,in_dnum,"&lt;="&amp;p_to))</f>
        <v/>
      </c>
      <c r="L48" s="128" t="str">
        <f>IF(A48="","",SUMIFS(in_work,in_eq,A48,in_type,"Correctif",in_done,1,in_dnum,"&gt;="&amp;p_from,in_dnum,"&lt;="&amp;p_to))</f>
        <v/>
      </c>
      <c r="M48" s="128" t="str">
        <f>IF(A48="","",SUMIFS(in_work,in_eq,A48,in_type,"Amélioratif",in_done,1,in_dnum,"&gt;="&amp;p_from,in_dnum,"&lt;="&amp;p_to))</f>
        <v/>
      </c>
      <c r="N48" s="131" t="str">
        <f>IF(OR(A48="",N(K48)+N(L48)+N(M48)=0),"",K48/(K48+L48+M48))</f>
        <v/>
      </c>
      <c r="O48" s="81" t="str">
        <f>IF(A48="","",SUMIFS(in_parts,in_eq,A48,in_done,1,in_dnum,"&gt;="&amp;p_from,in_dnum,"&lt;="&amp;p_to))</f>
        <v/>
      </c>
      <c r="P48" s="81" t="str">
        <f>IF(A48="","",SUMIFS(in_mo,in_eq,A48,in_done,1,in_dnum,"&gt;="&amp;p_from,in_dnum,"&lt;="&amp;p_to))</f>
        <v/>
      </c>
      <c r="Q48" s="81" t="str">
        <f>IF(A48="","",SUMIFS(in_other,in_eq,A48,in_done,1,in_dnum,"&gt;="&amp;p_from,in_dnum,"&lt;="&amp;p_to))</f>
        <v/>
      </c>
      <c r="R48" s="81" t="str">
        <f>IF(A48="","",SUMIFS(in_total,in_eq,A48,in_done,1,in_dnum,"&gt;="&amp;p_from,in_dnum,"&lt;="&amp;p_to))</f>
        <v/>
      </c>
      <c r="S48" s="67" t="str">
        <f>IF(A48="","",SUMIFS(in_work,in_eq,A48,in_type,"Correctif",in_done,1,in_dnum,"&gt;="&amp;p_from,in_dnum,"&lt;="&amp;p_to))</f>
        <v/>
      </c>
      <c r="T48" s="67" t="str">
        <f>IF(A48="","",SUMIFS(in_stop,in_eq,A48,in_type,"Correctif",in_done,1,in_dnum,"&gt;="&amp;p_from,in_dnum,"&lt;="&amp;p_to))</f>
        <v/>
      </c>
    </row>
    <row r="49">
      <c r="A49" s="67" t="str">
        <f>IF(INDEX(eq_code,38)="","",INDEX(eq_code,38)&amp;"")</f>
        <v/>
      </c>
      <c r="B49" s="67" t="str">
        <f>IF(A49="","",INDEX(eq_des,38)&amp;"")</f>
        <v/>
      </c>
      <c r="C49" s="79" t="str">
        <f>IF(A49="","",INDEX(eq_crit,38)&amp;"")</f>
        <v/>
      </c>
      <c r="D49" s="127" t="str">
        <f>IF(A49="","",IF(MAX(p_from,N(INDEX(eq_start,38)))&gt;p_to,0,ROUND(IF(AND(ISNUMBER(INDEX(eq_hours,38)),N(INDEX(eq_hours,38))&gt;0,N(INDEX(eq_hours,38))&lt;=24),INDEX(eq_hours,38),0)*IF(p_days="7 jours sur 7",p_to-MAX(p_from,N(INDEX(eq_start,38)))+1,NETWORKDAYS.INTL(MAX(p_from,N(INDEX(eq_start,38))),p_to,p_weekend,p_holidays)),2)))</f>
        <v/>
      </c>
      <c r="E49" s="128" t="str">
        <f>IF(A49="","",SUMIFS(in_stop,in_eq,A49,in_done,1,in_dnum,"&gt;="&amp;p_from,in_dnum,"&lt;="&amp;p_to))</f>
        <v/>
      </c>
      <c r="F49" s="129" t="str">
        <f>IF(A49="","",COUNTIFS(in_eq,A49,in_type,"Correctif",in_done,1,in_dnum,"&gt;="&amp;p_from,in_dnum,"&lt;="&amp;p_to))</f>
        <v/>
      </c>
      <c r="G49" s="130" t="str">
        <f>IF(OR(A49="",N(F49)=0),"",MAX(0,D49-E49)/F49)</f>
        <v/>
      </c>
      <c r="H49" s="81" t="str">
        <f>IF(OR(A49="",N(F49)=0),"",S49/F49)</f>
        <v/>
      </c>
      <c r="I49" s="81" t="str">
        <f>IF(OR(A49="",N(F49)=0),"",T49/F49)</f>
        <v/>
      </c>
      <c r="J49" s="131" t="str">
        <f>IF(OR(A49="",N(D49)=0),"",MAX(0,D49-E49)/D49)</f>
        <v/>
      </c>
      <c r="K49" s="128" t="str">
        <f>IF(A49="","",SUMIFS(in_work,in_eq,A49,in_type,"Préventif",in_done,1,in_dnum,"&gt;="&amp;p_from,in_dnum,"&lt;="&amp;p_to))</f>
        <v/>
      </c>
      <c r="L49" s="128" t="str">
        <f>IF(A49="","",SUMIFS(in_work,in_eq,A49,in_type,"Correctif",in_done,1,in_dnum,"&gt;="&amp;p_from,in_dnum,"&lt;="&amp;p_to))</f>
        <v/>
      </c>
      <c r="M49" s="128" t="str">
        <f>IF(A49="","",SUMIFS(in_work,in_eq,A49,in_type,"Amélioratif",in_done,1,in_dnum,"&gt;="&amp;p_from,in_dnum,"&lt;="&amp;p_to))</f>
        <v/>
      </c>
      <c r="N49" s="131" t="str">
        <f>IF(OR(A49="",N(K49)+N(L49)+N(M49)=0),"",K49/(K49+L49+M49))</f>
        <v/>
      </c>
      <c r="O49" s="81" t="str">
        <f>IF(A49="","",SUMIFS(in_parts,in_eq,A49,in_done,1,in_dnum,"&gt;="&amp;p_from,in_dnum,"&lt;="&amp;p_to))</f>
        <v/>
      </c>
      <c r="P49" s="81" t="str">
        <f>IF(A49="","",SUMIFS(in_mo,in_eq,A49,in_done,1,in_dnum,"&gt;="&amp;p_from,in_dnum,"&lt;="&amp;p_to))</f>
        <v/>
      </c>
      <c r="Q49" s="81" t="str">
        <f>IF(A49="","",SUMIFS(in_other,in_eq,A49,in_done,1,in_dnum,"&gt;="&amp;p_from,in_dnum,"&lt;="&amp;p_to))</f>
        <v/>
      </c>
      <c r="R49" s="81" t="str">
        <f>IF(A49="","",SUMIFS(in_total,in_eq,A49,in_done,1,in_dnum,"&gt;="&amp;p_from,in_dnum,"&lt;="&amp;p_to))</f>
        <v/>
      </c>
      <c r="S49" s="67" t="str">
        <f>IF(A49="","",SUMIFS(in_work,in_eq,A49,in_type,"Correctif",in_done,1,in_dnum,"&gt;="&amp;p_from,in_dnum,"&lt;="&amp;p_to))</f>
        <v/>
      </c>
      <c r="T49" s="67" t="str">
        <f>IF(A49="","",SUMIFS(in_stop,in_eq,A49,in_type,"Correctif",in_done,1,in_dnum,"&gt;="&amp;p_from,in_dnum,"&lt;="&amp;p_to))</f>
        <v/>
      </c>
    </row>
    <row r="50">
      <c r="A50" s="67" t="str">
        <f>IF(INDEX(eq_code,39)="","",INDEX(eq_code,39)&amp;"")</f>
        <v/>
      </c>
      <c r="B50" s="67" t="str">
        <f>IF(A50="","",INDEX(eq_des,39)&amp;"")</f>
        <v/>
      </c>
      <c r="C50" s="79" t="str">
        <f>IF(A50="","",INDEX(eq_crit,39)&amp;"")</f>
        <v/>
      </c>
      <c r="D50" s="127" t="str">
        <f>IF(A50="","",IF(MAX(p_from,N(INDEX(eq_start,39)))&gt;p_to,0,ROUND(IF(AND(ISNUMBER(INDEX(eq_hours,39)),N(INDEX(eq_hours,39))&gt;0,N(INDEX(eq_hours,39))&lt;=24),INDEX(eq_hours,39),0)*IF(p_days="7 jours sur 7",p_to-MAX(p_from,N(INDEX(eq_start,39)))+1,NETWORKDAYS.INTL(MAX(p_from,N(INDEX(eq_start,39))),p_to,p_weekend,p_holidays)),2)))</f>
        <v/>
      </c>
      <c r="E50" s="128" t="str">
        <f>IF(A50="","",SUMIFS(in_stop,in_eq,A50,in_done,1,in_dnum,"&gt;="&amp;p_from,in_dnum,"&lt;="&amp;p_to))</f>
        <v/>
      </c>
      <c r="F50" s="129" t="str">
        <f>IF(A50="","",COUNTIFS(in_eq,A50,in_type,"Correctif",in_done,1,in_dnum,"&gt;="&amp;p_from,in_dnum,"&lt;="&amp;p_to))</f>
        <v/>
      </c>
      <c r="G50" s="130" t="str">
        <f>IF(OR(A50="",N(F50)=0),"",MAX(0,D50-E50)/F50)</f>
        <v/>
      </c>
      <c r="H50" s="81" t="str">
        <f>IF(OR(A50="",N(F50)=0),"",S50/F50)</f>
        <v/>
      </c>
      <c r="I50" s="81" t="str">
        <f>IF(OR(A50="",N(F50)=0),"",T50/F50)</f>
        <v/>
      </c>
      <c r="J50" s="131" t="str">
        <f>IF(OR(A50="",N(D50)=0),"",MAX(0,D50-E50)/D50)</f>
        <v/>
      </c>
      <c r="K50" s="128" t="str">
        <f>IF(A50="","",SUMIFS(in_work,in_eq,A50,in_type,"Préventif",in_done,1,in_dnum,"&gt;="&amp;p_from,in_dnum,"&lt;="&amp;p_to))</f>
        <v/>
      </c>
      <c r="L50" s="128" t="str">
        <f>IF(A50="","",SUMIFS(in_work,in_eq,A50,in_type,"Correctif",in_done,1,in_dnum,"&gt;="&amp;p_from,in_dnum,"&lt;="&amp;p_to))</f>
        <v/>
      </c>
      <c r="M50" s="128" t="str">
        <f>IF(A50="","",SUMIFS(in_work,in_eq,A50,in_type,"Amélioratif",in_done,1,in_dnum,"&gt;="&amp;p_from,in_dnum,"&lt;="&amp;p_to))</f>
        <v/>
      </c>
      <c r="N50" s="131" t="str">
        <f>IF(OR(A50="",N(K50)+N(L50)+N(M50)=0),"",K50/(K50+L50+M50))</f>
        <v/>
      </c>
      <c r="O50" s="81" t="str">
        <f>IF(A50="","",SUMIFS(in_parts,in_eq,A50,in_done,1,in_dnum,"&gt;="&amp;p_from,in_dnum,"&lt;="&amp;p_to))</f>
        <v/>
      </c>
      <c r="P50" s="81" t="str">
        <f>IF(A50="","",SUMIFS(in_mo,in_eq,A50,in_done,1,in_dnum,"&gt;="&amp;p_from,in_dnum,"&lt;="&amp;p_to))</f>
        <v/>
      </c>
      <c r="Q50" s="81" t="str">
        <f>IF(A50="","",SUMIFS(in_other,in_eq,A50,in_done,1,in_dnum,"&gt;="&amp;p_from,in_dnum,"&lt;="&amp;p_to))</f>
        <v/>
      </c>
      <c r="R50" s="81" t="str">
        <f>IF(A50="","",SUMIFS(in_total,in_eq,A50,in_done,1,in_dnum,"&gt;="&amp;p_from,in_dnum,"&lt;="&amp;p_to))</f>
        <v/>
      </c>
      <c r="S50" s="67" t="str">
        <f>IF(A50="","",SUMIFS(in_work,in_eq,A50,in_type,"Correctif",in_done,1,in_dnum,"&gt;="&amp;p_from,in_dnum,"&lt;="&amp;p_to))</f>
        <v/>
      </c>
      <c r="T50" s="67" t="str">
        <f>IF(A50="","",SUMIFS(in_stop,in_eq,A50,in_type,"Correctif",in_done,1,in_dnum,"&gt;="&amp;p_from,in_dnum,"&lt;="&amp;p_to))</f>
        <v/>
      </c>
    </row>
    <row r="51">
      <c r="A51" s="67" t="str">
        <f>IF(INDEX(eq_code,40)="","",INDEX(eq_code,40)&amp;"")</f>
        <v/>
      </c>
      <c r="B51" s="67" t="str">
        <f>IF(A51="","",INDEX(eq_des,40)&amp;"")</f>
        <v/>
      </c>
      <c r="C51" s="79" t="str">
        <f>IF(A51="","",INDEX(eq_crit,40)&amp;"")</f>
        <v/>
      </c>
      <c r="D51" s="127" t="str">
        <f>IF(A51="","",IF(MAX(p_from,N(INDEX(eq_start,40)))&gt;p_to,0,ROUND(IF(AND(ISNUMBER(INDEX(eq_hours,40)),N(INDEX(eq_hours,40))&gt;0,N(INDEX(eq_hours,40))&lt;=24),INDEX(eq_hours,40),0)*IF(p_days="7 jours sur 7",p_to-MAX(p_from,N(INDEX(eq_start,40)))+1,NETWORKDAYS.INTL(MAX(p_from,N(INDEX(eq_start,40))),p_to,p_weekend,p_holidays)),2)))</f>
        <v/>
      </c>
      <c r="E51" s="128" t="str">
        <f>IF(A51="","",SUMIFS(in_stop,in_eq,A51,in_done,1,in_dnum,"&gt;="&amp;p_from,in_dnum,"&lt;="&amp;p_to))</f>
        <v/>
      </c>
      <c r="F51" s="129" t="str">
        <f>IF(A51="","",COUNTIFS(in_eq,A51,in_type,"Correctif",in_done,1,in_dnum,"&gt;="&amp;p_from,in_dnum,"&lt;="&amp;p_to))</f>
        <v/>
      </c>
      <c r="G51" s="130" t="str">
        <f>IF(OR(A51="",N(F51)=0),"",MAX(0,D51-E51)/F51)</f>
        <v/>
      </c>
      <c r="H51" s="81" t="str">
        <f>IF(OR(A51="",N(F51)=0),"",S51/F51)</f>
        <v/>
      </c>
      <c r="I51" s="81" t="str">
        <f>IF(OR(A51="",N(F51)=0),"",T51/F51)</f>
        <v/>
      </c>
      <c r="J51" s="131" t="str">
        <f>IF(OR(A51="",N(D51)=0),"",MAX(0,D51-E51)/D51)</f>
        <v/>
      </c>
      <c r="K51" s="128" t="str">
        <f>IF(A51="","",SUMIFS(in_work,in_eq,A51,in_type,"Préventif",in_done,1,in_dnum,"&gt;="&amp;p_from,in_dnum,"&lt;="&amp;p_to))</f>
        <v/>
      </c>
      <c r="L51" s="128" t="str">
        <f>IF(A51="","",SUMIFS(in_work,in_eq,A51,in_type,"Correctif",in_done,1,in_dnum,"&gt;="&amp;p_from,in_dnum,"&lt;="&amp;p_to))</f>
        <v/>
      </c>
      <c r="M51" s="128" t="str">
        <f>IF(A51="","",SUMIFS(in_work,in_eq,A51,in_type,"Amélioratif",in_done,1,in_dnum,"&gt;="&amp;p_from,in_dnum,"&lt;="&amp;p_to))</f>
        <v/>
      </c>
      <c r="N51" s="131" t="str">
        <f>IF(OR(A51="",N(K51)+N(L51)+N(M51)=0),"",K51/(K51+L51+M51))</f>
        <v/>
      </c>
      <c r="O51" s="81" t="str">
        <f>IF(A51="","",SUMIFS(in_parts,in_eq,A51,in_done,1,in_dnum,"&gt;="&amp;p_from,in_dnum,"&lt;="&amp;p_to))</f>
        <v/>
      </c>
      <c r="P51" s="81" t="str">
        <f>IF(A51="","",SUMIFS(in_mo,in_eq,A51,in_done,1,in_dnum,"&gt;="&amp;p_from,in_dnum,"&lt;="&amp;p_to))</f>
        <v/>
      </c>
      <c r="Q51" s="81" t="str">
        <f>IF(A51="","",SUMIFS(in_other,in_eq,A51,in_done,1,in_dnum,"&gt;="&amp;p_from,in_dnum,"&lt;="&amp;p_to))</f>
        <v/>
      </c>
      <c r="R51" s="81" t="str">
        <f>IF(A51="","",SUMIFS(in_total,in_eq,A51,in_done,1,in_dnum,"&gt;="&amp;p_from,in_dnum,"&lt;="&amp;p_to))</f>
        <v/>
      </c>
      <c r="S51" s="67" t="str">
        <f>IF(A51="","",SUMIFS(in_work,in_eq,A51,in_type,"Correctif",in_done,1,in_dnum,"&gt;="&amp;p_from,in_dnum,"&lt;="&amp;p_to))</f>
        <v/>
      </c>
      <c r="T51" s="67" t="str">
        <f>IF(A51="","",SUMIFS(in_stop,in_eq,A51,in_type,"Correctif",in_done,1,in_dnum,"&gt;="&amp;p_from,in_dnum,"&lt;="&amp;p_to))</f>
        <v/>
      </c>
    </row>
    <row r="52">
      <c r="A52" s="67" t="str">
        <f>IF(INDEX(eq_code,41)="","",INDEX(eq_code,41)&amp;"")</f>
        <v/>
      </c>
      <c r="B52" s="67" t="str">
        <f>IF(A52="","",INDEX(eq_des,41)&amp;"")</f>
        <v/>
      </c>
      <c r="C52" s="79" t="str">
        <f>IF(A52="","",INDEX(eq_crit,41)&amp;"")</f>
        <v/>
      </c>
      <c r="D52" s="127" t="str">
        <f>IF(A52="","",IF(MAX(p_from,N(INDEX(eq_start,41)))&gt;p_to,0,ROUND(IF(AND(ISNUMBER(INDEX(eq_hours,41)),N(INDEX(eq_hours,41))&gt;0,N(INDEX(eq_hours,41))&lt;=24),INDEX(eq_hours,41),0)*IF(p_days="7 jours sur 7",p_to-MAX(p_from,N(INDEX(eq_start,41)))+1,NETWORKDAYS.INTL(MAX(p_from,N(INDEX(eq_start,41))),p_to,p_weekend,p_holidays)),2)))</f>
        <v/>
      </c>
      <c r="E52" s="128" t="str">
        <f>IF(A52="","",SUMIFS(in_stop,in_eq,A52,in_done,1,in_dnum,"&gt;="&amp;p_from,in_dnum,"&lt;="&amp;p_to))</f>
        <v/>
      </c>
      <c r="F52" s="129" t="str">
        <f>IF(A52="","",COUNTIFS(in_eq,A52,in_type,"Correctif",in_done,1,in_dnum,"&gt;="&amp;p_from,in_dnum,"&lt;="&amp;p_to))</f>
        <v/>
      </c>
      <c r="G52" s="130" t="str">
        <f>IF(OR(A52="",N(F52)=0),"",MAX(0,D52-E52)/F52)</f>
        <v/>
      </c>
      <c r="H52" s="81" t="str">
        <f>IF(OR(A52="",N(F52)=0),"",S52/F52)</f>
        <v/>
      </c>
      <c r="I52" s="81" t="str">
        <f>IF(OR(A52="",N(F52)=0),"",T52/F52)</f>
        <v/>
      </c>
      <c r="J52" s="131" t="str">
        <f>IF(OR(A52="",N(D52)=0),"",MAX(0,D52-E52)/D52)</f>
        <v/>
      </c>
      <c r="K52" s="128" t="str">
        <f>IF(A52="","",SUMIFS(in_work,in_eq,A52,in_type,"Préventif",in_done,1,in_dnum,"&gt;="&amp;p_from,in_dnum,"&lt;="&amp;p_to))</f>
        <v/>
      </c>
      <c r="L52" s="128" t="str">
        <f>IF(A52="","",SUMIFS(in_work,in_eq,A52,in_type,"Correctif",in_done,1,in_dnum,"&gt;="&amp;p_from,in_dnum,"&lt;="&amp;p_to))</f>
        <v/>
      </c>
      <c r="M52" s="128" t="str">
        <f>IF(A52="","",SUMIFS(in_work,in_eq,A52,in_type,"Amélioratif",in_done,1,in_dnum,"&gt;="&amp;p_from,in_dnum,"&lt;="&amp;p_to))</f>
        <v/>
      </c>
      <c r="N52" s="131" t="str">
        <f>IF(OR(A52="",N(K52)+N(L52)+N(M52)=0),"",K52/(K52+L52+M52))</f>
        <v/>
      </c>
      <c r="O52" s="81" t="str">
        <f>IF(A52="","",SUMIFS(in_parts,in_eq,A52,in_done,1,in_dnum,"&gt;="&amp;p_from,in_dnum,"&lt;="&amp;p_to))</f>
        <v/>
      </c>
      <c r="P52" s="81" t="str">
        <f>IF(A52="","",SUMIFS(in_mo,in_eq,A52,in_done,1,in_dnum,"&gt;="&amp;p_from,in_dnum,"&lt;="&amp;p_to))</f>
        <v/>
      </c>
      <c r="Q52" s="81" t="str">
        <f>IF(A52="","",SUMIFS(in_other,in_eq,A52,in_done,1,in_dnum,"&gt;="&amp;p_from,in_dnum,"&lt;="&amp;p_to))</f>
        <v/>
      </c>
      <c r="R52" s="81" t="str">
        <f>IF(A52="","",SUMIFS(in_total,in_eq,A52,in_done,1,in_dnum,"&gt;="&amp;p_from,in_dnum,"&lt;="&amp;p_to))</f>
        <v/>
      </c>
      <c r="S52" s="67" t="str">
        <f>IF(A52="","",SUMIFS(in_work,in_eq,A52,in_type,"Correctif",in_done,1,in_dnum,"&gt;="&amp;p_from,in_dnum,"&lt;="&amp;p_to))</f>
        <v/>
      </c>
      <c r="T52" s="67" t="str">
        <f>IF(A52="","",SUMIFS(in_stop,in_eq,A52,in_type,"Correctif",in_done,1,in_dnum,"&gt;="&amp;p_from,in_dnum,"&lt;="&amp;p_to))</f>
        <v/>
      </c>
    </row>
    <row r="53">
      <c r="A53" s="67" t="str">
        <f>IF(INDEX(eq_code,42)="","",INDEX(eq_code,42)&amp;"")</f>
        <v/>
      </c>
      <c r="B53" s="67" t="str">
        <f>IF(A53="","",INDEX(eq_des,42)&amp;"")</f>
        <v/>
      </c>
      <c r="C53" s="79" t="str">
        <f>IF(A53="","",INDEX(eq_crit,42)&amp;"")</f>
        <v/>
      </c>
      <c r="D53" s="127" t="str">
        <f>IF(A53="","",IF(MAX(p_from,N(INDEX(eq_start,42)))&gt;p_to,0,ROUND(IF(AND(ISNUMBER(INDEX(eq_hours,42)),N(INDEX(eq_hours,42))&gt;0,N(INDEX(eq_hours,42))&lt;=24),INDEX(eq_hours,42),0)*IF(p_days="7 jours sur 7",p_to-MAX(p_from,N(INDEX(eq_start,42)))+1,NETWORKDAYS.INTL(MAX(p_from,N(INDEX(eq_start,42))),p_to,p_weekend,p_holidays)),2)))</f>
        <v/>
      </c>
      <c r="E53" s="128" t="str">
        <f>IF(A53="","",SUMIFS(in_stop,in_eq,A53,in_done,1,in_dnum,"&gt;="&amp;p_from,in_dnum,"&lt;="&amp;p_to))</f>
        <v/>
      </c>
      <c r="F53" s="129" t="str">
        <f>IF(A53="","",COUNTIFS(in_eq,A53,in_type,"Correctif",in_done,1,in_dnum,"&gt;="&amp;p_from,in_dnum,"&lt;="&amp;p_to))</f>
        <v/>
      </c>
      <c r="G53" s="130" t="str">
        <f>IF(OR(A53="",N(F53)=0),"",MAX(0,D53-E53)/F53)</f>
        <v/>
      </c>
      <c r="H53" s="81" t="str">
        <f>IF(OR(A53="",N(F53)=0),"",S53/F53)</f>
        <v/>
      </c>
      <c r="I53" s="81" t="str">
        <f>IF(OR(A53="",N(F53)=0),"",T53/F53)</f>
        <v/>
      </c>
      <c r="J53" s="131" t="str">
        <f>IF(OR(A53="",N(D53)=0),"",MAX(0,D53-E53)/D53)</f>
        <v/>
      </c>
      <c r="K53" s="128" t="str">
        <f>IF(A53="","",SUMIFS(in_work,in_eq,A53,in_type,"Préventif",in_done,1,in_dnum,"&gt;="&amp;p_from,in_dnum,"&lt;="&amp;p_to))</f>
        <v/>
      </c>
      <c r="L53" s="128" t="str">
        <f>IF(A53="","",SUMIFS(in_work,in_eq,A53,in_type,"Correctif",in_done,1,in_dnum,"&gt;="&amp;p_from,in_dnum,"&lt;="&amp;p_to))</f>
        <v/>
      </c>
      <c r="M53" s="128" t="str">
        <f>IF(A53="","",SUMIFS(in_work,in_eq,A53,in_type,"Amélioratif",in_done,1,in_dnum,"&gt;="&amp;p_from,in_dnum,"&lt;="&amp;p_to))</f>
        <v/>
      </c>
      <c r="N53" s="131" t="str">
        <f>IF(OR(A53="",N(K53)+N(L53)+N(M53)=0),"",K53/(K53+L53+M53))</f>
        <v/>
      </c>
      <c r="O53" s="81" t="str">
        <f>IF(A53="","",SUMIFS(in_parts,in_eq,A53,in_done,1,in_dnum,"&gt;="&amp;p_from,in_dnum,"&lt;="&amp;p_to))</f>
        <v/>
      </c>
      <c r="P53" s="81" t="str">
        <f>IF(A53="","",SUMIFS(in_mo,in_eq,A53,in_done,1,in_dnum,"&gt;="&amp;p_from,in_dnum,"&lt;="&amp;p_to))</f>
        <v/>
      </c>
      <c r="Q53" s="81" t="str">
        <f>IF(A53="","",SUMIFS(in_other,in_eq,A53,in_done,1,in_dnum,"&gt;="&amp;p_from,in_dnum,"&lt;="&amp;p_to))</f>
        <v/>
      </c>
      <c r="R53" s="81" t="str">
        <f>IF(A53="","",SUMIFS(in_total,in_eq,A53,in_done,1,in_dnum,"&gt;="&amp;p_from,in_dnum,"&lt;="&amp;p_to))</f>
        <v/>
      </c>
      <c r="S53" s="67" t="str">
        <f>IF(A53="","",SUMIFS(in_work,in_eq,A53,in_type,"Correctif",in_done,1,in_dnum,"&gt;="&amp;p_from,in_dnum,"&lt;="&amp;p_to))</f>
        <v/>
      </c>
      <c r="T53" s="67" t="str">
        <f>IF(A53="","",SUMIFS(in_stop,in_eq,A53,in_type,"Correctif",in_done,1,in_dnum,"&gt;="&amp;p_from,in_dnum,"&lt;="&amp;p_to))</f>
        <v/>
      </c>
    </row>
    <row r="54">
      <c r="A54" s="67" t="str">
        <f>IF(INDEX(eq_code,43)="","",INDEX(eq_code,43)&amp;"")</f>
        <v/>
      </c>
      <c r="B54" s="67" t="str">
        <f>IF(A54="","",INDEX(eq_des,43)&amp;"")</f>
        <v/>
      </c>
      <c r="C54" s="79" t="str">
        <f>IF(A54="","",INDEX(eq_crit,43)&amp;"")</f>
        <v/>
      </c>
      <c r="D54" s="127" t="str">
        <f>IF(A54="","",IF(MAX(p_from,N(INDEX(eq_start,43)))&gt;p_to,0,ROUND(IF(AND(ISNUMBER(INDEX(eq_hours,43)),N(INDEX(eq_hours,43))&gt;0,N(INDEX(eq_hours,43))&lt;=24),INDEX(eq_hours,43),0)*IF(p_days="7 jours sur 7",p_to-MAX(p_from,N(INDEX(eq_start,43)))+1,NETWORKDAYS.INTL(MAX(p_from,N(INDEX(eq_start,43))),p_to,p_weekend,p_holidays)),2)))</f>
        <v/>
      </c>
      <c r="E54" s="128" t="str">
        <f>IF(A54="","",SUMIFS(in_stop,in_eq,A54,in_done,1,in_dnum,"&gt;="&amp;p_from,in_dnum,"&lt;="&amp;p_to))</f>
        <v/>
      </c>
      <c r="F54" s="129" t="str">
        <f>IF(A54="","",COUNTIFS(in_eq,A54,in_type,"Correctif",in_done,1,in_dnum,"&gt;="&amp;p_from,in_dnum,"&lt;="&amp;p_to))</f>
        <v/>
      </c>
      <c r="G54" s="130" t="str">
        <f>IF(OR(A54="",N(F54)=0),"",MAX(0,D54-E54)/F54)</f>
        <v/>
      </c>
      <c r="H54" s="81" t="str">
        <f>IF(OR(A54="",N(F54)=0),"",S54/F54)</f>
        <v/>
      </c>
      <c r="I54" s="81" t="str">
        <f>IF(OR(A54="",N(F54)=0),"",T54/F54)</f>
        <v/>
      </c>
      <c r="J54" s="131" t="str">
        <f>IF(OR(A54="",N(D54)=0),"",MAX(0,D54-E54)/D54)</f>
        <v/>
      </c>
      <c r="K54" s="128" t="str">
        <f>IF(A54="","",SUMIFS(in_work,in_eq,A54,in_type,"Préventif",in_done,1,in_dnum,"&gt;="&amp;p_from,in_dnum,"&lt;="&amp;p_to))</f>
        <v/>
      </c>
      <c r="L54" s="128" t="str">
        <f>IF(A54="","",SUMIFS(in_work,in_eq,A54,in_type,"Correctif",in_done,1,in_dnum,"&gt;="&amp;p_from,in_dnum,"&lt;="&amp;p_to))</f>
        <v/>
      </c>
      <c r="M54" s="128" t="str">
        <f>IF(A54="","",SUMIFS(in_work,in_eq,A54,in_type,"Amélioratif",in_done,1,in_dnum,"&gt;="&amp;p_from,in_dnum,"&lt;="&amp;p_to))</f>
        <v/>
      </c>
      <c r="N54" s="131" t="str">
        <f>IF(OR(A54="",N(K54)+N(L54)+N(M54)=0),"",K54/(K54+L54+M54))</f>
        <v/>
      </c>
      <c r="O54" s="81" t="str">
        <f>IF(A54="","",SUMIFS(in_parts,in_eq,A54,in_done,1,in_dnum,"&gt;="&amp;p_from,in_dnum,"&lt;="&amp;p_to))</f>
        <v/>
      </c>
      <c r="P54" s="81" t="str">
        <f>IF(A54="","",SUMIFS(in_mo,in_eq,A54,in_done,1,in_dnum,"&gt;="&amp;p_from,in_dnum,"&lt;="&amp;p_to))</f>
        <v/>
      </c>
      <c r="Q54" s="81" t="str">
        <f>IF(A54="","",SUMIFS(in_other,in_eq,A54,in_done,1,in_dnum,"&gt;="&amp;p_from,in_dnum,"&lt;="&amp;p_to))</f>
        <v/>
      </c>
      <c r="R54" s="81" t="str">
        <f>IF(A54="","",SUMIFS(in_total,in_eq,A54,in_done,1,in_dnum,"&gt;="&amp;p_from,in_dnum,"&lt;="&amp;p_to))</f>
        <v/>
      </c>
      <c r="S54" s="67" t="str">
        <f>IF(A54="","",SUMIFS(in_work,in_eq,A54,in_type,"Correctif",in_done,1,in_dnum,"&gt;="&amp;p_from,in_dnum,"&lt;="&amp;p_to))</f>
        <v/>
      </c>
      <c r="T54" s="67" t="str">
        <f>IF(A54="","",SUMIFS(in_stop,in_eq,A54,in_type,"Correctif",in_done,1,in_dnum,"&gt;="&amp;p_from,in_dnum,"&lt;="&amp;p_to))</f>
        <v/>
      </c>
    </row>
    <row r="55">
      <c r="A55" s="67" t="str">
        <f>IF(INDEX(eq_code,44)="","",INDEX(eq_code,44)&amp;"")</f>
        <v/>
      </c>
      <c r="B55" s="67" t="str">
        <f>IF(A55="","",INDEX(eq_des,44)&amp;"")</f>
        <v/>
      </c>
      <c r="C55" s="79" t="str">
        <f>IF(A55="","",INDEX(eq_crit,44)&amp;"")</f>
        <v/>
      </c>
      <c r="D55" s="127" t="str">
        <f>IF(A55="","",IF(MAX(p_from,N(INDEX(eq_start,44)))&gt;p_to,0,ROUND(IF(AND(ISNUMBER(INDEX(eq_hours,44)),N(INDEX(eq_hours,44))&gt;0,N(INDEX(eq_hours,44))&lt;=24),INDEX(eq_hours,44),0)*IF(p_days="7 jours sur 7",p_to-MAX(p_from,N(INDEX(eq_start,44)))+1,NETWORKDAYS.INTL(MAX(p_from,N(INDEX(eq_start,44))),p_to,p_weekend,p_holidays)),2)))</f>
        <v/>
      </c>
      <c r="E55" s="128" t="str">
        <f>IF(A55="","",SUMIFS(in_stop,in_eq,A55,in_done,1,in_dnum,"&gt;="&amp;p_from,in_dnum,"&lt;="&amp;p_to))</f>
        <v/>
      </c>
      <c r="F55" s="129" t="str">
        <f>IF(A55="","",COUNTIFS(in_eq,A55,in_type,"Correctif",in_done,1,in_dnum,"&gt;="&amp;p_from,in_dnum,"&lt;="&amp;p_to))</f>
        <v/>
      </c>
      <c r="G55" s="130" t="str">
        <f>IF(OR(A55="",N(F55)=0),"",MAX(0,D55-E55)/F55)</f>
        <v/>
      </c>
      <c r="H55" s="81" t="str">
        <f>IF(OR(A55="",N(F55)=0),"",S55/F55)</f>
        <v/>
      </c>
      <c r="I55" s="81" t="str">
        <f>IF(OR(A55="",N(F55)=0),"",T55/F55)</f>
        <v/>
      </c>
      <c r="J55" s="131" t="str">
        <f>IF(OR(A55="",N(D55)=0),"",MAX(0,D55-E55)/D55)</f>
        <v/>
      </c>
      <c r="K55" s="128" t="str">
        <f>IF(A55="","",SUMIFS(in_work,in_eq,A55,in_type,"Préventif",in_done,1,in_dnum,"&gt;="&amp;p_from,in_dnum,"&lt;="&amp;p_to))</f>
        <v/>
      </c>
      <c r="L55" s="128" t="str">
        <f>IF(A55="","",SUMIFS(in_work,in_eq,A55,in_type,"Correctif",in_done,1,in_dnum,"&gt;="&amp;p_from,in_dnum,"&lt;="&amp;p_to))</f>
        <v/>
      </c>
      <c r="M55" s="128" t="str">
        <f>IF(A55="","",SUMIFS(in_work,in_eq,A55,in_type,"Amélioratif",in_done,1,in_dnum,"&gt;="&amp;p_from,in_dnum,"&lt;="&amp;p_to))</f>
        <v/>
      </c>
      <c r="N55" s="131" t="str">
        <f>IF(OR(A55="",N(K55)+N(L55)+N(M55)=0),"",K55/(K55+L55+M55))</f>
        <v/>
      </c>
      <c r="O55" s="81" t="str">
        <f>IF(A55="","",SUMIFS(in_parts,in_eq,A55,in_done,1,in_dnum,"&gt;="&amp;p_from,in_dnum,"&lt;="&amp;p_to))</f>
        <v/>
      </c>
      <c r="P55" s="81" t="str">
        <f>IF(A55="","",SUMIFS(in_mo,in_eq,A55,in_done,1,in_dnum,"&gt;="&amp;p_from,in_dnum,"&lt;="&amp;p_to))</f>
        <v/>
      </c>
      <c r="Q55" s="81" t="str">
        <f>IF(A55="","",SUMIFS(in_other,in_eq,A55,in_done,1,in_dnum,"&gt;="&amp;p_from,in_dnum,"&lt;="&amp;p_to))</f>
        <v/>
      </c>
      <c r="R55" s="81" t="str">
        <f>IF(A55="","",SUMIFS(in_total,in_eq,A55,in_done,1,in_dnum,"&gt;="&amp;p_from,in_dnum,"&lt;="&amp;p_to))</f>
        <v/>
      </c>
      <c r="S55" s="67" t="str">
        <f>IF(A55="","",SUMIFS(in_work,in_eq,A55,in_type,"Correctif",in_done,1,in_dnum,"&gt;="&amp;p_from,in_dnum,"&lt;="&amp;p_to))</f>
        <v/>
      </c>
      <c r="T55" s="67" t="str">
        <f>IF(A55="","",SUMIFS(in_stop,in_eq,A55,in_type,"Correctif",in_done,1,in_dnum,"&gt;="&amp;p_from,in_dnum,"&lt;="&amp;p_to))</f>
        <v/>
      </c>
    </row>
    <row r="56">
      <c r="A56" s="67" t="str">
        <f>IF(INDEX(eq_code,45)="","",INDEX(eq_code,45)&amp;"")</f>
        <v/>
      </c>
      <c r="B56" s="67" t="str">
        <f>IF(A56="","",INDEX(eq_des,45)&amp;"")</f>
        <v/>
      </c>
      <c r="C56" s="79" t="str">
        <f>IF(A56="","",INDEX(eq_crit,45)&amp;"")</f>
        <v/>
      </c>
      <c r="D56" s="127" t="str">
        <f>IF(A56="","",IF(MAX(p_from,N(INDEX(eq_start,45)))&gt;p_to,0,ROUND(IF(AND(ISNUMBER(INDEX(eq_hours,45)),N(INDEX(eq_hours,45))&gt;0,N(INDEX(eq_hours,45))&lt;=24),INDEX(eq_hours,45),0)*IF(p_days="7 jours sur 7",p_to-MAX(p_from,N(INDEX(eq_start,45)))+1,NETWORKDAYS.INTL(MAX(p_from,N(INDEX(eq_start,45))),p_to,p_weekend,p_holidays)),2)))</f>
        <v/>
      </c>
      <c r="E56" s="128" t="str">
        <f>IF(A56="","",SUMIFS(in_stop,in_eq,A56,in_done,1,in_dnum,"&gt;="&amp;p_from,in_dnum,"&lt;="&amp;p_to))</f>
        <v/>
      </c>
      <c r="F56" s="129" t="str">
        <f>IF(A56="","",COUNTIFS(in_eq,A56,in_type,"Correctif",in_done,1,in_dnum,"&gt;="&amp;p_from,in_dnum,"&lt;="&amp;p_to))</f>
        <v/>
      </c>
      <c r="G56" s="130" t="str">
        <f>IF(OR(A56="",N(F56)=0),"",MAX(0,D56-E56)/F56)</f>
        <v/>
      </c>
      <c r="H56" s="81" t="str">
        <f>IF(OR(A56="",N(F56)=0),"",S56/F56)</f>
        <v/>
      </c>
      <c r="I56" s="81" t="str">
        <f>IF(OR(A56="",N(F56)=0),"",T56/F56)</f>
        <v/>
      </c>
      <c r="J56" s="131" t="str">
        <f>IF(OR(A56="",N(D56)=0),"",MAX(0,D56-E56)/D56)</f>
        <v/>
      </c>
      <c r="K56" s="128" t="str">
        <f>IF(A56="","",SUMIFS(in_work,in_eq,A56,in_type,"Préventif",in_done,1,in_dnum,"&gt;="&amp;p_from,in_dnum,"&lt;="&amp;p_to))</f>
        <v/>
      </c>
      <c r="L56" s="128" t="str">
        <f>IF(A56="","",SUMIFS(in_work,in_eq,A56,in_type,"Correctif",in_done,1,in_dnum,"&gt;="&amp;p_from,in_dnum,"&lt;="&amp;p_to))</f>
        <v/>
      </c>
      <c r="M56" s="128" t="str">
        <f>IF(A56="","",SUMIFS(in_work,in_eq,A56,in_type,"Amélioratif",in_done,1,in_dnum,"&gt;="&amp;p_from,in_dnum,"&lt;="&amp;p_to))</f>
        <v/>
      </c>
      <c r="N56" s="131" t="str">
        <f>IF(OR(A56="",N(K56)+N(L56)+N(M56)=0),"",K56/(K56+L56+M56))</f>
        <v/>
      </c>
      <c r="O56" s="81" t="str">
        <f>IF(A56="","",SUMIFS(in_parts,in_eq,A56,in_done,1,in_dnum,"&gt;="&amp;p_from,in_dnum,"&lt;="&amp;p_to))</f>
        <v/>
      </c>
      <c r="P56" s="81" t="str">
        <f>IF(A56="","",SUMIFS(in_mo,in_eq,A56,in_done,1,in_dnum,"&gt;="&amp;p_from,in_dnum,"&lt;="&amp;p_to))</f>
        <v/>
      </c>
      <c r="Q56" s="81" t="str">
        <f>IF(A56="","",SUMIFS(in_other,in_eq,A56,in_done,1,in_dnum,"&gt;="&amp;p_from,in_dnum,"&lt;="&amp;p_to))</f>
        <v/>
      </c>
      <c r="R56" s="81" t="str">
        <f>IF(A56="","",SUMIFS(in_total,in_eq,A56,in_done,1,in_dnum,"&gt;="&amp;p_from,in_dnum,"&lt;="&amp;p_to))</f>
        <v/>
      </c>
      <c r="S56" s="67" t="str">
        <f>IF(A56="","",SUMIFS(in_work,in_eq,A56,in_type,"Correctif",in_done,1,in_dnum,"&gt;="&amp;p_from,in_dnum,"&lt;="&amp;p_to))</f>
        <v/>
      </c>
      <c r="T56" s="67" t="str">
        <f>IF(A56="","",SUMIFS(in_stop,in_eq,A56,in_type,"Correctif",in_done,1,in_dnum,"&gt;="&amp;p_from,in_dnum,"&lt;="&amp;p_to))</f>
        <v/>
      </c>
    </row>
    <row r="57">
      <c r="A57" s="67" t="str">
        <f>IF(INDEX(eq_code,46)="","",INDEX(eq_code,46)&amp;"")</f>
        <v/>
      </c>
      <c r="B57" s="67" t="str">
        <f>IF(A57="","",INDEX(eq_des,46)&amp;"")</f>
        <v/>
      </c>
      <c r="C57" s="79" t="str">
        <f>IF(A57="","",INDEX(eq_crit,46)&amp;"")</f>
        <v/>
      </c>
      <c r="D57" s="127" t="str">
        <f>IF(A57="","",IF(MAX(p_from,N(INDEX(eq_start,46)))&gt;p_to,0,ROUND(IF(AND(ISNUMBER(INDEX(eq_hours,46)),N(INDEX(eq_hours,46))&gt;0,N(INDEX(eq_hours,46))&lt;=24),INDEX(eq_hours,46),0)*IF(p_days="7 jours sur 7",p_to-MAX(p_from,N(INDEX(eq_start,46)))+1,NETWORKDAYS.INTL(MAX(p_from,N(INDEX(eq_start,46))),p_to,p_weekend,p_holidays)),2)))</f>
        <v/>
      </c>
      <c r="E57" s="128" t="str">
        <f>IF(A57="","",SUMIFS(in_stop,in_eq,A57,in_done,1,in_dnum,"&gt;="&amp;p_from,in_dnum,"&lt;="&amp;p_to))</f>
        <v/>
      </c>
      <c r="F57" s="129" t="str">
        <f>IF(A57="","",COUNTIFS(in_eq,A57,in_type,"Correctif",in_done,1,in_dnum,"&gt;="&amp;p_from,in_dnum,"&lt;="&amp;p_to))</f>
        <v/>
      </c>
      <c r="G57" s="130" t="str">
        <f>IF(OR(A57="",N(F57)=0),"",MAX(0,D57-E57)/F57)</f>
        <v/>
      </c>
      <c r="H57" s="81" t="str">
        <f>IF(OR(A57="",N(F57)=0),"",S57/F57)</f>
        <v/>
      </c>
      <c r="I57" s="81" t="str">
        <f>IF(OR(A57="",N(F57)=0),"",T57/F57)</f>
        <v/>
      </c>
      <c r="J57" s="131" t="str">
        <f>IF(OR(A57="",N(D57)=0),"",MAX(0,D57-E57)/D57)</f>
        <v/>
      </c>
      <c r="K57" s="128" t="str">
        <f>IF(A57="","",SUMIFS(in_work,in_eq,A57,in_type,"Préventif",in_done,1,in_dnum,"&gt;="&amp;p_from,in_dnum,"&lt;="&amp;p_to))</f>
        <v/>
      </c>
      <c r="L57" s="128" t="str">
        <f>IF(A57="","",SUMIFS(in_work,in_eq,A57,in_type,"Correctif",in_done,1,in_dnum,"&gt;="&amp;p_from,in_dnum,"&lt;="&amp;p_to))</f>
        <v/>
      </c>
      <c r="M57" s="128" t="str">
        <f>IF(A57="","",SUMIFS(in_work,in_eq,A57,in_type,"Amélioratif",in_done,1,in_dnum,"&gt;="&amp;p_from,in_dnum,"&lt;="&amp;p_to))</f>
        <v/>
      </c>
      <c r="N57" s="131" t="str">
        <f>IF(OR(A57="",N(K57)+N(L57)+N(M57)=0),"",K57/(K57+L57+M57))</f>
        <v/>
      </c>
      <c r="O57" s="81" t="str">
        <f>IF(A57="","",SUMIFS(in_parts,in_eq,A57,in_done,1,in_dnum,"&gt;="&amp;p_from,in_dnum,"&lt;="&amp;p_to))</f>
        <v/>
      </c>
      <c r="P57" s="81" t="str">
        <f>IF(A57="","",SUMIFS(in_mo,in_eq,A57,in_done,1,in_dnum,"&gt;="&amp;p_from,in_dnum,"&lt;="&amp;p_to))</f>
        <v/>
      </c>
      <c r="Q57" s="81" t="str">
        <f>IF(A57="","",SUMIFS(in_other,in_eq,A57,in_done,1,in_dnum,"&gt;="&amp;p_from,in_dnum,"&lt;="&amp;p_to))</f>
        <v/>
      </c>
      <c r="R57" s="81" t="str">
        <f>IF(A57="","",SUMIFS(in_total,in_eq,A57,in_done,1,in_dnum,"&gt;="&amp;p_from,in_dnum,"&lt;="&amp;p_to))</f>
        <v/>
      </c>
      <c r="S57" s="67" t="str">
        <f>IF(A57="","",SUMIFS(in_work,in_eq,A57,in_type,"Correctif",in_done,1,in_dnum,"&gt;="&amp;p_from,in_dnum,"&lt;="&amp;p_to))</f>
        <v/>
      </c>
      <c r="T57" s="67" t="str">
        <f>IF(A57="","",SUMIFS(in_stop,in_eq,A57,in_type,"Correctif",in_done,1,in_dnum,"&gt;="&amp;p_from,in_dnum,"&lt;="&amp;p_to))</f>
        <v/>
      </c>
    </row>
    <row r="58">
      <c r="A58" s="67" t="str">
        <f>IF(INDEX(eq_code,47)="","",INDEX(eq_code,47)&amp;"")</f>
        <v/>
      </c>
      <c r="B58" s="67" t="str">
        <f>IF(A58="","",INDEX(eq_des,47)&amp;"")</f>
        <v/>
      </c>
      <c r="C58" s="79" t="str">
        <f>IF(A58="","",INDEX(eq_crit,47)&amp;"")</f>
        <v/>
      </c>
      <c r="D58" s="127" t="str">
        <f>IF(A58="","",IF(MAX(p_from,N(INDEX(eq_start,47)))&gt;p_to,0,ROUND(IF(AND(ISNUMBER(INDEX(eq_hours,47)),N(INDEX(eq_hours,47))&gt;0,N(INDEX(eq_hours,47))&lt;=24),INDEX(eq_hours,47),0)*IF(p_days="7 jours sur 7",p_to-MAX(p_from,N(INDEX(eq_start,47)))+1,NETWORKDAYS.INTL(MAX(p_from,N(INDEX(eq_start,47))),p_to,p_weekend,p_holidays)),2)))</f>
        <v/>
      </c>
      <c r="E58" s="128" t="str">
        <f>IF(A58="","",SUMIFS(in_stop,in_eq,A58,in_done,1,in_dnum,"&gt;="&amp;p_from,in_dnum,"&lt;="&amp;p_to))</f>
        <v/>
      </c>
      <c r="F58" s="129" t="str">
        <f>IF(A58="","",COUNTIFS(in_eq,A58,in_type,"Correctif",in_done,1,in_dnum,"&gt;="&amp;p_from,in_dnum,"&lt;="&amp;p_to))</f>
        <v/>
      </c>
      <c r="G58" s="130" t="str">
        <f>IF(OR(A58="",N(F58)=0),"",MAX(0,D58-E58)/F58)</f>
        <v/>
      </c>
      <c r="H58" s="81" t="str">
        <f>IF(OR(A58="",N(F58)=0),"",S58/F58)</f>
        <v/>
      </c>
      <c r="I58" s="81" t="str">
        <f>IF(OR(A58="",N(F58)=0),"",T58/F58)</f>
        <v/>
      </c>
      <c r="J58" s="131" t="str">
        <f>IF(OR(A58="",N(D58)=0),"",MAX(0,D58-E58)/D58)</f>
        <v/>
      </c>
      <c r="K58" s="128" t="str">
        <f>IF(A58="","",SUMIFS(in_work,in_eq,A58,in_type,"Préventif",in_done,1,in_dnum,"&gt;="&amp;p_from,in_dnum,"&lt;="&amp;p_to))</f>
        <v/>
      </c>
      <c r="L58" s="128" t="str">
        <f>IF(A58="","",SUMIFS(in_work,in_eq,A58,in_type,"Correctif",in_done,1,in_dnum,"&gt;="&amp;p_from,in_dnum,"&lt;="&amp;p_to))</f>
        <v/>
      </c>
      <c r="M58" s="128" t="str">
        <f>IF(A58="","",SUMIFS(in_work,in_eq,A58,in_type,"Amélioratif",in_done,1,in_dnum,"&gt;="&amp;p_from,in_dnum,"&lt;="&amp;p_to))</f>
        <v/>
      </c>
      <c r="N58" s="131" t="str">
        <f>IF(OR(A58="",N(K58)+N(L58)+N(M58)=0),"",K58/(K58+L58+M58))</f>
        <v/>
      </c>
      <c r="O58" s="81" t="str">
        <f>IF(A58="","",SUMIFS(in_parts,in_eq,A58,in_done,1,in_dnum,"&gt;="&amp;p_from,in_dnum,"&lt;="&amp;p_to))</f>
        <v/>
      </c>
      <c r="P58" s="81" t="str">
        <f>IF(A58="","",SUMIFS(in_mo,in_eq,A58,in_done,1,in_dnum,"&gt;="&amp;p_from,in_dnum,"&lt;="&amp;p_to))</f>
        <v/>
      </c>
      <c r="Q58" s="81" t="str">
        <f>IF(A58="","",SUMIFS(in_other,in_eq,A58,in_done,1,in_dnum,"&gt;="&amp;p_from,in_dnum,"&lt;="&amp;p_to))</f>
        <v/>
      </c>
      <c r="R58" s="81" t="str">
        <f>IF(A58="","",SUMIFS(in_total,in_eq,A58,in_done,1,in_dnum,"&gt;="&amp;p_from,in_dnum,"&lt;="&amp;p_to))</f>
        <v/>
      </c>
      <c r="S58" s="67" t="str">
        <f>IF(A58="","",SUMIFS(in_work,in_eq,A58,in_type,"Correctif",in_done,1,in_dnum,"&gt;="&amp;p_from,in_dnum,"&lt;="&amp;p_to))</f>
        <v/>
      </c>
      <c r="T58" s="67" t="str">
        <f>IF(A58="","",SUMIFS(in_stop,in_eq,A58,in_type,"Correctif",in_done,1,in_dnum,"&gt;="&amp;p_from,in_dnum,"&lt;="&amp;p_to))</f>
        <v/>
      </c>
    </row>
    <row r="59">
      <c r="A59" s="67" t="str">
        <f>IF(INDEX(eq_code,48)="","",INDEX(eq_code,48)&amp;"")</f>
        <v/>
      </c>
      <c r="B59" s="67" t="str">
        <f>IF(A59="","",INDEX(eq_des,48)&amp;"")</f>
        <v/>
      </c>
      <c r="C59" s="79" t="str">
        <f>IF(A59="","",INDEX(eq_crit,48)&amp;"")</f>
        <v/>
      </c>
      <c r="D59" s="127" t="str">
        <f>IF(A59="","",IF(MAX(p_from,N(INDEX(eq_start,48)))&gt;p_to,0,ROUND(IF(AND(ISNUMBER(INDEX(eq_hours,48)),N(INDEX(eq_hours,48))&gt;0,N(INDEX(eq_hours,48))&lt;=24),INDEX(eq_hours,48),0)*IF(p_days="7 jours sur 7",p_to-MAX(p_from,N(INDEX(eq_start,48)))+1,NETWORKDAYS.INTL(MAX(p_from,N(INDEX(eq_start,48))),p_to,p_weekend,p_holidays)),2)))</f>
        <v/>
      </c>
      <c r="E59" s="128" t="str">
        <f>IF(A59="","",SUMIFS(in_stop,in_eq,A59,in_done,1,in_dnum,"&gt;="&amp;p_from,in_dnum,"&lt;="&amp;p_to))</f>
        <v/>
      </c>
      <c r="F59" s="129" t="str">
        <f>IF(A59="","",COUNTIFS(in_eq,A59,in_type,"Correctif",in_done,1,in_dnum,"&gt;="&amp;p_from,in_dnum,"&lt;="&amp;p_to))</f>
        <v/>
      </c>
      <c r="G59" s="130" t="str">
        <f>IF(OR(A59="",N(F59)=0),"",MAX(0,D59-E59)/F59)</f>
        <v/>
      </c>
      <c r="H59" s="81" t="str">
        <f>IF(OR(A59="",N(F59)=0),"",S59/F59)</f>
        <v/>
      </c>
      <c r="I59" s="81" t="str">
        <f>IF(OR(A59="",N(F59)=0),"",T59/F59)</f>
        <v/>
      </c>
      <c r="J59" s="131" t="str">
        <f>IF(OR(A59="",N(D59)=0),"",MAX(0,D59-E59)/D59)</f>
        <v/>
      </c>
      <c r="K59" s="128" t="str">
        <f>IF(A59="","",SUMIFS(in_work,in_eq,A59,in_type,"Préventif",in_done,1,in_dnum,"&gt;="&amp;p_from,in_dnum,"&lt;="&amp;p_to))</f>
        <v/>
      </c>
      <c r="L59" s="128" t="str">
        <f>IF(A59="","",SUMIFS(in_work,in_eq,A59,in_type,"Correctif",in_done,1,in_dnum,"&gt;="&amp;p_from,in_dnum,"&lt;="&amp;p_to))</f>
        <v/>
      </c>
      <c r="M59" s="128" t="str">
        <f>IF(A59="","",SUMIFS(in_work,in_eq,A59,in_type,"Amélioratif",in_done,1,in_dnum,"&gt;="&amp;p_from,in_dnum,"&lt;="&amp;p_to))</f>
        <v/>
      </c>
      <c r="N59" s="131" t="str">
        <f>IF(OR(A59="",N(K59)+N(L59)+N(M59)=0),"",K59/(K59+L59+M59))</f>
        <v/>
      </c>
      <c r="O59" s="81" t="str">
        <f>IF(A59="","",SUMIFS(in_parts,in_eq,A59,in_done,1,in_dnum,"&gt;="&amp;p_from,in_dnum,"&lt;="&amp;p_to))</f>
        <v/>
      </c>
      <c r="P59" s="81" t="str">
        <f>IF(A59="","",SUMIFS(in_mo,in_eq,A59,in_done,1,in_dnum,"&gt;="&amp;p_from,in_dnum,"&lt;="&amp;p_to))</f>
        <v/>
      </c>
      <c r="Q59" s="81" t="str">
        <f>IF(A59="","",SUMIFS(in_other,in_eq,A59,in_done,1,in_dnum,"&gt;="&amp;p_from,in_dnum,"&lt;="&amp;p_to))</f>
        <v/>
      </c>
      <c r="R59" s="81" t="str">
        <f>IF(A59="","",SUMIFS(in_total,in_eq,A59,in_done,1,in_dnum,"&gt;="&amp;p_from,in_dnum,"&lt;="&amp;p_to))</f>
        <v/>
      </c>
      <c r="S59" s="67" t="str">
        <f>IF(A59="","",SUMIFS(in_work,in_eq,A59,in_type,"Correctif",in_done,1,in_dnum,"&gt;="&amp;p_from,in_dnum,"&lt;="&amp;p_to))</f>
        <v/>
      </c>
      <c r="T59" s="67" t="str">
        <f>IF(A59="","",SUMIFS(in_stop,in_eq,A59,in_type,"Correctif",in_done,1,in_dnum,"&gt;="&amp;p_from,in_dnum,"&lt;="&amp;p_to))</f>
        <v/>
      </c>
    </row>
    <row r="60">
      <c r="A60" s="67" t="str">
        <f>IF(INDEX(eq_code,49)="","",INDEX(eq_code,49)&amp;"")</f>
        <v/>
      </c>
      <c r="B60" s="67" t="str">
        <f>IF(A60="","",INDEX(eq_des,49)&amp;"")</f>
        <v/>
      </c>
      <c r="C60" s="79" t="str">
        <f>IF(A60="","",INDEX(eq_crit,49)&amp;"")</f>
        <v/>
      </c>
      <c r="D60" s="127" t="str">
        <f>IF(A60="","",IF(MAX(p_from,N(INDEX(eq_start,49)))&gt;p_to,0,ROUND(IF(AND(ISNUMBER(INDEX(eq_hours,49)),N(INDEX(eq_hours,49))&gt;0,N(INDEX(eq_hours,49))&lt;=24),INDEX(eq_hours,49),0)*IF(p_days="7 jours sur 7",p_to-MAX(p_from,N(INDEX(eq_start,49)))+1,NETWORKDAYS.INTL(MAX(p_from,N(INDEX(eq_start,49))),p_to,p_weekend,p_holidays)),2)))</f>
        <v/>
      </c>
      <c r="E60" s="128" t="str">
        <f>IF(A60="","",SUMIFS(in_stop,in_eq,A60,in_done,1,in_dnum,"&gt;="&amp;p_from,in_dnum,"&lt;="&amp;p_to))</f>
        <v/>
      </c>
      <c r="F60" s="129" t="str">
        <f>IF(A60="","",COUNTIFS(in_eq,A60,in_type,"Correctif",in_done,1,in_dnum,"&gt;="&amp;p_from,in_dnum,"&lt;="&amp;p_to))</f>
        <v/>
      </c>
      <c r="G60" s="130" t="str">
        <f>IF(OR(A60="",N(F60)=0),"",MAX(0,D60-E60)/F60)</f>
        <v/>
      </c>
      <c r="H60" s="81" t="str">
        <f>IF(OR(A60="",N(F60)=0),"",S60/F60)</f>
        <v/>
      </c>
      <c r="I60" s="81" t="str">
        <f>IF(OR(A60="",N(F60)=0),"",T60/F60)</f>
        <v/>
      </c>
      <c r="J60" s="131" t="str">
        <f>IF(OR(A60="",N(D60)=0),"",MAX(0,D60-E60)/D60)</f>
        <v/>
      </c>
      <c r="K60" s="128" t="str">
        <f>IF(A60="","",SUMIFS(in_work,in_eq,A60,in_type,"Préventif",in_done,1,in_dnum,"&gt;="&amp;p_from,in_dnum,"&lt;="&amp;p_to))</f>
        <v/>
      </c>
      <c r="L60" s="128" t="str">
        <f>IF(A60="","",SUMIFS(in_work,in_eq,A60,in_type,"Correctif",in_done,1,in_dnum,"&gt;="&amp;p_from,in_dnum,"&lt;="&amp;p_to))</f>
        <v/>
      </c>
      <c r="M60" s="128" t="str">
        <f>IF(A60="","",SUMIFS(in_work,in_eq,A60,in_type,"Amélioratif",in_done,1,in_dnum,"&gt;="&amp;p_from,in_dnum,"&lt;="&amp;p_to))</f>
        <v/>
      </c>
      <c r="N60" s="131" t="str">
        <f>IF(OR(A60="",N(K60)+N(L60)+N(M60)=0),"",K60/(K60+L60+M60))</f>
        <v/>
      </c>
      <c r="O60" s="81" t="str">
        <f>IF(A60="","",SUMIFS(in_parts,in_eq,A60,in_done,1,in_dnum,"&gt;="&amp;p_from,in_dnum,"&lt;="&amp;p_to))</f>
        <v/>
      </c>
      <c r="P60" s="81" t="str">
        <f>IF(A60="","",SUMIFS(in_mo,in_eq,A60,in_done,1,in_dnum,"&gt;="&amp;p_from,in_dnum,"&lt;="&amp;p_to))</f>
        <v/>
      </c>
      <c r="Q60" s="81" t="str">
        <f>IF(A60="","",SUMIFS(in_other,in_eq,A60,in_done,1,in_dnum,"&gt;="&amp;p_from,in_dnum,"&lt;="&amp;p_to))</f>
        <v/>
      </c>
      <c r="R60" s="81" t="str">
        <f>IF(A60="","",SUMIFS(in_total,in_eq,A60,in_done,1,in_dnum,"&gt;="&amp;p_from,in_dnum,"&lt;="&amp;p_to))</f>
        <v/>
      </c>
      <c r="S60" s="67" t="str">
        <f>IF(A60="","",SUMIFS(in_work,in_eq,A60,in_type,"Correctif",in_done,1,in_dnum,"&gt;="&amp;p_from,in_dnum,"&lt;="&amp;p_to))</f>
        <v/>
      </c>
      <c r="T60" s="67" t="str">
        <f>IF(A60="","",SUMIFS(in_stop,in_eq,A60,in_type,"Correctif",in_done,1,in_dnum,"&gt;="&amp;p_from,in_dnum,"&lt;="&amp;p_to))</f>
        <v/>
      </c>
    </row>
    <row r="61">
      <c r="A61" s="67" t="str">
        <f>IF(INDEX(eq_code,50)="","",INDEX(eq_code,50)&amp;"")</f>
        <v/>
      </c>
      <c r="B61" s="67" t="str">
        <f>IF(A61="","",INDEX(eq_des,50)&amp;"")</f>
        <v/>
      </c>
      <c r="C61" s="79" t="str">
        <f>IF(A61="","",INDEX(eq_crit,50)&amp;"")</f>
        <v/>
      </c>
      <c r="D61" s="127" t="str">
        <f>IF(A61="","",IF(MAX(p_from,N(INDEX(eq_start,50)))&gt;p_to,0,ROUND(IF(AND(ISNUMBER(INDEX(eq_hours,50)),N(INDEX(eq_hours,50))&gt;0,N(INDEX(eq_hours,50))&lt;=24),INDEX(eq_hours,50),0)*IF(p_days="7 jours sur 7",p_to-MAX(p_from,N(INDEX(eq_start,50)))+1,NETWORKDAYS.INTL(MAX(p_from,N(INDEX(eq_start,50))),p_to,p_weekend,p_holidays)),2)))</f>
        <v/>
      </c>
      <c r="E61" s="128" t="str">
        <f>IF(A61="","",SUMIFS(in_stop,in_eq,A61,in_done,1,in_dnum,"&gt;="&amp;p_from,in_dnum,"&lt;="&amp;p_to))</f>
        <v/>
      </c>
      <c r="F61" s="129" t="str">
        <f>IF(A61="","",COUNTIFS(in_eq,A61,in_type,"Correctif",in_done,1,in_dnum,"&gt;="&amp;p_from,in_dnum,"&lt;="&amp;p_to))</f>
        <v/>
      </c>
      <c r="G61" s="130" t="str">
        <f>IF(OR(A61="",N(F61)=0),"",MAX(0,D61-E61)/F61)</f>
        <v/>
      </c>
      <c r="H61" s="81" t="str">
        <f>IF(OR(A61="",N(F61)=0),"",S61/F61)</f>
        <v/>
      </c>
      <c r="I61" s="81" t="str">
        <f>IF(OR(A61="",N(F61)=0),"",T61/F61)</f>
        <v/>
      </c>
      <c r="J61" s="131" t="str">
        <f>IF(OR(A61="",N(D61)=0),"",MAX(0,D61-E61)/D61)</f>
        <v/>
      </c>
      <c r="K61" s="128" t="str">
        <f>IF(A61="","",SUMIFS(in_work,in_eq,A61,in_type,"Préventif",in_done,1,in_dnum,"&gt;="&amp;p_from,in_dnum,"&lt;="&amp;p_to))</f>
        <v/>
      </c>
      <c r="L61" s="128" t="str">
        <f>IF(A61="","",SUMIFS(in_work,in_eq,A61,in_type,"Correctif",in_done,1,in_dnum,"&gt;="&amp;p_from,in_dnum,"&lt;="&amp;p_to))</f>
        <v/>
      </c>
      <c r="M61" s="128" t="str">
        <f>IF(A61="","",SUMIFS(in_work,in_eq,A61,in_type,"Amélioratif",in_done,1,in_dnum,"&gt;="&amp;p_from,in_dnum,"&lt;="&amp;p_to))</f>
        <v/>
      </c>
      <c r="N61" s="131" t="str">
        <f>IF(OR(A61="",N(K61)+N(L61)+N(M61)=0),"",K61/(K61+L61+M61))</f>
        <v/>
      </c>
      <c r="O61" s="81" t="str">
        <f>IF(A61="","",SUMIFS(in_parts,in_eq,A61,in_done,1,in_dnum,"&gt;="&amp;p_from,in_dnum,"&lt;="&amp;p_to))</f>
        <v/>
      </c>
      <c r="P61" s="81" t="str">
        <f>IF(A61="","",SUMIFS(in_mo,in_eq,A61,in_done,1,in_dnum,"&gt;="&amp;p_from,in_dnum,"&lt;="&amp;p_to))</f>
        <v/>
      </c>
      <c r="Q61" s="81" t="str">
        <f>IF(A61="","",SUMIFS(in_other,in_eq,A61,in_done,1,in_dnum,"&gt;="&amp;p_from,in_dnum,"&lt;="&amp;p_to))</f>
        <v/>
      </c>
      <c r="R61" s="81" t="str">
        <f>IF(A61="","",SUMIFS(in_total,in_eq,A61,in_done,1,in_dnum,"&gt;="&amp;p_from,in_dnum,"&lt;="&amp;p_to))</f>
        <v/>
      </c>
      <c r="S61" s="67" t="str">
        <f>IF(A61="","",SUMIFS(in_work,in_eq,A61,in_type,"Correctif",in_done,1,in_dnum,"&gt;="&amp;p_from,in_dnum,"&lt;="&amp;p_to))</f>
        <v/>
      </c>
      <c r="T61" s="67" t="str">
        <f>IF(A61="","",SUMIFS(in_stop,in_eq,A61,in_type,"Correctif",in_done,1,in_dnum,"&gt;="&amp;p_from,in_dnum,"&lt;="&amp;p_to))</f>
        <v/>
      </c>
    </row>
    <row r="62">
      <c r="A62" s="67" t="str">
        <f>IF(INDEX(eq_code,51)="","",INDEX(eq_code,51)&amp;"")</f>
        <v/>
      </c>
      <c r="B62" s="67" t="str">
        <f>IF(A62="","",INDEX(eq_des,51)&amp;"")</f>
        <v/>
      </c>
      <c r="C62" s="79" t="str">
        <f>IF(A62="","",INDEX(eq_crit,51)&amp;"")</f>
        <v/>
      </c>
      <c r="D62" s="127" t="str">
        <f>IF(A62="","",IF(MAX(p_from,N(INDEX(eq_start,51)))&gt;p_to,0,ROUND(IF(AND(ISNUMBER(INDEX(eq_hours,51)),N(INDEX(eq_hours,51))&gt;0,N(INDEX(eq_hours,51))&lt;=24),INDEX(eq_hours,51),0)*IF(p_days="7 jours sur 7",p_to-MAX(p_from,N(INDEX(eq_start,51)))+1,NETWORKDAYS.INTL(MAX(p_from,N(INDEX(eq_start,51))),p_to,p_weekend,p_holidays)),2)))</f>
        <v/>
      </c>
      <c r="E62" s="128" t="str">
        <f>IF(A62="","",SUMIFS(in_stop,in_eq,A62,in_done,1,in_dnum,"&gt;="&amp;p_from,in_dnum,"&lt;="&amp;p_to))</f>
        <v/>
      </c>
      <c r="F62" s="129" t="str">
        <f>IF(A62="","",COUNTIFS(in_eq,A62,in_type,"Correctif",in_done,1,in_dnum,"&gt;="&amp;p_from,in_dnum,"&lt;="&amp;p_to))</f>
        <v/>
      </c>
      <c r="G62" s="130" t="str">
        <f>IF(OR(A62="",N(F62)=0),"",MAX(0,D62-E62)/F62)</f>
        <v/>
      </c>
      <c r="H62" s="81" t="str">
        <f>IF(OR(A62="",N(F62)=0),"",S62/F62)</f>
        <v/>
      </c>
      <c r="I62" s="81" t="str">
        <f>IF(OR(A62="",N(F62)=0),"",T62/F62)</f>
        <v/>
      </c>
      <c r="J62" s="131" t="str">
        <f>IF(OR(A62="",N(D62)=0),"",MAX(0,D62-E62)/D62)</f>
        <v/>
      </c>
      <c r="K62" s="128" t="str">
        <f>IF(A62="","",SUMIFS(in_work,in_eq,A62,in_type,"Préventif",in_done,1,in_dnum,"&gt;="&amp;p_from,in_dnum,"&lt;="&amp;p_to))</f>
        <v/>
      </c>
      <c r="L62" s="128" t="str">
        <f>IF(A62="","",SUMIFS(in_work,in_eq,A62,in_type,"Correctif",in_done,1,in_dnum,"&gt;="&amp;p_from,in_dnum,"&lt;="&amp;p_to))</f>
        <v/>
      </c>
      <c r="M62" s="128" t="str">
        <f>IF(A62="","",SUMIFS(in_work,in_eq,A62,in_type,"Amélioratif",in_done,1,in_dnum,"&gt;="&amp;p_from,in_dnum,"&lt;="&amp;p_to))</f>
        <v/>
      </c>
      <c r="N62" s="131" t="str">
        <f>IF(OR(A62="",N(K62)+N(L62)+N(M62)=0),"",K62/(K62+L62+M62))</f>
        <v/>
      </c>
      <c r="O62" s="81" t="str">
        <f>IF(A62="","",SUMIFS(in_parts,in_eq,A62,in_done,1,in_dnum,"&gt;="&amp;p_from,in_dnum,"&lt;="&amp;p_to))</f>
        <v/>
      </c>
      <c r="P62" s="81" t="str">
        <f>IF(A62="","",SUMIFS(in_mo,in_eq,A62,in_done,1,in_dnum,"&gt;="&amp;p_from,in_dnum,"&lt;="&amp;p_to))</f>
        <v/>
      </c>
      <c r="Q62" s="81" t="str">
        <f>IF(A62="","",SUMIFS(in_other,in_eq,A62,in_done,1,in_dnum,"&gt;="&amp;p_from,in_dnum,"&lt;="&amp;p_to))</f>
        <v/>
      </c>
      <c r="R62" s="81" t="str">
        <f>IF(A62="","",SUMIFS(in_total,in_eq,A62,in_done,1,in_dnum,"&gt;="&amp;p_from,in_dnum,"&lt;="&amp;p_to))</f>
        <v/>
      </c>
      <c r="S62" s="67" t="str">
        <f>IF(A62="","",SUMIFS(in_work,in_eq,A62,in_type,"Correctif",in_done,1,in_dnum,"&gt;="&amp;p_from,in_dnum,"&lt;="&amp;p_to))</f>
        <v/>
      </c>
      <c r="T62" s="67" t="str">
        <f>IF(A62="","",SUMIFS(in_stop,in_eq,A62,in_type,"Correctif",in_done,1,in_dnum,"&gt;="&amp;p_from,in_dnum,"&lt;="&amp;p_to))</f>
        <v/>
      </c>
    </row>
    <row r="63">
      <c r="A63" s="67" t="str">
        <f>IF(INDEX(eq_code,52)="","",INDEX(eq_code,52)&amp;"")</f>
        <v/>
      </c>
      <c r="B63" s="67" t="str">
        <f>IF(A63="","",INDEX(eq_des,52)&amp;"")</f>
        <v/>
      </c>
      <c r="C63" s="79" t="str">
        <f>IF(A63="","",INDEX(eq_crit,52)&amp;"")</f>
        <v/>
      </c>
      <c r="D63" s="127" t="str">
        <f>IF(A63="","",IF(MAX(p_from,N(INDEX(eq_start,52)))&gt;p_to,0,ROUND(IF(AND(ISNUMBER(INDEX(eq_hours,52)),N(INDEX(eq_hours,52))&gt;0,N(INDEX(eq_hours,52))&lt;=24),INDEX(eq_hours,52),0)*IF(p_days="7 jours sur 7",p_to-MAX(p_from,N(INDEX(eq_start,52)))+1,NETWORKDAYS.INTL(MAX(p_from,N(INDEX(eq_start,52))),p_to,p_weekend,p_holidays)),2)))</f>
        <v/>
      </c>
      <c r="E63" s="128" t="str">
        <f>IF(A63="","",SUMIFS(in_stop,in_eq,A63,in_done,1,in_dnum,"&gt;="&amp;p_from,in_dnum,"&lt;="&amp;p_to))</f>
        <v/>
      </c>
      <c r="F63" s="129" t="str">
        <f>IF(A63="","",COUNTIFS(in_eq,A63,in_type,"Correctif",in_done,1,in_dnum,"&gt;="&amp;p_from,in_dnum,"&lt;="&amp;p_to))</f>
        <v/>
      </c>
      <c r="G63" s="130" t="str">
        <f>IF(OR(A63="",N(F63)=0),"",MAX(0,D63-E63)/F63)</f>
        <v/>
      </c>
      <c r="H63" s="81" t="str">
        <f>IF(OR(A63="",N(F63)=0),"",S63/F63)</f>
        <v/>
      </c>
      <c r="I63" s="81" t="str">
        <f>IF(OR(A63="",N(F63)=0),"",T63/F63)</f>
        <v/>
      </c>
      <c r="J63" s="131" t="str">
        <f>IF(OR(A63="",N(D63)=0),"",MAX(0,D63-E63)/D63)</f>
        <v/>
      </c>
      <c r="K63" s="128" t="str">
        <f>IF(A63="","",SUMIFS(in_work,in_eq,A63,in_type,"Préventif",in_done,1,in_dnum,"&gt;="&amp;p_from,in_dnum,"&lt;="&amp;p_to))</f>
        <v/>
      </c>
      <c r="L63" s="128" t="str">
        <f>IF(A63="","",SUMIFS(in_work,in_eq,A63,in_type,"Correctif",in_done,1,in_dnum,"&gt;="&amp;p_from,in_dnum,"&lt;="&amp;p_to))</f>
        <v/>
      </c>
      <c r="M63" s="128" t="str">
        <f>IF(A63="","",SUMIFS(in_work,in_eq,A63,in_type,"Amélioratif",in_done,1,in_dnum,"&gt;="&amp;p_from,in_dnum,"&lt;="&amp;p_to))</f>
        <v/>
      </c>
      <c r="N63" s="131" t="str">
        <f>IF(OR(A63="",N(K63)+N(L63)+N(M63)=0),"",K63/(K63+L63+M63))</f>
        <v/>
      </c>
      <c r="O63" s="81" t="str">
        <f>IF(A63="","",SUMIFS(in_parts,in_eq,A63,in_done,1,in_dnum,"&gt;="&amp;p_from,in_dnum,"&lt;="&amp;p_to))</f>
        <v/>
      </c>
      <c r="P63" s="81" t="str">
        <f>IF(A63="","",SUMIFS(in_mo,in_eq,A63,in_done,1,in_dnum,"&gt;="&amp;p_from,in_dnum,"&lt;="&amp;p_to))</f>
        <v/>
      </c>
      <c r="Q63" s="81" t="str">
        <f>IF(A63="","",SUMIFS(in_other,in_eq,A63,in_done,1,in_dnum,"&gt;="&amp;p_from,in_dnum,"&lt;="&amp;p_to))</f>
        <v/>
      </c>
      <c r="R63" s="81" t="str">
        <f>IF(A63="","",SUMIFS(in_total,in_eq,A63,in_done,1,in_dnum,"&gt;="&amp;p_from,in_dnum,"&lt;="&amp;p_to))</f>
        <v/>
      </c>
      <c r="S63" s="67" t="str">
        <f>IF(A63="","",SUMIFS(in_work,in_eq,A63,in_type,"Correctif",in_done,1,in_dnum,"&gt;="&amp;p_from,in_dnum,"&lt;="&amp;p_to))</f>
        <v/>
      </c>
      <c r="T63" s="67" t="str">
        <f>IF(A63="","",SUMIFS(in_stop,in_eq,A63,in_type,"Correctif",in_done,1,in_dnum,"&gt;="&amp;p_from,in_dnum,"&lt;="&amp;p_to))</f>
        <v/>
      </c>
    </row>
    <row r="64">
      <c r="A64" s="67" t="str">
        <f>IF(INDEX(eq_code,53)="","",INDEX(eq_code,53)&amp;"")</f>
        <v/>
      </c>
      <c r="B64" s="67" t="str">
        <f>IF(A64="","",INDEX(eq_des,53)&amp;"")</f>
        <v/>
      </c>
      <c r="C64" s="79" t="str">
        <f>IF(A64="","",INDEX(eq_crit,53)&amp;"")</f>
        <v/>
      </c>
      <c r="D64" s="127" t="str">
        <f>IF(A64="","",IF(MAX(p_from,N(INDEX(eq_start,53)))&gt;p_to,0,ROUND(IF(AND(ISNUMBER(INDEX(eq_hours,53)),N(INDEX(eq_hours,53))&gt;0,N(INDEX(eq_hours,53))&lt;=24),INDEX(eq_hours,53),0)*IF(p_days="7 jours sur 7",p_to-MAX(p_from,N(INDEX(eq_start,53)))+1,NETWORKDAYS.INTL(MAX(p_from,N(INDEX(eq_start,53))),p_to,p_weekend,p_holidays)),2)))</f>
        <v/>
      </c>
      <c r="E64" s="128" t="str">
        <f>IF(A64="","",SUMIFS(in_stop,in_eq,A64,in_done,1,in_dnum,"&gt;="&amp;p_from,in_dnum,"&lt;="&amp;p_to))</f>
        <v/>
      </c>
      <c r="F64" s="129" t="str">
        <f>IF(A64="","",COUNTIFS(in_eq,A64,in_type,"Correctif",in_done,1,in_dnum,"&gt;="&amp;p_from,in_dnum,"&lt;="&amp;p_to))</f>
        <v/>
      </c>
      <c r="G64" s="130" t="str">
        <f>IF(OR(A64="",N(F64)=0),"",MAX(0,D64-E64)/F64)</f>
        <v/>
      </c>
      <c r="H64" s="81" t="str">
        <f>IF(OR(A64="",N(F64)=0),"",S64/F64)</f>
        <v/>
      </c>
      <c r="I64" s="81" t="str">
        <f>IF(OR(A64="",N(F64)=0),"",T64/F64)</f>
        <v/>
      </c>
      <c r="J64" s="131" t="str">
        <f>IF(OR(A64="",N(D64)=0),"",MAX(0,D64-E64)/D64)</f>
        <v/>
      </c>
      <c r="K64" s="128" t="str">
        <f>IF(A64="","",SUMIFS(in_work,in_eq,A64,in_type,"Préventif",in_done,1,in_dnum,"&gt;="&amp;p_from,in_dnum,"&lt;="&amp;p_to))</f>
        <v/>
      </c>
      <c r="L64" s="128" t="str">
        <f>IF(A64="","",SUMIFS(in_work,in_eq,A64,in_type,"Correctif",in_done,1,in_dnum,"&gt;="&amp;p_from,in_dnum,"&lt;="&amp;p_to))</f>
        <v/>
      </c>
      <c r="M64" s="128" t="str">
        <f>IF(A64="","",SUMIFS(in_work,in_eq,A64,in_type,"Amélioratif",in_done,1,in_dnum,"&gt;="&amp;p_from,in_dnum,"&lt;="&amp;p_to))</f>
        <v/>
      </c>
      <c r="N64" s="131" t="str">
        <f>IF(OR(A64="",N(K64)+N(L64)+N(M64)=0),"",K64/(K64+L64+M64))</f>
        <v/>
      </c>
      <c r="O64" s="81" t="str">
        <f>IF(A64="","",SUMIFS(in_parts,in_eq,A64,in_done,1,in_dnum,"&gt;="&amp;p_from,in_dnum,"&lt;="&amp;p_to))</f>
        <v/>
      </c>
      <c r="P64" s="81" t="str">
        <f>IF(A64="","",SUMIFS(in_mo,in_eq,A64,in_done,1,in_dnum,"&gt;="&amp;p_from,in_dnum,"&lt;="&amp;p_to))</f>
        <v/>
      </c>
      <c r="Q64" s="81" t="str">
        <f>IF(A64="","",SUMIFS(in_other,in_eq,A64,in_done,1,in_dnum,"&gt;="&amp;p_from,in_dnum,"&lt;="&amp;p_to))</f>
        <v/>
      </c>
      <c r="R64" s="81" t="str">
        <f>IF(A64="","",SUMIFS(in_total,in_eq,A64,in_done,1,in_dnum,"&gt;="&amp;p_from,in_dnum,"&lt;="&amp;p_to))</f>
        <v/>
      </c>
      <c r="S64" s="67" t="str">
        <f>IF(A64="","",SUMIFS(in_work,in_eq,A64,in_type,"Correctif",in_done,1,in_dnum,"&gt;="&amp;p_from,in_dnum,"&lt;="&amp;p_to))</f>
        <v/>
      </c>
      <c r="T64" s="67" t="str">
        <f>IF(A64="","",SUMIFS(in_stop,in_eq,A64,in_type,"Correctif",in_done,1,in_dnum,"&gt;="&amp;p_from,in_dnum,"&lt;="&amp;p_to))</f>
        <v/>
      </c>
    </row>
    <row r="65">
      <c r="A65" s="67" t="str">
        <f>IF(INDEX(eq_code,54)="","",INDEX(eq_code,54)&amp;"")</f>
        <v/>
      </c>
      <c r="B65" s="67" t="str">
        <f>IF(A65="","",INDEX(eq_des,54)&amp;"")</f>
        <v/>
      </c>
      <c r="C65" s="79" t="str">
        <f>IF(A65="","",INDEX(eq_crit,54)&amp;"")</f>
        <v/>
      </c>
      <c r="D65" s="127" t="str">
        <f>IF(A65="","",IF(MAX(p_from,N(INDEX(eq_start,54)))&gt;p_to,0,ROUND(IF(AND(ISNUMBER(INDEX(eq_hours,54)),N(INDEX(eq_hours,54))&gt;0,N(INDEX(eq_hours,54))&lt;=24),INDEX(eq_hours,54),0)*IF(p_days="7 jours sur 7",p_to-MAX(p_from,N(INDEX(eq_start,54)))+1,NETWORKDAYS.INTL(MAX(p_from,N(INDEX(eq_start,54))),p_to,p_weekend,p_holidays)),2)))</f>
        <v/>
      </c>
      <c r="E65" s="128" t="str">
        <f>IF(A65="","",SUMIFS(in_stop,in_eq,A65,in_done,1,in_dnum,"&gt;="&amp;p_from,in_dnum,"&lt;="&amp;p_to))</f>
        <v/>
      </c>
      <c r="F65" s="129" t="str">
        <f>IF(A65="","",COUNTIFS(in_eq,A65,in_type,"Correctif",in_done,1,in_dnum,"&gt;="&amp;p_from,in_dnum,"&lt;="&amp;p_to))</f>
        <v/>
      </c>
      <c r="G65" s="130" t="str">
        <f>IF(OR(A65="",N(F65)=0),"",MAX(0,D65-E65)/F65)</f>
        <v/>
      </c>
      <c r="H65" s="81" t="str">
        <f>IF(OR(A65="",N(F65)=0),"",S65/F65)</f>
        <v/>
      </c>
      <c r="I65" s="81" t="str">
        <f>IF(OR(A65="",N(F65)=0),"",T65/F65)</f>
        <v/>
      </c>
      <c r="J65" s="131" t="str">
        <f>IF(OR(A65="",N(D65)=0),"",MAX(0,D65-E65)/D65)</f>
        <v/>
      </c>
      <c r="K65" s="128" t="str">
        <f>IF(A65="","",SUMIFS(in_work,in_eq,A65,in_type,"Préventif",in_done,1,in_dnum,"&gt;="&amp;p_from,in_dnum,"&lt;="&amp;p_to))</f>
        <v/>
      </c>
      <c r="L65" s="128" t="str">
        <f>IF(A65="","",SUMIFS(in_work,in_eq,A65,in_type,"Correctif",in_done,1,in_dnum,"&gt;="&amp;p_from,in_dnum,"&lt;="&amp;p_to))</f>
        <v/>
      </c>
      <c r="M65" s="128" t="str">
        <f>IF(A65="","",SUMIFS(in_work,in_eq,A65,in_type,"Amélioratif",in_done,1,in_dnum,"&gt;="&amp;p_from,in_dnum,"&lt;="&amp;p_to))</f>
        <v/>
      </c>
      <c r="N65" s="131" t="str">
        <f>IF(OR(A65="",N(K65)+N(L65)+N(M65)=0),"",K65/(K65+L65+M65))</f>
        <v/>
      </c>
      <c r="O65" s="81" t="str">
        <f>IF(A65="","",SUMIFS(in_parts,in_eq,A65,in_done,1,in_dnum,"&gt;="&amp;p_from,in_dnum,"&lt;="&amp;p_to))</f>
        <v/>
      </c>
      <c r="P65" s="81" t="str">
        <f>IF(A65="","",SUMIFS(in_mo,in_eq,A65,in_done,1,in_dnum,"&gt;="&amp;p_from,in_dnum,"&lt;="&amp;p_to))</f>
        <v/>
      </c>
      <c r="Q65" s="81" t="str">
        <f>IF(A65="","",SUMIFS(in_other,in_eq,A65,in_done,1,in_dnum,"&gt;="&amp;p_from,in_dnum,"&lt;="&amp;p_to))</f>
        <v/>
      </c>
      <c r="R65" s="81" t="str">
        <f>IF(A65="","",SUMIFS(in_total,in_eq,A65,in_done,1,in_dnum,"&gt;="&amp;p_from,in_dnum,"&lt;="&amp;p_to))</f>
        <v/>
      </c>
      <c r="S65" s="67" t="str">
        <f>IF(A65="","",SUMIFS(in_work,in_eq,A65,in_type,"Correctif",in_done,1,in_dnum,"&gt;="&amp;p_from,in_dnum,"&lt;="&amp;p_to))</f>
        <v/>
      </c>
      <c r="T65" s="67" t="str">
        <f>IF(A65="","",SUMIFS(in_stop,in_eq,A65,in_type,"Correctif",in_done,1,in_dnum,"&gt;="&amp;p_from,in_dnum,"&lt;="&amp;p_to))</f>
        <v/>
      </c>
    </row>
    <row r="66">
      <c r="A66" s="67" t="str">
        <f>IF(INDEX(eq_code,55)="","",INDEX(eq_code,55)&amp;"")</f>
        <v/>
      </c>
      <c r="B66" s="67" t="str">
        <f>IF(A66="","",INDEX(eq_des,55)&amp;"")</f>
        <v/>
      </c>
      <c r="C66" s="79" t="str">
        <f>IF(A66="","",INDEX(eq_crit,55)&amp;"")</f>
        <v/>
      </c>
      <c r="D66" s="127" t="str">
        <f>IF(A66="","",IF(MAX(p_from,N(INDEX(eq_start,55)))&gt;p_to,0,ROUND(IF(AND(ISNUMBER(INDEX(eq_hours,55)),N(INDEX(eq_hours,55))&gt;0,N(INDEX(eq_hours,55))&lt;=24),INDEX(eq_hours,55),0)*IF(p_days="7 jours sur 7",p_to-MAX(p_from,N(INDEX(eq_start,55)))+1,NETWORKDAYS.INTL(MAX(p_from,N(INDEX(eq_start,55))),p_to,p_weekend,p_holidays)),2)))</f>
        <v/>
      </c>
      <c r="E66" s="128" t="str">
        <f>IF(A66="","",SUMIFS(in_stop,in_eq,A66,in_done,1,in_dnum,"&gt;="&amp;p_from,in_dnum,"&lt;="&amp;p_to))</f>
        <v/>
      </c>
      <c r="F66" s="129" t="str">
        <f>IF(A66="","",COUNTIFS(in_eq,A66,in_type,"Correctif",in_done,1,in_dnum,"&gt;="&amp;p_from,in_dnum,"&lt;="&amp;p_to))</f>
        <v/>
      </c>
      <c r="G66" s="130" t="str">
        <f>IF(OR(A66="",N(F66)=0),"",MAX(0,D66-E66)/F66)</f>
        <v/>
      </c>
      <c r="H66" s="81" t="str">
        <f>IF(OR(A66="",N(F66)=0),"",S66/F66)</f>
        <v/>
      </c>
      <c r="I66" s="81" t="str">
        <f>IF(OR(A66="",N(F66)=0),"",T66/F66)</f>
        <v/>
      </c>
      <c r="J66" s="131" t="str">
        <f>IF(OR(A66="",N(D66)=0),"",MAX(0,D66-E66)/D66)</f>
        <v/>
      </c>
      <c r="K66" s="128" t="str">
        <f>IF(A66="","",SUMIFS(in_work,in_eq,A66,in_type,"Préventif",in_done,1,in_dnum,"&gt;="&amp;p_from,in_dnum,"&lt;="&amp;p_to))</f>
        <v/>
      </c>
      <c r="L66" s="128" t="str">
        <f>IF(A66="","",SUMIFS(in_work,in_eq,A66,in_type,"Correctif",in_done,1,in_dnum,"&gt;="&amp;p_from,in_dnum,"&lt;="&amp;p_to))</f>
        <v/>
      </c>
      <c r="M66" s="128" t="str">
        <f>IF(A66="","",SUMIFS(in_work,in_eq,A66,in_type,"Amélioratif",in_done,1,in_dnum,"&gt;="&amp;p_from,in_dnum,"&lt;="&amp;p_to))</f>
        <v/>
      </c>
      <c r="N66" s="131" t="str">
        <f>IF(OR(A66="",N(K66)+N(L66)+N(M66)=0),"",K66/(K66+L66+M66))</f>
        <v/>
      </c>
      <c r="O66" s="81" t="str">
        <f>IF(A66="","",SUMIFS(in_parts,in_eq,A66,in_done,1,in_dnum,"&gt;="&amp;p_from,in_dnum,"&lt;="&amp;p_to))</f>
        <v/>
      </c>
      <c r="P66" s="81" t="str">
        <f>IF(A66="","",SUMIFS(in_mo,in_eq,A66,in_done,1,in_dnum,"&gt;="&amp;p_from,in_dnum,"&lt;="&amp;p_to))</f>
        <v/>
      </c>
      <c r="Q66" s="81" t="str">
        <f>IF(A66="","",SUMIFS(in_other,in_eq,A66,in_done,1,in_dnum,"&gt;="&amp;p_from,in_dnum,"&lt;="&amp;p_to))</f>
        <v/>
      </c>
      <c r="R66" s="81" t="str">
        <f>IF(A66="","",SUMIFS(in_total,in_eq,A66,in_done,1,in_dnum,"&gt;="&amp;p_from,in_dnum,"&lt;="&amp;p_to))</f>
        <v/>
      </c>
      <c r="S66" s="67" t="str">
        <f>IF(A66="","",SUMIFS(in_work,in_eq,A66,in_type,"Correctif",in_done,1,in_dnum,"&gt;="&amp;p_from,in_dnum,"&lt;="&amp;p_to))</f>
        <v/>
      </c>
      <c r="T66" s="67" t="str">
        <f>IF(A66="","",SUMIFS(in_stop,in_eq,A66,in_type,"Correctif",in_done,1,in_dnum,"&gt;="&amp;p_from,in_dnum,"&lt;="&amp;p_to))</f>
        <v/>
      </c>
    </row>
    <row r="67">
      <c r="A67" s="67" t="str">
        <f>IF(INDEX(eq_code,56)="","",INDEX(eq_code,56)&amp;"")</f>
        <v/>
      </c>
      <c r="B67" s="67" t="str">
        <f>IF(A67="","",INDEX(eq_des,56)&amp;"")</f>
        <v/>
      </c>
      <c r="C67" s="79" t="str">
        <f>IF(A67="","",INDEX(eq_crit,56)&amp;"")</f>
        <v/>
      </c>
      <c r="D67" s="127" t="str">
        <f>IF(A67="","",IF(MAX(p_from,N(INDEX(eq_start,56)))&gt;p_to,0,ROUND(IF(AND(ISNUMBER(INDEX(eq_hours,56)),N(INDEX(eq_hours,56))&gt;0,N(INDEX(eq_hours,56))&lt;=24),INDEX(eq_hours,56),0)*IF(p_days="7 jours sur 7",p_to-MAX(p_from,N(INDEX(eq_start,56)))+1,NETWORKDAYS.INTL(MAX(p_from,N(INDEX(eq_start,56))),p_to,p_weekend,p_holidays)),2)))</f>
        <v/>
      </c>
      <c r="E67" s="128" t="str">
        <f>IF(A67="","",SUMIFS(in_stop,in_eq,A67,in_done,1,in_dnum,"&gt;="&amp;p_from,in_dnum,"&lt;="&amp;p_to))</f>
        <v/>
      </c>
      <c r="F67" s="129" t="str">
        <f>IF(A67="","",COUNTIFS(in_eq,A67,in_type,"Correctif",in_done,1,in_dnum,"&gt;="&amp;p_from,in_dnum,"&lt;="&amp;p_to))</f>
        <v/>
      </c>
      <c r="G67" s="130" t="str">
        <f>IF(OR(A67="",N(F67)=0),"",MAX(0,D67-E67)/F67)</f>
        <v/>
      </c>
      <c r="H67" s="81" t="str">
        <f>IF(OR(A67="",N(F67)=0),"",S67/F67)</f>
        <v/>
      </c>
      <c r="I67" s="81" t="str">
        <f>IF(OR(A67="",N(F67)=0),"",T67/F67)</f>
        <v/>
      </c>
      <c r="J67" s="131" t="str">
        <f>IF(OR(A67="",N(D67)=0),"",MAX(0,D67-E67)/D67)</f>
        <v/>
      </c>
      <c r="K67" s="128" t="str">
        <f>IF(A67="","",SUMIFS(in_work,in_eq,A67,in_type,"Préventif",in_done,1,in_dnum,"&gt;="&amp;p_from,in_dnum,"&lt;="&amp;p_to))</f>
        <v/>
      </c>
      <c r="L67" s="128" t="str">
        <f>IF(A67="","",SUMIFS(in_work,in_eq,A67,in_type,"Correctif",in_done,1,in_dnum,"&gt;="&amp;p_from,in_dnum,"&lt;="&amp;p_to))</f>
        <v/>
      </c>
      <c r="M67" s="128" t="str">
        <f>IF(A67="","",SUMIFS(in_work,in_eq,A67,in_type,"Amélioratif",in_done,1,in_dnum,"&gt;="&amp;p_from,in_dnum,"&lt;="&amp;p_to))</f>
        <v/>
      </c>
      <c r="N67" s="131" t="str">
        <f>IF(OR(A67="",N(K67)+N(L67)+N(M67)=0),"",K67/(K67+L67+M67))</f>
        <v/>
      </c>
      <c r="O67" s="81" t="str">
        <f>IF(A67="","",SUMIFS(in_parts,in_eq,A67,in_done,1,in_dnum,"&gt;="&amp;p_from,in_dnum,"&lt;="&amp;p_to))</f>
        <v/>
      </c>
      <c r="P67" s="81" t="str">
        <f>IF(A67="","",SUMIFS(in_mo,in_eq,A67,in_done,1,in_dnum,"&gt;="&amp;p_from,in_dnum,"&lt;="&amp;p_to))</f>
        <v/>
      </c>
      <c r="Q67" s="81" t="str">
        <f>IF(A67="","",SUMIFS(in_other,in_eq,A67,in_done,1,in_dnum,"&gt;="&amp;p_from,in_dnum,"&lt;="&amp;p_to))</f>
        <v/>
      </c>
      <c r="R67" s="81" t="str">
        <f>IF(A67="","",SUMIFS(in_total,in_eq,A67,in_done,1,in_dnum,"&gt;="&amp;p_from,in_dnum,"&lt;="&amp;p_to))</f>
        <v/>
      </c>
      <c r="S67" s="67" t="str">
        <f>IF(A67="","",SUMIFS(in_work,in_eq,A67,in_type,"Correctif",in_done,1,in_dnum,"&gt;="&amp;p_from,in_dnum,"&lt;="&amp;p_to))</f>
        <v/>
      </c>
      <c r="T67" s="67" t="str">
        <f>IF(A67="","",SUMIFS(in_stop,in_eq,A67,in_type,"Correctif",in_done,1,in_dnum,"&gt;="&amp;p_from,in_dnum,"&lt;="&amp;p_to))</f>
        <v/>
      </c>
    </row>
    <row r="68">
      <c r="A68" s="67" t="str">
        <f>IF(INDEX(eq_code,57)="","",INDEX(eq_code,57)&amp;"")</f>
        <v/>
      </c>
      <c r="B68" s="67" t="str">
        <f>IF(A68="","",INDEX(eq_des,57)&amp;"")</f>
        <v/>
      </c>
      <c r="C68" s="79" t="str">
        <f>IF(A68="","",INDEX(eq_crit,57)&amp;"")</f>
        <v/>
      </c>
      <c r="D68" s="127" t="str">
        <f>IF(A68="","",IF(MAX(p_from,N(INDEX(eq_start,57)))&gt;p_to,0,ROUND(IF(AND(ISNUMBER(INDEX(eq_hours,57)),N(INDEX(eq_hours,57))&gt;0,N(INDEX(eq_hours,57))&lt;=24),INDEX(eq_hours,57),0)*IF(p_days="7 jours sur 7",p_to-MAX(p_from,N(INDEX(eq_start,57)))+1,NETWORKDAYS.INTL(MAX(p_from,N(INDEX(eq_start,57))),p_to,p_weekend,p_holidays)),2)))</f>
        <v/>
      </c>
      <c r="E68" s="128" t="str">
        <f>IF(A68="","",SUMIFS(in_stop,in_eq,A68,in_done,1,in_dnum,"&gt;="&amp;p_from,in_dnum,"&lt;="&amp;p_to))</f>
        <v/>
      </c>
      <c r="F68" s="129" t="str">
        <f>IF(A68="","",COUNTIFS(in_eq,A68,in_type,"Correctif",in_done,1,in_dnum,"&gt;="&amp;p_from,in_dnum,"&lt;="&amp;p_to))</f>
        <v/>
      </c>
      <c r="G68" s="130" t="str">
        <f>IF(OR(A68="",N(F68)=0),"",MAX(0,D68-E68)/F68)</f>
        <v/>
      </c>
      <c r="H68" s="81" t="str">
        <f>IF(OR(A68="",N(F68)=0),"",S68/F68)</f>
        <v/>
      </c>
      <c r="I68" s="81" t="str">
        <f>IF(OR(A68="",N(F68)=0),"",T68/F68)</f>
        <v/>
      </c>
      <c r="J68" s="131" t="str">
        <f>IF(OR(A68="",N(D68)=0),"",MAX(0,D68-E68)/D68)</f>
        <v/>
      </c>
      <c r="K68" s="128" t="str">
        <f>IF(A68="","",SUMIFS(in_work,in_eq,A68,in_type,"Préventif",in_done,1,in_dnum,"&gt;="&amp;p_from,in_dnum,"&lt;="&amp;p_to))</f>
        <v/>
      </c>
      <c r="L68" s="128" t="str">
        <f>IF(A68="","",SUMIFS(in_work,in_eq,A68,in_type,"Correctif",in_done,1,in_dnum,"&gt;="&amp;p_from,in_dnum,"&lt;="&amp;p_to))</f>
        <v/>
      </c>
      <c r="M68" s="128" t="str">
        <f>IF(A68="","",SUMIFS(in_work,in_eq,A68,in_type,"Amélioratif",in_done,1,in_dnum,"&gt;="&amp;p_from,in_dnum,"&lt;="&amp;p_to))</f>
        <v/>
      </c>
      <c r="N68" s="131" t="str">
        <f>IF(OR(A68="",N(K68)+N(L68)+N(M68)=0),"",K68/(K68+L68+M68))</f>
        <v/>
      </c>
      <c r="O68" s="81" t="str">
        <f>IF(A68="","",SUMIFS(in_parts,in_eq,A68,in_done,1,in_dnum,"&gt;="&amp;p_from,in_dnum,"&lt;="&amp;p_to))</f>
        <v/>
      </c>
      <c r="P68" s="81" t="str">
        <f>IF(A68="","",SUMIFS(in_mo,in_eq,A68,in_done,1,in_dnum,"&gt;="&amp;p_from,in_dnum,"&lt;="&amp;p_to))</f>
        <v/>
      </c>
      <c r="Q68" s="81" t="str">
        <f>IF(A68="","",SUMIFS(in_other,in_eq,A68,in_done,1,in_dnum,"&gt;="&amp;p_from,in_dnum,"&lt;="&amp;p_to))</f>
        <v/>
      </c>
      <c r="R68" s="81" t="str">
        <f>IF(A68="","",SUMIFS(in_total,in_eq,A68,in_done,1,in_dnum,"&gt;="&amp;p_from,in_dnum,"&lt;="&amp;p_to))</f>
        <v/>
      </c>
      <c r="S68" s="67" t="str">
        <f>IF(A68="","",SUMIFS(in_work,in_eq,A68,in_type,"Correctif",in_done,1,in_dnum,"&gt;="&amp;p_from,in_dnum,"&lt;="&amp;p_to))</f>
        <v/>
      </c>
      <c r="T68" s="67" t="str">
        <f>IF(A68="","",SUMIFS(in_stop,in_eq,A68,in_type,"Correctif",in_done,1,in_dnum,"&gt;="&amp;p_from,in_dnum,"&lt;="&amp;p_to))</f>
        <v/>
      </c>
    </row>
    <row r="69">
      <c r="A69" s="67" t="str">
        <f>IF(INDEX(eq_code,58)="","",INDEX(eq_code,58)&amp;"")</f>
        <v/>
      </c>
      <c r="B69" s="67" t="str">
        <f>IF(A69="","",INDEX(eq_des,58)&amp;"")</f>
        <v/>
      </c>
      <c r="C69" s="79" t="str">
        <f>IF(A69="","",INDEX(eq_crit,58)&amp;"")</f>
        <v/>
      </c>
      <c r="D69" s="127" t="str">
        <f>IF(A69="","",IF(MAX(p_from,N(INDEX(eq_start,58)))&gt;p_to,0,ROUND(IF(AND(ISNUMBER(INDEX(eq_hours,58)),N(INDEX(eq_hours,58))&gt;0,N(INDEX(eq_hours,58))&lt;=24),INDEX(eq_hours,58),0)*IF(p_days="7 jours sur 7",p_to-MAX(p_from,N(INDEX(eq_start,58)))+1,NETWORKDAYS.INTL(MAX(p_from,N(INDEX(eq_start,58))),p_to,p_weekend,p_holidays)),2)))</f>
        <v/>
      </c>
      <c r="E69" s="128" t="str">
        <f>IF(A69="","",SUMIFS(in_stop,in_eq,A69,in_done,1,in_dnum,"&gt;="&amp;p_from,in_dnum,"&lt;="&amp;p_to))</f>
        <v/>
      </c>
      <c r="F69" s="129" t="str">
        <f>IF(A69="","",COUNTIFS(in_eq,A69,in_type,"Correctif",in_done,1,in_dnum,"&gt;="&amp;p_from,in_dnum,"&lt;="&amp;p_to))</f>
        <v/>
      </c>
      <c r="G69" s="130" t="str">
        <f>IF(OR(A69="",N(F69)=0),"",MAX(0,D69-E69)/F69)</f>
        <v/>
      </c>
      <c r="H69" s="81" t="str">
        <f>IF(OR(A69="",N(F69)=0),"",S69/F69)</f>
        <v/>
      </c>
      <c r="I69" s="81" t="str">
        <f>IF(OR(A69="",N(F69)=0),"",T69/F69)</f>
        <v/>
      </c>
      <c r="J69" s="131" t="str">
        <f>IF(OR(A69="",N(D69)=0),"",MAX(0,D69-E69)/D69)</f>
        <v/>
      </c>
      <c r="K69" s="128" t="str">
        <f>IF(A69="","",SUMIFS(in_work,in_eq,A69,in_type,"Préventif",in_done,1,in_dnum,"&gt;="&amp;p_from,in_dnum,"&lt;="&amp;p_to))</f>
        <v/>
      </c>
      <c r="L69" s="128" t="str">
        <f>IF(A69="","",SUMIFS(in_work,in_eq,A69,in_type,"Correctif",in_done,1,in_dnum,"&gt;="&amp;p_from,in_dnum,"&lt;="&amp;p_to))</f>
        <v/>
      </c>
      <c r="M69" s="128" t="str">
        <f>IF(A69="","",SUMIFS(in_work,in_eq,A69,in_type,"Amélioratif",in_done,1,in_dnum,"&gt;="&amp;p_from,in_dnum,"&lt;="&amp;p_to))</f>
        <v/>
      </c>
      <c r="N69" s="131" t="str">
        <f>IF(OR(A69="",N(K69)+N(L69)+N(M69)=0),"",K69/(K69+L69+M69))</f>
        <v/>
      </c>
      <c r="O69" s="81" t="str">
        <f>IF(A69="","",SUMIFS(in_parts,in_eq,A69,in_done,1,in_dnum,"&gt;="&amp;p_from,in_dnum,"&lt;="&amp;p_to))</f>
        <v/>
      </c>
      <c r="P69" s="81" t="str">
        <f>IF(A69="","",SUMIFS(in_mo,in_eq,A69,in_done,1,in_dnum,"&gt;="&amp;p_from,in_dnum,"&lt;="&amp;p_to))</f>
        <v/>
      </c>
      <c r="Q69" s="81" t="str">
        <f>IF(A69="","",SUMIFS(in_other,in_eq,A69,in_done,1,in_dnum,"&gt;="&amp;p_from,in_dnum,"&lt;="&amp;p_to))</f>
        <v/>
      </c>
      <c r="R69" s="81" t="str">
        <f>IF(A69="","",SUMIFS(in_total,in_eq,A69,in_done,1,in_dnum,"&gt;="&amp;p_from,in_dnum,"&lt;="&amp;p_to))</f>
        <v/>
      </c>
      <c r="S69" s="67" t="str">
        <f>IF(A69="","",SUMIFS(in_work,in_eq,A69,in_type,"Correctif",in_done,1,in_dnum,"&gt;="&amp;p_from,in_dnum,"&lt;="&amp;p_to))</f>
        <v/>
      </c>
      <c r="T69" s="67" t="str">
        <f>IF(A69="","",SUMIFS(in_stop,in_eq,A69,in_type,"Correctif",in_done,1,in_dnum,"&gt;="&amp;p_from,in_dnum,"&lt;="&amp;p_to))</f>
        <v/>
      </c>
    </row>
    <row r="70">
      <c r="A70" s="67" t="str">
        <f>IF(INDEX(eq_code,59)="","",INDEX(eq_code,59)&amp;"")</f>
        <v/>
      </c>
      <c r="B70" s="67" t="str">
        <f>IF(A70="","",INDEX(eq_des,59)&amp;"")</f>
        <v/>
      </c>
      <c r="C70" s="79" t="str">
        <f>IF(A70="","",INDEX(eq_crit,59)&amp;"")</f>
        <v/>
      </c>
      <c r="D70" s="127" t="str">
        <f>IF(A70="","",IF(MAX(p_from,N(INDEX(eq_start,59)))&gt;p_to,0,ROUND(IF(AND(ISNUMBER(INDEX(eq_hours,59)),N(INDEX(eq_hours,59))&gt;0,N(INDEX(eq_hours,59))&lt;=24),INDEX(eq_hours,59),0)*IF(p_days="7 jours sur 7",p_to-MAX(p_from,N(INDEX(eq_start,59)))+1,NETWORKDAYS.INTL(MAX(p_from,N(INDEX(eq_start,59))),p_to,p_weekend,p_holidays)),2)))</f>
        <v/>
      </c>
      <c r="E70" s="128" t="str">
        <f>IF(A70="","",SUMIFS(in_stop,in_eq,A70,in_done,1,in_dnum,"&gt;="&amp;p_from,in_dnum,"&lt;="&amp;p_to))</f>
        <v/>
      </c>
      <c r="F70" s="129" t="str">
        <f>IF(A70="","",COUNTIFS(in_eq,A70,in_type,"Correctif",in_done,1,in_dnum,"&gt;="&amp;p_from,in_dnum,"&lt;="&amp;p_to))</f>
        <v/>
      </c>
      <c r="G70" s="130" t="str">
        <f>IF(OR(A70="",N(F70)=0),"",MAX(0,D70-E70)/F70)</f>
        <v/>
      </c>
      <c r="H70" s="81" t="str">
        <f>IF(OR(A70="",N(F70)=0),"",S70/F70)</f>
        <v/>
      </c>
      <c r="I70" s="81" t="str">
        <f>IF(OR(A70="",N(F70)=0),"",T70/F70)</f>
        <v/>
      </c>
      <c r="J70" s="131" t="str">
        <f>IF(OR(A70="",N(D70)=0),"",MAX(0,D70-E70)/D70)</f>
        <v/>
      </c>
      <c r="K70" s="128" t="str">
        <f>IF(A70="","",SUMIFS(in_work,in_eq,A70,in_type,"Préventif",in_done,1,in_dnum,"&gt;="&amp;p_from,in_dnum,"&lt;="&amp;p_to))</f>
        <v/>
      </c>
      <c r="L70" s="128" t="str">
        <f>IF(A70="","",SUMIFS(in_work,in_eq,A70,in_type,"Correctif",in_done,1,in_dnum,"&gt;="&amp;p_from,in_dnum,"&lt;="&amp;p_to))</f>
        <v/>
      </c>
      <c r="M70" s="128" t="str">
        <f>IF(A70="","",SUMIFS(in_work,in_eq,A70,in_type,"Amélioratif",in_done,1,in_dnum,"&gt;="&amp;p_from,in_dnum,"&lt;="&amp;p_to))</f>
        <v/>
      </c>
      <c r="N70" s="131" t="str">
        <f>IF(OR(A70="",N(K70)+N(L70)+N(M70)=0),"",K70/(K70+L70+M70))</f>
        <v/>
      </c>
      <c r="O70" s="81" t="str">
        <f>IF(A70="","",SUMIFS(in_parts,in_eq,A70,in_done,1,in_dnum,"&gt;="&amp;p_from,in_dnum,"&lt;="&amp;p_to))</f>
        <v/>
      </c>
      <c r="P70" s="81" t="str">
        <f>IF(A70="","",SUMIFS(in_mo,in_eq,A70,in_done,1,in_dnum,"&gt;="&amp;p_from,in_dnum,"&lt;="&amp;p_to))</f>
        <v/>
      </c>
      <c r="Q70" s="81" t="str">
        <f>IF(A70="","",SUMIFS(in_other,in_eq,A70,in_done,1,in_dnum,"&gt;="&amp;p_from,in_dnum,"&lt;="&amp;p_to))</f>
        <v/>
      </c>
      <c r="R70" s="81" t="str">
        <f>IF(A70="","",SUMIFS(in_total,in_eq,A70,in_done,1,in_dnum,"&gt;="&amp;p_from,in_dnum,"&lt;="&amp;p_to))</f>
        <v/>
      </c>
      <c r="S70" s="67" t="str">
        <f>IF(A70="","",SUMIFS(in_work,in_eq,A70,in_type,"Correctif",in_done,1,in_dnum,"&gt;="&amp;p_from,in_dnum,"&lt;="&amp;p_to))</f>
        <v/>
      </c>
      <c r="T70" s="67" t="str">
        <f>IF(A70="","",SUMIFS(in_stop,in_eq,A70,in_type,"Correctif",in_done,1,in_dnum,"&gt;="&amp;p_from,in_dnum,"&lt;="&amp;p_to))</f>
        <v/>
      </c>
    </row>
    <row r="71">
      <c r="A71" s="67" t="str">
        <f>IF(INDEX(eq_code,60)="","",INDEX(eq_code,60)&amp;"")</f>
        <v/>
      </c>
      <c r="B71" s="67" t="str">
        <f>IF(A71="","",INDEX(eq_des,60)&amp;"")</f>
        <v/>
      </c>
      <c r="C71" s="79" t="str">
        <f>IF(A71="","",INDEX(eq_crit,60)&amp;"")</f>
        <v/>
      </c>
      <c r="D71" s="127" t="str">
        <f>IF(A71="","",IF(MAX(p_from,N(INDEX(eq_start,60)))&gt;p_to,0,ROUND(IF(AND(ISNUMBER(INDEX(eq_hours,60)),N(INDEX(eq_hours,60))&gt;0,N(INDEX(eq_hours,60))&lt;=24),INDEX(eq_hours,60),0)*IF(p_days="7 jours sur 7",p_to-MAX(p_from,N(INDEX(eq_start,60)))+1,NETWORKDAYS.INTL(MAX(p_from,N(INDEX(eq_start,60))),p_to,p_weekend,p_holidays)),2)))</f>
        <v/>
      </c>
      <c r="E71" s="128" t="str">
        <f>IF(A71="","",SUMIFS(in_stop,in_eq,A71,in_done,1,in_dnum,"&gt;="&amp;p_from,in_dnum,"&lt;="&amp;p_to))</f>
        <v/>
      </c>
      <c r="F71" s="129" t="str">
        <f>IF(A71="","",COUNTIFS(in_eq,A71,in_type,"Correctif",in_done,1,in_dnum,"&gt;="&amp;p_from,in_dnum,"&lt;="&amp;p_to))</f>
        <v/>
      </c>
      <c r="G71" s="130" t="str">
        <f>IF(OR(A71="",N(F71)=0),"",MAX(0,D71-E71)/F71)</f>
        <v/>
      </c>
      <c r="H71" s="81" t="str">
        <f>IF(OR(A71="",N(F71)=0),"",S71/F71)</f>
        <v/>
      </c>
      <c r="I71" s="81" t="str">
        <f>IF(OR(A71="",N(F71)=0),"",T71/F71)</f>
        <v/>
      </c>
      <c r="J71" s="131" t="str">
        <f>IF(OR(A71="",N(D71)=0),"",MAX(0,D71-E71)/D71)</f>
        <v/>
      </c>
      <c r="K71" s="128" t="str">
        <f>IF(A71="","",SUMIFS(in_work,in_eq,A71,in_type,"Préventif",in_done,1,in_dnum,"&gt;="&amp;p_from,in_dnum,"&lt;="&amp;p_to))</f>
        <v/>
      </c>
      <c r="L71" s="128" t="str">
        <f>IF(A71="","",SUMIFS(in_work,in_eq,A71,in_type,"Correctif",in_done,1,in_dnum,"&gt;="&amp;p_from,in_dnum,"&lt;="&amp;p_to))</f>
        <v/>
      </c>
      <c r="M71" s="128" t="str">
        <f>IF(A71="","",SUMIFS(in_work,in_eq,A71,in_type,"Amélioratif",in_done,1,in_dnum,"&gt;="&amp;p_from,in_dnum,"&lt;="&amp;p_to))</f>
        <v/>
      </c>
      <c r="N71" s="131" t="str">
        <f>IF(OR(A71="",N(K71)+N(L71)+N(M71)=0),"",K71/(K71+L71+M71))</f>
        <v/>
      </c>
      <c r="O71" s="81" t="str">
        <f>IF(A71="","",SUMIFS(in_parts,in_eq,A71,in_done,1,in_dnum,"&gt;="&amp;p_from,in_dnum,"&lt;="&amp;p_to))</f>
        <v/>
      </c>
      <c r="P71" s="81" t="str">
        <f>IF(A71="","",SUMIFS(in_mo,in_eq,A71,in_done,1,in_dnum,"&gt;="&amp;p_from,in_dnum,"&lt;="&amp;p_to))</f>
        <v/>
      </c>
      <c r="Q71" s="81" t="str">
        <f>IF(A71="","",SUMIFS(in_other,in_eq,A71,in_done,1,in_dnum,"&gt;="&amp;p_from,in_dnum,"&lt;="&amp;p_to))</f>
        <v/>
      </c>
      <c r="R71" s="81" t="str">
        <f>IF(A71="","",SUMIFS(in_total,in_eq,A71,in_done,1,in_dnum,"&gt;="&amp;p_from,in_dnum,"&lt;="&amp;p_to))</f>
        <v/>
      </c>
      <c r="S71" s="67" t="str">
        <f>IF(A71="","",SUMIFS(in_work,in_eq,A71,in_type,"Correctif",in_done,1,in_dnum,"&gt;="&amp;p_from,in_dnum,"&lt;="&amp;p_to))</f>
        <v/>
      </c>
      <c r="T71" s="67" t="str">
        <f>IF(A71="","",SUMIFS(in_stop,in_eq,A71,in_type,"Correctif",in_done,1,in_dnum,"&gt;="&amp;p_from,in_dnum,"&lt;="&amp;p_to))</f>
        <v/>
      </c>
    </row>
    <row r="72">
      <c r="A72" s="67" t="str">
        <f>IF(INDEX(eq_code,61)="","",INDEX(eq_code,61)&amp;"")</f>
        <v/>
      </c>
      <c r="B72" s="67" t="str">
        <f>IF(A72="","",INDEX(eq_des,61)&amp;"")</f>
        <v/>
      </c>
      <c r="C72" s="79" t="str">
        <f>IF(A72="","",INDEX(eq_crit,61)&amp;"")</f>
        <v/>
      </c>
      <c r="D72" s="127" t="str">
        <f>IF(A72="","",IF(MAX(p_from,N(INDEX(eq_start,61)))&gt;p_to,0,ROUND(IF(AND(ISNUMBER(INDEX(eq_hours,61)),N(INDEX(eq_hours,61))&gt;0,N(INDEX(eq_hours,61))&lt;=24),INDEX(eq_hours,61),0)*IF(p_days="7 jours sur 7",p_to-MAX(p_from,N(INDEX(eq_start,61)))+1,NETWORKDAYS.INTL(MAX(p_from,N(INDEX(eq_start,61))),p_to,p_weekend,p_holidays)),2)))</f>
        <v/>
      </c>
      <c r="E72" s="128" t="str">
        <f>IF(A72="","",SUMIFS(in_stop,in_eq,A72,in_done,1,in_dnum,"&gt;="&amp;p_from,in_dnum,"&lt;="&amp;p_to))</f>
        <v/>
      </c>
      <c r="F72" s="129" t="str">
        <f>IF(A72="","",COUNTIFS(in_eq,A72,in_type,"Correctif",in_done,1,in_dnum,"&gt;="&amp;p_from,in_dnum,"&lt;="&amp;p_to))</f>
        <v/>
      </c>
      <c r="G72" s="130" t="str">
        <f>IF(OR(A72="",N(F72)=0),"",MAX(0,D72-E72)/F72)</f>
        <v/>
      </c>
      <c r="H72" s="81" t="str">
        <f>IF(OR(A72="",N(F72)=0),"",S72/F72)</f>
        <v/>
      </c>
      <c r="I72" s="81" t="str">
        <f>IF(OR(A72="",N(F72)=0),"",T72/F72)</f>
        <v/>
      </c>
      <c r="J72" s="131" t="str">
        <f>IF(OR(A72="",N(D72)=0),"",MAX(0,D72-E72)/D72)</f>
        <v/>
      </c>
      <c r="K72" s="128" t="str">
        <f>IF(A72="","",SUMIFS(in_work,in_eq,A72,in_type,"Préventif",in_done,1,in_dnum,"&gt;="&amp;p_from,in_dnum,"&lt;="&amp;p_to))</f>
        <v/>
      </c>
      <c r="L72" s="128" t="str">
        <f>IF(A72="","",SUMIFS(in_work,in_eq,A72,in_type,"Correctif",in_done,1,in_dnum,"&gt;="&amp;p_from,in_dnum,"&lt;="&amp;p_to))</f>
        <v/>
      </c>
      <c r="M72" s="128" t="str">
        <f>IF(A72="","",SUMIFS(in_work,in_eq,A72,in_type,"Amélioratif",in_done,1,in_dnum,"&gt;="&amp;p_from,in_dnum,"&lt;="&amp;p_to))</f>
        <v/>
      </c>
      <c r="N72" s="131" t="str">
        <f>IF(OR(A72="",N(K72)+N(L72)+N(M72)=0),"",K72/(K72+L72+M72))</f>
        <v/>
      </c>
      <c r="O72" s="81" t="str">
        <f>IF(A72="","",SUMIFS(in_parts,in_eq,A72,in_done,1,in_dnum,"&gt;="&amp;p_from,in_dnum,"&lt;="&amp;p_to))</f>
        <v/>
      </c>
      <c r="P72" s="81" t="str">
        <f>IF(A72="","",SUMIFS(in_mo,in_eq,A72,in_done,1,in_dnum,"&gt;="&amp;p_from,in_dnum,"&lt;="&amp;p_to))</f>
        <v/>
      </c>
      <c r="Q72" s="81" t="str">
        <f>IF(A72="","",SUMIFS(in_other,in_eq,A72,in_done,1,in_dnum,"&gt;="&amp;p_from,in_dnum,"&lt;="&amp;p_to))</f>
        <v/>
      </c>
      <c r="R72" s="81" t="str">
        <f>IF(A72="","",SUMIFS(in_total,in_eq,A72,in_done,1,in_dnum,"&gt;="&amp;p_from,in_dnum,"&lt;="&amp;p_to))</f>
        <v/>
      </c>
      <c r="S72" s="67" t="str">
        <f>IF(A72="","",SUMIFS(in_work,in_eq,A72,in_type,"Correctif",in_done,1,in_dnum,"&gt;="&amp;p_from,in_dnum,"&lt;="&amp;p_to))</f>
        <v/>
      </c>
      <c r="T72" s="67" t="str">
        <f>IF(A72="","",SUMIFS(in_stop,in_eq,A72,in_type,"Correctif",in_done,1,in_dnum,"&gt;="&amp;p_from,in_dnum,"&lt;="&amp;p_to))</f>
        <v/>
      </c>
    </row>
    <row r="73">
      <c r="A73" s="67" t="str">
        <f>IF(INDEX(eq_code,62)="","",INDEX(eq_code,62)&amp;"")</f>
        <v/>
      </c>
      <c r="B73" s="67" t="str">
        <f>IF(A73="","",INDEX(eq_des,62)&amp;"")</f>
        <v/>
      </c>
      <c r="C73" s="79" t="str">
        <f>IF(A73="","",INDEX(eq_crit,62)&amp;"")</f>
        <v/>
      </c>
      <c r="D73" s="127" t="str">
        <f>IF(A73="","",IF(MAX(p_from,N(INDEX(eq_start,62)))&gt;p_to,0,ROUND(IF(AND(ISNUMBER(INDEX(eq_hours,62)),N(INDEX(eq_hours,62))&gt;0,N(INDEX(eq_hours,62))&lt;=24),INDEX(eq_hours,62),0)*IF(p_days="7 jours sur 7",p_to-MAX(p_from,N(INDEX(eq_start,62)))+1,NETWORKDAYS.INTL(MAX(p_from,N(INDEX(eq_start,62))),p_to,p_weekend,p_holidays)),2)))</f>
        <v/>
      </c>
      <c r="E73" s="128" t="str">
        <f>IF(A73="","",SUMIFS(in_stop,in_eq,A73,in_done,1,in_dnum,"&gt;="&amp;p_from,in_dnum,"&lt;="&amp;p_to))</f>
        <v/>
      </c>
      <c r="F73" s="129" t="str">
        <f>IF(A73="","",COUNTIFS(in_eq,A73,in_type,"Correctif",in_done,1,in_dnum,"&gt;="&amp;p_from,in_dnum,"&lt;="&amp;p_to))</f>
        <v/>
      </c>
      <c r="G73" s="130" t="str">
        <f>IF(OR(A73="",N(F73)=0),"",MAX(0,D73-E73)/F73)</f>
        <v/>
      </c>
      <c r="H73" s="81" t="str">
        <f>IF(OR(A73="",N(F73)=0),"",S73/F73)</f>
        <v/>
      </c>
      <c r="I73" s="81" t="str">
        <f>IF(OR(A73="",N(F73)=0),"",T73/F73)</f>
        <v/>
      </c>
      <c r="J73" s="131" t="str">
        <f>IF(OR(A73="",N(D73)=0),"",MAX(0,D73-E73)/D73)</f>
        <v/>
      </c>
      <c r="K73" s="128" t="str">
        <f>IF(A73="","",SUMIFS(in_work,in_eq,A73,in_type,"Préventif",in_done,1,in_dnum,"&gt;="&amp;p_from,in_dnum,"&lt;="&amp;p_to))</f>
        <v/>
      </c>
      <c r="L73" s="128" t="str">
        <f>IF(A73="","",SUMIFS(in_work,in_eq,A73,in_type,"Correctif",in_done,1,in_dnum,"&gt;="&amp;p_from,in_dnum,"&lt;="&amp;p_to))</f>
        <v/>
      </c>
      <c r="M73" s="128" t="str">
        <f>IF(A73="","",SUMIFS(in_work,in_eq,A73,in_type,"Amélioratif",in_done,1,in_dnum,"&gt;="&amp;p_from,in_dnum,"&lt;="&amp;p_to))</f>
        <v/>
      </c>
      <c r="N73" s="131" t="str">
        <f>IF(OR(A73="",N(K73)+N(L73)+N(M73)=0),"",K73/(K73+L73+M73))</f>
        <v/>
      </c>
      <c r="O73" s="81" t="str">
        <f>IF(A73="","",SUMIFS(in_parts,in_eq,A73,in_done,1,in_dnum,"&gt;="&amp;p_from,in_dnum,"&lt;="&amp;p_to))</f>
        <v/>
      </c>
      <c r="P73" s="81" t="str">
        <f>IF(A73="","",SUMIFS(in_mo,in_eq,A73,in_done,1,in_dnum,"&gt;="&amp;p_from,in_dnum,"&lt;="&amp;p_to))</f>
        <v/>
      </c>
      <c r="Q73" s="81" t="str">
        <f>IF(A73="","",SUMIFS(in_other,in_eq,A73,in_done,1,in_dnum,"&gt;="&amp;p_from,in_dnum,"&lt;="&amp;p_to))</f>
        <v/>
      </c>
      <c r="R73" s="81" t="str">
        <f>IF(A73="","",SUMIFS(in_total,in_eq,A73,in_done,1,in_dnum,"&gt;="&amp;p_from,in_dnum,"&lt;="&amp;p_to))</f>
        <v/>
      </c>
      <c r="S73" s="67" t="str">
        <f>IF(A73="","",SUMIFS(in_work,in_eq,A73,in_type,"Correctif",in_done,1,in_dnum,"&gt;="&amp;p_from,in_dnum,"&lt;="&amp;p_to))</f>
        <v/>
      </c>
      <c r="T73" s="67" t="str">
        <f>IF(A73="","",SUMIFS(in_stop,in_eq,A73,in_type,"Correctif",in_done,1,in_dnum,"&gt;="&amp;p_from,in_dnum,"&lt;="&amp;p_to))</f>
        <v/>
      </c>
    </row>
    <row r="74">
      <c r="A74" s="67" t="str">
        <f>IF(INDEX(eq_code,63)="","",INDEX(eq_code,63)&amp;"")</f>
        <v/>
      </c>
      <c r="B74" s="67" t="str">
        <f>IF(A74="","",INDEX(eq_des,63)&amp;"")</f>
        <v/>
      </c>
      <c r="C74" s="79" t="str">
        <f>IF(A74="","",INDEX(eq_crit,63)&amp;"")</f>
        <v/>
      </c>
      <c r="D74" s="127" t="str">
        <f>IF(A74="","",IF(MAX(p_from,N(INDEX(eq_start,63)))&gt;p_to,0,ROUND(IF(AND(ISNUMBER(INDEX(eq_hours,63)),N(INDEX(eq_hours,63))&gt;0,N(INDEX(eq_hours,63))&lt;=24),INDEX(eq_hours,63),0)*IF(p_days="7 jours sur 7",p_to-MAX(p_from,N(INDEX(eq_start,63)))+1,NETWORKDAYS.INTL(MAX(p_from,N(INDEX(eq_start,63))),p_to,p_weekend,p_holidays)),2)))</f>
        <v/>
      </c>
      <c r="E74" s="128" t="str">
        <f>IF(A74="","",SUMIFS(in_stop,in_eq,A74,in_done,1,in_dnum,"&gt;="&amp;p_from,in_dnum,"&lt;="&amp;p_to))</f>
        <v/>
      </c>
      <c r="F74" s="129" t="str">
        <f>IF(A74="","",COUNTIFS(in_eq,A74,in_type,"Correctif",in_done,1,in_dnum,"&gt;="&amp;p_from,in_dnum,"&lt;="&amp;p_to))</f>
        <v/>
      </c>
      <c r="G74" s="130" t="str">
        <f>IF(OR(A74="",N(F74)=0),"",MAX(0,D74-E74)/F74)</f>
        <v/>
      </c>
      <c r="H74" s="81" t="str">
        <f>IF(OR(A74="",N(F74)=0),"",S74/F74)</f>
        <v/>
      </c>
      <c r="I74" s="81" t="str">
        <f>IF(OR(A74="",N(F74)=0),"",T74/F74)</f>
        <v/>
      </c>
      <c r="J74" s="131" t="str">
        <f>IF(OR(A74="",N(D74)=0),"",MAX(0,D74-E74)/D74)</f>
        <v/>
      </c>
      <c r="K74" s="128" t="str">
        <f>IF(A74="","",SUMIFS(in_work,in_eq,A74,in_type,"Préventif",in_done,1,in_dnum,"&gt;="&amp;p_from,in_dnum,"&lt;="&amp;p_to))</f>
        <v/>
      </c>
      <c r="L74" s="128" t="str">
        <f>IF(A74="","",SUMIFS(in_work,in_eq,A74,in_type,"Correctif",in_done,1,in_dnum,"&gt;="&amp;p_from,in_dnum,"&lt;="&amp;p_to))</f>
        <v/>
      </c>
      <c r="M74" s="128" t="str">
        <f>IF(A74="","",SUMIFS(in_work,in_eq,A74,in_type,"Amélioratif",in_done,1,in_dnum,"&gt;="&amp;p_from,in_dnum,"&lt;="&amp;p_to))</f>
        <v/>
      </c>
      <c r="N74" s="131" t="str">
        <f>IF(OR(A74="",N(K74)+N(L74)+N(M74)=0),"",K74/(K74+L74+M74))</f>
        <v/>
      </c>
      <c r="O74" s="81" t="str">
        <f>IF(A74="","",SUMIFS(in_parts,in_eq,A74,in_done,1,in_dnum,"&gt;="&amp;p_from,in_dnum,"&lt;="&amp;p_to))</f>
        <v/>
      </c>
      <c r="P74" s="81" t="str">
        <f>IF(A74="","",SUMIFS(in_mo,in_eq,A74,in_done,1,in_dnum,"&gt;="&amp;p_from,in_dnum,"&lt;="&amp;p_to))</f>
        <v/>
      </c>
      <c r="Q74" s="81" t="str">
        <f>IF(A74="","",SUMIFS(in_other,in_eq,A74,in_done,1,in_dnum,"&gt;="&amp;p_from,in_dnum,"&lt;="&amp;p_to))</f>
        <v/>
      </c>
      <c r="R74" s="81" t="str">
        <f>IF(A74="","",SUMIFS(in_total,in_eq,A74,in_done,1,in_dnum,"&gt;="&amp;p_from,in_dnum,"&lt;="&amp;p_to))</f>
        <v/>
      </c>
      <c r="S74" s="67" t="str">
        <f>IF(A74="","",SUMIFS(in_work,in_eq,A74,in_type,"Correctif",in_done,1,in_dnum,"&gt;="&amp;p_from,in_dnum,"&lt;="&amp;p_to))</f>
        <v/>
      </c>
      <c r="T74" s="67" t="str">
        <f>IF(A74="","",SUMIFS(in_stop,in_eq,A74,in_type,"Correctif",in_done,1,in_dnum,"&gt;="&amp;p_from,in_dnum,"&lt;="&amp;p_to))</f>
        <v/>
      </c>
    </row>
    <row r="75">
      <c r="A75" s="67" t="str">
        <f>IF(INDEX(eq_code,64)="","",INDEX(eq_code,64)&amp;"")</f>
        <v/>
      </c>
      <c r="B75" s="67" t="str">
        <f>IF(A75="","",INDEX(eq_des,64)&amp;"")</f>
        <v/>
      </c>
      <c r="C75" s="79" t="str">
        <f>IF(A75="","",INDEX(eq_crit,64)&amp;"")</f>
        <v/>
      </c>
      <c r="D75" s="127" t="str">
        <f>IF(A75="","",IF(MAX(p_from,N(INDEX(eq_start,64)))&gt;p_to,0,ROUND(IF(AND(ISNUMBER(INDEX(eq_hours,64)),N(INDEX(eq_hours,64))&gt;0,N(INDEX(eq_hours,64))&lt;=24),INDEX(eq_hours,64),0)*IF(p_days="7 jours sur 7",p_to-MAX(p_from,N(INDEX(eq_start,64)))+1,NETWORKDAYS.INTL(MAX(p_from,N(INDEX(eq_start,64))),p_to,p_weekend,p_holidays)),2)))</f>
        <v/>
      </c>
      <c r="E75" s="128" t="str">
        <f>IF(A75="","",SUMIFS(in_stop,in_eq,A75,in_done,1,in_dnum,"&gt;="&amp;p_from,in_dnum,"&lt;="&amp;p_to))</f>
        <v/>
      </c>
      <c r="F75" s="129" t="str">
        <f>IF(A75="","",COUNTIFS(in_eq,A75,in_type,"Correctif",in_done,1,in_dnum,"&gt;="&amp;p_from,in_dnum,"&lt;="&amp;p_to))</f>
        <v/>
      </c>
      <c r="G75" s="130" t="str">
        <f>IF(OR(A75="",N(F75)=0),"",MAX(0,D75-E75)/F75)</f>
        <v/>
      </c>
      <c r="H75" s="81" t="str">
        <f>IF(OR(A75="",N(F75)=0),"",S75/F75)</f>
        <v/>
      </c>
      <c r="I75" s="81" t="str">
        <f>IF(OR(A75="",N(F75)=0),"",T75/F75)</f>
        <v/>
      </c>
      <c r="J75" s="131" t="str">
        <f>IF(OR(A75="",N(D75)=0),"",MAX(0,D75-E75)/D75)</f>
        <v/>
      </c>
      <c r="K75" s="128" t="str">
        <f>IF(A75="","",SUMIFS(in_work,in_eq,A75,in_type,"Préventif",in_done,1,in_dnum,"&gt;="&amp;p_from,in_dnum,"&lt;="&amp;p_to))</f>
        <v/>
      </c>
      <c r="L75" s="128" t="str">
        <f>IF(A75="","",SUMIFS(in_work,in_eq,A75,in_type,"Correctif",in_done,1,in_dnum,"&gt;="&amp;p_from,in_dnum,"&lt;="&amp;p_to))</f>
        <v/>
      </c>
      <c r="M75" s="128" t="str">
        <f>IF(A75="","",SUMIFS(in_work,in_eq,A75,in_type,"Amélioratif",in_done,1,in_dnum,"&gt;="&amp;p_from,in_dnum,"&lt;="&amp;p_to))</f>
        <v/>
      </c>
      <c r="N75" s="131" t="str">
        <f>IF(OR(A75="",N(K75)+N(L75)+N(M75)=0),"",K75/(K75+L75+M75))</f>
        <v/>
      </c>
      <c r="O75" s="81" t="str">
        <f>IF(A75="","",SUMIFS(in_parts,in_eq,A75,in_done,1,in_dnum,"&gt;="&amp;p_from,in_dnum,"&lt;="&amp;p_to))</f>
        <v/>
      </c>
      <c r="P75" s="81" t="str">
        <f>IF(A75="","",SUMIFS(in_mo,in_eq,A75,in_done,1,in_dnum,"&gt;="&amp;p_from,in_dnum,"&lt;="&amp;p_to))</f>
        <v/>
      </c>
      <c r="Q75" s="81" t="str">
        <f>IF(A75="","",SUMIFS(in_other,in_eq,A75,in_done,1,in_dnum,"&gt;="&amp;p_from,in_dnum,"&lt;="&amp;p_to))</f>
        <v/>
      </c>
      <c r="R75" s="81" t="str">
        <f>IF(A75="","",SUMIFS(in_total,in_eq,A75,in_done,1,in_dnum,"&gt;="&amp;p_from,in_dnum,"&lt;="&amp;p_to))</f>
        <v/>
      </c>
      <c r="S75" s="67" t="str">
        <f>IF(A75="","",SUMIFS(in_work,in_eq,A75,in_type,"Correctif",in_done,1,in_dnum,"&gt;="&amp;p_from,in_dnum,"&lt;="&amp;p_to))</f>
        <v/>
      </c>
      <c r="T75" s="67" t="str">
        <f>IF(A75="","",SUMIFS(in_stop,in_eq,A75,in_type,"Correctif",in_done,1,in_dnum,"&gt;="&amp;p_from,in_dnum,"&lt;="&amp;p_to))</f>
        <v/>
      </c>
    </row>
    <row r="76">
      <c r="A76" s="67" t="str">
        <f>IF(INDEX(eq_code,65)="","",INDEX(eq_code,65)&amp;"")</f>
        <v/>
      </c>
      <c r="B76" s="67" t="str">
        <f>IF(A76="","",INDEX(eq_des,65)&amp;"")</f>
        <v/>
      </c>
      <c r="C76" s="79" t="str">
        <f>IF(A76="","",INDEX(eq_crit,65)&amp;"")</f>
        <v/>
      </c>
      <c r="D76" s="127" t="str">
        <f>IF(A76="","",IF(MAX(p_from,N(INDEX(eq_start,65)))&gt;p_to,0,ROUND(IF(AND(ISNUMBER(INDEX(eq_hours,65)),N(INDEX(eq_hours,65))&gt;0,N(INDEX(eq_hours,65))&lt;=24),INDEX(eq_hours,65),0)*IF(p_days="7 jours sur 7",p_to-MAX(p_from,N(INDEX(eq_start,65)))+1,NETWORKDAYS.INTL(MAX(p_from,N(INDEX(eq_start,65))),p_to,p_weekend,p_holidays)),2)))</f>
        <v/>
      </c>
      <c r="E76" s="128" t="str">
        <f>IF(A76="","",SUMIFS(in_stop,in_eq,A76,in_done,1,in_dnum,"&gt;="&amp;p_from,in_dnum,"&lt;="&amp;p_to))</f>
        <v/>
      </c>
      <c r="F76" s="129" t="str">
        <f>IF(A76="","",COUNTIFS(in_eq,A76,in_type,"Correctif",in_done,1,in_dnum,"&gt;="&amp;p_from,in_dnum,"&lt;="&amp;p_to))</f>
        <v/>
      </c>
      <c r="G76" s="130" t="str">
        <f>IF(OR(A76="",N(F76)=0),"",MAX(0,D76-E76)/F76)</f>
        <v/>
      </c>
      <c r="H76" s="81" t="str">
        <f>IF(OR(A76="",N(F76)=0),"",S76/F76)</f>
        <v/>
      </c>
      <c r="I76" s="81" t="str">
        <f>IF(OR(A76="",N(F76)=0),"",T76/F76)</f>
        <v/>
      </c>
      <c r="J76" s="131" t="str">
        <f>IF(OR(A76="",N(D76)=0),"",MAX(0,D76-E76)/D76)</f>
        <v/>
      </c>
      <c r="K76" s="128" t="str">
        <f>IF(A76="","",SUMIFS(in_work,in_eq,A76,in_type,"Préventif",in_done,1,in_dnum,"&gt;="&amp;p_from,in_dnum,"&lt;="&amp;p_to))</f>
        <v/>
      </c>
      <c r="L76" s="128" t="str">
        <f>IF(A76="","",SUMIFS(in_work,in_eq,A76,in_type,"Correctif",in_done,1,in_dnum,"&gt;="&amp;p_from,in_dnum,"&lt;="&amp;p_to))</f>
        <v/>
      </c>
      <c r="M76" s="128" t="str">
        <f>IF(A76="","",SUMIFS(in_work,in_eq,A76,in_type,"Amélioratif",in_done,1,in_dnum,"&gt;="&amp;p_from,in_dnum,"&lt;="&amp;p_to))</f>
        <v/>
      </c>
      <c r="N76" s="131" t="str">
        <f>IF(OR(A76="",N(K76)+N(L76)+N(M76)=0),"",K76/(K76+L76+M76))</f>
        <v/>
      </c>
      <c r="O76" s="81" t="str">
        <f>IF(A76="","",SUMIFS(in_parts,in_eq,A76,in_done,1,in_dnum,"&gt;="&amp;p_from,in_dnum,"&lt;="&amp;p_to))</f>
        <v/>
      </c>
      <c r="P76" s="81" t="str">
        <f>IF(A76="","",SUMIFS(in_mo,in_eq,A76,in_done,1,in_dnum,"&gt;="&amp;p_from,in_dnum,"&lt;="&amp;p_to))</f>
        <v/>
      </c>
      <c r="Q76" s="81" t="str">
        <f>IF(A76="","",SUMIFS(in_other,in_eq,A76,in_done,1,in_dnum,"&gt;="&amp;p_from,in_dnum,"&lt;="&amp;p_to))</f>
        <v/>
      </c>
      <c r="R76" s="81" t="str">
        <f>IF(A76="","",SUMIFS(in_total,in_eq,A76,in_done,1,in_dnum,"&gt;="&amp;p_from,in_dnum,"&lt;="&amp;p_to))</f>
        <v/>
      </c>
      <c r="S76" s="67" t="str">
        <f>IF(A76="","",SUMIFS(in_work,in_eq,A76,in_type,"Correctif",in_done,1,in_dnum,"&gt;="&amp;p_from,in_dnum,"&lt;="&amp;p_to))</f>
        <v/>
      </c>
      <c r="T76" s="67" t="str">
        <f>IF(A76="","",SUMIFS(in_stop,in_eq,A76,in_type,"Correctif",in_done,1,in_dnum,"&gt;="&amp;p_from,in_dnum,"&lt;="&amp;p_to))</f>
        <v/>
      </c>
    </row>
    <row r="77">
      <c r="A77" s="67" t="str">
        <f>IF(INDEX(eq_code,66)="","",INDEX(eq_code,66)&amp;"")</f>
        <v/>
      </c>
      <c r="B77" s="67" t="str">
        <f>IF(A77="","",INDEX(eq_des,66)&amp;"")</f>
        <v/>
      </c>
      <c r="C77" s="79" t="str">
        <f>IF(A77="","",INDEX(eq_crit,66)&amp;"")</f>
        <v/>
      </c>
      <c r="D77" s="127" t="str">
        <f>IF(A77="","",IF(MAX(p_from,N(INDEX(eq_start,66)))&gt;p_to,0,ROUND(IF(AND(ISNUMBER(INDEX(eq_hours,66)),N(INDEX(eq_hours,66))&gt;0,N(INDEX(eq_hours,66))&lt;=24),INDEX(eq_hours,66),0)*IF(p_days="7 jours sur 7",p_to-MAX(p_from,N(INDEX(eq_start,66)))+1,NETWORKDAYS.INTL(MAX(p_from,N(INDEX(eq_start,66))),p_to,p_weekend,p_holidays)),2)))</f>
        <v/>
      </c>
      <c r="E77" s="128" t="str">
        <f>IF(A77="","",SUMIFS(in_stop,in_eq,A77,in_done,1,in_dnum,"&gt;="&amp;p_from,in_dnum,"&lt;="&amp;p_to))</f>
        <v/>
      </c>
      <c r="F77" s="129" t="str">
        <f>IF(A77="","",COUNTIFS(in_eq,A77,in_type,"Correctif",in_done,1,in_dnum,"&gt;="&amp;p_from,in_dnum,"&lt;="&amp;p_to))</f>
        <v/>
      </c>
      <c r="G77" s="130" t="str">
        <f>IF(OR(A77="",N(F77)=0),"",MAX(0,D77-E77)/F77)</f>
        <v/>
      </c>
      <c r="H77" s="81" t="str">
        <f>IF(OR(A77="",N(F77)=0),"",S77/F77)</f>
        <v/>
      </c>
      <c r="I77" s="81" t="str">
        <f>IF(OR(A77="",N(F77)=0),"",T77/F77)</f>
        <v/>
      </c>
      <c r="J77" s="131" t="str">
        <f>IF(OR(A77="",N(D77)=0),"",MAX(0,D77-E77)/D77)</f>
        <v/>
      </c>
      <c r="K77" s="128" t="str">
        <f>IF(A77="","",SUMIFS(in_work,in_eq,A77,in_type,"Préventif",in_done,1,in_dnum,"&gt;="&amp;p_from,in_dnum,"&lt;="&amp;p_to))</f>
        <v/>
      </c>
      <c r="L77" s="128" t="str">
        <f>IF(A77="","",SUMIFS(in_work,in_eq,A77,in_type,"Correctif",in_done,1,in_dnum,"&gt;="&amp;p_from,in_dnum,"&lt;="&amp;p_to))</f>
        <v/>
      </c>
      <c r="M77" s="128" t="str">
        <f>IF(A77="","",SUMIFS(in_work,in_eq,A77,in_type,"Amélioratif",in_done,1,in_dnum,"&gt;="&amp;p_from,in_dnum,"&lt;="&amp;p_to))</f>
        <v/>
      </c>
      <c r="N77" s="131" t="str">
        <f>IF(OR(A77="",N(K77)+N(L77)+N(M77)=0),"",K77/(K77+L77+M77))</f>
        <v/>
      </c>
      <c r="O77" s="81" t="str">
        <f>IF(A77="","",SUMIFS(in_parts,in_eq,A77,in_done,1,in_dnum,"&gt;="&amp;p_from,in_dnum,"&lt;="&amp;p_to))</f>
        <v/>
      </c>
      <c r="P77" s="81" t="str">
        <f>IF(A77="","",SUMIFS(in_mo,in_eq,A77,in_done,1,in_dnum,"&gt;="&amp;p_from,in_dnum,"&lt;="&amp;p_to))</f>
        <v/>
      </c>
      <c r="Q77" s="81" t="str">
        <f>IF(A77="","",SUMIFS(in_other,in_eq,A77,in_done,1,in_dnum,"&gt;="&amp;p_from,in_dnum,"&lt;="&amp;p_to))</f>
        <v/>
      </c>
      <c r="R77" s="81" t="str">
        <f>IF(A77="","",SUMIFS(in_total,in_eq,A77,in_done,1,in_dnum,"&gt;="&amp;p_from,in_dnum,"&lt;="&amp;p_to))</f>
        <v/>
      </c>
      <c r="S77" s="67" t="str">
        <f>IF(A77="","",SUMIFS(in_work,in_eq,A77,in_type,"Correctif",in_done,1,in_dnum,"&gt;="&amp;p_from,in_dnum,"&lt;="&amp;p_to))</f>
        <v/>
      </c>
      <c r="T77" s="67" t="str">
        <f>IF(A77="","",SUMIFS(in_stop,in_eq,A77,in_type,"Correctif",in_done,1,in_dnum,"&gt;="&amp;p_from,in_dnum,"&lt;="&amp;p_to))</f>
        <v/>
      </c>
    </row>
    <row r="78">
      <c r="A78" s="67" t="str">
        <f>IF(INDEX(eq_code,67)="","",INDEX(eq_code,67)&amp;"")</f>
        <v/>
      </c>
      <c r="B78" s="67" t="str">
        <f>IF(A78="","",INDEX(eq_des,67)&amp;"")</f>
        <v/>
      </c>
      <c r="C78" s="79" t="str">
        <f>IF(A78="","",INDEX(eq_crit,67)&amp;"")</f>
        <v/>
      </c>
      <c r="D78" s="127" t="str">
        <f>IF(A78="","",IF(MAX(p_from,N(INDEX(eq_start,67)))&gt;p_to,0,ROUND(IF(AND(ISNUMBER(INDEX(eq_hours,67)),N(INDEX(eq_hours,67))&gt;0,N(INDEX(eq_hours,67))&lt;=24),INDEX(eq_hours,67),0)*IF(p_days="7 jours sur 7",p_to-MAX(p_from,N(INDEX(eq_start,67)))+1,NETWORKDAYS.INTL(MAX(p_from,N(INDEX(eq_start,67))),p_to,p_weekend,p_holidays)),2)))</f>
        <v/>
      </c>
      <c r="E78" s="128" t="str">
        <f>IF(A78="","",SUMIFS(in_stop,in_eq,A78,in_done,1,in_dnum,"&gt;="&amp;p_from,in_dnum,"&lt;="&amp;p_to))</f>
        <v/>
      </c>
      <c r="F78" s="129" t="str">
        <f>IF(A78="","",COUNTIFS(in_eq,A78,in_type,"Correctif",in_done,1,in_dnum,"&gt;="&amp;p_from,in_dnum,"&lt;="&amp;p_to))</f>
        <v/>
      </c>
      <c r="G78" s="130" t="str">
        <f>IF(OR(A78="",N(F78)=0),"",MAX(0,D78-E78)/F78)</f>
        <v/>
      </c>
      <c r="H78" s="81" t="str">
        <f>IF(OR(A78="",N(F78)=0),"",S78/F78)</f>
        <v/>
      </c>
      <c r="I78" s="81" t="str">
        <f>IF(OR(A78="",N(F78)=0),"",T78/F78)</f>
        <v/>
      </c>
      <c r="J78" s="131" t="str">
        <f>IF(OR(A78="",N(D78)=0),"",MAX(0,D78-E78)/D78)</f>
        <v/>
      </c>
      <c r="K78" s="128" t="str">
        <f>IF(A78="","",SUMIFS(in_work,in_eq,A78,in_type,"Préventif",in_done,1,in_dnum,"&gt;="&amp;p_from,in_dnum,"&lt;="&amp;p_to))</f>
        <v/>
      </c>
      <c r="L78" s="128" t="str">
        <f>IF(A78="","",SUMIFS(in_work,in_eq,A78,in_type,"Correctif",in_done,1,in_dnum,"&gt;="&amp;p_from,in_dnum,"&lt;="&amp;p_to))</f>
        <v/>
      </c>
      <c r="M78" s="128" t="str">
        <f>IF(A78="","",SUMIFS(in_work,in_eq,A78,in_type,"Amélioratif",in_done,1,in_dnum,"&gt;="&amp;p_from,in_dnum,"&lt;="&amp;p_to))</f>
        <v/>
      </c>
      <c r="N78" s="131" t="str">
        <f>IF(OR(A78="",N(K78)+N(L78)+N(M78)=0),"",K78/(K78+L78+M78))</f>
        <v/>
      </c>
      <c r="O78" s="81" t="str">
        <f>IF(A78="","",SUMIFS(in_parts,in_eq,A78,in_done,1,in_dnum,"&gt;="&amp;p_from,in_dnum,"&lt;="&amp;p_to))</f>
        <v/>
      </c>
      <c r="P78" s="81" t="str">
        <f>IF(A78="","",SUMIFS(in_mo,in_eq,A78,in_done,1,in_dnum,"&gt;="&amp;p_from,in_dnum,"&lt;="&amp;p_to))</f>
        <v/>
      </c>
      <c r="Q78" s="81" t="str">
        <f>IF(A78="","",SUMIFS(in_other,in_eq,A78,in_done,1,in_dnum,"&gt;="&amp;p_from,in_dnum,"&lt;="&amp;p_to))</f>
        <v/>
      </c>
      <c r="R78" s="81" t="str">
        <f>IF(A78="","",SUMIFS(in_total,in_eq,A78,in_done,1,in_dnum,"&gt;="&amp;p_from,in_dnum,"&lt;="&amp;p_to))</f>
        <v/>
      </c>
      <c r="S78" s="67" t="str">
        <f>IF(A78="","",SUMIFS(in_work,in_eq,A78,in_type,"Correctif",in_done,1,in_dnum,"&gt;="&amp;p_from,in_dnum,"&lt;="&amp;p_to))</f>
        <v/>
      </c>
      <c r="T78" s="67" t="str">
        <f>IF(A78="","",SUMIFS(in_stop,in_eq,A78,in_type,"Correctif",in_done,1,in_dnum,"&gt;="&amp;p_from,in_dnum,"&lt;="&amp;p_to))</f>
        <v/>
      </c>
    </row>
    <row r="79">
      <c r="A79" s="67" t="str">
        <f>IF(INDEX(eq_code,68)="","",INDEX(eq_code,68)&amp;"")</f>
        <v/>
      </c>
      <c r="B79" s="67" t="str">
        <f>IF(A79="","",INDEX(eq_des,68)&amp;"")</f>
        <v/>
      </c>
      <c r="C79" s="79" t="str">
        <f>IF(A79="","",INDEX(eq_crit,68)&amp;"")</f>
        <v/>
      </c>
      <c r="D79" s="127" t="str">
        <f>IF(A79="","",IF(MAX(p_from,N(INDEX(eq_start,68)))&gt;p_to,0,ROUND(IF(AND(ISNUMBER(INDEX(eq_hours,68)),N(INDEX(eq_hours,68))&gt;0,N(INDEX(eq_hours,68))&lt;=24),INDEX(eq_hours,68),0)*IF(p_days="7 jours sur 7",p_to-MAX(p_from,N(INDEX(eq_start,68)))+1,NETWORKDAYS.INTL(MAX(p_from,N(INDEX(eq_start,68))),p_to,p_weekend,p_holidays)),2)))</f>
        <v/>
      </c>
      <c r="E79" s="128" t="str">
        <f>IF(A79="","",SUMIFS(in_stop,in_eq,A79,in_done,1,in_dnum,"&gt;="&amp;p_from,in_dnum,"&lt;="&amp;p_to))</f>
        <v/>
      </c>
      <c r="F79" s="129" t="str">
        <f>IF(A79="","",COUNTIFS(in_eq,A79,in_type,"Correctif",in_done,1,in_dnum,"&gt;="&amp;p_from,in_dnum,"&lt;="&amp;p_to))</f>
        <v/>
      </c>
      <c r="G79" s="130" t="str">
        <f>IF(OR(A79="",N(F79)=0),"",MAX(0,D79-E79)/F79)</f>
        <v/>
      </c>
      <c r="H79" s="81" t="str">
        <f>IF(OR(A79="",N(F79)=0),"",S79/F79)</f>
        <v/>
      </c>
      <c r="I79" s="81" t="str">
        <f>IF(OR(A79="",N(F79)=0),"",T79/F79)</f>
        <v/>
      </c>
      <c r="J79" s="131" t="str">
        <f>IF(OR(A79="",N(D79)=0),"",MAX(0,D79-E79)/D79)</f>
        <v/>
      </c>
      <c r="K79" s="128" t="str">
        <f>IF(A79="","",SUMIFS(in_work,in_eq,A79,in_type,"Préventif",in_done,1,in_dnum,"&gt;="&amp;p_from,in_dnum,"&lt;="&amp;p_to))</f>
        <v/>
      </c>
      <c r="L79" s="128" t="str">
        <f>IF(A79="","",SUMIFS(in_work,in_eq,A79,in_type,"Correctif",in_done,1,in_dnum,"&gt;="&amp;p_from,in_dnum,"&lt;="&amp;p_to))</f>
        <v/>
      </c>
      <c r="M79" s="128" t="str">
        <f>IF(A79="","",SUMIFS(in_work,in_eq,A79,in_type,"Amélioratif",in_done,1,in_dnum,"&gt;="&amp;p_from,in_dnum,"&lt;="&amp;p_to))</f>
        <v/>
      </c>
      <c r="N79" s="131" t="str">
        <f>IF(OR(A79="",N(K79)+N(L79)+N(M79)=0),"",K79/(K79+L79+M79))</f>
        <v/>
      </c>
      <c r="O79" s="81" t="str">
        <f>IF(A79="","",SUMIFS(in_parts,in_eq,A79,in_done,1,in_dnum,"&gt;="&amp;p_from,in_dnum,"&lt;="&amp;p_to))</f>
        <v/>
      </c>
      <c r="P79" s="81" t="str">
        <f>IF(A79="","",SUMIFS(in_mo,in_eq,A79,in_done,1,in_dnum,"&gt;="&amp;p_from,in_dnum,"&lt;="&amp;p_to))</f>
        <v/>
      </c>
      <c r="Q79" s="81" t="str">
        <f>IF(A79="","",SUMIFS(in_other,in_eq,A79,in_done,1,in_dnum,"&gt;="&amp;p_from,in_dnum,"&lt;="&amp;p_to))</f>
        <v/>
      </c>
      <c r="R79" s="81" t="str">
        <f>IF(A79="","",SUMIFS(in_total,in_eq,A79,in_done,1,in_dnum,"&gt;="&amp;p_from,in_dnum,"&lt;="&amp;p_to))</f>
        <v/>
      </c>
      <c r="S79" s="67" t="str">
        <f>IF(A79="","",SUMIFS(in_work,in_eq,A79,in_type,"Correctif",in_done,1,in_dnum,"&gt;="&amp;p_from,in_dnum,"&lt;="&amp;p_to))</f>
        <v/>
      </c>
      <c r="T79" s="67" t="str">
        <f>IF(A79="","",SUMIFS(in_stop,in_eq,A79,in_type,"Correctif",in_done,1,in_dnum,"&gt;="&amp;p_from,in_dnum,"&lt;="&amp;p_to))</f>
        <v/>
      </c>
    </row>
    <row r="80">
      <c r="A80" s="67" t="str">
        <f>IF(INDEX(eq_code,69)="","",INDEX(eq_code,69)&amp;"")</f>
        <v/>
      </c>
      <c r="B80" s="67" t="str">
        <f>IF(A80="","",INDEX(eq_des,69)&amp;"")</f>
        <v/>
      </c>
      <c r="C80" s="79" t="str">
        <f>IF(A80="","",INDEX(eq_crit,69)&amp;"")</f>
        <v/>
      </c>
      <c r="D80" s="127" t="str">
        <f>IF(A80="","",IF(MAX(p_from,N(INDEX(eq_start,69)))&gt;p_to,0,ROUND(IF(AND(ISNUMBER(INDEX(eq_hours,69)),N(INDEX(eq_hours,69))&gt;0,N(INDEX(eq_hours,69))&lt;=24),INDEX(eq_hours,69),0)*IF(p_days="7 jours sur 7",p_to-MAX(p_from,N(INDEX(eq_start,69)))+1,NETWORKDAYS.INTL(MAX(p_from,N(INDEX(eq_start,69))),p_to,p_weekend,p_holidays)),2)))</f>
        <v/>
      </c>
      <c r="E80" s="128" t="str">
        <f>IF(A80="","",SUMIFS(in_stop,in_eq,A80,in_done,1,in_dnum,"&gt;="&amp;p_from,in_dnum,"&lt;="&amp;p_to))</f>
        <v/>
      </c>
      <c r="F80" s="129" t="str">
        <f>IF(A80="","",COUNTIFS(in_eq,A80,in_type,"Correctif",in_done,1,in_dnum,"&gt;="&amp;p_from,in_dnum,"&lt;="&amp;p_to))</f>
        <v/>
      </c>
      <c r="G80" s="130" t="str">
        <f>IF(OR(A80="",N(F80)=0),"",MAX(0,D80-E80)/F80)</f>
        <v/>
      </c>
      <c r="H80" s="81" t="str">
        <f>IF(OR(A80="",N(F80)=0),"",S80/F80)</f>
        <v/>
      </c>
      <c r="I80" s="81" t="str">
        <f>IF(OR(A80="",N(F80)=0),"",T80/F80)</f>
        <v/>
      </c>
      <c r="J80" s="131" t="str">
        <f>IF(OR(A80="",N(D80)=0),"",MAX(0,D80-E80)/D80)</f>
        <v/>
      </c>
      <c r="K80" s="128" t="str">
        <f>IF(A80="","",SUMIFS(in_work,in_eq,A80,in_type,"Préventif",in_done,1,in_dnum,"&gt;="&amp;p_from,in_dnum,"&lt;="&amp;p_to))</f>
        <v/>
      </c>
      <c r="L80" s="128" t="str">
        <f>IF(A80="","",SUMIFS(in_work,in_eq,A80,in_type,"Correctif",in_done,1,in_dnum,"&gt;="&amp;p_from,in_dnum,"&lt;="&amp;p_to))</f>
        <v/>
      </c>
      <c r="M80" s="128" t="str">
        <f>IF(A80="","",SUMIFS(in_work,in_eq,A80,in_type,"Amélioratif",in_done,1,in_dnum,"&gt;="&amp;p_from,in_dnum,"&lt;="&amp;p_to))</f>
        <v/>
      </c>
      <c r="N80" s="131" t="str">
        <f>IF(OR(A80="",N(K80)+N(L80)+N(M80)=0),"",K80/(K80+L80+M80))</f>
        <v/>
      </c>
      <c r="O80" s="81" t="str">
        <f>IF(A80="","",SUMIFS(in_parts,in_eq,A80,in_done,1,in_dnum,"&gt;="&amp;p_from,in_dnum,"&lt;="&amp;p_to))</f>
        <v/>
      </c>
      <c r="P80" s="81" t="str">
        <f>IF(A80="","",SUMIFS(in_mo,in_eq,A80,in_done,1,in_dnum,"&gt;="&amp;p_from,in_dnum,"&lt;="&amp;p_to))</f>
        <v/>
      </c>
      <c r="Q80" s="81" t="str">
        <f>IF(A80="","",SUMIFS(in_other,in_eq,A80,in_done,1,in_dnum,"&gt;="&amp;p_from,in_dnum,"&lt;="&amp;p_to))</f>
        <v/>
      </c>
      <c r="R80" s="81" t="str">
        <f>IF(A80="","",SUMIFS(in_total,in_eq,A80,in_done,1,in_dnum,"&gt;="&amp;p_from,in_dnum,"&lt;="&amp;p_to))</f>
        <v/>
      </c>
      <c r="S80" s="67" t="str">
        <f>IF(A80="","",SUMIFS(in_work,in_eq,A80,in_type,"Correctif",in_done,1,in_dnum,"&gt;="&amp;p_from,in_dnum,"&lt;="&amp;p_to))</f>
        <v/>
      </c>
      <c r="T80" s="67" t="str">
        <f>IF(A80="","",SUMIFS(in_stop,in_eq,A80,in_type,"Correctif",in_done,1,in_dnum,"&gt;="&amp;p_from,in_dnum,"&lt;="&amp;p_to))</f>
        <v/>
      </c>
    </row>
    <row r="81">
      <c r="A81" s="67" t="str">
        <f>IF(INDEX(eq_code,70)="","",INDEX(eq_code,70)&amp;"")</f>
        <v/>
      </c>
      <c r="B81" s="67" t="str">
        <f>IF(A81="","",INDEX(eq_des,70)&amp;"")</f>
        <v/>
      </c>
      <c r="C81" s="79" t="str">
        <f>IF(A81="","",INDEX(eq_crit,70)&amp;"")</f>
        <v/>
      </c>
      <c r="D81" s="127" t="str">
        <f>IF(A81="","",IF(MAX(p_from,N(INDEX(eq_start,70)))&gt;p_to,0,ROUND(IF(AND(ISNUMBER(INDEX(eq_hours,70)),N(INDEX(eq_hours,70))&gt;0,N(INDEX(eq_hours,70))&lt;=24),INDEX(eq_hours,70),0)*IF(p_days="7 jours sur 7",p_to-MAX(p_from,N(INDEX(eq_start,70)))+1,NETWORKDAYS.INTL(MAX(p_from,N(INDEX(eq_start,70))),p_to,p_weekend,p_holidays)),2)))</f>
        <v/>
      </c>
      <c r="E81" s="128" t="str">
        <f>IF(A81="","",SUMIFS(in_stop,in_eq,A81,in_done,1,in_dnum,"&gt;="&amp;p_from,in_dnum,"&lt;="&amp;p_to))</f>
        <v/>
      </c>
      <c r="F81" s="129" t="str">
        <f>IF(A81="","",COUNTIFS(in_eq,A81,in_type,"Correctif",in_done,1,in_dnum,"&gt;="&amp;p_from,in_dnum,"&lt;="&amp;p_to))</f>
        <v/>
      </c>
      <c r="G81" s="130" t="str">
        <f>IF(OR(A81="",N(F81)=0),"",MAX(0,D81-E81)/F81)</f>
        <v/>
      </c>
      <c r="H81" s="81" t="str">
        <f>IF(OR(A81="",N(F81)=0),"",S81/F81)</f>
        <v/>
      </c>
      <c r="I81" s="81" t="str">
        <f>IF(OR(A81="",N(F81)=0),"",T81/F81)</f>
        <v/>
      </c>
      <c r="J81" s="131" t="str">
        <f>IF(OR(A81="",N(D81)=0),"",MAX(0,D81-E81)/D81)</f>
        <v/>
      </c>
      <c r="K81" s="128" t="str">
        <f>IF(A81="","",SUMIFS(in_work,in_eq,A81,in_type,"Préventif",in_done,1,in_dnum,"&gt;="&amp;p_from,in_dnum,"&lt;="&amp;p_to))</f>
        <v/>
      </c>
      <c r="L81" s="128" t="str">
        <f>IF(A81="","",SUMIFS(in_work,in_eq,A81,in_type,"Correctif",in_done,1,in_dnum,"&gt;="&amp;p_from,in_dnum,"&lt;="&amp;p_to))</f>
        <v/>
      </c>
      <c r="M81" s="128" t="str">
        <f>IF(A81="","",SUMIFS(in_work,in_eq,A81,in_type,"Amélioratif",in_done,1,in_dnum,"&gt;="&amp;p_from,in_dnum,"&lt;="&amp;p_to))</f>
        <v/>
      </c>
      <c r="N81" s="131" t="str">
        <f>IF(OR(A81="",N(K81)+N(L81)+N(M81)=0),"",K81/(K81+L81+M81))</f>
        <v/>
      </c>
      <c r="O81" s="81" t="str">
        <f>IF(A81="","",SUMIFS(in_parts,in_eq,A81,in_done,1,in_dnum,"&gt;="&amp;p_from,in_dnum,"&lt;="&amp;p_to))</f>
        <v/>
      </c>
      <c r="P81" s="81" t="str">
        <f>IF(A81="","",SUMIFS(in_mo,in_eq,A81,in_done,1,in_dnum,"&gt;="&amp;p_from,in_dnum,"&lt;="&amp;p_to))</f>
        <v/>
      </c>
      <c r="Q81" s="81" t="str">
        <f>IF(A81="","",SUMIFS(in_other,in_eq,A81,in_done,1,in_dnum,"&gt;="&amp;p_from,in_dnum,"&lt;="&amp;p_to))</f>
        <v/>
      </c>
      <c r="R81" s="81" t="str">
        <f>IF(A81="","",SUMIFS(in_total,in_eq,A81,in_done,1,in_dnum,"&gt;="&amp;p_from,in_dnum,"&lt;="&amp;p_to))</f>
        <v/>
      </c>
      <c r="S81" s="67" t="str">
        <f>IF(A81="","",SUMIFS(in_work,in_eq,A81,in_type,"Correctif",in_done,1,in_dnum,"&gt;="&amp;p_from,in_dnum,"&lt;="&amp;p_to))</f>
        <v/>
      </c>
      <c r="T81" s="67" t="str">
        <f>IF(A81="","",SUMIFS(in_stop,in_eq,A81,in_type,"Correctif",in_done,1,in_dnum,"&gt;="&amp;p_from,in_dnum,"&lt;="&amp;p_to))</f>
        <v/>
      </c>
    </row>
    <row r="82">
      <c r="A82" s="67" t="str">
        <f>IF(INDEX(eq_code,71)="","",INDEX(eq_code,71)&amp;"")</f>
        <v/>
      </c>
      <c r="B82" s="67" t="str">
        <f>IF(A82="","",INDEX(eq_des,71)&amp;"")</f>
        <v/>
      </c>
      <c r="C82" s="79" t="str">
        <f>IF(A82="","",INDEX(eq_crit,71)&amp;"")</f>
        <v/>
      </c>
      <c r="D82" s="127" t="str">
        <f>IF(A82="","",IF(MAX(p_from,N(INDEX(eq_start,71)))&gt;p_to,0,ROUND(IF(AND(ISNUMBER(INDEX(eq_hours,71)),N(INDEX(eq_hours,71))&gt;0,N(INDEX(eq_hours,71))&lt;=24),INDEX(eq_hours,71),0)*IF(p_days="7 jours sur 7",p_to-MAX(p_from,N(INDEX(eq_start,71)))+1,NETWORKDAYS.INTL(MAX(p_from,N(INDEX(eq_start,71))),p_to,p_weekend,p_holidays)),2)))</f>
        <v/>
      </c>
      <c r="E82" s="128" t="str">
        <f>IF(A82="","",SUMIFS(in_stop,in_eq,A82,in_done,1,in_dnum,"&gt;="&amp;p_from,in_dnum,"&lt;="&amp;p_to))</f>
        <v/>
      </c>
      <c r="F82" s="129" t="str">
        <f>IF(A82="","",COUNTIFS(in_eq,A82,in_type,"Correctif",in_done,1,in_dnum,"&gt;="&amp;p_from,in_dnum,"&lt;="&amp;p_to))</f>
        <v/>
      </c>
      <c r="G82" s="130" t="str">
        <f>IF(OR(A82="",N(F82)=0),"",MAX(0,D82-E82)/F82)</f>
        <v/>
      </c>
      <c r="H82" s="81" t="str">
        <f>IF(OR(A82="",N(F82)=0),"",S82/F82)</f>
        <v/>
      </c>
      <c r="I82" s="81" t="str">
        <f>IF(OR(A82="",N(F82)=0),"",T82/F82)</f>
        <v/>
      </c>
      <c r="J82" s="131" t="str">
        <f>IF(OR(A82="",N(D82)=0),"",MAX(0,D82-E82)/D82)</f>
        <v/>
      </c>
      <c r="K82" s="128" t="str">
        <f>IF(A82="","",SUMIFS(in_work,in_eq,A82,in_type,"Préventif",in_done,1,in_dnum,"&gt;="&amp;p_from,in_dnum,"&lt;="&amp;p_to))</f>
        <v/>
      </c>
      <c r="L82" s="128" t="str">
        <f>IF(A82="","",SUMIFS(in_work,in_eq,A82,in_type,"Correctif",in_done,1,in_dnum,"&gt;="&amp;p_from,in_dnum,"&lt;="&amp;p_to))</f>
        <v/>
      </c>
      <c r="M82" s="128" t="str">
        <f>IF(A82="","",SUMIFS(in_work,in_eq,A82,in_type,"Amélioratif",in_done,1,in_dnum,"&gt;="&amp;p_from,in_dnum,"&lt;="&amp;p_to))</f>
        <v/>
      </c>
      <c r="N82" s="131" t="str">
        <f>IF(OR(A82="",N(K82)+N(L82)+N(M82)=0),"",K82/(K82+L82+M82))</f>
        <v/>
      </c>
      <c r="O82" s="81" t="str">
        <f>IF(A82="","",SUMIFS(in_parts,in_eq,A82,in_done,1,in_dnum,"&gt;="&amp;p_from,in_dnum,"&lt;="&amp;p_to))</f>
        <v/>
      </c>
      <c r="P82" s="81" t="str">
        <f>IF(A82="","",SUMIFS(in_mo,in_eq,A82,in_done,1,in_dnum,"&gt;="&amp;p_from,in_dnum,"&lt;="&amp;p_to))</f>
        <v/>
      </c>
      <c r="Q82" s="81" t="str">
        <f>IF(A82="","",SUMIFS(in_other,in_eq,A82,in_done,1,in_dnum,"&gt;="&amp;p_from,in_dnum,"&lt;="&amp;p_to))</f>
        <v/>
      </c>
      <c r="R82" s="81" t="str">
        <f>IF(A82="","",SUMIFS(in_total,in_eq,A82,in_done,1,in_dnum,"&gt;="&amp;p_from,in_dnum,"&lt;="&amp;p_to))</f>
        <v/>
      </c>
      <c r="S82" s="67" t="str">
        <f>IF(A82="","",SUMIFS(in_work,in_eq,A82,in_type,"Correctif",in_done,1,in_dnum,"&gt;="&amp;p_from,in_dnum,"&lt;="&amp;p_to))</f>
        <v/>
      </c>
      <c r="T82" s="67" t="str">
        <f>IF(A82="","",SUMIFS(in_stop,in_eq,A82,in_type,"Correctif",in_done,1,in_dnum,"&gt;="&amp;p_from,in_dnum,"&lt;="&amp;p_to))</f>
        <v/>
      </c>
    </row>
    <row r="83">
      <c r="A83" s="67" t="str">
        <f>IF(INDEX(eq_code,72)="","",INDEX(eq_code,72)&amp;"")</f>
        <v/>
      </c>
      <c r="B83" s="67" t="str">
        <f>IF(A83="","",INDEX(eq_des,72)&amp;"")</f>
        <v/>
      </c>
      <c r="C83" s="79" t="str">
        <f>IF(A83="","",INDEX(eq_crit,72)&amp;"")</f>
        <v/>
      </c>
      <c r="D83" s="127" t="str">
        <f>IF(A83="","",IF(MAX(p_from,N(INDEX(eq_start,72)))&gt;p_to,0,ROUND(IF(AND(ISNUMBER(INDEX(eq_hours,72)),N(INDEX(eq_hours,72))&gt;0,N(INDEX(eq_hours,72))&lt;=24),INDEX(eq_hours,72),0)*IF(p_days="7 jours sur 7",p_to-MAX(p_from,N(INDEX(eq_start,72)))+1,NETWORKDAYS.INTL(MAX(p_from,N(INDEX(eq_start,72))),p_to,p_weekend,p_holidays)),2)))</f>
        <v/>
      </c>
      <c r="E83" s="128" t="str">
        <f>IF(A83="","",SUMIFS(in_stop,in_eq,A83,in_done,1,in_dnum,"&gt;="&amp;p_from,in_dnum,"&lt;="&amp;p_to))</f>
        <v/>
      </c>
      <c r="F83" s="129" t="str">
        <f>IF(A83="","",COUNTIFS(in_eq,A83,in_type,"Correctif",in_done,1,in_dnum,"&gt;="&amp;p_from,in_dnum,"&lt;="&amp;p_to))</f>
        <v/>
      </c>
      <c r="G83" s="130" t="str">
        <f>IF(OR(A83="",N(F83)=0),"",MAX(0,D83-E83)/F83)</f>
        <v/>
      </c>
      <c r="H83" s="81" t="str">
        <f>IF(OR(A83="",N(F83)=0),"",S83/F83)</f>
        <v/>
      </c>
      <c r="I83" s="81" t="str">
        <f>IF(OR(A83="",N(F83)=0),"",T83/F83)</f>
        <v/>
      </c>
      <c r="J83" s="131" t="str">
        <f>IF(OR(A83="",N(D83)=0),"",MAX(0,D83-E83)/D83)</f>
        <v/>
      </c>
      <c r="K83" s="128" t="str">
        <f>IF(A83="","",SUMIFS(in_work,in_eq,A83,in_type,"Préventif",in_done,1,in_dnum,"&gt;="&amp;p_from,in_dnum,"&lt;="&amp;p_to))</f>
        <v/>
      </c>
      <c r="L83" s="128" t="str">
        <f>IF(A83="","",SUMIFS(in_work,in_eq,A83,in_type,"Correctif",in_done,1,in_dnum,"&gt;="&amp;p_from,in_dnum,"&lt;="&amp;p_to))</f>
        <v/>
      </c>
      <c r="M83" s="128" t="str">
        <f>IF(A83="","",SUMIFS(in_work,in_eq,A83,in_type,"Amélioratif",in_done,1,in_dnum,"&gt;="&amp;p_from,in_dnum,"&lt;="&amp;p_to))</f>
        <v/>
      </c>
      <c r="N83" s="131" t="str">
        <f>IF(OR(A83="",N(K83)+N(L83)+N(M83)=0),"",K83/(K83+L83+M83))</f>
        <v/>
      </c>
      <c r="O83" s="81" t="str">
        <f>IF(A83="","",SUMIFS(in_parts,in_eq,A83,in_done,1,in_dnum,"&gt;="&amp;p_from,in_dnum,"&lt;="&amp;p_to))</f>
        <v/>
      </c>
      <c r="P83" s="81" t="str">
        <f>IF(A83="","",SUMIFS(in_mo,in_eq,A83,in_done,1,in_dnum,"&gt;="&amp;p_from,in_dnum,"&lt;="&amp;p_to))</f>
        <v/>
      </c>
      <c r="Q83" s="81" t="str">
        <f>IF(A83="","",SUMIFS(in_other,in_eq,A83,in_done,1,in_dnum,"&gt;="&amp;p_from,in_dnum,"&lt;="&amp;p_to))</f>
        <v/>
      </c>
      <c r="R83" s="81" t="str">
        <f>IF(A83="","",SUMIFS(in_total,in_eq,A83,in_done,1,in_dnum,"&gt;="&amp;p_from,in_dnum,"&lt;="&amp;p_to))</f>
        <v/>
      </c>
      <c r="S83" s="67" t="str">
        <f>IF(A83="","",SUMIFS(in_work,in_eq,A83,in_type,"Correctif",in_done,1,in_dnum,"&gt;="&amp;p_from,in_dnum,"&lt;="&amp;p_to))</f>
        <v/>
      </c>
      <c r="T83" s="67" t="str">
        <f>IF(A83="","",SUMIFS(in_stop,in_eq,A83,in_type,"Correctif",in_done,1,in_dnum,"&gt;="&amp;p_from,in_dnum,"&lt;="&amp;p_to))</f>
        <v/>
      </c>
    </row>
    <row r="84">
      <c r="A84" s="67" t="str">
        <f>IF(INDEX(eq_code,73)="","",INDEX(eq_code,73)&amp;"")</f>
        <v/>
      </c>
      <c r="B84" s="67" t="str">
        <f>IF(A84="","",INDEX(eq_des,73)&amp;"")</f>
        <v/>
      </c>
      <c r="C84" s="79" t="str">
        <f>IF(A84="","",INDEX(eq_crit,73)&amp;"")</f>
        <v/>
      </c>
      <c r="D84" s="127" t="str">
        <f>IF(A84="","",IF(MAX(p_from,N(INDEX(eq_start,73)))&gt;p_to,0,ROUND(IF(AND(ISNUMBER(INDEX(eq_hours,73)),N(INDEX(eq_hours,73))&gt;0,N(INDEX(eq_hours,73))&lt;=24),INDEX(eq_hours,73),0)*IF(p_days="7 jours sur 7",p_to-MAX(p_from,N(INDEX(eq_start,73)))+1,NETWORKDAYS.INTL(MAX(p_from,N(INDEX(eq_start,73))),p_to,p_weekend,p_holidays)),2)))</f>
        <v/>
      </c>
      <c r="E84" s="128" t="str">
        <f>IF(A84="","",SUMIFS(in_stop,in_eq,A84,in_done,1,in_dnum,"&gt;="&amp;p_from,in_dnum,"&lt;="&amp;p_to))</f>
        <v/>
      </c>
      <c r="F84" s="129" t="str">
        <f>IF(A84="","",COUNTIFS(in_eq,A84,in_type,"Correctif",in_done,1,in_dnum,"&gt;="&amp;p_from,in_dnum,"&lt;="&amp;p_to))</f>
        <v/>
      </c>
      <c r="G84" s="130" t="str">
        <f>IF(OR(A84="",N(F84)=0),"",MAX(0,D84-E84)/F84)</f>
        <v/>
      </c>
      <c r="H84" s="81" t="str">
        <f>IF(OR(A84="",N(F84)=0),"",S84/F84)</f>
        <v/>
      </c>
      <c r="I84" s="81" t="str">
        <f>IF(OR(A84="",N(F84)=0),"",T84/F84)</f>
        <v/>
      </c>
      <c r="J84" s="131" t="str">
        <f>IF(OR(A84="",N(D84)=0),"",MAX(0,D84-E84)/D84)</f>
        <v/>
      </c>
      <c r="K84" s="128" t="str">
        <f>IF(A84="","",SUMIFS(in_work,in_eq,A84,in_type,"Préventif",in_done,1,in_dnum,"&gt;="&amp;p_from,in_dnum,"&lt;="&amp;p_to))</f>
        <v/>
      </c>
      <c r="L84" s="128" t="str">
        <f>IF(A84="","",SUMIFS(in_work,in_eq,A84,in_type,"Correctif",in_done,1,in_dnum,"&gt;="&amp;p_from,in_dnum,"&lt;="&amp;p_to))</f>
        <v/>
      </c>
      <c r="M84" s="128" t="str">
        <f>IF(A84="","",SUMIFS(in_work,in_eq,A84,in_type,"Amélioratif",in_done,1,in_dnum,"&gt;="&amp;p_from,in_dnum,"&lt;="&amp;p_to))</f>
        <v/>
      </c>
      <c r="N84" s="131" t="str">
        <f>IF(OR(A84="",N(K84)+N(L84)+N(M84)=0),"",K84/(K84+L84+M84))</f>
        <v/>
      </c>
      <c r="O84" s="81" t="str">
        <f>IF(A84="","",SUMIFS(in_parts,in_eq,A84,in_done,1,in_dnum,"&gt;="&amp;p_from,in_dnum,"&lt;="&amp;p_to))</f>
        <v/>
      </c>
      <c r="P84" s="81" t="str">
        <f>IF(A84="","",SUMIFS(in_mo,in_eq,A84,in_done,1,in_dnum,"&gt;="&amp;p_from,in_dnum,"&lt;="&amp;p_to))</f>
        <v/>
      </c>
      <c r="Q84" s="81" t="str">
        <f>IF(A84="","",SUMIFS(in_other,in_eq,A84,in_done,1,in_dnum,"&gt;="&amp;p_from,in_dnum,"&lt;="&amp;p_to))</f>
        <v/>
      </c>
      <c r="R84" s="81" t="str">
        <f>IF(A84="","",SUMIFS(in_total,in_eq,A84,in_done,1,in_dnum,"&gt;="&amp;p_from,in_dnum,"&lt;="&amp;p_to))</f>
        <v/>
      </c>
      <c r="S84" s="67" t="str">
        <f>IF(A84="","",SUMIFS(in_work,in_eq,A84,in_type,"Correctif",in_done,1,in_dnum,"&gt;="&amp;p_from,in_dnum,"&lt;="&amp;p_to))</f>
        <v/>
      </c>
      <c r="T84" s="67" t="str">
        <f>IF(A84="","",SUMIFS(in_stop,in_eq,A84,in_type,"Correctif",in_done,1,in_dnum,"&gt;="&amp;p_from,in_dnum,"&lt;="&amp;p_to))</f>
        <v/>
      </c>
    </row>
    <row r="85">
      <c r="A85" s="67" t="str">
        <f>IF(INDEX(eq_code,74)="","",INDEX(eq_code,74)&amp;"")</f>
        <v/>
      </c>
      <c r="B85" s="67" t="str">
        <f>IF(A85="","",INDEX(eq_des,74)&amp;"")</f>
        <v/>
      </c>
      <c r="C85" s="79" t="str">
        <f>IF(A85="","",INDEX(eq_crit,74)&amp;"")</f>
        <v/>
      </c>
      <c r="D85" s="127" t="str">
        <f>IF(A85="","",IF(MAX(p_from,N(INDEX(eq_start,74)))&gt;p_to,0,ROUND(IF(AND(ISNUMBER(INDEX(eq_hours,74)),N(INDEX(eq_hours,74))&gt;0,N(INDEX(eq_hours,74))&lt;=24),INDEX(eq_hours,74),0)*IF(p_days="7 jours sur 7",p_to-MAX(p_from,N(INDEX(eq_start,74)))+1,NETWORKDAYS.INTL(MAX(p_from,N(INDEX(eq_start,74))),p_to,p_weekend,p_holidays)),2)))</f>
        <v/>
      </c>
      <c r="E85" s="128" t="str">
        <f>IF(A85="","",SUMIFS(in_stop,in_eq,A85,in_done,1,in_dnum,"&gt;="&amp;p_from,in_dnum,"&lt;="&amp;p_to))</f>
        <v/>
      </c>
      <c r="F85" s="129" t="str">
        <f>IF(A85="","",COUNTIFS(in_eq,A85,in_type,"Correctif",in_done,1,in_dnum,"&gt;="&amp;p_from,in_dnum,"&lt;="&amp;p_to))</f>
        <v/>
      </c>
      <c r="G85" s="130" t="str">
        <f>IF(OR(A85="",N(F85)=0),"",MAX(0,D85-E85)/F85)</f>
        <v/>
      </c>
      <c r="H85" s="81" t="str">
        <f>IF(OR(A85="",N(F85)=0),"",S85/F85)</f>
        <v/>
      </c>
      <c r="I85" s="81" t="str">
        <f>IF(OR(A85="",N(F85)=0),"",T85/F85)</f>
        <v/>
      </c>
      <c r="J85" s="131" t="str">
        <f>IF(OR(A85="",N(D85)=0),"",MAX(0,D85-E85)/D85)</f>
        <v/>
      </c>
      <c r="K85" s="128" t="str">
        <f>IF(A85="","",SUMIFS(in_work,in_eq,A85,in_type,"Préventif",in_done,1,in_dnum,"&gt;="&amp;p_from,in_dnum,"&lt;="&amp;p_to))</f>
        <v/>
      </c>
      <c r="L85" s="128" t="str">
        <f>IF(A85="","",SUMIFS(in_work,in_eq,A85,in_type,"Correctif",in_done,1,in_dnum,"&gt;="&amp;p_from,in_dnum,"&lt;="&amp;p_to))</f>
        <v/>
      </c>
      <c r="M85" s="128" t="str">
        <f>IF(A85="","",SUMIFS(in_work,in_eq,A85,in_type,"Amélioratif",in_done,1,in_dnum,"&gt;="&amp;p_from,in_dnum,"&lt;="&amp;p_to))</f>
        <v/>
      </c>
      <c r="N85" s="131" t="str">
        <f>IF(OR(A85="",N(K85)+N(L85)+N(M85)=0),"",K85/(K85+L85+M85))</f>
        <v/>
      </c>
      <c r="O85" s="81" t="str">
        <f>IF(A85="","",SUMIFS(in_parts,in_eq,A85,in_done,1,in_dnum,"&gt;="&amp;p_from,in_dnum,"&lt;="&amp;p_to))</f>
        <v/>
      </c>
      <c r="P85" s="81" t="str">
        <f>IF(A85="","",SUMIFS(in_mo,in_eq,A85,in_done,1,in_dnum,"&gt;="&amp;p_from,in_dnum,"&lt;="&amp;p_to))</f>
        <v/>
      </c>
      <c r="Q85" s="81" t="str">
        <f>IF(A85="","",SUMIFS(in_other,in_eq,A85,in_done,1,in_dnum,"&gt;="&amp;p_from,in_dnum,"&lt;="&amp;p_to))</f>
        <v/>
      </c>
      <c r="R85" s="81" t="str">
        <f>IF(A85="","",SUMIFS(in_total,in_eq,A85,in_done,1,in_dnum,"&gt;="&amp;p_from,in_dnum,"&lt;="&amp;p_to))</f>
        <v/>
      </c>
      <c r="S85" s="67" t="str">
        <f>IF(A85="","",SUMIFS(in_work,in_eq,A85,in_type,"Correctif",in_done,1,in_dnum,"&gt;="&amp;p_from,in_dnum,"&lt;="&amp;p_to))</f>
        <v/>
      </c>
      <c r="T85" s="67" t="str">
        <f>IF(A85="","",SUMIFS(in_stop,in_eq,A85,in_type,"Correctif",in_done,1,in_dnum,"&gt;="&amp;p_from,in_dnum,"&lt;="&amp;p_to))</f>
        <v/>
      </c>
    </row>
    <row r="86">
      <c r="A86" s="67" t="str">
        <f>IF(INDEX(eq_code,75)="","",INDEX(eq_code,75)&amp;"")</f>
        <v/>
      </c>
      <c r="B86" s="67" t="str">
        <f>IF(A86="","",INDEX(eq_des,75)&amp;"")</f>
        <v/>
      </c>
      <c r="C86" s="79" t="str">
        <f>IF(A86="","",INDEX(eq_crit,75)&amp;"")</f>
        <v/>
      </c>
      <c r="D86" s="127" t="str">
        <f>IF(A86="","",IF(MAX(p_from,N(INDEX(eq_start,75)))&gt;p_to,0,ROUND(IF(AND(ISNUMBER(INDEX(eq_hours,75)),N(INDEX(eq_hours,75))&gt;0,N(INDEX(eq_hours,75))&lt;=24),INDEX(eq_hours,75),0)*IF(p_days="7 jours sur 7",p_to-MAX(p_from,N(INDEX(eq_start,75)))+1,NETWORKDAYS.INTL(MAX(p_from,N(INDEX(eq_start,75))),p_to,p_weekend,p_holidays)),2)))</f>
        <v/>
      </c>
      <c r="E86" s="128" t="str">
        <f>IF(A86="","",SUMIFS(in_stop,in_eq,A86,in_done,1,in_dnum,"&gt;="&amp;p_from,in_dnum,"&lt;="&amp;p_to))</f>
        <v/>
      </c>
      <c r="F86" s="129" t="str">
        <f>IF(A86="","",COUNTIFS(in_eq,A86,in_type,"Correctif",in_done,1,in_dnum,"&gt;="&amp;p_from,in_dnum,"&lt;="&amp;p_to))</f>
        <v/>
      </c>
      <c r="G86" s="130" t="str">
        <f>IF(OR(A86="",N(F86)=0),"",MAX(0,D86-E86)/F86)</f>
        <v/>
      </c>
      <c r="H86" s="81" t="str">
        <f>IF(OR(A86="",N(F86)=0),"",S86/F86)</f>
        <v/>
      </c>
      <c r="I86" s="81" t="str">
        <f>IF(OR(A86="",N(F86)=0),"",T86/F86)</f>
        <v/>
      </c>
      <c r="J86" s="131" t="str">
        <f>IF(OR(A86="",N(D86)=0),"",MAX(0,D86-E86)/D86)</f>
        <v/>
      </c>
      <c r="K86" s="128" t="str">
        <f>IF(A86="","",SUMIFS(in_work,in_eq,A86,in_type,"Préventif",in_done,1,in_dnum,"&gt;="&amp;p_from,in_dnum,"&lt;="&amp;p_to))</f>
        <v/>
      </c>
      <c r="L86" s="128" t="str">
        <f>IF(A86="","",SUMIFS(in_work,in_eq,A86,in_type,"Correctif",in_done,1,in_dnum,"&gt;="&amp;p_from,in_dnum,"&lt;="&amp;p_to))</f>
        <v/>
      </c>
      <c r="M86" s="128" t="str">
        <f>IF(A86="","",SUMIFS(in_work,in_eq,A86,in_type,"Amélioratif",in_done,1,in_dnum,"&gt;="&amp;p_from,in_dnum,"&lt;="&amp;p_to))</f>
        <v/>
      </c>
      <c r="N86" s="131" t="str">
        <f>IF(OR(A86="",N(K86)+N(L86)+N(M86)=0),"",K86/(K86+L86+M86))</f>
        <v/>
      </c>
      <c r="O86" s="81" t="str">
        <f>IF(A86="","",SUMIFS(in_parts,in_eq,A86,in_done,1,in_dnum,"&gt;="&amp;p_from,in_dnum,"&lt;="&amp;p_to))</f>
        <v/>
      </c>
      <c r="P86" s="81" t="str">
        <f>IF(A86="","",SUMIFS(in_mo,in_eq,A86,in_done,1,in_dnum,"&gt;="&amp;p_from,in_dnum,"&lt;="&amp;p_to))</f>
        <v/>
      </c>
      <c r="Q86" s="81" t="str">
        <f>IF(A86="","",SUMIFS(in_other,in_eq,A86,in_done,1,in_dnum,"&gt;="&amp;p_from,in_dnum,"&lt;="&amp;p_to))</f>
        <v/>
      </c>
      <c r="R86" s="81" t="str">
        <f>IF(A86="","",SUMIFS(in_total,in_eq,A86,in_done,1,in_dnum,"&gt;="&amp;p_from,in_dnum,"&lt;="&amp;p_to))</f>
        <v/>
      </c>
      <c r="S86" s="67" t="str">
        <f>IF(A86="","",SUMIFS(in_work,in_eq,A86,in_type,"Correctif",in_done,1,in_dnum,"&gt;="&amp;p_from,in_dnum,"&lt;="&amp;p_to))</f>
        <v/>
      </c>
      <c r="T86" s="67" t="str">
        <f>IF(A86="","",SUMIFS(in_stop,in_eq,A86,in_type,"Correctif",in_done,1,in_dnum,"&gt;="&amp;p_from,in_dnum,"&lt;="&amp;p_to))</f>
        <v/>
      </c>
    </row>
    <row r="87">
      <c r="A87" s="67" t="str">
        <f>IF(INDEX(eq_code,76)="","",INDEX(eq_code,76)&amp;"")</f>
        <v/>
      </c>
      <c r="B87" s="67" t="str">
        <f>IF(A87="","",INDEX(eq_des,76)&amp;"")</f>
        <v/>
      </c>
      <c r="C87" s="79" t="str">
        <f>IF(A87="","",INDEX(eq_crit,76)&amp;"")</f>
        <v/>
      </c>
      <c r="D87" s="127" t="str">
        <f>IF(A87="","",IF(MAX(p_from,N(INDEX(eq_start,76)))&gt;p_to,0,ROUND(IF(AND(ISNUMBER(INDEX(eq_hours,76)),N(INDEX(eq_hours,76))&gt;0,N(INDEX(eq_hours,76))&lt;=24),INDEX(eq_hours,76),0)*IF(p_days="7 jours sur 7",p_to-MAX(p_from,N(INDEX(eq_start,76)))+1,NETWORKDAYS.INTL(MAX(p_from,N(INDEX(eq_start,76))),p_to,p_weekend,p_holidays)),2)))</f>
        <v/>
      </c>
      <c r="E87" s="128" t="str">
        <f>IF(A87="","",SUMIFS(in_stop,in_eq,A87,in_done,1,in_dnum,"&gt;="&amp;p_from,in_dnum,"&lt;="&amp;p_to))</f>
        <v/>
      </c>
      <c r="F87" s="129" t="str">
        <f>IF(A87="","",COUNTIFS(in_eq,A87,in_type,"Correctif",in_done,1,in_dnum,"&gt;="&amp;p_from,in_dnum,"&lt;="&amp;p_to))</f>
        <v/>
      </c>
      <c r="G87" s="130" t="str">
        <f>IF(OR(A87="",N(F87)=0),"",MAX(0,D87-E87)/F87)</f>
        <v/>
      </c>
      <c r="H87" s="81" t="str">
        <f>IF(OR(A87="",N(F87)=0),"",S87/F87)</f>
        <v/>
      </c>
      <c r="I87" s="81" t="str">
        <f>IF(OR(A87="",N(F87)=0),"",T87/F87)</f>
        <v/>
      </c>
      <c r="J87" s="131" t="str">
        <f>IF(OR(A87="",N(D87)=0),"",MAX(0,D87-E87)/D87)</f>
        <v/>
      </c>
      <c r="K87" s="128" t="str">
        <f>IF(A87="","",SUMIFS(in_work,in_eq,A87,in_type,"Préventif",in_done,1,in_dnum,"&gt;="&amp;p_from,in_dnum,"&lt;="&amp;p_to))</f>
        <v/>
      </c>
      <c r="L87" s="128" t="str">
        <f>IF(A87="","",SUMIFS(in_work,in_eq,A87,in_type,"Correctif",in_done,1,in_dnum,"&gt;="&amp;p_from,in_dnum,"&lt;="&amp;p_to))</f>
        <v/>
      </c>
      <c r="M87" s="128" t="str">
        <f>IF(A87="","",SUMIFS(in_work,in_eq,A87,in_type,"Amélioratif",in_done,1,in_dnum,"&gt;="&amp;p_from,in_dnum,"&lt;="&amp;p_to))</f>
        <v/>
      </c>
      <c r="N87" s="131" t="str">
        <f>IF(OR(A87="",N(K87)+N(L87)+N(M87)=0),"",K87/(K87+L87+M87))</f>
        <v/>
      </c>
      <c r="O87" s="81" t="str">
        <f>IF(A87="","",SUMIFS(in_parts,in_eq,A87,in_done,1,in_dnum,"&gt;="&amp;p_from,in_dnum,"&lt;="&amp;p_to))</f>
        <v/>
      </c>
      <c r="P87" s="81" t="str">
        <f>IF(A87="","",SUMIFS(in_mo,in_eq,A87,in_done,1,in_dnum,"&gt;="&amp;p_from,in_dnum,"&lt;="&amp;p_to))</f>
        <v/>
      </c>
      <c r="Q87" s="81" t="str">
        <f>IF(A87="","",SUMIFS(in_other,in_eq,A87,in_done,1,in_dnum,"&gt;="&amp;p_from,in_dnum,"&lt;="&amp;p_to))</f>
        <v/>
      </c>
      <c r="R87" s="81" t="str">
        <f>IF(A87="","",SUMIFS(in_total,in_eq,A87,in_done,1,in_dnum,"&gt;="&amp;p_from,in_dnum,"&lt;="&amp;p_to))</f>
        <v/>
      </c>
      <c r="S87" s="67" t="str">
        <f>IF(A87="","",SUMIFS(in_work,in_eq,A87,in_type,"Correctif",in_done,1,in_dnum,"&gt;="&amp;p_from,in_dnum,"&lt;="&amp;p_to))</f>
        <v/>
      </c>
      <c r="T87" s="67" t="str">
        <f>IF(A87="","",SUMIFS(in_stop,in_eq,A87,in_type,"Correctif",in_done,1,in_dnum,"&gt;="&amp;p_from,in_dnum,"&lt;="&amp;p_to))</f>
        <v/>
      </c>
    </row>
    <row r="88">
      <c r="A88" s="67" t="str">
        <f>IF(INDEX(eq_code,77)="","",INDEX(eq_code,77)&amp;"")</f>
        <v/>
      </c>
      <c r="B88" s="67" t="str">
        <f>IF(A88="","",INDEX(eq_des,77)&amp;"")</f>
        <v/>
      </c>
      <c r="C88" s="79" t="str">
        <f>IF(A88="","",INDEX(eq_crit,77)&amp;"")</f>
        <v/>
      </c>
      <c r="D88" s="127" t="str">
        <f>IF(A88="","",IF(MAX(p_from,N(INDEX(eq_start,77)))&gt;p_to,0,ROUND(IF(AND(ISNUMBER(INDEX(eq_hours,77)),N(INDEX(eq_hours,77))&gt;0,N(INDEX(eq_hours,77))&lt;=24),INDEX(eq_hours,77),0)*IF(p_days="7 jours sur 7",p_to-MAX(p_from,N(INDEX(eq_start,77)))+1,NETWORKDAYS.INTL(MAX(p_from,N(INDEX(eq_start,77))),p_to,p_weekend,p_holidays)),2)))</f>
        <v/>
      </c>
      <c r="E88" s="128" t="str">
        <f>IF(A88="","",SUMIFS(in_stop,in_eq,A88,in_done,1,in_dnum,"&gt;="&amp;p_from,in_dnum,"&lt;="&amp;p_to))</f>
        <v/>
      </c>
      <c r="F88" s="129" t="str">
        <f>IF(A88="","",COUNTIFS(in_eq,A88,in_type,"Correctif",in_done,1,in_dnum,"&gt;="&amp;p_from,in_dnum,"&lt;="&amp;p_to))</f>
        <v/>
      </c>
      <c r="G88" s="130" t="str">
        <f>IF(OR(A88="",N(F88)=0),"",MAX(0,D88-E88)/F88)</f>
        <v/>
      </c>
      <c r="H88" s="81" t="str">
        <f>IF(OR(A88="",N(F88)=0),"",S88/F88)</f>
        <v/>
      </c>
      <c r="I88" s="81" t="str">
        <f>IF(OR(A88="",N(F88)=0),"",T88/F88)</f>
        <v/>
      </c>
      <c r="J88" s="131" t="str">
        <f>IF(OR(A88="",N(D88)=0),"",MAX(0,D88-E88)/D88)</f>
        <v/>
      </c>
      <c r="K88" s="128" t="str">
        <f>IF(A88="","",SUMIFS(in_work,in_eq,A88,in_type,"Préventif",in_done,1,in_dnum,"&gt;="&amp;p_from,in_dnum,"&lt;="&amp;p_to))</f>
        <v/>
      </c>
      <c r="L88" s="128" t="str">
        <f>IF(A88="","",SUMIFS(in_work,in_eq,A88,in_type,"Correctif",in_done,1,in_dnum,"&gt;="&amp;p_from,in_dnum,"&lt;="&amp;p_to))</f>
        <v/>
      </c>
      <c r="M88" s="128" t="str">
        <f>IF(A88="","",SUMIFS(in_work,in_eq,A88,in_type,"Amélioratif",in_done,1,in_dnum,"&gt;="&amp;p_from,in_dnum,"&lt;="&amp;p_to))</f>
        <v/>
      </c>
      <c r="N88" s="131" t="str">
        <f>IF(OR(A88="",N(K88)+N(L88)+N(M88)=0),"",K88/(K88+L88+M88))</f>
        <v/>
      </c>
      <c r="O88" s="81" t="str">
        <f>IF(A88="","",SUMIFS(in_parts,in_eq,A88,in_done,1,in_dnum,"&gt;="&amp;p_from,in_dnum,"&lt;="&amp;p_to))</f>
        <v/>
      </c>
      <c r="P88" s="81" t="str">
        <f>IF(A88="","",SUMIFS(in_mo,in_eq,A88,in_done,1,in_dnum,"&gt;="&amp;p_from,in_dnum,"&lt;="&amp;p_to))</f>
        <v/>
      </c>
      <c r="Q88" s="81" t="str">
        <f>IF(A88="","",SUMIFS(in_other,in_eq,A88,in_done,1,in_dnum,"&gt;="&amp;p_from,in_dnum,"&lt;="&amp;p_to))</f>
        <v/>
      </c>
      <c r="R88" s="81" t="str">
        <f>IF(A88="","",SUMIFS(in_total,in_eq,A88,in_done,1,in_dnum,"&gt;="&amp;p_from,in_dnum,"&lt;="&amp;p_to))</f>
        <v/>
      </c>
      <c r="S88" s="67" t="str">
        <f>IF(A88="","",SUMIFS(in_work,in_eq,A88,in_type,"Correctif",in_done,1,in_dnum,"&gt;="&amp;p_from,in_dnum,"&lt;="&amp;p_to))</f>
        <v/>
      </c>
      <c r="T88" s="67" t="str">
        <f>IF(A88="","",SUMIFS(in_stop,in_eq,A88,in_type,"Correctif",in_done,1,in_dnum,"&gt;="&amp;p_from,in_dnum,"&lt;="&amp;p_to))</f>
        <v/>
      </c>
    </row>
    <row r="89">
      <c r="A89" s="67" t="str">
        <f>IF(INDEX(eq_code,78)="","",INDEX(eq_code,78)&amp;"")</f>
        <v/>
      </c>
      <c r="B89" s="67" t="str">
        <f>IF(A89="","",INDEX(eq_des,78)&amp;"")</f>
        <v/>
      </c>
      <c r="C89" s="79" t="str">
        <f>IF(A89="","",INDEX(eq_crit,78)&amp;"")</f>
        <v/>
      </c>
      <c r="D89" s="127" t="str">
        <f>IF(A89="","",IF(MAX(p_from,N(INDEX(eq_start,78)))&gt;p_to,0,ROUND(IF(AND(ISNUMBER(INDEX(eq_hours,78)),N(INDEX(eq_hours,78))&gt;0,N(INDEX(eq_hours,78))&lt;=24),INDEX(eq_hours,78),0)*IF(p_days="7 jours sur 7",p_to-MAX(p_from,N(INDEX(eq_start,78)))+1,NETWORKDAYS.INTL(MAX(p_from,N(INDEX(eq_start,78))),p_to,p_weekend,p_holidays)),2)))</f>
        <v/>
      </c>
      <c r="E89" s="128" t="str">
        <f>IF(A89="","",SUMIFS(in_stop,in_eq,A89,in_done,1,in_dnum,"&gt;="&amp;p_from,in_dnum,"&lt;="&amp;p_to))</f>
        <v/>
      </c>
      <c r="F89" s="129" t="str">
        <f>IF(A89="","",COUNTIFS(in_eq,A89,in_type,"Correctif",in_done,1,in_dnum,"&gt;="&amp;p_from,in_dnum,"&lt;="&amp;p_to))</f>
        <v/>
      </c>
      <c r="G89" s="130" t="str">
        <f>IF(OR(A89="",N(F89)=0),"",MAX(0,D89-E89)/F89)</f>
        <v/>
      </c>
      <c r="H89" s="81" t="str">
        <f>IF(OR(A89="",N(F89)=0),"",S89/F89)</f>
        <v/>
      </c>
      <c r="I89" s="81" t="str">
        <f>IF(OR(A89="",N(F89)=0),"",T89/F89)</f>
        <v/>
      </c>
      <c r="J89" s="131" t="str">
        <f>IF(OR(A89="",N(D89)=0),"",MAX(0,D89-E89)/D89)</f>
        <v/>
      </c>
      <c r="K89" s="128" t="str">
        <f>IF(A89="","",SUMIFS(in_work,in_eq,A89,in_type,"Préventif",in_done,1,in_dnum,"&gt;="&amp;p_from,in_dnum,"&lt;="&amp;p_to))</f>
        <v/>
      </c>
      <c r="L89" s="128" t="str">
        <f>IF(A89="","",SUMIFS(in_work,in_eq,A89,in_type,"Correctif",in_done,1,in_dnum,"&gt;="&amp;p_from,in_dnum,"&lt;="&amp;p_to))</f>
        <v/>
      </c>
      <c r="M89" s="128" t="str">
        <f>IF(A89="","",SUMIFS(in_work,in_eq,A89,in_type,"Amélioratif",in_done,1,in_dnum,"&gt;="&amp;p_from,in_dnum,"&lt;="&amp;p_to))</f>
        <v/>
      </c>
      <c r="N89" s="131" t="str">
        <f>IF(OR(A89="",N(K89)+N(L89)+N(M89)=0),"",K89/(K89+L89+M89))</f>
        <v/>
      </c>
      <c r="O89" s="81" t="str">
        <f>IF(A89="","",SUMIFS(in_parts,in_eq,A89,in_done,1,in_dnum,"&gt;="&amp;p_from,in_dnum,"&lt;="&amp;p_to))</f>
        <v/>
      </c>
      <c r="P89" s="81" t="str">
        <f>IF(A89="","",SUMIFS(in_mo,in_eq,A89,in_done,1,in_dnum,"&gt;="&amp;p_from,in_dnum,"&lt;="&amp;p_to))</f>
        <v/>
      </c>
      <c r="Q89" s="81" t="str">
        <f>IF(A89="","",SUMIFS(in_other,in_eq,A89,in_done,1,in_dnum,"&gt;="&amp;p_from,in_dnum,"&lt;="&amp;p_to))</f>
        <v/>
      </c>
      <c r="R89" s="81" t="str">
        <f>IF(A89="","",SUMIFS(in_total,in_eq,A89,in_done,1,in_dnum,"&gt;="&amp;p_from,in_dnum,"&lt;="&amp;p_to))</f>
        <v/>
      </c>
      <c r="S89" s="67" t="str">
        <f>IF(A89="","",SUMIFS(in_work,in_eq,A89,in_type,"Correctif",in_done,1,in_dnum,"&gt;="&amp;p_from,in_dnum,"&lt;="&amp;p_to))</f>
        <v/>
      </c>
      <c r="T89" s="67" t="str">
        <f>IF(A89="","",SUMIFS(in_stop,in_eq,A89,in_type,"Correctif",in_done,1,in_dnum,"&gt;="&amp;p_from,in_dnum,"&lt;="&amp;p_to))</f>
        <v/>
      </c>
    </row>
    <row r="90">
      <c r="A90" s="67" t="str">
        <f>IF(INDEX(eq_code,79)="","",INDEX(eq_code,79)&amp;"")</f>
        <v/>
      </c>
      <c r="B90" s="67" t="str">
        <f>IF(A90="","",INDEX(eq_des,79)&amp;"")</f>
        <v/>
      </c>
      <c r="C90" s="79" t="str">
        <f>IF(A90="","",INDEX(eq_crit,79)&amp;"")</f>
        <v/>
      </c>
      <c r="D90" s="127" t="str">
        <f>IF(A90="","",IF(MAX(p_from,N(INDEX(eq_start,79)))&gt;p_to,0,ROUND(IF(AND(ISNUMBER(INDEX(eq_hours,79)),N(INDEX(eq_hours,79))&gt;0,N(INDEX(eq_hours,79))&lt;=24),INDEX(eq_hours,79),0)*IF(p_days="7 jours sur 7",p_to-MAX(p_from,N(INDEX(eq_start,79)))+1,NETWORKDAYS.INTL(MAX(p_from,N(INDEX(eq_start,79))),p_to,p_weekend,p_holidays)),2)))</f>
        <v/>
      </c>
      <c r="E90" s="128" t="str">
        <f>IF(A90="","",SUMIFS(in_stop,in_eq,A90,in_done,1,in_dnum,"&gt;="&amp;p_from,in_dnum,"&lt;="&amp;p_to))</f>
        <v/>
      </c>
      <c r="F90" s="129" t="str">
        <f>IF(A90="","",COUNTIFS(in_eq,A90,in_type,"Correctif",in_done,1,in_dnum,"&gt;="&amp;p_from,in_dnum,"&lt;="&amp;p_to))</f>
        <v/>
      </c>
      <c r="G90" s="130" t="str">
        <f>IF(OR(A90="",N(F90)=0),"",MAX(0,D90-E90)/F90)</f>
        <v/>
      </c>
      <c r="H90" s="81" t="str">
        <f>IF(OR(A90="",N(F90)=0),"",S90/F90)</f>
        <v/>
      </c>
      <c r="I90" s="81" t="str">
        <f>IF(OR(A90="",N(F90)=0),"",T90/F90)</f>
        <v/>
      </c>
      <c r="J90" s="131" t="str">
        <f>IF(OR(A90="",N(D90)=0),"",MAX(0,D90-E90)/D90)</f>
        <v/>
      </c>
      <c r="K90" s="128" t="str">
        <f>IF(A90="","",SUMIFS(in_work,in_eq,A90,in_type,"Préventif",in_done,1,in_dnum,"&gt;="&amp;p_from,in_dnum,"&lt;="&amp;p_to))</f>
        <v/>
      </c>
      <c r="L90" s="128" t="str">
        <f>IF(A90="","",SUMIFS(in_work,in_eq,A90,in_type,"Correctif",in_done,1,in_dnum,"&gt;="&amp;p_from,in_dnum,"&lt;="&amp;p_to))</f>
        <v/>
      </c>
      <c r="M90" s="128" t="str">
        <f>IF(A90="","",SUMIFS(in_work,in_eq,A90,in_type,"Amélioratif",in_done,1,in_dnum,"&gt;="&amp;p_from,in_dnum,"&lt;="&amp;p_to))</f>
        <v/>
      </c>
      <c r="N90" s="131" t="str">
        <f>IF(OR(A90="",N(K90)+N(L90)+N(M90)=0),"",K90/(K90+L90+M90))</f>
        <v/>
      </c>
      <c r="O90" s="81" t="str">
        <f>IF(A90="","",SUMIFS(in_parts,in_eq,A90,in_done,1,in_dnum,"&gt;="&amp;p_from,in_dnum,"&lt;="&amp;p_to))</f>
        <v/>
      </c>
      <c r="P90" s="81" t="str">
        <f>IF(A90="","",SUMIFS(in_mo,in_eq,A90,in_done,1,in_dnum,"&gt;="&amp;p_from,in_dnum,"&lt;="&amp;p_to))</f>
        <v/>
      </c>
      <c r="Q90" s="81" t="str">
        <f>IF(A90="","",SUMIFS(in_other,in_eq,A90,in_done,1,in_dnum,"&gt;="&amp;p_from,in_dnum,"&lt;="&amp;p_to))</f>
        <v/>
      </c>
      <c r="R90" s="81" t="str">
        <f>IF(A90="","",SUMIFS(in_total,in_eq,A90,in_done,1,in_dnum,"&gt;="&amp;p_from,in_dnum,"&lt;="&amp;p_to))</f>
        <v/>
      </c>
      <c r="S90" s="67" t="str">
        <f>IF(A90="","",SUMIFS(in_work,in_eq,A90,in_type,"Correctif",in_done,1,in_dnum,"&gt;="&amp;p_from,in_dnum,"&lt;="&amp;p_to))</f>
        <v/>
      </c>
      <c r="T90" s="67" t="str">
        <f>IF(A90="","",SUMIFS(in_stop,in_eq,A90,in_type,"Correctif",in_done,1,in_dnum,"&gt;="&amp;p_from,in_dnum,"&lt;="&amp;p_to))</f>
        <v/>
      </c>
    </row>
    <row r="91">
      <c r="A91" s="67" t="str">
        <f>IF(INDEX(eq_code,80)="","",INDEX(eq_code,80)&amp;"")</f>
        <v/>
      </c>
      <c r="B91" s="67" t="str">
        <f>IF(A91="","",INDEX(eq_des,80)&amp;"")</f>
        <v/>
      </c>
      <c r="C91" s="79" t="str">
        <f>IF(A91="","",INDEX(eq_crit,80)&amp;"")</f>
        <v/>
      </c>
      <c r="D91" s="127" t="str">
        <f>IF(A91="","",IF(MAX(p_from,N(INDEX(eq_start,80)))&gt;p_to,0,ROUND(IF(AND(ISNUMBER(INDEX(eq_hours,80)),N(INDEX(eq_hours,80))&gt;0,N(INDEX(eq_hours,80))&lt;=24),INDEX(eq_hours,80),0)*IF(p_days="7 jours sur 7",p_to-MAX(p_from,N(INDEX(eq_start,80)))+1,NETWORKDAYS.INTL(MAX(p_from,N(INDEX(eq_start,80))),p_to,p_weekend,p_holidays)),2)))</f>
        <v/>
      </c>
      <c r="E91" s="128" t="str">
        <f>IF(A91="","",SUMIFS(in_stop,in_eq,A91,in_done,1,in_dnum,"&gt;="&amp;p_from,in_dnum,"&lt;="&amp;p_to))</f>
        <v/>
      </c>
      <c r="F91" s="129" t="str">
        <f>IF(A91="","",COUNTIFS(in_eq,A91,in_type,"Correctif",in_done,1,in_dnum,"&gt;="&amp;p_from,in_dnum,"&lt;="&amp;p_to))</f>
        <v/>
      </c>
      <c r="G91" s="130" t="str">
        <f>IF(OR(A91="",N(F91)=0),"",MAX(0,D91-E91)/F91)</f>
        <v/>
      </c>
      <c r="H91" s="81" t="str">
        <f>IF(OR(A91="",N(F91)=0),"",S91/F91)</f>
        <v/>
      </c>
      <c r="I91" s="81" t="str">
        <f>IF(OR(A91="",N(F91)=0),"",T91/F91)</f>
        <v/>
      </c>
      <c r="J91" s="131" t="str">
        <f>IF(OR(A91="",N(D91)=0),"",MAX(0,D91-E91)/D91)</f>
        <v/>
      </c>
      <c r="K91" s="128" t="str">
        <f>IF(A91="","",SUMIFS(in_work,in_eq,A91,in_type,"Préventif",in_done,1,in_dnum,"&gt;="&amp;p_from,in_dnum,"&lt;="&amp;p_to))</f>
        <v/>
      </c>
      <c r="L91" s="128" t="str">
        <f>IF(A91="","",SUMIFS(in_work,in_eq,A91,in_type,"Correctif",in_done,1,in_dnum,"&gt;="&amp;p_from,in_dnum,"&lt;="&amp;p_to))</f>
        <v/>
      </c>
      <c r="M91" s="128" t="str">
        <f>IF(A91="","",SUMIFS(in_work,in_eq,A91,in_type,"Amélioratif",in_done,1,in_dnum,"&gt;="&amp;p_from,in_dnum,"&lt;="&amp;p_to))</f>
        <v/>
      </c>
      <c r="N91" s="131" t="str">
        <f>IF(OR(A91="",N(K91)+N(L91)+N(M91)=0),"",K91/(K91+L91+M91))</f>
        <v/>
      </c>
      <c r="O91" s="81" t="str">
        <f>IF(A91="","",SUMIFS(in_parts,in_eq,A91,in_done,1,in_dnum,"&gt;="&amp;p_from,in_dnum,"&lt;="&amp;p_to))</f>
        <v/>
      </c>
      <c r="P91" s="81" t="str">
        <f>IF(A91="","",SUMIFS(in_mo,in_eq,A91,in_done,1,in_dnum,"&gt;="&amp;p_from,in_dnum,"&lt;="&amp;p_to))</f>
        <v/>
      </c>
      <c r="Q91" s="81" t="str">
        <f>IF(A91="","",SUMIFS(in_other,in_eq,A91,in_done,1,in_dnum,"&gt;="&amp;p_from,in_dnum,"&lt;="&amp;p_to))</f>
        <v/>
      </c>
      <c r="R91" s="81" t="str">
        <f>IF(A91="","",SUMIFS(in_total,in_eq,A91,in_done,1,in_dnum,"&gt;="&amp;p_from,in_dnum,"&lt;="&amp;p_to))</f>
        <v/>
      </c>
      <c r="S91" s="67" t="str">
        <f>IF(A91="","",SUMIFS(in_work,in_eq,A91,in_type,"Correctif",in_done,1,in_dnum,"&gt;="&amp;p_from,in_dnum,"&lt;="&amp;p_to))</f>
        <v/>
      </c>
      <c r="T91" s="67" t="str">
        <f>IF(A91="","",SUMIFS(in_stop,in_eq,A91,in_type,"Correctif",in_done,1,in_dnum,"&gt;="&amp;p_from,in_dnum,"&lt;="&amp;p_to))</f>
        <v/>
      </c>
    </row>
    <row r="92">
      <c r="A92" s="67" t="str">
        <f>IF(INDEX(eq_code,81)="","",INDEX(eq_code,81)&amp;"")</f>
        <v/>
      </c>
      <c r="B92" s="67" t="str">
        <f>IF(A92="","",INDEX(eq_des,81)&amp;"")</f>
        <v/>
      </c>
      <c r="C92" s="79" t="str">
        <f>IF(A92="","",INDEX(eq_crit,81)&amp;"")</f>
        <v/>
      </c>
      <c r="D92" s="127" t="str">
        <f>IF(A92="","",IF(MAX(p_from,N(INDEX(eq_start,81)))&gt;p_to,0,ROUND(IF(AND(ISNUMBER(INDEX(eq_hours,81)),N(INDEX(eq_hours,81))&gt;0,N(INDEX(eq_hours,81))&lt;=24),INDEX(eq_hours,81),0)*IF(p_days="7 jours sur 7",p_to-MAX(p_from,N(INDEX(eq_start,81)))+1,NETWORKDAYS.INTL(MAX(p_from,N(INDEX(eq_start,81))),p_to,p_weekend,p_holidays)),2)))</f>
        <v/>
      </c>
      <c r="E92" s="128" t="str">
        <f>IF(A92="","",SUMIFS(in_stop,in_eq,A92,in_done,1,in_dnum,"&gt;="&amp;p_from,in_dnum,"&lt;="&amp;p_to))</f>
        <v/>
      </c>
      <c r="F92" s="129" t="str">
        <f>IF(A92="","",COUNTIFS(in_eq,A92,in_type,"Correctif",in_done,1,in_dnum,"&gt;="&amp;p_from,in_dnum,"&lt;="&amp;p_to))</f>
        <v/>
      </c>
      <c r="G92" s="130" t="str">
        <f>IF(OR(A92="",N(F92)=0),"",MAX(0,D92-E92)/F92)</f>
        <v/>
      </c>
      <c r="H92" s="81" t="str">
        <f>IF(OR(A92="",N(F92)=0),"",S92/F92)</f>
        <v/>
      </c>
      <c r="I92" s="81" t="str">
        <f>IF(OR(A92="",N(F92)=0),"",T92/F92)</f>
        <v/>
      </c>
      <c r="J92" s="131" t="str">
        <f>IF(OR(A92="",N(D92)=0),"",MAX(0,D92-E92)/D92)</f>
        <v/>
      </c>
      <c r="K92" s="128" t="str">
        <f>IF(A92="","",SUMIFS(in_work,in_eq,A92,in_type,"Préventif",in_done,1,in_dnum,"&gt;="&amp;p_from,in_dnum,"&lt;="&amp;p_to))</f>
        <v/>
      </c>
      <c r="L92" s="128" t="str">
        <f>IF(A92="","",SUMIFS(in_work,in_eq,A92,in_type,"Correctif",in_done,1,in_dnum,"&gt;="&amp;p_from,in_dnum,"&lt;="&amp;p_to))</f>
        <v/>
      </c>
      <c r="M92" s="128" t="str">
        <f>IF(A92="","",SUMIFS(in_work,in_eq,A92,in_type,"Amélioratif",in_done,1,in_dnum,"&gt;="&amp;p_from,in_dnum,"&lt;="&amp;p_to))</f>
        <v/>
      </c>
      <c r="N92" s="131" t="str">
        <f>IF(OR(A92="",N(K92)+N(L92)+N(M92)=0),"",K92/(K92+L92+M92))</f>
        <v/>
      </c>
      <c r="O92" s="81" t="str">
        <f>IF(A92="","",SUMIFS(in_parts,in_eq,A92,in_done,1,in_dnum,"&gt;="&amp;p_from,in_dnum,"&lt;="&amp;p_to))</f>
        <v/>
      </c>
      <c r="P92" s="81" t="str">
        <f>IF(A92="","",SUMIFS(in_mo,in_eq,A92,in_done,1,in_dnum,"&gt;="&amp;p_from,in_dnum,"&lt;="&amp;p_to))</f>
        <v/>
      </c>
      <c r="Q92" s="81" t="str">
        <f>IF(A92="","",SUMIFS(in_other,in_eq,A92,in_done,1,in_dnum,"&gt;="&amp;p_from,in_dnum,"&lt;="&amp;p_to))</f>
        <v/>
      </c>
      <c r="R92" s="81" t="str">
        <f>IF(A92="","",SUMIFS(in_total,in_eq,A92,in_done,1,in_dnum,"&gt;="&amp;p_from,in_dnum,"&lt;="&amp;p_to))</f>
        <v/>
      </c>
      <c r="S92" s="67" t="str">
        <f>IF(A92="","",SUMIFS(in_work,in_eq,A92,in_type,"Correctif",in_done,1,in_dnum,"&gt;="&amp;p_from,in_dnum,"&lt;="&amp;p_to))</f>
        <v/>
      </c>
      <c r="T92" s="67" t="str">
        <f>IF(A92="","",SUMIFS(in_stop,in_eq,A92,in_type,"Correctif",in_done,1,in_dnum,"&gt;="&amp;p_from,in_dnum,"&lt;="&amp;p_to))</f>
        <v/>
      </c>
    </row>
    <row r="93">
      <c r="A93" s="67" t="str">
        <f>IF(INDEX(eq_code,82)="","",INDEX(eq_code,82)&amp;"")</f>
        <v/>
      </c>
      <c r="B93" s="67" t="str">
        <f>IF(A93="","",INDEX(eq_des,82)&amp;"")</f>
        <v/>
      </c>
      <c r="C93" s="79" t="str">
        <f>IF(A93="","",INDEX(eq_crit,82)&amp;"")</f>
        <v/>
      </c>
      <c r="D93" s="127" t="str">
        <f>IF(A93="","",IF(MAX(p_from,N(INDEX(eq_start,82)))&gt;p_to,0,ROUND(IF(AND(ISNUMBER(INDEX(eq_hours,82)),N(INDEX(eq_hours,82))&gt;0,N(INDEX(eq_hours,82))&lt;=24),INDEX(eq_hours,82),0)*IF(p_days="7 jours sur 7",p_to-MAX(p_from,N(INDEX(eq_start,82)))+1,NETWORKDAYS.INTL(MAX(p_from,N(INDEX(eq_start,82))),p_to,p_weekend,p_holidays)),2)))</f>
        <v/>
      </c>
      <c r="E93" s="128" t="str">
        <f>IF(A93="","",SUMIFS(in_stop,in_eq,A93,in_done,1,in_dnum,"&gt;="&amp;p_from,in_dnum,"&lt;="&amp;p_to))</f>
        <v/>
      </c>
      <c r="F93" s="129" t="str">
        <f>IF(A93="","",COUNTIFS(in_eq,A93,in_type,"Correctif",in_done,1,in_dnum,"&gt;="&amp;p_from,in_dnum,"&lt;="&amp;p_to))</f>
        <v/>
      </c>
      <c r="G93" s="130" t="str">
        <f>IF(OR(A93="",N(F93)=0),"",MAX(0,D93-E93)/F93)</f>
        <v/>
      </c>
      <c r="H93" s="81" t="str">
        <f>IF(OR(A93="",N(F93)=0),"",S93/F93)</f>
        <v/>
      </c>
      <c r="I93" s="81" t="str">
        <f>IF(OR(A93="",N(F93)=0),"",T93/F93)</f>
        <v/>
      </c>
      <c r="J93" s="131" t="str">
        <f>IF(OR(A93="",N(D93)=0),"",MAX(0,D93-E93)/D93)</f>
        <v/>
      </c>
      <c r="K93" s="128" t="str">
        <f>IF(A93="","",SUMIFS(in_work,in_eq,A93,in_type,"Préventif",in_done,1,in_dnum,"&gt;="&amp;p_from,in_dnum,"&lt;="&amp;p_to))</f>
        <v/>
      </c>
      <c r="L93" s="128" t="str">
        <f>IF(A93="","",SUMIFS(in_work,in_eq,A93,in_type,"Correctif",in_done,1,in_dnum,"&gt;="&amp;p_from,in_dnum,"&lt;="&amp;p_to))</f>
        <v/>
      </c>
      <c r="M93" s="128" t="str">
        <f>IF(A93="","",SUMIFS(in_work,in_eq,A93,in_type,"Amélioratif",in_done,1,in_dnum,"&gt;="&amp;p_from,in_dnum,"&lt;="&amp;p_to))</f>
        <v/>
      </c>
      <c r="N93" s="131" t="str">
        <f>IF(OR(A93="",N(K93)+N(L93)+N(M93)=0),"",K93/(K93+L93+M93))</f>
        <v/>
      </c>
      <c r="O93" s="81" t="str">
        <f>IF(A93="","",SUMIFS(in_parts,in_eq,A93,in_done,1,in_dnum,"&gt;="&amp;p_from,in_dnum,"&lt;="&amp;p_to))</f>
        <v/>
      </c>
      <c r="P93" s="81" t="str">
        <f>IF(A93="","",SUMIFS(in_mo,in_eq,A93,in_done,1,in_dnum,"&gt;="&amp;p_from,in_dnum,"&lt;="&amp;p_to))</f>
        <v/>
      </c>
      <c r="Q93" s="81" t="str">
        <f>IF(A93="","",SUMIFS(in_other,in_eq,A93,in_done,1,in_dnum,"&gt;="&amp;p_from,in_dnum,"&lt;="&amp;p_to))</f>
        <v/>
      </c>
      <c r="R93" s="81" t="str">
        <f>IF(A93="","",SUMIFS(in_total,in_eq,A93,in_done,1,in_dnum,"&gt;="&amp;p_from,in_dnum,"&lt;="&amp;p_to))</f>
        <v/>
      </c>
      <c r="S93" s="67" t="str">
        <f>IF(A93="","",SUMIFS(in_work,in_eq,A93,in_type,"Correctif",in_done,1,in_dnum,"&gt;="&amp;p_from,in_dnum,"&lt;="&amp;p_to))</f>
        <v/>
      </c>
      <c r="T93" s="67" t="str">
        <f>IF(A93="","",SUMIFS(in_stop,in_eq,A93,in_type,"Correctif",in_done,1,in_dnum,"&gt;="&amp;p_from,in_dnum,"&lt;="&amp;p_to))</f>
        <v/>
      </c>
    </row>
    <row r="94">
      <c r="A94" s="67" t="str">
        <f>IF(INDEX(eq_code,83)="","",INDEX(eq_code,83)&amp;"")</f>
        <v/>
      </c>
      <c r="B94" s="67" t="str">
        <f>IF(A94="","",INDEX(eq_des,83)&amp;"")</f>
        <v/>
      </c>
      <c r="C94" s="79" t="str">
        <f>IF(A94="","",INDEX(eq_crit,83)&amp;"")</f>
        <v/>
      </c>
      <c r="D94" s="127" t="str">
        <f>IF(A94="","",IF(MAX(p_from,N(INDEX(eq_start,83)))&gt;p_to,0,ROUND(IF(AND(ISNUMBER(INDEX(eq_hours,83)),N(INDEX(eq_hours,83))&gt;0,N(INDEX(eq_hours,83))&lt;=24),INDEX(eq_hours,83),0)*IF(p_days="7 jours sur 7",p_to-MAX(p_from,N(INDEX(eq_start,83)))+1,NETWORKDAYS.INTL(MAX(p_from,N(INDEX(eq_start,83))),p_to,p_weekend,p_holidays)),2)))</f>
        <v/>
      </c>
      <c r="E94" s="128" t="str">
        <f>IF(A94="","",SUMIFS(in_stop,in_eq,A94,in_done,1,in_dnum,"&gt;="&amp;p_from,in_dnum,"&lt;="&amp;p_to))</f>
        <v/>
      </c>
      <c r="F94" s="129" t="str">
        <f>IF(A94="","",COUNTIFS(in_eq,A94,in_type,"Correctif",in_done,1,in_dnum,"&gt;="&amp;p_from,in_dnum,"&lt;="&amp;p_to))</f>
        <v/>
      </c>
      <c r="G94" s="130" t="str">
        <f>IF(OR(A94="",N(F94)=0),"",MAX(0,D94-E94)/F94)</f>
        <v/>
      </c>
      <c r="H94" s="81" t="str">
        <f>IF(OR(A94="",N(F94)=0),"",S94/F94)</f>
        <v/>
      </c>
      <c r="I94" s="81" t="str">
        <f>IF(OR(A94="",N(F94)=0),"",T94/F94)</f>
        <v/>
      </c>
      <c r="J94" s="131" t="str">
        <f>IF(OR(A94="",N(D94)=0),"",MAX(0,D94-E94)/D94)</f>
        <v/>
      </c>
      <c r="K94" s="128" t="str">
        <f>IF(A94="","",SUMIFS(in_work,in_eq,A94,in_type,"Préventif",in_done,1,in_dnum,"&gt;="&amp;p_from,in_dnum,"&lt;="&amp;p_to))</f>
        <v/>
      </c>
      <c r="L94" s="128" t="str">
        <f>IF(A94="","",SUMIFS(in_work,in_eq,A94,in_type,"Correctif",in_done,1,in_dnum,"&gt;="&amp;p_from,in_dnum,"&lt;="&amp;p_to))</f>
        <v/>
      </c>
      <c r="M94" s="128" t="str">
        <f>IF(A94="","",SUMIFS(in_work,in_eq,A94,in_type,"Amélioratif",in_done,1,in_dnum,"&gt;="&amp;p_from,in_dnum,"&lt;="&amp;p_to))</f>
        <v/>
      </c>
      <c r="N94" s="131" t="str">
        <f>IF(OR(A94="",N(K94)+N(L94)+N(M94)=0),"",K94/(K94+L94+M94))</f>
        <v/>
      </c>
      <c r="O94" s="81" t="str">
        <f>IF(A94="","",SUMIFS(in_parts,in_eq,A94,in_done,1,in_dnum,"&gt;="&amp;p_from,in_dnum,"&lt;="&amp;p_to))</f>
        <v/>
      </c>
      <c r="P94" s="81" t="str">
        <f>IF(A94="","",SUMIFS(in_mo,in_eq,A94,in_done,1,in_dnum,"&gt;="&amp;p_from,in_dnum,"&lt;="&amp;p_to))</f>
        <v/>
      </c>
      <c r="Q94" s="81" t="str">
        <f>IF(A94="","",SUMIFS(in_other,in_eq,A94,in_done,1,in_dnum,"&gt;="&amp;p_from,in_dnum,"&lt;="&amp;p_to))</f>
        <v/>
      </c>
      <c r="R94" s="81" t="str">
        <f>IF(A94="","",SUMIFS(in_total,in_eq,A94,in_done,1,in_dnum,"&gt;="&amp;p_from,in_dnum,"&lt;="&amp;p_to))</f>
        <v/>
      </c>
      <c r="S94" s="67" t="str">
        <f>IF(A94="","",SUMIFS(in_work,in_eq,A94,in_type,"Correctif",in_done,1,in_dnum,"&gt;="&amp;p_from,in_dnum,"&lt;="&amp;p_to))</f>
        <v/>
      </c>
      <c r="T94" s="67" t="str">
        <f>IF(A94="","",SUMIFS(in_stop,in_eq,A94,in_type,"Correctif",in_done,1,in_dnum,"&gt;="&amp;p_from,in_dnum,"&lt;="&amp;p_to))</f>
        <v/>
      </c>
    </row>
    <row r="95">
      <c r="A95" s="67" t="str">
        <f>IF(INDEX(eq_code,84)="","",INDEX(eq_code,84)&amp;"")</f>
        <v/>
      </c>
      <c r="B95" s="67" t="str">
        <f>IF(A95="","",INDEX(eq_des,84)&amp;"")</f>
        <v/>
      </c>
      <c r="C95" s="79" t="str">
        <f>IF(A95="","",INDEX(eq_crit,84)&amp;"")</f>
        <v/>
      </c>
      <c r="D95" s="127" t="str">
        <f>IF(A95="","",IF(MAX(p_from,N(INDEX(eq_start,84)))&gt;p_to,0,ROUND(IF(AND(ISNUMBER(INDEX(eq_hours,84)),N(INDEX(eq_hours,84))&gt;0,N(INDEX(eq_hours,84))&lt;=24),INDEX(eq_hours,84),0)*IF(p_days="7 jours sur 7",p_to-MAX(p_from,N(INDEX(eq_start,84)))+1,NETWORKDAYS.INTL(MAX(p_from,N(INDEX(eq_start,84))),p_to,p_weekend,p_holidays)),2)))</f>
        <v/>
      </c>
      <c r="E95" s="128" t="str">
        <f>IF(A95="","",SUMIFS(in_stop,in_eq,A95,in_done,1,in_dnum,"&gt;="&amp;p_from,in_dnum,"&lt;="&amp;p_to))</f>
        <v/>
      </c>
      <c r="F95" s="129" t="str">
        <f>IF(A95="","",COUNTIFS(in_eq,A95,in_type,"Correctif",in_done,1,in_dnum,"&gt;="&amp;p_from,in_dnum,"&lt;="&amp;p_to))</f>
        <v/>
      </c>
      <c r="G95" s="130" t="str">
        <f>IF(OR(A95="",N(F95)=0),"",MAX(0,D95-E95)/F95)</f>
        <v/>
      </c>
      <c r="H95" s="81" t="str">
        <f>IF(OR(A95="",N(F95)=0),"",S95/F95)</f>
        <v/>
      </c>
      <c r="I95" s="81" t="str">
        <f>IF(OR(A95="",N(F95)=0),"",T95/F95)</f>
        <v/>
      </c>
      <c r="J95" s="131" t="str">
        <f>IF(OR(A95="",N(D95)=0),"",MAX(0,D95-E95)/D95)</f>
        <v/>
      </c>
      <c r="K95" s="128" t="str">
        <f>IF(A95="","",SUMIFS(in_work,in_eq,A95,in_type,"Préventif",in_done,1,in_dnum,"&gt;="&amp;p_from,in_dnum,"&lt;="&amp;p_to))</f>
        <v/>
      </c>
      <c r="L95" s="128" t="str">
        <f>IF(A95="","",SUMIFS(in_work,in_eq,A95,in_type,"Correctif",in_done,1,in_dnum,"&gt;="&amp;p_from,in_dnum,"&lt;="&amp;p_to))</f>
        <v/>
      </c>
      <c r="M95" s="128" t="str">
        <f>IF(A95="","",SUMIFS(in_work,in_eq,A95,in_type,"Amélioratif",in_done,1,in_dnum,"&gt;="&amp;p_from,in_dnum,"&lt;="&amp;p_to))</f>
        <v/>
      </c>
      <c r="N95" s="131" t="str">
        <f>IF(OR(A95="",N(K95)+N(L95)+N(M95)=0),"",K95/(K95+L95+M95))</f>
        <v/>
      </c>
      <c r="O95" s="81" t="str">
        <f>IF(A95="","",SUMIFS(in_parts,in_eq,A95,in_done,1,in_dnum,"&gt;="&amp;p_from,in_dnum,"&lt;="&amp;p_to))</f>
        <v/>
      </c>
      <c r="P95" s="81" t="str">
        <f>IF(A95="","",SUMIFS(in_mo,in_eq,A95,in_done,1,in_dnum,"&gt;="&amp;p_from,in_dnum,"&lt;="&amp;p_to))</f>
        <v/>
      </c>
      <c r="Q95" s="81" t="str">
        <f>IF(A95="","",SUMIFS(in_other,in_eq,A95,in_done,1,in_dnum,"&gt;="&amp;p_from,in_dnum,"&lt;="&amp;p_to))</f>
        <v/>
      </c>
      <c r="R95" s="81" t="str">
        <f>IF(A95="","",SUMIFS(in_total,in_eq,A95,in_done,1,in_dnum,"&gt;="&amp;p_from,in_dnum,"&lt;="&amp;p_to))</f>
        <v/>
      </c>
      <c r="S95" s="67" t="str">
        <f>IF(A95="","",SUMIFS(in_work,in_eq,A95,in_type,"Correctif",in_done,1,in_dnum,"&gt;="&amp;p_from,in_dnum,"&lt;="&amp;p_to))</f>
        <v/>
      </c>
      <c r="T95" s="67" t="str">
        <f>IF(A95="","",SUMIFS(in_stop,in_eq,A95,in_type,"Correctif",in_done,1,in_dnum,"&gt;="&amp;p_from,in_dnum,"&lt;="&amp;p_to))</f>
        <v/>
      </c>
    </row>
    <row r="96">
      <c r="A96" s="67" t="str">
        <f>IF(INDEX(eq_code,85)="","",INDEX(eq_code,85)&amp;"")</f>
        <v/>
      </c>
      <c r="B96" s="67" t="str">
        <f>IF(A96="","",INDEX(eq_des,85)&amp;"")</f>
        <v/>
      </c>
      <c r="C96" s="79" t="str">
        <f>IF(A96="","",INDEX(eq_crit,85)&amp;"")</f>
        <v/>
      </c>
      <c r="D96" s="127" t="str">
        <f>IF(A96="","",IF(MAX(p_from,N(INDEX(eq_start,85)))&gt;p_to,0,ROUND(IF(AND(ISNUMBER(INDEX(eq_hours,85)),N(INDEX(eq_hours,85))&gt;0,N(INDEX(eq_hours,85))&lt;=24),INDEX(eq_hours,85),0)*IF(p_days="7 jours sur 7",p_to-MAX(p_from,N(INDEX(eq_start,85)))+1,NETWORKDAYS.INTL(MAX(p_from,N(INDEX(eq_start,85))),p_to,p_weekend,p_holidays)),2)))</f>
        <v/>
      </c>
      <c r="E96" s="128" t="str">
        <f>IF(A96="","",SUMIFS(in_stop,in_eq,A96,in_done,1,in_dnum,"&gt;="&amp;p_from,in_dnum,"&lt;="&amp;p_to))</f>
        <v/>
      </c>
      <c r="F96" s="129" t="str">
        <f>IF(A96="","",COUNTIFS(in_eq,A96,in_type,"Correctif",in_done,1,in_dnum,"&gt;="&amp;p_from,in_dnum,"&lt;="&amp;p_to))</f>
        <v/>
      </c>
      <c r="G96" s="130" t="str">
        <f>IF(OR(A96="",N(F96)=0),"",MAX(0,D96-E96)/F96)</f>
        <v/>
      </c>
      <c r="H96" s="81" t="str">
        <f>IF(OR(A96="",N(F96)=0),"",S96/F96)</f>
        <v/>
      </c>
      <c r="I96" s="81" t="str">
        <f>IF(OR(A96="",N(F96)=0),"",T96/F96)</f>
        <v/>
      </c>
      <c r="J96" s="131" t="str">
        <f>IF(OR(A96="",N(D96)=0),"",MAX(0,D96-E96)/D96)</f>
        <v/>
      </c>
      <c r="K96" s="128" t="str">
        <f>IF(A96="","",SUMIFS(in_work,in_eq,A96,in_type,"Préventif",in_done,1,in_dnum,"&gt;="&amp;p_from,in_dnum,"&lt;="&amp;p_to))</f>
        <v/>
      </c>
      <c r="L96" s="128" t="str">
        <f>IF(A96="","",SUMIFS(in_work,in_eq,A96,in_type,"Correctif",in_done,1,in_dnum,"&gt;="&amp;p_from,in_dnum,"&lt;="&amp;p_to))</f>
        <v/>
      </c>
      <c r="M96" s="128" t="str">
        <f>IF(A96="","",SUMIFS(in_work,in_eq,A96,in_type,"Amélioratif",in_done,1,in_dnum,"&gt;="&amp;p_from,in_dnum,"&lt;="&amp;p_to))</f>
        <v/>
      </c>
      <c r="N96" s="131" t="str">
        <f>IF(OR(A96="",N(K96)+N(L96)+N(M96)=0),"",K96/(K96+L96+M96))</f>
        <v/>
      </c>
      <c r="O96" s="81" t="str">
        <f>IF(A96="","",SUMIFS(in_parts,in_eq,A96,in_done,1,in_dnum,"&gt;="&amp;p_from,in_dnum,"&lt;="&amp;p_to))</f>
        <v/>
      </c>
      <c r="P96" s="81" t="str">
        <f>IF(A96="","",SUMIFS(in_mo,in_eq,A96,in_done,1,in_dnum,"&gt;="&amp;p_from,in_dnum,"&lt;="&amp;p_to))</f>
        <v/>
      </c>
      <c r="Q96" s="81" t="str">
        <f>IF(A96="","",SUMIFS(in_other,in_eq,A96,in_done,1,in_dnum,"&gt;="&amp;p_from,in_dnum,"&lt;="&amp;p_to))</f>
        <v/>
      </c>
      <c r="R96" s="81" t="str">
        <f>IF(A96="","",SUMIFS(in_total,in_eq,A96,in_done,1,in_dnum,"&gt;="&amp;p_from,in_dnum,"&lt;="&amp;p_to))</f>
        <v/>
      </c>
      <c r="S96" s="67" t="str">
        <f>IF(A96="","",SUMIFS(in_work,in_eq,A96,in_type,"Correctif",in_done,1,in_dnum,"&gt;="&amp;p_from,in_dnum,"&lt;="&amp;p_to))</f>
        <v/>
      </c>
      <c r="T96" s="67" t="str">
        <f>IF(A96="","",SUMIFS(in_stop,in_eq,A96,in_type,"Correctif",in_done,1,in_dnum,"&gt;="&amp;p_from,in_dnum,"&lt;="&amp;p_to))</f>
        <v/>
      </c>
    </row>
    <row r="97">
      <c r="A97" s="67" t="str">
        <f>IF(INDEX(eq_code,86)="","",INDEX(eq_code,86)&amp;"")</f>
        <v/>
      </c>
      <c r="B97" s="67" t="str">
        <f>IF(A97="","",INDEX(eq_des,86)&amp;"")</f>
        <v/>
      </c>
      <c r="C97" s="79" t="str">
        <f>IF(A97="","",INDEX(eq_crit,86)&amp;"")</f>
        <v/>
      </c>
      <c r="D97" s="127" t="str">
        <f>IF(A97="","",IF(MAX(p_from,N(INDEX(eq_start,86)))&gt;p_to,0,ROUND(IF(AND(ISNUMBER(INDEX(eq_hours,86)),N(INDEX(eq_hours,86))&gt;0,N(INDEX(eq_hours,86))&lt;=24),INDEX(eq_hours,86),0)*IF(p_days="7 jours sur 7",p_to-MAX(p_from,N(INDEX(eq_start,86)))+1,NETWORKDAYS.INTL(MAX(p_from,N(INDEX(eq_start,86))),p_to,p_weekend,p_holidays)),2)))</f>
        <v/>
      </c>
      <c r="E97" s="128" t="str">
        <f>IF(A97="","",SUMIFS(in_stop,in_eq,A97,in_done,1,in_dnum,"&gt;="&amp;p_from,in_dnum,"&lt;="&amp;p_to))</f>
        <v/>
      </c>
      <c r="F97" s="129" t="str">
        <f>IF(A97="","",COUNTIFS(in_eq,A97,in_type,"Correctif",in_done,1,in_dnum,"&gt;="&amp;p_from,in_dnum,"&lt;="&amp;p_to))</f>
        <v/>
      </c>
      <c r="G97" s="130" t="str">
        <f>IF(OR(A97="",N(F97)=0),"",MAX(0,D97-E97)/F97)</f>
        <v/>
      </c>
      <c r="H97" s="81" t="str">
        <f>IF(OR(A97="",N(F97)=0),"",S97/F97)</f>
        <v/>
      </c>
      <c r="I97" s="81" t="str">
        <f>IF(OR(A97="",N(F97)=0),"",T97/F97)</f>
        <v/>
      </c>
      <c r="J97" s="131" t="str">
        <f>IF(OR(A97="",N(D97)=0),"",MAX(0,D97-E97)/D97)</f>
        <v/>
      </c>
      <c r="K97" s="128" t="str">
        <f>IF(A97="","",SUMIFS(in_work,in_eq,A97,in_type,"Préventif",in_done,1,in_dnum,"&gt;="&amp;p_from,in_dnum,"&lt;="&amp;p_to))</f>
        <v/>
      </c>
      <c r="L97" s="128" t="str">
        <f>IF(A97="","",SUMIFS(in_work,in_eq,A97,in_type,"Correctif",in_done,1,in_dnum,"&gt;="&amp;p_from,in_dnum,"&lt;="&amp;p_to))</f>
        <v/>
      </c>
      <c r="M97" s="128" t="str">
        <f>IF(A97="","",SUMIFS(in_work,in_eq,A97,in_type,"Amélioratif",in_done,1,in_dnum,"&gt;="&amp;p_from,in_dnum,"&lt;="&amp;p_to))</f>
        <v/>
      </c>
      <c r="N97" s="131" t="str">
        <f>IF(OR(A97="",N(K97)+N(L97)+N(M97)=0),"",K97/(K97+L97+M97))</f>
        <v/>
      </c>
      <c r="O97" s="81" t="str">
        <f>IF(A97="","",SUMIFS(in_parts,in_eq,A97,in_done,1,in_dnum,"&gt;="&amp;p_from,in_dnum,"&lt;="&amp;p_to))</f>
        <v/>
      </c>
      <c r="P97" s="81" t="str">
        <f>IF(A97="","",SUMIFS(in_mo,in_eq,A97,in_done,1,in_dnum,"&gt;="&amp;p_from,in_dnum,"&lt;="&amp;p_to))</f>
        <v/>
      </c>
      <c r="Q97" s="81" t="str">
        <f>IF(A97="","",SUMIFS(in_other,in_eq,A97,in_done,1,in_dnum,"&gt;="&amp;p_from,in_dnum,"&lt;="&amp;p_to))</f>
        <v/>
      </c>
      <c r="R97" s="81" t="str">
        <f>IF(A97="","",SUMIFS(in_total,in_eq,A97,in_done,1,in_dnum,"&gt;="&amp;p_from,in_dnum,"&lt;="&amp;p_to))</f>
        <v/>
      </c>
      <c r="S97" s="67" t="str">
        <f>IF(A97="","",SUMIFS(in_work,in_eq,A97,in_type,"Correctif",in_done,1,in_dnum,"&gt;="&amp;p_from,in_dnum,"&lt;="&amp;p_to))</f>
        <v/>
      </c>
      <c r="T97" s="67" t="str">
        <f>IF(A97="","",SUMIFS(in_stop,in_eq,A97,in_type,"Correctif",in_done,1,in_dnum,"&gt;="&amp;p_from,in_dnum,"&lt;="&amp;p_to))</f>
        <v/>
      </c>
    </row>
    <row r="98">
      <c r="A98" s="67" t="str">
        <f>IF(INDEX(eq_code,87)="","",INDEX(eq_code,87)&amp;"")</f>
        <v/>
      </c>
      <c r="B98" s="67" t="str">
        <f>IF(A98="","",INDEX(eq_des,87)&amp;"")</f>
        <v/>
      </c>
      <c r="C98" s="79" t="str">
        <f>IF(A98="","",INDEX(eq_crit,87)&amp;"")</f>
        <v/>
      </c>
      <c r="D98" s="127" t="str">
        <f>IF(A98="","",IF(MAX(p_from,N(INDEX(eq_start,87)))&gt;p_to,0,ROUND(IF(AND(ISNUMBER(INDEX(eq_hours,87)),N(INDEX(eq_hours,87))&gt;0,N(INDEX(eq_hours,87))&lt;=24),INDEX(eq_hours,87),0)*IF(p_days="7 jours sur 7",p_to-MAX(p_from,N(INDEX(eq_start,87)))+1,NETWORKDAYS.INTL(MAX(p_from,N(INDEX(eq_start,87))),p_to,p_weekend,p_holidays)),2)))</f>
        <v/>
      </c>
      <c r="E98" s="128" t="str">
        <f>IF(A98="","",SUMIFS(in_stop,in_eq,A98,in_done,1,in_dnum,"&gt;="&amp;p_from,in_dnum,"&lt;="&amp;p_to))</f>
        <v/>
      </c>
      <c r="F98" s="129" t="str">
        <f>IF(A98="","",COUNTIFS(in_eq,A98,in_type,"Correctif",in_done,1,in_dnum,"&gt;="&amp;p_from,in_dnum,"&lt;="&amp;p_to))</f>
        <v/>
      </c>
      <c r="G98" s="130" t="str">
        <f>IF(OR(A98="",N(F98)=0),"",MAX(0,D98-E98)/F98)</f>
        <v/>
      </c>
      <c r="H98" s="81" t="str">
        <f>IF(OR(A98="",N(F98)=0),"",S98/F98)</f>
        <v/>
      </c>
      <c r="I98" s="81" t="str">
        <f>IF(OR(A98="",N(F98)=0),"",T98/F98)</f>
        <v/>
      </c>
      <c r="J98" s="131" t="str">
        <f>IF(OR(A98="",N(D98)=0),"",MAX(0,D98-E98)/D98)</f>
        <v/>
      </c>
      <c r="K98" s="128" t="str">
        <f>IF(A98="","",SUMIFS(in_work,in_eq,A98,in_type,"Préventif",in_done,1,in_dnum,"&gt;="&amp;p_from,in_dnum,"&lt;="&amp;p_to))</f>
        <v/>
      </c>
      <c r="L98" s="128" t="str">
        <f>IF(A98="","",SUMIFS(in_work,in_eq,A98,in_type,"Correctif",in_done,1,in_dnum,"&gt;="&amp;p_from,in_dnum,"&lt;="&amp;p_to))</f>
        <v/>
      </c>
      <c r="M98" s="128" t="str">
        <f>IF(A98="","",SUMIFS(in_work,in_eq,A98,in_type,"Amélioratif",in_done,1,in_dnum,"&gt;="&amp;p_from,in_dnum,"&lt;="&amp;p_to))</f>
        <v/>
      </c>
      <c r="N98" s="131" t="str">
        <f>IF(OR(A98="",N(K98)+N(L98)+N(M98)=0),"",K98/(K98+L98+M98))</f>
        <v/>
      </c>
      <c r="O98" s="81" t="str">
        <f>IF(A98="","",SUMIFS(in_parts,in_eq,A98,in_done,1,in_dnum,"&gt;="&amp;p_from,in_dnum,"&lt;="&amp;p_to))</f>
        <v/>
      </c>
      <c r="P98" s="81" t="str">
        <f>IF(A98="","",SUMIFS(in_mo,in_eq,A98,in_done,1,in_dnum,"&gt;="&amp;p_from,in_dnum,"&lt;="&amp;p_to))</f>
        <v/>
      </c>
      <c r="Q98" s="81" t="str">
        <f>IF(A98="","",SUMIFS(in_other,in_eq,A98,in_done,1,in_dnum,"&gt;="&amp;p_from,in_dnum,"&lt;="&amp;p_to))</f>
        <v/>
      </c>
      <c r="R98" s="81" t="str">
        <f>IF(A98="","",SUMIFS(in_total,in_eq,A98,in_done,1,in_dnum,"&gt;="&amp;p_from,in_dnum,"&lt;="&amp;p_to))</f>
        <v/>
      </c>
      <c r="S98" s="67" t="str">
        <f>IF(A98="","",SUMIFS(in_work,in_eq,A98,in_type,"Correctif",in_done,1,in_dnum,"&gt;="&amp;p_from,in_dnum,"&lt;="&amp;p_to))</f>
        <v/>
      </c>
      <c r="T98" s="67" t="str">
        <f>IF(A98="","",SUMIFS(in_stop,in_eq,A98,in_type,"Correctif",in_done,1,in_dnum,"&gt;="&amp;p_from,in_dnum,"&lt;="&amp;p_to))</f>
        <v/>
      </c>
    </row>
    <row r="99">
      <c r="A99" s="67" t="str">
        <f>IF(INDEX(eq_code,88)="","",INDEX(eq_code,88)&amp;"")</f>
        <v/>
      </c>
      <c r="B99" s="67" t="str">
        <f>IF(A99="","",INDEX(eq_des,88)&amp;"")</f>
        <v/>
      </c>
      <c r="C99" s="79" t="str">
        <f>IF(A99="","",INDEX(eq_crit,88)&amp;"")</f>
        <v/>
      </c>
      <c r="D99" s="127" t="str">
        <f>IF(A99="","",IF(MAX(p_from,N(INDEX(eq_start,88)))&gt;p_to,0,ROUND(IF(AND(ISNUMBER(INDEX(eq_hours,88)),N(INDEX(eq_hours,88))&gt;0,N(INDEX(eq_hours,88))&lt;=24),INDEX(eq_hours,88),0)*IF(p_days="7 jours sur 7",p_to-MAX(p_from,N(INDEX(eq_start,88)))+1,NETWORKDAYS.INTL(MAX(p_from,N(INDEX(eq_start,88))),p_to,p_weekend,p_holidays)),2)))</f>
        <v/>
      </c>
      <c r="E99" s="128" t="str">
        <f>IF(A99="","",SUMIFS(in_stop,in_eq,A99,in_done,1,in_dnum,"&gt;="&amp;p_from,in_dnum,"&lt;="&amp;p_to))</f>
        <v/>
      </c>
      <c r="F99" s="129" t="str">
        <f>IF(A99="","",COUNTIFS(in_eq,A99,in_type,"Correctif",in_done,1,in_dnum,"&gt;="&amp;p_from,in_dnum,"&lt;="&amp;p_to))</f>
        <v/>
      </c>
      <c r="G99" s="130" t="str">
        <f>IF(OR(A99="",N(F99)=0),"",MAX(0,D99-E99)/F99)</f>
        <v/>
      </c>
      <c r="H99" s="81" t="str">
        <f>IF(OR(A99="",N(F99)=0),"",S99/F99)</f>
        <v/>
      </c>
      <c r="I99" s="81" t="str">
        <f>IF(OR(A99="",N(F99)=0),"",T99/F99)</f>
        <v/>
      </c>
      <c r="J99" s="131" t="str">
        <f>IF(OR(A99="",N(D99)=0),"",MAX(0,D99-E99)/D99)</f>
        <v/>
      </c>
      <c r="K99" s="128" t="str">
        <f>IF(A99="","",SUMIFS(in_work,in_eq,A99,in_type,"Préventif",in_done,1,in_dnum,"&gt;="&amp;p_from,in_dnum,"&lt;="&amp;p_to))</f>
        <v/>
      </c>
      <c r="L99" s="128" t="str">
        <f>IF(A99="","",SUMIFS(in_work,in_eq,A99,in_type,"Correctif",in_done,1,in_dnum,"&gt;="&amp;p_from,in_dnum,"&lt;="&amp;p_to))</f>
        <v/>
      </c>
      <c r="M99" s="128" t="str">
        <f>IF(A99="","",SUMIFS(in_work,in_eq,A99,in_type,"Amélioratif",in_done,1,in_dnum,"&gt;="&amp;p_from,in_dnum,"&lt;="&amp;p_to))</f>
        <v/>
      </c>
      <c r="N99" s="131" t="str">
        <f>IF(OR(A99="",N(K99)+N(L99)+N(M99)=0),"",K99/(K99+L99+M99))</f>
        <v/>
      </c>
      <c r="O99" s="81" t="str">
        <f>IF(A99="","",SUMIFS(in_parts,in_eq,A99,in_done,1,in_dnum,"&gt;="&amp;p_from,in_dnum,"&lt;="&amp;p_to))</f>
        <v/>
      </c>
      <c r="P99" s="81" t="str">
        <f>IF(A99="","",SUMIFS(in_mo,in_eq,A99,in_done,1,in_dnum,"&gt;="&amp;p_from,in_dnum,"&lt;="&amp;p_to))</f>
        <v/>
      </c>
      <c r="Q99" s="81" t="str">
        <f>IF(A99="","",SUMIFS(in_other,in_eq,A99,in_done,1,in_dnum,"&gt;="&amp;p_from,in_dnum,"&lt;="&amp;p_to))</f>
        <v/>
      </c>
      <c r="R99" s="81" t="str">
        <f>IF(A99="","",SUMIFS(in_total,in_eq,A99,in_done,1,in_dnum,"&gt;="&amp;p_from,in_dnum,"&lt;="&amp;p_to))</f>
        <v/>
      </c>
      <c r="S99" s="67" t="str">
        <f>IF(A99="","",SUMIFS(in_work,in_eq,A99,in_type,"Correctif",in_done,1,in_dnum,"&gt;="&amp;p_from,in_dnum,"&lt;="&amp;p_to))</f>
        <v/>
      </c>
      <c r="T99" s="67" t="str">
        <f>IF(A99="","",SUMIFS(in_stop,in_eq,A99,in_type,"Correctif",in_done,1,in_dnum,"&gt;="&amp;p_from,in_dnum,"&lt;="&amp;p_to))</f>
        <v/>
      </c>
    </row>
    <row r="100">
      <c r="A100" s="67" t="str">
        <f>IF(INDEX(eq_code,89)="","",INDEX(eq_code,89)&amp;"")</f>
        <v/>
      </c>
      <c r="B100" s="67" t="str">
        <f>IF(A100="","",INDEX(eq_des,89)&amp;"")</f>
        <v/>
      </c>
      <c r="C100" s="79" t="str">
        <f>IF(A100="","",INDEX(eq_crit,89)&amp;"")</f>
        <v/>
      </c>
      <c r="D100" s="127" t="str">
        <f>IF(A100="","",IF(MAX(p_from,N(INDEX(eq_start,89)))&gt;p_to,0,ROUND(IF(AND(ISNUMBER(INDEX(eq_hours,89)),N(INDEX(eq_hours,89))&gt;0,N(INDEX(eq_hours,89))&lt;=24),INDEX(eq_hours,89),0)*IF(p_days="7 jours sur 7",p_to-MAX(p_from,N(INDEX(eq_start,89)))+1,NETWORKDAYS.INTL(MAX(p_from,N(INDEX(eq_start,89))),p_to,p_weekend,p_holidays)),2)))</f>
        <v/>
      </c>
      <c r="E100" s="128" t="str">
        <f>IF(A100="","",SUMIFS(in_stop,in_eq,A100,in_done,1,in_dnum,"&gt;="&amp;p_from,in_dnum,"&lt;="&amp;p_to))</f>
        <v/>
      </c>
      <c r="F100" s="129" t="str">
        <f>IF(A100="","",COUNTIFS(in_eq,A100,in_type,"Correctif",in_done,1,in_dnum,"&gt;="&amp;p_from,in_dnum,"&lt;="&amp;p_to))</f>
        <v/>
      </c>
      <c r="G100" s="130" t="str">
        <f>IF(OR(A100="",N(F100)=0),"",MAX(0,D100-E100)/F100)</f>
        <v/>
      </c>
      <c r="H100" s="81" t="str">
        <f>IF(OR(A100="",N(F100)=0),"",S100/F100)</f>
        <v/>
      </c>
      <c r="I100" s="81" t="str">
        <f>IF(OR(A100="",N(F100)=0),"",T100/F100)</f>
        <v/>
      </c>
      <c r="J100" s="131" t="str">
        <f>IF(OR(A100="",N(D100)=0),"",MAX(0,D100-E100)/D100)</f>
        <v/>
      </c>
      <c r="K100" s="128" t="str">
        <f>IF(A100="","",SUMIFS(in_work,in_eq,A100,in_type,"Préventif",in_done,1,in_dnum,"&gt;="&amp;p_from,in_dnum,"&lt;="&amp;p_to))</f>
        <v/>
      </c>
      <c r="L100" s="128" t="str">
        <f>IF(A100="","",SUMIFS(in_work,in_eq,A100,in_type,"Correctif",in_done,1,in_dnum,"&gt;="&amp;p_from,in_dnum,"&lt;="&amp;p_to))</f>
        <v/>
      </c>
      <c r="M100" s="128" t="str">
        <f>IF(A100="","",SUMIFS(in_work,in_eq,A100,in_type,"Amélioratif",in_done,1,in_dnum,"&gt;="&amp;p_from,in_dnum,"&lt;="&amp;p_to))</f>
        <v/>
      </c>
      <c r="N100" s="131" t="str">
        <f>IF(OR(A100="",N(K100)+N(L100)+N(M100)=0),"",K100/(K100+L100+M100))</f>
        <v/>
      </c>
      <c r="O100" s="81" t="str">
        <f>IF(A100="","",SUMIFS(in_parts,in_eq,A100,in_done,1,in_dnum,"&gt;="&amp;p_from,in_dnum,"&lt;="&amp;p_to))</f>
        <v/>
      </c>
      <c r="P100" s="81" t="str">
        <f>IF(A100="","",SUMIFS(in_mo,in_eq,A100,in_done,1,in_dnum,"&gt;="&amp;p_from,in_dnum,"&lt;="&amp;p_to))</f>
        <v/>
      </c>
      <c r="Q100" s="81" t="str">
        <f>IF(A100="","",SUMIFS(in_other,in_eq,A100,in_done,1,in_dnum,"&gt;="&amp;p_from,in_dnum,"&lt;="&amp;p_to))</f>
        <v/>
      </c>
      <c r="R100" s="81" t="str">
        <f>IF(A100="","",SUMIFS(in_total,in_eq,A100,in_done,1,in_dnum,"&gt;="&amp;p_from,in_dnum,"&lt;="&amp;p_to))</f>
        <v/>
      </c>
      <c r="S100" s="67" t="str">
        <f>IF(A100="","",SUMIFS(in_work,in_eq,A100,in_type,"Correctif",in_done,1,in_dnum,"&gt;="&amp;p_from,in_dnum,"&lt;="&amp;p_to))</f>
        <v/>
      </c>
      <c r="T100" s="67" t="str">
        <f>IF(A100="","",SUMIFS(in_stop,in_eq,A100,in_type,"Correctif",in_done,1,in_dnum,"&gt;="&amp;p_from,in_dnum,"&lt;="&amp;p_to))</f>
        <v/>
      </c>
    </row>
    <row r="101">
      <c r="A101" s="67" t="str">
        <f>IF(INDEX(eq_code,90)="","",INDEX(eq_code,90)&amp;"")</f>
        <v/>
      </c>
      <c r="B101" s="67" t="str">
        <f>IF(A101="","",INDEX(eq_des,90)&amp;"")</f>
        <v/>
      </c>
      <c r="C101" s="79" t="str">
        <f>IF(A101="","",INDEX(eq_crit,90)&amp;"")</f>
        <v/>
      </c>
      <c r="D101" s="127" t="str">
        <f>IF(A101="","",IF(MAX(p_from,N(INDEX(eq_start,90)))&gt;p_to,0,ROUND(IF(AND(ISNUMBER(INDEX(eq_hours,90)),N(INDEX(eq_hours,90))&gt;0,N(INDEX(eq_hours,90))&lt;=24),INDEX(eq_hours,90),0)*IF(p_days="7 jours sur 7",p_to-MAX(p_from,N(INDEX(eq_start,90)))+1,NETWORKDAYS.INTL(MAX(p_from,N(INDEX(eq_start,90))),p_to,p_weekend,p_holidays)),2)))</f>
        <v/>
      </c>
      <c r="E101" s="128" t="str">
        <f>IF(A101="","",SUMIFS(in_stop,in_eq,A101,in_done,1,in_dnum,"&gt;="&amp;p_from,in_dnum,"&lt;="&amp;p_to))</f>
        <v/>
      </c>
      <c r="F101" s="129" t="str">
        <f>IF(A101="","",COUNTIFS(in_eq,A101,in_type,"Correctif",in_done,1,in_dnum,"&gt;="&amp;p_from,in_dnum,"&lt;="&amp;p_to))</f>
        <v/>
      </c>
      <c r="G101" s="130" t="str">
        <f>IF(OR(A101="",N(F101)=0),"",MAX(0,D101-E101)/F101)</f>
        <v/>
      </c>
      <c r="H101" s="81" t="str">
        <f>IF(OR(A101="",N(F101)=0),"",S101/F101)</f>
        <v/>
      </c>
      <c r="I101" s="81" t="str">
        <f>IF(OR(A101="",N(F101)=0),"",T101/F101)</f>
        <v/>
      </c>
      <c r="J101" s="131" t="str">
        <f>IF(OR(A101="",N(D101)=0),"",MAX(0,D101-E101)/D101)</f>
        <v/>
      </c>
      <c r="K101" s="128" t="str">
        <f>IF(A101="","",SUMIFS(in_work,in_eq,A101,in_type,"Préventif",in_done,1,in_dnum,"&gt;="&amp;p_from,in_dnum,"&lt;="&amp;p_to))</f>
        <v/>
      </c>
      <c r="L101" s="128" t="str">
        <f>IF(A101="","",SUMIFS(in_work,in_eq,A101,in_type,"Correctif",in_done,1,in_dnum,"&gt;="&amp;p_from,in_dnum,"&lt;="&amp;p_to))</f>
        <v/>
      </c>
      <c r="M101" s="128" t="str">
        <f>IF(A101="","",SUMIFS(in_work,in_eq,A101,in_type,"Amélioratif",in_done,1,in_dnum,"&gt;="&amp;p_from,in_dnum,"&lt;="&amp;p_to))</f>
        <v/>
      </c>
      <c r="N101" s="131" t="str">
        <f>IF(OR(A101="",N(K101)+N(L101)+N(M101)=0),"",K101/(K101+L101+M101))</f>
        <v/>
      </c>
      <c r="O101" s="81" t="str">
        <f>IF(A101="","",SUMIFS(in_parts,in_eq,A101,in_done,1,in_dnum,"&gt;="&amp;p_from,in_dnum,"&lt;="&amp;p_to))</f>
        <v/>
      </c>
      <c r="P101" s="81" t="str">
        <f>IF(A101="","",SUMIFS(in_mo,in_eq,A101,in_done,1,in_dnum,"&gt;="&amp;p_from,in_dnum,"&lt;="&amp;p_to))</f>
        <v/>
      </c>
      <c r="Q101" s="81" t="str">
        <f>IF(A101="","",SUMIFS(in_other,in_eq,A101,in_done,1,in_dnum,"&gt;="&amp;p_from,in_dnum,"&lt;="&amp;p_to))</f>
        <v/>
      </c>
      <c r="R101" s="81" t="str">
        <f>IF(A101="","",SUMIFS(in_total,in_eq,A101,in_done,1,in_dnum,"&gt;="&amp;p_from,in_dnum,"&lt;="&amp;p_to))</f>
        <v/>
      </c>
      <c r="S101" s="67" t="str">
        <f>IF(A101="","",SUMIFS(in_work,in_eq,A101,in_type,"Correctif",in_done,1,in_dnum,"&gt;="&amp;p_from,in_dnum,"&lt;="&amp;p_to))</f>
        <v/>
      </c>
      <c r="T101" s="67" t="str">
        <f>IF(A101="","",SUMIFS(in_stop,in_eq,A101,in_type,"Correctif",in_done,1,in_dnum,"&gt;="&amp;p_from,in_dnum,"&lt;="&amp;p_to))</f>
        <v/>
      </c>
    </row>
    <row r="102">
      <c r="A102" s="67" t="str">
        <f>IF(INDEX(eq_code,91)="","",INDEX(eq_code,91)&amp;"")</f>
        <v/>
      </c>
      <c r="B102" s="67" t="str">
        <f>IF(A102="","",INDEX(eq_des,91)&amp;"")</f>
        <v/>
      </c>
      <c r="C102" s="79" t="str">
        <f>IF(A102="","",INDEX(eq_crit,91)&amp;"")</f>
        <v/>
      </c>
      <c r="D102" s="127" t="str">
        <f>IF(A102="","",IF(MAX(p_from,N(INDEX(eq_start,91)))&gt;p_to,0,ROUND(IF(AND(ISNUMBER(INDEX(eq_hours,91)),N(INDEX(eq_hours,91))&gt;0,N(INDEX(eq_hours,91))&lt;=24),INDEX(eq_hours,91),0)*IF(p_days="7 jours sur 7",p_to-MAX(p_from,N(INDEX(eq_start,91)))+1,NETWORKDAYS.INTL(MAX(p_from,N(INDEX(eq_start,91))),p_to,p_weekend,p_holidays)),2)))</f>
        <v/>
      </c>
      <c r="E102" s="128" t="str">
        <f>IF(A102="","",SUMIFS(in_stop,in_eq,A102,in_done,1,in_dnum,"&gt;="&amp;p_from,in_dnum,"&lt;="&amp;p_to))</f>
        <v/>
      </c>
      <c r="F102" s="129" t="str">
        <f>IF(A102="","",COUNTIFS(in_eq,A102,in_type,"Correctif",in_done,1,in_dnum,"&gt;="&amp;p_from,in_dnum,"&lt;="&amp;p_to))</f>
        <v/>
      </c>
      <c r="G102" s="130" t="str">
        <f>IF(OR(A102="",N(F102)=0),"",MAX(0,D102-E102)/F102)</f>
        <v/>
      </c>
      <c r="H102" s="81" t="str">
        <f>IF(OR(A102="",N(F102)=0),"",S102/F102)</f>
        <v/>
      </c>
      <c r="I102" s="81" t="str">
        <f>IF(OR(A102="",N(F102)=0),"",T102/F102)</f>
        <v/>
      </c>
      <c r="J102" s="131" t="str">
        <f>IF(OR(A102="",N(D102)=0),"",MAX(0,D102-E102)/D102)</f>
        <v/>
      </c>
      <c r="K102" s="128" t="str">
        <f>IF(A102="","",SUMIFS(in_work,in_eq,A102,in_type,"Préventif",in_done,1,in_dnum,"&gt;="&amp;p_from,in_dnum,"&lt;="&amp;p_to))</f>
        <v/>
      </c>
      <c r="L102" s="128" t="str">
        <f>IF(A102="","",SUMIFS(in_work,in_eq,A102,in_type,"Correctif",in_done,1,in_dnum,"&gt;="&amp;p_from,in_dnum,"&lt;="&amp;p_to))</f>
        <v/>
      </c>
      <c r="M102" s="128" t="str">
        <f>IF(A102="","",SUMIFS(in_work,in_eq,A102,in_type,"Amélioratif",in_done,1,in_dnum,"&gt;="&amp;p_from,in_dnum,"&lt;="&amp;p_to))</f>
        <v/>
      </c>
      <c r="N102" s="131" t="str">
        <f>IF(OR(A102="",N(K102)+N(L102)+N(M102)=0),"",K102/(K102+L102+M102))</f>
        <v/>
      </c>
      <c r="O102" s="81" t="str">
        <f>IF(A102="","",SUMIFS(in_parts,in_eq,A102,in_done,1,in_dnum,"&gt;="&amp;p_from,in_dnum,"&lt;="&amp;p_to))</f>
        <v/>
      </c>
      <c r="P102" s="81" t="str">
        <f>IF(A102="","",SUMIFS(in_mo,in_eq,A102,in_done,1,in_dnum,"&gt;="&amp;p_from,in_dnum,"&lt;="&amp;p_to))</f>
        <v/>
      </c>
      <c r="Q102" s="81" t="str">
        <f>IF(A102="","",SUMIFS(in_other,in_eq,A102,in_done,1,in_dnum,"&gt;="&amp;p_from,in_dnum,"&lt;="&amp;p_to))</f>
        <v/>
      </c>
      <c r="R102" s="81" t="str">
        <f>IF(A102="","",SUMIFS(in_total,in_eq,A102,in_done,1,in_dnum,"&gt;="&amp;p_from,in_dnum,"&lt;="&amp;p_to))</f>
        <v/>
      </c>
      <c r="S102" s="67" t="str">
        <f>IF(A102="","",SUMIFS(in_work,in_eq,A102,in_type,"Correctif",in_done,1,in_dnum,"&gt;="&amp;p_from,in_dnum,"&lt;="&amp;p_to))</f>
        <v/>
      </c>
      <c r="T102" s="67" t="str">
        <f>IF(A102="","",SUMIFS(in_stop,in_eq,A102,in_type,"Correctif",in_done,1,in_dnum,"&gt;="&amp;p_from,in_dnum,"&lt;="&amp;p_to))</f>
        <v/>
      </c>
    </row>
    <row r="103">
      <c r="A103" s="67" t="str">
        <f>IF(INDEX(eq_code,92)="","",INDEX(eq_code,92)&amp;"")</f>
        <v/>
      </c>
      <c r="B103" s="67" t="str">
        <f>IF(A103="","",INDEX(eq_des,92)&amp;"")</f>
        <v/>
      </c>
      <c r="C103" s="79" t="str">
        <f>IF(A103="","",INDEX(eq_crit,92)&amp;"")</f>
        <v/>
      </c>
      <c r="D103" s="127" t="str">
        <f>IF(A103="","",IF(MAX(p_from,N(INDEX(eq_start,92)))&gt;p_to,0,ROUND(IF(AND(ISNUMBER(INDEX(eq_hours,92)),N(INDEX(eq_hours,92))&gt;0,N(INDEX(eq_hours,92))&lt;=24),INDEX(eq_hours,92),0)*IF(p_days="7 jours sur 7",p_to-MAX(p_from,N(INDEX(eq_start,92)))+1,NETWORKDAYS.INTL(MAX(p_from,N(INDEX(eq_start,92))),p_to,p_weekend,p_holidays)),2)))</f>
        <v/>
      </c>
      <c r="E103" s="128" t="str">
        <f>IF(A103="","",SUMIFS(in_stop,in_eq,A103,in_done,1,in_dnum,"&gt;="&amp;p_from,in_dnum,"&lt;="&amp;p_to))</f>
        <v/>
      </c>
      <c r="F103" s="129" t="str">
        <f>IF(A103="","",COUNTIFS(in_eq,A103,in_type,"Correctif",in_done,1,in_dnum,"&gt;="&amp;p_from,in_dnum,"&lt;="&amp;p_to))</f>
        <v/>
      </c>
      <c r="G103" s="130" t="str">
        <f>IF(OR(A103="",N(F103)=0),"",MAX(0,D103-E103)/F103)</f>
        <v/>
      </c>
      <c r="H103" s="81" t="str">
        <f>IF(OR(A103="",N(F103)=0),"",S103/F103)</f>
        <v/>
      </c>
      <c r="I103" s="81" t="str">
        <f>IF(OR(A103="",N(F103)=0),"",T103/F103)</f>
        <v/>
      </c>
      <c r="J103" s="131" t="str">
        <f>IF(OR(A103="",N(D103)=0),"",MAX(0,D103-E103)/D103)</f>
        <v/>
      </c>
      <c r="K103" s="128" t="str">
        <f>IF(A103="","",SUMIFS(in_work,in_eq,A103,in_type,"Préventif",in_done,1,in_dnum,"&gt;="&amp;p_from,in_dnum,"&lt;="&amp;p_to))</f>
        <v/>
      </c>
      <c r="L103" s="128" t="str">
        <f>IF(A103="","",SUMIFS(in_work,in_eq,A103,in_type,"Correctif",in_done,1,in_dnum,"&gt;="&amp;p_from,in_dnum,"&lt;="&amp;p_to))</f>
        <v/>
      </c>
      <c r="M103" s="128" t="str">
        <f>IF(A103="","",SUMIFS(in_work,in_eq,A103,in_type,"Amélioratif",in_done,1,in_dnum,"&gt;="&amp;p_from,in_dnum,"&lt;="&amp;p_to))</f>
        <v/>
      </c>
      <c r="N103" s="131" t="str">
        <f>IF(OR(A103="",N(K103)+N(L103)+N(M103)=0),"",K103/(K103+L103+M103))</f>
        <v/>
      </c>
      <c r="O103" s="81" t="str">
        <f>IF(A103="","",SUMIFS(in_parts,in_eq,A103,in_done,1,in_dnum,"&gt;="&amp;p_from,in_dnum,"&lt;="&amp;p_to))</f>
        <v/>
      </c>
      <c r="P103" s="81" t="str">
        <f>IF(A103="","",SUMIFS(in_mo,in_eq,A103,in_done,1,in_dnum,"&gt;="&amp;p_from,in_dnum,"&lt;="&amp;p_to))</f>
        <v/>
      </c>
      <c r="Q103" s="81" t="str">
        <f>IF(A103="","",SUMIFS(in_other,in_eq,A103,in_done,1,in_dnum,"&gt;="&amp;p_from,in_dnum,"&lt;="&amp;p_to))</f>
        <v/>
      </c>
      <c r="R103" s="81" t="str">
        <f>IF(A103="","",SUMIFS(in_total,in_eq,A103,in_done,1,in_dnum,"&gt;="&amp;p_from,in_dnum,"&lt;="&amp;p_to))</f>
        <v/>
      </c>
      <c r="S103" s="67" t="str">
        <f>IF(A103="","",SUMIFS(in_work,in_eq,A103,in_type,"Correctif",in_done,1,in_dnum,"&gt;="&amp;p_from,in_dnum,"&lt;="&amp;p_to))</f>
        <v/>
      </c>
      <c r="T103" s="67" t="str">
        <f>IF(A103="","",SUMIFS(in_stop,in_eq,A103,in_type,"Correctif",in_done,1,in_dnum,"&gt;="&amp;p_from,in_dnum,"&lt;="&amp;p_to))</f>
        <v/>
      </c>
    </row>
    <row r="104">
      <c r="A104" s="67" t="str">
        <f>IF(INDEX(eq_code,93)="","",INDEX(eq_code,93)&amp;"")</f>
        <v/>
      </c>
      <c r="B104" s="67" t="str">
        <f>IF(A104="","",INDEX(eq_des,93)&amp;"")</f>
        <v/>
      </c>
      <c r="C104" s="79" t="str">
        <f>IF(A104="","",INDEX(eq_crit,93)&amp;"")</f>
        <v/>
      </c>
      <c r="D104" s="127" t="str">
        <f>IF(A104="","",IF(MAX(p_from,N(INDEX(eq_start,93)))&gt;p_to,0,ROUND(IF(AND(ISNUMBER(INDEX(eq_hours,93)),N(INDEX(eq_hours,93))&gt;0,N(INDEX(eq_hours,93))&lt;=24),INDEX(eq_hours,93),0)*IF(p_days="7 jours sur 7",p_to-MAX(p_from,N(INDEX(eq_start,93)))+1,NETWORKDAYS.INTL(MAX(p_from,N(INDEX(eq_start,93))),p_to,p_weekend,p_holidays)),2)))</f>
        <v/>
      </c>
      <c r="E104" s="128" t="str">
        <f>IF(A104="","",SUMIFS(in_stop,in_eq,A104,in_done,1,in_dnum,"&gt;="&amp;p_from,in_dnum,"&lt;="&amp;p_to))</f>
        <v/>
      </c>
      <c r="F104" s="129" t="str">
        <f>IF(A104="","",COUNTIFS(in_eq,A104,in_type,"Correctif",in_done,1,in_dnum,"&gt;="&amp;p_from,in_dnum,"&lt;="&amp;p_to))</f>
        <v/>
      </c>
      <c r="G104" s="130" t="str">
        <f>IF(OR(A104="",N(F104)=0),"",MAX(0,D104-E104)/F104)</f>
        <v/>
      </c>
      <c r="H104" s="81" t="str">
        <f>IF(OR(A104="",N(F104)=0),"",S104/F104)</f>
        <v/>
      </c>
      <c r="I104" s="81" t="str">
        <f>IF(OR(A104="",N(F104)=0),"",T104/F104)</f>
        <v/>
      </c>
      <c r="J104" s="131" t="str">
        <f>IF(OR(A104="",N(D104)=0),"",MAX(0,D104-E104)/D104)</f>
        <v/>
      </c>
      <c r="K104" s="128" t="str">
        <f>IF(A104="","",SUMIFS(in_work,in_eq,A104,in_type,"Préventif",in_done,1,in_dnum,"&gt;="&amp;p_from,in_dnum,"&lt;="&amp;p_to))</f>
        <v/>
      </c>
      <c r="L104" s="128" t="str">
        <f>IF(A104="","",SUMIFS(in_work,in_eq,A104,in_type,"Correctif",in_done,1,in_dnum,"&gt;="&amp;p_from,in_dnum,"&lt;="&amp;p_to))</f>
        <v/>
      </c>
      <c r="M104" s="128" t="str">
        <f>IF(A104="","",SUMIFS(in_work,in_eq,A104,in_type,"Amélioratif",in_done,1,in_dnum,"&gt;="&amp;p_from,in_dnum,"&lt;="&amp;p_to))</f>
        <v/>
      </c>
      <c r="N104" s="131" t="str">
        <f>IF(OR(A104="",N(K104)+N(L104)+N(M104)=0),"",K104/(K104+L104+M104))</f>
        <v/>
      </c>
      <c r="O104" s="81" t="str">
        <f>IF(A104="","",SUMIFS(in_parts,in_eq,A104,in_done,1,in_dnum,"&gt;="&amp;p_from,in_dnum,"&lt;="&amp;p_to))</f>
        <v/>
      </c>
      <c r="P104" s="81" t="str">
        <f>IF(A104="","",SUMIFS(in_mo,in_eq,A104,in_done,1,in_dnum,"&gt;="&amp;p_from,in_dnum,"&lt;="&amp;p_to))</f>
        <v/>
      </c>
      <c r="Q104" s="81" t="str">
        <f>IF(A104="","",SUMIFS(in_other,in_eq,A104,in_done,1,in_dnum,"&gt;="&amp;p_from,in_dnum,"&lt;="&amp;p_to))</f>
        <v/>
      </c>
      <c r="R104" s="81" t="str">
        <f>IF(A104="","",SUMIFS(in_total,in_eq,A104,in_done,1,in_dnum,"&gt;="&amp;p_from,in_dnum,"&lt;="&amp;p_to))</f>
        <v/>
      </c>
      <c r="S104" s="67" t="str">
        <f>IF(A104="","",SUMIFS(in_work,in_eq,A104,in_type,"Correctif",in_done,1,in_dnum,"&gt;="&amp;p_from,in_dnum,"&lt;="&amp;p_to))</f>
        <v/>
      </c>
      <c r="T104" s="67" t="str">
        <f>IF(A104="","",SUMIFS(in_stop,in_eq,A104,in_type,"Correctif",in_done,1,in_dnum,"&gt;="&amp;p_from,in_dnum,"&lt;="&amp;p_to))</f>
        <v/>
      </c>
    </row>
    <row r="105">
      <c r="A105" s="67" t="str">
        <f>IF(INDEX(eq_code,94)="","",INDEX(eq_code,94)&amp;"")</f>
        <v/>
      </c>
      <c r="B105" s="67" t="str">
        <f>IF(A105="","",INDEX(eq_des,94)&amp;"")</f>
        <v/>
      </c>
      <c r="C105" s="79" t="str">
        <f>IF(A105="","",INDEX(eq_crit,94)&amp;"")</f>
        <v/>
      </c>
      <c r="D105" s="127" t="str">
        <f>IF(A105="","",IF(MAX(p_from,N(INDEX(eq_start,94)))&gt;p_to,0,ROUND(IF(AND(ISNUMBER(INDEX(eq_hours,94)),N(INDEX(eq_hours,94))&gt;0,N(INDEX(eq_hours,94))&lt;=24),INDEX(eq_hours,94),0)*IF(p_days="7 jours sur 7",p_to-MAX(p_from,N(INDEX(eq_start,94)))+1,NETWORKDAYS.INTL(MAX(p_from,N(INDEX(eq_start,94))),p_to,p_weekend,p_holidays)),2)))</f>
        <v/>
      </c>
      <c r="E105" s="128" t="str">
        <f>IF(A105="","",SUMIFS(in_stop,in_eq,A105,in_done,1,in_dnum,"&gt;="&amp;p_from,in_dnum,"&lt;="&amp;p_to))</f>
        <v/>
      </c>
      <c r="F105" s="129" t="str">
        <f>IF(A105="","",COUNTIFS(in_eq,A105,in_type,"Correctif",in_done,1,in_dnum,"&gt;="&amp;p_from,in_dnum,"&lt;="&amp;p_to))</f>
        <v/>
      </c>
      <c r="G105" s="130" t="str">
        <f>IF(OR(A105="",N(F105)=0),"",MAX(0,D105-E105)/F105)</f>
        <v/>
      </c>
      <c r="H105" s="81" t="str">
        <f>IF(OR(A105="",N(F105)=0),"",S105/F105)</f>
        <v/>
      </c>
      <c r="I105" s="81" t="str">
        <f>IF(OR(A105="",N(F105)=0),"",T105/F105)</f>
        <v/>
      </c>
      <c r="J105" s="131" t="str">
        <f>IF(OR(A105="",N(D105)=0),"",MAX(0,D105-E105)/D105)</f>
        <v/>
      </c>
      <c r="K105" s="128" t="str">
        <f>IF(A105="","",SUMIFS(in_work,in_eq,A105,in_type,"Préventif",in_done,1,in_dnum,"&gt;="&amp;p_from,in_dnum,"&lt;="&amp;p_to))</f>
        <v/>
      </c>
      <c r="L105" s="128" t="str">
        <f>IF(A105="","",SUMIFS(in_work,in_eq,A105,in_type,"Correctif",in_done,1,in_dnum,"&gt;="&amp;p_from,in_dnum,"&lt;="&amp;p_to))</f>
        <v/>
      </c>
      <c r="M105" s="128" t="str">
        <f>IF(A105="","",SUMIFS(in_work,in_eq,A105,in_type,"Amélioratif",in_done,1,in_dnum,"&gt;="&amp;p_from,in_dnum,"&lt;="&amp;p_to))</f>
        <v/>
      </c>
      <c r="N105" s="131" t="str">
        <f>IF(OR(A105="",N(K105)+N(L105)+N(M105)=0),"",K105/(K105+L105+M105))</f>
        <v/>
      </c>
      <c r="O105" s="81" t="str">
        <f>IF(A105="","",SUMIFS(in_parts,in_eq,A105,in_done,1,in_dnum,"&gt;="&amp;p_from,in_dnum,"&lt;="&amp;p_to))</f>
        <v/>
      </c>
      <c r="P105" s="81" t="str">
        <f>IF(A105="","",SUMIFS(in_mo,in_eq,A105,in_done,1,in_dnum,"&gt;="&amp;p_from,in_dnum,"&lt;="&amp;p_to))</f>
        <v/>
      </c>
      <c r="Q105" s="81" t="str">
        <f>IF(A105="","",SUMIFS(in_other,in_eq,A105,in_done,1,in_dnum,"&gt;="&amp;p_from,in_dnum,"&lt;="&amp;p_to))</f>
        <v/>
      </c>
      <c r="R105" s="81" t="str">
        <f>IF(A105="","",SUMIFS(in_total,in_eq,A105,in_done,1,in_dnum,"&gt;="&amp;p_from,in_dnum,"&lt;="&amp;p_to))</f>
        <v/>
      </c>
      <c r="S105" s="67" t="str">
        <f>IF(A105="","",SUMIFS(in_work,in_eq,A105,in_type,"Correctif",in_done,1,in_dnum,"&gt;="&amp;p_from,in_dnum,"&lt;="&amp;p_to))</f>
        <v/>
      </c>
      <c r="T105" s="67" t="str">
        <f>IF(A105="","",SUMIFS(in_stop,in_eq,A105,in_type,"Correctif",in_done,1,in_dnum,"&gt;="&amp;p_from,in_dnum,"&lt;="&amp;p_to))</f>
        <v/>
      </c>
    </row>
    <row r="106">
      <c r="A106" s="67" t="str">
        <f>IF(INDEX(eq_code,95)="","",INDEX(eq_code,95)&amp;"")</f>
        <v/>
      </c>
      <c r="B106" s="67" t="str">
        <f>IF(A106="","",INDEX(eq_des,95)&amp;"")</f>
        <v/>
      </c>
      <c r="C106" s="79" t="str">
        <f>IF(A106="","",INDEX(eq_crit,95)&amp;"")</f>
        <v/>
      </c>
      <c r="D106" s="127" t="str">
        <f>IF(A106="","",IF(MAX(p_from,N(INDEX(eq_start,95)))&gt;p_to,0,ROUND(IF(AND(ISNUMBER(INDEX(eq_hours,95)),N(INDEX(eq_hours,95))&gt;0,N(INDEX(eq_hours,95))&lt;=24),INDEX(eq_hours,95),0)*IF(p_days="7 jours sur 7",p_to-MAX(p_from,N(INDEX(eq_start,95)))+1,NETWORKDAYS.INTL(MAX(p_from,N(INDEX(eq_start,95))),p_to,p_weekend,p_holidays)),2)))</f>
        <v/>
      </c>
      <c r="E106" s="128" t="str">
        <f>IF(A106="","",SUMIFS(in_stop,in_eq,A106,in_done,1,in_dnum,"&gt;="&amp;p_from,in_dnum,"&lt;="&amp;p_to))</f>
        <v/>
      </c>
      <c r="F106" s="129" t="str">
        <f>IF(A106="","",COUNTIFS(in_eq,A106,in_type,"Correctif",in_done,1,in_dnum,"&gt;="&amp;p_from,in_dnum,"&lt;="&amp;p_to))</f>
        <v/>
      </c>
      <c r="G106" s="130" t="str">
        <f>IF(OR(A106="",N(F106)=0),"",MAX(0,D106-E106)/F106)</f>
        <v/>
      </c>
      <c r="H106" s="81" t="str">
        <f>IF(OR(A106="",N(F106)=0),"",S106/F106)</f>
        <v/>
      </c>
      <c r="I106" s="81" t="str">
        <f>IF(OR(A106="",N(F106)=0),"",T106/F106)</f>
        <v/>
      </c>
      <c r="J106" s="131" t="str">
        <f>IF(OR(A106="",N(D106)=0),"",MAX(0,D106-E106)/D106)</f>
        <v/>
      </c>
      <c r="K106" s="128" t="str">
        <f>IF(A106="","",SUMIFS(in_work,in_eq,A106,in_type,"Préventif",in_done,1,in_dnum,"&gt;="&amp;p_from,in_dnum,"&lt;="&amp;p_to))</f>
        <v/>
      </c>
      <c r="L106" s="128" t="str">
        <f>IF(A106="","",SUMIFS(in_work,in_eq,A106,in_type,"Correctif",in_done,1,in_dnum,"&gt;="&amp;p_from,in_dnum,"&lt;="&amp;p_to))</f>
        <v/>
      </c>
      <c r="M106" s="128" t="str">
        <f>IF(A106="","",SUMIFS(in_work,in_eq,A106,in_type,"Amélioratif",in_done,1,in_dnum,"&gt;="&amp;p_from,in_dnum,"&lt;="&amp;p_to))</f>
        <v/>
      </c>
      <c r="N106" s="131" t="str">
        <f>IF(OR(A106="",N(K106)+N(L106)+N(M106)=0),"",K106/(K106+L106+M106))</f>
        <v/>
      </c>
      <c r="O106" s="81" t="str">
        <f>IF(A106="","",SUMIFS(in_parts,in_eq,A106,in_done,1,in_dnum,"&gt;="&amp;p_from,in_dnum,"&lt;="&amp;p_to))</f>
        <v/>
      </c>
      <c r="P106" s="81" t="str">
        <f>IF(A106="","",SUMIFS(in_mo,in_eq,A106,in_done,1,in_dnum,"&gt;="&amp;p_from,in_dnum,"&lt;="&amp;p_to))</f>
        <v/>
      </c>
      <c r="Q106" s="81" t="str">
        <f>IF(A106="","",SUMIFS(in_other,in_eq,A106,in_done,1,in_dnum,"&gt;="&amp;p_from,in_dnum,"&lt;="&amp;p_to))</f>
        <v/>
      </c>
      <c r="R106" s="81" t="str">
        <f>IF(A106="","",SUMIFS(in_total,in_eq,A106,in_done,1,in_dnum,"&gt;="&amp;p_from,in_dnum,"&lt;="&amp;p_to))</f>
        <v/>
      </c>
      <c r="S106" s="67" t="str">
        <f>IF(A106="","",SUMIFS(in_work,in_eq,A106,in_type,"Correctif",in_done,1,in_dnum,"&gt;="&amp;p_from,in_dnum,"&lt;="&amp;p_to))</f>
        <v/>
      </c>
      <c r="T106" s="67" t="str">
        <f>IF(A106="","",SUMIFS(in_stop,in_eq,A106,in_type,"Correctif",in_done,1,in_dnum,"&gt;="&amp;p_from,in_dnum,"&lt;="&amp;p_to))</f>
        <v/>
      </c>
    </row>
    <row r="107">
      <c r="A107" s="67" t="str">
        <f>IF(INDEX(eq_code,96)="","",INDEX(eq_code,96)&amp;"")</f>
        <v/>
      </c>
      <c r="B107" s="67" t="str">
        <f>IF(A107="","",INDEX(eq_des,96)&amp;"")</f>
        <v/>
      </c>
      <c r="C107" s="79" t="str">
        <f>IF(A107="","",INDEX(eq_crit,96)&amp;"")</f>
        <v/>
      </c>
      <c r="D107" s="127" t="str">
        <f>IF(A107="","",IF(MAX(p_from,N(INDEX(eq_start,96)))&gt;p_to,0,ROUND(IF(AND(ISNUMBER(INDEX(eq_hours,96)),N(INDEX(eq_hours,96))&gt;0,N(INDEX(eq_hours,96))&lt;=24),INDEX(eq_hours,96),0)*IF(p_days="7 jours sur 7",p_to-MAX(p_from,N(INDEX(eq_start,96)))+1,NETWORKDAYS.INTL(MAX(p_from,N(INDEX(eq_start,96))),p_to,p_weekend,p_holidays)),2)))</f>
        <v/>
      </c>
      <c r="E107" s="128" t="str">
        <f>IF(A107="","",SUMIFS(in_stop,in_eq,A107,in_done,1,in_dnum,"&gt;="&amp;p_from,in_dnum,"&lt;="&amp;p_to))</f>
        <v/>
      </c>
      <c r="F107" s="129" t="str">
        <f>IF(A107="","",COUNTIFS(in_eq,A107,in_type,"Correctif",in_done,1,in_dnum,"&gt;="&amp;p_from,in_dnum,"&lt;="&amp;p_to))</f>
        <v/>
      </c>
      <c r="G107" s="130" t="str">
        <f>IF(OR(A107="",N(F107)=0),"",MAX(0,D107-E107)/F107)</f>
        <v/>
      </c>
      <c r="H107" s="81" t="str">
        <f>IF(OR(A107="",N(F107)=0),"",S107/F107)</f>
        <v/>
      </c>
      <c r="I107" s="81" t="str">
        <f>IF(OR(A107="",N(F107)=0),"",T107/F107)</f>
        <v/>
      </c>
      <c r="J107" s="131" t="str">
        <f>IF(OR(A107="",N(D107)=0),"",MAX(0,D107-E107)/D107)</f>
        <v/>
      </c>
      <c r="K107" s="128" t="str">
        <f>IF(A107="","",SUMIFS(in_work,in_eq,A107,in_type,"Préventif",in_done,1,in_dnum,"&gt;="&amp;p_from,in_dnum,"&lt;="&amp;p_to))</f>
        <v/>
      </c>
      <c r="L107" s="128" t="str">
        <f>IF(A107="","",SUMIFS(in_work,in_eq,A107,in_type,"Correctif",in_done,1,in_dnum,"&gt;="&amp;p_from,in_dnum,"&lt;="&amp;p_to))</f>
        <v/>
      </c>
      <c r="M107" s="128" t="str">
        <f>IF(A107="","",SUMIFS(in_work,in_eq,A107,in_type,"Amélioratif",in_done,1,in_dnum,"&gt;="&amp;p_from,in_dnum,"&lt;="&amp;p_to))</f>
        <v/>
      </c>
      <c r="N107" s="131" t="str">
        <f>IF(OR(A107="",N(K107)+N(L107)+N(M107)=0),"",K107/(K107+L107+M107))</f>
        <v/>
      </c>
      <c r="O107" s="81" t="str">
        <f>IF(A107="","",SUMIFS(in_parts,in_eq,A107,in_done,1,in_dnum,"&gt;="&amp;p_from,in_dnum,"&lt;="&amp;p_to))</f>
        <v/>
      </c>
      <c r="P107" s="81" t="str">
        <f>IF(A107="","",SUMIFS(in_mo,in_eq,A107,in_done,1,in_dnum,"&gt;="&amp;p_from,in_dnum,"&lt;="&amp;p_to))</f>
        <v/>
      </c>
      <c r="Q107" s="81" t="str">
        <f>IF(A107="","",SUMIFS(in_other,in_eq,A107,in_done,1,in_dnum,"&gt;="&amp;p_from,in_dnum,"&lt;="&amp;p_to))</f>
        <v/>
      </c>
      <c r="R107" s="81" t="str">
        <f>IF(A107="","",SUMIFS(in_total,in_eq,A107,in_done,1,in_dnum,"&gt;="&amp;p_from,in_dnum,"&lt;="&amp;p_to))</f>
        <v/>
      </c>
      <c r="S107" s="67" t="str">
        <f>IF(A107="","",SUMIFS(in_work,in_eq,A107,in_type,"Correctif",in_done,1,in_dnum,"&gt;="&amp;p_from,in_dnum,"&lt;="&amp;p_to))</f>
        <v/>
      </c>
      <c r="T107" s="67" t="str">
        <f>IF(A107="","",SUMIFS(in_stop,in_eq,A107,in_type,"Correctif",in_done,1,in_dnum,"&gt;="&amp;p_from,in_dnum,"&lt;="&amp;p_to))</f>
        <v/>
      </c>
    </row>
    <row r="108">
      <c r="A108" s="67" t="str">
        <f>IF(INDEX(eq_code,97)="","",INDEX(eq_code,97)&amp;"")</f>
        <v/>
      </c>
      <c r="B108" s="67" t="str">
        <f>IF(A108="","",INDEX(eq_des,97)&amp;"")</f>
        <v/>
      </c>
      <c r="C108" s="79" t="str">
        <f>IF(A108="","",INDEX(eq_crit,97)&amp;"")</f>
        <v/>
      </c>
      <c r="D108" s="127" t="str">
        <f>IF(A108="","",IF(MAX(p_from,N(INDEX(eq_start,97)))&gt;p_to,0,ROUND(IF(AND(ISNUMBER(INDEX(eq_hours,97)),N(INDEX(eq_hours,97))&gt;0,N(INDEX(eq_hours,97))&lt;=24),INDEX(eq_hours,97),0)*IF(p_days="7 jours sur 7",p_to-MAX(p_from,N(INDEX(eq_start,97)))+1,NETWORKDAYS.INTL(MAX(p_from,N(INDEX(eq_start,97))),p_to,p_weekend,p_holidays)),2)))</f>
        <v/>
      </c>
      <c r="E108" s="128" t="str">
        <f>IF(A108="","",SUMIFS(in_stop,in_eq,A108,in_done,1,in_dnum,"&gt;="&amp;p_from,in_dnum,"&lt;="&amp;p_to))</f>
        <v/>
      </c>
      <c r="F108" s="129" t="str">
        <f>IF(A108="","",COUNTIFS(in_eq,A108,in_type,"Correctif",in_done,1,in_dnum,"&gt;="&amp;p_from,in_dnum,"&lt;="&amp;p_to))</f>
        <v/>
      </c>
      <c r="G108" s="130" t="str">
        <f>IF(OR(A108="",N(F108)=0),"",MAX(0,D108-E108)/F108)</f>
        <v/>
      </c>
      <c r="H108" s="81" t="str">
        <f>IF(OR(A108="",N(F108)=0),"",S108/F108)</f>
        <v/>
      </c>
      <c r="I108" s="81" t="str">
        <f>IF(OR(A108="",N(F108)=0),"",T108/F108)</f>
        <v/>
      </c>
      <c r="J108" s="131" t="str">
        <f>IF(OR(A108="",N(D108)=0),"",MAX(0,D108-E108)/D108)</f>
        <v/>
      </c>
      <c r="K108" s="128" t="str">
        <f>IF(A108="","",SUMIFS(in_work,in_eq,A108,in_type,"Préventif",in_done,1,in_dnum,"&gt;="&amp;p_from,in_dnum,"&lt;="&amp;p_to))</f>
        <v/>
      </c>
      <c r="L108" s="128" t="str">
        <f>IF(A108="","",SUMIFS(in_work,in_eq,A108,in_type,"Correctif",in_done,1,in_dnum,"&gt;="&amp;p_from,in_dnum,"&lt;="&amp;p_to))</f>
        <v/>
      </c>
      <c r="M108" s="128" t="str">
        <f>IF(A108="","",SUMIFS(in_work,in_eq,A108,in_type,"Amélioratif",in_done,1,in_dnum,"&gt;="&amp;p_from,in_dnum,"&lt;="&amp;p_to))</f>
        <v/>
      </c>
      <c r="N108" s="131" t="str">
        <f>IF(OR(A108="",N(K108)+N(L108)+N(M108)=0),"",K108/(K108+L108+M108))</f>
        <v/>
      </c>
      <c r="O108" s="81" t="str">
        <f>IF(A108="","",SUMIFS(in_parts,in_eq,A108,in_done,1,in_dnum,"&gt;="&amp;p_from,in_dnum,"&lt;="&amp;p_to))</f>
        <v/>
      </c>
      <c r="P108" s="81" t="str">
        <f>IF(A108="","",SUMIFS(in_mo,in_eq,A108,in_done,1,in_dnum,"&gt;="&amp;p_from,in_dnum,"&lt;="&amp;p_to))</f>
        <v/>
      </c>
      <c r="Q108" s="81" t="str">
        <f>IF(A108="","",SUMIFS(in_other,in_eq,A108,in_done,1,in_dnum,"&gt;="&amp;p_from,in_dnum,"&lt;="&amp;p_to))</f>
        <v/>
      </c>
      <c r="R108" s="81" t="str">
        <f>IF(A108="","",SUMIFS(in_total,in_eq,A108,in_done,1,in_dnum,"&gt;="&amp;p_from,in_dnum,"&lt;="&amp;p_to))</f>
        <v/>
      </c>
      <c r="S108" s="67" t="str">
        <f>IF(A108="","",SUMIFS(in_work,in_eq,A108,in_type,"Correctif",in_done,1,in_dnum,"&gt;="&amp;p_from,in_dnum,"&lt;="&amp;p_to))</f>
        <v/>
      </c>
      <c r="T108" s="67" t="str">
        <f>IF(A108="","",SUMIFS(in_stop,in_eq,A108,in_type,"Correctif",in_done,1,in_dnum,"&gt;="&amp;p_from,in_dnum,"&lt;="&amp;p_to))</f>
        <v/>
      </c>
    </row>
    <row r="109">
      <c r="A109" s="67" t="str">
        <f>IF(INDEX(eq_code,98)="","",INDEX(eq_code,98)&amp;"")</f>
        <v/>
      </c>
      <c r="B109" s="67" t="str">
        <f>IF(A109="","",INDEX(eq_des,98)&amp;"")</f>
        <v/>
      </c>
      <c r="C109" s="79" t="str">
        <f>IF(A109="","",INDEX(eq_crit,98)&amp;"")</f>
        <v/>
      </c>
      <c r="D109" s="127" t="str">
        <f>IF(A109="","",IF(MAX(p_from,N(INDEX(eq_start,98)))&gt;p_to,0,ROUND(IF(AND(ISNUMBER(INDEX(eq_hours,98)),N(INDEX(eq_hours,98))&gt;0,N(INDEX(eq_hours,98))&lt;=24),INDEX(eq_hours,98),0)*IF(p_days="7 jours sur 7",p_to-MAX(p_from,N(INDEX(eq_start,98)))+1,NETWORKDAYS.INTL(MAX(p_from,N(INDEX(eq_start,98))),p_to,p_weekend,p_holidays)),2)))</f>
        <v/>
      </c>
      <c r="E109" s="128" t="str">
        <f>IF(A109="","",SUMIFS(in_stop,in_eq,A109,in_done,1,in_dnum,"&gt;="&amp;p_from,in_dnum,"&lt;="&amp;p_to))</f>
        <v/>
      </c>
      <c r="F109" s="129" t="str">
        <f>IF(A109="","",COUNTIFS(in_eq,A109,in_type,"Correctif",in_done,1,in_dnum,"&gt;="&amp;p_from,in_dnum,"&lt;="&amp;p_to))</f>
        <v/>
      </c>
      <c r="G109" s="130" t="str">
        <f>IF(OR(A109="",N(F109)=0),"",MAX(0,D109-E109)/F109)</f>
        <v/>
      </c>
      <c r="H109" s="81" t="str">
        <f>IF(OR(A109="",N(F109)=0),"",S109/F109)</f>
        <v/>
      </c>
      <c r="I109" s="81" t="str">
        <f>IF(OR(A109="",N(F109)=0),"",T109/F109)</f>
        <v/>
      </c>
      <c r="J109" s="131" t="str">
        <f>IF(OR(A109="",N(D109)=0),"",MAX(0,D109-E109)/D109)</f>
        <v/>
      </c>
      <c r="K109" s="128" t="str">
        <f>IF(A109="","",SUMIFS(in_work,in_eq,A109,in_type,"Préventif",in_done,1,in_dnum,"&gt;="&amp;p_from,in_dnum,"&lt;="&amp;p_to))</f>
        <v/>
      </c>
      <c r="L109" s="128" t="str">
        <f>IF(A109="","",SUMIFS(in_work,in_eq,A109,in_type,"Correctif",in_done,1,in_dnum,"&gt;="&amp;p_from,in_dnum,"&lt;="&amp;p_to))</f>
        <v/>
      </c>
      <c r="M109" s="128" t="str">
        <f>IF(A109="","",SUMIFS(in_work,in_eq,A109,in_type,"Amélioratif",in_done,1,in_dnum,"&gt;="&amp;p_from,in_dnum,"&lt;="&amp;p_to))</f>
        <v/>
      </c>
      <c r="N109" s="131" t="str">
        <f>IF(OR(A109="",N(K109)+N(L109)+N(M109)=0),"",K109/(K109+L109+M109))</f>
        <v/>
      </c>
      <c r="O109" s="81" t="str">
        <f>IF(A109="","",SUMIFS(in_parts,in_eq,A109,in_done,1,in_dnum,"&gt;="&amp;p_from,in_dnum,"&lt;="&amp;p_to))</f>
        <v/>
      </c>
      <c r="P109" s="81" t="str">
        <f>IF(A109="","",SUMIFS(in_mo,in_eq,A109,in_done,1,in_dnum,"&gt;="&amp;p_from,in_dnum,"&lt;="&amp;p_to))</f>
        <v/>
      </c>
      <c r="Q109" s="81" t="str">
        <f>IF(A109="","",SUMIFS(in_other,in_eq,A109,in_done,1,in_dnum,"&gt;="&amp;p_from,in_dnum,"&lt;="&amp;p_to))</f>
        <v/>
      </c>
      <c r="R109" s="81" t="str">
        <f>IF(A109="","",SUMIFS(in_total,in_eq,A109,in_done,1,in_dnum,"&gt;="&amp;p_from,in_dnum,"&lt;="&amp;p_to))</f>
        <v/>
      </c>
      <c r="S109" s="67" t="str">
        <f>IF(A109="","",SUMIFS(in_work,in_eq,A109,in_type,"Correctif",in_done,1,in_dnum,"&gt;="&amp;p_from,in_dnum,"&lt;="&amp;p_to))</f>
        <v/>
      </c>
      <c r="T109" s="67" t="str">
        <f>IF(A109="","",SUMIFS(in_stop,in_eq,A109,in_type,"Correctif",in_done,1,in_dnum,"&gt;="&amp;p_from,in_dnum,"&lt;="&amp;p_to))</f>
        <v/>
      </c>
    </row>
    <row r="110">
      <c r="A110" s="67" t="str">
        <f>IF(INDEX(eq_code,99)="","",INDEX(eq_code,99)&amp;"")</f>
        <v/>
      </c>
      <c r="B110" s="67" t="str">
        <f>IF(A110="","",INDEX(eq_des,99)&amp;"")</f>
        <v/>
      </c>
      <c r="C110" s="79" t="str">
        <f>IF(A110="","",INDEX(eq_crit,99)&amp;"")</f>
        <v/>
      </c>
      <c r="D110" s="127" t="str">
        <f>IF(A110="","",IF(MAX(p_from,N(INDEX(eq_start,99)))&gt;p_to,0,ROUND(IF(AND(ISNUMBER(INDEX(eq_hours,99)),N(INDEX(eq_hours,99))&gt;0,N(INDEX(eq_hours,99))&lt;=24),INDEX(eq_hours,99),0)*IF(p_days="7 jours sur 7",p_to-MAX(p_from,N(INDEX(eq_start,99)))+1,NETWORKDAYS.INTL(MAX(p_from,N(INDEX(eq_start,99))),p_to,p_weekend,p_holidays)),2)))</f>
        <v/>
      </c>
      <c r="E110" s="128" t="str">
        <f>IF(A110="","",SUMIFS(in_stop,in_eq,A110,in_done,1,in_dnum,"&gt;="&amp;p_from,in_dnum,"&lt;="&amp;p_to))</f>
        <v/>
      </c>
      <c r="F110" s="129" t="str">
        <f>IF(A110="","",COUNTIFS(in_eq,A110,in_type,"Correctif",in_done,1,in_dnum,"&gt;="&amp;p_from,in_dnum,"&lt;="&amp;p_to))</f>
        <v/>
      </c>
      <c r="G110" s="130" t="str">
        <f>IF(OR(A110="",N(F110)=0),"",MAX(0,D110-E110)/F110)</f>
        <v/>
      </c>
      <c r="H110" s="81" t="str">
        <f>IF(OR(A110="",N(F110)=0),"",S110/F110)</f>
        <v/>
      </c>
      <c r="I110" s="81" t="str">
        <f>IF(OR(A110="",N(F110)=0),"",T110/F110)</f>
        <v/>
      </c>
      <c r="J110" s="131" t="str">
        <f>IF(OR(A110="",N(D110)=0),"",MAX(0,D110-E110)/D110)</f>
        <v/>
      </c>
      <c r="K110" s="128" t="str">
        <f>IF(A110="","",SUMIFS(in_work,in_eq,A110,in_type,"Préventif",in_done,1,in_dnum,"&gt;="&amp;p_from,in_dnum,"&lt;="&amp;p_to))</f>
        <v/>
      </c>
      <c r="L110" s="128" t="str">
        <f>IF(A110="","",SUMIFS(in_work,in_eq,A110,in_type,"Correctif",in_done,1,in_dnum,"&gt;="&amp;p_from,in_dnum,"&lt;="&amp;p_to))</f>
        <v/>
      </c>
      <c r="M110" s="128" t="str">
        <f>IF(A110="","",SUMIFS(in_work,in_eq,A110,in_type,"Amélioratif",in_done,1,in_dnum,"&gt;="&amp;p_from,in_dnum,"&lt;="&amp;p_to))</f>
        <v/>
      </c>
      <c r="N110" s="131" t="str">
        <f>IF(OR(A110="",N(K110)+N(L110)+N(M110)=0),"",K110/(K110+L110+M110))</f>
        <v/>
      </c>
      <c r="O110" s="81" t="str">
        <f>IF(A110="","",SUMIFS(in_parts,in_eq,A110,in_done,1,in_dnum,"&gt;="&amp;p_from,in_dnum,"&lt;="&amp;p_to))</f>
        <v/>
      </c>
      <c r="P110" s="81" t="str">
        <f>IF(A110="","",SUMIFS(in_mo,in_eq,A110,in_done,1,in_dnum,"&gt;="&amp;p_from,in_dnum,"&lt;="&amp;p_to))</f>
        <v/>
      </c>
      <c r="Q110" s="81" t="str">
        <f>IF(A110="","",SUMIFS(in_other,in_eq,A110,in_done,1,in_dnum,"&gt;="&amp;p_from,in_dnum,"&lt;="&amp;p_to))</f>
        <v/>
      </c>
      <c r="R110" s="81" t="str">
        <f>IF(A110="","",SUMIFS(in_total,in_eq,A110,in_done,1,in_dnum,"&gt;="&amp;p_from,in_dnum,"&lt;="&amp;p_to))</f>
        <v/>
      </c>
      <c r="S110" s="67" t="str">
        <f>IF(A110="","",SUMIFS(in_work,in_eq,A110,in_type,"Correctif",in_done,1,in_dnum,"&gt;="&amp;p_from,in_dnum,"&lt;="&amp;p_to))</f>
        <v/>
      </c>
      <c r="T110" s="67" t="str">
        <f>IF(A110="","",SUMIFS(in_stop,in_eq,A110,in_type,"Correctif",in_done,1,in_dnum,"&gt;="&amp;p_from,in_dnum,"&lt;="&amp;p_to))</f>
        <v/>
      </c>
    </row>
    <row r="111">
      <c r="A111" s="67" t="str">
        <f>IF(INDEX(eq_code,100)="","",INDEX(eq_code,100)&amp;"")</f>
        <v/>
      </c>
      <c r="B111" s="67" t="str">
        <f>IF(A111="","",INDEX(eq_des,100)&amp;"")</f>
        <v/>
      </c>
      <c r="C111" s="79" t="str">
        <f>IF(A111="","",INDEX(eq_crit,100)&amp;"")</f>
        <v/>
      </c>
      <c r="D111" s="127" t="str">
        <f>IF(A111="","",IF(MAX(p_from,N(INDEX(eq_start,100)))&gt;p_to,0,ROUND(IF(AND(ISNUMBER(INDEX(eq_hours,100)),N(INDEX(eq_hours,100))&gt;0,N(INDEX(eq_hours,100))&lt;=24),INDEX(eq_hours,100),0)*IF(p_days="7 jours sur 7",p_to-MAX(p_from,N(INDEX(eq_start,100)))+1,NETWORKDAYS.INTL(MAX(p_from,N(INDEX(eq_start,100))),p_to,p_weekend,p_holidays)),2)))</f>
        <v/>
      </c>
      <c r="E111" s="128" t="str">
        <f>IF(A111="","",SUMIFS(in_stop,in_eq,A111,in_done,1,in_dnum,"&gt;="&amp;p_from,in_dnum,"&lt;="&amp;p_to))</f>
        <v/>
      </c>
      <c r="F111" s="129" t="str">
        <f>IF(A111="","",COUNTIFS(in_eq,A111,in_type,"Correctif",in_done,1,in_dnum,"&gt;="&amp;p_from,in_dnum,"&lt;="&amp;p_to))</f>
        <v/>
      </c>
      <c r="G111" s="130" t="str">
        <f>IF(OR(A111="",N(F111)=0),"",MAX(0,D111-E111)/F111)</f>
        <v/>
      </c>
      <c r="H111" s="81" t="str">
        <f>IF(OR(A111="",N(F111)=0),"",S111/F111)</f>
        <v/>
      </c>
      <c r="I111" s="81" t="str">
        <f>IF(OR(A111="",N(F111)=0),"",T111/F111)</f>
        <v/>
      </c>
      <c r="J111" s="131" t="str">
        <f>IF(OR(A111="",N(D111)=0),"",MAX(0,D111-E111)/D111)</f>
        <v/>
      </c>
      <c r="K111" s="128" t="str">
        <f>IF(A111="","",SUMIFS(in_work,in_eq,A111,in_type,"Préventif",in_done,1,in_dnum,"&gt;="&amp;p_from,in_dnum,"&lt;="&amp;p_to))</f>
        <v/>
      </c>
      <c r="L111" s="128" t="str">
        <f>IF(A111="","",SUMIFS(in_work,in_eq,A111,in_type,"Correctif",in_done,1,in_dnum,"&gt;="&amp;p_from,in_dnum,"&lt;="&amp;p_to))</f>
        <v/>
      </c>
      <c r="M111" s="128" t="str">
        <f>IF(A111="","",SUMIFS(in_work,in_eq,A111,in_type,"Amélioratif",in_done,1,in_dnum,"&gt;="&amp;p_from,in_dnum,"&lt;="&amp;p_to))</f>
        <v/>
      </c>
      <c r="N111" s="131" t="str">
        <f>IF(OR(A111="",N(K111)+N(L111)+N(M111)=0),"",K111/(K111+L111+M111))</f>
        <v/>
      </c>
      <c r="O111" s="81" t="str">
        <f>IF(A111="","",SUMIFS(in_parts,in_eq,A111,in_done,1,in_dnum,"&gt;="&amp;p_from,in_dnum,"&lt;="&amp;p_to))</f>
        <v/>
      </c>
      <c r="P111" s="81" t="str">
        <f>IF(A111="","",SUMIFS(in_mo,in_eq,A111,in_done,1,in_dnum,"&gt;="&amp;p_from,in_dnum,"&lt;="&amp;p_to))</f>
        <v/>
      </c>
      <c r="Q111" s="81" t="str">
        <f>IF(A111="","",SUMIFS(in_other,in_eq,A111,in_done,1,in_dnum,"&gt;="&amp;p_from,in_dnum,"&lt;="&amp;p_to))</f>
        <v/>
      </c>
      <c r="R111" s="81" t="str">
        <f>IF(A111="","",SUMIFS(in_total,in_eq,A111,in_done,1,in_dnum,"&gt;="&amp;p_from,in_dnum,"&lt;="&amp;p_to))</f>
        <v/>
      </c>
      <c r="S111" s="67" t="str">
        <f>IF(A111="","",SUMIFS(in_work,in_eq,A111,in_type,"Correctif",in_done,1,in_dnum,"&gt;="&amp;p_from,in_dnum,"&lt;="&amp;p_to))</f>
        <v/>
      </c>
      <c r="T111" s="67" t="str">
        <f>IF(A111="","",SUMIFS(in_stop,in_eq,A111,in_type,"Correctif",in_done,1,in_dnum,"&gt;="&amp;p_from,in_dnum,"&lt;="&amp;p_to))</f>
        <v/>
      </c>
    </row>
    <row r="112">
      <c r="A112" s="67" t="str">
        <f>IF(INDEX(eq_code,101)="","",INDEX(eq_code,101)&amp;"")</f>
        <v/>
      </c>
      <c r="B112" s="67" t="str">
        <f>IF(A112="","",INDEX(eq_des,101)&amp;"")</f>
        <v/>
      </c>
      <c r="C112" s="79" t="str">
        <f>IF(A112="","",INDEX(eq_crit,101)&amp;"")</f>
        <v/>
      </c>
      <c r="D112" s="127" t="str">
        <f>IF(A112="","",IF(MAX(p_from,N(INDEX(eq_start,101)))&gt;p_to,0,ROUND(IF(AND(ISNUMBER(INDEX(eq_hours,101)),N(INDEX(eq_hours,101))&gt;0,N(INDEX(eq_hours,101))&lt;=24),INDEX(eq_hours,101),0)*IF(p_days="7 jours sur 7",p_to-MAX(p_from,N(INDEX(eq_start,101)))+1,NETWORKDAYS.INTL(MAX(p_from,N(INDEX(eq_start,101))),p_to,p_weekend,p_holidays)),2)))</f>
        <v/>
      </c>
      <c r="E112" s="128" t="str">
        <f>IF(A112="","",SUMIFS(in_stop,in_eq,A112,in_done,1,in_dnum,"&gt;="&amp;p_from,in_dnum,"&lt;="&amp;p_to))</f>
        <v/>
      </c>
      <c r="F112" s="129" t="str">
        <f>IF(A112="","",COUNTIFS(in_eq,A112,in_type,"Correctif",in_done,1,in_dnum,"&gt;="&amp;p_from,in_dnum,"&lt;="&amp;p_to))</f>
        <v/>
      </c>
      <c r="G112" s="130" t="str">
        <f>IF(OR(A112="",N(F112)=0),"",MAX(0,D112-E112)/F112)</f>
        <v/>
      </c>
      <c r="H112" s="81" t="str">
        <f>IF(OR(A112="",N(F112)=0),"",S112/F112)</f>
        <v/>
      </c>
      <c r="I112" s="81" t="str">
        <f>IF(OR(A112="",N(F112)=0),"",T112/F112)</f>
        <v/>
      </c>
      <c r="J112" s="131" t="str">
        <f>IF(OR(A112="",N(D112)=0),"",MAX(0,D112-E112)/D112)</f>
        <v/>
      </c>
      <c r="K112" s="128" t="str">
        <f>IF(A112="","",SUMIFS(in_work,in_eq,A112,in_type,"Préventif",in_done,1,in_dnum,"&gt;="&amp;p_from,in_dnum,"&lt;="&amp;p_to))</f>
        <v/>
      </c>
      <c r="L112" s="128" t="str">
        <f>IF(A112="","",SUMIFS(in_work,in_eq,A112,in_type,"Correctif",in_done,1,in_dnum,"&gt;="&amp;p_from,in_dnum,"&lt;="&amp;p_to))</f>
        <v/>
      </c>
      <c r="M112" s="128" t="str">
        <f>IF(A112="","",SUMIFS(in_work,in_eq,A112,in_type,"Amélioratif",in_done,1,in_dnum,"&gt;="&amp;p_from,in_dnum,"&lt;="&amp;p_to))</f>
        <v/>
      </c>
      <c r="N112" s="131" t="str">
        <f>IF(OR(A112="",N(K112)+N(L112)+N(M112)=0),"",K112/(K112+L112+M112))</f>
        <v/>
      </c>
      <c r="O112" s="81" t="str">
        <f>IF(A112="","",SUMIFS(in_parts,in_eq,A112,in_done,1,in_dnum,"&gt;="&amp;p_from,in_dnum,"&lt;="&amp;p_to))</f>
        <v/>
      </c>
      <c r="P112" s="81" t="str">
        <f>IF(A112="","",SUMIFS(in_mo,in_eq,A112,in_done,1,in_dnum,"&gt;="&amp;p_from,in_dnum,"&lt;="&amp;p_to))</f>
        <v/>
      </c>
      <c r="Q112" s="81" t="str">
        <f>IF(A112="","",SUMIFS(in_other,in_eq,A112,in_done,1,in_dnum,"&gt;="&amp;p_from,in_dnum,"&lt;="&amp;p_to))</f>
        <v/>
      </c>
      <c r="R112" s="81" t="str">
        <f>IF(A112="","",SUMIFS(in_total,in_eq,A112,in_done,1,in_dnum,"&gt;="&amp;p_from,in_dnum,"&lt;="&amp;p_to))</f>
        <v/>
      </c>
      <c r="S112" s="67" t="str">
        <f>IF(A112="","",SUMIFS(in_work,in_eq,A112,in_type,"Correctif",in_done,1,in_dnum,"&gt;="&amp;p_from,in_dnum,"&lt;="&amp;p_to))</f>
        <v/>
      </c>
      <c r="T112" s="67" t="str">
        <f>IF(A112="","",SUMIFS(in_stop,in_eq,A112,in_type,"Correctif",in_done,1,in_dnum,"&gt;="&amp;p_from,in_dnum,"&lt;="&amp;p_to))</f>
        <v/>
      </c>
    </row>
    <row r="113">
      <c r="A113" s="67" t="str">
        <f>IF(INDEX(eq_code,102)="","",INDEX(eq_code,102)&amp;"")</f>
        <v/>
      </c>
      <c r="B113" s="67" t="str">
        <f>IF(A113="","",INDEX(eq_des,102)&amp;"")</f>
        <v/>
      </c>
      <c r="C113" s="79" t="str">
        <f>IF(A113="","",INDEX(eq_crit,102)&amp;"")</f>
        <v/>
      </c>
      <c r="D113" s="127" t="str">
        <f>IF(A113="","",IF(MAX(p_from,N(INDEX(eq_start,102)))&gt;p_to,0,ROUND(IF(AND(ISNUMBER(INDEX(eq_hours,102)),N(INDEX(eq_hours,102))&gt;0,N(INDEX(eq_hours,102))&lt;=24),INDEX(eq_hours,102),0)*IF(p_days="7 jours sur 7",p_to-MAX(p_from,N(INDEX(eq_start,102)))+1,NETWORKDAYS.INTL(MAX(p_from,N(INDEX(eq_start,102))),p_to,p_weekend,p_holidays)),2)))</f>
        <v/>
      </c>
      <c r="E113" s="128" t="str">
        <f>IF(A113="","",SUMIFS(in_stop,in_eq,A113,in_done,1,in_dnum,"&gt;="&amp;p_from,in_dnum,"&lt;="&amp;p_to))</f>
        <v/>
      </c>
      <c r="F113" s="129" t="str">
        <f>IF(A113="","",COUNTIFS(in_eq,A113,in_type,"Correctif",in_done,1,in_dnum,"&gt;="&amp;p_from,in_dnum,"&lt;="&amp;p_to))</f>
        <v/>
      </c>
      <c r="G113" s="130" t="str">
        <f>IF(OR(A113="",N(F113)=0),"",MAX(0,D113-E113)/F113)</f>
        <v/>
      </c>
      <c r="H113" s="81" t="str">
        <f>IF(OR(A113="",N(F113)=0),"",S113/F113)</f>
        <v/>
      </c>
      <c r="I113" s="81" t="str">
        <f>IF(OR(A113="",N(F113)=0),"",T113/F113)</f>
        <v/>
      </c>
      <c r="J113" s="131" t="str">
        <f>IF(OR(A113="",N(D113)=0),"",MAX(0,D113-E113)/D113)</f>
        <v/>
      </c>
      <c r="K113" s="128" t="str">
        <f>IF(A113="","",SUMIFS(in_work,in_eq,A113,in_type,"Préventif",in_done,1,in_dnum,"&gt;="&amp;p_from,in_dnum,"&lt;="&amp;p_to))</f>
        <v/>
      </c>
      <c r="L113" s="128" t="str">
        <f>IF(A113="","",SUMIFS(in_work,in_eq,A113,in_type,"Correctif",in_done,1,in_dnum,"&gt;="&amp;p_from,in_dnum,"&lt;="&amp;p_to))</f>
        <v/>
      </c>
      <c r="M113" s="128" t="str">
        <f>IF(A113="","",SUMIFS(in_work,in_eq,A113,in_type,"Amélioratif",in_done,1,in_dnum,"&gt;="&amp;p_from,in_dnum,"&lt;="&amp;p_to))</f>
        <v/>
      </c>
      <c r="N113" s="131" t="str">
        <f>IF(OR(A113="",N(K113)+N(L113)+N(M113)=0),"",K113/(K113+L113+M113))</f>
        <v/>
      </c>
      <c r="O113" s="81" t="str">
        <f>IF(A113="","",SUMIFS(in_parts,in_eq,A113,in_done,1,in_dnum,"&gt;="&amp;p_from,in_dnum,"&lt;="&amp;p_to))</f>
        <v/>
      </c>
      <c r="P113" s="81" t="str">
        <f>IF(A113="","",SUMIFS(in_mo,in_eq,A113,in_done,1,in_dnum,"&gt;="&amp;p_from,in_dnum,"&lt;="&amp;p_to))</f>
        <v/>
      </c>
      <c r="Q113" s="81" t="str">
        <f>IF(A113="","",SUMIFS(in_other,in_eq,A113,in_done,1,in_dnum,"&gt;="&amp;p_from,in_dnum,"&lt;="&amp;p_to))</f>
        <v/>
      </c>
      <c r="R113" s="81" t="str">
        <f>IF(A113="","",SUMIFS(in_total,in_eq,A113,in_done,1,in_dnum,"&gt;="&amp;p_from,in_dnum,"&lt;="&amp;p_to))</f>
        <v/>
      </c>
      <c r="S113" s="67" t="str">
        <f>IF(A113="","",SUMIFS(in_work,in_eq,A113,in_type,"Correctif",in_done,1,in_dnum,"&gt;="&amp;p_from,in_dnum,"&lt;="&amp;p_to))</f>
        <v/>
      </c>
      <c r="T113" s="67" t="str">
        <f>IF(A113="","",SUMIFS(in_stop,in_eq,A113,in_type,"Correctif",in_done,1,in_dnum,"&gt;="&amp;p_from,in_dnum,"&lt;="&amp;p_to))</f>
        <v/>
      </c>
    </row>
    <row r="114">
      <c r="A114" s="67" t="str">
        <f>IF(INDEX(eq_code,103)="","",INDEX(eq_code,103)&amp;"")</f>
        <v/>
      </c>
      <c r="B114" s="67" t="str">
        <f>IF(A114="","",INDEX(eq_des,103)&amp;"")</f>
        <v/>
      </c>
      <c r="C114" s="79" t="str">
        <f>IF(A114="","",INDEX(eq_crit,103)&amp;"")</f>
        <v/>
      </c>
      <c r="D114" s="127" t="str">
        <f>IF(A114="","",IF(MAX(p_from,N(INDEX(eq_start,103)))&gt;p_to,0,ROUND(IF(AND(ISNUMBER(INDEX(eq_hours,103)),N(INDEX(eq_hours,103))&gt;0,N(INDEX(eq_hours,103))&lt;=24),INDEX(eq_hours,103),0)*IF(p_days="7 jours sur 7",p_to-MAX(p_from,N(INDEX(eq_start,103)))+1,NETWORKDAYS.INTL(MAX(p_from,N(INDEX(eq_start,103))),p_to,p_weekend,p_holidays)),2)))</f>
        <v/>
      </c>
      <c r="E114" s="128" t="str">
        <f>IF(A114="","",SUMIFS(in_stop,in_eq,A114,in_done,1,in_dnum,"&gt;="&amp;p_from,in_dnum,"&lt;="&amp;p_to))</f>
        <v/>
      </c>
      <c r="F114" s="129" t="str">
        <f>IF(A114="","",COUNTIFS(in_eq,A114,in_type,"Correctif",in_done,1,in_dnum,"&gt;="&amp;p_from,in_dnum,"&lt;="&amp;p_to))</f>
        <v/>
      </c>
      <c r="G114" s="130" t="str">
        <f>IF(OR(A114="",N(F114)=0),"",MAX(0,D114-E114)/F114)</f>
        <v/>
      </c>
      <c r="H114" s="81" t="str">
        <f>IF(OR(A114="",N(F114)=0),"",S114/F114)</f>
        <v/>
      </c>
      <c r="I114" s="81" t="str">
        <f>IF(OR(A114="",N(F114)=0),"",T114/F114)</f>
        <v/>
      </c>
      <c r="J114" s="131" t="str">
        <f>IF(OR(A114="",N(D114)=0),"",MAX(0,D114-E114)/D114)</f>
        <v/>
      </c>
      <c r="K114" s="128" t="str">
        <f>IF(A114="","",SUMIFS(in_work,in_eq,A114,in_type,"Préventif",in_done,1,in_dnum,"&gt;="&amp;p_from,in_dnum,"&lt;="&amp;p_to))</f>
        <v/>
      </c>
      <c r="L114" s="128" t="str">
        <f>IF(A114="","",SUMIFS(in_work,in_eq,A114,in_type,"Correctif",in_done,1,in_dnum,"&gt;="&amp;p_from,in_dnum,"&lt;="&amp;p_to))</f>
        <v/>
      </c>
      <c r="M114" s="128" t="str">
        <f>IF(A114="","",SUMIFS(in_work,in_eq,A114,in_type,"Amélioratif",in_done,1,in_dnum,"&gt;="&amp;p_from,in_dnum,"&lt;="&amp;p_to))</f>
        <v/>
      </c>
      <c r="N114" s="131" t="str">
        <f>IF(OR(A114="",N(K114)+N(L114)+N(M114)=0),"",K114/(K114+L114+M114))</f>
        <v/>
      </c>
      <c r="O114" s="81" t="str">
        <f>IF(A114="","",SUMIFS(in_parts,in_eq,A114,in_done,1,in_dnum,"&gt;="&amp;p_from,in_dnum,"&lt;="&amp;p_to))</f>
        <v/>
      </c>
      <c r="P114" s="81" t="str">
        <f>IF(A114="","",SUMIFS(in_mo,in_eq,A114,in_done,1,in_dnum,"&gt;="&amp;p_from,in_dnum,"&lt;="&amp;p_to))</f>
        <v/>
      </c>
      <c r="Q114" s="81" t="str">
        <f>IF(A114="","",SUMIFS(in_other,in_eq,A114,in_done,1,in_dnum,"&gt;="&amp;p_from,in_dnum,"&lt;="&amp;p_to))</f>
        <v/>
      </c>
      <c r="R114" s="81" t="str">
        <f>IF(A114="","",SUMIFS(in_total,in_eq,A114,in_done,1,in_dnum,"&gt;="&amp;p_from,in_dnum,"&lt;="&amp;p_to))</f>
        <v/>
      </c>
      <c r="S114" s="67" t="str">
        <f>IF(A114="","",SUMIFS(in_work,in_eq,A114,in_type,"Correctif",in_done,1,in_dnum,"&gt;="&amp;p_from,in_dnum,"&lt;="&amp;p_to))</f>
        <v/>
      </c>
      <c r="T114" s="67" t="str">
        <f>IF(A114="","",SUMIFS(in_stop,in_eq,A114,in_type,"Correctif",in_done,1,in_dnum,"&gt;="&amp;p_from,in_dnum,"&lt;="&amp;p_to))</f>
        <v/>
      </c>
    </row>
    <row r="115">
      <c r="A115" s="67" t="str">
        <f>IF(INDEX(eq_code,104)="","",INDEX(eq_code,104)&amp;"")</f>
        <v/>
      </c>
      <c r="B115" s="67" t="str">
        <f>IF(A115="","",INDEX(eq_des,104)&amp;"")</f>
        <v/>
      </c>
      <c r="C115" s="79" t="str">
        <f>IF(A115="","",INDEX(eq_crit,104)&amp;"")</f>
        <v/>
      </c>
      <c r="D115" s="127" t="str">
        <f>IF(A115="","",IF(MAX(p_from,N(INDEX(eq_start,104)))&gt;p_to,0,ROUND(IF(AND(ISNUMBER(INDEX(eq_hours,104)),N(INDEX(eq_hours,104))&gt;0,N(INDEX(eq_hours,104))&lt;=24),INDEX(eq_hours,104),0)*IF(p_days="7 jours sur 7",p_to-MAX(p_from,N(INDEX(eq_start,104)))+1,NETWORKDAYS.INTL(MAX(p_from,N(INDEX(eq_start,104))),p_to,p_weekend,p_holidays)),2)))</f>
        <v/>
      </c>
      <c r="E115" s="128" t="str">
        <f>IF(A115="","",SUMIFS(in_stop,in_eq,A115,in_done,1,in_dnum,"&gt;="&amp;p_from,in_dnum,"&lt;="&amp;p_to))</f>
        <v/>
      </c>
      <c r="F115" s="129" t="str">
        <f>IF(A115="","",COUNTIFS(in_eq,A115,in_type,"Correctif",in_done,1,in_dnum,"&gt;="&amp;p_from,in_dnum,"&lt;="&amp;p_to))</f>
        <v/>
      </c>
      <c r="G115" s="130" t="str">
        <f>IF(OR(A115="",N(F115)=0),"",MAX(0,D115-E115)/F115)</f>
        <v/>
      </c>
      <c r="H115" s="81" t="str">
        <f>IF(OR(A115="",N(F115)=0),"",S115/F115)</f>
        <v/>
      </c>
      <c r="I115" s="81" t="str">
        <f>IF(OR(A115="",N(F115)=0),"",T115/F115)</f>
        <v/>
      </c>
      <c r="J115" s="131" t="str">
        <f>IF(OR(A115="",N(D115)=0),"",MAX(0,D115-E115)/D115)</f>
        <v/>
      </c>
      <c r="K115" s="128" t="str">
        <f>IF(A115="","",SUMIFS(in_work,in_eq,A115,in_type,"Préventif",in_done,1,in_dnum,"&gt;="&amp;p_from,in_dnum,"&lt;="&amp;p_to))</f>
        <v/>
      </c>
      <c r="L115" s="128" t="str">
        <f>IF(A115="","",SUMIFS(in_work,in_eq,A115,in_type,"Correctif",in_done,1,in_dnum,"&gt;="&amp;p_from,in_dnum,"&lt;="&amp;p_to))</f>
        <v/>
      </c>
      <c r="M115" s="128" t="str">
        <f>IF(A115="","",SUMIFS(in_work,in_eq,A115,in_type,"Amélioratif",in_done,1,in_dnum,"&gt;="&amp;p_from,in_dnum,"&lt;="&amp;p_to))</f>
        <v/>
      </c>
      <c r="N115" s="131" t="str">
        <f>IF(OR(A115="",N(K115)+N(L115)+N(M115)=0),"",K115/(K115+L115+M115))</f>
        <v/>
      </c>
      <c r="O115" s="81" t="str">
        <f>IF(A115="","",SUMIFS(in_parts,in_eq,A115,in_done,1,in_dnum,"&gt;="&amp;p_from,in_dnum,"&lt;="&amp;p_to))</f>
        <v/>
      </c>
      <c r="P115" s="81" t="str">
        <f>IF(A115="","",SUMIFS(in_mo,in_eq,A115,in_done,1,in_dnum,"&gt;="&amp;p_from,in_dnum,"&lt;="&amp;p_to))</f>
        <v/>
      </c>
      <c r="Q115" s="81" t="str">
        <f>IF(A115="","",SUMIFS(in_other,in_eq,A115,in_done,1,in_dnum,"&gt;="&amp;p_from,in_dnum,"&lt;="&amp;p_to))</f>
        <v/>
      </c>
      <c r="R115" s="81" t="str">
        <f>IF(A115="","",SUMIFS(in_total,in_eq,A115,in_done,1,in_dnum,"&gt;="&amp;p_from,in_dnum,"&lt;="&amp;p_to))</f>
        <v/>
      </c>
      <c r="S115" s="67" t="str">
        <f>IF(A115="","",SUMIFS(in_work,in_eq,A115,in_type,"Correctif",in_done,1,in_dnum,"&gt;="&amp;p_from,in_dnum,"&lt;="&amp;p_to))</f>
        <v/>
      </c>
      <c r="T115" s="67" t="str">
        <f>IF(A115="","",SUMIFS(in_stop,in_eq,A115,in_type,"Correctif",in_done,1,in_dnum,"&gt;="&amp;p_from,in_dnum,"&lt;="&amp;p_to))</f>
        <v/>
      </c>
    </row>
    <row r="116">
      <c r="A116" s="67" t="str">
        <f>IF(INDEX(eq_code,105)="","",INDEX(eq_code,105)&amp;"")</f>
        <v/>
      </c>
      <c r="B116" s="67" t="str">
        <f>IF(A116="","",INDEX(eq_des,105)&amp;"")</f>
        <v/>
      </c>
      <c r="C116" s="79" t="str">
        <f>IF(A116="","",INDEX(eq_crit,105)&amp;"")</f>
        <v/>
      </c>
      <c r="D116" s="127" t="str">
        <f>IF(A116="","",IF(MAX(p_from,N(INDEX(eq_start,105)))&gt;p_to,0,ROUND(IF(AND(ISNUMBER(INDEX(eq_hours,105)),N(INDEX(eq_hours,105))&gt;0,N(INDEX(eq_hours,105))&lt;=24),INDEX(eq_hours,105),0)*IF(p_days="7 jours sur 7",p_to-MAX(p_from,N(INDEX(eq_start,105)))+1,NETWORKDAYS.INTL(MAX(p_from,N(INDEX(eq_start,105))),p_to,p_weekend,p_holidays)),2)))</f>
        <v/>
      </c>
      <c r="E116" s="128" t="str">
        <f>IF(A116="","",SUMIFS(in_stop,in_eq,A116,in_done,1,in_dnum,"&gt;="&amp;p_from,in_dnum,"&lt;="&amp;p_to))</f>
        <v/>
      </c>
      <c r="F116" s="129" t="str">
        <f>IF(A116="","",COUNTIFS(in_eq,A116,in_type,"Correctif",in_done,1,in_dnum,"&gt;="&amp;p_from,in_dnum,"&lt;="&amp;p_to))</f>
        <v/>
      </c>
      <c r="G116" s="130" t="str">
        <f>IF(OR(A116="",N(F116)=0),"",MAX(0,D116-E116)/F116)</f>
        <v/>
      </c>
      <c r="H116" s="81" t="str">
        <f>IF(OR(A116="",N(F116)=0),"",S116/F116)</f>
        <v/>
      </c>
      <c r="I116" s="81" t="str">
        <f>IF(OR(A116="",N(F116)=0),"",T116/F116)</f>
        <v/>
      </c>
      <c r="J116" s="131" t="str">
        <f>IF(OR(A116="",N(D116)=0),"",MAX(0,D116-E116)/D116)</f>
        <v/>
      </c>
      <c r="K116" s="128" t="str">
        <f>IF(A116="","",SUMIFS(in_work,in_eq,A116,in_type,"Préventif",in_done,1,in_dnum,"&gt;="&amp;p_from,in_dnum,"&lt;="&amp;p_to))</f>
        <v/>
      </c>
      <c r="L116" s="128" t="str">
        <f>IF(A116="","",SUMIFS(in_work,in_eq,A116,in_type,"Correctif",in_done,1,in_dnum,"&gt;="&amp;p_from,in_dnum,"&lt;="&amp;p_to))</f>
        <v/>
      </c>
      <c r="M116" s="128" t="str">
        <f>IF(A116="","",SUMIFS(in_work,in_eq,A116,in_type,"Amélioratif",in_done,1,in_dnum,"&gt;="&amp;p_from,in_dnum,"&lt;="&amp;p_to))</f>
        <v/>
      </c>
      <c r="N116" s="131" t="str">
        <f>IF(OR(A116="",N(K116)+N(L116)+N(M116)=0),"",K116/(K116+L116+M116))</f>
        <v/>
      </c>
      <c r="O116" s="81" t="str">
        <f>IF(A116="","",SUMIFS(in_parts,in_eq,A116,in_done,1,in_dnum,"&gt;="&amp;p_from,in_dnum,"&lt;="&amp;p_to))</f>
        <v/>
      </c>
      <c r="P116" s="81" t="str">
        <f>IF(A116="","",SUMIFS(in_mo,in_eq,A116,in_done,1,in_dnum,"&gt;="&amp;p_from,in_dnum,"&lt;="&amp;p_to))</f>
        <v/>
      </c>
      <c r="Q116" s="81" t="str">
        <f>IF(A116="","",SUMIFS(in_other,in_eq,A116,in_done,1,in_dnum,"&gt;="&amp;p_from,in_dnum,"&lt;="&amp;p_to))</f>
        <v/>
      </c>
      <c r="R116" s="81" t="str">
        <f>IF(A116="","",SUMIFS(in_total,in_eq,A116,in_done,1,in_dnum,"&gt;="&amp;p_from,in_dnum,"&lt;="&amp;p_to))</f>
        <v/>
      </c>
      <c r="S116" s="67" t="str">
        <f>IF(A116="","",SUMIFS(in_work,in_eq,A116,in_type,"Correctif",in_done,1,in_dnum,"&gt;="&amp;p_from,in_dnum,"&lt;="&amp;p_to))</f>
        <v/>
      </c>
      <c r="T116" s="67" t="str">
        <f>IF(A116="","",SUMIFS(in_stop,in_eq,A116,in_type,"Correctif",in_done,1,in_dnum,"&gt;="&amp;p_from,in_dnum,"&lt;="&amp;p_to))</f>
        <v/>
      </c>
    </row>
    <row r="117">
      <c r="A117" s="67" t="str">
        <f>IF(INDEX(eq_code,106)="","",INDEX(eq_code,106)&amp;"")</f>
        <v/>
      </c>
      <c r="B117" s="67" t="str">
        <f>IF(A117="","",INDEX(eq_des,106)&amp;"")</f>
        <v/>
      </c>
      <c r="C117" s="79" t="str">
        <f>IF(A117="","",INDEX(eq_crit,106)&amp;"")</f>
        <v/>
      </c>
      <c r="D117" s="127" t="str">
        <f>IF(A117="","",IF(MAX(p_from,N(INDEX(eq_start,106)))&gt;p_to,0,ROUND(IF(AND(ISNUMBER(INDEX(eq_hours,106)),N(INDEX(eq_hours,106))&gt;0,N(INDEX(eq_hours,106))&lt;=24),INDEX(eq_hours,106),0)*IF(p_days="7 jours sur 7",p_to-MAX(p_from,N(INDEX(eq_start,106)))+1,NETWORKDAYS.INTL(MAX(p_from,N(INDEX(eq_start,106))),p_to,p_weekend,p_holidays)),2)))</f>
        <v/>
      </c>
      <c r="E117" s="128" t="str">
        <f>IF(A117="","",SUMIFS(in_stop,in_eq,A117,in_done,1,in_dnum,"&gt;="&amp;p_from,in_dnum,"&lt;="&amp;p_to))</f>
        <v/>
      </c>
      <c r="F117" s="129" t="str">
        <f>IF(A117="","",COUNTIFS(in_eq,A117,in_type,"Correctif",in_done,1,in_dnum,"&gt;="&amp;p_from,in_dnum,"&lt;="&amp;p_to))</f>
        <v/>
      </c>
      <c r="G117" s="130" t="str">
        <f>IF(OR(A117="",N(F117)=0),"",MAX(0,D117-E117)/F117)</f>
        <v/>
      </c>
      <c r="H117" s="81" t="str">
        <f>IF(OR(A117="",N(F117)=0),"",S117/F117)</f>
        <v/>
      </c>
      <c r="I117" s="81" t="str">
        <f>IF(OR(A117="",N(F117)=0),"",T117/F117)</f>
        <v/>
      </c>
      <c r="J117" s="131" t="str">
        <f>IF(OR(A117="",N(D117)=0),"",MAX(0,D117-E117)/D117)</f>
        <v/>
      </c>
      <c r="K117" s="128" t="str">
        <f>IF(A117="","",SUMIFS(in_work,in_eq,A117,in_type,"Préventif",in_done,1,in_dnum,"&gt;="&amp;p_from,in_dnum,"&lt;="&amp;p_to))</f>
        <v/>
      </c>
      <c r="L117" s="128" t="str">
        <f>IF(A117="","",SUMIFS(in_work,in_eq,A117,in_type,"Correctif",in_done,1,in_dnum,"&gt;="&amp;p_from,in_dnum,"&lt;="&amp;p_to))</f>
        <v/>
      </c>
      <c r="M117" s="128" t="str">
        <f>IF(A117="","",SUMIFS(in_work,in_eq,A117,in_type,"Amélioratif",in_done,1,in_dnum,"&gt;="&amp;p_from,in_dnum,"&lt;="&amp;p_to))</f>
        <v/>
      </c>
      <c r="N117" s="131" t="str">
        <f>IF(OR(A117="",N(K117)+N(L117)+N(M117)=0),"",K117/(K117+L117+M117))</f>
        <v/>
      </c>
      <c r="O117" s="81" t="str">
        <f>IF(A117="","",SUMIFS(in_parts,in_eq,A117,in_done,1,in_dnum,"&gt;="&amp;p_from,in_dnum,"&lt;="&amp;p_to))</f>
        <v/>
      </c>
      <c r="P117" s="81" t="str">
        <f>IF(A117="","",SUMIFS(in_mo,in_eq,A117,in_done,1,in_dnum,"&gt;="&amp;p_from,in_dnum,"&lt;="&amp;p_to))</f>
        <v/>
      </c>
      <c r="Q117" s="81" t="str">
        <f>IF(A117="","",SUMIFS(in_other,in_eq,A117,in_done,1,in_dnum,"&gt;="&amp;p_from,in_dnum,"&lt;="&amp;p_to))</f>
        <v/>
      </c>
      <c r="R117" s="81" t="str">
        <f>IF(A117="","",SUMIFS(in_total,in_eq,A117,in_done,1,in_dnum,"&gt;="&amp;p_from,in_dnum,"&lt;="&amp;p_to))</f>
        <v/>
      </c>
      <c r="S117" s="67" t="str">
        <f>IF(A117="","",SUMIFS(in_work,in_eq,A117,in_type,"Correctif",in_done,1,in_dnum,"&gt;="&amp;p_from,in_dnum,"&lt;="&amp;p_to))</f>
        <v/>
      </c>
      <c r="T117" s="67" t="str">
        <f>IF(A117="","",SUMIFS(in_stop,in_eq,A117,in_type,"Correctif",in_done,1,in_dnum,"&gt;="&amp;p_from,in_dnum,"&lt;="&amp;p_to))</f>
        <v/>
      </c>
    </row>
    <row r="118">
      <c r="A118" s="67" t="str">
        <f>IF(INDEX(eq_code,107)="","",INDEX(eq_code,107)&amp;"")</f>
        <v/>
      </c>
      <c r="B118" s="67" t="str">
        <f>IF(A118="","",INDEX(eq_des,107)&amp;"")</f>
        <v/>
      </c>
      <c r="C118" s="79" t="str">
        <f>IF(A118="","",INDEX(eq_crit,107)&amp;"")</f>
        <v/>
      </c>
      <c r="D118" s="127" t="str">
        <f>IF(A118="","",IF(MAX(p_from,N(INDEX(eq_start,107)))&gt;p_to,0,ROUND(IF(AND(ISNUMBER(INDEX(eq_hours,107)),N(INDEX(eq_hours,107))&gt;0,N(INDEX(eq_hours,107))&lt;=24),INDEX(eq_hours,107),0)*IF(p_days="7 jours sur 7",p_to-MAX(p_from,N(INDEX(eq_start,107)))+1,NETWORKDAYS.INTL(MAX(p_from,N(INDEX(eq_start,107))),p_to,p_weekend,p_holidays)),2)))</f>
        <v/>
      </c>
      <c r="E118" s="128" t="str">
        <f>IF(A118="","",SUMIFS(in_stop,in_eq,A118,in_done,1,in_dnum,"&gt;="&amp;p_from,in_dnum,"&lt;="&amp;p_to))</f>
        <v/>
      </c>
      <c r="F118" s="129" t="str">
        <f>IF(A118="","",COUNTIFS(in_eq,A118,in_type,"Correctif",in_done,1,in_dnum,"&gt;="&amp;p_from,in_dnum,"&lt;="&amp;p_to))</f>
        <v/>
      </c>
      <c r="G118" s="130" t="str">
        <f>IF(OR(A118="",N(F118)=0),"",MAX(0,D118-E118)/F118)</f>
        <v/>
      </c>
      <c r="H118" s="81" t="str">
        <f>IF(OR(A118="",N(F118)=0),"",S118/F118)</f>
        <v/>
      </c>
      <c r="I118" s="81" t="str">
        <f>IF(OR(A118="",N(F118)=0),"",T118/F118)</f>
        <v/>
      </c>
      <c r="J118" s="131" t="str">
        <f>IF(OR(A118="",N(D118)=0),"",MAX(0,D118-E118)/D118)</f>
        <v/>
      </c>
      <c r="K118" s="128" t="str">
        <f>IF(A118="","",SUMIFS(in_work,in_eq,A118,in_type,"Préventif",in_done,1,in_dnum,"&gt;="&amp;p_from,in_dnum,"&lt;="&amp;p_to))</f>
        <v/>
      </c>
      <c r="L118" s="128" t="str">
        <f>IF(A118="","",SUMIFS(in_work,in_eq,A118,in_type,"Correctif",in_done,1,in_dnum,"&gt;="&amp;p_from,in_dnum,"&lt;="&amp;p_to))</f>
        <v/>
      </c>
      <c r="M118" s="128" t="str">
        <f>IF(A118="","",SUMIFS(in_work,in_eq,A118,in_type,"Amélioratif",in_done,1,in_dnum,"&gt;="&amp;p_from,in_dnum,"&lt;="&amp;p_to))</f>
        <v/>
      </c>
      <c r="N118" s="131" t="str">
        <f>IF(OR(A118="",N(K118)+N(L118)+N(M118)=0),"",K118/(K118+L118+M118))</f>
        <v/>
      </c>
      <c r="O118" s="81" t="str">
        <f>IF(A118="","",SUMIFS(in_parts,in_eq,A118,in_done,1,in_dnum,"&gt;="&amp;p_from,in_dnum,"&lt;="&amp;p_to))</f>
        <v/>
      </c>
      <c r="P118" s="81" t="str">
        <f>IF(A118="","",SUMIFS(in_mo,in_eq,A118,in_done,1,in_dnum,"&gt;="&amp;p_from,in_dnum,"&lt;="&amp;p_to))</f>
        <v/>
      </c>
      <c r="Q118" s="81" t="str">
        <f>IF(A118="","",SUMIFS(in_other,in_eq,A118,in_done,1,in_dnum,"&gt;="&amp;p_from,in_dnum,"&lt;="&amp;p_to))</f>
        <v/>
      </c>
      <c r="R118" s="81" t="str">
        <f>IF(A118="","",SUMIFS(in_total,in_eq,A118,in_done,1,in_dnum,"&gt;="&amp;p_from,in_dnum,"&lt;="&amp;p_to))</f>
        <v/>
      </c>
      <c r="S118" s="67" t="str">
        <f>IF(A118="","",SUMIFS(in_work,in_eq,A118,in_type,"Correctif",in_done,1,in_dnum,"&gt;="&amp;p_from,in_dnum,"&lt;="&amp;p_to))</f>
        <v/>
      </c>
      <c r="T118" s="67" t="str">
        <f>IF(A118="","",SUMIFS(in_stop,in_eq,A118,in_type,"Correctif",in_done,1,in_dnum,"&gt;="&amp;p_from,in_dnum,"&lt;="&amp;p_to))</f>
        <v/>
      </c>
    </row>
    <row r="119">
      <c r="A119" s="67" t="str">
        <f>IF(INDEX(eq_code,108)="","",INDEX(eq_code,108)&amp;"")</f>
        <v/>
      </c>
      <c r="B119" s="67" t="str">
        <f>IF(A119="","",INDEX(eq_des,108)&amp;"")</f>
        <v/>
      </c>
      <c r="C119" s="79" t="str">
        <f>IF(A119="","",INDEX(eq_crit,108)&amp;"")</f>
        <v/>
      </c>
      <c r="D119" s="127" t="str">
        <f>IF(A119="","",IF(MAX(p_from,N(INDEX(eq_start,108)))&gt;p_to,0,ROUND(IF(AND(ISNUMBER(INDEX(eq_hours,108)),N(INDEX(eq_hours,108))&gt;0,N(INDEX(eq_hours,108))&lt;=24),INDEX(eq_hours,108),0)*IF(p_days="7 jours sur 7",p_to-MAX(p_from,N(INDEX(eq_start,108)))+1,NETWORKDAYS.INTL(MAX(p_from,N(INDEX(eq_start,108))),p_to,p_weekend,p_holidays)),2)))</f>
        <v/>
      </c>
      <c r="E119" s="128" t="str">
        <f>IF(A119="","",SUMIFS(in_stop,in_eq,A119,in_done,1,in_dnum,"&gt;="&amp;p_from,in_dnum,"&lt;="&amp;p_to))</f>
        <v/>
      </c>
      <c r="F119" s="129" t="str">
        <f>IF(A119="","",COUNTIFS(in_eq,A119,in_type,"Correctif",in_done,1,in_dnum,"&gt;="&amp;p_from,in_dnum,"&lt;="&amp;p_to))</f>
        <v/>
      </c>
      <c r="G119" s="130" t="str">
        <f>IF(OR(A119="",N(F119)=0),"",MAX(0,D119-E119)/F119)</f>
        <v/>
      </c>
      <c r="H119" s="81" t="str">
        <f>IF(OR(A119="",N(F119)=0),"",S119/F119)</f>
        <v/>
      </c>
      <c r="I119" s="81" t="str">
        <f>IF(OR(A119="",N(F119)=0),"",T119/F119)</f>
        <v/>
      </c>
      <c r="J119" s="131" t="str">
        <f>IF(OR(A119="",N(D119)=0),"",MAX(0,D119-E119)/D119)</f>
        <v/>
      </c>
      <c r="K119" s="128" t="str">
        <f>IF(A119="","",SUMIFS(in_work,in_eq,A119,in_type,"Préventif",in_done,1,in_dnum,"&gt;="&amp;p_from,in_dnum,"&lt;="&amp;p_to))</f>
        <v/>
      </c>
      <c r="L119" s="128" t="str">
        <f>IF(A119="","",SUMIFS(in_work,in_eq,A119,in_type,"Correctif",in_done,1,in_dnum,"&gt;="&amp;p_from,in_dnum,"&lt;="&amp;p_to))</f>
        <v/>
      </c>
      <c r="M119" s="128" t="str">
        <f>IF(A119="","",SUMIFS(in_work,in_eq,A119,in_type,"Amélioratif",in_done,1,in_dnum,"&gt;="&amp;p_from,in_dnum,"&lt;="&amp;p_to))</f>
        <v/>
      </c>
      <c r="N119" s="131" t="str">
        <f>IF(OR(A119="",N(K119)+N(L119)+N(M119)=0),"",K119/(K119+L119+M119))</f>
        <v/>
      </c>
      <c r="O119" s="81" t="str">
        <f>IF(A119="","",SUMIFS(in_parts,in_eq,A119,in_done,1,in_dnum,"&gt;="&amp;p_from,in_dnum,"&lt;="&amp;p_to))</f>
        <v/>
      </c>
      <c r="P119" s="81" t="str">
        <f>IF(A119="","",SUMIFS(in_mo,in_eq,A119,in_done,1,in_dnum,"&gt;="&amp;p_from,in_dnum,"&lt;="&amp;p_to))</f>
        <v/>
      </c>
      <c r="Q119" s="81" t="str">
        <f>IF(A119="","",SUMIFS(in_other,in_eq,A119,in_done,1,in_dnum,"&gt;="&amp;p_from,in_dnum,"&lt;="&amp;p_to))</f>
        <v/>
      </c>
      <c r="R119" s="81" t="str">
        <f>IF(A119="","",SUMIFS(in_total,in_eq,A119,in_done,1,in_dnum,"&gt;="&amp;p_from,in_dnum,"&lt;="&amp;p_to))</f>
        <v/>
      </c>
      <c r="S119" s="67" t="str">
        <f>IF(A119="","",SUMIFS(in_work,in_eq,A119,in_type,"Correctif",in_done,1,in_dnum,"&gt;="&amp;p_from,in_dnum,"&lt;="&amp;p_to))</f>
        <v/>
      </c>
      <c r="T119" s="67" t="str">
        <f>IF(A119="","",SUMIFS(in_stop,in_eq,A119,in_type,"Correctif",in_done,1,in_dnum,"&gt;="&amp;p_from,in_dnum,"&lt;="&amp;p_to))</f>
        <v/>
      </c>
    </row>
    <row r="120">
      <c r="A120" s="67" t="str">
        <f>IF(INDEX(eq_code,109)="","",INDEX(eq_code,109)&amp;"")</f>
        <v/>
      </c>
      <c r="B120" s="67" t="str">
        <f>IF(A120="","",INDEX(eq_des,109)&amp;"")</f>
        <v/>
      </c>
      <c r="C120" s="79" t="str">
        <f>IF(A120="","",INDEX(eq_crit,109)&amp;"")</f>
        <v/>
      </c>
      <c r="D120" s="127" t="str">
        <f>IF(A120="","",IF(MAX(p_from,N(INDEX(eq_start,109)))&gt;p_to,0,ROUND(IF(AND(ISNUMBER(INDEX(eq_hours,109)),N(INDEX(eq_hours,109))&gt;0,N(INDEX(eq_hours,109))&lt;=24),INDEX(eq_hours,109),0)*IF(p_days="7 jours sur 7",p_to-MAX(p_from,N(INDEX(eq_start,109)))+1,NETWORKDAYS.INTL(MAX(p_from,N(INDEX(eq_start,109))),p_to,p_weekend,p_holidays)),2)))</f>
        <v/>
      </c>
      <c r="E120" s="128" t="str">
        <f>IF(A120="","",SUMIFS(in_stop,in_eq,A120,in_done,1,in_dnum,"&gt;="&amp;p_from,in_dnum,"&lt;="&amp;p_to))</f>
        <v/>
      </c>
      <c r="F120" s="129" t="str">
        <f>IF(A120="","",COUNTIFS(in_eq,A120,in_type,"Correctif",in_done,1,in_dnum,"&gt;="&amp;p_from,in_dnum,"&lt;="&amp;p_to))</f>
        <v/>
      </c>
      <c r="G120" s="130" t="str">
        <f>IF(OR(A120="",N(F120)=0),"",MAX(0,D120-E120)/F120)</f>
        <v/>
      </c>
      <c r="H120" s="81" t="str">
        <f>IF(OR(A120="",N(F120)=0),"",S120/F120)</f>
        <v/>
      </c>
      <c r="I120" s="81" t="str">
        <f>IF(OR(A120="",N(F120)=0),"",T120/F120)</f>
        <v/>
      </c>
      <c r="J120" s="131" t="str">
        <f>IF(OR(A120="",N(D120)=0),"",MAX(0,D120-E120)/D120)</f>
        <v/>
      </c>
      <c r="K120" s="128" t="str">
        <f>IF(A120="","",SUMIFS(in_work,in_eq,A120,in_type,"Préventif",in_done,1,in_dnum,"&gt;="&amp;p_from,in_dnum,"&lt;="&amp;p_to))</f>
        <v/>
      </c>
      <c r="L120" s="128" t="str">
        <f>IF(A120="","",SUMIFS(in_work,in_eq,A120,in_type,"Correctif",in_done,1,in_dnum,"&gt;="&amp;p_from,in_dnum,"&lt;="&amp;p_to))</f>
        <v/>
      </c>
      <c r="M120" s="128" t="str">
        <f>IF(A120="","",SUMIFS(in_work,in_eq,A120,in_type,"Amélioratif",in_done,1,in_dnum,"&gt;="&amp;p_from,in_dnum,"&lt;="&amp;p_to))</f>
        <v/>
      </c>
      <c r="N120" s="131" t="str">
        <f>IF(OR(A120="",N(K120)+N(L120)+N(M120)=0),"",K120/(K120+L120+M120))</f>
        <v/>
      </c>
      <c r="O120" s="81" t="str">
        <f>IF(A120="","",SUMIFS(in_parts,in_eq,A120,in_done,1,in_dnum,"&gt;="&amp;p_from,in_dnum,"&lt;="&amp;p_to))</f>
        <v/>
      </c>
      <c r="P120" s="81" t="str">
        <f>IF(A120="","",SUMIFS(in_mo,in_eq,A120,in_done,1,in_dnum,"&gt;="&amp;p_from,in_dnum,"&lt;="&amp;p_to))</f>
        <v/>
      </c>
      <c r="Q120" s="81" t="str">
        <f>IF(A120="","",SUMIFS(in_other,in_eq,A120,in_done,1,in_dnum,"&gt;="&amp;p_from,in_dnum,"&lt;="&amp;p_to))</f>
        <v/>
      </c>
      <c r="R120" s="81" t="str">
        <f>IF(A120="","",SUMIFS(in_total,in_eq,A120,in_done,1,in_dnum,"&gt;="&amp;p_from,in_dnum,"&lt;="&amp;p_to))</f>
        <v/>
      </c>
      <c r="S120" s="67" t="str">
        <f>IF(A120="","",SUMIFS(in_work,in_eq,A120,in_type,"Correctif",in_done,1,in_dnum,"&gt;="&amp;p_from,in_dnum,"&lt;="&amp;p_to))</f>
        <v/>
      </c>
      <c r="T120" s="67" t="str">
        <f>IF(A120="","",SUMIFS(in_stop,in_eq,A120,in_type,"Correctif",in_done,1,in_dnum,"&gt;="&amp;p_from,in_dnum,"&lt;="&amp;p_to))</f>
        <v/>
      </c>
    </row>
    <row r="121">
      <c r="A121" s="67" t="str">
        <f>IF(INDEX(eq_code,110)="","",INDEX(eq_code,110)&amp;"")</f>
        <v/>
      </c>
      <c r="B121" s="67" t="str">
        <f>IF(A121="","",INDEX(eq_des,110)&amp;"")</f>
        <v/>
      </c>
      <c r="C121" s="79" t="str">
        <f>IF(A121="","",INDEX(eq_crit,110)&amp;"")</f>
        <v/>
      </c>
      <c r="D121" s="127" t="str">
        <f>IF(A121="","",IF(MAX(p_from,N(INDEX(eq_start,110)))&gt;p_to,0,ROUND(IF(AND(ISNUMBER(INDEX(eq_hours,110)),N(INDEX(eq_hours,110))&gt;0,N(INDEX(eq_hours,110))&lt;=24),INDEX(eq_hours,110),0)*IF(p_days="7 jours sur 7",p_to-MAX(p_from,N(INDEX(eq_start,110)))+1,NETWORKDAYS.INTL(MAX(p_from,N(INDEX(eq_start,110))),p_to,p_weekend,p_holidays)),2)))</f>
        <v/>
      </c>
      <c r="E121" s="128" t="str">
        <f>IF(A121="","",SUMIFS(in_stop,in_eq,A121,in_done,1,in_dnum,"&gt;="&amp;p_from,in_dnum,"&lt;="&amp;p_to))</f>
        <v/>
      </c>
      <c r="F121" s="129" t="str">
        <f>IF(A121="","",COUNTIFS(in_eq,A121,in_type,"Correctif",in_done,1,in_dnum,"&gt;="&amp;p_from,in_dnum,"&lt;="&amp;p_to))</f>
        <v/>
      </c>
      <c r="G121" s="130" t="str">
        <f>IF(OR(A121="",N(F121)=0),"",MAX(0,D121-E121)/F121)</f>
        <v/>
      </c>
      <c r="H121" s="81" t="str">
        <f>IF(OR(A121="",N(F121)=0),"",S121/F121)</f>
        <v/>
      </c>
      <c r="I121" s="81" t="str">
        <f>IF(OR(A121="",N(F121)=0),"",T121/F121)</f>
        <v/>
      </c>
      <c r="J121" s="131" t="str">
        <f>IF(OR(A121="",N(D121)=0),"",MAX(0,D121-E121)/D121)</f>
        <v/>
      </c>
      <c r="K121" s="128" t="str">
        <f>IF(A121="","",SUMIFS(in_work,in_eq,A121,in_type,"Préventif",in_done,1,in_dnum,"&gt;="&amp;p_from,in_dnum,"&lt;="&amp;p_to))</f>
        <v/>
      </c>
      <c r="L121" s="128" t="str">
        <f>IF(A121="","",SUMIFS(in_work,in_eq,A121,in_type,"Correctif",in_done,1,in_dnum,"&gt;="&amp;p_from,in_dnum,"&lt;="&amp;p_to))</f>
        <v/>
      </c>
      <c r="M121" s="128" t="str">
        <f>IF(A121="","",SUMIFS(in_work,in_eq,A121,in_type,"Amélioratif",in_done,1,in_dnum,"&gt;="&amp;p_from,in_dnum,"&lt;="&amp;p_to))</f>
        <v/>
      </c>
      <c r="N121" s="131" t="str">
        <f>IF(OR(A121="",N(K121)+N(L121)+N(M121)=0),"",K121/(K121+L121+M121))</f>
        <v/>
      </c>
      <c r="O121" s="81" t="str">
        <f>IF(A121="","",SUMIFS(in_parts,in_eq,A121,in_done,1,in_dnum,"&gt;="&amp;p_from,in_dnum,"&lt;="&amp;p_to))</f>
        <v/>
      </c>
      <c r="P121" s="81" t="str">
        <f>IF(A121="","",SUMIFS(in_mo,in_eq,A121,in_done,1,in_dnum,"&gt;="&amp;p_from,in_dnum,"&lt;="&amp;p_to))</f>
        <v/>
      </c>
      <c r="Q121" s="81" t="str">
        <f>IF(A121="","",SUMIFS(in_other,in_eq,A121,in_done,1,in_dnum,"&gt;="&amp;p_from,in_dnum,"&lt;="&amp;p_to))</f>
        <v/>
      </c>
      <c r="R121" s="81" t="str">
        <f>IF(A121="","",SUMIFS(in_total,in_eq,A121,in_done,1,in_dnum,"&gt;="&amp;p_from,in_dnum,"&lt;="&amp;p_to))</f>
        <v/>
      </c>
      <c r="S121" s="67" t="str">
        <f>IF(A121="","",SUMIFS(in_work,in_eq,A121,in_type,"Correctif",in_done,1,in_dnum,"&gt;="&amp;p_from,in_dnum,"&lt;="&amp;p_to))</f>
        <v/>
      </c>
      <c r="T121" s="67" t="str">
        <f>IF(A121="","",SUMIFS(in_stop,in_eq,A121,in_type,"Correctif",in_done,1,in_dnum,"&gt;="&amp;p_from,in_dnum,"&lt;="&amp;p_to))</f>
        <v/>
      </c>
    </row>
    <row r="122">
      <c r="A122" s="67" t="str">
        <f>IF(INDEX(eq_code,111)="","",INDEX(eq_code,111)&amp;"")</f>
        <v/>
      </c>
      <c r="B122" s="67" t="str">
        <f>IF(A122="","",INDEX(eq_des,111)&amp;"")</f>
        <v/>
      </c>
      <c r="C122" s="79" t="str">
        <f>IF(A122="","",INDEX(eq_crit,111)&amp;"")</f>
        <v/>
      </c>
      <c r="D122" s="127" t="str">
        <f>IF(A122="","",IF(MAX(p_from,N(INDEX(eq_start,111)))&gt;p_to,0,ROUND(IF(AND(ISNUMBER(INDEX(eq_hours,111)),N(INDEX(eq_hours,111))&gt;0,N(INDEX(eq_hours,111))&lt;=24),INDEX(eq_hours,111),0)*IF(p_days="7 jours sur 7",p_to-MAX(p_from,N(INDEX(eq_start,111)))+1,NETWORKDAYS.INTL(MAX(p_from,N(INDEX(eq_start,111))),p_to,p_weekend,p_holidays)),2)))</f>
        <v/>
      </c>
      <c r="E122" s="128" t="str">
        <f>IF(A122="","",SUMIFS(in_stop,in_eq,A122,in_done,1,in_dnum,"&gt;="&amp;p_from,in_dnum,"&lt;="&amp;p_to))</f>
        <v/>
      </c>
      <c r="F122" s="129" t="str">
        <f>IF(A122="","",COUNTIFS(in_eq,A122,in_type,"Correctif",in_done,1,in_dnum,"&gt;="&amp;p_from,in_dnum,"&lt;="&amp;p_to))</f>
        <v/>
      </c>
      <c r="G122" s="130" t="str">
        <f>IF(OR(A122="",N(F122)=0),"",MAX(0,D122-E122)/F122)</f>
        <v/>
      </c>
      <c r="H122" s="81" t="str">
        <f>IF(OR(A122="",N(F122)=0),"",S122/F122)</f>
        <v/>
      </c>
      <c r="I122" s="81" t="str">
        <f>IF(OR(A122="",N(F122)=0),"",T122/F122)</f>
        <v/>
      </c>
      <c r="J122" s="131" t="str">
        <f>IF(OR(A122="",N(D122)=0),"",MAX(0,D122-E122)/D122)</f>
        <v/>
      </c>
      <c r="K122" s="128" t="str">
        <f>IF(A122="","",SUMIFS(in_work,in_eq,A122,in_type,"Préventif",in_done,1,in_dnum,"&gt;="&amp;p_from,in_dnum,"&lt;="&amp;p_to))</f>
        <v/>
      </c>
      <c r="L122" s="128" t="str">
        <f>IF(A122="","",SUMIFS(in_work,in_eq,A122,in_type,"Correctif",in_done,1,in_dnum,"&gt;="&amp;p_from,in_dnum,"&lt;="&amp;p_to))</f>
        <v/>
      </c>
      <c r="M122" s="128" t="str">
        <f>IF(A122="","",SUMIFS(in_work,in_eq,A122,in_type,"Amélioratif",in_done,1,in_dnum,"&gt;="&amp;p_from,in_dnum,"&lt;="&amp;p_to))</f>
        <v/>
      </c>
      <c r="N122" s="131" t="str">
        <f>IF(OR(A122="",N(K122)+N(L122)+N(M122)=0),"",K122/(K122+L122+M122))</f>
        <v/>
      </c>
      <c r="O122" s="81" t="str">
        <f>IF(A122="","",SUMIFS(in_parts,in_eq,A122,in_done,1,in_dnum,"&gt;="&amp;p_from,in_dnum,"&lt;="&amp;p_to))</f>
        <v/>
      </c>
      <c r="P122" s="81" t="str">
        <f>IF(A122="","",SUMIFS(in_mo,in_eq,A122,in_done,1,in_dnum,"&gt;="&amp;p_from,in_dnum,"&lt;="&amp;p_to))</f>
        <v/>
      </c>
      <c r="Q122" s="81" t="str">
        <f>IF(A122="","",SUMIFS(in_other,in_eq,A122,in_done,1,in_dnum,"&gt;="&amp;p_from,in_dnum,"&lt;="&amp;p_to))</f>
        <v/>
      </c>
      <c r="R122" s="81" t="str">
        <f>IF(A122="","",SUMIFS(in_total,in_eq,A122,in_done,1,in_dnum,"&gt;="&amp;p_from,in_dnum,"&lt;="&amp;p_to))</f>
        <v/>
      </c>
      <c r="S122" s="67" t="str">
        <f>IF(A122="","",SUMIFS(in_work,in_eq,A122,in_type,"Correctif",in_done,1,in_dnum,"&gt;="&amp;p_from,in_dnum,"&lt;="&amp;p_to))</f>
        <v/>
      </c>
      <c r="T122" s="67" t="str">
        <f>IF(A122="","",SUMIFS(in_stop,in_eq,A122,in_type,"Correctif",in_done,1,in_dnum,"&gt;="&amp;p_from,in_dnum,"&lt;="&amp;p_to))</f>
        <v/>
      </c>
    </row>
    <row r="123">
      <c r="A123" s="67" t="str">
        <f>IF(INDEX(eq_code,112)="","",INDEX(eq_code,112)&amp;"")</f>
        <v/>
      </c>
      <c r="B123" s="67" t="str">
        <f>IF(A123="","",INDEX(eq_des,112)&amp;"")</f>
        <v/>
      </c>
      <c r="C123" s="79" t="str">
        <f>IF(A123="","",INDEX(eq_crit,112)&amp;"")</f>
        <v/>
      </c>
      <c r="D123" s="127" t="str">
        <f>IF(A123="","",IF(MAX(p_from,N(INDEX(eq_start,112)))&gt;p_to,0,ROUND(IF(AND(ISNUMBER(INDEX(eq_hours,112)),N(INDEX(eq_hours,112))&gt;0,N(INDEX(eq_hours,112))&lt;=24),INDEX(eq_hours,112),0)*IF(p_days="7 jours sur 7",p_to-MAX(p_from,N(INDEX(eq_start,112)))+1,NETWORKDAYS.INTL(MAX(p_from,N(INDEX(eq_start,112))),p_to,p_weekend,p_holidays)),2)))</f>
        <v/>
      </c>
      <c r="E123" s="128" t="str">
        <f>IF(A123="","",SUMIFS(in_stop,in_eq,A123,in_done,1,in_dnum,"&gt;="&amp;p_from,in_dnum,"&lt;="&amp;p_to))</f>
        <v/>
      </c>
      <c r="F123" s="129" t="str">
        <f>IF(A123="","",COUNTIFS(in_eq,A123,in_type,"Correctif",in_done,1,in_dnum,"&gt;="&amp;p_from,in_dnum,"&lt;="&amp;p_to))</f>
        <v/>
      </c>
      <c r="G123" s="130" t="str">
        <f>IF(OR(A123="",N(F123)=0),"",MAX(0,D123-E123)/F123)</f>
        <v/>
      </c>
      <c r="H123" s="81" t="str">
        <f>IF(OR(A123="",N(F123)=0),"",S123/F123)</f>
        <v/>
      </c>
      <c r="I123" s="81" t="str">
        <f>IF(OR(A123="",N(F123)=0),"",T123/F123)</f>
        <v/>
      </c>
      <c r="J123" s="131" t="str">
        <f>IF(OR(A123="",N(D123)=0),"",MAX(0,D123-E123)/D123)</f>
        <v/>
      </c>
      <c r="K123" s="128" t="str">
        <f>IF(A123="","",SUMIFS(in_work,in_eq,A123,in_type,"Préventif",in_done,1,in_dnum,"&gt;="&amp;p_from,in_dnum,"&lt;="&amp;p_to))</f>
        <v/>
      </c>
      <c r="L123" s="128" t="str">
        <f>IF(A123="","",SUMIFS(in_work,in_eq,A123,in_type,"Correctif",in_done,1,in_dnum,"&gt;="&amp;p_from,in_dnum,"&lt;="&amp;p_to))</f>
        <v/>
      </c>
      <c r="M123" s="128" t="str">
        <f>IF(A123="","",SUMIFS(in_work,in_eq,A123,in_type,"Amélioratif",in_done,1,in_dnum,"&gt;="&amp;p_from,in_dnum,"&lt;="&amp;p_to))</f>
        <v/>
      </c>
      <c r="N123" s="131" t="str">
        <f>IF(OR(A123="",N(K123)+N(L123)+N(M123)=0),"",K123/(K123+L123+M123))</f>
        <v/>
      </c>
      <c r="O123" s="81" t="str">
        <f>IF(A123="","",SUMIFS(in_parts,in_eq,A123,in_done,1,in_dnum,"&gt;="&amp;p_from,in_dnum,"&lt;="&amp;p_to))</f>
        <v/>
      </c>
      <c r="P123" s="81" t="str">
        <f>IF(A123="","",SUMIFS(in_mo,in_eq,A123,in_done,1,in_dnum,"&gt;="&amp;p_from,in_dnum,"&lt;="&amp;p_to))</f>
        <v/>
      </c>
      <c r="Q123" s="81" t="str">
        <f>IF(A123="","",SUMIFS(in_other,in_eq,A123,in_done,1,in_dnum,"&gt;="&amp;p_from,in_dnum,"&lt;="&amp;p_to))</f>
        <v/>
      </c>
      <c r="R123" s="81" t="str">
        <f>IF(A123="","",SUMIFS(in_total,in_eq,A123,in_done,1,in_dnum,"&gt;="&amp;p_from,in_dnum,"&lt;="&amp;p_to))</f>
        <v/>
      </c>
      <c r="S123" s="67" t="str">
        <f>IF(A123="","",SUMIFS(in_work,in_eq,A123,in_type,"Correctif",in_done,1,in_dnum,"&gt;="&amp;p_from,in_dnum,"&lt;="&amp;p_to))</f>
        <v/>
      </c>
      <c r="T123" s="67" t="str">
        <f>IF(A123="","",SUMIFS(in_stop,in_eq,A123,in_type,"Correctif",in_done,1,in_dnum,"&gt;="&amp;p_from,in_dnum,"&lt;="&amp;p_to))</f>
        <v/>
      </c>
    </row>
    <row r="124">
      <c r="A124" s="67" t="str">
        <f>IF(INDEX(eq_code,113)="","",INDEX(eq_code,113)&amp;"")</f>
        <v/>
      </c>
      <c r="B124" s="67" t="str">
        <f>IF(A124="","",INDEX(eq_des,113)&amp;"")</f>
        <v/>
      </c>
      <c r="C124" s="79" t="str">
        <f>IF(A124="","",INDEX(eq_crit,113)&amp;"")</f>
        <v/>
      </c>
      <c r="D124" s="127" t="str">
        <f>IF(A124="","",IF(MAX(p_from,N(INDEX(eq_start,113)))&gt;p_to,0,ROUND(IF(AND(ISNUMBER(INDEX(eq_hours,113)),N(INDEX(eq_hours,113))&gt;0,N(INDEX(eq_hours,113))&lt;=24),INDEX(eq_hours,113),0)*IF(p_days="7 jours sur 7",p_to-MAX(p_from,N(INDEX(eq_start,113)))+1,NETWORKDAYS.INTL(MAX(p_from,N(INDEX(eq_start,113))),p_to,p_weekend,p_holidays)),2)))</f>
        <v/>
      </c>
      <c r="E124" s="128" t="str">
        <f>IF(A124="","",SUMIFS(in_stop,in_eq,A124,in_done,1,in_dnum,"&gt;="&amp;p_from,in_dnum,"&lt;="&amp;p_to))</f>
        <v/>
      </c>
      <c r="F124" s="129" t="str">
        <f>IF(A124="","",COUNTIFS(in_eq,A124,in_type,"Correctif",in_done,1,in_dnum,"&gt;="&amp;p_from,in_dnum,"&lt;="&amp;p_to))</f>
        <v/>
      </c>
      <c r="G124" s="130" t="str">
        <f>IF(OR(A124="",N(F124)=0),"",MAX(0,D124-E124)/F124)</f>
        <v/>
      </c>
      <c r="H124" s="81" t="str">
        <f>IF(OR(A124="",N(F124)=0),"",S124/F124)</f>
        <v/>
      </c>
      <c r="I124" s="81" t="str">
        <f>IF(OR(A124="",N(F124)=0),"",T124/F124)</f>
        <v/>
      </c>
      <c r="J124" s="131" t="str">
        <f>IF(OR(A124="",N(D124)=0),"",MAX(0,D124-E124)/D124)</f>
        <v/>
      </c>
      <c r="K124" s="128" t="str">
        <f>IF(A124="","",SUMIFS(in_work,in_eq,A124,in_type,"Préventif",in_done,1,in_dnum,"&gt;="&amp;p_from,in_dnum,"&lt;="&amp;p_to))</f>
        <v/>
      </c>
      <c r="L124" s="128" t="str">
        <f>IF(A124="","",SUMIFS(in_work,in_eq,A124,in_type,"Correctif",in_done,1,in_dnum,"&gt;="&amp;p_from,in_dnum,"&lt;="&amp;p_to))</f>
        <v/>
      </c>
      <c r="M124" s="128" t="str">
        <f>IF(A124="","",SUMIFS(in_work,in_eq,A124,in_type,"Amélioratif",in_done,1,in_dnum,"&gt;="&amp;p_from,in_dnum,"&lt;="&amp;p_to))</f>
        <v/>
      </c>
      <c r="N124" s="131" t="str">
        <f>IF(OR(A124="",N(K124)+N(L124)+N(M124)=0),"",K124/(K124+L124+M124))</f>
        <v/>
      </c>
      <c r="O124" s="81" t="str">
        <f>IF(A124="","",SUMIFS(in_parts,in_eq,A124,in_done,1,in_dnum,"&gt;="&amp;p_from,in_dnum,"&lt;="&amp;p_to))</f>
        <v/>
      </c>
      <c r="P124" s="81" t="str">
        <f>IF(A124="","",SUMIFS(in_mo,in_eq,A124,in_done,1,in_dnum,"&gt;="&amp;p_from,in_dnum,"&lt;="&amp;p_to))</f>
        <v/>
      </c>
      <c r="Q124" s="81" t="str">
        <f>IF(A124="","",SUMIFS(in_other,in_eq,A124,in_done,1,in_dnum,"&gt;="&amp;p_from,in_dnum,"&lt;="&amp;p_to))</f>
        <v/>
      </c>
      <c r="R124" s="81" t="str">
        <f>IF(A124="","",SUMIFS(in_total,in_eq,A124,in_done,1,in_dnum,"&gt;="&amp;p_from,in_dnum,"&lt;="&amp;p_to))</f>
        <v/>
      </c>
      <c r="S124" s="67" t="str">
        <f>IF(A124="","",SUMIFS(in_work,in_eq,A124,in_type,"Correctif",in_done,1,in_dnum,"&gt;="&amp;p_from,in_dnum,"&lt;="&amp;p_to))</f>
        <v/>
      </c>
      <c r="T124" s="67" t="str">
        <f>IF(A124="","",SUMIFS(in_stop,in_eq,A124,in_type,"Correctif",in_done,1,in_dnum,"&gt;="&amp;p_from,in_dnum,"&lt;="&amp;p_to))</f>
        <v/>
      </c>
    </row>
    <row r="125">
      <c r="A125" s="67" t="str">
        <f>IF(INDEX(eq_code,114)="","",INDEX(eq_code,114)&amp;"")</f>
        <v/>
      </c>
      <c r="B125" s="67" t="str">
        <f>IF(A125="","",INDEX(eq_des,114)&amp;"")</f>
        <v/>
      </c>
      <c r="C125" s="79" t="str">
        <f>IF(A125="","",INDEX(eq_crit,114)&amp;"")</f>
        <v/>
      </c>
      <c r="D125" s="127" t="str">
        <f>IF(A125="","",IF(MAX(p_from,N(INDEX(eq_start,114)))&gt;p_to,0,ROUND(IF(AND(ISNUMBER(INDEX(eq_hours,114)),N(INDEX(eq_hours,114))&gt;0,N(INDEX(eq_hours,114))&lt;=24),INDEX(eq_hours,114),0)*IF(p_days="7 jours sur 7",p_to-MAX(p_from,N(INDEX(eq_start,114)))+1,NETWORKDAYS.INTL(MAX(p_from,N(INDEX(eq_start,114))),p_to,p_weekend,p_holidays)),2)))</f>
        <v/>
      </c>
      <c r="E125" s="128" t="str">
        <f>IF(A125="","",SUMIFS(in_stop,in_eq,A125,in_done,1,in_dnum,"&gt;="&amp;p_from,in_dnum,"&lt;="&amp;p_to))</f>
        <v/>
      </c>
      <c r="F125" s="129" t="str">
        <f>IF(A125="","",COUNTIFS(in_eq,A125,in_type,"Correctif",in_done,1,in_dnum,"&gt;="&amp;p_from,in_dnum,"&lt;="&amp;p_to))</f>
        <v/>
      </c>
      <c r="G125" s="130" t="str">
        <f>IF(OR(A125="",N(F125)=0),"",MAX(0,D125-E125)/F125)</f>
        <v/>
      </c>
      <c r="H125" s="81" t="str">
        <f>IF(OR(A125="",N(F125)=0),"",S125/F125)</f>
        <v/>
      </c>
      <c r="I125" s="81" t="str">
        <f>IF(OR(A125="",N(F125)=0),"",T125/F125)</f>
        <v/>
      </c>
      <c r="J125" s="131" t="str">
        <f>IF(OR(A125="",N(D125)=0),"",MAX(0,D125-E125)/D125)</f>
        <v/>
      </c>
      <c r="K125" s="128" t="str">
        <f>IF(A125="","",SUMIFS(in_work,in_eq,A125,in_type,"Préventif",in_done,1,in_dnum,"&gt;="&amp;p_from,in_dnum,"&lt;="&amp;p_to))</f>
        <v/>
      </c>
      <c r="L125" s="128" t="str">
        <f>IF(A125="","",SUMIFS(in_work,in_eq,A125,in_type,"Correctif",in_done,1,in_dnum,"&gt;="&amp;p_from,in_dnum,"&lt;="&amp;p_to))</f>
        <v/>
      </c>
      <c r="M125" s="128" t="str">
        <f>IF(A125="","",SUMIFS(in_work,in_eq,A125,in_type,"Amélioratif",in_done,1,in_dnum,"&gt;="&amp;p_from,in_dnum,"&lt;="&amp;p_to))</f>
        <v/>
      </c>
      <c r="N125" s="131" t="str">
        <f>IF(OR(A125="",N(K125)+N(L125)+N(M125)=0),"",K125/(K125+L125+M125))</f>
        <v/>
      </c>
      <c r="O125" s="81" t="str">
        <f>IF(A125="","",SUMIFS(in_parts,in_eq,A125,in_done,1,in_dnum,"&gt;="&amp;p_from,in_dnum,"&lt;="&amp;p_to))</f>
        <v/>
      </c>
      <c r="P125" s="81" t="str">
        <f>IF(A125="","",SUMIFS(in_mo,in_eq,A125,in_done,1,in_dnum,"&gt;="&amp;p_from,in_dnum,"&lt;="&amp;p_to))</f>
        <v/>
      </c>
      <c r="Q125" s="81" t="str">
        <f>IF(A125="","",SUMIFS(in_other,in_eq,A125,in_done,1,in_dnum,"&gt;="&amp;p_from,in_dnum,"&lt;="&amp;p_to))</f>
        <v/>
      </c>
      <c r="R125" s="81" t="str">
        <f>IF(A125="","",SUMIFS(in_total,in_eq,A125,in_done,1,in_dnum,"&gt;="&amp;p_from,in_dnum,"&lt;="&amp;p_to))</f>
        <v/>
      </c>
      <c r="S125" s="67" t="str">
        <f>IF(A125="","",SUMIFS(in_work,in_eq,A125,in_type,"Correctif",in_done,1,in_dnum,"&gt;="&amp;p_from,in_dnum,"&lt;="&amp;p_to))</f>
        <v/>
      </c>
      <c r="T125" s="67" t="str">
        <f>IF(A125="","",SUMIFS(in_stop,in_eq,A125,in_type,"Correctif",in_done,1,in_dnum,"&gt;="&amp;p_from,in_dnum,"&lt;="&amp;p_to))</f>
        <v/>
      </c>
    </row>
    <row r="126">
      <c r="A126" s="67" t="str">
        <f>IF(INDEX(eq_code,115)="","",INDEX(eq_code,115)&amp;"")</f>
        <v/>
      </c>
      <c r="B126" s="67" t="str">
        <f>IF(A126="","",INDEX(eq_des,115)&amp;"")</f>
        <v/>
      </c>
      <c r="C126" s="79" t="str">
        <f>IF(A126="","",INDEX(eq_crit,115)&amp;"")</f>
        <v/>
      </c>
      <c r="D126" s="127" t="str">
        <f>IF(A126="","",IF(MAX(p_from,N(INDEX(eq_start,115)))&gt;p_to,0,ROUND(IF(AND(ISNUMBER(INDEX(eq_hours,115)),N(INDEX(eq_hours,115))&gt;0,N(INDEX(eq_hours,115))&lt;=24),INDEX(eq_hours,115),0)*IF(p_days="7 jours sur 7",p_to-MAX(p_from,N(INDEX(eq_start,115)))+1,NETWORKDAYS.INTL(MAX(p_from,N(INDEX(eq_start,115))),p_to,p_weekend,p_holidays)),2)))</f>
        <v/>
      </c>
      <c r="E126" s="128" t="str">
        <f>IF(A126="","",SUMIFS(in_stop,in_eq,A126,in_done,1,in_dnum,"&gt;="&amp;p_from,in_dnum,"&lt;="&amp;p_to))</f>
        <v/>
      </c>
      <c r="F126" s="129" t="str">
        <f>IF(A126="","",COUNTIFS(in_eq,A126,in_type,"Correctif",in_done,1,in_dnum,"&gt;="&amp;p_from,in_dnum,"&lt;="&amp;p_to))</f>
        <v/>
      </c>
      <c r="G126" s="130" t="str">
        <f>IF(OR(A126="",N(F126)=0),"",MAX(0,D126-E126)/F126)</f>
        <v/>
      </c>
      <c r="H126" s="81" t="str">
        <f>IF(OR(A126="",N(F126)=0),"",S126/F126)</f>
        <v/>
      </c>
      <c r="I126" s="81" t="str">
        <f>IF(OR(A126="",N(F126)=0),"",T126/F126)</f>
        <v/>
      </c>
      <c r="J126" s="131" t="str">
        <f>IF(OR(A126="",N(D126)=0),"",MAX(0,D126-E126)/D126)</f>
        <v/>
      </c>
      <c r="K126" s="128" t="str">
        <f>IF(A126="","",SUMIFS(in_work,in_eq,A126,in_type,"Préventif",in_done,1,in_dnum,"&gt;="&amp;p_from,in_dnum,"&lt;="&amp;p_to))</f>
        <v/>
      </c>
      <c r="L126" s="128" t="str">
        <f>IF(A126="","",SUMIFS(in_work,in_eq,A126,in_type,"Correctif",in_done,1,in_dnum,"&gt;="&amp;p_from,in_dnum,"&lt;="&amp;p_to))</f>
        <v/>
      </c>
      <c r="M126" s="128" t="str">
        <f>IF(A126="","",SUMIFS(in_work,in_eq,A126,in_type,"Amélioratif",in_done,1,in_dnum,"&gt;="&amp;p_from,in_dnum,"&lt;="&amp;p_to))</f>
        <v/>
      </c>
      <c r="N126" s="131" t="str">
        <f>IF(OR(A126="",N(K126)+N(L126)+N(M126)=0),"",K126/(K126+L126+M126))</f>
        <v/>
      </c>
      <c r="O126" s="81" t="str">
        <f>IF(A126="","",SUMIFS(in_parts,in_eq,A126,in_done,1,in_dnum,"&gt;="&amp;p_from,in_dnum,"&lt;="&amp;p_to))</f>
        <v/>
      </c>
      <c r="P126" s="81" t="str">
        <f>IF(A126="","",SUMIFS(in_mo,in_eq,A126,in_done,1,in_dnum,"&gt;="&amp;p_from,in_dnum,"&lt;="&amp;p_to))</f>
        <v/>
      </c>
      <c r="Q126" s="81" t="str">
        <f>IF(A126="","",SUMIFS(in_other,in_eq,A126,in_done,1,in_dnum,"&gt;="&amp;p_from,in_dnum,"&lt;="&amp;p_to))</f>
        <v/>
      </c>
      <c r="R126" s="81" t="str">
        <f>IF(A126="","",SUMIFS(in_total,in_eq,A126,in_done,1,in_dnum,"&gt;="&amp;p_from,in_dnum,"&lt;="&amp;p_to))</f>
        <v/>
      </c>
      <c r="S126" s="67" t="str">
        <f>IF(A126="","",SUMIFS(in_work,in_eq,A126,in_type,"Correctif",in_done,1,in_dnum,"&gt;="&amp;p_from,in_dnum,"&lt;="&amp;p_to))</f>
        <v/>
      </c>
      <c r="T126" s="67" t="str">
        <f>IF(A126="","",SUMIFS(in_stop,in_eq,A126,in_type,"Correctif",in_done,1,in_dnum,"&gt;="&amp;p_from,in_dnum,"&lt;="&amp;p_to))</f>
        <v/>
      </c>
    </row>
    <row r="127">
      <c r="A127" s="67" t="str">
        <f>IF(INDEX(eq_code,116)="","",INDEX(eq_code,116)&amp;"")</f>
        <v/>
      </c>
      <c r="B127" s="67" t="str">
        <f>IF(A127="","",INDEX(eq_des,116)&amp;"")</f>
        <v/>
      </c>
      <c r="C127" s="79" t="str">
        <f>IF(A127="","",INDEX(eq_crit,116)&amp;"")</f>
        <v/>
      </c>
      <c r="D127" s="127" t="str">
        <f>IF(A127="","",IF(MAX(p_from,N(INDEX(eq_start,116)))&gt;p_to,0,ROUND(IF(AND(ISNUMBER(INDEX(eq_hours,116)),N(INDEX(eq_hours,116))&gt;0,N(INDEX(eq_hours,116))&lt;=24),INDEX(eq_hours,116),0)*IF(p_days="7 jours sur 7",p_to-MAX(p_from,N(INDEX(eq_start,116)))+1,NETWORKDAYS.INTL(MAX(p_from,N(INDEX(eq_start,116))),p_to,p_weekend,p_holidays)),2)))</f>
        <v/>
      </c>
      <c r="E127" s="128" t="str">
        <f>IF(A127="","",SUMIFS(in_stop,in_eq,A127,in_done,1,in_dnum,"&gt;="&amp;p_from,in_dnum,"&lt;="&amp;p_to))</f>
        <v/>
      </c>
      <c r="F127" s="129" t="str">
        <f>IF(A127="","",COUNTIFS(in_eq,A127,in_type,"Correctif",in_done,1,in_dnum,"&gt;="&amp;p_from,in_dnum,"&lt;="&amp;p_to))</f>
        <v/>
      </c>
      <c r="G127" s="130" t="str">
        <f>IF(OR(A127="",N(F127)=0),"",MAX(0,D127-E127)/F127)</f>
        <v/>
      </c>
      <c r="H127" s="81" t="str">
        <f>IF(OR(A127="",N(F127)=0),"",S127/F127)</f>
        <v/>
      </c>
      <c r="I127" s="81" t="str">
        <f>IF(OR(A127="",N(F127)=0),"",T127/F127)</f>
        <v/>
      </c>
      <c r="J127" s="131" t="str">
        <f>IF(OR(A127="",N(D127)=0),"",MAX(0,D127-E127)/D127)</f>
        <v/>
      </c>
      <c r="K127" s="128" t="str">
        <f>IF(A127="","",SUMIFS(in_work,in_eq,A127,in_type,"Préventif",in_done,1,in_dnum,"&gt;="&amp;p_from,in_dnum,"&lt;="&amp;p_to))</f>
        <v/>
      </c>
      <c r="L127" s="128" t="str">
        <f>IF(A127="","",SUMIFS(in_work,in_eq,A127,in_type,"Correctif",in_done,1,in_dnum,"&gt;="&amp;p_from,in_dnum,"&lt;="&amp;p_to))</f>
        <v/>
      </c>
      <c r="M127" s="128" t="str">
        <f>IF(A127="","",SUMIFS(in_work,in_eq,A127,in_type,"Amélioratif",in_done,1,in_dnum,"&gt;="&amp;p_from,in_dnum,"&lt;="&amp;p_to))</f>
        <v/>
      </c>
      <c r="N127" s="131" t="str">
        <f>IF(OR(A127="",N(K127)+N(L127)+N(M127)=0),"",K127/(K127+L127+M127))</f>
        <v/>
      </c>
      <c r="O127" s="81" t="str">
        <f>IF(A127="","",SUMIFS(in_parts,in_eq,A127,in_done,1,in_dnum,"&gt;="&amp;p_from,in_dnum,"&lt;="&amp;p_to))</f>
        <v/>
      </c>
      <c r="P127" s="81" t="str">
        <f>IF(A127="","",SUMIFS(in_mo,in_eq,A127,in_done,1,in_dnum,"&gt;="&amp;p_from,in_dnum,"&lt;="&amp;p_to))</f>
        <v/>
      </c>
      <c r="Q127" s="81" t="str">
        <f>IF(A127="","",SUMIFS(in_other,in_eq,A127,in_done,1,in_dnum,"&gt;="&amp;p_from,in_dnum,"&lt;="&amp;p_to))</f>
        <v/>
      </c>
      <c r="R127" s="81" t="str">
        <f>IF(A127="","",SUMIFS(in_total,in_eq,A127,in_done,1,in_dnum,"&gt;="&amp;p_from,in_dnum,"&lt;="&amp;p_to))</f>
        <v/>
      </c>
      <c r="S127" s="67" t="str">
        <f>IF(A127="","",SUMIFS(in_work,in_eq,A127,in_type,"Correctif",in_done,1,in_dnum,"&gt;="&amp;p_from,in_dnum,"&lt;="&amp;p_to))</f>
        <v/>
      </c>
      <c r="T127" s="67" t="str">
        <f>IF(A127="","",SUMIFS(in_stop,in_eq,A127,in_type,"Correctif",in_done,1,in_dnum,"&gt;="&amp;p_from,in_dnum,"&lt;="&amp;p_to))</f>
        <v/>
      </c>
    </row>
    <row r="128">
      <c r="A128" s="67" t="str">
        <f>IF(INDEX(eq_code,117)="","",INDEX(eq_code,117)&amp;"")</f>
        <v/>
      </c>
      <c r="B128" s="67" t="str">
        <f>IF(A128="","",INDEX(eq_des,117)&amp;"")</f>
        <v/>
      </c>
      <c r="C128" s="79" t="str">
        <f>IF(A128="","",INDEX(eq_crit,117)&amp;"")</f>
        <v/>
      </c>
      <c r="D128" s="127" t="str">
        <f>IF(A128="","",IF(MAX(p_from,N(INDEX(eq_start,117)))&gt;p_to,0,ROUND(IF(AND(ISNUMBER(INDEX(eq_hours,117)),N(INDEX(eq_hours,117))&gt;0,N(INDEX(eq_hours,117))&lt;=24),INDEX(eq_hours,117),0)*IF(p_days="7 jours sur 7",p_to-MAX(p_from,N(INDEX(eq_start,117)))+1,NETWORKDAYS.INTL(MAX(p_from,N(INDEX(eq_start,117))),p_to,p_weekend,p_holidays)),2)))</f>
        <v/>
      </c>
      <c r="E128" s="128" t="str">
        <f>IF(A128="","",SUMIFS(in_stop,in_eq,A128,in_done,1,in_dnum,"&gt;="&amp;p_from,in_dnum,"&lt;="&amp;p_to))</f>
        <v/>
      </c>
      <c r="F128" s="129" t="str">
        <f>IF(A128="","",COUNTIFS(in_eq,A128,in_type,"Correctif",in_done,1,in_dnum,"&gt;="&amp;p_from,in_dnum,"&lt;="&amp;p_to))</f>
        <v/>
      </c>
      <c r="G128" s="130" t="str">
        <f>IF(OR(A128="",N(F128)=0),"",MAX(0,D128-E128)/F128)</f>
        <v/>
      </c>
      <c r="H128" s="81" t="str">
        <f>IF(OR(A128="",N(F128)=0),"",S128/F128)</f>
        <v/>
      </c>
      <c r="I128" s="81" t="str">
        <f>IF(OR(A128="",N(F128)=0),"",T128/F128)</f>
        <v/>
      </c>
      <c r="J128" s="131" t="str">
        <f>IF(OR(A128="",N(D128)=0),"",MAX(0,D128-E128)/D128)</f>
        <v/>
      </c>
      <c r="K128" s="128" t="str">
        <f>IF(A128="","",SUMIFS(in_work,in_eq,A128,in_type,"Préventif",in_done,1,in_dnum,"&gt;="&amp;p_from,in_dnum,"&lt;="&amp;p_to))</f>
        <v/>
      </c>
      <c r="L128" s="128" t="str">
        <f>IF(A128="","",SUMIFS(in_work,in_eq,A128,in_type,"Correctif",in_done,1,in_dnum,"&gt;="&amp;p_from,in_dnum,"&lt;="&amp;p_to))</f>
        <v/>
      </c>
      <c r="M128" s="128" t="str">
        <f>IF(A128="","",SUMIFS(in_work,in_eq,A128,in_type,"Amélioratif",in_done,1,in_dnum,"&gt;="&amp;p_from,in_dnum,"&lt;="&amp;p_to))</f>
        <v/>
      </c>
      <c r="N128" s="131" t="str">
        <f>IF(OR(A128="",N(K128)+N(L128)+N(M128)=0),"",K128/(K128+L128+M128))</f>
        <v/>
      </c>
      <c r="O128" s="81" t="str">
        <f>IF(A128="","",SUMIFS(in_parts,in_eq,A128,in_done,1,in_dnum,"&gt;="&amp;p_from,in_dnum,"&lt;="&amp;p_to))</f>
        <v/>
      </c>
      <c r="P128" s="81" t="str">
        <f>IF(A128="","",SUMIFS(in_mo,in_eq,A128,in_done,1,in_dnum,"&gt;="&amp;p_from,in_dnum,"&lt;="&amp;p_to))</f>
        <v/>
      </c>
      <c r="Q128" s="81" t="str">
        <f>IF(A128="","",SUMIFS(in_other,in_eq,A128,in_done,1,in_dnum,"&gt;="&amp;p_from,in_dnum,"&lt;="&amp;p_to))</f>
        <v/>
      </c>
      <c r="R128" s="81" t="str">
        <f>IF(A128="","",SUMIFS(in_total,in_eq,A128,in_done,1,in_dnum,"&gt;="&amp;p_from,in_dnum,"&lt;="&amp;p_to))</f>
        <v/>
      </c>
      <c r="S128" s="67" t="str">
        <f>IF(A128="","",SUMIFS(in_work,in_eq,A128,in_type,"Correctif",in_done,1,in_dnum,"&gt;="&amp;p_from,in_dnum,"&lt;="&amp;p_to))</f>
        <v/>
      </c>
      <c r="T128" s="67" t="str">
        <f>IF(A128="","",SUMIFS(in_stop,in_eq,A128,in_type,"Correctif",in_done,1,in_dnum,"&gt;="&amp;p_from,in_dnum,"&lt;="&amp;p_to))</f>
        <v/>
      </c>
    </row>
    <row r="129">
      <c r="A129" s="67" t="str">
        <f>IF(INDEX(eq_code,118)="","",INDEX(eq_code,118)&amp;"")</f>
        <v/>
      </c>
      <c r="B129" s="67" t="str">
        <f>IF(A129="","",INDEX(eq_des,118)&amp;"")</f>
        <v/>
      </c>
      <c r="C129" s="79" t="str">
        <f>IF(A129="","",INDEX(eq_crit,118)&amp;"")</f>
        <v/>
      </c>
      <c r="D129" s="127" t="str">
        <f>IF(A129="","",IF(MAX(p_from,N(INDEX(eq_start,118)))&gt;p_to,0,ROUND(IF(AND(ISNUMBER(INDEX(eq_hours,118)),N(INDEX(eq_hours,118))&gt;0,N(INDEX(eq_hours,118))&lt;=24),INDEX(eq_hours,118),0)*IF(p_days="7 jours sur 7",p_to-MAX(p_from,N(INDEX(eq_start,118)))+1,NETWORKDAYS.INTL(MAX(p_from,N(INDEX(eq_start,118))),p_to,p_weekend,p_holidays)),2)))</f>
        <v/>
      </c>
      <c r="E129" s="128" t="str">
        <f>IF(A129="","",SUMIFS(in_stop,in_eq,A129,in_done,1,in_dnum,"&gt;="&amp;p_from,in_dnum,"&lt;="&amp;p_to))</f>
        <v/>
      </c>
      <c r="F129" s="129" t="str">
        <f>IF(A129="","",COUNTIFS(in_eq,A129,in_type,"Correctif",in_done,1,in_dnum,"&gt;="&amp;p_from,in_dnum,"&lt;="&amp;p_to))</f>
        <v/>
      </c>
      <c r="G129" s="130" t="str">
        <f>IF(OR(A129="",N(F129)=0),"",MAX(0,D129-E129)/F129)</f>
        <v/>
      </c>
      <c r="H129" s="81" t="str">
        <f>IF(OR(A129="",N(F129)=0),"",S129/F129)</f>
        <v/>
      </c>
      <c r="I129" s="81" t="str">
        <f>IF(OR(A129="",N(F129)=0),"",T129/F129)</f>
        <v/>
      </c>
      <c r="J129" s="131" t="str">
        <f>IF(OR(A129="",N(D129)=0),"",MAX(0,D129-E129)/D129)</f>
        <v/>
      </c>
      <c r="K129" s="128" t="str">
        <f>IF(A129="","",SUMIFS(in_work,in_eq,A129,in_type,"Préventif",in_done,1,in_dnum,"&gt;="&amp;p_from,in_dnum,"&lt;="&amp;p_to))</f>
        <v/>
      </c>
      <c r="L129" s="128" t="str">
        <f>IF(A129="","",SUMIFS(in_work,in_eq,A129,in_type,"Correctif",in_done,1,in_dnum,"&gt;="&amp;p_from,in_dnum,"&lt;="&amp;p_to))</f>
        <v/>
      </c>
      <c r="M129" s="128" t="str">
        <f>IF(A129="","",SUMIFS(in_work,in_eq,A129,in_type,"Amélioratif",in_done,1,in_dnum,"&gt;="&amp;p_from,in_dnum,"&lt;="&amp;p_to))</f>
        <v/>
      </c>
      <c r="N129" s="131" t="str">
        <f>IF(OR(A129="",N(K129)+N(L129)+N(M129)=0),"",K129/(K129+L129+M129))</f>
        <v/>
      </c>
      <c r="O129" s="81" t="str">
        <f>IF(A129="","",SUMIFS(in_parts,in_eq,A129,in_done,1,in_dnum,"&gt;="&amp;p_from,in_dnum,"&lt;="&amp;p_to))</f>
        <v/>
      </c>
      <c r="P129" s="81" t="str">
        <f>IF(A129="","",SUMIFS(in_mo,in_eq,A129,in_done,1,in_dnum,"&gt;="&amp;p_from,in_dnum,"&lt;="&amp;p_to))</f>
        <v/>
      </c>
      <c r="Q129" s="81" t="str">
        <f>IF(A129="","",SUMIFS(in_other,in_eq,A129,in_done,1,in_dnum,"&gt;="&amp;p_from,in_dnum,"&lt;="&amp;p_to))</f>
        <v/>
      </c>
      <c r="R129" s="81" t="str">
        <f>IF(A129="","",SUMIFS(in_total,in_eq,A129,in_done,1,in_dnum,"&gt;="&amp;p_from,in_dnum,"&lt;="&amp;p_to))</f>
        <v/>
      </c>
      <c r="S129" s="67" t="str">
        <f>IF(A129="","",SUMIFS(in_work,in_eq,A129,in_type,"Correctif",in_done,1,in_dnum,"&gt;="&amp;p_from,in_dnum,"&lt;="&amp;p_to))</f>
        <v/>
      </c>
      <c r="T129" s="67" t="str">
        <f>IF(A129="","",SUMIFS(in_stop,in_eq,A129,in_type,"Correctif",in_done,1,in_dnum,"&gt;="&amp;p_from,in_dnum,"&lt;="&amp;p_to))</f>
        <v/>
      </c>
    </row>
    <row r="130">
      <c r="A130" s="67" t="str">
        <f>IF(INDEX(eq_code,119)="","",INDEX(eq_code,119)&amp;"")</f>
        <v/>
      </c>
      <c r="B130" s="67" t="str">
        <f>IF(A130="","",INDEX(eq_des,119)&amp;"")</f>
        <v/>
      </c>
      <c r="C130" s="79" t="str">
        <f>IF(A130="","",INDEX(eq_crit,119)&amp;"")</f>
        <v/>
      </c>
      <c r="D130" s="127" t="str">
        <f>IF(A130="","",IF(MAX(p_from,N(INDEX(eq_start,119)))&gt;p_to,0,ROUND(IF(AND(ISNUMBER(INDEX(eq_hours,119)),N(INDEX(eq_hours,119))&gt;0,N(INDEX(eq_hours,119))&lt;=24),INDEX(eq_hours,119),0)*IF(p_days="7 jours sur 7",p_to-MAX(p_from,N(INDEX(eq_start,119)))+1,NETWORKDAYS.INTL(MAX(p_from,N(INDEX(eq_start,119))),p_to,p_weekend,p_holidays)),2)))</f>
        <v/>
      </c>
      <c r="E130" s="128" t="str">
        <f>IF(A130="","",SUMIFS(in_stop,in_eq,A130,in_done,1,in_dnum,"&gt;="&amp;p_from,in_dnum,"&lt;="&amp;p_to))</f>
        <v/>
      </c>
      <c r="F130" s="129" t="str">
        <f>IF(A130="","",COUNTIFS(in_eq,A130,in_type,"Correctif",in_done,1,in_dnum,"&gt;="&amp;p_from,in_dnum,"&lt;="&amp;p_to))</f>
        <v/>
      </c>
      <c r="G130" s="130" t="str">
        <f>IF(OR(A130="",N(F130)=0),"",MAX(0,D130-E130)/F130)</f>
        <v/>
      </c>
      <c r="H130" s="81" t="str">
        <f>IF(OR(A130="",N(F130)=0),"",S130/F130)</f>
        <v/>
      </c>
      <c r="I130" s="81" t="str">
        <f>IF(OR(A130="",N(F130)=0),"",T130/F130)</f>
        <v/>
      </c>
      <c r="J130" s="131" t="str">
        <f>IF(OR(A130="",N(D130)=0),"",MAX(0,D130-E130)/D130)</f>
        <v/>
      </c>
      <c r="K130" s="128" t="str">
        <f>IF(A130="","",SUMIFS(in_work,in_eq,A130,in_type,"Préventif",in_done,1,in_dnum,"&gt;="&amp;p_from,in_dnum,"&lt;="&amp;p_to))</f>
        <v/>
      </c>
      <c r="L130" s="128" t="str">
        <f>IF(A130="","",SUMIFS(in_work,in_eq,A130,in_type,"Correctif",in_done,1,in_dnum,"&gt;="&amp;p_from,in_dnum,"&lt;="&amp;p_to))</f>
        <v/>
      </c>
      <c r="M130" s="128" t="str">
        <f>IF(A130="","",SUMIFS(in_work,in_eq,A130,in_type,"Amélioratif",in_done,1,in_dnum,"&gt;="&amp;p_from,in_dnum,"&lt;="&amp;p_to))</f>
        <v/>
      </c>
      <c r="N130" s="131" t="str">
        <f>IF(OR(A130="",N(K130)+N(L130)+N(M130)=0),"",K130/(K130+L130+M130))</f>
        <v/>
      </c>
      <c r="O130" s="81" t="str">
        <f>IF(A130="","",SUMIFS(in_parts,in_eq,A130,in_done,1,in_dnum,"&gt;="&amp;p_from,in_dnum,"&lt;="&amp;p_to))</f>
        <v/>
      </c>
      <c r="P130" s="81" t="str">
        <f>IF(A130="","",SUMIFS(in_mo,in_eq,A130,in_done,1,in_dnum,"&gt;="&amp;p_from,in_dnum,"&lt;="&amp;p_to))</f>
        <v/>
      </c>
      <c r="Q130" s="81" t="str">
        <f>IF(A130="","",SUMIFS(in_other,in_eq,A130,in_done,1,in_dnum,"&gt;="&amp;p_from,in_dnum,"&lt;="&amp;p_to))</f>
        <v/>
      </c>
      <c r="R130" s="81" t="str">
        <f>IF(A130="","",SUMIFS(in_total,in_eq,A130,in_done,1,in_dnum,"&gt;="&amp;p_from,in_dnum,"&lt;="&amp;p_to))</f>
        <v/>
      </c>
      <c r="S130" s="67" t="str">
        <f>IF(A130="","",SUMIFS(in_work,in_eq,A130,in_type,"Correctif",in_done,1,in_dnum,"&gt;="&amp;p_from,in_dnum,"&lt;="&amp;p_to))</f>
        <v/>
      </c>
      <c r="T130" s="67" t="str">
        <f>IF(A130="","",SUMIFS(in_stop,in_eq,A130,in_type,"Correctif",in_done,1,in_dnum,"&gt;="&amp;p_from,in_dnum,"&lt;="&amp;p_to))</f>
        <v/>
      </c>
    </row>
    <row r="131">
      <c r="A131" s="67" t="str">
        <f>IF(INDEX(eq_code,120)="","",INDEX(eq_code,120)&amp;"")</f>
        <v/>
      </c>
      <c r="B131" s="67" t="str">
        <f>IF(A131="","",INDEX(eq_des,120)&amp;"")</f>
        <v/>
      </c>
      <c r="C131" s="79" t="str">
        <f>IF(A131="","",INDEX(eq_crit,120)&amp;"")</f>
        <v/>
      </c>
      <c r="D131" s="127" t="str">
        <f>IF(A131="","",IF(MAX(p_from,N(INDEX(eq_start,120)))&gt;p_to,0,ROUND(IF(AND(ISNUMBER(INDEX(eq_hours,120)),N(INDEX(eq_hours,120))&gt;0,N(INDEX(eq_hours,120))&lt;=24),INDEX(eq_hours,120),0)*IF(p_days="7 jours sur 7",p_to-MAX(p_from,N(INDEX(eq_start,120)))+1,NETWORKDAYS.INTL(MAX(p_from,N(INDEX(eq_start,120))),p_to,p_weekend,p_holidays)),2)))</f>
        <v/>
      </c>
      <c r="E131" s="128" t="str">
        <f>IF(A131="","",SUMIFS(in_stop,in_eq,A131,in_done,1,in_dnum,"&gt;="&amp;p_from,in_dnum,"&lt;="&amp;p_to))</f>
        <v/>
      </c>
      <c r="F131" s="129" t="str">
        <f>IF(A131="","",COUNTIFS(in_eq,A131,in_type,"Correctif",in_done,1,in_dnum,"&gt;="&amp;p_from,in_dnum,"&lt;="&amp;p_to))</f>
        <v/>
      </c>
      <c r="G131" s="130" t="str">
        <f>IF(OR(A131="",N(F131)=0),"",MAX(0,D131-E131)/F131)</f>
        <v/>
      </c>
      <c r="H131" s="81" t="str">
        <f>IF(OR(A131="",N(F131)=0),"",S131/F131)</f>
        <v/>
      </c>
      <c r="I131" s="81" t="str">
        <f>IF(OR(A131="",N(F131)=0),"",T131/F131)</f>
        <v/>
      </c>
      <c r="J131" s="131" t="str">
        <f>IF(OR(A131="",N(D131)=0),"",MAX(0,D131-E131)/D131)</f>
        <v/>
      </c>
      <c r="K131" s="128" t="str">
        <f>IF(A131="","",SUMIFS(in_work,in_eq,A131,in_type,"Préventif",in_done,1,in_dnum,"&gt;="&amp;p_from,in_dnum,"&lt;="&amp;p_to))</f>
        <v/>
      </c>
      <c r="L131" s="128" t="str">
        <f>IF(A131="","",SUMIFS(in_work,in_eq,A131,in_type,"Correctif",in_done,1,in_dnum,"&gt;="&amp;p_from,in_dnum,"&lt;="&amp;p_to))</f>
        <v/>
      </c>
      <c r="M131" s="128" t="str">
        <f>IF(A131="","",SUMIFS(in_work,in_eq,A131,in_type,"Amélioratif",in_done,1,in_dnum,"&gt;="&amp;p_from,in_dnum,"&lt;="&amp;p_to))</f>
        <v/>
      </c>
      <c r="N131" s="131" t="str">
        <f>IF(OR(A131="",N(K131)+N(L131)+N(M131)=0),"",K131/(K131+L131+M131))</f>
        <v/>
      </c>
      <c r="O131" s="81" t="str">
        <f>IF(A131="","",SUMIFS(in_parts,in_eq,A131,in_done,1,in_dnum,"&gt;="&amp;p_from,in_dnum,"&lt;="&amp;p_to))</f>
        <v/>
      </c>
      <c r="P131" s="81" t="str">
        <f>IF(A131="","",SUMIFS(in_mo,in_eq,A131,in_done,1,in_dnum,"&gt;="&amp;p_from,in_dnum,"&lt;="&amp;p_to))</f>
        <v/>
      </c>
      <c r="Q131" s="81" t="str">
        <f>IF(A131="","",SUMIFS(in_other,in_eq,A131,in_done,1,in_dnum,"&gt;="&amp;p_from,in_dnum,"&lt;="&amp;p_to))</f>
        <v/>
      </c>
      <c r="R131" s="81" t="str">
        <f>IF(A131="","",SUMIFS(in_total,in_eq,A131,in_done,1,in_dnum,"&gt;="&amp;p_from,in_dnum,"&lt;="&amp;p_to))</f>
        <v/>
      </c>
      <c r="S131" s="67" t="str">
        <f>IF(A131="","",SUMIFS(in_work,in_eq,A131,in_type,"Correctif",in_done,1,in_dnum,"&gt;="&amp;p_from,in_dnum,"&lt;="&amp;p_to))</f>
        <v/>
      </c>
      <c r="T131" s="67" t="str">
        <f>IF(A131="","",SUMIFS(in_stop,in_eq,A131,in_type,"Correctif",in_done,1,in_dnum,"&gt;="&amp;p_from,in_dnum,"&lt;="&amp;p_to))</f>
        <v/>
      </c>
    </row>
    <row r="132">
      <c r="A132" s="67" t="str">
        <f>IF(INDEX(eq_code,121)="","",INDEX(eq_code,121)&amp;"")</f>
        <v/>
      </c>
      <c r="B132" s="67" t="str">
        <f>IF(A132="","",INDEX(eq_des,121)&amp;"")</f>
        <v/>
      </c>
      <c r="C132" s="79" t="str">
        <f>IF(A132="","",INDEX(eq_crit,121)&amp;"")</f>
        <v/>
      </c>
      <c r="D132" s="127" t="str">
        <f>IF(A132="","",IF(MAX(p_from,N(INDEX(eq_start,121)))&gt;p_to,0,ROUND(IF(AND(ISNUMBER(INDEX(eq_hours,121)),N(INDEX(eq_hours,121))&gt;0,N(INDEX(eq_hours,121))&lt;=24),INDEX(eq_hours,121),0)*IF(p_days="7 jours sur 7",p_to-MAX(p_from,N(INDEX(eq_start,121)))+1,NETWORKDAYS.INTL(MAX(p_from,N(INDEX(eq_start,121))),p_to,p_weekend,p_holidays)),2)))</f>
        <v/>
      </c>
      <c r="E132" s="128" t="str">
        <f>IF(A132="","",SUMIFS(in_stop,in_eq,A132,in_done,1,in_dnum,"&gt;="&amp;p_from,in_dnum,"&lt;="&amp;p_to))</f>
        <v/>
      </c>
      <c r="F132" s="129" t="str">
        <f>IF(A132="","",COUNTIFS(in_eq,A132,in_type,"Correctif",in_done,1,in_dnum,"&gt;="&amp;p_from,in_dnum,"&lt;="&amp;p_to))</f>
        <v/>
      </c>
      <c r="G132" s="130" t="str">
        <f>IF(OR(A132="",N(F132)=0),"",MAX(0,D132-E132)/F132)</f>
        <v/>
      </c>
      <c r="H132" s="81" t="str">
        <f>IF(OR(A132="",N(F132)=0),"",S132/F132)</f>
        <v/>
      </c>
      <c r="I132" s="81" t="str">
        <f>IF(OR(A132="",N(F132)=0),"",T132/F132)</f>
        <v/>
      </c>
      <c r="J132" s="131" t="str">
        <f>IF(OR(A132="",N(D132)=0),"",MAX(0,D132-E132)/D132)</f>
        <v/>
      </c>
      <c r="K132" s="128" t="str">
        <f>IF(A132="","",SUMIFS(in_work,in_eq,A132,in_type,"Préventif",in_done,1,in_dnum,"&gt;="&amp;p_from,in_dnum,"&lt;="&amp;p_to))</f>
        <v/>
      </c>
      <c r="L132" s="128" t="str">
        <f>IF(A132="","",SUMIFS(in_work,in_eq,A132,in_type,"Correctif",in_done,1,in_dnum,"&gt;="&amp;p_from,in_dnum,"&lt;="&amp;p_to))</f>
        <v/>
      </c>
      <c r="M132" s="128" t="str">
        <f>IF(A132="","",SUMIFS(in_work,in_eq,A132,in_type,"Amélioratif",in_done,1,in_dnum,"&gt;="&amp;p_from,in_dnum,"&lt;="&amp;p_to))</f>
        <v/>
      </c>
      <c r="N132" s="131" t="str">
        <f>IF(OR(A132="",N(K132)+N(L132)+N(M132)=0),"",K132/(K132+L132+M132))</f>
        <v/>
      </c>
      <c r="O132" s="81" t="str">
        <f>IF(A132="","",SUMIFS(in_parts,in_eq,A132,in_done,1,in_dnum,"&gt;="&amp;p_from,in_dnum,"&lt;="&amp;p_to))</f>
        <v/>
      </c>
      <c r="P132" s="81" t="str">
        <f>IF(A132="","",SUMIFS(in_mo,in_eq,A132,in_done,1,in_dnum,"&gt;="&amp;p_from,in_dnum,"&lt;="&amp;p_to))</f>
        <v/>
      </c>
      <c r="Q132" s="81" t="str">
        <f>IF(A132="","",SUMIFS(in_other,in_eq,A132,in_done,1,in_dnum,"&gt;="&amp;p_from,in_dnum,"&lt;="&amp;p_to))</f>
        <v/>
      </c>
      <c r="R132" s="81" t="str">
        <f>IF(A132="","",SUMIFS(in_total,in_eq,A132,in_done,1,in_dnum,"&gt;="&amp;p_from,in_dnum,"&lt;="&amp;p_to))</f>
        <v/>
      </c>
      <c r="S132" s="67" t="str">
        <f>IF(A132="","",SUMIFS(in_work,in_eq,A132,in_type,"Correctif",in_done,1,in_dnum,"&gt;="&amp;p_from,in_dnum,"&lt;="&amp;p_to))</f>
        <v/>
      </c>
      <c r="T132" s="67" t="str">
        <f>IF(A132="","",SUMIFS(in_stop,in_eq,A132,in_type,"Correctif",in_done,1,in_dnum,"&gt;="&amp;p_from,in_dnum,"&lt;="&amp;p_to))</f>
        <v/>
      </c>
    </row>
    <row r="133">
      <c r="A133" s="67" t="str">
        <f>IF(INDEX(eq_code,122)="","",INDEX(eq_code,122)&amp;"")</f>
        <v/>
      </c>
      <c r="B133" s="67" t="str">
        <f>IF(A133="","",INDEX(eq_des,122)&amp;"")</f>
        <v/>
      </c>
      <c r="C133" s="79" t="str">
        <f>IF(A133="","",INDEX(eq_crit,122)&amp;"")</f>
        <v/>
      </c>
      <c r="D133" s="127" t="str">
        <f>IF(A133="","",IF(MAX(p_from,N(INDEX(eq_start,122)))&gt;p_to,0,ROUND(IF(AND(ISNUMBER(INDEX(eq_hours,122)),N(INDEX(eq_hours,122))&gt;0,N(INDEX(eq_hours,122))&lt;=24),INDEX(eq_hours,122),0)*IF(p_days="7 jours sur 7",p_to-MAX(p_from,N(INDEX(eq_start,122)))+1,NETWORKDAYS.INTL(MAX(p_from,N(INDEX(eq_start,122))),p_to,p_weekend,p_holidays)),2)))</f>
        <v/>
      </c>
      <c r="E133" s="128" t="str">
        <f>IF(A133="","",SUMIFS(in_stop,in_eq,A133,in_done,1,in_dnum,"&gt;="&amp;p_from,in_dnum,"&lt;="&amp;p_to))</f>
        <v/>
      </c>
      <c r="F133" s="129" t="str">
        <f>IF(A133="","",COUNTIFS(in_eq,A133,in_type,"Correctif",in_done,1,in_dnum,"&gt;="&amp;p_from,in_dnum,"&lt;="&amp;p_to))</f>
        <v/>
      </c>
      <c r="G133" s="130" t="str">
        <f>IF(OR(A133="",N(F133)=0),"",MAX(0,D133-E133)/F133)</f>
        <v/>
      </c>
      <c r="H133" s="81" t="str">
        <f>IF(OR(A133="",N(F133)=0),"",S133/F133)</f>
        <v/>
      </c>
      <c r="I133" s="81" t="str">
        <f>IF(OR(A133="",N(F133)=0),"",T133/F133)</f>
        <v/>
      </c>
      <c r="J133" s="131" t="str">
        <f>IF(OR(A133="",N(D133)=0),"",MAX(0,D133-E133)/D133)</f>
        <v/>
      </c>
      <c r="K133" s="128" t="str">
        <f>IF(A133="","",SUMIFS(in_work,in_eq,A133,in_type,"Préventif",in_done,1,in_dnum,"&gt;="&amp;p_from,in_dnum,"&lt;="&amp;p_to))</f>
        <v/>
      </c>
      <c r="L133" s="128" t="str">
        <f>IF(A133="","",SUMIFS(in_work,in_eq,A133,in_type,"Correctif",in_done,1,in_dnum,"&gt;="&amp;p_from,in_dnum,"&lt;="&amp;p_to))</f>
        <v/>
      </c>
      <c r="M133" s="128" t="str">
        <f>IF(A133="","",SUMIFS(in_work,in_eq,A133,in_type,"Amélioratif",in_done,1,in_dnum,"&gt;="&amp;p_from,in_dnum,"&lt;="&amp;p_to))</f>
        <v/>
      </c>
      <c r="N133" s="131" t="str">
        <f>IF(OR(A133="",N(K133)+N(L133)+N(M133)=0),"",K133/(K133+L133+M133))</f>
        <v/>
      </c>
      <c r="O133" s="81" t="str">
        <f>IF(A133="","",SUMIFS(in_parts,in_eq,A133,in_done,1,in_dnum,"&gt;="&amp;p_from,in_dnum,"&lt;="&amp;p_to))</f>
        <v/>
      </c>
      <c r="P133" s="81" t="str">
        <f>IF(A133="","",SUMIFS(in_mo,in_eq,A133,in_done,1,in_dnum,"&gt;="&amp;p_from,in_dnum,"&lt;="&amp;p_to))</f>
        <v/>
      </c>
      <c r="Q133" s="81" t="str">
        <f>IF(A133="","",SUMIFS(in_other,in_eq,A133,in_done,1,in_dnum,"&gt;="&amp;p_from,in_dnum,"&lt;="&amp;p_to))</f>
        <v/>
      </c>
      <c r="R133" s="81" t="str">
        <f>IF(A133="","",SUMIFS(in_total,in_eq,A133,in_done,1,in_dnum,"&gt;="&amp;p_from,in_dnum,"&lt;="&amp;p_to))</f>
        <v/>
      </c>
      <c r="S133" s="67" t="str">
        <f>IF(A133="","",SUMIFS(in_work,in_eq,A133,in_type,"Correctif",in_done,1,in_dnum,"&gt;="&amp;p_from,in_dnum,"&lt;="&amp;p_to))</f>
        <v/>
      </c>
      <c r="T133" s="67" t="str">
        <f>IF(A133="","",SUMIFS(in_stop,in_eq,A133,in_type,"Correctif",in_done,1,in_dnum,"&gt;="&amp;p_from,in_dnum,"&lt;="&amp;p_to))</f>
        <v/>
      </c>
    </row>
    <row r="134">
      <c r="A134" s="67" t="str">
        <f>IF(INDEX(eq_code,123)="","",INDEX(eq_code,123)&amp;"")</f>
        <v/>
      </c>
      <c r="B134" s="67" t="str">
        <f>IF(A134="","",INDEX(eq_des,123)&amp;"")</f>
        <v/>
      </c>
      <c r="C134" s="79" t="str">
        <f>IF(A134="","",INDEX(eq_crit,123)&amp;"")</f>
        <v/>
      </c>
      <c r="D134" s="127" t="str">
        <f>IF(A134="","",IF(MAX(p_from,N(INDEX(eq_start,123)))&gt;p_to,0,ROUND(IF(AND(ISNUMBER(INDEX(eq_hours,123)),N(INDEX(eq_hours,123))&gt;0,N(INDEX(eq_hours,123))&lt;=24),INDEX(eq_hours,123),0)*IF(p_days="7 jours sur 7",p_to-MAX(p_from,N(INDEX(eq_start,123)))+1,NETWORKDAYS.INTL(MAX(p_from,N(INDEX(eq_start,123))),p_to,p_weekend,p_holidays)),2)))</f>
        <v/>
      </c>
      <c r="E134" s="128" t="str">
        <f>IF(A134="","",SUMIFS(in_stop,in_eq,A134,in_done,1,in_dnum,"&gt;="&amp;p_from,in_dnum,"&lt;="&amp;p_to))</f>
        <v/>
      </c>
      <c r="F134" s="129" t="str">
        <f>IF(A134="","",COUNTIFS(in_eq,A134,in_type,"Correctif",in_done,1,in_dnum,"&gt;="&amp;p_from,in_dnum,"&lt;="&amp;p_to))</f>
        <v/>
      </c>
      <c r="G134" s="130" t="str">
        <f>IF(OR(A134="",N(F134)=0),"",MAX(0,D134-E134)/F134)</f>
        <v/>
      </c>
      <c r="H134" s="81" t="str">
        <f>IF(OR(A134="",N(F134)=0),"",S134/F134)</f>
        <v/>
      </c>
      <c r="I134" s="81" t="str">
        <f>IF(OR(A134="",N(F134)=0),"",T134/F134)</f>
        <v/>
      </c>
      <c r="J134" s="131" t="str">
        <f>IF(OR(A134="",N(D134)=0),"",MAX(0,D134-E134)/D134)</f>
        <v/>
      </c>
      <c r="K134" s="128" t="str">
        <f>IF(A134="","",SUMIFS(in_work,in_eq,A134,in_type,"Préventif",in_done,1,in_dnum,"&gt;="&amp;p_from,in_dnum,"&lt;="&amp;p_to))</f>
        <v/>
      </c>
      <c r="L134" s="128" t="str">
        <f>IF(A134="","",SUMIFS(in_work,in_eq,A134,in_type,"Correctif",in_done,1,in_dnum,"&gt;="&amp;p_from,in_dnum,"&lt;="&amp;p_to))</f>
        <v/>
      </c>
      <c r="M134" s="128" t="str">
        <f>IF(A134="","",SUMIFS(in_work,in_eq,A134,in_type,"Amélioratif",in_done,1,in_dnum,"&gt;="&amp;p_from,in_dnum,"&lt;="&amp;p_to))</f>
        <v/>
      </c>
      <c r="N134" s="131" t="str">
        <f>IF(OR(A134="",N(K134)+N(L134)+N(M134)=0),"",K134/(K134+L134+M134))</f>
        <v/>
      </c>
      <c r="O134" s="81" t="str">
        <f>IF(A134="","",SUMIFS(in_parts,in_eq,A134,in_done,1,in_dnum,"&gt;="&amp;p_from,in_dnum,"&lt;="&amp;p_to))</f>
        <v/>
      </c>
      <c r="P134" s="81" t="str">
        <f>IF(A134="","",SUMIFS(in_mo,in_eq,A134,in_done,1,in_dnum,"&gt;="&amp;p_from,in_dnum,"&lt;="&amp;p_to))</f>
        <v/>
      </c>
      <c r="Q134" s="81" t="str">
        <f>IF(A134="","",SUMIFS(in_other,in_eq,A134,in_done,1,in_dnum,"&gt;="&amp;p_from,in_dnum,"&lt;="&amp;p_to))</f>
        <v/>
      </c>
      <c r="R134" s="81" t="str">
        <f>IF(A134="","",SUMIFS(in_total,in_eq,A134,in_done,1,in_dnum,"&gt;="&amp;p_from,in_dnum,"&lt;="&amp;p_to))</f>
        <v/>
      </c>
      <c r="S134" s="67" t="str">
        <f>IF(A134="","",SUMIFS(in_work,in_eq,A134,in_type,"Correctif",in_done,1,in_dnum,"&gt;="&amp;p_from,in_dnum,"&lt;="&amp;p_to))</f>
        <v/>
      </c>
      <c r="T134" s="67" t="str">
        <f>IF(A134="","",SUMIFS(in_stop,in_eq,A134,in_type,"Correctif",in_done,1,in_dnum,"&gt;="&amp;p_from,in_dnum,"&lt;="&amp;p_to))</f>
        <v/>
      </c>
    </row>
    <row r="135">
      <c r="A135" s="67" t="str">
        <f>IF(INDEX(eq_code,124)="","",INDEX(eq_code,124)&amp;"")</f>
        <v/>
      </c>
      <c r="B135" s="67" t="str">
        <f>IF(A135="","",INDEX(eq_des,124)&amp;"")</f>
        <v/>
      </c>
      <c r="C135" s="79" t="str">
        <f>IF(A135="","",INDEX(eq_crit,124)&amp;"")</f>
        <v/>
      </c>
      <c r="D135" s="127" t="str">
        <f>IF(A135="","",IF(MAX(p_from,N(INDEX(eq_start,124)))&gt;p_to,0,ROUND(IF(AND(ISNUMBER(INDEX(eq_hours,124)),N(INDEX(eq_hours,124))&gt;0,N(INDEX(eq_hours,124))&lt;=24),INDEX(eq_hours,124),0)*IF(p_days="7 jours sur 7",p_to-MAX(p_from,N(INDEX(eq_start,124)))+1,NETWORKDAYS.INTL(MAX(p_from,N(INDEX(eq_start,124))),p_to,p_weekend,p_holidays)),2)))</f>
        <v/>
      </c>
      <c r="E135" s="128" t="str">
        <f>IF(A135="","",SUMIFS(in_stop,in_eq,A135,in_done,1,in_dnum,"&gt;="&amp;p_from,in_dnum,"&lt;="&amp;p_to))</f>
        <v/>
      </c>
      <c r="F135" s="129" t="str">
        <f>IF(A135="","",COUNTIFS(in_eq,A135,in_type,"Correctif",in_done,1,in_dnum,"&gt;="&amp;p_from,in_dnum,"&lt;="&amp;p_to))</f>
        <v/>
      </c>
      <c r="G135" s="130" t="str">
        <f>IF(OR(A135="",N(F135)=0),"",MAX(0,D135-E135)/F135)</f>
        <v/>
      </c>
      <c r="H135" s="81" t="str">
        <f>IF(OR(A135="",N(F135)=0),"",S135/F135)</f>
        <v/>
      </c>
      <c r="I135" s="81" t="str">
        <f>IF(OR(A135="",N(F135)=0),"",T135/F135)</f>
        <v/>
      </c>
      <c r="J135" s="131" t="str">
        <f>IF(OR(A135="",N(D135)=0),"",MAX(0,D135-E135)/D135)</f>
        <v/>
      </c>
      <c r="K135" s="128" t="str">
        <f>IF(A135="","",SUMIFS(in_work,in_eq,A135,in_type,"Préventif",in_done,1,in_dnum,"&gt;="&amp;p_from,in_dnum,"&lt;="&amp;p_to))</f>
        <v/>
      </c>
      <c r="L135" s="128" t="str">
        <f>IF(A135="","",SUMIFS(in_work,in_eq,A135,in_type,"Correctif",in_done,1,in_dnum,"&gt;="&amp;p_from,in_dnum,"&lt;="&amp;p_to))</f>
        <v/>
      </c>
      <c r="M135" s="128" t="str">
        <f>IF(A135="","",SUMIFS(in_work,in_eq,A135,in_type,"Amélioratif",in_done,1,in_dnum,"&gt;="&amp;p_from,in_dnum,"&lt;="&amp;p_to))</f>
        <v/>
      </c>
      <c r="N135" s="131" t="str">
        <f>IF(OR(A135="",N(K135)+N(L135)+N(M135)=0),"",K135/(K135+L135+M135))</f>
        <v/>
      </c>
      <c r="O135" s="81" t="str">
        <f>IF(A135="","",SUMIFS(in_parts,in_eq,A135,in_done,1,in_dnum,"&gt;="&amp;p_from,in_dnum,"&lt;="&amp;p_to))</f>
        <v/>
      </c>
      <c r="P135" s="81" t="str">
        <f>IF(A135="","",SUMIFS(in_mo,in_eq,A135,in_done,1,in_dnum,"&gt;="&amp;p_from,in_dnum,"&lt;="&amp;p_to))</f>
        <v/>
      </c>
      <c r="Q135" s="81" t="str">
        <f>IF(A135="","",SUMIFS(in_other,in_eq,A135,in_done,1,in_dnum,"&gt;="&amp;p_from,in_dnum,"&lt;="&amp;p_to))</f>
        <v/>
      </c>
      <c r="R135" s="81" t="str">
        <f>IF(A135="","",SUMIFS(in_total,in_eq,A135,in_done,1,in_dnum,"&gt;="&amp;p_from,in_dnum,"&lt;="&amp;p_to))</f>
        <v/>
      </c>
      <c r="S135" s="67" t="str">
        <f>IF(A135="","",SUMIFS(in_work,in_eq,A135,in_type,"Correctif",in_done,1,in_dnum,"&gt;="&amp;p_from,in_dnum,"&lt;="&amp;p_to))</f>
        <v/>
      </c>
      <c r="T135" s="67" t="str">
        <f>IF(A135="","",SUMIFS(in_stop,in_eq,A135,in_type,"Correctif",in_done,1,in_dnum,"&gt;="&amp;p_from,in_dnum,"&lt;="&amp;p_to))</f>
        <v/>
      </c>
    </row>
    <row r="136">
      <c r="A136" s="67" t="str">
        <f>IF(INDEX(eq_code,125)="","",INDEX(eq_code,125)&amp;"")</f>
        <v/>
      </c>
      <c r="B136" s="67" t="str">
        <f>IF(A136="","",INDEX(eq_des,125)&amp;"")</f>
        <v/>
      </c>
      <c r="C136" s="79" t="str">
        <f>IF(A136="","",INDEX(eq_crit,125)&amp;"")</f>
        <v/>
      </c>
      <c r="D136" s="127" t="str">
        <f>IF(A136="","",IF(MAX(p_from,N(INDEX(eq_start,125)))&gt;p_to,0,ROUND(IF(AND(ISNUMBER(INDEX(eq_hours,125)),N(INDEX(eq_hours,125))&gt;0,N(INDEX(eq_hours,125))&lt;=24),INDEX(eq_hours,125),0)*IF(p_days="7 jours sur 7",p_to-MAX(p_from,N(INDEX(eq_start,125)))+1,NETWORKDAYS.INTL(MAX(p_from,N(INDEX(eq_start,125))),p_to,p_weekend,p_holidays)),2)))</f>
        <v/>
      </c>
      <c r="E136" s="128" t="str">
        <f>IF(A136="","",SUMIFS(in_stop,in_eq,A136,in_done,1,in_dnum,"&gt;="&amp;p_from,in_dnum,"&lt;="&amp;p_to))</f>
        <v/>
      </c>
      <c r="F136" s="129" t="str">
        <f>IF(A136="","",COUNTIFS(in_eq,A136,in_type,"Correctif",in_done,1,in_dnum,"&gt;="&amp;p_from,in_dnum,"&lt;="&amp;p_to))</f>
        <v/>
      </c>
      <c r="G136" s="130" t="str">
        <f>IF(OR(A136="",N(F136)=0),"",MAX(0,D136-E136)/F136)</f>
        <v/>
      </c>
      <c r="H136" s="81" t="str">
        <f>IF(OR(A136="",N(F136)=0),"",S136/F136)</f>
        <v/>
      </c>
      <c r="I136" s="81" t="str">
        <f>IF(OR(A136="",N(F136)=0),"",T136/F136)</f>
        <v/>
      </c>
      <c r="J136" s="131" t="str">
        <f>IF(OR(A136="",N(D136)=0),"",MAX(0,D136-E136)/D136)</f>
        <v/>
      </c>
      <c r="K136" s="128" t="str">
        <f>IF(A136="","",SUMIFS(in_work,in_eq,A136,in_type,"Préventif",in_done,1,in_dnum,"&gt;="&amp;p_from,in_dnum,"&lt;="&amp;p_to))</f>
        <v/>
      </c>
      <c r="L136" s="128" t="str">
        <f>IF(A136="","",SUMIFS(in_work,in_eq,A136,in_type,"Correctif",in_done,1,in_dnum,"&gt;="&amp;p_from,in_dnum,"&lt;="&amp;p_to))</f>
        <v/>
      </c>
      <c r="M136" s="128" t="str">
        <f>IF(A136="","",SUMIFS(in_work,in_eq,A136,in_type,"Amélioratif",in_done,1,in_dnum,"&gt;="&amp;p_from,in_dnum,"&lt;="&amp;p_to))</f>
        <v/>
      </c>
      <c r="N136" s="131" t="str">
        <f>IF(OR(A136="",N(K136)+N(L136)+N(M136)=0),"",K136/(K136+L136+M136))</f>
        <v/>
      </c>
      <c r="O136" s="81" t="str">
        <f>IF(A136="","",SUMIFS(in_parts,in_eq,A136,in_done,1,in_dnum,"&gt;="&amp;p_from,in_dnum,"&lt;="&amp;p_to))</f>
        <v/>
      </c>
      <c r="P136" s="81" t="str">
        <f>IF(A136="","",SUMIFS(in_mo,in_eq,A136,in_done,1,in_dnum,"&gt;="&amp;p_from,in_dnum,"&lt;="&amp;p_to))</f>
        <v/>
      </c>
      <c r="Q136" s="81" t="str">
        <f>IF(A136="","",SUMIFS(in_other,in_eq,A136,in_done,1,in_dnum,"&gt;="&amp;p_from,in_dnum,"&lt;="&amp;p_to))</f>
        <v/>
      </c>
      <c r="R136" s="81" t="str">
        <f>IF(A136="","",SUMIFS(in_total,in_eq,A136,in_done,1,in_dnum,"&gt;="&amp;p_from,in_dnum,"&lt;="&amp;p_to))</f>
        <v/>
      </c>
      <c r="S136" s="67" t="str">
        <f>IF(A136="","",SUMIFS(in_work,in_eq,A136,in_type,"Correctif",in_done,1,in_dnum,"&gt;="&amp;p_from,in_dnum,"&lt;="&amp;p_to))</f>
        <v/>
      </c>
      <c r="T136" s="67" t="str">
        <f>IF(A136="","",SUMIFS(in_stop,in_eq,A136,in_type,"Correctif",in_done,1,in_dnum,"&gt;="&amp;p_from,in_dnum,"&lt;="&amp;p_to))</f>
        <v/>
      </c>
    </row>
    <row r="137">
      <c r="A137" s="67" t="str">
        <f>IF(INDEX(eq_code,126)="","",INDEX(eq_code,126)&amp;"")</f>
        <v/>
      </c>
      <c r="B137" s="67" t="str">
        <f>IF(A137="","",INDEX(eq_des,126)&amp;"")</f>
        <v/>
      </c>
      <c r="C137" s="79" t="str">
        <f>IF(A137="","",INDEX(eq_crit,126)&amp;"")</f>
        <v/>
      </c>
      <c r="D137" s="127" t="str">
        <f>IF(A137="","",IF(MAX(p_from,N(INDEX(eq_start,126)))&gt;p_to,0,ROUND(IF(AND(ISNUMBER(INDEX(eq_hours,126)),N(INDEX(eq_hours,126))&gt;0,N(INDEX(eq_hours,126))&lt;=24),INDEX(eq_hours,126),0)*IF(p_days="7 jours sur 7",p_to-MAX(p_from,N(INDEX(eq_start,126)))+1,NETWORKDAYS.INTL(MAX(p_from,N(INDEX(eq_start,126))),p_to,p_weekend,p_holidays)),2)))</f>
        <v/>
      </c>
      <c r="E137" s="128" t="str">
        <f>IF(A137="","",SUMIFS(in_stop,in_eq,A137,in_done,1,in_dnum,"&gt;="&amp;p_from,in_dnum,"&lt;="&amp;p_to))</f>
        <v/>
      </c>
      <c r="F137" s="129" t="str">
        <f>IF(A137="","",COUNTIFS(in_eq,A137,in_type,"Correctif",in_done,1,in_dnum,"&gt;="&amp;p_from,in_dnum,"&lt;="&amp;p_to))</f>
        <v/>
      </c>
      <c r="G137" s="130" t="str">
        <f>IF(OR(A137="",N(F137)=0),"",MAX(0,D137-E137)/F137)</f>
        <v/>
      </c>
      <c r="H137" s="81" t="str">
        <f>IF(OR(A137="",N(F137)=0),"",S137/F137)</f>
        <v/>
      </c>
      <c r="I137" s="81" t="str">
        <f>IF(OR(A137="",N(F137)=0),"",T137/F137)</f>
        <v/>
      </c>
      <c r="J137" s="131" t="str">
        <f>IF(OR(A137="",N(D137)=0),"",MAX(0,D137-E137)/D137)</f>
        <v/>
      </c>
      <c r="K137" s="128" t="str">
        <f>IF(A137="","",SUMIFS(in_work,in_eq,A137,in_type,"Préventif",in_done,1,in_dnum,"&gt;="&amp;p_from,in_dnum,"&lt;="&amp;p_to))</f>
        <v/>
      </c>
      <c r="L137" s="128" t="str">
        <f>IF(A137="","",SUMIFS(in_work,in_eq,A137,in_type,"Correctif",in_done,1,in_dnum,"&gt;="&amp;p_from,in_dnum,"&lt;="&amp;p_to))</f>
        <v/>
      </c>
      <c r="M137" s="128" t="str">
        <f>IF(A137="","",SUMIFS(in_work,in_eq,A137,in_type,"Amélioratif",in_done,1,in_dnum,"&gt;="&amp;p_from,in_dnum,"&lt;="&amp;p_to))</f>
        <v/>
      </c>
      <c r="N137" s="131" t="str">
        <f>IF(OR(A137="",N(K137)+N(L137)+N(M137)=0),"",K137/(K137+L137+M137))</f>
        <v/>
      </c>
      <c r="O137" s="81" t="str">
        <f>IF(A137="","",SUMIFS(in_parts,in_eq,A137,in_done,1,in_dnum,"&gt;="&amp;p_from,in_dnum,"&lt;="&amp;p_to))</f>
        <v/>
      </c>
      <c r="P137" s="81" t="str">
        <f>IF(A137="","",SUMIFS(in_mo,in_eq,A137,in_done,1,in_dnum,"&gt;="&amp;p_from,in_dnum,"&lt;="&amp;p_to))</f>
        <v/>
      </c>
      <c r="Q137" s="81" t="str">
        <f>IF(A137="","",SUMIFS(in_other,in_eq,A137,in_done,1,in_dnum,"&gt;="&amp;p_from,in_dnum,"&lt;="&amp;p_to))</f>
        <v/>
      </c>
      <c r="R137" s="81" t="str">
        <f>IF(A137="","",SUMIFS(in_total,in_eq,A137,in_done,1,in_dnum,"&gt;="&amp;p_from,in_dnum,"&lt;="&amp;p_to))</f>
        <v/>
      </c>
      <c r="S137" s="67" t="str">
        <f>IF(A137="","",SUMIFS(in_work,in_eq,A137,in_type,"Correctif",in_done,1,in_dnum,"&gt;="&amp;p_from,in_dnum,"&lt;="&amp;p_to))</f>
        <v/>
      </c>
      <c r="T137" s="67" t="str">
        <f>IF(A137="","",SUMIFS(in_stop,in_eq,A137,in_type,"Correctif",in_done,1,in_dnum,"&gt;="&amp;p_from,in_dnum,"&lt;="&amp;p_to))</f>
        <v/>
      </c>
    </row>
    <row r="138">
      <c r="A138" s="67" t="str">
        <f>IF(INDEX(eq_code,127)="","",INDEX(eq_code,127)&amp;"")</f>
        <v/>
      </c>
      <c r="B138" s="67" t="str">
        <f>IF(A138="","",INDEX(eq_des,127)&amp;"")</f>
        <v/>
      </c>
      <c r="C138" s="79" t="str">
        <f>IF(A138="","",INDEX(eq_crit,127)&amp;"")</f>
        <v/>
      </c>
      <c r="D138" s="127" t="str">
        <f>IF(A138="","",IF(MAX(p_from,N(INDEX(eq_start,127)))&gt;p_to,0,ROUND(IF(AND(ISNUMBER(INDEX(eq_hours,127)),N(INDEX(eq_hours,127))&gt;0,N(INDEX(eq_hours,127))&lt;=24),INDEX(eq_hours,127),0)*IF(p_days="7 jours sur 7",p_to-MAX(p_from,N(INDEX(eq_start,127)))+1,NETWORKDAYS.INTL(MAX(p_from,N(INDEX(eq_start,127))),p_to,p_weekend,p_holidays)),2)))</f>
        <v/>
      </c>
      <c r="E138" s="128" t="str">
        <f>IF(A138="","",SUMIFS(in_stop,in_eq,A138,in_done,1,in_dnum,"&gt;="&amp;p_from,in_dnum,"&lt;="&amp;p_to))</f>
        <v/>
      </c>
      <c r="F138" s="129" t="str">
        <f>IF(A138="","",COUNTIFS(in_eq,A138,in_type,"Correctif",in_done,1,in_dnum,"&gt;="&amp;p_from,in_dnum,"&lt;="&amp;p_to))</f>
        <v/>
      </c>
      <c r="G138" s="130" t="str">
        <f>IF(OR(A138="",N(F138)=0),"",MAX(0,D138-E138)/F138)</f>
        <v/>
      </c>
      <c r="H138" s="81" t="str">
        <f>IF(OR(A138="",N(F138)=0),"",S138/F138)</f>
        <v/>
      </c>
      <c r="I138" s="81" t="str">
        <f>IF(OR(A138="",N(F138)=0),"",T138/F138)</f>
        <v/>
      </c>
      <c r="J138" s="131" t="str">
        <f>IF(OR(A138="",N(D138)=0),"",MAX(0,D138-E138)/D138)</f>
        <v/>
      </c>
      <c r="K138" s="128" t="str">
        <f>IF(A138="","",SUMIFS(in_work,in_eq,A138,in_type,"Préventif",in_done,1,in_dnum,"&gt;="&amp;p_from,in_dnum,"&lt;="&amp;p_to))</f>
        <v/>
      </c>
      <c r="L138" s="128" t="str">
        <f>IF(A138="","",SUMIFS(in_work,in_eq,A138,in_type,"Correctif",in_done,1,in_dnum,"&gt;="&amp;p_from,in_dnum,"&lt;="&amp;p_to))</f>
        <v/>
      </c>
      <c r="M138" s="128" t="str">
        <f>IF(A138="","",SUMIFS(in_work,in_eq,A138,in_type,"Amélioratif",in_done,1,in_dnum,"&gt;="&amp;p_from,in_dnum,"&lt;="&amp;p_to))</f>
        <v/>
      </c>
      <c r="N138" s="131" t="str">
        <f>IF(OR(A138="",N(K138)+N(L138)+N(M138)=0),"",K138/(K138+L138+M138))</f>
        <v/>
      </c>
      <c r="O138" s="81" t="str">
        <f>IF(A138="","",SUMIFS(in_parts,in_eq,A138,in_done,1,in_dnum,"&gt;="&amp;p_from,in_dnum,"&lt;="&amp;p_to))</f>
        <v/>
      </c>
      <c r="P138" s="81" t="str">
        <f>IF(A138="","",SUMIFS(in_mo,in_eq,A138,in_done,1,in_dnum,"&gt;="&amp;p_from,in_dnum,"&lt;="&amp;p_to))</f>
        <v/>
      </c>
      <c r="Q138" s="81" t="str">
        <f>IF(A138="","",SUMIFS(in_other,in_eq,A138,in_done,1,in_dnum,"&gt;="&amp;p_from,in_dnum,"&lt;="&amp;p_to))</f>
        <v/>
      </c>
      <c r="R138" s="81" t="str">
        <f>IF(A138="","",SUMIFS(in_total,in_eq,A138,in_done,1,in_dnum,"&gt;="&amp;p_from,in_dnum,"&lt;="&amp;p_to))</f>
        <v/>
      </c>
      <c r="S138" s="67" t="str">
        <f>IF(A138="","",SUMIFS(in_work,in_eq,A138,in_type,"Correctif",in_done,1,in_dnum,"&gt;="&amp;p_from,in_dnum,"&lt;="&amp;p_to))</f>
        <v/>
      </c>
      <c r="T138" s="67" t="str">
        <f>IF(A138="","",SUMIFS(in_stop,in_eq,A138,in_type,"Correctif",in_done,1,in_dnum,"&gt;="&amp;p_from,in_dnum,"&lt;="&amp;p_to))</f>
        <v/>
      </c>
    </row>
    <row r="139">
      <c r="A139" s="67" t="str">
        <f>IF(INDEX(eq_code,128)="","",INDEX(eq_code,128)&amp;"")</f>
        <v/>
      </c>
      <c r="B139" s="67" t="str">
        <f>IF(A139="","",INDEX(eq_des,128)&amp;"")</f>
        <v/>
      </c>
      <c r="C139" s="79" t="str">
        <f>IF(A139="","",INDEX(eq_crit,128)&amp;"")</f>
        <v/>
      </c>
      <c r="D139" s="127" t="str">
        <f>IF(A139="","",IF(MAX(p_from,N(INDEX(eq_start,128)))&gt;p_to,0,ROUND(IF(AND(ISNUMBER(INDEX(eq_hours,128)),N(INDEX(eq_hours,128))&gt;0,N(INDEX(eq_hours,128))&lt;=24),INDEX(eq_hours,128),0)*IF(p_days="7 jours sur 7",p_to-MAX(p_from,N(INDEX(eq_start,128)))+1,NETWORKDAYS.INTL(MAX(p_from,N(INDEX(eq_start,128))),p_to,p_weekend,p_holidays)),2)))</f>
        <v/>
      </c>
      <c r="E139" s="128" t="str">
        <f>IF(A139="","",SUMIFS(in_stop,in_eq,A139,in_done,1,in_dnum,"&gt;="&amp;p_from,in_dnum,"&lt;="&amp;p_to))</f>
        <v/>
      </c>
      <c r="F139" s="129" t="str">
        <f>IF(A139="","",COUNTIFS(in_eq,A139,in_type,"Correctif",in_done,1,in_dnum,"&gt;="&amp;p_from,in_dnum,"&lt;="&amp;p_to))</f>
        <v/>
      </c>
      <c r="G139" s="130" t="str">
        <f>IF(OR(A139="",N(F139)=0),"",MAX(0,D139-E139)/F139)</f>
        <v/>
      </c>
      <c r="H139" s="81" t="str">
        <f>IF(OR(A139="",N(F139)=0),"",S139/F139)</f>
        <v/>
      </c>
      <c r="I139" s="81" t="str">
        <f>IF(OR(A139="",N(F139)=0),"",T139/F139)</f>
        <v/>
      </c>
      <c r="J139" s="131" t="str">
        <f>IF(OR(A139="",N(D139)=0),"",MAX(0,D139-E139)/D139)</f>
        <v/>
      </c>
      <c r="K139" s="128" t="str">
        <f>IF(A139="","",SUMIFS(in_work,in_eq,A139,in_type,"Préventif",in_done,1,in_dnum,"&gt;="&amp;p_from,in_dnum,"&lt;="&amp;p_to))</f>
        <v/>
      </c>
      <c r="L139" s="128" t="str">
        <f>IF(A139="","",SUMIFS(in_work,in_eq,A139,in_type,"Correctif",in_done,1,in_dnum,"&gt;="&amp;p_from,in_dnum,"&lt;="&amp;p_to))</f>
        <v/>
      </c>
      <c r="M139" s="128" t="str">
        <f>IF(A139="","",SUMIFS(in_work,in_eq,A139,in_type,"Amélioratif",in_done,1,in_dnum,"&gt;="&amp;p_from,in_dnum,"&lt;="&amp;p_to))</f>
        <v/>
      </c>
      <c r="N139" s="131" t="str">
        <f>IF(OR(A139="",N(K139)+N(L139)+N(M139)=0),"",K139/(K139+L139+M139))</f>
        <v/>
      </c>
      <c r="O139" s="81" t="str">
        <f>IF(A139="","",SUMIFS(in_parts,in_eq,A139,in_done,1,in_dnum,"&gt;="&amp;p_from,in_dnum,"&lt;="&amp;p_to))</f>
        <v/>
      </c>
      <c r="P139" s="81" t="str">
        <f>IF(A139="","",SUMIFS(in_mo,in_eq,A139,in_done,1,in_dnum,"&gt;="&amp;p_from,in_dnum,"&lt;="&amp;p_to))</f>
        <v/>
      </c>
      <c r="Q139" s="81" t="str">
        <f>IF(A139="","",SUMIFS(in_other,in_eq,A139,in_done,1,in_dnum,"&gt;="&amp;p_from,in_dnum,"&lt;="&amp;p_to))</f>
        <v/>
      </c>
      <c r="R139" s="81" t="str">
        <f>IF(A139="","",SUMIFS(in_total,in_eq,A139,in_done,1,in_dnum,"&gt;="&amp;p_from,in_dnum,"&lt;="&amp;p_to))</f>
        <v/>
      </c>
      <c r="S139" s="67" t="str">
        <f>IF(A139="","",SUMIFS(in_work,in_eq,A139,in_type,"Correctif",in_done,1,in_dnum,"&gt;="&amp;p_from,in_dnum,"&lt;="&amp;p_to))</f>
        <v/>
      </c>
      <c r="T139" s="67" t="str">
        <f>IF(A139="","",SUMIFS(in_stop,in_eq,A139,in_type,"Correctif",in_done,1,in_dnum,"&gt;="&amp;p_from,in_dnum,"&lt;="&amp;p_to))</f>
        <v/>
      </c>
    </row>
    <row r="140">
      <c r="A140" s="67" t="str">
        <f>IF(INDEX(eq_code,129)="","",INDEX(eq_code,129)&amp;"")</f>
        <v/>
      </c>
      <c r="B140" s="67" t="str">
        <f>IF(A140="","",INDEX(eq_des,129)&amp;"")</f>
        <v/>
      </c>
      <c r="C140" s="79" t="str">
        <f>IF(A140="","",INDEX(eq_crit,129)&amp;"")</f>
        <v/>
      </c>
      <c r="D140" s="127" t="str">
        <f>IF(A140="","",IF(MAX(p_from,N(INDEX(eq_start,129)))&gt;p_to,0,ROUND(IF(AND(ISNUMBER(INDEX(eq_hours,129)),N(INDEX(eq_hours,129))&gt;0,N(INDEX(eq_hours,129))&lt;=24),INDEX(eq_hours,129),0)*IF(p_days="7 jours sur 7",p_to-MAX(p_from,N(INDEX(eq_start,129)))+1,NETWORKDAYS.INTL(MAX(p_from,N(INDEX(eq_start,129))),p_to,p_weekend,p_holidays)),2)))</f>
        <v/>
      </c>
      <c r="E140" s="128" t="str">
        <f>IF(A140="","",SUMIFS(in_stop,in_eq,A140,in_done,1,in_dnum,"&gt;="&amp;p_from,in_dnum,"&lt;="&amp;p_to))</f>
        <v/>
      </c>
      <c r="F140" s="129" t="str">
        <f>IF(A140="","",COUNTIFS(in_eq,A140,in_type,"Correctif",in_done,1,in_dnum,"&gt;="&amp;p_from,in_dnum,"&lt;="&amp;p_to))</f>
        <v/>
      </c>
      <c r="G140" s="130" t="str">
        <f>IF(OR(A140="",N(F140)=0),"",MAX(0,D140-E140)/F140)</f>
        <v/>
      </c>
      <c r="H140" s="81" t="str">
        <f>IF(OR(A140="",N(F140)=0),"",S140/F140)</f>
        <v/>
      </c>
      <c r="I140" s="81" t="str">
        <f>IF(OR(A140="",N(F140)=0),"",T140/F140)</f>
        <v/>
      </c>
      <c r="J140" s="131" t="str">
        <f>IF(OR(A140="",N(D140)=0),"",MAX(0,D140-E140)/D140)</f>
        <v/>
      </c>
      <c r="K140" s="128" t="str">
        <f>IF(A140="","",SUMIFS(in_work,in_eq,A140,in_type,"Préventif",in_done,1,in_dnum,"&gt;="&amp;p_from,in_dnum,"&lt;="&amp;p_to))</f>
        <v/>
      </c>
      <c r="L140" s="128" t="str">
        <f>IF(A140="","",SUMIFS(in_work,in_eq,A140,in_type,"Correctif",in_done,1,in_dnum,"&gt;="&amp;p_from,in_dnum,"&lt;="&amp;p_to))</f>
        <v/>
      </c>
      <c r="M140" s="128" t="str">
        <f>IF(A140="","",SUMIFS(in_work,in_eq,A140,in_type,"Amélioratif",in_done,1,in_dnum,"&gt;="&amp;p_from,in_dnum,"&lt;="&amp;p_to))</f>
        <v/>
      </c>
      <c r="N140" s="131" t="str">
        <f>IF(OR(A140="",N(K140)+N(L140)+N(M140)=0),"",K140/(K140+L140+M140))</f>
        <v/>
      </c>
      <c r="O140" s="81" t="str">
        <f>IF(A140="","",SUMIFS(in_parts,in_eq,A140,in_done,1,in_dnum,"&gt;="&amp;p_from,in_dnum,"&lt;="&amp;p_to))</f>
        <v/>
      </c>
      <c r="P140" s="81" t="str">
        <f>IF(A140="","",SUMIFS(in_mo,in_eq,A140,in_done,1,in_dnum,"&gt;="&amp;p_from,in_dnum,"&lt;="&amp;p_to))</f>
        <v/>
      </c>
      <c r="Q140" s="81" t="str">
        <f>IF(A140="","",SUMIFS(in_other,in_eq,A140,in_done,1,in_dnum,"&gt;="&amp;p_from,in_dnum,"&lt;="&amp;p_to))</f>
        <v/>
      </c>
      <c r="R140" s="81" t="str">
        <f>IF(A140="","",SUMIFS(in_total,in_eq,A140,in_done,1,in_dnum,"&gt;="&amp;p_from,in_dnum,"&lt;="&amp;p_to))</f>
        <v/>
      </c>
      <c r="S140" s="67" t="str">
        <f>IF(A140="","",SUMIFS(in_work,in_eq,A140,in_type,"Correctif",in_done,1,in_dnum,"&gt;="&amp;p_from,in_dnum,"&lt;="&amp;p_to))</f>
        <v/>
      </c>
      <c r="T140" s="67" t="str">
        <f>IF(A140="","",SUMIFS(in_stop,in_eq,A140,in_type,"Correctif",in_done,1,in_dnum,"&gt;="&amp;p_from,in_dnum,"&lt;="&amp;p_to))</f>
        <v/>
      </c>
    </row>
    <row r="141">
      <c r="A141" s="67" t="str">
        <f>IF(INDEX(eq_code,130)="","",INDEX(eq_code,130)&amp;"")</f>
        <v/>
      </c>
      <c r="B141" s="67" t="str">
        <f>IF(A141="","",INDEX(eq_des,130)&amp;"")</f>
        <v/>
      </c>
      <c r="C141" s="79" t="str">
        <f>IF(A141="","",INDEX(eq_crit,130)&amp;"")</f>
        <v/>
      </c>
      <c r="D141" s="127" t="str">
        <f>IF(A141="","",IF(MAX(p_from,N(INDEX(eq_start,130)))&gt;p_to,0,ROUND(IF(AND(ISNUMBER(INDEX(eq_hours,130)),N(INDEX(eq_hours,130))&gt;0,N(INDEX(eq_hours,130))&lt;=24),INDEX(eq_hours,130),0)*IF(p_days="7 jours sur 7",p_to-MAX(p_from,N(INDEX(eq_start,130)))+1,NETWORKDAYS.INTL(MAX(p_from,N(INDEX(eq_start,130))),p_to,p_weekend,p_holidays)),2)))</f>
        <v/>
      </c>
      <c r="E141" s="128" t="str">
        <f>IF(A141="","",SUMIFS(in_stop,in_eq,A141,in_done,1,in_dnum,"&gt;="&amp;p_from,in_dnum,"&lt;="&amp;p_to))</f>
        <v/>
      </c>
      <c r="F141" s="129" t="str">
        <f>IF(A141="","",COUNTIFS(in_eq,A141,in_type,"Correctif",in_done,1,in_dnum,"&gt;="&amp;p_from,in_dnum,"&lt;="&amp;p_to))</f>
        <v/>
      </c>
      <c r="G141" s="130" t="str">
        <f>IF(OR(A141="",N(F141)=0),"",MAX(0,D141-E141)/F141)</f>
        <v/>
      </c>
      <c r="H141" s="81" t="str">
        <f>IF(OR(A141="",N(F141)=0),"",S141/F141)</f>
        <v/>
      </c>
      <c r="I141" s="81" t="str">
        <f>IF(OR(A141="",N(F141)=0),"",T141/F141)</f>
        <v/>
      </c>
      <c r="J141" s="131" t="str">
        <f>IF(OR(A141="",N(D141)=0),"",MAX(0,D141-E141)/D141)</f>
        <v/>
      </c>
      <c r="K141" s="128" t="str">
        <f>IF(A141="","",SUMIFS(in_work,in_eq,A141,in_type,"Préventif",in_done,1,in_dnum,"&gt;="&amp;p_from,in_dnum,"&lt;="&amp;p_to))</f>
        <v/>
      </c>
      <c r="L141" s="128" t="str">
        <f>IF(A141="","",SUMIFS(in_work,in_eq,A141,in_type,"Correctif",in_done,1,in_dnum,"&gt;="&amp;p_from,in_dnum,"&lt;="&amp;p_to))</f>
        <v/>
      </c>
      <c r="M141" s="128" t="str">
        <f>IF(A141="","",SUMIFS(in_work,in_eq,A141,in_type,"Amélioratif",in_done,1,in_dnum,"&gt;="&amp;p_from,in_dnum,"&lt;="&amp;p_to))</f>
        <v/>
      </c>
      <c r="N141" s="131" t="str">
        <f>IF(OR(A141="",N(K141)+N(L141)+N(M141)=0),"",K141/(K141+L141+M141))</f>
        <v/>
      </c>
      <c r="O141" s="81" t="str">
        <f>IF(A141="","",SUMIFS(in_parts,in_eq,A141,in_done,1,in_dnum,"&gt;="&amp;p_from,in_dnum,"&lt;="&amp;p_to))</f>
        <v/>
      </c>
      <c r="P141" s="81" t="str">
        <f>IF(A141="","",SUMIFS(in_mo,in_eq,A141,in_done,1,in_dnum,"&gt;="&amp;p_from,in_dnum,"&lt;="&amp;p_to))</f>
        <v/>
      </c>
      <c r="Q141" s="81" t="str">
        <f>IF(A141="","",SUMIFS(in_other,in_eq,A141,in_done,1,in_dnum,"&gt;="&amp;p_from,in_dnum,"&lt;="&amp;p_to))</f>
        <v/>
      </c>
      <c r="R141" s="81" t="str">
        <f>IF(A141="","",SUMIFS(in_total,in_eq,A141,in_done,1,in_dnum,"&gt;="&amp;p_from,in_dnum,"&lt;="&amp;p_to))</f>
        <v/>
      </c>
      <c r="S141" s="67" t="str">
        <f>IF(A141="","",SUMIFS(in_work,in_eq,A141,in_type,"Correctif",in_done,1,in_dnum,"&gt;="&amp;p_from,in_dnum,"&lt;="&amp;p_to))</f>
        <v/>
      </c>
      <c r="T141" s="67" t="str">
        <f>IF(A141="","",SUMIFS(in_stop,in_eq,A141,in_type,"Correctif",in_done,1,in_dnum,"&gt;="&amp;p_from,in_dnum,"&lt;="&amp;p_to))</f>
        <v/>
      </c>
    </row>
    <row r="142">
      <c r="A142" s="67" t="str">
        <f>IF(INDEX(eq_code,131)="","",INDEX(eq_code,131)&amp;"")</f>
        <v/>
      </c>
      <c r="B142" s="67" t="str">
        <f>IF(A142="","",INDEX(eq_des,131)&amp;"")</f>
        <v/>
      </c>
      <c r="C142" s="79" t="str">
        <f>IF(A142="","",INDEX(eq_crit,131)&amp;"")</f>
        <v/>
      </c>
      <c r="D142" s="127" t="str">
        <f>IF(A142="","",IF(MAX(p_from,N(INDEX(eq_start,131)))&gt;p_to,0,ROUND(IF(AND(ISNUMBER(INDEX(eq_hours,131)),N(INDEX(eq_hours,131))&gt;0,N(INDEX(eq_hours,131))&lt;=24),INDEX(eq_hours,131),0)*IF(p_days="7 jours sur 7",p_to-MAX(p_from,N(INDEX(eq_start,131)))+1,NETWORKDAYS.INTL(MAX(p_from,N(INDEX(eq_start,131))),p_to,p_weekend,p_holidays)),2)))</f>
        <v/>
      </c>
      <c r="E142" s="128" t="str">
        <f>IF(A142="","",SUMIFS(in_stop,in_eq,A142,in_done,1,in_dnum,"&gt;="&amp;p_from,in_dnum,"&lt;="&amp;p_to))</f>
        <v/>
      </c>
      <c r="F142" s="129" t="str">
        <f>IF(A142="","",COUNTIFS(in_eq,A142,in_type,"Correctif",in_done,1,in_dnum,"&gt;="&amp;p_from,in_dnum,"&lt;="&amp;p_to))</f>
        <v/>
      </c>
      <c r="G142" s="130" t="str">
        <f>IF(OR(A142="",N(F142)=0),"",MAX(0,D142-E142)/F142)</f>
        <v/>
      </c>
      <c r="H142" s="81" t="str">
        <f>IF(OR(A142="",N(F142)=0),"",S142/F142)</f>
        <v/>
      </c>
      <c r="I142" s="81" t="str">
        <f>IF(OR(A142="",N(F142)=0),"",T142/F142)</f>
        <v/>
      </c>
      <c r="J142" s="131" t="str">
        <f>IF(OR(A142="",N(D142)=0),"",MAX(0,D142-E142)/D142)</f>
        <v/>
      </c>
      <c r="K142" s="128" t="str">
        <f>IF(A142="","",SUMIFS(in_work,in_eq,A142,in_type,"Préventif",in_done,1,in_dnum,"&gt;="&amp;p_from,in_dnum,"&lt;="&amp;p_to))</f>
        <v/>
      </c>
      <c r="L142" s="128" t="str">
        <f>IF(A142="","",SUMIFS(in_work,in_eq,A142,in_type,"Correctif",in_done,1,in_dnum,"&gt;="&amp;p_from,in_dnum,"&lt;="&amp;p_to))</f>
        <v/>
      </c>
      <c r="M142" s="128" t="str">
        <f>IF(A142="","",SUMIFS(in_work,in_eq,A142,in_type,"Amélioratif",in_done,1,in_dnum,"&gt;="&amp;p_from,in_dnum,"&lt;="&amp;p_to))</f>
        <v/>
      </c>
      <c r="N142" s="131" t="str">
        <f>IF(OR(A142="",N(K142)+N(L142)+N(M142)=0),"",K142/(K142+L142+M142))</f>
        <v/>
      </c>
      <c r="O142" s="81" t="str">
        <f>IF(A142="","",SUMIFS(in_parts,in_eq,A142,in_done,1,in_dnum,"&gt;="&amp;p_from,in_dnum,"&lt;="&amp;p_to))</f>
        <v/>
      </c>
      <c r="P142" s="81" t="str">
        <f>IF(A142="","",SUMIFS(in_mo,in_eq,A142,in_done,1,in_dnum,"&gt;="&amp;p_from,in_dnum,"&lt;="&amp;p_to))</f>
        <v/>
      </c>
      <c r="Q142" s="81" t="str">
        <f>IF(A142="","",SUMIFS(in_other,in_eq,A142,in_done,1,in_dnum,"&gt;="&amp;p_from,in_dnum,"&lt;="&amp;p_to))</f>
        <v/>
      </c>
      <c r="R142" s="81" t="str">
        <f>IF(A142="","",SUMIFS(in_total,in_eq,A142,in_done,1,in_dnum,"&gt;="&amp;p_from,in_dnum,"&lt;="&amp;p_to))</f>
        <v/>
      </c>
      <c r="S142" s="67" t="str">
        <f>IF(A142="","",SUMIFS(in_work,in_eq,A142,in_type,"Correctif",in_done,1,in_dnum,"&gt;="&amp;p_from,in_dnum,"&lt;="&amp;p_to))</f>
        <v/>
      </c>
      <c r="T142" s="67" t="str">
        <f>IF(A142="","",SUMIFS(in_stop,in_eq,A142,in_type,"Correctif",in_done,1,in_dnum,"&gt;="&amp;p_from,in_dnum,"&lt;="&amp;p_to))</f>
        <v/>
      </c>
    </row>
    <row r="143">
      <c r="A143" s="67" t="str">
        <f>IF(INDEX(eq_code,132)="","",INDEX(eq_code,132)&amp;"")</f>
        <v/>
      </c>
      <c r="B143" s="67" t="str">
        <f>IF(A143="","",INDEX(eq_des,132)&amp;"")</f>
        <v/>
      </c>
      <c r="C143" s="79" t="str">
        <f>IF(A143="","",INDEX(eq_crit,132)&amp;"")</f>
        <v/>
      </c>
      <c r="D143" s="127" t="str">
        <f>IF(A143="","",IF(MAX(p_from,N(INDEX(eq_start,132)))&gt;p_to,0,ROUND(IF(AND(ISNUMBER(INDEX(eq_hours,132)),N(INDEX(eq_hours,132))&gt;0,N(INDEX(eq_hours,132))&lt;=24),INDEX(eq_hours,132),0)*IF(p_days="7 jours sur 7",p_to-MAX(p_from,N(INDEX(eq_start,132)))+1,NETWORKDAYS.INTL(MAX(p_from,N(INDEX(eq_start,132))),p_to,p_weekend,p_holidays)),2)))</f>
        <v/>
      </c>
      <c r="E143" s="128" t="str">
        <f>IF(A143="","",SUMIFS(in_stop,in_eq,A143,in_done,1,in_dnum,"&gt;="&amp;p_from,in_dnum,"&lt;="&amp;p_to))</f>
        <v/>
      </c>
      <c r="F143" s="129" t="str">
        <f>IF(A143="","",COUNTIFS(in_eq,A143,in_type,"Correctif",in_done,1,in_dnum,"&gt;="&amp;p_from,in_dnum,"&lt;="&amp;p_to))</f>
        <v/>
      </c>
      <c r="G143" s="130" t="str">
        <f>IF(OR(A143="",N(F143)=0),"",MAX(0,D143-E143)/F143)</f>
        <v/>
      </c>
      <c r="H143" s="81" t="str">
        <f>IF(OR(A143="",N(F143)=0),"",S143/F143)</f>
        <v/>
      </c>
      <c r="I143" s="81" t="str">
        <f>IF(OR(A143="",N(F143)=0),"",T143/F143)</f>
        <v/>
      </c>
      <c r="J143" s="131" t="str">
        <f>IF(OR(A143="",N(D143)=0),"",MAX(0,D143-E143)/D143)</f>
        <v/>
      </c>
      <c r="K143" s="128" t="str">
        <f>IF(A143="","",SUMIFS(in_work,in_eq,A143,in_type,"Préventif",in_done,1,in_dnum,"&gt;="&amp;p_from,in_dnum,"&lt;="&amp;p_to))</f>
        <v/>
      </c>
      <c r="L143" s="128" t="str">
        <f>IF(A143="","",SUMIFS(in_work,in_eq,A143,in_type,"Correctif",in_done,1,in_dnum,"&gt;="&amp;p_from,in_dnum,"&lt;="&amp;p_to))</f>
        <v/>
      </c>
      <c r="M143" s="128" t="str">
        <f>IF(A143="","",SUMIFS(in_work,in_eq,A143,in_type,"Amélioratif",in_done,1,in_dnum,"&gt;="&amp;p_from,in_dnum,"&lt;="&amp;p_to))</f>
        <v/>
      </c>
      <c r="N143" s="131" t="str">
        <f>IF(OR(A143="",N(K143)+N(L143)+N(M143)=0),"",K143/(K143+L143+M143))</f>
        <v/>
      </c>
      <c r="O143" s="81" t="str">
        <f>IF(A143="","",SUMIFS(in_parts,in_eq,A143,in_done,1,in_dnum,"&gt;="&amp;p_from,in_dnum,"&lt;="&amp;p_to))</f>
        <v/>
      </c>
      <c r="P143" s="81" t="str">
        <f>IF(A143="","",SUMIFS(in_mo,in_eq,A143,in_done,1,in_dnum,"&gt;="&amp;p_from,in_dnum,"&lt;="&amp;p_to))</f>
        <v/>
      </c>
      <c r="Q143" s="81" t="str">
        <f>IF(A143="","",SUMIFS(in_other,in_eq,A143,in_done,1,in_dnum,"&gt;="&amp;p_from,in_dnum,"&lt;="&amp;p_to))</f>
        <v/>
      </c>
      <c r="R143" s="81" t="str">
        <f>IF(A143="","",SUMIFS(in_total,in_eq,A143,in_done,1,in_dnum,"&gt;="&amp;p_from,in_dnum,"&lt;="&amp;p_to))</f>
        <v/>
      </c>
      <c r="S143" s="67" t="str">
        <f>IF(A143="","",SUMIFS(in_work,in_eq,A143,in_type,"Correctif",in_done,1,in_dnum,"&gt;="&amp;p_from,in_dnum,"&lt;="&amp;p_to))</f>
        <v/>
      </c>
      <c r="T143" s="67" t="str">
        <f>IF(A143="","",SUMIFS(in_stop,in_eq,A143,in_type,"Correctif",in_done,1,in_dnum,"&gt;="&amp;p_from,in_dnum,"&lt;="&amp;p_to))</f>
        <v/>
      </c>
    </row>
    <row r="144">
      <c r="A144" s="67" t="str">
        <f>IF(INDEX(eq_code,133)="","",INDEX(eq_code,133)&amp;"")</f>
        <v/>
      </c>
      <c r="B144" s="67" t="str">
        <f>IF(A144="","",INDEX(eq_des,133)&amp;"")</f>
        <v/>
      </c>
      <c r="C144" s="79" t="str">
        <f>IF(A144="","",INDEX(eq_crit,133)&amp;"")</f>
        <v/>
      </c>
      <c r="D144" s="127" t="str">
        <f>IF(A144="","",IF(MAX(p_from,N(INDEX(eq_start,133)))&gt;p_to,0,ROUND(IF(AND(ISNUMBER(INDEX(eq_hours,133)),N(INDEX(eq_hours,133))&gt;0,N(INDEX(eq_hours,133))&lt;=24),INDEX(eq_hours,133),0)*IF(p_days="7 jours sur 7",p_to-MAX(p_from,N(INDEX(eq_start,133)))+1,NETWORKDAYS.INTL(MAX(p_from,N(INDEX(eq_start,133))),p_to,p_weekend,p_holidays)),2)))</f>
        <v/>
      </c>
      <c r="E144" s="128" t="str">
        <f>IF(A144="","",SUMIFS(in_stop,in_eq,A144,in_done,1,in_dnum,"&gt;="&amp;p_from,in_dnum,"&lt;="&amp;p_to))</f>
        <v/>
      </c>
      <c r="F144" s="129" t="str">
        <f>IF(A144="","",COUNTIFS(in_eq,A144,in_type,"Correctif",in_done,1,in_dnum,"&gt;="&amp;p_from,in_dnum,"&lt;="&amp;p_to))</f>
        <v/>
      </c>
      <c r="G144" s="130" t="str">
        <f>IF(OR(A144="",N(F144)=0),"",MAX(0,D144-E144)/F144)</f>
        <v/>
      </c>
      <c r="H144" s="81" t="str">
        <f>IF(OR(A144="",N(F144)=0),"",S144/F144)</f>
        <v/>
      </c>
      <c r="I144" s="81" t="str">
        <f>IF(OR(A144="",N(F144)=0),"",T144/F144)</f>
        <v/>
      </c>
      <c r="J144" s="131" t="str">
        <f>IF(OR(A144="",N(D144)=0),"",MAX(0,D144-E144)/D144)</f>
        <v/>
      </c>
      <c r="K144" s="128" t="str">
        <f>IF(A144="","",SUMIFS(in_work,in_eq,A144,in_type,"Préventif",in_done,1,in_dnum,"&gt;="&amp;p_from,in_dnum,"&lt;="&amp;p_to))</f>
        <v/>
      </c>
      <c r="L144" s="128" t="str">
        <f>IF(A144="","",SUMIFS(in_work,in_eq,A144,in_type,"Correctif",in_done,1,in_dnum,"&gt;="&amp;p_from,in_dnum,"&lt;="&amp;p_to))</f>
        <v/>
      </c>
      <c r="M144" s="128" t="str">
        <f>IF(A144="","",SUMIFS(in_work,in_eq,A144,in_type,"Amélioratif",in_done,1,in_dnum,"&gt;="&amp;p_from,in_dnum,"&lt;="&amp;p_to))</f>
        <v/>
      </c>
      <c r="N144" s="131" t="str">
        <f>IF(OR(A144="",N(K144)+N(L144)+N(M144)=0),"",K144/(K144+L144+M144))</f>
        <v/>
      </c>
      <c r="O144" s="81" t="str">
        <f>IF(A144="","",SUMIFS(in_parts,in_eq,A144,in_done,1,in_dnum,"&gt;="&amp;p_from,in_dnum,"&lt;="&amp;p_to))</f>
        <v/>
      </c>
      <c r="P144" s="81" t="str">
        <f>IF(A144="","",SUMIFS(in_mo,in_eq,A144,in_done,1,in_dnum,"&gt;="&amp;p_from,in_dnum,"&lt;="&amp;p_to))</f>
        <v/>
      </c>
      <c r="Q144" s="81" t="str">
        <f>IF(A144="","",SUMIFS(in_other,in_eq,A144,in_done,1,in_dnum,"&gt;="&amp;p_from,in_dnum,"&lt;="&amp;p_to))</f>
        <v/>
      </c>
      <c r="R144" s="81" t="str">
        <f>IF(A144="","",SUMIFS(in_total,in_eq,A144,in_done,1,in_dnum,"&gt;="&amp;p_from,in_dnum,"&lt;="&amp;p_to))</f>
        <v/>
      </c>
      <c r="S144" s="67" t="str">
        <f>IF(A144="","",SUMIFS(in_work,in_eq,A144,in_type,"Correctif",in_done,1,in_dnum,"&gt;="&amp;p_from,in_dnum,"&lt;="&amp;p_to))</f>
        <v/>
      </c>
      <c r="T144" s="67" t="str">
        <f>IF(A144="","",SUMIFS(in_stop,in_eq,A144,in_type,"Correctif",in_done,1,in_dnum,"&gt;="&amp;p_from,in_dnum,"&lt;="&amp;p_to))</f>
        <v/>
      </c>
    </row>
    <row r="145">
      <c r="A145" s="67" t="str">
        <f>IF(INDEX(eq_code,134)="","",INDEX(eq_code,134)&amp;"")</f>
        <v/>
      </c>
      <c r="B145" s="67" t="str">
        <f>IF(A145="","",INDEX(eq_des,134)&amp;"")</f>
        <v/>
      </c>
      <c r="C145" s="79" t="str">
        <f>IF(A145="","",INDEX(eq_crit,134)&amp;"")</f>
        <v/>
      </c>
      <c r="D145" s="127" t="str">
        <f>IF(A145="","",IF(MAX(p_from,N(INDEX(eq_start,134)))&gt;p_to,0,ROUND(IF(AND(ISNUMBER(INDEX(eq_hours,134)),N(INDEX(eq_hours,134))&gt;0,N(INDEX(eq_hours,134))&lt;=24),INDEX(eq_hours,134),0)*IF(p_days="7 jours sur 7",p_to-MAX(p_from,N(INDEX(eq_start,134)))+1,NETWORKDAYS.INTL(MAX(p_from,N(INDEX(eq_start,134))),p_to,p_weekend,p_holidays)),2)))</f>
        <v/>
      </c>
      <c r="E145" s="128" t="str">
        <f>IF(A145="","",SUMIFS(in_stop,in_eq,A145,in_done,1,in_dnum,"&gt;="&amp;p_from,in_dnum,"&lt;="&amp;p_to))</f>
        <v/>
      </c>
      <c r="F145" s="129" t="str">
        <f>IF(A145="","",COUNTIFS(in_eq,A145,in_type,"Correctif",in_done,1,in_dnum,"&gt;="&amp;p_from,in_dnum,"&lt;="&amp;p_to))</f>
        <v/>
      </c>
      <c r="G145" s="130" t="str">
        <f>IF(OR(A145="",N(F145)=0),"",MAX(0,D145-E145)/F145)</f>
        <v/>
      </c>
      <c r="H145" s="81" t="str">
        <f>IF(OR(A145="",N(F145)=0),"",S145/F145)</f>
        <v/>
      </c>
      <c r="I145" s="81" t="str">
        <f>IF(OR(A145="",N(F145)=0),"",T145/F145)</f>
        <v/>
      </c>
      <c r="J145" s="131" t="str">
        <f>IF(OR(A145="",N(D145)=0),"",MAX(0,D145-E145)/D145)</f>
        <v/>
      </c>
      <c r="K145" s="128" t="str">
        <f>IF(A145="","",SUMIFS(in_work,in_eq,A145,in_type,"Préventif",in_done,1,in_dnum,"&gt;="&amp;p_from,in_dnum,"&lt;="&amp;p_to))</f>
        <v/>
      </c>
      <c r="L145" s="128" t="str">
        <f>IF(A145="","",SUMIFS(in_work,in_eq,A145,in_type,"Correctif",in_done,1,in_dnum,"&gt;="&amp;p_from,in_dnum,"&lt;="&amp;p_to))</f>
        <v/>
      </c>
      <c r="M145" s="128" t="str">
        <f>IF(A145="","",SUMIFS(in_work,in_eq,A145,in_type,"Amélioratif",in_done,1,in_dnum,"&gt;="&amp;p_from,in_dnum,"&lt;="&amp;p_to))</f>
        <v/>
      </c>
      <c r="N145" s="131" t="str">
        <f>IF(OR(A145="",N(K145)+N(L145)+N(M145)=0),"",K145/(K145+L145+M145))</f>
        <v/>
      </c>
      <c r="O145" s="81" t="str">
        <f>IF(A145="","",SUMIFS(in_parts,in_eq,A145,in_done,1,in_dnum,"&gt;="&amp;p_from,in_dnum,"&lt;="&amp;p_to))</f>
        <v/>
      </c>
      <c r="P145" s="81" t="str">
        <f>IF(A145="","",SUMIFS(in_mo,in_eq,A145,in_done,1,in_dnum,"&gt;="&amp;p_from,in_dnum,"&lt;="&amp;p_to))</f>
        <v/>
      </c>
      <c r="Q145" s="81" t="str">
        <f>IF(A145="","",SUMIFS(in_other,in_eq,A145,in_done,1,in_dnum,"&gt;="&amp;p_from,in_dnum,"&lt;="&amp;p_to))</f>
        <v/>
      </c>
      <c r="R145" s="81" t="str">
        <f>IF(A145="","",SUMIFS(in_total,in_eq,A145,in_done,1,in_dnum,"&gt;="&amp;p_from,in_dnum,"&lt;="&amp;p_to))</f>
        <v/>
      </c>
      <c r="S145" s="67" t="str">
        <f>IF(A145="","",SUMIFS(in_work,in_eq,A145,in_type,"Correctif",in_done,1,in_dnum,"&gt;="&amp;p_from,in_dnum,"&lt;="&amp;p_to))</f>
        <v/>
      </c>
      <c r="T145" s="67" t="str">
        <f>IF(A145="","",SUMIFS(in_stop,in_eq,A145,in_type,"Correctif",in_done,1,in_dnum,"&gt;="&amp;p_from,in_dnum,"&lt;="&amp;p_to))</f>
        <v/>
      </c>
    </row>
    <row r="146">
      <c r="A146" s="67" t="str">
        <f>IF(INDEX(eq_code,135)="","",INDEX(eq_code,135)&amp;"")</f>
        <v/>
      </c>
      <c r="B146" s="67" t="str">
        <f>IF(A146="","",INDEX(eq_des,135)&amp;"")</f>
        <v/>
      </c>
      <c r="C146" s="79" t="str">
        <f>IF(A146="","",INDEX(eq_crit,135)&amp;"")</f>
        <v/>
      </c>
      <c r="D146" s="127" t="str">
        <f>IF(A146="","",IF(MAX(p_from,N(INDEX(eq_start,135)))&gt;p_to,0,ROUND(IF(AND(ISNUMBER(INDEX(eq_hours,135)),N(INDEX(eq_hours,135))&gt;0,N(INDEX(eq_hours,135))&lt;=24),INDEX(eq_hours,135),0)*IF(p_days="7 jours sur 7",p_to-MAX(p_from,N(INDEX(eq_start,135)))+1,NETWORKDAYS.INTL(MAX(p_from,N(INDEX(eq_start,135))),p_to,p_weekend,p_holidays)),2)))</f>
        <v/>
      </c>
      <c r="E146" s="128" t="str">
        <f>IF(A146="","",SUMIFS(in_stop,in_eq,A146,in_done,1,in_dnum,"&gt;="&amp;p_from,in_dnum,"&lt;="&amp;p_to))</f>
        <v/>
      </c>
      <c r="F146" s="129" t="str">
        <f>IF(A146="","",COUNTIFS(in_eq,A146,in_type,"Correctif",in_done,1,in_dnum,"&gt;="&amp;p_from,in_dnum,"&lt;="&amp;p_to))</f>
        <v/>
      </c>
      <c r="G146" s="130" t="str">
        <f>IF(OR(A146="",N(F146)=0),"",MAX(0,D146-E146)/F146)</f>
        <v/>
      </c>
      <c r="H146" s="81" t="str">
        <f>IF(OR(A146="",N(F146)=0),"",S146/F146)</f>
        <v/>
      </c>
      <c r="I146" s="81" t="str">
        <f>IF(OR(A146="",N(F146)=0),"",T146/F146)</f>
        <v/>
      </c>
      <c r="J146" s="131" t="str">
        <f>IF(OR(A146="",N(D146)=0),"",MAX(0,D146-E146)/D146)</f>
        <v/>
      </c>
      <c r="K146" s="128" t="str">
        <f>IF(A146="","",SUMIFS(in_work,in_eq,A146,in_type,"Préventif",in_done,1,in_dnum,"&gt;="&amp;p_from,in_dnum,"&lt;="&amp;p_to))</f>
        <v/>
      </c>
      <c r="L146" s="128" t="str">
        <f>IF(A146="","",SUMIFS(in_work,in_eq,A146,in_type,"Correctif",in_done,1,in_dnum,"&gt;="&amp;p_from,in_dnum,"&lt;="&amp;p_to))</f>
        <v/>
      </c>
      <c r="M146" s="128" t="str">
        <f>IF(A146="","",SUMIFS(in_work,in_eq,A146,in_type,"Amélioratif",in_done,1,in_dnum,"&gt;="&amp;p_from,in_dnum,"&lt;="&amp;p_to))</f>
        <v/>
      </c>
      <c r="N146" s="131" t="str">
        <f>IF(OR(A146="",N(K146)+N(L146)+N(M146)=0),"",K146/(K146+L146+M146))</f>
        <v/>
      </c>
      <c r="O146" s="81" t="str">
        <f>IF(A146="","",SUMIFS(in_parts,in_eq,A146,in_done,1,in_dnum,"&gt;="&amp;p_from,in_dnum,"&lt;="&amp;p_to))</f>
        <v/>
      </c>
      <c r="P146" s="81" t="str">
        <f>IF(A146="","",SUMIFS(in_mo,in_eq,A146,in_done,1,in_dnum,"&gt;="&amp;p_from,in_dnum,"&lt;="&amp;p_to))</f>
        <v/>
      </c>
      <c r="Q146" s="81" t="str">
        <f>IF(A146="","",SUMIFS(in_other,in_eq,A146,in_done,1,in_dnum,"&gt;="&amp;p_from,in_dnum,"&lt;="&amp;p_to))</f>
        <v/>
      </c>
      <c r="R146" s="81" t="str">
        <f>IF(A146="","",SUMIFS(in_total,in_eq,A146,in_done,1,in_dnum,"&gt;="&amp;p_from,in_dnum,"&lt;="&amp;p_to))</f>
        <v/>
      </c>
      <c r="S146" s="67" t="str">
        <f>IF(A146="","",SUMIFS(in_work,in_eq,A146,in_type,"Correctif",in_done,1,in_dnum,"&gt;="&amp;p_from,in_dnum,"&lt;="&amp;p_to))</f>
        <v/>
      </c>
      <c r="T146" s="67" t="str">
        <f>IF(A146="","",SUMIFS(in_stop,in_eq,A146,in_type,"Correctif",in_done,1,in_dnum,"&gt;="&amp;p_from,in_dnum,"&lt;="&amp;p_to))</f>
        <v/>
      </c>
    </row>
    <row r="147">
      <c r="A147" s="67" t="str">
        <f>IF(INDEX(eq_code,136)="","",INDEX(eq_code,136)&amp;"")</f>
        <v/>
      </c>
      <c r="B147" s="67" t="str">
        <f>IF(A147="","",INDEX(eq_des,136)&amp;"")</f>
        <v/>
      </c>
      <c r="C147" s="79" t="str">
        <f>IF(A147="","",INDEX(eq_crit,136)&amp;"")</f>
        <v/>
      </c>
      <c r="D147" s="127" t="str">
        <f>IF(A147="","",IF(MAX(p_from,N(INDEX(eq_start,136)))&gt;p_to,0,ROUND(IF(AND(ISNUMBER(INDEX(eq_hours,136)),N(INDEX(eq_hours,136))&gt;0,N(INDEX(eq_hours,136))&lt;=24),INDEX(eq_hours,136),0)*IF(p_days="7 jours sur 7",p_to-MAX(p_from,N(INDEX(eq_start,136)))+1,NETWORKDAYS.INTL(MAX(p_from,N(INDEX(eq_start,136))),p_to,p_weekend,p_holidays)),2)))</f>
        <v/>
      </c>
      <c r="E147" s="128" t="str">
        <f>IF(A147="","",SUMIFS(in_stop,in_eq,A147,in_done,1,in_dnum,"&gt;="&amp;p_from,in_dnum,"&lt;="&amp;p_to))</f>
        <v/>
      </c>
      <c r="F147" s="129" t="str">
        <f>IF(A147="","",COUNTIFS(in_eq,A147,in_type,"Correctif",in_done,1,in_dnum,"&gt;="&amp;p_from,in_dnum,"&lt;="&amp;p_to))</f>
        <v/>
      </c>
      <c r="G147" s="130" t="str">
        <f>IF(OR(A147="",N(F147)=0),"",MAX(0,D147-E147)/F147)</f>
        <v/>
      </c>
      <c r="H147" s="81" t="str">
        <f>IF(OR(A147="",N(F147)=0),"",S147/F147)</f>
        <v/>
      </c>
      <c r="I147" s="81" t="str">
        <f>IF(OR(A147="",N(F147)=0),"",T147/F147)</f>
        <v/>
      </c>
      <c r="J147" s="131" t="str">
        <f>IF(OR(A147="",N(D147)=0),"",MAX(0,D147-E147)/D147)</f>
        <v/>
      </c>
      <c r="K147" s="128" t="str">
        <f>IF(A147="","",SUMIFS(in_work,in_eq,A147,in_type,"Préventif",in_done,1,in_dnum,"&gt;="&amp;p_from,in_dnum,"&lt;="&amp;p_to))</f>
        <v/>
      </c>
      <c r="L147" s="128" t="str">
        <f>IF(A147="","",SUMIFS(in_work,in_eq,A147,in_type,"Correctif",in_done,1,in_dnum,"&gt;="&amp;p_from,in_dnum,"&lt;="&amp;p_to))</f>
        <v/>
      </c>
      <c r="M147" s="128" t="str">
        <f>IF(A147="","",SUMIFS(in_work,in_eq,A147,in_type,"Amélioratif",in_done,1,in_dnum,"&gt;="&amp;p_from,in_dnum,"&lt;="&amp;p_to))</f>
        <v/>
      </c>
      <c r="N147" s="131" t="str">
        <f>IF(OR(A147="",N(K147)+N(L147)+N(M147)=0),"",K147/(K147+L147+M147))</f>
        <v/>
      </c>
      <c r="O147" s="81" t="str">
        <f>IF(A147="","",SUMIFS(in_parts,in_eq,A147,in_done,1,in_dnum,"&gt;="&amp;p_from,in_dnum,"&lt;="&amp;p_to))</f>
        <v/>
      </c>
      <c r="P147" s="81" t="str">
        <f>IF(A147="","",SUMIFS(in_mo,in_eq,A147,in_done,1,in_dnum,"&gt;="&amp;p_from,in_dnum,"&lt;="&amp;p_to))</f>
        <v/>
      </c>
      <c r="Q147" s="81" t="str">
        <f>IF(A147="","",SUMIFS(in_other,in_eq,A147,in_done,1,in_dnum,"&gt;="&amp;p_from,in_dnum,"&lt;="&amp;p_to))</f>
        <v/>
      </c>
      <c r="R147" s="81" t="str">
        <f>IF(A147="","",SUMIFS(in_total,in_eq,A147,in_done,1,in_dnum,"&gt;="&amp;p_from,in_dnum,"&lt;="&amp;p_to))</f>
        <v/>
      </c>
      <c r="S147" s="67" t="str">
        <f>IF(A147="","",SUMIFS(in_work,in_eq,A147,in_type,"Correctif",in_done,1,in_dnum,"&gt;="&amp;p_from,in_dnum,"&lt;="&amp;p_to))</f>
        <v/>
      </c>
      <c r="T147" s="67" t="str">
        <f>IF(A147="","",SUMIFS(in_stop,in_eq,A147,in_type,"Correctif",in_done,1,in_dnum,"&gt;="&amp;p_from,in_dnum,"&lt;="&amp;p_to))</f>
        <v/>
      </c>
    </row>
    <row r="148">
      <c r="A148" s="67" t="str">
        <f>IF(INDEX(eq_code,137)="","",INDEX(eq_code,137)&amp;"")</f>
        <v/>
      </c>
      <c r="B148" s="67" t="str">
        <f>IF(A148="","",INDEX(eq_des,137)&amp;"")</f>
        <v/>
      </c>
      <c r="C148" s="79" t="str">
        <f>IF(A148="","",INDEX(eq_crit,137)&amp;"")</f>
        <v/>
      </c>
      <c r="D148" s="127" t="str">
        <f>IF(A148="","",IF(MAX(p_from,N(INDEX(eq_start,137)))&gt;p_to,0,ROUND(IF(AND(ISNUMBER(INDEX(eq_hours,137)),N(INDEX(eq_hours,137))&gt;0,N(INDEX(eq_hours,137))&lt;=24),INDEX(eq_hours,137),0)*IF(p_days="7 jours sur 7",p_to-MAX(p_from,N(INDEX(eq_start,137)))+1,NETWORKDAYS.INTL(MAX(p_from,N(INDEX(eq_start,137))),p_to,p_weekend,p_holidays)),2)))</f>
        <v/>
      </c>
      <c r="E148" s="128" t="str">
        <f>IF(A148="","",SUMIFS(in_stop,in_eq,A148,in_done,1,in_dnum,"&gt;="&amp;p_from,in_dnum,"&lt;="&amp;p_to))</f>
        <v/>
      </c>
      <c r="F148" s="129" t="str">
        <f>IF(A148="","",COUNTIFS(in_eq,A148,in_type,"Correctif",in_done,1,in_dnum,"&gt;="&amp;p_from,in_dnum,"&lt;="&amp;p_to))</f>
        <v/>
      </c>
      <c r="G148" s="130" t="str">
        <f>IF(OR(A148="",N(F148)=0),"",MAX(0,D148-E148)/F148)</f>
        <v/>
      </c>
      <c r="H148" s="81" t="str">
        <f>IF(OR(A148="",N(F148)=0),"",S148/F148)</f>
        <v/>
      </c>
      <c r="I148" s="81" t="str">
        <f>IF(OR(A148="",N(F148)=0),"",T148/F148)</f>
        <v/>
      </c>
      <c r="J148" s="131" t="str">
        <f>IF(OR(A148="",N(D148)=0),"",MAX(0,D148-E148)/D148)</f>
        <v/>
      </c>
      <c r="K148" s="128" t="str">
        <f>IF(A148="","",SUMIFS(in_work,in_eq,A148,in_type,"Préventif",in_done,1,in_dnum,"&gt;="&amp;p_from,in_dnum,"&lt;="&amp;p_to))</f>
        <v/>
      </c>
      <c r="L148" s="128" t="str">
        <f>IF(A148="","",SUMIFS(in_work,in_eq,A148,in_type,"Correctif",in_done,1,in_dnum,"&gt;="&amp;p_from,in_dnum,"&lt;="&amp;p_to))</f>
        <v/>
      </c>
      <c r="M148" s="128" t="str">
        <f>IF(A148="","",SUMIFS(in_work,in_eq,A148,in_type,"Amélioratif",in_done,1,in_dnum,"&gt;="&amp;p_from,in_dnum,"&lt;="&amp;p_to))</f>
        <v/>
      </c>
      <c r="N148" s="131" t="str">
        <f>IF(OR(A148="",N(K148)+N(L148)+N(M148)=0),"",K148/(K148+L148+M148))</f>
        <v/>
      </c>
      <c r="O148" s="81" t="str">
        <f>IF(A148="","",SUMIFS(in_parts,in_eq,A148,in_done,1,in_dnum,"&gt;="&amp;p_from,in_dnum,"&lt;="&amp;p_to))</f>
        <v/>
      </c>
      <c r="P148" s="81" t="str">
        <f>IF(A148="","",SUMIFS(in_mo,in_eq,A148,in_done,1,in_dnum,"&gt;="&amp;p_from,in_dnum,"&lt;="&amp;p_to))</f>
        <v/>
      </c>
      <c r="Q148" s="81" t="str">
        <f>IF(A148="","",SUMIFS(in_other,in_eq,A148,in_done,1,in_dnum,"&gt;="&amp;p_from,in_dnum,"&lt;="&amp;p_to))</f>
        <v/>
      </c>
      <c r="R148" s="81" t="str">
        <f>IF(A148="","",SUMIFS(in_total,in_eq,A148,in_done,1,in_dnum,"&gt;="&amp;p_from,in_dnum,"&lt;="&amp;p_to))</f>
        <v/>
      </c>
      <c r="S148" s="67" t="str">
        <f>IF(A148="","",SUMIFS(in_work,in_eq,A148,in_type,"Correctif",in_done,1,in_dnum,"&gt;="&amp;p_from,in_dnum,"&lt;="&amp;p_to))</f>
        <v/>
      </c>
      <c r="T148" s="67" t="str">
        <f>IF(A148="","",SUMIFS(in_stop,in_eq,A148,in_type,"Correctif",in_done,1,in_dnum,"&gt;="&amp;p_from,in_dnum,"&lt;="&amp;p_to))</f>
        <v/>
      </c>
    </row>
    <row r="149">
      <c r="A149" s="67" t="str">
        <f>IF(INDEX(eq_code,138)="","",INDEX(eq_code,138)&amp;"")</f>
        <v/>
      </c>
      <c r="B149" s="67" t="str">
        <f>IF(A149="","",INDEX(eq_des,138)&amp;"")</f>
        <v/>
      </c>
      <c r="C149" s="79" t="str">
        <f>IF(A149="","",INDEX(eq_crit,138)&amp;"")</f>
        <v/>
      </c>
      <c r="D149" s="127" t="str">
        <f>IF(A149="","",IF(MAX(p_from,N(INDEX(eq_start,138)))&gt;p_to,0,ROUND(IF(AND(ISNUMBER(INDEX(eq_hours,138)),N(INDEX(eq_hours,138))&gt;0,N(INDEX(eq_hours,138))&lt;=24),INDEX(eq_hours,138),0)*IF(p_days="7 jours sur 7",p_to-MAX(p_from,N(INDEX(eq_start,138)))+1,NETWORKDAYS.INTL(MAX(p_from,N(INDEX(eq_start,138))),p_to,p_weekend,p_holidays)),2)))</f>
        <v/>
      </c>
      <c r="E149" s="128" t="str">
        <f>IF(A149="","",SUMIFS(in_stop,in_eq,A149,in_done,1,in_dnum,"&gt;="&amp;p_from,in_dnum,"&lt;="&amp;p_to))</f>
        <v/>
      </c>
      <c r="F149" s="129" t="str">
        <f>IF(A149="","",COUNTIFS(in_eq,A149,in_type,"Correctif",in_done,1,in_dnum,"&gt;="&amp;p_from,in_dnum,"&lt;="&amp;p_to))</f>
        <v/>
      </c>
      <c r="G149" s="130" t="str">
        <f>IF(OR(A149="",N(F149)=0),"",MAX(0,D149-E149)/F149)</f>
        <v/>
      </c>
      <c r="H149" s="81" t="str">
        <f>IF(OR(A149="",N(F149)=0),"",S149/F149)</f>
        <v/>
      </c>
      <c r="I149" s="81" t="str">
        <f>IF(OR(A149="",N(F149)=0),"",T149/F149)</f>
        <v/>
      </c>
      <c r="J149" s="131" t="str">
        <f>IF(OR(A149="",N(D149)=0),"",MAX(0,D149-E149)/D149)</f>
        <v/>
      </c>
      <c r="K149" s="128" t="str">
        <f>IF(A149="","",SUMIFS(in_work,in_eq,A149,in_type,"Préventif",in_done,1,in_dnum,"&gt;="&amp;p_from,in_dnum,"&lt;="&amp;p_to))</f>
        <v/>
      </c>
      <c r="L149" s="128" t="str">
        <f>IF(A149="","",SUMIFS(in_work,in_eq,A149,in_type,"Correctif",in_done,1,in_dnum,"&gt;="&amp;p_from,in_dnum,"&lt;="&amp;p_to))</f>
        <v/>
      </c>
      <c r="M149" s="128" t="str">
        <f>IF(A149="","",SUMIFS(in_work,in_eq,A149,in_type,"Amélioratif",in_done,1,in_dnum,"&gt;="&amp;p_from,in_dnum,"&lt;="&amp;p_to))</f>
        <v/>
      </c>
      <c r="N149" s="131" t="str">
        <f>IF(OR(A149="",N(K149)+N(L149)+N(M149)=0),"",K149/(K149+L149+M149))</f>
        <v/>
      </c>
      <c r="O149" s="81" t="str">
        <f>IF(A149="","",SUMIFS(in_parts,in_eq,A149,in_done,1,in_dnum,"&gt;="&amp;p_from,in_dnum,"&lt;="&amp;p_to))</f>
        <v/>
      </c>
      <c r="P149" s="81" t="str">
        <f>IF(A149="","",SUMIFS(in_mo,in_eq,A149,in_done,1,in_dnum,"&gt;="&amp;p_from,in_dnum,"&lt;="&amp;p_to))</f>
        <v/>
      </c>
      <c r="Q149" s="81" t="str">
        <f>IF(A149="","",SUMIFS(in_other,in_eq,A149,in_done,1,in_dnum,"&gt;="&amp;p_from,in_dnum,"&lt;="&amp;p_to))</f>
        <v/>
      </c>
      <c r="R149" s="81" t="str">
        <f>IF(A149="","",SUMIFS(in_total,in_eq,A149,in_done,1,in_dnum,"&gt;="&amp;p_from,in_dnum,"&lt;="&amp;p_to))</f>
        <v/>
      </c>
      <c r="S149" s="67" t="str">
        <f>IF(A149="","",SUMIFS(in_work,in_eq,A149,in_type,"Correctif",in_done,1,in_dnum,"&gt;="&amp;p_from,in_dnum,"&lt;="&amp;p_to))</f>
        <v/>
      </c>
      <c r="T149" s="67" t="str">
        <f>IF(A149="","",SUMIFS(in_stop,in_eq,A149,in_type,"Correctif",in_done,1,in_dnum,"&gt;="&amp;p_from,in_dnum,"&lt;="&amp;p_to))</f>
        <v/>
      </c>
    </row>
    <row r="150">
      <c r="A150" s="67" t="str">
        <f>IF(INDEX(eq_code,139)="","",INDEX(eq_code,139)&amp;"")</f>
        <v/>
      </c>
      <c r="B150" s="67" t="str">
        <f>IF(A150="","",INDEX(eq_des,139)&amp;"")</f>
        <v/>
      </c>
      <c r="C150" s="79" t="str">
        <f>IF(A150="","",INDEX(eq_crit,139)&amp;"")</f>
        <v/>
      </c>
      <c r="D150" s="127" t="str">
        <f>IF(A150="","",IF(MAX(p_from,N(INDEX(eq_start,139)))&gt;p_to,0,ROUND(IF(AND(ISNUMBER(INDEX(eq_hours,139)),N(INDEX(eq_hours,139))&gt;0,N(INDEX(eq_hours,139))&lt;=24),INDEX(eq_hours,139),0)*IF(p_days="7 jours sur 7",p_to-MAX(p_from,N(INDEX(eq_start,139)))+1,NETWORKDAYS.INTL(MAX(p_from,N(INDEX(eq_start,139))),p_to,p_weekend,p_holidays)),2)))</f>
        <v/>
      </c>
      <c r="E150" s="128" t="str">
        <f>IF(A150="","",SUMIFS(in_stop,in_eq,A150,in_done,1,in_dnum,"&gt;="&amp;p_from,in_dnum,"&lt;="&amp;p_to))</f>
        <v/>
      </c>
      <c r="F150" s="129" t="str">
        <f>IF(A150="","",COUNTIFS(in_eq,A150,in_type,"Correctif",in_done,1,in_dnum,"&gt;="&amp;p_from,in_dnum,"&lt;="&amp;p_to))</f>
        <v/>
      </c>
      <c r="G150" s="130" t="str">
        <f>IF(OR(A150="",N(F150)=0),"",MAX(0,D150-E150)/F150)</f>
        <v/>
      </c>
      <c r="H150" s="81" t="str">
        <f>IF(OR(A150="",N(F150)=0),"",S150/F150)</f>
        <v/>
      </c>
      <c r="I150" s="81" t="str">
        <f>IF(OR(A150="",N(F150)=0),"",T150/F150)</f>
        <v/>
      </c>
      <c r="J150" s="131" t="str">
        <f>IF(OR(A150="",N(D150)=0),"",MAX(0,D150-E150)/D150)</f>
        <v/>
      </c>
      <c r="K150" s="128" t="str">
        <f>IF(A150="","",SUMIFS(in_work,in_eq,A150,in_type,"Préventif",in_done,1,in_dnum,"&gt;="&amp;p_from,in_dnum,"&lt;="&amp;p_to))</f>
        <v/>
      </c>
      <c r="L150" s="128" t="str">
        <f>IF(A150="","",SUMIFS(in_work,in_eq,A150,in_type,"Correctif",in_done,1,in_dnum,"&gt;="&amp;p_from,in_dnum,"&lt;="&amp;p_to))</f>
        <v/>
      </c>
      <c r="M150" s="128" t="str">
        <f>IF(A150="","",SUMIFS(in_work,in_eq,A150,in_type,"Amélioratif",in_done,1,in_dnum,"&gt;="&amp;p_from,in_dnum,"&lt;="&amp;p_to))</f>
        <v/>
      </c>
      <c r="N150" s="131" t="str">
        <f>IF(OR(A150="",N(K150)+N(L150)+N(M150)=0),"",K150/(K150+L150+M150))</f>
        <v/>
      </c>
      <c r="O150" s="81" t="str">
        <f>IF(A150="","",SUMIFS(in_parts,in_eq,A150,in_done,1,in_dnum,"&gt;="&amp;p_from,in_dnum,"&lt;="&amp;p_to))</f>
        <v/>
      </c>
      <c r="P150" s="81" t="str">
        <f>IF(A150="","",SUMIFS(in_mo,in_eq,A150,in_done,1,in_dnum,"&gt;="&amp;p_from,in_dnum,"&lt;="&amp;p_to))</f>
        <v/>
      </c>
      <c r="Q150" s="81" t="str">
        <f>IF(A150="","",SUMIFS(in_other,in_eq,A150,in_done,1,in_dnum,"&gt;="&amp;p_from,in_dnum,"&lt;="&amp;p_to))</f>
        <v/>
      </c>
      <c r="R150" s="81" t="str">
        <f>IF(A150="","",SUMIFS(in_total,in_eq,A150,in_done,1,in_dnum,"&gt;="&amp;p_from,in_dnum,"&lt;="&amp;p_to))</f>
        <v/>
      </c>
      <c r="S150" s="67" t="str">
        <f>IF(A150="","",SUMIFS(in_work,in_eq,A150,in_type,"Correctif",in_done,1,in_dnum,"&gt;="&amp;p_from,in_dnum,"&lt;="&amp;p_to))</f>
        <v/>
      </c>
      <c r="T150" s="67" t="str">
        <f>IF(A150="","",SUMIFS(in_stop,in_eq,A150,in_type,"Correctif",in_done,1,in_dnum,"&gt;="&amp;p_from,in_dnum,"&lt;="&amp;p_to))</f>
        <v/>
      </c>
    </row>
    <row r="151">
      <c r="A151" s="67" t="str">
        <f>IF(INDEX(eq_code,140)="","",INDEX(eq_code,140)&amp;"")</f>
        <v/>
      </c>
      <c r="B151" s="67" t="str">
        <f>IF(A151="","",INDEX(eq_des,140)&amp;"")</f>
        <v/>
      </c>
      <c r="C151" s="79" t="str">
        <f>IF(A151="","",INDEX(eq_crit,140)&amp;"")</f>
        <v/>
      </c>
      <c r="D151" s="127" t="str">
        <f>IF(A151="","",IF(MAX(p_from,N(INDEX(eq_start,140)))&gt;p_to,0,ROUND(IF(AND(ISNUMBER(INDEX(eq_hours,140)),N(INDEX(eq_hours,140))&gt;0,N(INDEX(eq_hours,140))&lt;=24),INDEX(eq_hours,140),0)*IF(p_days="7 jours sur 7",p_to-MAX(p_from,N(INDEX(eq_start,140)))+1,NETWORKDAYS.INTL(MAX(p_from,N(INDEX(eq_start,140))),p_to,p_weekend,p_holidays)),2)))</f>
        <v/>
      </c>
      <c r="E151" s="128" t="str">
        <f>IF(A151="","",SUMIFS(in_stop,in_eq,A151,in_done,1,in_dnum,"&gt;="&amp;p_from,in_dnum,"&lt;="&amp;p_to))</f>
        <v/>
      </c>
      <c r="F151" s="129" t="str">
        <f>IF(A151="","",COUNTIFS(in_eq,A151,in_type,"Correctif",in_done,1,in_dnum,"&gt;="&amp;p_from,in_dnum,"&lt;="&amp;p_to))</f>
        <v/>
      </c>
      <c r="G151" s="130" t="str">
        <f>IF(OR(A151="",N(F151)=0),"",MAX(0,D151-E151)/F151)</f>
        <v/>
      </c>
      <c r="H151" s="81" t="str">
        <f>IF(OR(A151="",N(F151)=0),"",S151/F151)</f>
        <v/>
      </c>
      <c r="I151" s="81" t="str">
        <f>IF(OR(A151="",N(F151)=0),"",T151/F151)</f>
        <v/>
      </c>
      <c r="J151" s="131" t="str">
        <f>IF(OR(A151="",N(D151)=0),"",MAX(0,D151-E151)/D151)</f>
        <v/>
      </c>
      <c r="K151" s="128" t="str">
        <f>IF(A151="","",SUMIFS(in_work,in_eq,A151,in_type,"Préventif",in_done,1,in_dnum,"&gt;="&amp;p_from,in_dnum,"&lt;="&amp;p_to))</f>
        <v/>
      </c>
      <c r="L151" s="128" t="str">
        <f>IF(A151="","",SUMIFS(in_work,in_eq,A151,in_type,"Correctif",in_done,1,in_dnum,"&gt;="&amp;p_from,in_dnum,"&lt;="&amp;p_to))</f>
        <v/>
      </c>
      <c r="M151" s="128" t="str">
        <f>IF(A151="","",SUMIFS(in_work,in_eq,A151,in_type,"Amélioratif",in_done,1,in_dnum,"&gt;="&amp;p_from,in_dnum,"&lt;="&amp;p_to))</f>
        <v/>
      </c>
      <c r="N151" s="131" t="str">
        <f>IF(OR(A151="",N(K151)+N(L151)+N(M151)=0),"",K151/(K151+L151+M151))</f>
        <v/>
      </c>
      <c r="O151" s="81" t="str">
        <f>IF(A151="","",SUMIFS(in_parts,in_eq,A151,in_done,1,in_dnum,"&gt;="&amp;p_from,in_dnum,"&lt;="&amp;p_to))</f>
        <v/>
      </c>
      <c r="P151" s="81" t="str">
        <f>IF(A151="","",SUMIFS(in_mo,in_eq,A151,in_done,1,in_dnum,"&gt;="&amp;p_from,in_dnum,"&lt;="&amp;p_to))</f>
        <v/>
      </c>
      <c r="Q151" s="81" t="str">
        <f>IF(A151="","",SUMIFS(in_other,in_eq,A151,in_done,1,in_dnum,"&gt;="&amp;p_from,in_dnum,"&lt;="&amp;p_to))</f>
        <v/>
      </c>
      <c r="R151" s="81" t="str">
        <f>IF(A151="","",SUMIFS(in_total,in_eq,A151,in_done,1,in_dnum,"&gt;="&amp;p_from,in_dnum,"&lt;="&amp;p_to))</f>
        <v/>
      </c>
      <c r="S151" s="67" t="str">
        <f>IF(A151="","",SUMIFS(in_work,in_eq,A151,in_type,"Correctif",in_done,1,in_dnum,"&gt;="&amp;p_from,in_dnum,"&lt;="&amp;p_to))</f>
        <v/>
      </c>
      <c r="T151" s="67" t="str">
        <f>IF(A151="","",SUMIFS(in_stop,in_eq,A151,in_type,"Correctif",in_done,1,in_dnum,"&gt;="&amp;p_from,in_dnum,"&lt;="&amp;p_to))</f>
        <v/>
      </c>
    </row>
    <row r="152">
      <c r="A152" s="67" t="str">
        <f>IF(INDEX(eq_code,141)="","",INDEX(eq_code,141)&amp;"")</f>
        <v/>
      </c>
      <c r="B152" s="67" t="str">
        <f>IF(A152="","",INDEX(eq_des,141)&amp;"")</f>
        <v/>
      </c>
      <c r="C152" s="79" t="str">
        <f>IF(A152="","",INDEX(eq_crit,141)&amp;"")</f>
        <v/>
      </c>
      <c r="D152" s="127" t="str">
        <f>IF(A152="","",IF(MAX(p_from,N(INDEX(eq_start,141)))&gt;p_to,0,ROUND(IF(AND(ISNUMBER(INDEX(eq_hours,141)),N(INDEX(eq_hours,141))&gt;0,N(INDEX(eq_hours,141))&lt;=24),INDEX(eq_hours,141),0)*IF(p_days="7 jours sur 7",p_to-MAX(p_from,N(INDEX(eq_start,141)))+1,NETWORKDAYS.INTL(MAX(p_from,N(INDEX(eq_start,141))),p_to,p_weekend,p_holidays)),2)))</f>
        <v/>
      </c>
      <c r="E152" s="128" t="str">
        <f>IF(A152="","",SUMIFS(in_stop,in_eq,A152,in_done,1,in_dnum,"&gt;="&amp;p_from,in_dnum,"&lt;="&amp;p_to))</f>
        <v/>
      </c>
      <c r="F152" s="129" t="str">
        <f>IF(A152="","",COUNTIFS(in_eq,A152,in_type,"Correctif",in_done,1,in_dnum,"&gt;="&amp;p_from,in_dnum,"&lt;="&amp;p_to))</f>
        <v/>
      </c>
      <c r="G152" s="130" t="str">
        <f>IF(OR(A152="",N(F152)=0),"",MAX(0,D152-E152)/F152)</f>
        <v/>
      </c>
      <c r="H152" s="81" t="str">
        <f>IF(OR(A152="",N(F152)=0),"",S152/F152)</f>
        <v/>
      </c>
      <c r="I152" s="81" t="str">
        <f>IF(OR(A152="",N(F152)=0),"",T152/F152)</f>
        <v/>
      </c>
      <c r="J152" s="131" t="str">
        <f>IF(OR(A152="",N(D152)=0),"",MAX(0,D152-E152)/D152)</f>
        <v/>
      </c>
      <c r="K152" s="128" t="str">
        <f>IF(A152="","",SUMIFS(in_work,in_eq,A152,in_type,"Préventif",in_done,1,in_dnum,"&gt;="&amp;p_from,in_dnum,"&lt;="&amp;p_to))</f>
        <v/>
      </c>
      <c r="L152" s="128" t="str">
        <f>IF(A152="","",SUMIFS(in_work,in_eq,A152,in_type,"Correctif",in_done,1,in_dnum,"&gt;="&amp;p_from,in_dnum,"&lt;="&amp;p_to))</f>
        <v/>
      </c>
      <c r="M152" s="128" t="str">
        <f>IF(A152="","",SUMIFS(in_work,in_eq,A152,in_type,"Amélioratif",in_done,1,in_dnum,"&gt;="&amp;p_from,in_dnum,"&lt;="&amp;p_to))</f>
        <v/>
      </c>
      <c r="N152" s="131" t="str">
        <f>IF(OR(A152="",N(K152)+N(L152)+N(M152)=0),"",K152/(K152+L152+M152))</f>
        <v/>
      </c>
      <c r="O152" s="81" t="str">
        <f>IF(A152="","",SUMIFS(in_parts,in_eq,A152,in_done,1,in_dnum,"&gt;="&amp;p_from,in_dnum,"&lt;="&amp;p_to))</f>
        <v/>
      </c>
      <c r="P152" s="81" t="str">
        <f>IF(A152="","",SUMIFS(in_mo,in_eq,A152,in_done,1,in_dnum,"&gt;="&amp;p_from,in_dnum,"&lt;="&amp;p_to))</f>
        <v/>
      </c>
      <c r="Q152" s="81" t="str">
        <f>IF(A152="","",SUMIFS(in_other,in_eq,A152,in_done,1,in_dnum,"&gt;="&amp;p_from,in_dnum,"&lt;="&amp;p_to))</f>
        <v/>
      </c>
      <c r="R152" s="81" t="str">
        <f>IF(A152="","",SUMIFS(in_total,in_eq,A152,in_done,1,in_dnum,"&gt;="&amp;p_from,in_dnum,"&lt;="&amp;p_to))</f>
        <v/>
      </c>
      <c r="S152" s="67" t="str">
        <f>IF(A152="","",SUMIFS(in_work,in_eq,A152,in_type,"Correctif",in_done,1,in_dnum,"&gt;="&amp;p_from,in_dnum,"&lt;="&amp;p_to))</f>
        <v/>
      </c>
      <c r="T152" s="67" t="str">
        <f>IF(A152="","",SUMIFS(in_stop,in_eq,A152,in_type,"Correctif",in_done,1,in_dnum,"&gt;="&amp;p_from,in_dnum,"&lt;="&amp;p_to))</f>
        <v/>
      </c>
    </row>
    <row r="153">
      <c r="A153" s="67" t="str">
        <f>IF(INDEX(eq_code,142)="","",INDEX(eq_code,142)&amp;"")</f>
        <v/>
      </c>
      <c r="B153" s="67" t="str">
        <f>IF(A153="","",INDEX(eq_des,142)&amp;"")</f>
        <v/>
      </c>
      <c r="C153" s="79" t="str">
        <f>IF(A153="","",INDEX(eq_crit,142)&amp;"")</f>
        <v/>
      </c>
      <c r="D153" s="127" t="str">
        <f>IF(A153="","",IF(MAX(p_from,N(INDEX(eq_start,142)))&gt;p_to,0,ROUND(IF(AND(ISNUMBER(INDEX(eq_hours,142)),N(INDEX(eq_hours,142))&gt;0,N(INDEX(eq_hours,142))&lt;=24),INDEX(eq_hours,142),0)*IF(p_days="7 jours sur 7",p_to-MAX(p_from,N(INDEX(eq_start,142)))+1,NETWORKDAYS.INTL(MAX(p_from,N(INDEX(eq_start,142))),p_to,p_weekend,p_holidays)),2)))</f>
        <v/>
      </c>
      <c r="E153" s="128" t="str">
        <f>IF(A153="","",SUMIFS(in_stop,in_eq,A153,in_done,1,in_dnum,"&gt;="&amp;p_from,in_dnum,"&lt;="&amp;p_to))</f>
        <v/>
      </c>
      <c r="F153" s="129" t="str">
        <f>IF(A153="","",COUNTIFS(in_eq,A153,in_type,"Correctif",in_done,1,in_dnum,"&gt;="&amp;p_from,in_dnum,"&lt;="&amp;p_to))</f>
        <v/>
      </c>
      <c r="G153" s="130" t="str">
        <f>IF(OR(A153="",N(F153)=0),"",MAX(0,D153-E153)/F153)</f>
        <v/>
      </c>
      <c r="H153" s="81" t="str">
        <f>IF(OR(A153="",N(F153)=0),"",S153/F153)</f>
        <v/>
      </c>
      <c r="I153" s="81" t="str">
        <f>IF(OR(A153="",N(F153)=0),"",T153/F153)</f>
        <v/>
      </c>
      <c r="J153" s="131" t="str">
        <f>IF(OR(A153="",N(D153)=0),"",MAX(0,D153-E153)/D153)</f>
        <v/>
      </c>
      <c r="K153" s="128" t="str">
        <f>IF(A153="","",SUMIFS(in_work,in_eq,A153,in_type,"Préventif",in_done,1,in_dnum,"&gt;="&amp;p_from,in_dnum,"&lt;="&amp;p_to))</f>
        <v/>
      </c>
      <c r="L153" s="128" t="str">
        <f>IF(A153="","",SUMIFS(in_work,in_eq,A153,in_type,"Correctif",in_done,1,in_dnum,"&gt;="&amp;p_from,in_dnum,"&lt;="&amp;p_to))</f>
        <v/>
      </c>
      <c r="M153" s="128" t="str">
        <f>IF(A153="","",SUMIFS(in_work,in_eq,A153,in_type,"Amélioratif",in_done,1,in_dnum,"&gt;="&amp;p_from,in_dnum,"&lt;="&amp;p_to))</f>
        <v/>
      </c>
      <c r="N153" s="131" t="str">
        <f>IF(OR(A153="",N(K153)+N(L153)+N(M153)=0),"",K153/(K153+L153+M153))</f>
        <v/>
      </c>
      <c r="O153" s="81" t="str">
        <f>IF(A153="","",SUMIFS(in_parts,in_eq,A153,in_done,1,in_dnum,"&gt;="&amp;p_from,in_dnum,"&lt;="&amp;p_to))</f>
        <v/>
      </c>
      <c r="P153" s="81" t="str">
        <f>IF(A153="","",SUMIFS(in_mo,in_eq,A153,in_done,1,in_dnum,"&gt;="&amp;p_from,in_dnum,"&lt;="&amp;p_to))</f>
        <v/>
      </c>
      <c r="Q153" s="81" t="str">
        <f>IF(A153="","",SUMIFS(in_other,in_eq,A153,in_done,1,in_dnum,"&gt;="&amp;p_from,in_dnum,"&lt;="&amp;p_to))</f>
        <v/>
      </c>
      <c r="R153" s="81" t="str">
        <f>IF(A153="","",SUMIFS(in_total,in_eq,A153,in_done,1,in_dnum,"&gt;="&amp;p_from,in_dnum,"&lt;="&amp;p_to))</f>
        <v/>
      </c>
      <c r="S153" s="67" t="str">
        <f>IF(A153="","",SUMIFS(in_work,in_eq,A153,in_type,"Correctif",in_done,1,in_dnum,"&gt;="&amp;p_from,in_dnum,"&lt;="&amp;p_to))</f>
        <v/>
      </c>
      <c r="T153" s="67" t="str">
        <f>IF(A153="","",SUMIFS(in_stop,in_eq,A153,in_type,"Correctif",in_done,1,in_dnum,"&gt;="&amp;p_from,in_dnum,"&lt;="&amp;p_to))</f>
        <v/>
      </c>
    </row>
    <row r="154">
      <c r="A154" s="67" t="str">
        <f>IF(INDEX(eq_code,143)="","",INDEX(eq_code,143)&amp;"")</f>
        <v/>
      </c>
      <c r="B154" s="67" t="str">
        <f>IF(A154="","",INDEX(eq_des,143)&amp;"")</f>
        <v/>
      </c>
      <c r="C154" s="79" t="str">
        <f>IF(A154="","",INDEX(eq_crit,143)&amp;"")</f>
        <v/>
      </c>
      <c r="D154" s="127" t="str">
        <f>IF(A154="","",IF(MAX(p_from,N(INDEX(eq_start,143)))&gt;p_to,0,ROUND(IF(AND(ISNUMBER(INDEX(eq_hours,143)),N(INDEX(eq_hours,143))&gt;0,N(INDEX(eq_hours,143))&lt;=24),INDEX(eq_hours,143),0)*IF(p_days="7 jours sur 7",p_to-MAX(p_from,N(INDEX(eq_start,143)))+1,NETWORKDAYS.INTL(MAX(p_from,N(INDEX(eq_start,143))),p_to,p_weekend,p_holidays)),2)))</f>
        <v/>
      </c>
      <c r="E154" s="128" t="str">
        <f>IF(A154="","",SUMIFS(in_stop,in_eq,A154,in_done,1,in_dnum,"&gt;="&amp;p_from,in_dnum,"&lt;="&amp;p_to))</f>
        <v/>
      </c>
      <c r="F154" s="129" t="str">
        <f>IF(A154="","",COUNTIFS(in_eq,A154,in_type,"Correctif",in_done,1,in_dnum,"&gt;="&amp;p_from,in_dnum,"&lt;="&amp;p_to))</f>
        <v/>
      </c>
      <c r="G154" s="130" t="str">
        <f>IF(OR(A154="",N(F154)=0),"",MAX(0,D154-E154)/F154)</f>
        <v/>
      </c>
      <c r="H154" s="81" t="str">
        <f>IF(OR(A154="",N(F154)=0),"",S154/F154)</f>
        <v/>
      </c>
      <c r="I154" s="81" t="str">
        <f>IF(OR(A154="",N(F154)=0),"",T154/F154)</f>
        <v/>
      </c>
      <c r="J154" s="131" t="str">
        <f>IF(OR(A154="",N(D154)=0),"",MAX(0,D154-E154)/D154)</f>
        <v/>
      </c>
      <c r="K154" s="128" t="str">
        <f>IF(A154="","",SUMIFS(in_work,in_eq,A154,in_type,"Préventif",in_done,1,in_dnum,"&gt;="&amp;p_from,in_dnum,"&lt;="&amp;p_to))</f>
        <v/>
      </c>
      <c r="L154" s="128" t="str">
        <f>IF(A154="","",SUMIFS(in_work,in_eq,A154,in_type,"Correctif",in_done,1,in_dnum,"&gt;="&amp;p_from,in_dnum,"&lt;="&amp;p_to))</f>
        <v/>
      </c>
      <c r="M154" s="128" t="str">
        <f>IF(A154="","",SUMIFS(in_work,in_eq,A154,in_type,"Amélioratif",in_done,1,in_dnum,"&gt;="&amp;p_from,in_dnum,"&lt;="&amp;p_to))</f>
        <v/>
      </c>
      <c r="N154" s="131" t="str">
        <f>IF(OR(A154="",N(K154)+N(L154)+N(M154)=0),"",K154/(K154+L154+M154))</f>
        <v/>
      </c>
      <c r="O154" s="81" t="str">
        <f>IF(A154="","",SUMIFS(in_parts,in_eq,A154,in_done,1,in_dnum,"&gt;="&amp;p_from,in_dnum,"&lt;="&amp;p_to))</f>
        <v/>
      </c>
      <c r="P154" s="81" t="str">
        <f>IF(A154="","",SUMIFS(in_mo,in_eq,A154,in_done,1,in_dnum,"&gt;="&amp;p_from,in_dnum,"&lt;="&amp;p_to))</f>
        <v/>
      </c>
      <c r="Q154" s="81" t="str">
        <f>IF(A154="","",SUMIFS(in_other,in_eq,A154,in_done,1,in_dnum,"&gt;="&amp;p_from,in_dnum,"&lt;="&amp;p_to))</f>
        <v/>
      </c>
      <c r="R154" s="81" t="str">
        <f>IF(A154="","",SUMIFS(in_total,in_eq,A154,in_done,1,in_dnum,"&gt;="&amp;p_from,in_dnum,"&lt;="&amp;p_to))</f>
        <v/>
      </c>
      <c r="S154" s="67" t="str">
        <f>IF(A154="","",SUMIFS(in_work,in_eq,A154,in_type,"Correctif",in_done,1,in_dnum,"&gt;="&amp;p_from,in_dnum,"&lt;="&amp;p_to))</f>
        <v/>
      </c>
      <c r="T154" s="67" t="str">
        <f>IF(A154="","",SUMIFS(in_stop,in_eq,A154,in_type,"Correctif",in_done,1,in_dnum,"&gt;="&amp;p_from,in_dnum,"&lt;="&amp;p_to))</f>
        <v/>
      </c>
    </row>
    <row r="155">
      <c r="A155" s="67" t="str">
        <f>IF(INDEX(eq_code,144)="","",INDEX(eq_code,144)&amp;"")</f>
        <v/>
      </c>
      <c r="B155" s="67" t="str">
        <f>IF(A155="","",INDEX(eq_des,144)&amp;"")</f>
        <v/>
      </c>
      <c r="C155" s="79" t="str">
        <f>IF(A155="","",INDEX(eq_crit,144)&amp;"")</f>
        <v/>
      </c>
      <c r="D155" s="127" t="str">
        <f>IF(A155="","",IF(MAX(p_from,N(INDEX(eq_start,144)))&gt;p_to,0,ROUND(IF(AND(ISNUMBER(INDEX(eq_hours,144)),N(INDEX(eq_hours,144))&gt;0,N(INDEX(eq_hours,144))&lt;=24),INDEX(eq_hours,144),0)*IF(p_days="7 jours sur 7",p_to-MAX(p_from,N(INDEX(eq_start,144)))+1,NETWORKDAYS.INTL(MAX(p_from,N(INDEX(eq_start,144))),p_to,p_weekend,p_holidays)),2)))</f>
        <v/>
      </c>
      <c r="E155" s="128" t="str">
        <f>IF(A155="","",SUMIFS(in_stop,in_eq,A155,in_done,1,in_dnum,"&gt;="&amp;p_from,in_dnum,"&lt;="&amp;p_to))</f>
        <v/>
      </c>
      <c r="F155" s="129" t="str">
        <f>IF(A155="","",COUNTIFS(in_eq,A155,in_type,"Correctif",in_done,1,in_dnum,"&gt;="&amp;p_from,in_dnum,"&lt;="&amp;p_to))</f>
        <v/>
      </c>
      <c r="G155" s="130" t="str">
        <f>IF(OR(A155="",N(F155)=0),"",MAX(0,D155-E155)/F155)</f>
        <v/>
      </c>
      <c r="H155" s="81" t="str">
        <f>IF(OR(A155="",N(F155)=0),"",S155/F155)</f>
        <v/>
      </c>
      <c r="I155" s="81" t="str">
        <f>IF(OR(A155="",N(F155)=0),"",T155/F155)</f>
        <v/>
      </c>
      <c r="J155" s="131" t="str">
        <f>IF(OR(A155="",N(D155)=0),"",MAX(0,D155-E155)/D155)</f>
        <v/>
      </c>
      <c r="K155" s="128" t="str">
        <f>IF(A155="","",SUMIFS(in_work,in_eq,A155,in_type,"Préventif",in_done,1,in_dnum,"&gt;="&amp;p_from,in_dnum,"&lt;="&amp;p_to))</f>
        <v/>
      </c>
      <c r="L155" s="128" t="str">
        <f>IF(A155="","",SUMIFS(in_work,in_eq,A155,in_type,"Correctif",in_done,1,in_dnum,"&gt;="&amp;p_from,in_dnum,"&lt;="&amp;p_to))</f>
        <v/>
      </c>
      <c r="M155" s="128" t="str">
        <f>IF(A155="","",SUMIFS(in_work,in_eq,A155,in_type,"Amélioratif",in_done,1,in_dnum,"&gt;="&amp;p_from,in_dnum,"&lt;="&amp;p_to))</f>
        <v/>
      </c>
      <c r="N155" s="131" t="str">
        <f>IF(OR(A155="",N(K155)+N(L155)+N(M155)=0),"",K155/(K155+L155+M155))</f>
        <v/>
      </c>
      <c r="O155" s="81" t="str">
        <f>IF(A155="","",SUMIFS(in_parts,in_eq,A155,in_done,1,in_dnum,"&gt;="&amp;p_from,in_dnum,"&lt;="&amp;p_to))</f>
        <v/>
      </c>
      <c r="P155" s="81" t="str">
        <f>IF(A155="","",SUMIFS(in_mo,in_eq,A155,in_done,1,in_dnum,"&gt;="&amp;p_from,in_dnum,"&lt;="&amp;p_to))</f>
        <v/>
      </c>
      <c r="Q155" s="81" t="str">
        <f>IF(A155="","",SUMIFS(in_other,in_eq,A155,in_done,1,in_dnum,"&gt;="&amp;p_from,in_dnum,"&lt;="&amp;p_to))</f>
        <v/>
      </c>
      <c r="R155" s="81" t="str">
        <f>IF(A155="","",SUMIFS(in_total,in_eq,A155,in_done,1,in_dnum,"&gt;="&amp;p_from,in_dnum,"&lt;="&amp;p_to))</f>
        <v/>
      </c>
      <c r="S155" s="67" t="str">
        <f>IF(A155="","",SUMIFS(in_work,in_eq,A155,in_type,"Correctif",in_done,1,in_dnum,"&gt;="&amp;p_from,in_dnum,"&lt;="&amp;p_to))</f>
        <v/>
      </c>
      <c r="T155" s="67" t="str">
        <f>IF(A155="","",SUMIFS(in_stop,in_eq,A155,in_type,"Correctif",in_done,1,in_dnum,"&gt;="&amp;p_from,in_dnum,"&lt;="&amp;p_to))</f>
        <v/>
      </c>
    </row>
    <row r="156">
      <c r="A156" s="67" t="str">
        <f>IF(INDEX(eq_code,145)="","",INDEX(eq_code,145)&amp;"")</f>
        <v/>
      </c>
      <c r="B156" s="67" t="str">
        <f>IF(A156="","",INDEX(eq_des,145)&amp;"")</f>
        <v/>
      </c>
      <c r="C156" s="79" t="str">
        <f>IF(A156="","",INDEX(eq_crit,145)&amp;"")</f>
        <v/>
      </c>
      <c r="D156" s="127" t="str">
        <f>IF(A156="","",IF(MAX(p_from,N(INDEX(eq_start,145)))&gt;p_to,0,ROUND(IF(AND(ISNUMBER(INDEX(eq_hours,145)),N(INDEX(eq_hours,145))&gt;0,N(INDEX(eq_hours,145))&lt;=24),INDEX(eq_hours,145),0)*IF(p_days="7 jours sur 7",p_to-MAX(p_from,N(INDEX(eq_start,145)))+1,NETWORKDAYS.INTL(MAX(p_from,N(INDEX(eq_start,145))),p_to,p_weekend,p_holidays)),2)))</f>
        <v/>
      </c>
      <c r="E156" s="128" t="str">
        <f>IF(A156="","",SUMIFS(in_stop,in_eq,A156,in_done,1,in_dnum,"&gt;="&amp;p_from,in_dnum,"&lt;="&amp;p_to))</f>
        <v/>
      </c>
      <c r="F156" s="129" t="str">
        <f>IF(A156="","",COUNTIFS(in_eq,A156,in_type,"Correctif",in_done,1,in_dnum,"&gt;="&amp;p_from,in_dnum,"&lt;="&amp;p_to))</f>
        <v/>
      </c>
      <c r="G156" s="130" t="str">
        <f>IF(OR(A156="",N(F156)=0),"",MAX(0,D156-E156)/F156)</f>
        <v/>
      </c>
      <c r="H156" s="81" t="str">
        <f>IF(OR(A156="",N(F156)=0),"",S156/F156)</f>
        <v/>
      </c>
      <c r="I156" s="81" t="str">
        <f>IF(OR(A156="",N(F156)=0),"",T156/F156)</f>
        <v/>
      </c>
      <c r="J156" s="131" t="str">
        <f>IF(OR(A156="",N(D156)=0),"",MAX(0,D156-E156)/D156)</f>
        <v/>
      </c>
      <c r="K156" s="128" t="str">
        <f>IF(A156="","",SUMIFS(in_work,in_eq,A156,in_type,"Préventif",in_done,1,in_dnum,"&gt;="&amp;p_from,in_dnum,"&lt;="&amp;p_to))</f>
        <v/>
      </c>
      <c r="L156" s="128" t="str">
        <f>IF(A156="","",SUMIFS(in_work,in_eq,A156,in_type,"Correctif",in_done,1,in_dnum,"&gt;="&amp;p_from,in_dnum,"&lt;="&amp;p_to))</f>
        <v/>
      </c>
      <c r="M156" s="128" t="str">
        <f>IF(A156="","",SUMIFS(in_work,in_eq,A156,in_type,"Amélioratif",in_done,1,in_dnum,"&gt;="&amp;p_from,in_dnum,"&lt;="&amp;p_to))</f>
        <v/>
      </c>
      <c r="N156" s="131" t="str">
        <f>IF(OR(A156="",N(K156)+N(L156)+N(M156)=0),"",K156/(K156+L156+M156))</f>
        <v/>
      </c>
      <c r="O156" s="81" t="str">
        <f>IF(A156="","",SUMIFS(in_parts,in_eq,A156,in_done,1,in_dnum,"&gt;="&amp;p_from,in_dnum,"&lt;="&amp;p_to))</f>
        <v/>
      </c>
      <c r="P156" s="81" t="str">
        <f>IF(A156="","",SUMIFS(in_mo,in_eq,A156,in_done,1,in_dnum,"&gt;="&amp;p_from,in_dnum,"&lt;="&amp;p_to))</f>
        <v/>
      </c>
      <c r="Q156" s="81" t="str">
        <f>IF(A156="","",SUMIFS(in_other,in_eq,A156,in_done,1,in_dnum,"&gt;="&amp;p_from,in_dnum,"&lt;="&amp;p_to))</f>
        <v/>
      </c>
      <c r="R156" s="81" t="str">
        <f>IF(A156="","",SUMIFS(in_total,in_eq,A156,in_done,1,in_dnum,"&gt;="&amp;p_from,in_dnum,"&lt;="&amp;p_to))</f>
        <v/>
      </c>
      <c r="S156" s="67" t="str">
        <f>IF(A156="","",SUMIFS(in_work,in_eq,A156,in_type,"Correctif",in_done,1,in_dnum,"&gt;="&amp;p_from,in_dnum,"&lt;="&amp;p_to))</f>
        <v/>
      </c>
      <c r="T156" s="67" t="str">
        <f>IF(A156="","",SUMIFS(in_stop,in_eq,A156,in_type,"Correctif",in_done,1,in_dnum,"&gt;="&amp;p_from,in_dnum,"&lt;="&amp;p_to))</f>
        <v/>
      </c>
    </row>
    <row r="157">
      <c r="A157" s="67" t="str">
        <f>IF(INDEX(eq_code,146)="","",INDEX(eq_code,146)&amp;"")</f>
        <v/>
      </c>
      <c r="B157" s="67" t="str">
        <f>IF(A157="","",INDEX(eq_des,146)&amp;"")</f>
        <v/>
      </c>
      <c r="C157" s="79" t="str">
        <f>IF(A157="","",INDEX(eq_crit,146)&amp;"")</f>
        <v/>
      </c>
      <c r="D157" s="127" t="str">
        <f>IF(A157="","",IF(MAX(p_from,N(INDEX(eq_start,146)))&gt;p_to,0,ROUND(IF(AND(ISNUMBER(INDEX(eq_hours,146)),N(INDEX(eq_hours,146))&gt;0,N(INDEX(eq_hours,146))&lt;=24),INDEX(eq_hours,146),0)*IF(p_days="7 jours sur 7",p_to-MAX(p_from,N(INDEX(eq_start,146)))+1,NETWORKDAYS.INTL(MAX(p_from,N(INDEX(eq_start,146))),p_to,p_weekend,p_holidays)),2)))</f>
        <v/>
      </c>
      <c r="E157" s="128" t="str">
        <f>IF(A157="","",SUMIFS(in_stop,in_eq,A157,in_done,1,in_dnum,"&gt;="&amp;p_from,in_dnum,"&lt;="&amp;p_to))</f>
        <v/>
      </c>
      <c r="F157" s="129" t="str">
        <f>IF(A157="","",COUNTIFS(in_eq,A157,in_type,"Correctif",in_done,1,in_dnum,"&gt;="&amp;p_from,in_dnum,"&lt;="&amp;p_to))</f>
        <v/>
      </c>
      <c r="G157" s="130" t="str">
        <f>IF(OR(A157="",N(F157)=0),"",MAX(0,D157-E157)/F157)</f>
        <v/>
      </c>
      <c r="H157" s="81" t="str">
        <f>IF(OR(A157="",N(F157)=0),"",S157/F157)</f>
        <v/>
      </c>
      <c r="I157" s="81" t="str">
        <f>IF(OR(A157="",N(F157)=0),"",T157/F157)</f>
        <v/>
      </c>
      <c r="J157" s="131" t="str">
        <f>IF(OR(A157="",N(D157)=0),"",MAX(0,D157-E157)/D157)</f>
        <v/>
      </c>
      <c r="K157" s="128" t="str">
        <f>IF(A157="","",SUMIFS(in_work,in_eq,A157,in_type,"Préventif",in_done,1,in_dnum,"&gt;="&amp;p_from,in_dnum,"&lt;="&amp;p_to))</f>
        <v/>
      </c>
      <c r="L157" s="128" t="str">
        <f>IF(A157="","",SUMIFS(in_work,in_eq,A157,in_type,"Correctif",in_done,1,in_dnum,"&gt;="&amp;p_from,in_dnum,"&lt;="&amp;p_to))</f>
        <v/>
      </c>
      <c r="M157" s="128" t="str">
        <f>IF(A157="","",SUMIFS(in_work,in_eq,A157,in_type,"Amélioratif",in_done,1,in_dnum,"&gt;="&amp;p_from,in_dnum,"&lt;="&amp;p_to))</f>
        <v/>
      </c>
      <c r="N157" s="131" t="str">
        <f>IF(OR(A157="",N(K157)+N(L157)+N(M157)=0),"",K157/(K157+L157+M157))</f>
        <v/>
      </c>
      <c r="O157" s="81" t="str">
        <f>IF(A157="","",SUMIFS(in_parts,in_eq,A157,in_done,1,in_dnum,"&gt;="&amp;p_from,in_dnum,"&lt;="&amp;p_to))</f>
        <v/>
      </c>
      <c r="P157" s="81" t="str">
        <f>IF(A157="","",SUMIFS(in_mo,in_eq,A157,in_done,1,in_dnum,"&gt;="&amp;p_from,in_dnum,"&lt;="&amp;p_to))</f>
        <v/>
      </c>
      <c r="Q157" s="81" t="str">
        <f>IF(A157="","",SUMIFS(in_other,in_eq,A157,in_done,1,in_dnum,"&gt;="&amp;p_from,in_dnum,"&lt;="&amp;p_to))</f>
        <v/>
      </c>
      <c r="R157" s="81" t="str">
        <f>IF(A157="","",SUMIFS(in_total,in_eq,A157,in_done,1,in_dnum,"&gt;="&amp;p_from,in_dnum,"&lt;="&amp;p_to))</f>
        <v/>
      </c>
      <c r="S157" s="67" t="str">
        <f>IF(A157="","",SUMIFS(in_work,in_eq,A157,in_type,"Correctif",in_done,1,in_dnum,"&gt;="&amp;p_from,in_dnum,"&lt;="&amp;p_to))</f>
        <v/>
      </c>
      <c r="T157" s="67" t="str">
        <f>IF(A157="","",SUMIFS(in_stop,in_eq,A157,in_type,"Correctif",in_done,1,in_dnum,"&gt;="&amp;p_from,in_dnum,"&lt;="&amp;p_to))</f>
        <v/>
      </c>
    </row>
    <row r="158">
      <c r="A158" s="67" t="str">
        <f>IF(INDEX(eq_code,147)="","",INDEX(eq_code,147)&amp;"")</f>
        <v/>
      </c>
      <c r="B158" s="67" t="str">
        <f>IF(A158="","",INDEX(eq_des,147)&amp;"")</f>
        <v/>
      </c>
      <c r="C158" s="79" t="str">
        <f>IF(A158="","",INDEX(eq_crit,147)&amp;"")</f>
        <v/>
      </c>
      <c r="D158" s="127" t="str">
        <f>IF(A158="","",IF(MAX(p_from,N(INDEX(eq_start,147)))&gt;p_to,0,ROUND(IF(AND(ISNUMBER(INDEX(eq_hours,147)),N(INDEX(eq_hours,147))&gt;0,N(INDEX(eq_hours,147))&lt;=24),INDEX(eq_hours,147),0)*IF(p_days="7 jours sur 7",p_to-MAX(p_from,N(INDEX(eq_start,147)))+1,NETWORKDAYS.INTL(MAX(p_from,N(INDEX(eq_start,147))),p_to,p_weekend,p_holidays)),2)))</f>
        <v/>
      </c>
      <c r="E158" s="128" t="str">
        <f>IF(A158="","",SUMIFS(in_stop,in_eq,A158,in_done,1,in_dnum,"&gt;="&amp;p_from,in_dnum,"&lt;="&amp;p_to))</f>
        <v/>
      </c>
      <c r="F158" s="129" t="str">
        <f>IF(A158="","",COUNTIFS(in_eq,A158,in_type,"Correctif",in_done,1,in_dnum,"&gt;="&amp;p_from,in_dnum,"&lt;="&amp;p_to))</f>
        <v/>
      </c>
      <c r="G158" s="130" t="str">
        <f>IF(OR(A158="",N(F158)=0),"",MAX(0,D158-E158)/F158)</f>
        <v/>
      </c>
      <c r="H158" s="81" t="str">
        <f>IF(OR(A158="",N(F158)=0),"",S158/F158)</f>
        <v/>
      </c>
      <c r="I158" s="81" t="str">
        <f>IF(OR(A158="",N(F158)=0),"",T158/F158)</f>
        <v/>
      </c>
      <c r="J158" s="131" t="str">
        <f>IF(OR(A158="",N(D158)=0),"",MAX(0,D158-E158)/D158)</f>
        <v/>
      </c>
      <c r="K158" s="128" t="str">
        <f>IF(A158="","",SUMIFS(in_work,in_eq,A158,in_type,"Préventif",in_done,1,in_dnum,"&gt;="&amp;p_from,in_dnum,"&lt;="&amp;p_to))</f>
        <v/>
      </c>
      <c r="L158" s="128" t="str">
        <f>IF(A158="","",SUMIFS(in_work,in_eq,A158,in_type,"Correctif",in_done,1,in_dnum,"&gt;="&amp;p_from,in_dnum,"&lt;="&amp;p_to))</f>
        <v/>
      </c>
      <c r="M158" s="128" t="str">
        <f>IF(A158="","",SUMIFS(in_work,in_eq,A158,in_type,"Amélioratif",in_done,1,in_dnum,"&gt;="&amp;p_from,in_dnum,"&lt;="&amp;p_to))</f>
        <v/>
      </c>
      <c r="N158" s="131" t="str">
        <f>IF(OR(A158="",N(K158)+N(L158)+N(M158)=0),"",K158/(K158+L158+M158))</f>
        <v/>
      </c>
      <c r="O158" s="81" t="str">
        <f>IF(A158="","",SUMIFS(in_parts,in_eq,A158,in_done,1,in_dnum,"&gt;="&amp;p_from,in_dnum,"&lt;="&amp;p_to))</f>
        <v/>
      </c>
      <c r="P158" s="81" t="str">
        <f>IF(A158="","",SUMIFS(in_mo,in_eq,A158,in_done,1,in_dnum,"&gt;="&amp;p_from,in_dnum,"&lt;="&amp;p_to))</f>
        <v/>
      </c>
      <c r="Q158" s="81" t="str">
        <f>IF(A158="","",SUMIFS(in_other,in_eq,A158,in_done,1,in_dnum,"&gt;="&amp;p_from,in_dnum,"&lt;="&amp;p_to))</f>
        <v/>
      </c>
      <c r="R158" s="81" t="str">
        <f>IF(A158="","",SUMIFS(in_total,in_eq,A158,in_done,1,in_dnum,"&gt;="&amp;p_from,in_dnum,"&lt;="&amp;p_to))</f>
        <v/>
      </c>
      <c r="S158" s="67" t="str">
        <f>IF(A158="","",SUMIFS(in_work,in_eq,A158,in_type,"Correctif",in_done,1,in_dnum,"&gt;="&amp;p_from,in_dnum,"&lt;="&amp;p_to))</f>
        <v/>
      </c>
      <c r="T158" s="67" t="str">
        <f>IF(A158="","",SUMIFS(in_stop,in_eq,A158,in_type,"Correctif",in_done,1,in_dnum,"&gt;="&amp;p_from,in_dnum,"&lt;="&amp;p_to))</f>
        <v/>
      </c>
    </row>
    <row r="159">
      <c r="A159" s="67" t="str">
        <f>IF(INDEX(eq_code,148)="","",INDEX(eq_code,148)&amp;"")</f>
        <v/>
      </c>
      <c r="B159" s="67" t="str">
        <f>IF(A159="","",INDEX(eq_des,148)&amp;"")</f>
        <v/>
      </c>
      <c r="C159" s="79" t="str">
        <f>IF(A159="","",INDEX(eq_crit,148)&amp;"")</f>
        <v/>
      </c>
      <c r="D159" s="127" t="str">
        <f>IF(A159="","",IF(MAX(p_from,N(INDEX(eq_start,148)))&gt;p_to,0,ROUND(IF(AND(ISNUMBER(INDEX(eq_hours,148)),N(INDEX(eq_hours,148))&gt;0,N(INDEX(eq_hours,148))&lt;=24),INDEX(eq_hours,148),0)*IF(p_days="7 jours sur 7",p_to-MAX(p_from,N(INDEX(eq_start,148)))+1,NETWORKDAYS.INTL(MAX(p_from,N(INDEX(eq_start,148))),p_to,p_weekend,p_holidays)),2)))</f>
        <v/>
      </c>
      <c r="E159" s="128" t="str">
        <f>IF(A159="","",SUMIFS(in_stop,in_eq,A159,in_done,1,in_dnum,"&gt;="&amp;p_from,in_dnum,"&lt;="&amp;p_to))</f>
        <v/>
      </c>
      <c r="F159" s="129" t="str">
        <f>IF(A159="","",COUNTIFS(in_eq,A159,in_type,"Correctif",in_done,1,in_dnum,"&gt;="&amp;p_from,in_dnum,"&lt;="&amp;p_to))</f>
        <v/>
      </c>
      <c r="G159" s="130" t="str">
        <f>IF(OR(A159="",N(F159)=0),"",MAX(0,D159-E159)/F159)</f>
        <v/>
      </c>
      <c r="H159" s="81" t="str">
        <f>IF(OR(A159="",N(F159)=0),"",S159/F159)</f>
        <v/>
      </c>
      <c r="I159" s="81" t="str">
        <f>IF(OR(A159="",N(F159)=0),"",T159/F159)</f>
        <v/>
      </c>
      <c r="J159" s="131" t="str">
        <f>IF(OR(A159="",N(D159)=0),"",MAX(0,D159-E159)/D159)</f>
        <v/>
      </c>
      <c r="K159" s="128" t="str">
        <f>IF(A159="","",SUMIFS(in_work,in_eq,A159,in_type,"Préventif",in_done,1,in_dnum,"&gt;="&amp;p_from,in_dnum,"&lt;="&amp;p_to))</f>
        <v/>
      </c>
      <c r="L159" s="128" t="str">
        <f>IF(A159="","",SUMIFS(in_work,in_eq,A159,in_type,"Correctif",in_done,1,in_dnum,"&gt;="&amp;p_from,in_dnum,"&lt;="&amp;p_to))</f>
        <v/>
      </c>
      <c r="M159" s="128" t="str">
        <f>IF(A159="","",SUMIFS(in_work,in_eq,A159,in_type,"Amélioratif",in_done,1,in_dnum,"&gt;="&amp;p_from,in_dnum,"&lt;="&amp;p_to))</f>
        <v/>
      </c>
      <c r="N159" s="131" t="str">
        <f>IF(OR(A159="",N(K159)+N(L159)+N(M159)=0),"",K159/(K159+L159+M159))</f>
        <v/>
      </c>
      <c r="O159" s="81" t="str">
        <f>IF(A159="","",SUMIFS(in_parts,in_eq,A159,in_done,1,in_dnum,"&gt;="&amp;p_from,in_dnum,"&lt;="&amp;p_to))</f>
        <v/>
      </c>
      <c r="P159" s="81" t="str">
        <f>IF(A159="","",SUMIFS(in_mo,in_eq,A159,in_done,1,in_dnum,"&gt;="&amp;p_from,in_dnum,"&lt;="&amp;p_to))</f>
        <v/>
      </c>
      <c r="Q159" s="81" t="str">
        <f>IF(A159="","",SUMIFS(in_other,in_eq,A159,in_done,1,in_dnum,"&gt;="&amp;p_from,in_dnum,"&lt;="&amp;p_to))</f>
        <v/>
      </c>
      <c r="R159" s="81" t="str">
        <f>IF(A159="","",SUMIFS(in_total,in_eq,A159,in_done,1,in_dnum,"&gt;="&amp;p_from,in_dnum,"&lt;="&amp;p_to))</f>
        <v/>
      </c>
      <c r="S159" s="67" t="str">
        <f>IF(A159="","",SUMIFS(in_work,in_eq,A159,in_type,"Correctif",in_done,1,in_dnum,"&gt;="&amp;p_from,in_dnum,"&lt;="&amp;p_to))</f>
        <v/>
      </c>
      <c r="T159" s="67" t="str">
        <f>IF(A159="","",SUMIFS(in_stop,in_eq,A159,in_type,"Correctif",in_done,1,in_dnum,"&gt;="&amp;p_from,in_dnum,"&lt;="&amp;p_to))</f>
        <v/>
      </c>
    </row>
    <row r="160">
      <c r="A160" s="67" t="str">
        <f>IF(INDEX(eq_code,149)="","",INDEX(eq_code,149)&amp;"")</f>
        <v/>
      </c>
      <c r="B160" s="67" t="str">
        <f>IF(A160="","",INDEX(eq_des,149)&amp;"")</f>
        <v/>
      </c>
      <c r="C160" s="79" t="str">
        <f>IF(A160="","",INDEX(eq_crit,149)&amp;"")</f>
        <v/>
      </c>
      <c r="D160" s="127" t="str">
        <f>IF(A160="","",IF(MAX(p_from,N(INDEX(eq_start,149)))&gt;p_to,0,ROUND(IF(AND(ISNUMBER(INDEX(eq_hours,149)),N(INDEX(eq_hours,149))&gt;0,N(INDEX(eq_hours,149))&lt;=24),INDEX(eq_hours,149),0)*IF(p_days="7 jours sur 7",p_to-MAX(p_from,N(INDEX(eq_start,149)))+1,NETWORKDAYS.INTL(MAX(p_from,N(INDEX(eq_start,149))),p_to,p_weekend,p_holidays)),2)))</f>
        <v/>
      </c>
      <c r="E160" s="128" t="str">
        <f>IF(A160="","",SUMIFS(in_stop,in_eq,A160,in_done,1,in_dnum,"&gt;="&amp;p_from,in_dnum,"&lt;="&amp;p_to))</f>
        <v/>
      </c>
      <c r="F160" s="129" t="str">
        <f>IF(A160="","",COUNTIFS(in_eq,A160,in_type,"Correctif",in_done,1,in_dnum,"&gt;="&amp;p_from,in_dnum,"&lt;="&amp;p_to))</f>
        <v/>
      </c>
      <c r="G160" s="130" t="str">
        <f>IF(OR(A160="",N(F160)=0),"",MAX(0,D160-E160)/F160)</f>
        <v/>
      </c>
      <c r="H160" s="81" t="str">
        <f>IF(OR(A160="",N(F160)=0),"",S160/F160)</f>
        <v/>
      </c>
      <c r="I160" s="81" t="str">
        <f>IF(OR(A160="",N(F160)=0),"",T160/F160)</f>
        <v/>
      </c>
      <c r="J160" s="131" t="str">
        <f>IF(OR(A160="",N(D160)=0),"",MAX(0,D160-E160)/D160)</f>
        <v/>
      </c>
      <c r="K160" s="128" t="str">
        <f>IF(A160="","",SUMIFS(in_work,in_eq,A160,in_type,"Préventif",in_done,1,in_dnum,"&gt;="&amp;p_from,in_dnum,"&lt;="&amp;p_to))</f>
        <v/>
      </c>
      <c r="L160" s="128" t="str">
        <f>IF(A160="","",SUMIFS(in_work,in_eq,A160,in_type,"Correctif",in_done,1,in_dnum,"&gt;="&amp;p_from,in_dnum,"&lt;="&amp;p_to))</f>
        <v/>
      </c>
      <c r="M160" s="128" t="str">
        <f>IF(A160="","",SUMIFS(in_work,in_eq,A160,in_type,"Amélioratif",in_done,1,in_dnum,"&gt;="&amp;p_from,in_dnum,"&lt;="&amp;p_to))</f>
        <v/>
      </c>
      <c r="N160" s="131" t="str">
        <f>IF(OR(A160="",N(K160)+N(L160)+N(M160)=0),"",K160/(K160+L160+M160))</f>
        <v/>
      </c>
      <c r="O160" s="81" t="str">
        <f>IF(A160="","",SUMIFS(in_parts,in_eq,A160,in_done,1,in_dnum,"&gt;="&amp;p_from,in_dnum,"&lt;="&amp;p_to))</f>
        <v/>
      </c>
      <c r="P160" s="81" t="str">
        <f>IF(A160="","",SUMIFS(in_mo,in_eq,A160,in_done,1,in_dnum,"&gt;="&amp;p_from,in_dnum,"&lt;="&amp;p_to))</f>
        <v/>
      </c>
      <c r="Q160" s="81" t="str">
        <f>IF(A160="","",SUMIFS(in_other,in_eq,A160,in_done,1,in_dnum,"&gt;="&amp;p_from,in_dnum,"&lt;="&amp;p_to))</f>
        <v/>
      </c>
      <c r="R160" s="81" t="str">
        <f>IF(A160="","",SUMIFS(in_total,in_eq,A160,in_done,1,in_dnum,"&gt;="&amp;p_from,in_dnum,"&lt;="&amp;p_to))</f>
        <v/>
      </c>
      <c r="S160" s="67" t="str">
        <f>IF(A160="","",SUMIFS(in_work,in_eq,A160,in_type,"Correctif",in_done,1,in_dnum,"&gt;="&amp;p_from,in_dnum,"&lt;="&amp;p_to))</f>
        <v/>
      </c>
      <c r="T160" s="67" t="str">
        <f>IF(A160="","",SUMIFS(in_stop,in_eq,A160,in_type,"Correctif",in_done,1,in_dnum,"&gt;="&amp;p_from,in_dnum,"&lt;="&amp;p_to))</f>
        <v/>
      </c>
    </row>
    <row r="161">
      <c r="A161" s="67" t="str">
        <f>IF(INDEX(eq_code,150)="","",INDEX(eq_code,150)&amp;"")</f>
        <v/>
      </c>
      <c r="B161" s="67" t="str">
        <f>IF(A161="","",INDEX(eq_des,150)&amp;"")</f>
        <v/>
      </c>
      <c r="C161" s="79" t="str">
        <f>IF(A161="","",INDEX(eq_crit,150)&amp;"")</f>
        <v/>
      </c>
      <c r="D161" s="127" t="str">
        <f>IF(A161="","",IF(MAX(p_from,N(INDEX(eq_start,150)))&gt;p_to,0,ROUND(IF(AND(ISNUMBER(INDEX(eq_hours,150)),N(INDEX(eq_hours,150))&gt;0,N(INDEX(eq_hours,150))&lt;=24),INDEX(eq_hours,150),0)*IF(p_days="7 jours sur 7",p_to-MAX(p_from,N(INDEX(eq_start,150)))+1,NETWORKDAYS.INTL(MAX(p_from,N(INDEX(eq_start,150))),p_to,p_weekend,p_holidays)),2)))</f>
        <v/>
      </c>
      <c r="E161" s="128" t="str">
        <f>IF(A161="","",SUMIFS(in_stop,in_eq,A161,in_done,1,in_dnum,"&gt;="&amp;p_from,in_dnum,"&lt;="&amp;p_to))</f>
        <v/>
      </c>
      <c r="F161" s="129" t="str">
        <f>IF(A161="","",COUNTIFS(in_eq,A161,in_type,"Correctif",in_done,1,in_dnum,"&gt;="&amp;p_from,in_dnum,"&lt;="&amp;p_to))</f>
        <v/>
      </c>
      <c r="G161" s="130" t="str">
        <f>IF(OR(A161="",N(F161)=0),"",MAX(0,D161-E161)/F161)</f>
        <v/>
      </c>
      <c r="H161" s="81" t="str">
        <f>IF(OR(A161="",N(F161)=0),"",S161/F161)</f>
        <v/>
      </c>
      <c r="I161" s="81" t="str">
        <f>IF(OR(A161="",N(F161)=0),"",T161/F161)</f>
        <v/>
      </c>
      <c r="J161" s="131" t="str">
        <f>IF(OR(A161="",N(D161)=0),"",MAX(0,D161-E161)/D161)</f>
        <v/>
      </c>
      <c r="K161" s="128" t="str">
        <f>IF(A161="","",SUMIFS(in_work,in_eq,A161,in_type,"Préventif",in_done,1,in_dnum,"&gt;="&amp;p_from,in_dnum,"&lt;="&amp;p_to))</f>
        <v/>
      </c>
      <c r="L161" s="128" t="str">
        <f>IF(A161="","",SUMIFS(in_work,in_eq,A161,in_type,"Correctif",in_done,1,in_dnum,"&gt;="&amp;p_from,in_dnum,"&lt;="&amp;p_to))</f>
        <v/>
      </c>
      <c r="M161" s="128" t="str">
        <f>IF(A161="","",SUMIFS(in_work,in_eq,A161,in_type,"Amélioratif",in_done,1,in_dnum,"&gt;="&amp;p_from,in_dnum,"&lt;="&amp;p_to))</f>
        <v/>
      </c>
      <c r="N161" s="131" t="str">
        <f>IF(OR(A161="",N(K161)+N(L161)+N(M161)=0),"",K161/(K161+L161+M161))</f>
        <v/>
      </c>
      <c r="O161" s="81" t="str">
        <f>IF(A161="","",SUMIFS(in_parts,in_eq,A161,in_done,1,in_dnum,"&gt;="&amp;p_from,in_dnum,"&lt;="&amp;p_to))</f>
        <v/>
      </c>
      <c r="P161" s="81" t="str">
        <f>IF(A161="","",SUMIFS(in_mo,in_eq,A161,in_done,1,in_dnum,"&gt;="&amp;p_from,in_dnum,"&lt;="&amp;p_to))</f>
        <v/>
      </c>
      <c r="Q161" s="81" t="str">
        <f>IF(A161="","",SUMIFS(in_other,in_eq,A161,in_done,1,in_dnum,"&gt;="&amp;p_from,in_dnum,"&lt;="&amp;p_to))</f>
        <v/>
      </c>
      <c r="R161" s="81" t="str">
        <f>IF(A161="","",SUMIFS(in_total,in_eq,A161,in_done,1,in_dnum,"&gt;="&amp;p_from,in_dnum,"&lt;="&amp;p_to))</f>
        <v/>
      </c>
      <c r="S161" s="67" t="str">
        <f>IF(A161="","",SUMIFS(in_work,in_eq,A161,in_type,"Correctif",in_done,1,in_dnum,"&gt;="&amp;p_from,in_dnum,"&lt;="&amp;p_to))</f>
        <v/>
      </c>
      <c r="T161" s="67" t="str">
        <f>IF(A161="","",SUMIFS(in_stop,in_eq,A161,in_type,"Correctif",in_done,1,in_dnum,"&gt;="&amp;p_from,in_dnum,"&lt;="&amp;p_to))</f>
        <v/>
      </c>
    </row>
    <row r="162">
      <c r="A162" s="67" t="str">
        <f>IF(INDEX(eq_code,151)="","",INDEX(eq_code,151)&amp;"")</f>
        <v/>
      </c>
      <c r="B162" s="67" t="str">
        <f>IF(A162="","",INDEX(eq_des,151)&amp;"")</f>
        <v/>
      </c>
      <c r="C162" s="79" t="str">
        <f>IF(A162="","",INDEX(eq_crit,151)&amp;"")</f>
        <v/>
      </c>
      <c r="D162" s="127" t="str">
        <f>IF(A162="","",IF(MAX(p_from,N(INDEX(eq_start,151)))&gt;p_to,0,ROUND(IF(AND(ISNUMBER(INDEX(eq_hours,151)),N(INDEX(eq_hours,151))&gt;0,N(INDEX(eq_hours,151))&lt;=24),INDEX(eq_hours,151),0)*IF(p_days="7 jours sur 7",p_to-MAX(p_from,N(INDEX(eq_start,151)))+1,NETWORKDAYS.INTL(MAX(p_from,N(INDEX(eq_start,151))),p_to,p_weekend,p_holidays)),2)))</f>
        <v/>
      </c>
      <c r="E162" s="128" t="str">
        <f>IF(A162="","",SUMIFS(in_stop,in_eq,A162,in_done,1,in_dnum,"&gt;="&amp;p_from,in_dnum,"&lt;="&amp;p_to))</f>
        <v/>
      </c>
      <c r="F162" s="129" t="str">
        <f>IF(A162="","",COUNTIFS(in_eq,A162,in_type,"Correctif",in_done,1,in_dnum,"&gt;="&amp;p_from,in_dnum,"&lt;="&amp;p_to))</f>
        <v/>
      </c>
      <c r="G162" s="130" t="str">
        <f>IF(OR(A162="",N(F162)=0),"",MAX(0,D162-E162)/F162)</f>
        <v/>
      </c>
      <c r="H162" s="81" t="str">
        <f>IF(OR(A162="",N(F162)=0),"",S162/F162)</f>
        <v/>
      </c>
      <c r="I162" s="81" t="str">
        <f>IF(OR(A162="",N(F162)=0),"",T162/F162)</f>
        <v/>
      </c>
      <c r="J162" s="131" t="str">
        <f>IF(OR(A162="",N(D162)=0),"",MAX(0,D162-E162)/D162)</f>
        <v/>
      </c>
      <c r="K162" s="128" t="str">
        <f>IF(A162="","",SUMIFS(in_work,in_eq,A162,in_type,"Préventif",in_done,1,in_dnum,"&gt;="&amp;p_from,in_dnum,"&lt;="&amp;p_to))</f>
        <v/>
      </c>
      <c r="L162" s="128" t="str">
        <f>IF(A162="","",SUMIFS(in_work,in_eq,A162,in_type,"Correctif",in_done,1,in_dnum,"&gt;="&amp;p_from,in_dnum,"&lt;="&amp;p_to))</f>
        <v/>
      </c>
      <c r="M162" s="128" t="str">
        <f>IF(A162="","",SUMIFS(in_work,in_eq,A162,in_type,"Amélioratif",in_done,1,in_dnum,"&gt;="&amp;p_from,in_dnum,"&lt;="&amp;p_to))</f>
        <v/>
      </c>
      <c r="N162" s="131" t="str">
        <f>IF(OR(A162="",N(K162)+N(L162)+N(M162)=0),"",K162/(K162+L162+M162))</f>
        <v/>
      </c>
      <c r="O162" s="81" t="str">
        <f>IF(A162="","",SUMIFS(in_parts,in_eq,A162,in_done,1,in_dnum,"&gt;="&amp;p_from,in_dnum,"&lt;="&amp;p_to))</f>
        <v/>
      </c>
      <c r="P162" s="81" t="str">
        <f>IF(A162="","",SUMIFS(in_mo,in_eq,A162,in_done,1,in_dnum,"&gt;="&amp;p_from,in_dnum,"&lt;="&amp;p_to))</f>
        <v/>
      </c>
      <c r="Q162" s="81" t="str">
        <f>IF(A162="","",SUMIFS(in_other,in_eq,A162,in_done,1,in_dnum,"&gt;="&amp;p_from,in_dnum,"&lt;="&amp;p_to))</f>
        <v/>
      </c>
      <c r="R162" s="81" t="str">
        <f>IF(A162="","",SUMIFS(in_total,in_eq,A162,in_done,1,in_dnum,"&gt;="&amp;p_from,in_dnum,"&lt;="&amp;p_to))</f>
        <v/>
      </c>
      <c r="S162" s="67" t="str">
        <f>IF(A162="","",SUMIFS(in_work,in_eq,A162,in_type,"Correctif",in_done,1,in_dnum,"&gt;="&amp;p_from,in_dnum,"&lt;="&amp;p_to))</f>
        <v/>
      </c>
      <c r="T162" s="67" t="str">
        <f>IF(A162="","",SUMIFS(in_stop,in_eq,A162,in_type,"Correctif",in_done,1,in_dnum,"&gt;="&amp;p_from,in_dnum,"&lt;="&amp;p_to))</f>
        <v/>
      </c>
    </row>
    <row r="163">
      <c r="A163" s="67" t="str">
        <f>IF(INDEX(eq_code,152)="","",INDEX(eq_code,152)&amp;"")</f>
        <v/>
      </c>
      <c r="B163" s="67" t="str">
        <f>IF(A163="","",INDEX(eq_des,152)&amp;"")</f>
        <v/>
      </c>
      <c r="C163" s="79" t="str">
        <f>IF(A163="","",INDEX(eq_crit,152)&amp;"")</f>
        <v/>
      </c>
      <c r="D163" s="127" t="str">
        <f>IF(A163="","",IF(MAX(p_from,N(INDEX(eq_start,152)))&gt;p_to,0,ROUND(IF(AND(ISNUMBER(INDEX(eq_hours,152)),N(INDEX(eq_hours,152))&gt;0,N(INDEX(eq_hours,152))&lt;=24),INDEX(eq_hours,152),0)*IF(p_days="7 jours sur 7",p_to-MAX(p_from,N(INDEX(eq_start,152)))+1,NETWORKDAYS.INTL(MAX(p_from,N(INDEX(eq_start,152))),p_to,p_weekend,p_holidays)),2)))</f>
        <v/>
      </c>
      <c r="E163" s="128" t="str">
        <f>IF(A163="","",SUMIFS(in_stop,in_eq,A163,in_done,1,in_dnum,"&gt;="&amp;p_from,in_dnum,"&lt;="&amp;p_to))</f>
        <v/>
      </c>
      <c r="F163" s="129" t="str">
        <f>IF(A163="","",COUNTIFS(in_eq,A163,in_type,"Correctif",in_done,1,in_dnum,"&gt;="&amp;p_from,in_dnum,"&lt;="&amp;p_to))</f>
        <v/>
      </c>
      <c r="G163" s="130" t="str">
        <f>IF(OR(A163="",N(F163)=0),"",MAX(0,D163-E163)/F163)</f>
        <v/>
      </c>
      <c r="H163" s="81" t="str">
        <f>IF(OR(A163="",N(F163)=0),"",S163/F163)</f>
        <v/>
      </c>
      <c r="I163" s="81" t="str">
        <f>IF(OR(A163="",N(F163)=0),"",T163/F163)</f>
        <v/>
      </c>
      <c r="J163" s="131" t="str">
        <f>IF(OR(A163="",N(D163)=0),"",MAX(0,D163-E163)/D163)</f>
        <v/>
      </c>
      <c r="K163" s="128" t="str">
        <f>IF(A163="","",SUMIFS(in_work,in_eq,A163,in_type,"Préventif",in_done,1,in_dnum,"&gt;="&amp;p_from,in_dnum,"&lt;="&amp;p_to))</f>
        <v/>
      </c>
      <c r="L163" s="128" t="str">
        <f>IF(A163="","",SUMIFS(in_work,in_eq,A163,in_type,"Correctif",in_done,1,in_dnum,"&gt;="&amp;p_from,in_dnum,"&lt;="&amp;p_to))</f>
        <v/>
      </c>
      <c r="M163" s="128" t="str">
        <f>IF(A163="","",SUMIFS(in_work,in_eq,A163,in_type,"Amélioratif",in_done,1,in_dnum,"&gt;="&amp;p_from,in_dnum,"&lt;="&amp;p_to))</f>
        <v/>
      </c>
      <c r="N163" s="131" t="str">
        <f>IF(OR(A163="",N(K163)+N(L163)+N(M163)=0),"",K163/(K163+L163+M163))</f>
        <v/>
      </c>
      <c r="O163" s="81" t="str">
        <f>IF(A163="","",SUMIFS(in_parts,in_eq,A163,in_done,1,in_dnum,"&gt;="&amp;p_from,in_dnum,"&lt;="&amp;p_to))</f>
        <v/>
      </c>
      <c r="P163" s="81" t="str">
        <f>IF(A163="","",SUMIFS(in_mo,in_eq,A163,in_done,1,in_dnum,"&gt;="&amp;p_from,in_dnum,"&lt;="&amp;p_to))</f>
        <v/>
      </c>
      <c r="Q163" s="81" t="str">
        <f>IF(A163="","",SUMIFS(in_other,in_eq,A163,in_done,1,in_dnum,"&gt;="&amp;p_from,in_dnum,"&lt;="&amp;p_to))</f>
        <v/>
      </c>
      <c r="R163" s="81" t="str">
        <f>IF(A163="","",SUMIFS(in_total,in_eq,A163,in_done,1,in_dnum,"&gt;="&amp;p_from,in_dnum,"&lt;="&amp;p_to))</f>
        <v/>
      </c>
      <c r="S163" s="67" t="str">
        <f>IF(A163="","",SUMIFS(in_work,in_eq,A163,in_type,"Correctif",in_done,1,in_dnum,"&gt;="&amp;p_from,in_dnum,"&lt;="&amp;p_to))</f>
        <v/>
      </c>
      <c r="T163" s="67" t="str">
        <f>IF(A163="","",SUMIFS(in_stop,in_eq,A163,in_type,"Correctif",in_done,1,in_dnum,"&gt;="&amp;p_from,in_dnum,"&lt;="&amp;p_to))</f>
        <v/>
      </c>
    </row>
    <row r="164">
      <c r="A164" s="67" t="str">
        <f>IF(INDEX(eq_code,153)="","",INDEX(eq_code,153)&amp;"")</f>
        <v/>
      </c>
      <c r="B164" s="67" t="str">
        <f>IF(A164="","",INDEX(eq_des,153)&amp;"")</f>
        <v/>
      </c>
      <c r="C164" s="79" t="str">
        <f>IF(A164="","",INDEX(eq_crit,153)&amp;"")</f>
        <v/>
      </c>
      <c r="D164" s="127" t="str">
        <f>IF(A164="","",IF(MAX(p_from,N(INDEX(eq_start,153)))&gt;p_to,0,ROUND(IF(AND(ISNUMBER(INDEX(eq_hours,153)),N(INDEX(eq_hours,153))&gt;0,N(INDEX(eq_hours,153))&lt;=24),INDEX(eq_hours,153),0)*IF(p_days="7 jours sur 7",p_to-MAX(p_from,N(INDEX(eq_start,153)))+1,NETWORKDAYS.INTL(MAX(p_from,N(INDEX(eq_start,153))),p_to,p_weekend,p_holidays)),2)))</f>
        <v/>
      </c>
      <c r="E164" s="128" t="str">
        <f>IF(A164="","",SUMIFS(in_stop,in_eq,A164,in_done,1,in_dnum,"&gt;="&amp;p_from,in_dnum,"&lt;="&amp;p_to))</f>
        <v/>
      </c>
      <c r="F164" s="129" t="str">
        <f>IF(A164="","",COUNTIFS(in_eq,A164,in_type,"Correctif",in_done,1,in_dnum,"&gt;="&amp;p_from,in_dnum,"&lt;="&amp;p_to))</f>
        <v/>
      </c>
      <c r="G164" s="130" t="str">
        <f>IF(OR(A164="",N(F164)=0),"",MAX(0,D164-E164)/F164)</f>
        <v/>
      </c>
      <c r="H164" s="81" t="str">
        <f>IF(OR(A164="",N(F164)=0),"",S164/F164)</f>
        <v/>
      </c>
      <c r="I164" s="81" t="str">
        <f>IF(OR(A164="",N(F164)=0),"",T164/F164)</f>
        <v/>
      </c>
      <c r="J164" s="131" t="str">
        <f>IF(OR(A164="",N(D164)=0),"",MAX(0,D164-E164)/D164)</f>
        <v/>
      </c>
      <c r="K164" s="128" t="str">
        <f>IF(A164="","",SUMIFS(in_work,in_eq,A164,in_type,"Préventif",in_done,1,in_dnum,"&gt;="&amp;p_from,in_dnum,"&lt;="&amp;p_to))</f>
        <v/>
      </c>
      <c r="L164" s="128" t="str">
        <f>IF(A164="","",SUMIFS(in_work,in_eq,A164,in_type,"Correctif",in_done,1,in_dnum,"&gt;="&amp;p_from,in_dnum,"&lt;="&amp;p_to))</f>
        <v/>
      </c>
      <c r="M164" s="128" t="str">
        <f>IF(A164="","",SUMIFS(in_work,in_eq,A164,in_type,"Amélioratif",in_done,1,in_dnum,"&gt;="&amp;p_from,in_dnum,"&lt;="&amp;p_to))</f>
        <v/>
      </c>
      <c r="N164" s="131" t="str">
        <f>IF(OR(A164="",N(K164)+N(L164)+N(M164)=0),"",K164/(K164+L164+M164))</f>
        <v/>
      </c>
      <c r="O164" s="81" t="str">
        <f>IF(A164="","",SUMIFS(in_parts,in_eq,A164,in_done,1,in_dnum,"&gt;="&amp;p_from,in_dnum,"&lt;="&amp;p_to))</f>
        <v/>
      </c>
      <c r="P164" s="81" t="str">
        <f>IF(A164="","",SUMIFS(in_mo,in_eq,A164,in_done,1,in_dnum,"&gt;="&amp;p_from,in_dnum,"&lt;="&amp;p_to))</f>
        <v/>
      </c>
      <c r="Q164" s="81" t="str">
        <f>IF(A164="","",SUMIFS(in_other,in_eq,A164,in_done,1,in_dnum,"&gt;="&amp;p_from,in_dnum,"&lt;="&amp;p_to))</f>
        <v/>
      </c>
      <c r="R164" s="81" t="str">
        <f>IF(A164="","",SUMIFS(in_total,in_eq,A164,in_done,1,in_dnum,"&gt;="&amp;p_from,in_dnum,"&lt;="&amp;p_to))</f>
        <v/>
      </c>
      <c r="S164" s="67" t="str">
        <f>IF(A164="","",SUMIFS(in_work,in_eq,A164,in_type,"Correctif",in_done,1,in_dnum,"&gt;="&amp;p_from,in_dnum,"&lt;="&amp;p_to))</f>
        <v/>
      </c>
      <c r="T164" s="67" t="str">
        <f>IF(A164="","",SUMIFS(in_stop,in_eq,A164,in_type,"Correctif",in_done,1,in_dnum,"&gt;="&amp;p_from,in_dnum,"&lt;="&amp;p_to))</f>
        <v/>
      </c>
    </row>
    <row r="165">
      <c r="A165" s="67" t="str">
        <f>IF(INDEX(eq_code,154)="","",INDEX(eq_code,154)&amp;"")</f>
        <v/>
      </c>
      <c r="B165" s="67" t="str">
        <f>IF(A165="","",INDEX(eq_des,154)&amp;"")</f>
        <v/>
      </c>
      <c r="C165" s="79" t="str">
        <f>IF(A165="","",INDEX(eq_crit,154)&amp;"")</f>
        <v/>
      </c>
      <c r="D165" s="127" t="str">
        <f>IF(A165="","",IF(MAX(p_from,N(INDEX(eq_start,154)))&gt;p_to,0,ROUND(IF(AND(ISNUMBER(INDEX(eq_hours,154)),N(INDEX(eq_hours,154))&gt;0,N(INDEX(eq_hours,154))&lt;=24),INDEX(eq_hours,154),0)*IF(p_days="7 jours sur 7",p_to-MAX(p_from,N(INDEX(eq_start,154)))+1,NETWORKDAYS.INTL(MAX(p_from,N(INDEX(eq_start,154))),p_to,p_weekend,p_holidays)),2)))</f>
        <v/>
      </c>
      <c r="E165" s="128" t="str">
        <f>IF(A165="","",SUMIFS(in_stop,in_eq,A165,in_done,1,in_dnum,"&gt;="&amp;p_from,in_dnum,"&lt;="&amp;p_to))</f>
        <v/>
      </c>
      <c r="F165" s="129" t="str">
        <f>IF(A165="","",COUNTIFS(in_eq,A165,in_type,"Correctif",in_done,1,in_dnum,"&gt;="&amp;p_from,in_dnum,"&lt;="&amp;p_to))</f>
        <v/>
      </c>
      <c r="G165" s="130" t="str">
        <f>IF(OR(A165="",N(F165)=0),"",MAX(0,D165-E165)/F165)</f>
        <v/>
      </c>
      <c r="H165" s="81" t="str">
        <f>IF(OR(A165="",N(F165)=0),"",S165/F165)</f>
        <v/>
      </c>
      <c r="I165" s="81" t="str">
        <f>IF(OR(A165="",N(F165)=0),"",T165/F165)</f>
        <v/>
      </c>
      <c r="J165" s="131" t="str">
        <f>IF(OR(A165="",N(D165)=0),"",MAX(0,D165-E165)/D165)</f>
        <v/>
      </c>
      <c r="K165" s="128" t="str">
        <f>IF(A165="","",SUMIFS(in_work,in_eq,A165,in_type,"Préventif",in_done,1,in_dnum,"&gt;="&amp;p_from,in_dnum,"&lt;="&amp;p_to))</f>
        <v/>
      </c>
      <c r="L165" s="128" t="str">
        <f>IF(A165="","",SUMIFS(in_work,in_eq,A165,in_type,"Correctif",in_done,1,in_dnum,"&gt;="&amp;p_from,in_dnum,"&lt;="&amp;p_to))</f>
        <v/>
      </c>
      <c r="M165" s="128" t="str">
        <f>IF(A165="","",SUMIFS(in_work,in_eq,A165,in_type,"Amélioratif",in_done,1,in_dnum,"&gt;="&amp;p_from,in_dnum,"&lt;="&amp;p_to))</f>
        <v/>
      </c>
      <c r="N165" s="131" t="str">
        <f>IF(OR(A165="",N(K165)+N(L165)+N(M165)=0),"",K165/(K165+L165+M165))</f>
        <v/>
      </c>
      <c r="O165" s="81" t="str">
        <f>IF(A165="","",SUMIFS(in_parts,in_eq,A165,in_done,1,in_dnum,"&gt;="&amp;p_from,in_dnum,"&lt;="&amp;p_to))</f>
        <v/>
      </c>
      <c r="P165" s="81" t="str">
        <f>IF(A165="","",SUMIFS(in_mo,in_eq,A165,in_done,1,in_dnum,"&gt;="&amp;p_from,in_dnum,"&lt;="&amp;p_to))</f>
        <v/>
      </c>
      <c r="Q165" s="81" t="str">
        <f>IF(A165="","",SUMIFS(in_other,in_eq,A165,in_done,1,in_dnum,"&gt;="&amp;p_from,in_dnum,"&lt;="&amp;p_to))</f>
        <v/>
      </c>
      <c r="R165" s="81" t="str">
        <f>IF(A165="","",SUMIFS(in_total,in_eq,A165,in_done,1,in_dnum,"&gt;="&amp;p_from,in_dnum,"&lt;="&amp;p_to))</f>
        <v/>
      </c>
      <c r="S165" s="67" t="str">
        <f>IF(A165="","",SUMIFS(in_work,in_eq,A165,in_type,"Correctif",in_done,1,in_dnum,"&gt;="&amp;p_from,in_dnum,"&lt;="&amp;p_to))</f>
        <v/>
      </c>
      <c r="T165" s="67" t="str">
        <f>IF(A165="","",SUMIFS(in_stop,in_eq,A165,in_type,"Correctif",in_done,1,in_dnum,"&gt;="&amp;p_from,in_dnum,"&lt;="&amp;p_to))</f>
        <v/>
      </c>
    </row>
    <row r="166">
      <c r="A166" s="67" t="str">
        <f>IF(INDEX(eq_code,155)="","",INDEX(eq_code,155)&amp;"")</f>
        <v/>
      </c>
      <c r="B166" s="67" t="str">
        <f>IF(A166="","",INDEX(eq_des,155)&amp;"")</f>
        <v/>
      </c>
      <c r="C166" s="79" t="str">
        <f>IF(A166="","",INDEX(eq_crit,155)&amp;"")</f>
        <v/>
      </c>
      <c r="D166" s="127" t="str">
        <f>IF(A166="","",IF(MAX(p_from,N(INDEX(eq_start,155)))&gt;p_to,0,ROUND(IF(AND(ISNUMBER(INDEX(eq_hours,155)),N(INDEX(eq_hours,155))&gt;0,N(INDEX(eq_hours,155))&lt;=24),INDEX(eq_hours,155),0)*IF(p_days="7 jours sur 7",p_to-MAX(p_from,N(INDEX(eq_start,155)))+1,NETWORKDAYS.INTL(MAX(p_from,N(INDEX(eq_start,155))),p_to,p_weekend,p_holidays)),2)))</f>
        <v/>
      </c>
      <c r="E166" s="128" t="str">
        <f>IF(A166="","",SUMIFS(in_stop,in_eq,A166,in_done,1,in_dnum,"&gt;="&amp;p_from,in_dnum,"&lt;="&amp;p_to))</f>
        <v/>
      </c>
      <c r="F166" s="129" t="str">
        <f>IF(A166="","",COUNTIFS(in_eq,A166,in_type,"Correctif",in_done,1,in_dnum,"&gt;="&amp;p_from,in_dnum,"&lt;="&amp;p_to))</f>
        <v/>
      </c>
      <c r="G166" s="130" t="str">
        <f>IF(OR(A166="",N(F166)=0),"",MAX(0,D166-E166)/F166)</f>
        <v/>
      </c>
      <c r="H166" s="81" t="str">
        <f>IF(OR(A166="",N(F166)=0),"",S166/F166)</f>
        <v/>
      </c>
      <c r="I166" s="81" t="str">
        <f>IF(OR(A166="",N(F166)=0),"",T166/F166)</f>
        <v/>
      </c>
      <c r="J166" s="131" t="str">
        <f>IF(OR(A166="",N(D166)=0),"",MAX(0,D166-E166)/D166)</f>
        <v/>
      </c>
      <c r="K166" s="128" t="str">
        <f>IF(A166="","",SUMIFS(in_work,in_eq,A166,in_type,"Préventif",in_done,1,in_dnum,"&gt;="&amp;p_from,in_dnum,"&lt;="&amp;p_to))</f>
        <v/>
      </c>
      <c r="L166" s="128" t="str">
        <f>IF(A166="","",SUMIFS(in_work,in_eq,A166,in_type,"Correctif",in_done,1,in_dnum,"&gt;="&amp;p_from,in_dnum,"&lt;="&amp;p_to))</f>
        <v/>
      </c>
      <c r="M166" s="128" t="str">
        <f>IF(A166="","",SUMIFS(in_work,in_eq,A166,in_type,"Amélioratif",in_done,1,in_dnum,"&gt;="&amp;p_from,in_dnum,"&lt;="&amp;p_to))</f>
        <v/>
      </c>
      <c r="N166" s="131" t="str">
        <f>IF(OR(A166="",N(K166)+N(L166)+N(M166)=0),"",K166/(K166+L166+M166))</f>
        <v/>
      </c>
      <c r="O166" s="81" t="str">
        <f>IF(A166="","",SUMIFS(in_parts,in_eq,A166,in_done,1,in_dnum,"&gt;="&amp;p_from,in_dnum,"&lt;="&amp;p_to))</f>
        <v/>
      </c>
      <c r="P166" s="81" t="str">
        <f>IF(A166="","",SUMIFS(in_mo,in_eq,A166,in_done,1,in_dnum,"&gt;="&amp;p_from,in_dnum,"&lt;="&amp;p_to))</f>
        <v/>
      </c>
      <c r="Q166" s="81" t="str">
        <f>IF(A166="","",SUMIFS(in_other,in_eq,A166,in_done,1,in_dnum,"&gt;="&amp;p_from,in_dnum,"&lt;="&amp;p_to))</f>
        <v/>
      </c>
      <c r="R166" s="81" t="str">
        <f>IF(A166="","",SUMIFS(in_total,in_eq,A166,in_done,1,in_dnum,"&gt;="&amp;p_from,in_dnum,"&lt;="&amp;p_to))</f>
        <v/>
      </c>
      <c r="S166" s="67" t="str">
        <f>IF(A166="","",SUMIFS(in_work,in_eq,A166,in_type,"Correctif",in_done,1,in_dnum,"&gt;="&amp;p_from,in_dnum,"&lt;="&amp;p_to))</f>
        <v/>
      </c>
      <c r="T166" s="67" t="str">
        <f>IF(A166="","",SUMIFS(in_stop,in_eq,A166,in_type,"Correctif",in_done,1,in_dnum,"&gt;="&amp;p_from,in_dnum,"&lt;="&amp;p_to))</f>
        <v/>
      </c>
    </row>
    <row r="167">
      <c r="A167" s="67" t="str">
        <f>IF(INDEX(eq_code,156)="","",INDEX(eq_code,156)&amp;"")</f>
        <v/>
      </c>
      <c r="B167" s="67" t="str">
        <f>IF(A167="","",INDEX(eq_des,156)&amp;"")</f>
        <v/>
      </c>
      <c r="C167" s="79" t="str">
        <f>IF(A167="","",INDEX(eq_crit,156)&amp;"")</f>
        <v/>
      </c>
      <c r="D167" s="127" t="str">
        <f>IF(A167="","",IF(MAX(p_from,N(INDEX(eq_start,156)))&gt;p_to,0,ROUND(IF(AND(ISNUMBER(INDEX(eq_hours,156)),N(INDEX(eq_hours,156))&gt;0,N(INDEX(eq_hours,156))&lt;=24),INDEX(eq_hours,156),0)*IF(p_days="7 jours sur 7",p_to-MAX(p_from,N(INDEX(eq_start,156)))+1,NETWORKDAYS.INTL(MAX(p_from,N(INDEX(eq_start,156))),p_to,p_weekend,p_holidays)),2)))</f>
        <v/>
      </c>
      <c r="E167" s="128" t="str">
        <f>IF(A167="","",SUMIFS(in_stop,in_eq,A167,in_done,1,in_dnum,"&gt;="&amp;p_from,in_dnum,"&lt;="&amp;p_to))</f>
        <v/>
      </c>
      <c r="F167" s="129" t="str">
        <f>IF(A167="","",COUNTIFS(in_eq,A167,in_type,"Correctif",in_done,1,in_dnum,"&gt;="&amp;p_from,in_dnum,"&lt;="&amp;p_to))</f>
        <v/>
      </c>
      <c r="G167" s="130" t="str">
        <f>IF(OR(A167="",N(F167)=0),"",MAX(0,D167-E167)/F167)</f>
        <v/>
      </c>
      <c r="H167" s="81" t="str">
        <f>IF(OR(A167="",N(F167)=0),"",S167/F167)</f>
        <v/>
      </c>
      <c r="I167" s="81" t="str">
        <f>IF(OR(A167="",N(F167)=0),"",T167/F167)</f>
        <v/>
      </c>
      <c r="J167" s="131" t="str">
        <f>IF(OR(A167="",N(D167)=0),"",MAX(0,D167-E167)/D167)</f>
        <v/>
      </c>
      <c r="K167" s="128" t="str">
        <f>IF(A167="","",SUMIFS(in_work,in_eq,A167,in_type,"Préventif",in_done,1,in_dnum,"&gt;="&amp;p_from,in_dnum,"&lt;="&amp;p_to))</f>
        <v/>
      </c>
      <c r="L167" s="128" t="str">
        <f>IF(A167="","",SUMIFS(in_work,in_eq,A167,in_type,"Correctif",in_done,1,in_dnum,"&gt;="&amp;p_from,in_dnum,"&lt;="&amp;p_to))</f>
        <v/>
      </c>
      <c r="M167" s="128" t="str">
        <f>IF(A167="","",SUMIFS(in_work,in_eq,A167,in_type,"Amélioratif",in_done,1,in_dnum,"&gt;="&amp;p_from,in_dnum,"&lt;="&amp;p_to))</f>
        <v/>
      </c>
      <c r="N167" s="131" t="str">
        <f>IF(OR(A167="",N(K167)+N(L167)+N(M167)=0),"",K167/(K167+L167+M167))</f>
        <v/>
      </c>
      <c r="O167" s="81" t="str">
        <f>IF(A167="","",SUMIFS(in_parts,in_eq,A167,in_done,1,in_dnum,"&gt;="&amp;p_from,in_dnum,"&lt;="&amp;p_to))</f>
        <v/>
      </c>
      <c r="P167" s="81" t="str">
        <f>IF(A167="","",SUMIFS(in_mo,in_eq,A167,in_done,1,in_dnum,"&gt;="&amp;p_from,in_dnum,"&lt;="&amp;p_to))</f>
        <v/>
      </c>
      <c r="Q167" s="81" t="str">
        <f>IF(A167="","",SUMIFS(in_other,in_eq,A167,in_done,1,in_dnum,"&gt;="&amp;p_from,in_dnum,"&lt;="&amp;p_to))</f>
        <v/>
      </c>
      <c r="R167" s="81" t="str">
        <f>IF(A167="","",SUMIFS(in_total,in_eq,A167,in_done,1,in_dnum,"&gt;="&amp;p_from,in_dnum,"&lt;="&amp;p_to))</f>
        <v/>
      </c>
      <c r="S167" s="67" t="str">
        <f>IF(A167="","",SUMIFS(in_work,in_eq,A167,in_type,"Correctif",in_done,1,in_dnum,"&gt;="&amp;p_from,in_dnum,"&lt;="&amp;p_to))</f>
        <v/>
      </c>
      <c r="T167" s="67" t="str">
        <f>IF(A167="","",SUMIFS(in_stop,in_eq,A167,in_type,"Correctif",in_done,1,in_dnum,"&gt;="&amp;p_from,in_dnum,"&lt;="&amp;p_to))</f>
        <v/>
      </c>
    </row>
    <row r="168">
      <c r="A168" s="67" t="str">
        <f>IF(INDEX(eq_code,157)="","",INDEX(eq_code,157)&amp;"")</f>
        <v/>
      </c>
      <c r="B168" s="67" t="str">
        <f>IF(A168="","",INDEX(eq_des,157)&amp;"")</f>
        <v/>
      </c>
      <c r="C168" s="79" t="str">
        <f>IF(A168="","",INDEX(eq_crit,157)&amp;"")</f>
        <v/>
      </c>
      <c r="D168" s="127" t="str">
        <f>IF(A168="","",IF(MAX(p_from,N(INDEX(eq_start,157)))&gt;p_to,0,ROUND(IF(AND(ISNUMBER(INDEX(eq_hours,157)),N(INDEX(eq_hours,157))&gt;0,N(INDEX(eq_hours,157))&lt;=24),INDEX(eq_hours,157),0)*IF(p_days="7 jours sur 7",p_to-MAX(p_from,N(INDEX(eq_start,157)))+1,NETWORKDAYS.INTL(MAX(p_from,N(INDEX(eq_start,157))),p_to,p_weekend,p_holidays)),2)))</f>
        <v/>
      </c>
      <c r="E168" s="128" t="str">
        <f>IF(A168="","",SUMIFS(in_stop,in_eq,A168,in_done,1,in_dnum,"&gt;="&amp;p_from,in_dnum,"&lt;="&amp;p_to))</f>
        <v/>
      </c>
      <c r="F168" s="129" t="str">
        <f>IF(A168="","",COUNTIFS(in_eq,A168,in_type,"Correctif",in_done,1,in_dnum,"&gt;="&amp;p_from,in_dnum,"&lt;="&amp;p_to))</f>
        <v/>
      </c>
      <c r="G168" s="130" t="str">
        <f>IF(OR(A168="",N(F168)=0),"",MAX(0,D168-E168)/F168)</f>
        <v/>
      </c>
      <c r="H168" s="81" t="str">
        <f>IF(OR(A168="",N(F168)=0),"",S168/F168)</f>
        <v/>
      </c>
      <c r="I168" s="81" t="str">
        <f>IF(OR(A168="",N(F168)=0),"",T168/F168)</f>
        <v/>
      </c>
      <c r="J168" s="131" t="str">
        <f>IF(OR(A168="",N(D168)=0),"",MAX(0,D168-E168)/D168)</f>
        <v/>
      </c>
      <c r="K168" s="128" t="str">
        <f>IF(A168="","",SUMIFS(in_work,in_eq,A168,in_type,"Préventif",in_done,1,in_dnum,"&gt;="&amp;p_from,in_dnum,"&lt;="&amp;p_to))</f>
        <v/>
      </c>
      <c r="L168" s="128" t="str">
        <f>IF(A168="","",SUMIFS(in_work,in_eq,A168,in_type,"Correctif",in_done,1,in_dnum,"&gt;="&amp;p_from,in_dnum,"&lt;="&amp;p_to))</f>
        <v/>
      </c>
      <c r="M168" s="128" t="str">
        <f>IF(A168="","",SUMIFS(in_work,in_eq,A168,in_type,"Amélioratif",in_done,1,in_dnum,"&gt;="&amp;p_from,in_dnum,"&lt;="&amp;p_to))</f>
        <v/>
      </c>
      <c r="N168" s="131" t="str">
        <f>IF(OR(A168="",N(K168)+N(L168)+N(M168)=0),"",K168/(K168+L168+M168))</f>
        <v/>
      </c>
      <c r="O168" s="81" t="str">
        <f>IF(A168="","",SUMIFS(in_parts,in_eq,A168,in_done,1,in_dnum,"&gt;="&amp;p_from,in_dnum,"&lt;="&amp;p_to))</f>
        <v/>
      </c>
      <c r="P168" s="81" t="str">
        <f>IF(A168="","",SUMIFS(in_mo,in_eq,A168,in_done,1,in_dnum,"&gt;="&amp;p_from,in_dnum,"&lt;="&amp;p_to))</f>
        <v/>
      </c>
      <c r="Q168" s="81" t="str">
        <f>IF(A168="","",SUMIFS(in_other,in_eq,A168,in_done,1,in_dnum,"&gt;="&amp;p_from,in_dnum,"&lt;="&amp;p_to))</f>
        <v/>
      </c>
      <c r="R168" s="81" t="str">
        <f>IF(A168="","",SUMIFS(in_total,in_eq,A168,in_done,1,in_dnum,"&gt;="&amp;p_from,in_dnum,"&lt;="&amp;p_to))</f>
        <v/>
      </c>
      <c r="S168" s="67" t="str">
        <f>IF(A168="","",SUMIFS(in_work,in_eq,A168,in_type,"Correctif",in_done,1,in_dnum,"&gt;="&amp;p_from,in_dnum,"&lt;="&amp;p_to))</f>
        <v/>
      </c>
      <c r="T168" s="67" t="str">
        <f>IF(A168="","",SUMIFS(in_stop,in_eq,A168,in_type,"Correctif",in_done,1,in_dnum,"&gt;="&amp;p_from,in_dnum,"&lt;="&amp;p_to))</f>
        <v/>
      </c>
    </row>
    <row r="169">
      <c r="A169" s="67" t="str">
        <f>IF(INDEX(eq_code,158)="","",INDEX(eq_code,158)&amp;"")</f>
        <v/>
      </c>
      <c r="B169" s="67" t="str">
        <f>IF(A169="","",INDEX(eq_des,158)&amp;"")</f>
        <v/>
      </c>
      <c r="C169" s="79" t="str">
        <f>IF(A169="","",INDEX(eq_crit,158)&amp;"")</f>
        <v/>
      </c>
      <c r="D169" s="127" t="str">
        <f>IF(A169="","",IF(MAX(p_from,N(INDEX(eq_start,158)))&gt;p_to,0,ROUND(IF(AND(ISNUMBER(INDEX(eq_hours,158)),N(INDEX(eq_hours,158))&gt;0,N(INDEX(eq_hours,158))&lt;=24),INDEX(eq_hours,158),0)*IF(p_days="7 jours sur 7",p_to-MAX(p_from,N(INDEX(eq_start,158)))+1,NETWORKDAYS.INTL(MAX(p_from,N(INDEX(eq_start,158))),p_to,p_weekend,p_holidays)),2)))</f>
        <v/>
      </c>
      <c r="E169" s="128" t="str">
        <f>IF(A169="","",SUMIFS(in_stop,in_eq,A169,in_done,1,in_dnum,"&gt;="&amp;p_from,in_dnum,"&lt;="&amp;p_to))</f>
        <v/>
      </c>
      <c r="F169" s="129" t="str">
        <f>IF(A169="","",COUNTIFS(in_eq,A169,in_type,"Correctif",in_done,1,in_dnum,"&gt;="&amp;p_from,in_dnum,"&lt;="&amp;p_to))</f>
        <v/>
      </c>
      <c r="G169" s="130" t="str">
        <f>IF(OR(A169="",N(F169)=0),"",MAX(0,D169-E169)/F169)</f>
        <v/>
      </c>
      <c r="H169" s="81" t="str">
        <f>IF(OR(A169="",N(F169)=0),"",S169/F169)</f>
        <v/>
      </c>
      <c r="I169" s="81" t="str">
        <f>IF(OR(A169="",N(F169)=0),"",T169/F169)</f>
        <v/>
      </c>
      <c r="J169" s="131" t="str">
        <f>IF(OR(A169="",N(D169)=0),"",MAX(0,D169-E169)/D169)</f>
        <v/>
      </c>
      <c r="K169" s="128" t="str">
        <f>IF(A169="","",SUMIFS(in_work,in_eq,A169,in_type,"Préventif",in_done,1,in_dnum,"&gt;="&amp;p_from,in_dnum,"&lt;="&amp;p_to))</f>
        <v/>
      </c>
      <c r="L169" s="128" t="str">
        <f>IF(A169="","",SUMIFS(in_work,in_eq,A169,in_type,"Correctif",in_done,1,in_dnum,"&gt;="&amp;p_from,in_dnum,"&lt;="&amp;p_to))</f>
        <v/>
      </c>
      <c r="M169" s="128" t="str">
        <f>IF(A169="","",SUMIFS(in_work,in_eq,A169,in_type,"Amélioratif",in_done,1,in_dnum,"&gt;="&amp;p_from,in_dnum,"&lt;="&amp;p_to))</f>
        <v/>
      </c>
      <c r="N169" s="131" t="str">
        <f>IF(OR(A169="",N(K169)+N(L169)+N(M169)=0),"",K169/(K169+L169+M169))</f>
        <v/>
      </c>
      <c r="O169" s="81" t="str">
        <f>IF(A169="","",SUMIFS(in_parts,in_eq,A169,in_done,1,in_dnum,"&gt;="&amp;p_from,in_dnum,"&lt;="&amp;p_to))</f>
        <v/>
      </c>
      <c r="P169" s="81" t="str">
        <f>IF(A169="","",SUMIFS(in_mo,in_eq,A169,in_done,1,in_dnum,"&gt;="&amp;p_from,in_dnum,"&lt;="&amp;p_to))</f>
        <v/>
      </c>
      <c r="Q169" s="81" t="str">
        <f>IF(A169="","",SUMIFS(in_other,in_eq,A169,in_done,1,in_dnum,"&gt;="&amp;p_from,in_dnum,"&lt;="&amp;p_to))</f>
        <v/>
      </c>
      <c r="R169" s="81" t="str">
        <f>IF(A169="","",SUMIFS(in_total,in_eq,A169,in_done,1,in_dnum,"&gt;="&amp;p_from,in_dnum,"&lt;="&amp;p_to))</f>
        <v/>
      </c>
      <c r="S169" s="67" t="str">
        <f>IF(A169="","",SUMIFS(in_work,in_eq,A169,in_type,"Correctif",in_done,1,in_dnum,"&gt;="&amp;p_from,in_dnum,"&lt;="&amp;p_to))</f>
        <v/>
      </c>
      <c r="T169" s="67" t="str">
        <f>IF(A169="","",SUMIFS(in_stop,in_eq,A169,in_type,"Correctif",in_done,1,in_dnum,"&gt;="&amp;p_from,in_dnum,"&lt;="&amp;p_to))</f>
        <v/>
      </c>
    </row>
    <row r="170">
      <c r="A170" s="67" t="str">
        <f>IF(INDEX(eq_code,159)="","",INDEX(eq_code,159)&amp;"")</f>
        <v/>
      </c>
      <c r="B170" s="67" t="str">
        <f>IF(A170="","",INDEX(eq_des,159)&amp;"")</f>
        <v/>
      </c>
      <c r="C170" s="79" t="str">
        <f>IF(A170="","",INDEX(eq_crit,159)&amp;"")</f>
        <v/>
      </c>
      <c r="D170" s="127" t="str">
        <f>IF(A170="","",IF(MAX(p_from,N(INDEX(eq_start,159)))&gt;p_to,0,ROUND(IF(AND(ISNUMBER(INDEX(eq_hours,159)),N(INDEX(eq_hours,159))&gt;0,N(INDEX(eq_hours,159))&lt;=24),INDEX(eq_hours,159),0)*IF(p_days="7 jours sur 7",p_to-MAX(p_from,N(INDEX(eq_start,159)))+1,NETWORKDAYS.INTL(MAX(p_from,N(INDEX(eq_start,159))),p_to,p_weekend,p_holidays)),2)))</f>
        <v/>
      </c>
      <c r="E170" s="128" t="str">
        <f>IF(A170="","",SUMIFS(in_stop,in_eq,A170,in_done,1,in_dnum,"&gt;="&amp;p_from,in_dnum,"&lt;="&amp;p_to))</f>
        <v/>
      </c>
      <c r="F170" s="129" t="str">
        <f>IF(A170="","",COUNTIFS(in_eq,A170,in_type,"Correctif",in_done,1,in_dnum,"&gt;="&amp;p_from,in_dnum,"&lt;="&amp;p_to))</f>
        <v/>
      </c>
      <c r="G170" s="130" t="str">
        <f>IF(OR(A170="",N(F170)=0),"",MAX(0,D170-E170)/F170)</f>
        <v/>
      </c>
      <c r="H170" s="81" t="str">
        <f>IF(OR(A170="",N(F170)=0),"",S170/F170)</f>
        <v/>
      </c>
      <c r="I170" s="81" t="str">
        <f>IF(OR(A170="",N(F170)=0),"",T170/F170)</f>
        <v/>
      </c>
      <c r="J170" s="131" t="str">
        <f>IF(OR(A170="",N(D170)=0),"",MAX(0,D170-E170)/D170)</f>
        <v/>
      </c>
      <c r="K170" s="128" t="str">
        <f>IF(A170="","",SUMIFS(in_work,in_eq,A170,in_type,"Préventif",in_done,1,in_dnum,"&gt;="&amp;p_from,in_dnum,"&lt;="&amp;p_to))</f>
        <v/>
      </c>
      <c r="L170" s="128" t="str">
        <f>IF(A170="","",SUMIFS(in_work,in_eq,A170,in_type,"Correctif",in_done,1,in_dnum,"&gt;="&amp;p_from,in_dnum,"&lt;="&amp;p_to))</f>
        <v/>
      </c>
      <c r="M170" s="128" t="str">
        <f>IF(A170="","",SUMIFS(in_work,in_eq,A170,in_type,"Amélioratif",in_done,1,in_dnum,"&gt;="&amp;p_from,in_dnum,"&lt;="&amp;p_to))</f>
        <v/>
      </c>
      <c r="N170" s="131" t="str">
        <f>IF(OR(A170="",N(K170)+N(L170)+N(M170)=0),"",K170/(K170+L170+M170))</f>
        <v/>
      </c>
      <c r="O170" s="81" t="str">
        <f>IF(A170="","",SUMIFS(in_parts,in_eq,A170,in_done,1,in_dnum,"&gt;="&amp;p_from,in_dnum,"&lt;="&amp;p_to))</f>
        <v/>
      </c>
      <c r="P170" s="81" t="str">
        <f>IF(A170="","",SUMIFS(in_mo,in_eq,A170,in_done,1,in_dnum,"&gt;="&amp;p_from,in_dnum,"&lt;="&amp;p_to))</f>
        <v/>
      </c>
      <c r="Q170" s="81" t="str">
        <f>IF(A170="","",SUMIFS(in_other,in_eq,A170,in_done,1,in_dnum,"&gt;="&amp;p_from,in_dnum,"&lt;="&amp;p_to))</f>
        <v/>
      </c>
      <c r="R170" s="81" t="str">
        <f>IF(A170="","",SUMIFS(in_total,in_eq,A170,in_done,1,in_dnum,"&gt;="&amp;p_from,in_dnum,"&lt;="&amp;p_to))</f>
        <v/>
      </c>
      <c r="S170" s="67" t="str">
        <f>IF(A170="","",SUMIFS(in_work,in_eq,A170,in_type,"Correctif",in_done,1,in_dnum,"&gt;="&amp;p_from,in_dnum,"&lt;="&amp;p_to))</f>
        <v/>
      </c>
      <c r="T170" s="67" t="str">
        <f>IF(A170="","",SUMIFS(in_stop,in_eq,A170,in_type,"Correctif",in_done,1,in_dnum,"&gt;="&amp;p_from,in_dnum,"&lt;="&amp;p_to))</f>
        <v/>
      </c>
    </row>
    <row r="171">
      <c r="A171" s="67" t="str">
        <f>IF(INDEX(eq_code,160)="","",INDEX(eq_code,160)&amp;"")</f>
        <v/>
      </c>
      <c r="B171" s="67" t="str">
        <f>IF(A171="","",INDEX(eq_des,160)&amp;"")</f>
        <v/>
      </c>
      <c r="C171" s="79" t="str">
        <f>IF(A171="","",INDEX(eq_crit,160)&amp;"")</f>
        <v/>
      </c>
      <c r="D171" s="127" t="str">
        <f>IF(A171="","",IF(MAX(p_from,N(INDEX(eq_start,160)))&gt;p_to,0,ROUND(IF(AND(ISNUMBER(INDEX(eq_hours,160)),N(INDEX(eq_hours,160))&gt;0,N(INDEX(eq_hours,160))&lt;=24),INDEX(eq_hours,160),0)*IF(p_days="7 jours sur 7",p_to-MAX(p_from,N(INDEX(eq_start,160)))+1,NETWORKDAYS.INTL(MAX(p_from,N(INDEX(eq_start,160))),p_to,p_weekend,p_holidays)),2)))</f>
        <v/>
      </c>
      <c r="E171" s="128" t="str">
        <f>IF(A171="","",SUMIFS(in_stop,in_eq,A171,in_done,1,in_dnum,"&gt;="&amp;p_from,in_dnum,"&lt;="&amp;p_to))</f>
        <v/>
      </c>
      <c r="F171" s="129" t="str">
        <f>IF(A171="","",COUNTIFS(in_eq,A171,in_type,"Correctif",in_done,1,in_dnum,"&gt;="&amp;p_from,in_dnum,"&lt;="&amp;p_to))</f>
        <v/>
      </c>
      <c r="G171" s="130" t="str">
        <f>IF(OR(A171="",N(F171)=0),"",MAX(0,D171-E171)/F171)</f>
        <v/>
      </c>
      <c r="H171" s="81" t="str">
        <f>IF(OR(A171="",N(F171)=0),"",S171/F171)</f>
        <v/>
      </c>
      <c r="I171" s="81" t="str">
        <f>IF(OR(A171="",N(F171)=0),"",T171/F171)</f>
        <v/>
      </c>
      <c r="J171" s="131" t="str">
        <f>IF(OR(A171="",N(D171)=0),"",MAX(0,D171-E171)/D171)</f>
        <v/>
      </c>
      <c r="K171" s="128" t="str">
        <f>IF(A171="","",SUMIFS(in_work,in_eq,A171,in_type,"Préventif",in_done,1,in_dnum,"&gt;="&amp;p_from,in_dnum,"&lt;="&amp;p_to))</f>
        <v/>
      </c>
      <c r="L171" s="128" t="str">
        <f>IF(A171="","",SUMIFS(in_work,in_eq,A171,in_type,"Correctif",in_done,1,in_dnum,"&gt;="&amp;p_from,in_dnum,"&lt;="&amp;p_to))</f>
        <v/>
      </c>
      <c r="M171" s="128" t="str">
        <f>IF(A171="","",SUMIFS(in_work,in_eq,A171,in_type,"Amélioratif",in_done,1,in_dnum,"&gt;="&amp;p_from,in_dnum,"&lt;="&amp;p_to))</f>
        <v/>
      </c>
      <c r="N171" s="131" t="str">
        <f>IF(OR(A171="",N(K171)+N(L171)+N(M171)=0),"",K171/(K171+L171+M171))</f>
        <v/>
      </c>
      <c r="O171" s="81" t="str">
        <f>IF(A171="","",SUMIFS(in_parts,in_eq,A171,in_done,1,in_dnum,"&gt;="&amp;p_from,in_dnum,"&lt;="&amp;p_to))</f>
        <v/>
      </c>
      <c r="P171" s="81" t="str">
        <f>IF(A171="","",SUMIFS(in_mo,in_eq,A171,in_done,1,in_dnum,"&gt;="&amp;p_from,in_dnum,"&lt;="&amp;p_to))</f>
        <v/>
      </c>
      <c r="Q171" s="81" t="str">
        <f>IF(A171="","",SUMIFS(in_other,in_eq,A171,in_done,1,in_dnum,"&gt;="&amp;p_from,in_dnum,"&lt;="&amp;p_to))</f>
        <v/>
      </c>
      <c r="R171" s="81" t="str">
        <f>IF(A171="","",SUMIFS(in_total,in_eq,A171,in_done,1,in_dnum,"&gt;="&amp;p_from,in_dnum,"&lt;="&amp;p_to))</f>
        <v/>
      </c>
      <c r="S171" s="67" t="str">
        <f>IF(A171="","",SUMIFS(in_work,in_eq,A171,in_type,"Correctif",in_done,1,in_dnum,"&gt;="&amp;p_from,in_dnum,"&lt;="&amp;p_to))</f>
        <v/>
      </c>
      <c r="T171" s="67" t="str">
        <f>IF(A171="","",SUMIFS(in_stop,in_eq,A171,in_type,"Correctif",in_done,1,in_dnum,"&gt;="&amp;p_from,in_dnum,"&lt;="&amp;p_to))</f>
        <v/>
      </c>
    </row>
    <row r="172">
      <c r="A172" s="67" t="str">
        <f>IF(INDEX(eq_code,161)="","",INDEX(eq_code,161)&amp;"")</f>
        <v/>
      </c>
      <c r="B172" s="67" t="str">
        <f>IF(A172="","",INDEX(eq_des,161)&amp;"")</f>
        <v/>
      </c>
      <c r="C172" s="79" t="str">
        <f>IF(A172="","",INDEX(eq_crit,161)&amp;"")</f>
        <v/>
      </c>
      <c r="D172" s="127" t="str">
        <f>IF(A172="","",IF(MAX(p_from,N(INDEX(eq_start,161)))&gt;p_to,0,ROUND(IF(AND(ISNUMBER(INDEX(eq_hours,161)),N(INDEX(eq_hours,161))&gt;0,N(INDEX(eq_hours,161))&lt;=24),INDEX(eq_hours,161),0)*IF(p_days="7 jours sur 7",p_to-MAX(p_from,N(INDEX(eq_start,161)))+1,NETWORKDAYS.INTL(MAX(p_from,N(INDEX(eq_start,161))),p_to,p_weekend,p_holidays)),2)))</f>
        <v/>
      </c>
      <c r="E172" s="128" t="str">
        <f>IF(A172="","",SUMIFS(in_stop,in_eq,A172,in_done,1,in_dnum,"&gt;="&amp;p_from,in_dnum,"&lt;="&amp;p_to))</f>
        <v/>
      </c>
      <c r="F172" s="129" t="str">
        <f>IF(A172="","",COUNTIFS(in_eq,A172,in_type,"Correctif",in_done,1,in_dnum,"&gt;="&amp;p_from,in_dnum,"&lt;="&amp;p_to))</f>
        <v/>
      </c>
      <c r="G172" s="130" t="str">
        <f>IF(OR(A172="",N(F172)=0),"",MAX(0,D172-E172)/F172)</f>
        <v/>
      </c>
      <c r="H172" s="81" t="str">
        <f>IF(OR(A172="",N(F172)=0),"",S172/F172)</f>
        <v/>
      </c>
      <c r="I172" s="81" t="str">
        <f>IF(OR(A172="",N(F172)=0),"",T172/F172)</f>
        <v/>
      </c>
      <c r="J172" s="131" t="str">
        <f>IF(OR(A172="",N(D172)=0),"",MAX(0,D172-E172)/D172)</f>
        <v/>
      </c>
      <c r="K172" s="128" t="str">
        <f>IF(A172="","",SUMIFS(in_work,in_eq,A172,in_type,"Préventif",in_done,1,in_dnum,"&gt;="&amp;p_from,in_dnum,"&lt;="&amp;p_to))</f>
        <v/>
      </c>
      <c r="L172" s="128" t="str">
        <f>IF(A172="","",SUMIFS(in_work,in_eq,A172,in_type,"Correctif",in_done,1,in_dnum,"&gt;="&amp;p_from,in_dnum,"&lt;="&amp;p_to))</f>
        <v/>
      </c>
      <c r="M172" s="128" t="str">
        <f>IF(A172="","",SUMIFS(in_work,in_eq,A172,in_type,"Amélioratif",in_done,1,in_dnum,"&gt;="&amp;p_from,in_dnum,"&lt;="&amp;p_to))</f>
        <v/>
      </c>
      <c r="N172" s="131" t="str">
        <f>IF(OR(A172="",N(K172)+N(L172)+N(M172)=0),"",K172/(K172+L172+M172))</f>
        <v/>
      </c>
      <c r="O172" s="81" t="str">
        <f>IF(A172="","",SUMIFS(in_parts,in_eq,A172,in_done,1,in_dnum,"&gt;="&amp;p_from,in_dnum,"&lt;="&amp;p_to))</f>
        <v/>
      </c>
      <c r="P172" s="81" t="str">
        <f>IF(A172="","",SUMIFS(in_mo,in_eq,A172,in_done,1,in_dnum,"&gt;="&amp;p_from,in_dnum,"&lt;="&amp;p_to))</f>
        <v/>
      </c>
      <c r="Q172" s="81" t="str">
        <f>IF(A172="","",SUMIFS(in_other,in_eq,A172,in_done,1,in_dnum,"&gt;="&amp;p_from,in_dnum,"&lt;="&amp;p_to))</f>
        <v/>
      </c>
      <c r="R172" s="81" t="str">
        <f>IF(A172="","",SUMIFS(in_total,in_eq,A172,in_done,1,in_dnum,"&gt;="&amp;p_from,in_dnum,"&lt;="&amp;p_to))</f>
        <v/>
      </c>
      <c r="S172" s="67" t="str">
        <f>IF(A172="","",SUMIFS(in_work,in_eq,A172,in_type,"Correctif",in_done,1,in_dnum,"&gt;="&amp;p_from,in_dnum,"&lt;="&amp;p_to))</f>
        <v/>
      </c>
      <c r="T172" s="67" t="str">
        <f>IF(A172="","",SUMIFS(in_stop,in_eq,A172,in_type,"Correctif",in_done,1,in_dnum,"&gt;="&amp;p_from,in_dnum,"&lt;="&amp;p_to))</f>
        <v/>
      </c>
    </row>
    <row r="173">
      <c r="A173" s="67" t="str">
        <f>IF(INDEX(eq_code,162)="","",INDEX(eq_code,162)&amp;"")</f>
        <v/>
      </c>
      <c r="B173" s="67" t="str">
        <f>IF(A173="","",INDEX(eq_des,162)&amp;"")</f>
        <v/>
      </c>
      <c r="C173" s="79" t="str">
        <f>IF(A173="","",INDEX(eq_crit,162)&amp;"")</f>
        <v/>
      </c>
      <c r="D173" s="127" t="str">
        <f>IF(A173="","",IF(MAX(p_from,N(INDEX(eq_start,162)))&gt;p_to,0,ROUND(IF(AND(ISNUMBER(INDEX(eq_hours,162)),N(INDEX(eq_hours,162))&gt;0,N(INDEX(eq_hours,162))&lt;=24),INDEX(eq_hours,162),0)*IF(p_days="7 jours sur 7",p_to-MAX(p_from,N(INDEX(eq_start,162)))+1,NETWORKDAYS.INTL(MAX(p_from,N(INDEX(eq_start,162))),p_to,p_weekend,p_holidays)),2)))</f>
        <v/>
      </c>
      <c r="E173" s="128" t="str">
        <f>IF(A173="","",SUMIFS(in_stop,in_eq,A173,in_done,1,in_dnum,"&gt;="&amp;p_from,in_dnum,"&lt;="&amp;p_to))</f>
        <v/>
      </c>
      <c r="F173" s="129" t="str">
        <f>IF(A173="","",COUNTIFS(in_eq,A173,in_type,"Correctif",in_done,1,in_dnum,"&gt;="&amp;p_from,in_dnum,"&lt;="&amp;p_to))</f>
        <v/>
      </c>
      <c r="G173" s="130" t="str">
        <f>IF(OR(A173="",N(F173)=0),"",MAX(0,D173-E173)/F173)</f>
        <v/>
      </c>
      <c r="H173" s="81" t="str">
        <f>IF(OR(A173="",N(F173)=0),"",S173/F173)</f>
        <v/>
      </c>
      <c r="I173" s="81" t="str">
        <f>IF(OR(A173="",N(F173)=0),"",T173/F173)</f>
        <v/>
      </c>
      <c r="J173" s="131" t="str">
        <f>IF(OR(A173="",N(D173)=0),"",MAX(0,D173-E173)/D173)</f>
        <v/>
      </c>
      <c r="K173" s="128" t="str">
        <f>IF(A173="","",SUMIFS(in_work,in_eq,A173,in_type,"Préventif",in_done,1,in_dnum,"&gt;="&amp;p_from,in_dnum,"&lt;="&amp;p_to))</f>
        <v/>
      </c>
      <c r="L173" s="128" t="str">
        <f>IF(A173="","",SUMIFS(in_work,in_eq,A173,in_type,"Correctif",in_done,1,in_dnum,"&gt;="&amp;p_from,in_dnum,"&lt;="&amp;p_to))</f>
        <v/>
      </c>
      <c r="M173" s="128" t="str">
        <f>IF(A173="","",SUMIFS(in_work,in_eq,A173,in_type,"Amélioratif",in_done,1,in_dnum,"&gt;="&amp;p_from,in_dnum,"&lt;="&amp;p_to))</f>
        <v/>
      </c>
      <c r="N173" s="131" t="str">
        <f>IF(OR(A173="",N(K173)+N(L173)+N(M173)=0),"",K173/(K173+L173+M173))</f>
        <v/>
      </c>
      <c r="O173" s="81" t="str">
        <f>IF(A173="","",SUMIFS(in_parts,in_eq,A173,in_done,1,in_dnum,"&gt;="&amp;p_from,in_dnum,"&lt;="&amp;p_to))</f>
        <v/>
      </c>
      <c r="P173" s="81" t="str">
        <f>IF(A173="","",SUMIFS(in_mo,in_eq,A173,in_done,1,in_dnum,"&gt;="&amp;p_from,in_dnum,"&lt;="&amp;p_to))</f>
        <v/>
      </c>
      <c r="Q173" s="81" t="str">
        <f>IF(A173="","",SUMIFS(in_other,in_eq,A173,in_done,1,in_dnum,"&gt;="&amp;p_from,in_dnum,"&lt;="&amp;p_to))</f>
        <v/>
      </c>
      <c r="R173" s="81" t="str">
        <f>IF(A173="","",SUMIFS(in_total,in_eq,A173,in_done,1,in_dnum,"&gt;="&amp;p_from,in_dnum,"&lt;="&amp;p_to))</f>
        <v/>
      </c>
      <c r="S173" s="67" t="str">
        <f>IF(A173="","",SUMIFS(in_work,in_eq,A173,in_type,"Correctif",in_done,1,in_dnum,"&gt;="&amp;p_from,in_dnum,"&lt;="&amp;p_to))</f>
        <v/>
      </c>
      <c r="T173" s="67" t="str">
        <f>IF(A173="","",SUMIFS(in_stop,in_eq,A173,in_type,"Correctif",in_done,1,in_dnum,"&gt;="&amp;p_from,in_dnum,"&lt;="&amp;p_to))</f>
        <v/>
      </c>
    </row>
    <row r="174">
      <c r="A174" s="67" t="str">
        <f>IF(INDEX(eq_code,163)="","",INDEX(eq_code,163)&amp;"")</f>
        <v/>
      </c>
      <c r="B174" s="67" t="str">
        <f>IF(A174="","",INDEX(eq_des,163)&amp;"")</f>
        <v/>
      </c>
      <c r="C174" s="79" t="str">
        <f>IF(A174="","",INDEX(eq_crit,163)&amp;"")</f>
        <v/>
      </c>
      <c r="D174" s="127" t="str">
        <f>IF(A174="","",IF(MAX(p_from,N(INDEX(eq_start,163)))&gt;p_to,0,ROUND(IF(AND(ISNUMBER(INDEX(eq_hours,163)),N(INDEX(eq_hours,163))&gt;0,N(INDEX(eq_hours,163))&lt;=24),INDEX(eq_hours,163),0)*IF(p_days="7 jours sur 7",p_to-MAX(p_from,N(INDEX(eq_start,163)))+1,NETWORKDAYS.INTL(MAX(p_from,N(INDEX(eq_start,163))),p_to,p_weekend,p_holidays)),2)))</f>
        <v/>
      </c>
      <c r="E174" s="128" t="str">
        <f>IF(A174="","",SUMIFS(in_stop,in_eq,A174,in_done,1,in_dnum,"&gt;="&amp;p_from,in_dnum,"&lt;="&amp;p_to))</f>
        <v/>
      </c>
      <c r="F174" s="129" t="str">
        <f>IF(A174="","",COUNTIFS(in_eq,A174,in_type,"Correctif",in_done,1,in_dnum,"&gt;="&amp;p_from,in_dnum,"&lt;="&amp;p_to))</f>
        <v/>
      </c>
      <c r="G174" s="130" t="str">
        <f>IF(OR(A174="",N(F174)=0),"",MAX(0,D174-E174)/F174)</f>
        <v/>
      </c>
      <c r="H174" s="81" t="str">
        <f>IF(OR(A174="",N(F174)=0),"",S174/F174)</f>
        <v/>
      </c>
      <c r="I174" s="81" t="str">
        <f>IF(OR(A174="",N(F174)=0),"",T174/F174)</f>
        <v/>
      </c>
      <c r="J174" s="131" t="str">
        <f>IF(OR(A174="",N(D174)=0),"",MAX(0,D174-E174)/D174)</f>
        <v/>
      </c>
      <c r="K174" s="128" t="str">
        <f>IF(A174="","",SUMIFS(in_work,in_eq,A174,in_type,"Préventif",in_done,1,in_dnum,"&gt;="&amp;p_from,in_dnum,"&lt;="&amp;p_to))</f>
        <v/>
      </c>
      <c r="L174" s="128" t="str">
        <f>IF(A174="","",SUMIFS(in_work,in_eq,A174,in_type,"Correctif",in_done,1,in_dnum,"&gt;="&amp;p_from,in_dnum,"&lt;="&amp;p_to))</f>
        <v/>
      </c>
      <c r="M174" s="128" t="str">
        <f>IF(A174="","",SUMIFS(in_work,in_eq,A174,in_type,"Amélioratif",in_done,1,in_dnum,"&gt;="&amp;p_from,in_dnum,"&lt;="&amp;p_to))</f>
        <v/>
      </c>
      <c r="N174" s="131" t="str">
        <f>IF(OR(A174="",N(K174)+N(L174)+N(M174)=0),"",K174/(K174+L174+M174))</f>
        <v/>
      </c>
      <c r="O174" s="81" t="str">
        <f>IF(A174="","",SUMIFS(in_parts,in_eq,A174,in_done,1,in_dnum,"&gt;="&amp;p_from,in_dnum,"&lt;="&amp;p_to))</f>
        <v/>
      </c>
      <c r="P174" s="81" t="str">
        <f>IF(A174="","",SUMIFS(in_mo,in_eq,A174,in_done,1,in_dnum,"&gt;="&amp;p_from,in_dnum,"&lt;="&amp;p_to))</f>
        <v/>
      </c>
      <c r="Q174" s="81" t="str">
        <f>IF(A174="","",SUMIFS(in_other,in_eq,A174,in_done,1,in_dnum,"&gt;="&amp;p_from,in_dnum,"&lt;="&amp;p_to))</f>
        <v/>
      </c>
      <c r="R174" s="81" t="str">
        <f>IF(A174="","",SUMIFS(in_total,in_eq,A174,in_done,1,in_dnum,"&gt;="&amp;p_from,in_dnum,"&lt;="&amp;p_to))</f>
        <v/>
      </c>
      <c r="S174" s="67" t="str">
        <f>IF(A174="","",SUMIFS(in_work,in_eq,A174,in_type,"Correctif",in_done,1,in_dnum,"&gt;="&amp;p_from,in_dnum,"&lt;="&amp;p_to))</f>
        <v/>
      </c>
      <c r="T174" s="67" t="str">
        <f>IF(A174="","",SUMIFS(in_stop,in_eq,A174,in_type,"Correctif",in_done,1,in_dnum,"&gt;="&amp;p_from,in_dnum,"&lt;="&amp;p_to))</f>
        <v/>
      </c>
    </row>
    <row r="175">
      <c r="A175" s="67" t="str">
        <f>IF(INDEX(eq_code,164)="","",INDEX(eq_code,164)&amp;"")</f>
        <v/>
      </c>
      <c r="B175" s="67" t="str">
        <f>IF(A175="","",INDEX(eq_des,164)&amp;"")</f>
        <v/>
      </c>
      <c r="C175" s="79" t="str">
        <f>IF(A175="","",INDEX(eq_crit,164)&amp;"")</f>
        <v/>
      </c>
      <c r="D175" s="127" t="str">
        <f>IF(A175="","",IF(MAX(p_from,N(INDEX(eq_start,164)))&gt;p_to,0,ROUND(IF(AND(ISNUMBER(INDEX(eq_hours,164)),N(INDEX(eq_hours,164))&gt;0,N(INDEX(eq_hours,164))&lt;=24),INDEX(eq_hours,164),0)*IF(p_days="7 jours sur 7",p_to-MAX(p_from,N(INDEX(eq_start,164)))+1,NETWORKDAYS.INTL(MAX(p_from,N(INDEX(eq_start,164))),p_to,p_weekend,p_holidays)),2)))</f>
        <v/>
      </c>
      <c r="E175" s="128" t="str">
        <f>IF(A175="","",SUMIFS(in_stop,in_eq,A175,in_done,1,in_dnum,"&gt;="&amp;p_from,in_dnum,"&lt;="&amp;p_to))</f>
        <v/>
      </c>
      <c r="F175" s="129" t="str">
        <f>IF(A175="","",COUNTIFS(in_eq,A175,in_type,"Correctif",in_done,1,in_dnum,"&gt;="&amp;p_from,in_dnum,"&lt;="&amp;p_to))</f>
        <v/>
      </c>
      <c r="G175" s="130" t="str">
        <f>IF(OR(A175="",N(F175)=0),"",MAX(0,D175-E175)/F175)</f>
        <v/>
      </c>
      <c r="H175" s="81" t="str">
        <f>IF(OR(A175="",N(F175)=0),"",S175/F175)</f>
        <v/>
      </c>
      <c r="I175" s="81" t="str">
        <f>IF(OR(A175="",N(F175)=0),"",T175/F175)</f>
        <v/>
      </c>
      <c r="J175" s="131" t="str">
        <f>IF(OR(A175="",N(D175)=0),"",MAX(0,D175-E175)/D175)</f>
        <v/>
      </c>
      <c r="K175" s="128" t="str">
        <f>IF(A175="","",SUMIFS(in_work,in_eq,A175,in_type,"Préventif",in_done,1,in_dnum,"&gt;="&amp;p_from,in_dnum,"&lt;="&amp;p_to))</f>
        <v/>
      </c>
      <c r="L175" s="128" t="str">
        <f>IF(A175="","",SUMIFS(in_work,in_eq,A175,in_type,"Correctif",in_done,1,in_dnum,"&gt;="&amp;p_from,in_dnum,"&lt;="&amp;p_to))</f>
        <v/>
      </c>
      <c r="M175" s="128" t="str">
        <f>IF(A175="","",SUMIFS(in_work,in_eq,A175,in_type,"Amélioratif",in_done,1,in_dnum,"&gt;="&amp;p_from,in_dnum,"&lt;="&amp;p_to))</f>
        <v/>
      </c>
      <c r="N175" s="131" t="str">
        <f>IF(OR(A175="",N(K175)+N(L175)+N(M175)=0),"",K175/(K175+L175+M175))</f>
        <v/>
      </c>
      <c r="O175" s="81" t="str">
        <f>IF(A175="","",SUMIFS(in_parts,in_eq,A175,in_done,1,in_dnum,"&gt;="&amp;p_from,in_dnum,"&lt;="&amp;p_to))</f>
        <v/>
      </c>
      <c r="P175" s="81" t="str">
        <f>IF(A175="","",SUMIFS(in_mo,in_eq,A175,in_done,1,in_dnum,"&gt;="&amp;p_from,in_dnum,"&lt;="&amp;p_to))</f>
        <v/>
      </c>
      <c r="Q175" s="81" t="str">
        <f>IF(A175="","",SUMIFS(in_other,in_eq,A175,in_done,1,in_dnum,"&gt;="&amp;p_from,in_dnum,"&lt;="&amp;p_to))</f>
        <v/>
      </c>
      <c r="R175" s="81" t="str">
        <f>IF(A175="","",SUMIFS(in_total,in_eq,A175,in_done,1,in_dnum,"&gt;="&amp;p_from,in_dnum,"&lt;="&amp;p_to))</f>
        <v/>
      </c>
      <c r="S175" s="67" t="str">
        <f>IF(A175="","",SUMIFS(in_work,in_eq,A175,in_type,"Correctif",in_done,1,in_dnum,"&gt;="&amp;p_from,in_dnum,"&lt;="&amp;p_to))</f>
        <v/>
      </c>
      <c r="T175" s="67" t="str">
        <f>IF(A175="","",SUMIFS(in_stop,in_eq,A175,in_type,"Correctif",in_done,1,in_dnum,"&gt;="&amp;p_from,in_dnum,"&lt;="&amp;p_to))</f>
        <v/>
      </c>
    </row>
    <row r="176">
      <c r="A176" s="67" t="str">
        <f>IF(INDEX(eq_code,165)="","",INDEX(eq_code,165)&amp;"")</f>
        <v/>
      </c>
      <c r="B176" s="67" t="str">
        <f>IF(A176="","",INDEX(eq_des,165)&amp;"")</f>
        <v/>
      </c>
      <c r="C176" s="79" t="str">
        <f>IF(A176="","",INDEX(eq_crit,165)&amp;"")</f>
        <v/>
      </c>
      <c r="D176" s="127" t="str">
        <f>IF(A176="","",IF(MAX(p_from,N(INDEX(eq_start,165)))&gt;p_to,0,ROUND(IF(AND(ISNUMBER(INDEX(eq_hours,165)),N(INDEX(eq_hours,165))&gt;0,N(INDEX(eq_hours,165))&lt;=24),INDEX(eq_hours,165),0)*IF(p_days="7 jours sur 7",p_to-MAX(p_from,N(INDEX(eq_start,165)))+1,NETWORKDAYS.INTL(MAX(p_from,N(INDEX(eq_start,165))),p_to,p_weekend,p_holidays)),2)))</f>
        <v/>
      </c>
      <c r="E176" s="128" t="str">
        <f>IF(A176="","",SUMIFS(in_stop,in_eq,A176,in_done,1,in_dnum,"&gt;="&amp;p_from,in_dnum,"&lt;="&amp;p_to))</f>
        <v/>
      </c>
      <c r="F176" s="129" t="str">
        <f>IF(A176="","",COUNTIFS(in_eq,A176,in_type,"Correctif",in_done,1,in_dnum,"&gt;="&amp;p_from,in_dnum,"&lt;="&amp;p_to))</f>
        <v/>
      </c>
      <c r="G176" s="130" t="str">
        <f>IF(OR(A176="",N(F176)=0),"",MAX(0,D176-E176)/F176)</f>
        <v/>
      </c>
      <c r="H176" s="81" t="str">
        <f>IF(OR(A176="",N(F176)=0),"",S176/F176)</f>
        <v/>
      </c>
      <c r="I176" s="81" t="str">
        <f>IF(OR(A176="",N(F176)=0),"",T176/F176)</f>
        <v/>
      </c>
      <c r="J176" s="131" t="str">
        <f>IF(OR(A176="",N(D176)=0),"",MAX(0,D176-E176)/D176)</f>
        <v/>
      </c>
      <c r="K176" s="128" t="str">
        <f>IF(A176="","",SUMIFS(in_work,in_eq,A176,in_type,"Préventif",in_done,1,in_dnum,"&gt;="&amp;p_from,in_dnum,"&lt;="&amp;p_to))</f>
        <v/>
      </c>
      <c r="L176" s="128" t="str">
        <f>IF(A176="","",SUMIFS(in_work,in_eq,A176,in_type,"Correctif",in_done,1,in_dnum,"&gt;="&amp;p_from,in_dnum,"&lt;="&amp;p_to))</f>
        <v/>
      </c>
      <c r="M176" s="128" t="str">
        <f>IF(A176="","",SUMIFS(in_work,in_eq,A176,in_type,"Amélioratif",in_done,1,in_dnum,"&gt;="&amp;p_from,in_dnum,"&lt;="&amp;p_to))</f>
        <v/>
      </c>
      <c r="N176" s="131" t="str">
        <f>IF(OR(A176="",N(K176)+N(L176)+N(M176)=0),"",K176/(K176+L176+M176))</f>
        <v/>
      </c>
      <c r="O176" s="81" t="str">
        <f>IF(A176="","",SUMIFS(in_parts,in_eq,A176,in_done,1,in_dnum,"&gt;="&amp;p_from,in_dnum,"&lt;="&amp;p_to))</f>
        <v/>
      </c>
      <c r="P176" s="81" t="str">
        <f>IF(A176="","",SUMIFS(in_mo,in_eq,A176,in_done,1,in_dnum,"&gt;="&amp;p_from,in_dnum,"&lt;="&amp;p_to))</f>
        <v/>
      </c>
      <c r="Q176" s="81" t="str">
        <f>IF(A176="","",SUMIFS(in_other,in_eq,A176,in_done,1,in_dnum,"&gt;="&amp;p_from,in_dnum,"&lt;="&amp;p_to))</f>
        <v/>
      </c>
      <c r="R176" s="81" t="str">
        <f>IF(A176="","",SUMIFS(in_total,in_eq,A176,in_done,1,in_dnum,"&gt;="&amp;p_from,in_dnum,"&lt;="&amp;p_to))</f>
        <v/>
      </c>
      <c r="S176" s="67" t="str">
        <f>IF(A176="","",SUMIFS(in_work,in_eq,A176,in_type,"Correctif",in_done,1,in_dnum,"&gt;="&amp;p_from,in_dnum,"&lt;="&amp;p_to))</f>
        <v/>
      </c>
      <c r="T176" s="67" t="str">
        <f>IF(A176="","",SUMIFS(in_stop,in_eq,A176,in_type,"Correctif",in_done,1,in_dnum,"&gt;="&amp;p_from,in_dnum,"&lt;="&amp;p_to))</f>
        <v/>
      </c>
    </row>
    <row r="177">
      <c r="A177" s="67" t="str">
        <f>IF(INDEX(eq_code,166)="","",INDEX(eq_code,166)&amp;"")</f>
        <v/>
      </c>
      <c r="B177" s="67" t="str">
        <f>IF(A177="","",INDEX(eq_des,166)&amp;"")</f>
        <v/>
      </c>
      <c r="C177" s="79" t="str">
        <f>IF(A177="","",INDEX(eq_crit,166)&amp;"")</f>
        <v/>
      </c>
      <c r="D177" s="127" t="str">
        <f>IF(A177="","",IF(MAX(p_from,N(INDEX(eq_start,166)))&gt;p_to,0,ROUND(IF(AND(ISNUMBER(INDEX(eq_hours,166)),N(INDEX(eq_hours,166))&gt;0,N(INDEX(eq_hours,166))&lt;=24),INDEX(eq_hours,166),0)*IF(p_days="7 jours sur 7",p_to-MAX(p_from,N(INDEX(eq_start,166)))+1,NETWORKDAYS.INTL(MAX(p_from,N(INDEX(eq_start,166))),p_to,p_weekend,p_holidays)),2)))</f>
        <v/>
      </c>
      <c r="E177" s="128" t="str">
        <f>IF(A177="","",SUMIFS(in_stop,in_eq,A177,in_done,1,in_dnum,"&gt;="&amp;p_from,in_dnum,"&lt;="&amp;p_to))</f>
        <v/>
      </c>
      <c r="F177" s="129" t="str">
        <f>IF(A177="","",COUNTIFS(in_eq,A177,in_type,"Correctif",in_done,1,in_dnum,"&gt;="&amp;p_from,in_dnum,"&lt;="&amp;p_to))</f>
        <v/>
      </c>
      <c r="G177" s="130" t="str">
        <f>IF(OR(A177="",N(F177)=0),"",MAX(0,D177-E177)/F177)</f>
        <v/>
      </c>
      <c r="H177" s="81" t="str">
        <f>IF(OR(A177="",N(F177)=0),"",S177/F177)</f>
        <v/>
      </c>
      <c r="I177" s="81" t="str">
        <f>IF(OR(A177="",N(F177)=0),"",T177/F177)</f>
        <v/>
      </c>
      <c r="J177" s="131" t="str">
        <f>IF(OR(A177="",N(D177)=0),"",MAX(0,D177-E177)/D177)</f>
        <v/>
      </c>
      <c r="K177" s="128" t="str">
        <f>IF(A177="","",SUMIFS(in_work,in_eq,A177,in_type,"Préventif",in_done,1,in_dnum,"&gt;="&amp;p_from,in_dnum,"&lt;="&amp;p_to))</f>
        <v/>
      </c>
      <c r="L177" s="128" t="str">
        <f>IF(A177="","",SUMIFS(in_work,in_eq,A177,in_type,"Correctif",in_done,1,in_dnum,"&gt;="&amp;p_from,in_dnum,"&lt;="&amp;p_to))</f>
        <v/>
      </c>
      <c r="M177" s="128" t="str">
        <f>IF(A177="","",SUMIFS(in_work,in_eq,A177,in_type,"Amélioratif",in_done,1,in_dnum,"&gt;="&amp;p_from,in_dnum,"&lt;="&amp;p_to))</f>
        <v/>
      </c>
      <c r="N177" s="131" t="str">
        <f>IF(OR(A177="",N(K177)+N(L177)+N(M177)=0),"",K177/(K177+L177+M177))</f>
        <v/>
      </c>
      <c r="O177" s="81" t="str">
        <f>IF(A177="","",SUMIFS(in_parts,in_eq,A177,in_done,1,in_dnum,"&gt;="&amp;p_from,in_dnum,"&lt;="&amp;p_to))</f>
        <v/>
      </c>
      <c r="P177" s="81" t="str">
        <f>IF(A177="","",SUMIFS(in_mo,in_eq,A177,in_done,1,in_dnum,"&gt;="&amp;p_from,in_dnum,"&lt;="&amp;p_to))</f>
        <v/>
      </c>
      <c r="Q177" s="81" t="str">
        <f>IF(A177="","",SUMIFS(in_other,in_eq,A177,in_done,1,in_dnum,"&gt;="&amp;p_from,in_dnum,"&lt;="&amp;p_to))</f>
        <v/>
      </c>
      <c r="R177" s="81" t="str">
        <f>IF(A177="","",SUMIFS(in_total,in_eq,A177,in_done,1,in_dnum,"&gt;="&amp;p_from,in_dnum,"&lt;="&amp;p_to))</f>
        <v/>
      </c>
      <c r="S177" s="67" t="str">
        <f>IF(A177="","",SUMIFS(in_work,in_eq,A177,in_type,"Correctif",in_done,1,in_dnum,"&gt;="&amp;p_from,in_dnum,"&lt;="&amp;p_to))</f>
        <v/>
      </c>
      <c r="T177" s="67" t="str">
        <f>IF(A177="","",SUMIFS(in_stop,in_eq,A177,in_type,"Correctif",in_done,1,in_dnum,"&gt;="&amp;p_from,in_dnum,"&lt;="&amp;p_to))</f>
        <v/>
      </c>
    </row>
    <row r="178">
      <c r="A178" s="67" t="str">
        <f>IF(INDEX(eq_code,167)="","",INDEX(eq_code,167)&amp;"")</f>
        <v/>
      </c>
      <c r="B178" s="67" t="str">
        <f>IF(A178="","",INDEX(eq_des,167)&amp;"")</f>
        <v/>
      </c>
      <c r="C178" s="79" t="str">
        <f>IF(A178="","",INDEX(eq_crit,167)&amp;"")</f>
        <v/>
      </c>
      <c r="D178" s="127" t="str">
        <f>IF(A178="","",IF(MAX(p_from,N(INDEX(eq_start,167)))&gt;p_to,0,ROUND(IF(AND(ISNUMBER(INDEX(eq_hours,167)),N(INDEX(eq_hours,167))&gt;0,N(INDEX(eq_hours,167))&lt;=24),INDEX(eq_hours,167),0)*IF(p_days="7 jours sur 7",p_to-MAX(p_from,N(INDEX(eq_start,167)))+1,NETWORKDAYS.INTL(MAX(p_from,N(INDEX(eq_start,167))),p_to,p_weekend,p_holidays)),2)))</f>
        <v/>
      </c>
      <c r="E178" s="128" t="str">
        <f>IF(A178="","",SUMIFS(in_stop,in_eq,A178,in_done,1,in_dnum,"&gt;="&amp;p_from,in_dnum,"&lt;="&amp;p_to))</f>
        <v/>
      </c>
      <c r="F178" s="129" t="str">
        <f>IF(A178="","",COUNTIFS(in_eq,A178,in_type,"Correctif",in_done,1,in_dnum,"&gt;="&amp;p_from,in_dnum,"&lt;="&amp;p_to))</f>
        <v/>
      </c>
      <c r="G178" s="130" t="str">
        <f>IF(OR(A178="",N(F178)=0),"",MAX(0,D178-E178)/F178)</f>
        <v/>
      </c>
      <c r="H178" s="81" t="str">
        <f>IF(OR(A178="",N(F178)=0),"",S178/F178)</f>
        <v/>
      </c>
      <c r="I178" s="81" t="str">
        <f>IF(OR(A178="",N(F178)=0),"",T178/F178)</f>
        <v/>
      </c>
      <c r="J178" s="131" t="str">
        <f>IF(OR(A178="",N(D178)=0),"",MAX(0,D178-E178)/D178)</f>
        <v/>
      </c>
      <c r="K178" s="128" t="str">
        <f>IF(A178="","",SUMIFS(in_work,in_eq,A178,in_type,"Préventif",in_done,1,in_dnum,"&gt;="&amp;p_from,in_dnum,"&lt;="&amp;p_to))</f>
        <v/>
      </c>
      <c r="L178" s="128" t="str">
        <f>IF(A178="","",SUMIFS(in_work,in_eq,A178,in_type,"Correctif",in_done,1,in_dnum,"&gt;="&amp;p_from,in_dnum,"&lt;="&amp;p_to))</f>
        <v/>
      </c>
      <c r="M178" s="128" t="str">
        <f>IF(A178="","",SUMIFS(in_work,in_eq,A178,in_type,"Amélioratif",in_done,1,in_dnum,"&gt;="&amp;p_from,in_dnum,"&lt;="&amp;p_to))</f>
        <v/>
      </c>
      <c r="N178" s="131" t="str">
        <f>IF(OR(A178="",N(K178)+N(L178)+N(M178)=0),"",K178/(K178+L178+M178))</f>
        <v/>
      </c>
      <c r="O178" s="81" t="str">
        <f>IF(A178="","",SUMIFS(in_parts,in_eq,A178,in_done,1,in_dnum,"&gt;="&amp;p_from,in_dnum,"&lt;="&amp;p_to))</f>
        <v/>
      </c>
      <c r="P178" s="81" t="str">
        <f>IF(A178="","",SUMIFS(in_mo,in_eq,A178,in_done,1,in_dnum,"&gt;="&amp;p_from,in_dnum,"&lt;="&amp;p_to))</f>
        <v/>
      </c>
      <c r="Q178" s="81" t="str">
        <f>IF(A178="","",SUMIFS(in_other,in_eq,A178,in_done,1,in_dnum,"&gt;="&amp;p_from,in_dnum,"&lt;="&amp;p_to))</f>
        <v/>
      </c>
      <c r="R178" s="81" t="str">
        <f>IF(A178="","",SUMIFS(in_total,in_eq,A178,in_done,1,in_dnum,"&gt;="&amp;p_from,in_dnum,"&lt;="&amp;p_to))</f>
        <v/>
      </c>
      <c r="S178" s="67" t="str">
        <f>IF(A178="","",SUMIFS(in_work,in_eq,A178,in_type,"Correctif",in_done,1,in_dnum,"&gt;="&amp;p_from,in_dnum,"&lt;="&amp;p_to))</f>
        <v/>
      </c>
      <c r="T178" s="67" t="str">
        <f>IF(A178="","",SUMIFS(in_stop,in_eq,A178,in_type,"Correctif",in_done,1,in_dnum,"&gt;="&amp;p_from,in_dnum,"&lt;="&amp;p_to))</f>
        <v/>
      </c>
    </row>
    <row r="179">
      <c r="A179" s="67" t="str">
        <f>IF(INDEX(eq_code,168)="","",INDEX(eq_code,168)&amp;"")</f>
        <v/>
      </c>
      <c r="B179" s="67" t="str">
        <f>IF(A179="","",INDEX(eq_des,168)&amp;"")</f>
        <v/>
      </c>
      <c r="C179" s="79" t="str">
        <f>IF(A179="","",INDEX(eq_crit,168)&amp;"")</f>
        <v/>
      </c>
      <c r="D179" s="127" t="str">
        <f>IF(A179="","",IF(MAX(p_from,N(INDEX(eq_start,168)))&gt;p_to,0,ROUND(IF(AND(ISNUMBER(INDEX(eq_hours,168)),N(INDEX(eq_hours,168))&gt;0,N(INDEX(eq_hours,168))&lt;=24),INDEX(eq_hours,168),0)*IF(p_days="7 jours sur 7",p_to-MAX(p_from,N(INDEX(eq_start,168)))+1,NETWORKDAYS.INTL(MAX(p_from,N(INDEX(eq_start,168))),p_to,p_weekend,p_holidays)),2)))</f>
        <v/>
      </c>
      <c r="E179" s="128" t="str">
        <f>IF(A179="","",SUMIFS(in_stop,in_eq,A179,in_done,1,in_dnum,"&gt;="&amp;p_from,in_dnum,"&lt;="&amp;p_to))</f>
        <v/>
      </c>
      <c r="F179" s="129" t="str">
        <f>IF(A179="","",COUNTIFS(in_eq,A179,in_type,"Correctif",in_done,1,in_dnum,"&gt;="&amp;p_from,in_dnum,"&lt;="&amp;p_to))</f>
        <v/>
      </c>
      <c r="G179" s="130" t="str">
        <f>IF(OR(A179="",N(F179)=0),"",MAX(0,D179-E179)/F179)</f>
        <v/>
      </c>
      <c r="H179" s="81" t="str">
        <f>IF(OR(A179="",N(F179)=0),"",S179/F179)</f>
        <v/>
      </c>
      <c r="I179" s="81" t="str">
        <f>IF(OR(A179="",N(F179)=0),"",T179/F179)</f>
        <v/>
      </c>
      <c r="J179" s="131" t="str">
        <f>IF(OR(A179="",N(D179)=0),"",MAX(0,D179-E179)/D179)</f>
        <v/>
      </c>
      <c r="K179" s="128" t="str">
        <f>IF(A179="","",SUMIFS(in_work,in_eq,A179,in_type,"Préventif",in_done,1,in_dnum,"&gt;="&amp;p_from,in_dnum,"&lt;="&amp;p_to))</f>
        <v/>
      </c>
      <c r="L179" s="128" t="str">
        <f>IF(A179="","",SUMIFS(in_work,in_eq,A179,in_type,"Correctif",in_done,1,in_dnum,"&gt;="&amp;p_from,in_dnum,"&lt;="&amp;p_to))</f>
        <v/>
      </c>
      <c r="M179" s="128" t="str">
        <f>IF(A179="","",SUMIFS(in_work,in_eq,A179,in_type,"Amélioratif",in_done,1,in_dnum,"&gt;="&amp;p_from,in_dnum,"&lt;="&amp;p_to))</f>
        <v/>
      </c>
      <c r="N179" s="131" t="str">
        <f>IF(OR(A179="",N(K179)+N(L179)+N(M179)=0),"",K179/(K179+L179+M179))</f>
        <v/>
      </c>
      <c r="O179" s="81" t="str">
        <f>IF(A179="","",SUMIFS(in_parts,in_eq,A179,in_done,1,in_dnum,"&gt;="&amp;p_from,in_dnum,"&lt;="&amp;p_to))</f>
        <v/>
      </c>
      <c r="P179" s="81" t="str">
        <f>IF(A179="","",SUMIFS(in_mo,in_eq,A179,in_done,1,in_dnum,"&gt;="&amp;p_from,in_dnum,"&lt;="&amp;p_to))</f>
        <v/>
      </c>
      <c r="Q179" s="81" t="str">
        <f>IF(A179="","",SUMIFS(in_other,in_eq,A179,in_done,1,in_dnum,"&gt;="&amp;p_from,in_dnum,"&lt;="&amp;p_to))</f>
        <v/>
      </c>
      <c r="R179" s="81" t="str">
        <f>IF(A179="","",SUMIFS(in_total,in_eq,A179,in_done,1,in_dnum,"&gt;="&amp;p_from,in_dnum,"&lt;="&amp;p_to))</f>
        <v/>
      </c>
      <c r="S179" s="67" t="str">
        <f>IF(A179="","",SUMIFS(in_work,in_eq,A179,in_type,"Correctif",in_done,1,in_dnum,"&gt;="&amp;p_from,in_dnum,"&lt;="&amp;p_to))</f>
        <v/>
      </c>
      <c r="T179" s="67" t="str">
        <f>IF(A179="","",SUMIFS(in_stop,in_eq,A179,in_type,"Correctif",in_done,1,in_dnum,"&gt;="&amp;p_from,in_dnum,"&lt;="&amp;p_to))</f>
        <v/>
      </c>
    </row>
    <row r="180">
      <c r="A180" s="67" t="str">
        <f>IF(INDEX(eq_code,169)="","",INDEX(eq_code,169)&amp;"")</f>
        <v/>
      </c>
      <c r="B180" s="67" t="str">
        <f>IF(A180="","",INDEX(eq_des,169)&amp;"")</f>
        <v/>
      </c>
      <c r="C180" s="79" t="str">
        <f>IF(A180="","",INDEX(eq_crit,169)&amp;"")</f>
        <v/>
      </c>
      <c r="D180" s="127" t="str">
        <f>IF(A180="","",IF(MAX(p_from,N(INDEX(eq_start,169)))&gt;p_to,0,ROUND(IF(AND(ISNUMBER(INDEX(eq_hours,169)),N(INDEX(eq_hours,169))&gt;0,N(INDEX(eq_hours,169))&lt;=24),INDEX(eq_hours,169),0)*IF(p_days="7 jours sur 7",p_to-MAX(p_from,N(INDEX(eq_start,169)))+1,NETWORKDAYS.INTL(MAX(p_from,N(INDEX(eq_start,169))),p_to,p_weekend,p_holidays)),2)))</f>
        <v/>
      </c>
      <c r="E180" s="128" t="str">
        <f>IF(A180="","",SUMIFS(in_stop,in_eq,A180,in_done,1,in_dnum,"&gt;="&amp;p_from,in_dnum,"&lt;="&amp;p_to))</f>
        <v/>
      </c>
      <c r="F180" s="129" t="str">
        <f>IF(A180="","",COUNTIFS(in_eq,A180,in_type,"Correctif",in_done,1,in_dnum,"&gt;="&amp;p_from,in_dnum,"&lt;="&amp;p_to))</f>
        <v/>
      </c>
      <c r="G180" s="130" t="str">
        <f>IF(OR(A180="",N(F180)=0),"",MAX(0,D180-E180)/F180)</f>
        <v/>
      </c>
      <c r="H180" s="81" t="str">
        <f>IF(OR(A180="",N(F180)=0),"",S180/F180)</f>
        <v/>
      </c>
      <c r="I180" s="81" t="str">
        <f>IF(OR(A180="",N(F180)=0),"",T180/F180)</f>
        <v/>
      </c>
      <c r="J180" s="131" t="str">
        <f>IF(OR(A180="",N(D180)=0),"",MAX(0,D180-E180)/D180)</f>
        <v/>
      </c>
      <c r="K180" s="128" t="str">
        <f>IF(A180="","",SUMIFS(in_work,in_eq,A180,in_type,"Préventif",in_done,1,in_dnum,"&gt;="&amp;p_from,in_dnum,"&lt;="&amp;p_to))</f>
        <v/>
      </c>
      <c r="L180" s="128" t="str">
        <f>IF(A180="","",SUMIFS(in_work,in_eq,A180,in_type,"Correctif",in_done,1,in_dnum,"&gt;="&amp;p_from,in_dnum,"&lt;="&amp;p_to))</f>
        <v/>
      </c>
      <c r="M180" s="128" t="str">
        <f>IF(A180="","",SUMIFS(in_work,in_eq,A180,in_type,"Amélioratif",in_done,1,in_dnum,"&gt;="&amp;p_from,in_dnum,"&lt;="&amp;p_to))</f>
        <v/>
      </c>
      <c r="N180" s="131" t="str">
        <f>IF(OR(A180="",N(K180)+N(L180)+N(M180)=0),"",K180/(K180+L180+M180))</f>
        <v/>
      </c>
      <c r="O180" s="81" t="str">
        <f>IF(A180="","",SUMIFS(in_parts,in_eq,A180,in_done,1,in_dnum,"&gt;="&amp;p_from,in_dnum,"&lt;="&amp;p_to))</f>
        <v/>
      </c>
      <c r="P180" s="81" t="str">
        <f>IF(A180="","",SUMIFS(in_mo,in_eq,A180,in_done,1,in_dnum,"&gt;="&amp;p_from,in_dnum,"&lt;="&amp;p_to))</f>
        <v/>
      </c>
      <c r="Q180" s="81" t="str">
        <f>IF(A180="","",SUMIFS(in_other,in_eq,A180,in_done,1,in_dnum,"&gt;="&amp;p_from,in_dnum,"&lt;="&amp;p_to))</f>
        <v/>
      </c>
      <c r="R180" s="81" t="str">
        <f>IF(A180="","",SUMIFS(in_total,in_eq,A180,in_done,1,in_dnum,"&gt;="&amp;p_from,in_dnum,"&lt;="&amp;p_to))</f>
        <v/>
      </c>
      <c r="S180" s="67" t="str">
        <f>IF(A180="","",SUMIFS(in_work,in_eq,A180,in_type,"Correctif",in_done,1,in_dnum,"&gt;="&amp;p_from,in_dnum,"&lt;="&amp;p_to))</f>
        <v/>
      </c>
      <c r="T180" s="67" t="str">
        <f>IF(A180="","",SUMIFS(in_stop,in_eq,A180,in_type,"Correctif",in_done,1,in_dnum,"&gt;="&amp;p_from,in_dnum,"&lt;="&amp;p_to))</f>
        <v/>
      </c>
    </row>
    <row r="181">
      <c r="A181" s="67" t="str">
        <f>IF(INDEX(eq_code,170)="","",INDEX(eq_code,170)&amp;"")</f>
        <v/>
      </c>
      <c r="B181" s="67" t="str">
        <f>IF(A181="","",INDEX(eq_des,170)&amp;"")</f>
        <v/>
      </c>
      <c r="C181" s="79" t="str">
        <f>IF(A181="","",INDEX(eq_crit,170)&amp;"")</f>
        <v/>
      </c>
      <c r="D181" s="127" t="str">
        <f>IF(A181="","",IF(MAX(p_from,N(INDEX(eq_start,170)))&gt;p_to,0,ROUND(IF(AND(ISNUMBER(INDEX(eq_hours,170)),N(INDEX(eq_hours,170))&gt;0,N(INDEX(eq_hours,170))&lt;=24),INDEX(eq_hours,170),0)*IF(p_days="7 jours sur 7",p_to-MAX(p_from,N(INDEX(eq_start,170)))+1,NETWORKDAYS.INTL(MAX(p_from,N(INDEX(eq_start,170))),p_to,p_weekend,p_holidays)),2)))</f>
        <v/>
      </c>
      <c r="E181" s="128" t="str">
        <f>IF(A181="","",SUMIFS(in_stop,in_eq,A181,in_done,1,in_dnum,"&gt;="&amp;p_from,in_dnum,"&lt;="&amp;p_to))</f>
        <v/>
      </c>
      <c r="F181" s="129" t="str">
        <f>IF(A181="","",COUNTIFS(in_eq,A181,in_type,"Correctif",in_done,1,in_dnum,"&gt;="&amp;p_from,in_dnum,"&lt;="&amp;p_to))</f>
        <v/>
      </c>
      <c r="G181" s="130" t="str">
        <f>IF(OR(A181="",N(F181)=0),"",MAX(0,D181-E181)/F181)</f>
        <v/>
      </c>
      <c r="H181" s="81" t="str">
        <f>IF(OR(A181="",N(F181)=0),"",S181/F181)</f>
        <v/>
      </c>
      <c r="I181" s="81" t="str">
        <f>IF(OR(A181="",N(F181)=0),"",T181/F181)</f>
        <v/>
      </c>
      <c r="J181" s="131" t="str">
        <f>IF(OR(A181="",N(D181)=0),"",MAX(0,D181-E181)/D181)</f>
        <v/>
      </c>
      <c r="K181" s="128" t="str">
        <f>IF(A181="","",SUMIFS(in_work,in_eq,A181,in_type,"Préventif",in_done,1,in_dnum,"&gt;="&amp;p_from,in_dnum,"&lt;="&amp;p_to))</f>
        <v/>
      </c>
      <c r="L181" s="128" t="str">
        <f>IF(A181="","",SUMIFS(in_work,in_eq,A181,in_type,"Correctif",in_done,1,in_dnum,"&gt;="&amp;p_from,in_dnum,"&lt;="&amp;p_to))</f>
        <v/>
      </c>
      <c r="M181" s="128" t="str">
        <f>IF(A181="","",SUMIFS(in_work,in_eq,A181,in_type,"Amélioratif",in_done,1,in_dnum,"&gt;="&amp;p_from,in_dnum,"&lt;="&amp;p_to))</f>
        <v/>
      </c>
      <c r="N181" s="131" t="str">
        <f>IF(OR(A181="",N(K181)+N(L181)+N(M181)=0),"",K181/(K181+L181+M181))</f>
        <v/>
      </c>
      <c r="O181" s="81" t="str">
        <f>IF(A181="","",SUMIFS(in_parts,in_eq,A181,in_done,1,in_dnum,"&gt;="&amp;p_from,in_dnum,"&lt;="&amp;p_to))</f>
        <v/>
      </c>
      <c r="P181" s="81" t="str">
        <f>IF(A181="","",SUMIFS(in_mo,in_eq,A181,in_done,1,in_dnum,"&gt;="&amp;p_from,in_dnum,"&lt;="&amp;p_to))</f>
        <v/>
      </c>
      <c r="Q181" s="81" t="str">
        <f>IF(A181="","",SUMIFS(in_other,in_eq,A181,in_done,1,in_dnum,"&gt;="&amp;p_from,in_dnum,"&lt;="&amp;p_to))</f>
        <v/>
      </c>
      <c r="R181" s="81" t="str">
        <f>IF(A181="","",SUMIFS(in_total,in_eq,A181,in_done,1,in_dnum,"&gt;="&amp;p_from,in_dnum,"&lt;="&amp;p_to))</f>
        <v/>
      </c>
      <c r="S181" s="67" t="str">
        <f>IF(A181="","",SUMIFS(in_work,in_eq,A181,in_type,"Correctif",in_done,1,in_dnum,"&gt;="&amp;p_from,in_dnum,"&lt;="&amp;p_to))</f>
        <v/>
      </c>
      <c r="T181" s="67" t="str">
        <f>IF(A181="","",SUMIFS(in_stop,in_eq,A181,in_type,"Correctif",in_done,1,in_dnum,"&gt;="&amp;p_from,in_dnum,"&lt;="&amp;p_to))</f>
        <v/>
      </c>
    </row>
    <row r="182">
      <c r="A182" s="67" t="str">
        <f>IF(INDEX(eq_code,171)="","",INDEX(eq_code,171)&amp;"")</f>
        <v/>
      </c>
      <c r="B182" s="67" t="str">
        <f>IF(A182="","",INDEX(eq_des,171)&amp;"")</f>
        <v/>
      </c>
      <c r="C182" s="79" t="str">
        <f>IF(A182="","",INDEX(eq_crit,171)&amp;"")</f>
        <v/>
      </c>
      <c r="D182" s="127" t="str">
        <f>IF(A182="","",IF(MAX(p_from,N(INDEX(eq_start,171)))&gt;p_to,0,ROUND(IF(AND(ISNUMBER(INDEX(eq_hours,171)),N(INDEX(eq_hours,171))&gt;0,N(INDEX(eq_hours,171))&lt;=24),INDEX(eq_hours,171),0)*IF(p_days="7 jours sur 7",p_to-MAX(p_from,N(INDEX(eq_start,171)))+1,NETWORKDAYS.INTL(MAX(p_from,N(INDEX(eq_start,171))),p_to,p_weekend,p_holidays)),2)))</f>
        <v/>
      </c>
      <c r="E182" s="128" t="str">
        <f>IF(A182="","",SUMIFS(in_stop,in_eq,A182,in_done,1,in_dnum,"&gt;="&amp;p_from,in_dnum,"&lt;="&amp;p_to))</f>
        <v/>
      </c>
      <c r="F182" s="129" t="str">
        <f>IF(A182="","",COUNTIFS(in_eq,A182,in_type,"Correctif",in_done,1,in_dnum,"&gt;="&amp;p_from,in_dnum,"&lt;="&amp;p_to))</f>
        <v/>
      </c>
      <c r="G182" s="130" t="str">
        <f>IF(OR(A182="",N(F182)=0),"",MAX(0,D182-E182)/F182)</f>
        <v/>
      </c>
      <c r="H182" s="81" t="str">
        <f>IF(OR(A182="",N(F182)=0),"",S182/F182)</f>
        <v/>
      </c>
      <c r="I182" s="81" t="str">
        <f>IF(OR(A182="",N(F182)=0),"",T182/F182)</f>
        <v/>
      </c>
      <c r="J182" s="131" t="str">
        <f>IF(OR(A182="",N(D182)=0),"",MAX(0,D182-E182)/D182)</f>
        <v/>
      </c>
      <c r="K182" s="128" t="str">
        <f>IF(A182="","",SUMIFS(in_work,in_eq,A182,in_type,"Préventif",in_done,1,in_dnum,"&gt;="&amp;p_from,in_dnum,"&lt;="&amp;p_to))</f>
        <v/>
      </c>
      <c r="L182" s="128" t="str">
        <f>IF(A182="","",SUMIFS(in_work,in_eq,A182,in_type,"Correctif",in_done,1,in_dnum,"&gt;="&amp;p_from,in_dnum,"&lt;="&amp;p_to))</f>
        <v/>
      </c>
      <c r="M182" s="128" t="str">
        <f>IF(A182="","",SUMIFS(in_work,in_eq,A182,in_type,"Amélioratif",in_done,1,in_dnum,"&gt;="&amp;p_from,in_dnum,"&lt;="&amp;p_to))</f>
        <v/>
      </c>
      <c r="N182" s="131" t="str">
        <f>IF(OR(A182="",N(K182)+N(L182)+N(M182)=0),"",K182/(K182+L182+M182))</f>
        <v/>
      </c>
      <c r="O182" s="81" t="str">
        <f>IF(A182="","",SUMIFS(in_parts,in_eq,A182,in_done,1,in_dnum,"&gt;="&amp;p_from,in_dnum,"&lt;="&amp;p_to))</f>
        <v/>
      </c>
      <c r="P182" s="81" t="str">
        <f>IF(A182="","",SUMIFS(in_mo,in_eq,A182,in_done,1,in_dnum,"&gt;="&amp;p_from,in_dnum,"&lt;="&amp;p_to))</f>
        <v/>
      </c>
      <c r="Q182" s="81" t="str">
        <f>IF(A182="","",SUMIFS(in_other,in_eq,A182,in_done,1,in_dnum,"&gt;="&amp;p_from,in_dnum,"&lt;="&amp;p_to))</f>
        <v/>
      </c>
      <c r="R182" s="81" t="str">
        <f>IF(A182="","",SUMIFS(in_total,in_eq,A182,in_done,1,in_dnum,"&gt;="&amp;p_from,in_dnum,"&lt;="&amp;p_to))</f>
        <v/>
      </c>
      <c r="S182" s="67" t="str">
        <f>IF(A182="","",SUMIFS(in_work,in_eq,A182,in_type,"Correctif",in_done,1,in_dnum,"&gt;="&amp;p_from,in_dnum,"&lt;="&amp;p_to))</f>
        <v/>
      </c>
      <c r="T182" s="67" t="str">
        <f>IF(A182="","",SUMIFS(in_stop,in_eq,A182,in_type,"Correctif",in_done,1,in_dnum,"&gt;="&amp;p_from,in_dnum,"&lt;="&amp;p_to))</f>
        <v/>
      </c>
    </row>
    <row r="183">
      <c r="A183" s="67" t="str">
        <f>IF(INDEX(eq_code,172)="","",INDEX(eq_code,172)&amp;"")</f>
        <v/>
      </c>
      <c r="B183" s="67" t="str">
        <f>IF(A183="","",INDEX(eq_des,172)&amp;"")</f>
        <v/>
      </c>
      <c r="C183" s="79" t="str">
        <f>IF(A183="","",INDEX(eq_crit,172)&amp;"")</f>
        <v/>
      </c>
      <c r="D183" s="127" t="str">
        <f>IF(A183="","",IF(MAX(p_from,N(INDEX(eq_start,172)))&gt;p_to,0,ROUND(IF(AND(ISNUMBER(INDEX(eq_hours,172)),N(INDEX(eq_hours,172))&gt;0,N(INDEX(eq_hours,172))&lt;=24),INDEX(eq_hours,172),0)*IF(p_days="7 jours sur 7",p_to-MAX(p_from,N(INDEX(eq_start,172)))+1,NETWORKDAYS.INTL(MAX(p_from,N(INDEX(eq_start,172))),p_to,p_weekend,p_holidays)),2)))</f>
        <v/>
      </c>
      <c r="E183" s="128" t="str">
        <f>IF(A183="","",SUMIFS(in_stop,in_eq,A183,in_done,1,in_dnum,"&gt;="&amp;p_from,in_dnum,"&lt;="&amp;p_to))</f>
        <v/>
      </c>
      <c r="F183" s="129" t="str">
        <f>IF(A183="","",COUNTIFS(in_eq,A183,in_type,"Correctif",in_done,1,in_dnum,"&gt;="&amp;p_from,in_dnum,"&lt;="&amp;p_to))</f>
        <v/>
      </c>
      <c r="G183" s="130" t="str">
        <f>IF(OR(A183="",N(F183)=0),"",MAX(0,D183-E183)/F183)</f>
        <v/>
      </c>
      <c r="H183" s="81" t="str">
        <f>IF(OR(A183="",N(F183)=0),"",S183/F183)</f>
        <v/>
      </c>
      <c r="I183" s="81" t="str">
        <f>IF(OR(A183="",N(F183)=0),"",T183/F183)</f>
        <v/>
      </c>
      <c r="J183" s="131" t="str">
        <f>IF(OR(A183="",N(D183)=0),"",MAX(0,D183-E183)/D183)</f>
        <v/>
      </c>
      <c r="K183" s="128" t="str">
        <f>IF(A183="","",SUMIFS(in_work,in_eq,A183,in_type,"Préventif",in_done,1,in_dnum,"&gt;="&amp;p_from,in_dnum,"&lt;="&amp;p_to))</f>
        <v/>
      </c>
      <c r="L183" s="128" t="str">
        <f>IF(A183="","",SUMIFS(in_work,in_eq,A183,in_type,"Correctif",in_done,1,in_dnum,"&gt;="&amp;p_from,in_dnum,"&lt;="&amp;p_to))</f>
        <v/>
      </c>
      <c r="M183" s="128" t="str">
        <f>IF(A183="","",SUMIFS(in_work,in_eq,A183,in_type,"Amélioratif",in_done,1,in_dnum,"&gt;="&amp;p_from,in_dnum,"&lt;="&amp;p_to))</f>
        <v/>
      </c>
      <c r="N183" s="131" t="str">
        <f>IF(OR(A183="",N(K183)+N(L183)+N(M183)=0),"",K183/(K183+L183+M183))</f>
        <v/>
      </c>
      <c r="O183" s="81" t="str">
        <f>IF(A183="","",SUMIFS(in_parts,in_eq,A183,in_done,1,in_dnum,"&gt;="&amp;p_from,in_dnum,"&lt;="&amp;p_to))</f>
        <v/>
      </c>
      <c r="P183" s="81" t="str">
        <f>IF(A183="","",SUMIFS(in_mo,in_eq,A183,in_done,1,in_dnum,"&gt;="&amp;p_from,in_dnum,"&lt;="&amp;p_to))</f>
        <v/>
      </c>
      <c r="Q183" s="81" t="str">
        <f>IF(A183="","",SUMIFS(in_other,in_eq,A183,in_done,1,in_dnum,"&gt;="&amp;p_from,in_dnum,"&lt;="&amp;p_to))</f>
        <v/>
      </c>
      <c r="R183" s="81" t="str">
        <f>IF(A183="","",SUMIFS(in_total,in_eq,A183,in_done,1,in_dnum,"&gt;="&amp;p_from,in_dnum,"&lt;="&amp;p_to))</f>
        <v/>
      </c>
      <c r="S183" s="67" t="str">
        <f>IF(A183="","",SUMIFS(in_work,in_eq,A183,in_type,"Correctif",in_done,1,in_dnum,"&gt;="&amp;p_from,in_dnum,"&lt;="&amp;p_to))</f>
        <v/>
      </c>
      <c r="T183" s="67" t="str">
        <f>IF(A183="","",SUMIFS(in_stop,in_eq,A183,in_type,"Correctif",in_done,1,in_dnum,"&gt;="&amp;p_from,in_dnum,"&lt;="&amp;p_to))</f>
        <v/>
      </c>
    </row>
    <row r="184">
      <c r="A184" s="67" t="str">
        <f>IF(INDEX(eq_code,173)="","",INDEX(eq_code,173)&amp;"")</f>
        <v/>
      </c>
      <c r="B184" s="67" t="str">
        <f>IF(A184="","",INDEX(eq_des,173)&amp;"")</f>
        <v/>
      </c>
      <c r="C184" s="79" t="str">
        <f>IF(A184="","",INDEX(eq_crit,173)&amp;"")</f>
        <v/>
      </c>
      <c r="D184" s="127" t="str">
        <f>IF(A184="","",IF(MAX(p_from,N(INDEX(eq_start,173)))&gt;p_to,0,ROUND(IF(AND(ISNUMBER(INDEX(eq_hours,173)),N(INDEX(eq_hours,173))&gt;0,N(INDEX(eq_hours,173))&lt;=24),INDEX(eq_hours,173),0)*IF(p_days="7 jours sur 7",p_to-MAX(p_from,N(INDEX(eq_start,173)))+1,NETWORKDAYS.INTL(MAX(p_from,N(INDEX(eq_start,173))),p_to,p_weekend,p_holidays)),2)))</f>
        <v/>
      </c>
      <c r="E184" s="128" t="str">
        <f>IF(A184="","",SUMIFS(in_stop,in_eq,A184,in_done,1,in_dnum,"&gt;="&amp;p_from,in_dnum,"&lt;="&amp;p_to))</f>
        <v/>
      </c>
      <c r="F184" s="129" t="str">
        <f>IF(A184="","",COUNTIFS(in_eq,A184,in_type,"Correctif",in_done,1,in_dnum,"&gt;="&amp;p_from,in_dnum,"&lt;="&amp;p_to))</f>
        <v/>
      </c>
      <c r="G184" s="130" t="str">
        <f>IF(OR(A184="",N(F184)=0),"",MAX(0,D184-E184)/F184)</f>
        <v/>
      </c>
      <c r="H184" s="81" t="str">
        <f>IF(OR(A184="",N(F184)=0),"",S184/F184)</f>
        <v/>
      </c>
      <c r="I184" s="81" t="str">
        <f>IF(OR(A184="",N(F184)=0),"",T184/F184)</f>
        <v/>
      </c>
      <c r="J184" s="131" t="str">
        <f>IF(OR(A184="",N(D184)=0),"",MAX(0,D184-E184)/D184)</f>
        <v/>
      </c>
      <c r="K184" s="128" t="str">
        <f>IF(A184="","",SUMIFS(in_work,in_eq,A184,in_type,"Préventif",in_done,1,in_dnum,"&gt;="&amp;p_from,in_dnum,"&lt;="&amp;p_to))</f>
        <v/>
      </c>
      <c r="L184" s="128" t="str">
        <f>IF(A184="","",SUMIFS(in_work,in_eq,A184,in_type,"Correctif",in_done,1,in_dnum,"&gt;="&amp;p_from,in_dnum,"&lt;="&amp;p_to))</f>
        <v/>
      </c>
      <c r="M184" s="128" t="str">
        <f>IF(A184="","",SUMIFS(in_work,in_eq,A184,in_type,"Amélioratif",in_done,1,in_dnum,"&gt;="&amp;p_from,in_dnum,"&lt;="&amp;p_to))</f>
        <v/>
      </c>
      <c r="N184" s="131" t="str">
        <f>IF(OR(A184="",N(K184)+N(L184)+N(M184)=0),"",K184/(K184+L184+M184))</f>
        <v/>
      </c>
      <c r="O184" s="81" t="str">
        <f>IF(A184="","",SUMIFS(in_parts,in_eq,A184,in_done,1,in_dnum,"&gt;="&amp;p_from,in_dnum,"&lt;="&amp;p_to))</f>
        <v/>
      </c>
      <c r="P184" s="81" t="str">
        <f>IF(A184="","",SUMIFS(in_mo,in_eq,A184,in_done,1,in_dnum,"&gt;="&amp;p_from,in_dnum,"&lt;="&amp;p_to))</f>
        <v/>
      </c>
      <c r="Q184" s="81" t="str">
        <f>IF(A184="","",SUMIFS(in_other,in_eq,A184,in_done,1,in_dnum,"&gt;="&amp;p_from,in_dnum,"&lt;="&amp;p_to))</f>
        <v/>
      </c>
      <c r="R184" s="81" t="str">
        <f>IF(A184="","",SUMIFS(in_total,in_eq,A184,in_done,1,in_dnum,"&gt;="&amp;p_from,in_dnum,"&lt;="&amp;p_to))</f>
        <v/>
      </c>
      <c r="S184" s="67" t="str">
        <f>IF(A184="","",SUMIFS(in_work,in_eq,A184,in_type,"Correctif",in_done,1,in_dnum,"&gt;="&amp;p_from,in_dnum,"&lt;="&amp;p_to))</f>
        <v/>
      </c>
      <c r="T184" s="67" t="str">
        <f>IF(A184="","",SUMIFS(in_stop,in_eq,A184,in_type,"Correctif",in_done,1,in_dnum,"&gt;="&amp;p_from,in_dnum,"&lt;="&amp;p_to))</f>
        <v/>
      </c>
    </row>
    <row r="185">
      <c r="A185" s="67" t="str">
        <f>IF(INDEX(eq_code,174)="","",INDEX(eq_code,174)&amp;"")</f>
        <v/>
      </c>
      <c r="B185" s="67" t="str">
        <f>IF(A185="","",INDEX(eq_des,174)&amp;"")</f>
        <v/>
      </c>
      <c r="C185" s="79" t="str">
        <f>IF(A185="","",INDEX(eq_crit,174)&amp;"")</f>
        <v/>
      </c>
      <c r="D185" s="127" t="str">
        <f>IF(A185="","",IF(MAX(p_from,N(INDEX(eq_start,174)))&gt;p_to,0,ROUND(IF(AND(ISNUMBER(INDEX(eq_hours,174)),N(INDEX(eq_hours,174))&gt;0,N(INDEX(eq_hours,174))&lt;=24),INDEX(eq_hours,174),0)*IF(p_days="7 jours sur 7",p_to-MAX(p_from,N(INDEX(eq_start,174)))+1,NETWORKDAYS.INTL(MAX(p_from,N(INDEX(eq_start,174))),p_to,p_weekend,p_holidays)),2)))</f>
        <v/>
      </c>
      <c r="E185" s="128" t="str">
        <f>IF(A185="","",SUMIFS(in_stop,in_eq,A185,in_done,1,in_dnum,"&gt;="&amp;p_from,in_dnum,"&lt;="&amp;p_to))</f>
        <v/>
      </c>
      <c r="F185" s="129" t="str">
        <f>IF(A185="","",COUNTIFS(in_eq,A185,in_type,"Correctif",in_done,1,in_dnum,"&gt;="&amp;p_from,in_dnum,"&lt;="&amp;p_to))</f>
        <v/>
      </c>
      <c r="G185" s="130" t="str">
        <f>IF(OR(A185="",N(F185)=0),"",MAX(0,D185-E185)/F185)</f>
        <v/>
      </c>
      <c r="H185" s="81" t="str">
        <f>IF(OR(A185="",N(F185)=0),"",S185/F185)</f>
        <v/>
      </c>
      <c r="I185" s="81" t="str">
        <f>IF(OR(A185="",N(F185)=0),"",T185/F185)</f>
        <v/>
      </c>
      <c r="J185" s="131" t="str">
        <f>IF(OR(A185="",N(D185)=0),"",MAX(0,D185-E185)/D185)</f>
        <v/>
      </c>
      <c r="K185" s="128" t="str">
        <f>IF(A185="","",SUMIFS(in_work,in_eq,A185,in_type,"Préventif",in_done,1,in_dnum,"&gt;="&amp;p_from,in_dnum,"&lt;="&amp;p_to))</f>
        <v/>
      </c>
      <c r="L185" s="128" t="str">
        <f>IF(A185="","",SUMIFS(in_work,in_eq,A185,in_type,"Correctif",in_done,1,in_dnum,"&gt;="&amp;p_from,in_dnum,"&lt;="&amp;p_to))</f>
        <v/>
      </c>
      <c r="M185" s="128" t="str">
        <f>IF(A185="","",SUMIFS(in_work,in_eq,A185,in_type,"Amélioratif",in_done,1,in_dnum,"&gt;="&amp;p_from,in_dnum,"&lt;="&amp;p_to))</f>
        <v/>
      </c>
      <c r="N185" s="131" t="str">
        <f>IF(OR(A185="",N(K185)+N(L185)+N(M185)=0),"",K185/(K185+L185+M185))</f>
        <v/>
      </c>
      <c r="O185" s="81" t="str">
        <f>IF(A185="","",SUMIFS(in_parts,in_eq,A185,in_done,1,in_dnum,"&gt;="&amp;p_from,in_dnum,"&lt;="&amp;p_to))</f>
        <v/>
      </c>
      <c r="P185" s="81" t="str">
        <f>IF(A185="","",SUMIFS(in_mo,in_eq,A185,in_done,1,in_dnum,"&gt;="&amp;p_from,in_dnum,"&lt;="&amp;p_to))</f>
        <v/>
      </c>
      <c r="Q185" s="81" t="str">
        <f>IF(A185="","",SUMIFS(in_other,in_eq,A185,in_done,1,in_dnum,"&gt;="&amp;p_from,in_dnum,"&lt;="&amp;p_to))</f>
        <v/>
      </c>
      <c r="R185" s="81" t="str">
        <f>IF(A185="","",SUMIFS(in_total,in_eq,A185,in_done,1,in_dnum,"&gt;="&amp;p_from,in_dnum,"&lt;="&amp;p_to))</f>
        <v/>
      </c>
      <c r="S185" s="67" t="str">
        <f>IF(A185="","",SUMIFS(in_work,in_eq,A185,in_type,"Correctif",in_done,1,in_dnum,"&gt;="&amp;p_from,in_dnum,"&lt;="&amp;p_to))</f>
        <v/>
      </c>
      <c r="T185" s="67" t="str">
        <f>IF(A185="","",SUMIFS(in_stop,in_eq,A185,in_type,"Correctif",in_done,1,in_dnum,"&gt;="&amp;p_from,in_dnum,"&lt;="&amp;p_to))</f>
        <v/>
      </c>
    </row>
    <row r="186">
      <c r="A186" s="67" t="str">
        <f>IF(INDEX(eq_code,175)="","",INDEX(eq_code,175)&amp;"")</f>
        <v/>
      </c>
      <c r="B186" s="67" t="str">
        <f>IF(A186="","",INDEX(eq_des,175)&amp;"")</f>
        <v/>
      </c>
      <c r="C186" s="79" t="str">
        <f>IF(A186="","",INDEX(eq_crit,175)&amp;"")</f>
        <v/>
      </c>
      <c r="D186" s="127" t="str">
        <f>IF(A186="","",IF(MAX(p_from,N(INDEX(eq_start,175)))&gt;p_to,0,ROUND(IF(AND(ISNUMBER(INDEX(eq_hours,175)),N(INDEX(eq_hours,175))&gt;0,N(INDEX(eq_hours,175))&lt;=24),INDEX(eq_hours,175),0)*IF(p_days="7 jours sur 7",p_to-MAX(p_from,N(INDEX(eq_start,175)))+1,NETWORKDAYS.INTL(MAX(p_from,N(INDEX(eq_start,175))),p_to,p_weekend,p_holidays)),2)))</f>
        <v/>
      </c>
      <c r="E186" s="128" t="str">
        <f>IF(A186="","",SUMIFS(in_stop,in_eq,A186,in_done,1,in_dnum,"&gt;="&amp;p_from,in_dnum,"&lt;="&amp;p_to))</f>
        <v/>
      </c>
      <c r="F186" s="129" t="str">
        <f>IF(A186="","",COUNTIFS(in_eq,A186,in_type,"Correctif",in_done,1,in_dnum,"&gt;="&amp;p_from,in_dnum,"&lt;="&amp;p_to))</f>
        <v/>
      </c>
      <c r="G186" s="130" t="str">
        <f>IF(OR(A186="",N(F186)=0),"",MAX(0,D186-E186)/F186)</f>
        <v/>
      </c>
      <c r="H186" s="81" t="str">
        <f>IF(OR(A186="",N(F186)=0),"",S186/F186)</f>
        <v/>
      </c>
      <c r="I186" s="81" t="str">
        <f>IF(OR(A186="",N(F186)=0),"",T186/F186)</f>
        <v/>
      </c>
      <c r="J186" s="131" t="str">
        <f>IF(OR(A186="",N(D186)=0),"",MAX(0,D186-E186)/D186)</f>
        <v/>
      </c>
      <c r="K186" s="128" t="str">
        <f>IF(A186="","",SUMIFS(in_work,in_eq,A186,in_type,"Préventif",in_done,1,in_dnum,"&gt;="&amp;p_from,in_dnum,"&lt;="&amp;p_to))</f>
        <v/>
      </c>
      <c r="L186" s="128" t="str">
        <f>IF(A186="","",SUMIFS(in_work,in_eq,A186,in_type,"Correctif",in_done,1,in_dnum,"&gt;="&amp;p_from,in_dnum,"&lt;="&amp;p_to))</f>
        <v/>
      </c>
      <c r="M186" s="128" t="str">
        <f>IF(A186="","",SUMIFS(in_work,in_eq,A186,in_type,"Amélioratif",in_done,1,in_dnum,"&gt;="&amp;p_from,in_dnum,"&lt;="&amp;p_to))</f>
        <v/>
      </c>
      <c r="N186" s="131" t="str">
        <f>IF(OR(A186="",N(K186)+N(L186)+N(M186)=0),"",K186/(K186+L186+M186))</f>
        <v/>
      </c>
      <c r="O186" s="81" t="str">
        <f>IF(A186="","",SUMIFS(in_parts,in_eq,A186,in_done,1,in_dnum,"&gt;="&amp;p_from,in_dnum,"&lt;="&amp;p_to))</f>
        <v/>
      </c>
      <c r="P186" s="81" t="str">
        <f>IF(A186="","",SUMIFS(in_mo,in_eq,A186,in_done,1,in_dnum,"&gt;="&amp;p_from,in_dnum,"&lt;="&amp;p_to))</f>
        <v/>
      </c>
      <c r="Q186" s="81" t="str">
        <f>IF(A186="","",SUMIFS(in_other,in_eq,A186,in_done,1,in_dnum,"&gt;="&amp;p_from,in_dnum,"&lt;="&amp;p_to))</f>
        <v/>
      </c>
      <c r="R186" s="81" t="str">
        <f>IF(A186="","",SUMIFS(in_total,in_eq,A186,in_done,1,in_dnum,"&gt;="&amp;p_from,in_dnum,"&lt;="&amp;p_to))</f>
        <v/>
      </c>
      <c r="S186" s="67" t="str">
        <f>IF(A186="","",SUMIFS(in_work,in_eq,A186,in_type,"Correctif",in_done,1,in_dnum,"&gt;="&amp;p_from,in_dnum,"&lt;="&amp;p_to))</f>
        <v/>
      </c>
      <c r="T186" s="67" t="str">
        <f>IF(A186="","",SUMIFS(in_stop,in_eq,A186,in_type,"Correctif",in_done,1,in_dnum,"&gt;="&amp;p_from,in_dnum,"&lt;="&amp;p_to))</f>
        <v/>
      </c>
    </row>
    <row r="187">
      <c r="A187" s="67" t="str">
        <f>IF(INDEX(eq_code,176)="","",INDEX(eq_code,176)&amp;"")</f>
        <v/>
      </c>
      <c r="B187" s="67" t="str">
        <f>IF(A187="","",INDEX(eq_des,176)&amp;"")</f>
        <v/>
      </c>
      <c r="C187" s="79" t="str">
        <f>IF(A187="","",INDEX(eq_crit,176)&amp;"")</f>
        <v/>
      </c>
      <c r="D187" s="127" t="str">
        <f>IF(A187="","",IF(MAX(p_from,N(INDEX(eq_start,176)))&gt;p_to,0,ROUND(IF(AND(ISNUMBER(INDEX(eq_hours,176)),N(INDEX(eq_hours,176))&gt;0,N(INDEX(eq_hours,176))&lt;=24),INDEX(eq_hours,176),0)*IF(p_days="7 jours sur 7",p_to-MAX(p_from,N(INDEX(eq_start,176)))+1,NETWORKDAYS.INTL(MAX(p_from,N(INDEX(eq_start,176))),p_to,p_weekend,p_holidays)),2)))</f>
        <v/>
      </c>
      <c r="E187" s="128" t="str">
        <f>IF(A187="","",SUMIFS(in_stop,in_eq,A187,in_done,1,in_dnum,"&gt;="&amp;p_from,in_dnum,"&lt;="&amp;p_to))</f>
        <v/>
      </c>
      <c r="F187" s="129" t="str">
        <f>IF(A187="","",COUNTIFS(in_eq,A187,in_type,"Correctif",in_done,1,in_dnum,"&gt;="&amp;p_from,in_dnum,"&lt;="&amp;p_to))</f>
        <v/>
      </c>
      <c r="G187" s="130" t="str">
        <f>IF(OR(A187="",N(F187)=0),"",MAX(0,D187-E187)/F187)</f>
        <v/>
      </c>
      <c r="H187" s="81" t="str">
        <f>IF(OR(A187="",N(F187)=0),"",S187/F187)</f>
        <v/>
      </c>
      <c r="I187" s="81" t="str">
        <f>IF(OR(A187="",N(F187)=0),"",T187/F187)</f>
        <v/>
      </c>
      <c r="J187" s="131" t="str">
        <f>IF(OR(A187="",N(D187)=0),"",MAX(0,D187-E187)/D187)</f>
        <v/>
      </c>
      <c r="K187" s="128" t="str">
        <f>IF(A187="","",SUMIFS(in_work,in_eq,A187,in_type,"Préventif",in_done,1,in_dnum,"&gt;="&amp;p_from,in_dnum,"&lt;="&amp;p_to))</f>
        <v/>
      </c>
      <c r="L187" s="128" t="str">
        <f>IF(A187="","",SUMIFS(in_work,in_eq,A187,in_type,"Correctif",in_done,1,in_dnum,"&gt;="&amp;p_from,in_dnum,"&lt;="&amp;p_to))</f>
        <v/>
      </c>
      <c r="M187" s="128" t="str">
        <f>IF(A187="","",SUMIFS(in_work,in_eq,A187,in_type,"Amélioratif",in_done,1,in_dnum,"&gt;="&amp;p_from,in_dnum,"&lt;="&amp;p_to))</f>
        <v/>
      </c>
      <c r="N187" s="131" t="str">
        <f>IF(OR(A187="",N(K187)+N(L187)+N(M187)=0),"",K187/(K187+L187+M187))</f>
        <v/>
      </c>
      <c r="O187" s="81" t="str">
        <f>IF(A187="","",SUMIFS(in_parts,in_eq,A187,in_done,1,in_dnum,"&gt;="&amp;p_from,in_dnum,"&lt;="&amp;p_to))</f>
        <v/>
      </c>
      <c r="P187" s="81" t="str">
        <f>IF(A187="","",SUMIFS(in_mo,in_eq,A187,in_done,1,in_dnum,"&gt;="&amp;p_from,in_dnum,"&lt;="&amp;p_to))</f>
        <v/>
      </c>
      <c r="Q187" s="81" t="str">
        <f>IF(A187="","",SUMIFS(in_other,in_eq,A187,in_done,1,in_dnum,"&gt;="&amp;p_from,in_dnum,"&lt;="&amp;p_to))</f>
        <v/>
      </c>
      <c r="R187" s="81" t="str">
        <f>IF(A187="","",SUMIFS(in_total,in_eq,A187,in_done,1,in_dnum,"&gt;="&amp;p_from,in_dnum,"&lt;="&amp;p_to))</f>
        <v/>
      </c>
      <c r="S187" s="67" t="str">
        <f>IF(A187="","",SUMIFS(in_work,in_eq,A187,in_type,"Correctif",in_done,1,in_dnum,"&gt;="&amp;p_from,in_dnum,"&lt;="&amp;p_to))</f>
        <v/>
      </c>
      <c r="T187" s="67" t="str">
        <f>IF(A187="","",SUMIFS(in_stop,in_eq,A187,in_type,"Correctif",in_done,1,in_dnum,"&gt;="&amp;p_from,in_dnum,"&lt;="&amp;p_to))</f>
        <v/>
      </c>
    </row>
    <row r="188">
      <c r="A188" s="67" t="str">
        <f>IF(INDEX(eq_code,177)="","",INDEX(eq_code,177)&amp;"")</f>
        <v/>
      </c>
      <c r="B188" s="67" t="str">
        <f>IF(A188="","",INDEX(eq_des,177)&amp;"")</f>
        <v/>
      </c>
      <c r="C188" s="79" t="str">
        <f>IF(A188="","",INDEX(eq_crit,177)&amp;"")</f>
        <v/>
      </c>
      <c r="D188" s="127" t="str">
        <f>IF(A188="","",IF(MAX(p_from,N(INDEX(eq_start,177)))&gt;p_to,0,ROUND(IF(AND(ISNUMBER(INDEX(eq_hours,177)),N(INDEX(eq_hours,177))&gt;0,N(INDEX(eq_hours,177))&lt;=24),INDEX(eq_hours,177),0)*IF(p_days="7 jours sur 7",p_to-MAX(p_from,N(INDEX(eq_start,177)))+1,NETWORKDAYS.INTL(MAX(p_from,N(INDEX(eq_start,177))),p_to,p_weekend,p_holidays)),2)))</f>
        <v/>
      </c>
      <c r="E188" s="128" t="str">
        <f>IF(A188="","",SUMIFS(in_stop,in_eq,A188,in_done,1,in_dnum,"&gt;="&amp;p_from,in_dnum,"&lt;="&amp;p_to))</f>
        <v/>
      </c>
      <c r="F188" s="129" t="str">
        <f>IF(A188="","",COUNTIFS(in_eq,A188,in_type,"Correctif",in_done,1,in_dnum,"&gt;="&amp;p_from,in_dnum,"&lt;="&amp;p_to))</f>
        <v/>
      </c>
      <c r="G188" s="130" t="str">
        <f>IF(OR(A188="",N(F188)=0),"",MAX(0,D188-E188)/F188)</f>
        <v/>
      </c>
      <c r="H188" s="81" t="str">
        <f>IF(OR(A188="",N(F188)=0),"",S188/F188)</f>
        <v/>
      </c>
      <c r="I188" s="81" t="str">
        <f>IF(OR(A188="",N(F188)=0),"",T188/F188)</f>
        <v/>
      </c>
      <c r="J188" s="131" t="str">
        <f>IF(OR(A188="",N(D188)=0),"",MAX(0,D188-E188)/D188)</f>
        <v/>
      </c>
      <c r="K188" s="128" t="str">
        <f>IF(A188="","",SUMIFS(in_work,in_eq,A188,in_type,"Préventif",in_done,1,in_dnum,"&gt;="&amp;p_from,in_dnum,"&lt;="&amp;p_to))</f>
        <v/>
      </c>
      <c r="L188" s="128" t="str">
        <f>IF(A188="","",SUMIFS(in_work,in_eq,A188,in_type,"Correctif",in_done,1,in_dnum,"&gt;="&amp;p_from,in_dnum,"&lt;="&amp;p_to))</f>
        <v/>
      </c>
      <c r="M188" s="128" t="str">
        <f>IF(A188="","",SUMIFS(in_work,in_eq,A188,in_type,"Amélioratif",in_done,1,in_dnum,"&gt;="&amp;p_from,in_dnum,"&lt;="&amp;p_to))</f>
        <v/>
      </c>
      <c r="N188" s="131" t="str">
        <f>IF(OR(A188="",N(K188)+N(L188)+N(M188)=0),"",K188/(K188+L188+M188))</f>
        <v/>
      </c>
      <c r="O188" s="81" t="str">
        <f>IF(A188="","",SUMIFS(in_parts,in_eq,A188,in_done,1,in_dnum,"&gt;="&amp;p_from,in_dnum,"&lt;="&amp;p_to))</f>
        <v/>
      </c>
      <c r="P188" s="81" t="str">
        <f>IF(A188="","",SUMIFS(in_mo,in_eq,A188,in_done,1,in_dnum,"&gt;="&amp;p_from,in_dnum,"&lt;="&amp;p_to))</f>
        <v/>
      </c>
      <c r="Q188" s="81" t="str">
        <f>IF(A188="","",SUMIFS(in_other,in_eq,A188,in_done,1,in_dnum,"&gt;="&amp;p_from,in_dnum,"&lt;="&amp;p_to))</f>
        <v/>
      </c>
      <c r="R188" s="81" t="str">
        <f>IF(A188="","",SUMIFS(in_total,in_eq,A188,in_done,1,in_dnum,"&gt;="&amp;p_from,in_dnum,"&lt;="&amp;p_to))</f>
        <v/>
      </c>
      <c r="S188" s="67" t="str">
        <f>IF(A188="","",SUMIFS(in_work,in_eq,A188,in_type,"Correctif",in_done,1,in_dnum,"&gt;="&amp;p_from,in_dnum,"&lt;="&amp;p_to))</f>
        <v/>
      </c>
      <c r="T188" s="67" t="str">
        <f>IF(A188="","",SUMIFS(in_stop,in_eq,A188,in_type,"Correctif",in_done,1,in_dnum,"&gt;="&amp;p_from,in_dnum,"&lt;="&amp;p_to))</f>
        <v/>
      </c>
    </row>
    <row r="189">
      <c r="A189" s="67" t="str">
        <f>IF(INDEX(eq_code,178)="","",INDEX(eq_code,178)&amp;"")</f>
        <v/>
      </c>
      <c r="B189" s="67" t="str">
        <f>IF(A189="","",INDEX(eq_des,178)&amp;"")</f>
        <v/>
      </c>
      <c r="C189" s="79" t="str">
        <f>IF(A189="","",INDEX(eq_crit,178)&amp;"")</f>
        <v/>
      </c>
      <c r="D189" s="127" t="str">
        <f>IF(A189="","",IF(MAX(p_from,N(INDEX(eq_start,178)))&gt;p_to,0,ROUND(IF(AND(ISNUMBER(INDEX(eq_hours,178)),N(INDEX(eq_hours,178))&gt;0,N(INDEX(eq_hours,178))&lt;=24),INDEX(eq_hours,178),0)*IF(p_days="7 jours sur 7",p_to-MAX(p_from,N(INDEX(eq_start,178)))+1,NETWORKDAYS.INTL(MAX(p_from,N(INDEX(eq_start,178))),p_to,p_weekend,p_holidays)),2)))</f>
        <v/>
      </c>
      <c r="E189" s="128" t="str">
        <f>IF(A189="","",SUMIFS(in_stop,in_eq,A189,in_done,1,in_dnum,"&gt;="&amp;p_from,in_dnum,"&lt;="&amp;p_to))</f>
        <v/>
      </c>
      <c r="F189" s="129" t="str">
        <f>IF(A189="","",COUNTIFS(in_eq,A189,in_type,"Correctif",in_done,1,in_dnum,"&gt;="&amp;p_from,in_dnum,"&lt;="&amp;p_to))</f>
        <v/>
      </c>
      <c r="G189" s="130" t="str">
        <f>IF(OR(A189="",N(F189)=0),"",MAX(0,D189-E189)/F189)</f>
        <v/>
      </c>
      <c r="H189" s="81" t="str">
        <f>IF(OR(A189="",N(F189)=0),"",S189/F189)</f>
        <v/>
      </c>
      <c r="I189" s="81" t="str">
        <f>IF(OR(A189="",N(F189)=0),"",T189/F189)</f>
        <v/>
      </c>
      <c r="J189" s="131" t="str">
        <f>IF(OR(A189="",N(D189)=0),"",MAX(0,D189-E189)/D189)</f>
        <v/>
      </c>
      <c r="K189" s="128" t="str">
        <f>IF(A189="","",SUMIFS(in_work,in_eq,A189,in_type,"Préventif",in_done,1,in_dnum,"&gt;="&amp;p_from,in_dnum,"&lt;="&amp;p_to))</f>
        <v/>
      </c>
      <c r="L189" s="128" t="str">
        <f>IF(A189="","",SUMIFS(in_work,in_eq,A189,in_type,"Correctif",in_done,1,in_dnum,"&gt;="&amp;p_from,in_dnum,"&lt;="&amp;p_to))</f>
        <v/>
      </c>
      <c r="M189" s="128" t="str">
        <f>IF(A189="","",SUMIFS(in_work,in_eq,A189,in_type,"Amélioratif",in_done,1,in_dnum,"&gt;="&amp;p_from,in_dnum,"&lt;="&amp;p_to))</f>
        <v/>
      </c>
      <c r="N189" s="131" t="str">
        <f>IF(OR(A189="",N(K189)+N(L189)+N(M189)=0),"",K189/(K189+L189+M189))</f>
        <v/>
      </c>
      <c r="O189" s="81" t="str">
        <f>IF(A189="","",SUMIFS(in_parts,in_eq,A189,in_done,1,in_dnum,"&gt;="&amp;p_from,in_dnum,"&lt;="&amp;p_to))</f>
        <v/>
      </c>
      <c r="P189" s="81" t="str">
        <f>IF(A189="","",SUMIFS(in_mo,in_eq,A189,in_done,1,in_dnum,"&gt;="&amp;p_from,in_dnum,"&lt;="&amp;p_to))</f>
        <v/>
      </c>
      <c r="Q189" s="81" t="str">
        <f>IF(A189="","",SUMIFS(in_other,in_eq,A189,in_done,1,in_dnum,"&gt;="&amp;p_from,in_dnum,"&lt;="&amp;p_to))</f>
        <v/>
      </c>
      <c r="R189" s="81" t="str">
        <f>IF(A189="","",SUMIFS(in_total,in_eq,A189,in_done,1,in_dnum,"&gt;="&amp;p_from,in_dnum,"&lt;="&amp;p_to))</f>
        <v/>
      </c>
      <c r="S189" s="67" t="str">
        <f>IF(A189="","",SUMIFS(in_work,in_eq,A189,in_type,"Correctif",in_done,1,in_dnum,"&gt;="&amp;p_from,in_dnum,"&lt;="&amp;p_to))</f>
        <v/>
      </c>
      <c r="T189" s="67" t="str">
        <f>IF(A189="","",SUMIFS(in_stop,in_eq,A189,in_type,"Correctif",in_done,1,in_dnum,"&gt;="&amp;p_from,in_dnum,"&lt;="&amp;p_to))</f>
        <v/>
      </c>
    </row>
    <row r="190">
      <c r="A190" s="67" t="str">
        <f>IF(INDEX(eq_code,179)="","",INDEX(eq_code,179)&amp;"")</f>
        <v/>
      </c>
      <c r="B190" s="67" t="str">
        <f>IF(A190="","",INDEX(eq_des,179)&amp;"")</f>
        <v/>
      </c>
      <c r="C190" s="79" t="str">
        <f>IF(A190="","",INDEX(eq_crit,179)&amp;"")</f>
        <v/>
      </c>
      <c r="D190" s="127" t="str">
        <f>IF(A190="","",IF(MAX(p_from,N(INDEX(eq_start,179)))&gt;p_to,0,ROUND(IF(AND(ISNUMBER(INDEX(eq_hours,179)),N(INDEX(eq_hours,179))&gt;0,N(INDEX(eq_hours,179))&lt;=24),INDEX(eq_hours,179),0)*IF(p_days="7 jours sur 7",p_to-MAX(p_from,N(INDEX(eq_start,179)))+1,NETWORKDAYS.INTL(MAX(p_from,N(INDEX(eq_start,179))),p_to,p_weekend,p_holidays)),2)))</f>
        <v/>
      </c>
      <c r="E190" s="128" t="str">
        <f>IF(A190="","",SUMIFS(in_stop,in_eq,A190,in_done,1,in_dnum,"&gt;="&amp;p_from,in_dnum,"&lt;="&amp;p_to))</f>
        <v/>
      </c>
      <c r="F190" s="129" t="str">
        <f>IF(A190="","",COUNTIFS(in_eq,A190,in_type,"Correctif",in_done,1,in_dnum,"&gt;="&amp;p_from,in_dnum,"&lt;="&amp;p_to))</f>
        <v/>
      </c>
      <c r="G190" s="130" t="str">
        <f>IF(OR(A190="",N(F190)=0),"",MAX(0,D190-E190)/F190)</f>
        <v/>
      </c>
      <c r="H190" s="81" t="str">
        <f>IF(OR(A190="",N(F190)=0),"",S190/F190)</f>
        <v/>
      </c>
      <c r="I190" s="81" t="str">
        <f>IF(OR(A190="",N(F190)=0),"",T190/F190)</f>
        <v/>
      </c>
      <c r="J190" s="131" t="str">
        <f>IF(OR(A190="",N(D190)=0),"",MAX(0,D190-E190)/D190)</f>
        <v/>
      </c>
      <c r="K190" s="128" t="str">
        <f>IF(A190="","",SUMIFS(in_work,in_eq,A190,in_type,"Préventif",in_done,1,in_dnum,"&gt;="&amp;p_from,in_dnum,"&lt;="&amp;p_to))</f>
        <v/>
      </c>
      <c r="L190" s="128" t="str">
        <f>IF(A190="","",SUMIFS(in_work,in_eq,A190,in_type,"Correctif",in_done,1,in_dnum,"&gt;="&amp;p_from,in_dnum,"&lt;="&amp;p_to))</f>
        <v/>
      </c>
      <c r="M190" s="128" t="str">
        <f>IF(A190="","",SUMIFS(in_work,in_eq,A190,in_type,"Amélioratif",in_done,1,in_dnum,"&gt;="&amp;p_from,in_dnum,"&lt;="&amp;p_to))</f>
        <v/>
      </c>
      <c r="N190" s="131" t="str">
        <f>IF(OR(A190="",N(K190)+N(L190)+N(M190)=0),"",K190/(K190+L190+M190))</f>
        <v/>
      </c>
      <c r="O190" s="81" t="str">
        <f>IF(A190="","",SUMIFS(in_parts,in_eq,A190,in_done,1,in_dnum,"&gt;="&amp;p_from,in_dnum,"&lt;="&amp;p_to))</f>
        <v/>
      </c>
      <c r="P190" s="81" t="str">
        <f>IF(A190="","",SUMIFS(in_mo,in_eq,A190,in_done,1,in_dnum,"&gt;="&amp;p_from,in_dnum,"&lt;="&amp;p_to))</f>
        <v/>
      </c>
      <c r="Q190" s="81" t="str">
        <f>IF(A190="","",SUMIFS(in_other,in_eq,A190,in_done,1,in_dnum,"&gt;="&amp;p_from,in_dnum,"&lt;="&amp;p_to))</f>
        <v/>
      </c>
      <c r="R190" s="81" t="str">
        <f>IF(A190="","",SUMIFS(in_total,in_eq,A190,in_done,1,in_dnum,"&gt;="&amp;p_from,in_dnum,"&lt;="&amp;p_to))</f>
        <v/>
      </c>
      <c r="S190" s="67" t="str">
        <f>IF(A190="","",SUMIFS(in_work,in_eq,A190,in_type,"Correctif",in_done,1,in_dnum,"&gt;="&amp;p_from,in_dnum,"&lt;="&amp;p_to))</f>
        <v/>
      </c>
      <c r="T190" s="67" t="str">
        <f>IF(A190="","",SUMIFS(in_stop,in_eq,A190,in_type,"Correctif",in_done,1,in_dnum,"&gt;="&amp;p_from,in_dnum,"&lt;="&amp;p_to))</f>
        <v/>
      </c>
    </row>
    <row r="191">
      <c r="A191" s="67" t="str">
        <f>IF(INDEX(eq_code,180)="","",INDEX(eq_code,180)&amp;"")</f>
        <v/>
      </c>
      <c r="B191" s="67" t="str">
        <f>IF(A191="","",INDEX(eq_des,180)&amp;"")</f>
        <v/>
      </c>
      <c r="C191" s="79" t="str">
        <f>IF(A191="","",INDEX(eq_crit,180)&amp;"")</f>
        <v/>
      </c>
      <c r="D191" s="127" t="str">
        <f>IF(A191="","",IF(MAX(p_from,N(INDEX(eq_start,180)))&gt;p_to,0,ROUND(IF(AND(ISNUMBER(INDEX(eq_hours,180)),N(INDEX(eq_hours,180))&gt;0,N(INDEX(eq_hours,180))&lt;=24),INDEX(eq_hours,180),0)*IF(p_days="7 jours sur 7",p_to-MAX(p_from,N(INDEX(eq_start,180)))+1,NETWORKDAYS.INTL(MAX(p_from,N(INDEX(eq_start,180))),p_to,p_weekend,p_holidays)),2)))</f>
        <v/>
      </c>
      <c r="E191" s="128" t="str">
        <f>IF(A191="","",SUMIFS(in_stop,in_eq,A191,in_done,1,in_dnum,"&gt;="&amp;p_from,in_dnum,"&lt;="&amp;p_to))</f>
        <v/>
      </c>
      <c r="F191" s="129" t="str">
        <f>IF(A191="","",COUNTIFS(in_eq,A191,in_type,"Correctif",in_done,1,in_dnum,"&gt;="&amp;p_from,in_dnum,"&lt;="&amp;p_to))</f>
        <v/>
      </c>
      <c r="G191" s="130" t="str">
        <f>IF(OR(A191="",N(F191)=0),"",MAX(0,D191-E191)/F191)</f>
        <v/>
      </c>
      <c r="H191" s="81" t="str">
        <f>IF(OR(A191="",N(F191)=0),"",S191/F191)</f>
        <v/>
      </c>
      <c r="I191" s="81" t="str">
        <f>IF(OR(A191="",N(F191)=0),"",T191/F191)</f>
        <v/>
      </c>
      <c r="J191" s="131" t="str">
        <f>IF(OR(A191="",N(D191)=0),"",MAX(0,D191-E191)/D191)</f>
        <v/>
      </c>
      <c r="K191" s="128" t="str">
        <f>IF(A191="","",SUMIFS(in_work,in_eq,A191,in_type,"Préventif",in_done,1,in_dnum,"&gt;="&amp;p_from,in_dnum,"&lt;="&amp;p_to))</f>
        <v/>
      </c>
      <c r="L191" s="128" t="str">
        <f>IF(A191="","",SUMIFS(in_work,in_eq,A191,in_type,"Correctif",in_done,1,in_dnum,"&gt;="&amp;p_from,in_dnum,"&lt;="&amp;p_to))</f>
        <v/>
      </c>
      <c r="M191" s="128" t="str">
        <f>IF(A191="","",SUMIFS(in_work,in_eq,A191,in_type,"Amélioratif",in_done,1,in_dnum,"&gt;="&amp;p_from,in_dnum,"&lt;="&amp;p_to))</f>
        <v/>
      </c>
      <c r="N191" s="131" t="str">
        <f>IF(OR(A191="",N(K191)+N(L191)+N(M191)=0),"",K191/(K191+L191+M191))</f>
        <v/>
      </c>
      <c r="O191" s="81" t="str">
        <f>IF(A191="","",SUMIFS(in_parts,in_eq,A191,in_done,1,in_dnum,"&gt;="&amp;p_from,in_dnum,"&lt;="&amp;p_to))</f>
        <v/>
      </c>
      <c r="P191" s="81" t="str">
        <f>IF(A191="","",SUMIFS(in_mo,in_eq,A191,in_done,1,in_dnum,"&gt;="&amp;p_from,in_dnum,"&lt;="&amp;p_to))</f>
        <v/>
      </c>
      <c r="Q191" s="81" t="str">
        <f>IF(A191="","",SUMIFS(in_other,in_eq,A191,in_done,1,in_dnum,"&gt;="&amp;p_from,in_dnum,"&lt;="&amp;p_to))</f>
        <v/>
      </c>
      <c r="R191" s="81" t="str">
        <f>IF(A191="","",SUMIFS(in_total,in_eq,A191,in_done,1,in_dnum,"&gt;="&amp;p_from,in_dnum,"&lt;="&amp;p_to))</f>
        <v/>
      </c>
      <c r="S191" s="67" t="str">
        <f>IF(A191="","",SUMIFS(in_work,in_eq,A191,in_type,"Correctif",in_done,1,in_dnum,"&gt;="&amp;p_from,in_dnum,"&lt;="&amp;p_to))</f>
        <v/>
      </c>
      <c r="T191" s="67" t="str">
        <f>IF(A191="","",SUMIFS(in_stop,in_eq,A191,in_type,"Correctif",in_done,1,in_dnum,"&gt;="&amp;p_from,in_dnum,"&lt;="&amp;p_to))</f>
        <v/>
      </c>
    </row>
    <row r="192">
      <c r="A192" s="67" t="str">
        <f>IF(INDEX(eq_code,181)="","",INDEX(eq_code,181)&amp;"")</f>
        <v/>
      </c>
      <c r="B192" s="67" t="str">
        <f>IF(A192="","",INDEX(eq_des,181)&amp;"")</f>
        <v/>
      </c>
      <c r="C192" s="79" t="str">
        <f>IF(A192="","",INDEX(eq_crit,181)&amp;"")</f>
        <v/>
      </c>
      <c r="D192" s="127" t="str">
        <f>IF(A192="","",IF(MAX(p_from,N(INDEX(eq_start,181)))&gt;p_to,0,ROUND(IF(AND(ISNUMBER(INDEX(eq_hours,181)),N(INDEX(eq_hours,181))&gt;0,N(INDEX(eq_hours,181))&lt;=24),INDEX(eq_hours,181),0)*IF(p_days="7 jours sur 7",p_to-MAX(p_from,N(INDEX(eq_start,181)))+1,NETWORKDAYS.INTL(MAX(p_from,N(INDEX(eq_start,181))),p_to,p_weekend,p_holidays)),2)))</f>
        <v/>
      </c>
      <c r="E192" s="128" t="str">
        <f>IF(A192="","",SUMIFS(in_stop,in_eq,A192,in_done,1,in_dnum,"&gt;="&amp;p_from,in_dnum,"&lt;="&amp;p_to))</f>
        <v/>
      </c>
      <c r="F192" s="129" t="str">
        <f>IF(A192="","",COUNTIFS(in_eq,A192,in_type,"Correctif",in_done,1,in_dnum,"&gt;="&amp;p_from,in_dnum,"&lt;="&amp;p_to))</f>
        <v/>
      </c>
      <c r="G192" s="130" t="str">
        <f>IF(OR(A192="",N(F192)=0),"",MAX(0,D192-E192)/F192)</f>
        <v/>
      </c>
      <c r="H192" s="81" t="str">
        <f>IF(OR(A192="",N(F192)=0),"",S192/F192)</f>
        <v/>
      </c>
      <c r="I192" s="81" t="str">
        <f>IF(OR(A192="",N(F192)=0),"",T192/F192)</f>
        <v/>
      </c>
      <c r="J192" s="131" t="str">
        <f>IF(OR(A192="",N(D192)=0),"",MAX(0,D192-E192)/D192)</f>
        <v/>
      </c>
      <c r="K192" s="128" t="str">
        <f>IF(A192="","",SUMIFS(in_work,in_eq,A192,in_type,"Préventif",in_done,1,in_dnum,"&gt;="&amp;p_from,in_dnum,"&lt;="&amp;p_to))</f>
        <v/>
      </c>
      <c r="L192" s="128" t="str">
        <f>IF(A192="","",SUMIFS(in_work,in_eq,A192,in_type,"Correctif",in_done,1,in_dnum,"&gt;="&amp;p_from,in_dnum,"&lt;="&amp;p_to))</f>
        <v/>
      </c>
      <c r="M192" s="128" t="str">
        <f>IF(A192="","",SUMIFS(in_work,in_eq,A192,in_type,"Amélioratif",in_done,1,in_dnum,"&gt;="&amp;p_from,in_dnum,"&lt;="&amp;p_to))</f>
        <v/>
      </c>
      <c r="N192" s="131" t="str">
        <f>IF(OR(A192="",N(K192)+N(L192)+N(M192)=0),"",K192/(K192+L192+M192))</f>
        <v/>
      </c>
      <c r="O192" s="81" t="str">
        <f>IF(A192="","",SUMIFS(in_parts,in_eq,A192,in_done,1,in_dnum,"&gt;="&amp;p_from,in_dnum,"&lt;="&amp;p_to))</f>
        <v/>
      </c>
      <c r="P192" s="81" t="str">
        <f>IF(A192="","",SUMIFS(in_mo,in_eq,A192,in_done,1,in_dnum,"&gt;="&amp;p_from,in_dnum,"&lt;="&amp;p_to))</f>
        <v/>
      </c>
      <c r="Q192" s="81" t="str">
        <f>IF(A192="","",SUMIFS(in_other,in_eq,A192,in_done,1,in_dnum,"&gt;="&amp;p_from,in_dnum,"&lt;="&amp;p_to))</f>
        <v/>
      </c>
      <c r="R192" s="81" t="str">
        <f>IF(A192="","",SUMIFS(in_total,in_eq,A192,in_done,1,in_dnum,"&gt;="&amp;p_from,in_dnum,"&lt;="&amp;p_to))</f>
        <v/>
      </c>
      <c r="S192" s="67" t="str">
        <f>IF(A192="","",SUMIFS(in_work,in_eq,A192,in_type,"Correctif",in_done,1,in_dnum,"&gt;="&amp;p_from,in_dnum,"&lt;="&amp;p_to))</f>
        <v/>
      </c>
      <c r="T192" s="67" t="str">
        <f>IF(A192="","",SUMIFS(in_stop,in_eq,A192,in_type,"Correctif",in_done,1,in_dnum,"&gt;="&amp;p_from,in_dnum,"&lt;="&amp;p_to))</f>
        <v/>
      </c>
    </row>
    <row r="193">
      <c r="A193" s="67" t="str">
        <f>IF(INDEX(eq_code,182)="","",INDEX(eq_code,182)&amp;"")</f>
        <v/>
      </c>
      <c r="B193" s="67" t="str">
        <f>IF(A193="","",INDEX(eq_des,182)&amp;"")</f>
        <v/>
      </c>
      <c r="C193" s="79" t="str">
        <f>IF(A193="","",INDEX(eq_crit,182)&amp;"")</f>
        <v/>
      </c>
      <c r="D193" s="127" t="str">
        <f>IF(A193="","",IF(MAX(p_from,N(INDEX(eq_start,182)))&gt;p_to,0,ROUND(IF(AND(ISNUMBER(INDEX(eq_hours,182)),N(INDEX(eq_hours,182))&gt;0,N(INDEX(eq_hours,182))&lt;=24),INDEX(eq_hours,182),0)*IF(p_days="7 jours sur 7",p_to-MAX(p_from,N(INDEX(eq_start,182)))+1,NETWORKDAYS.INTL(MAX(p_from,N(INDEX(eq_start,182))),p_to,p_weekend,p_holidays)),2)))</f>
        <v/>
      </c>
      <c r="E193" s="128" t="str">
        <f>IF(A193="","",SUMIFS(in_stop,in_eq,A193,in_done,1,in_dnum,"&gt;="&amp;p_from,in_dnum,"&lt;="&amp;p_to))</f>
        <v/>
      </c>
      <c r="F193" s="129" t="str">
        <f>IF(A193="","",COUNTIFS(in_eq,A193,in_type,"Correctif",in_done,1,in_dnum,"&gt;="&amp;p_from,in_dnum,"&lt;="&amp;p_to))</f>
        <v/>
      </c>
      <c r="G193" s="130" t="str">
        <f>IF(OR(A193="",N(F193)=0),"",MAX(0,D193-E193)/F193)</f>
        <v/>
      </c>
      <c r="H193" s="81" t="str">
        <f>IF(OR(A193="",N(F193)=0),"",S193/F193)</f>
        <v/>
      </c>
      <c r="I193" s="81" t="str">
        <f>IF(OR(A193="",N(F193)=0),"",T193/F193)</f>
        <v/>
      </c>
      <c r="J193" s="131" t="str">
        <f>IF(OR(A193="",N(D193)=0),"",MAX(0,D193-E193)/D193)</f>
        <v/>
      </c>
      <c r="K193" s="128" t="str">
        <f>IF(A193="","",SUMIFS(in_work,in_eq,A193,in_type,"Préventif",in_done,1,in_dnum,"&gt;="&amp;p_from,in_dnum,"&lt;="&amp;p_to))</f>
        <v/>
      </c>
      <c r="L193" s="128" t="str">
        <f>IF(A193="","",SUMIFS(in_work,in_eq,A193,in_type,"Correctif",in_done,1,in_dnum,"&gt;="&amp;p_from,in_dnum,"&lt;="&amp;p_to))</f>
        <v/>
      </c>
      <c r="M193" s="128" t="str">
        <f>IF(A193="","",SUMIFS(in_work,in_eq,A193,in_type,"Amélioratif",in_done,1,in_dnum,"&gt;="&amp;p_from,in_dnum,"&lt;="&amp;p_to))</f>
        <v/>
      </c>
      <c r="N193" s="131" t="str">
        <f>IF(OR(A193="",N(K193)+N(L193)+N(M193)=0),"",K193/(K193+L193+M193))</f>
        <v/>
      </c>
      <c r="O193" s="81" t="str">
        <f>IF(A193="","",SUMIFS(in_parts,in_eq,A193,in_done,1,in_dnum,"&gt;="&amp;p_from,in_dnum,"&lt;="&amp;p_to))</f>
        <v/>
      </c>
      <c r="P193" s="81" t="str">
        <f>IF(A193="","",SUMIFS(in_mo,in_eq,A193,in_done,1,in_dnum,"&gt;="&amp;p_from,in_dnum,"&lt;="&amp;p_to))</f>
        <v/>
      </c>
      <c r="Q193" s="81" t="str">
        <f>IF(A193="","",SUMIFS(in_other,in_eq,A193,in_done,1,in_dnum,"&gt;="&amp;p_from,in_dnum,"&lt;="&amp;p_to))</f>
        <v/>
      </c>
      <c r="R193" s="81" t="str">
        <f>IF(A193="","",SUMIFS(in_total,in_eq,A193,in_done,1,in_dnum,"&gt;="&amp;p_from,in_dnum,"&lt;="&amp;p_to))</f>
        <v/>
      </c>
      <c r="S193" s="67" t="str">
        <f>IF(A193="","",SUMIFS(in_work,in_eq,A193,in_type,"Correctif",in_done,1,in_dnum,"&gt;="&amp;p_from,in_dnum,"&lt;="&amp;p_to))</f>
        <v/>
      </c>
      <c r="T193" s="67" t="str">
        <f>IF(A193="","",SUMIFS(in_stop,in_eq,A193,in_type,"Correctif",in_done,1,in_dnum,"&gt;="&amp;p_from,in_dnum,"&lt;="&amp;p_to))</f>
        <v/>
      </c>
    </row>
    <row r="194">
      <c r="A194" s="67" t="str">
        <f>IF(INDEX(eq_code,183)="","",INDEX(eq_code,183)&amp;"")</f>
        <v/>
      </c>
      <c r="B194" s="67" t="str">
        <f>IF(A194="","",INDEX(eq_des,183)&amp;"")</f>
        <v/>
      </c>
      <c r="C194" s="79" t="str">
        <f>IF(A194="","",INDEX(eq_crit,183)&amp;"")</f>
        <v/>
      </c>
      <c r="D194" s="127" t="str">
        <f>IF(A194="","",IF(MAX(p_from,N(INDEX(eq_start,183)))&gt;p_to,0,ROUND(IF(AND(ISNUMBER(INDEX(eq_hours,183)),N(INDEX(eq_hours,183))&gt;0,N(INDEX(eq_hours,183))&lt;=24),INDEX(eq_hours,183),0)*IF(p_days="7 jours sur 7",p_to-MAX(p_from,N(INDEX(eq_start,183)))+1,NETWORKDAYS.INTL(MAX(p_from,N(INDEX(eq_start,183))),p_to,p_weekend,p_holidays)),2)))</f>
        <v/>
      </c>
      <c r="E194" s="128" t="str">
        <f>IF(A194="","",SUMIFS(in_stop,in_eq,A194,in_done,1,in_dnum,"&gt;="&amp;p_from,in_dnum,"&lt;="&amp;p_to))</f>
        <v/>
      </c>
      <c r="F194" s="129" t="str">
        <f>IF(A194="","",COUNTIFS(in_eq,A194,in_type,"Correctif",in_done,1,in_dnum,"&gt;="&amp;p_from,in_dnum,"&lt;="&amp;p_to))</f>
        <v/>
      </c>
      <c r="G194" s="130" t="str">
        <f>IF(OR(A194="",N(F194)=0),"",MAX(0,D194-E194)/F194)</f>
        <v/>
      </c>
      <c r="H194" s="81" t="str">
        <f>IF(OR(A194="",N(F194)=0),"",S194/F194)</f>
        <v/>
      </c>
      <c r="I194" s="81" t="str">
        <f>IF(OR(A194="",N(F194)=0),"",T194/F194)</f>
        <v/>
      </c>
      <c r="J194" s="131" t="str">
        <f>IF(OR(A194="",N(D194)=0),"",MAX(0,D194-E194)/D194)</f>
        <v/>
      </c>
      <c r="K194" s="128" t="str">
        <f>IF(A194="","",SUMIFS(in_work,in_eq,A194,in_type,"Préventif",in_done,1,in_dnum,"&gt;="&amp;p_from,in_dnum,"&lt;="&amp;p_to))</f>
        <v/>
      </c>
      <c r="L194" s="128" t="str">
        <f>IF(A194="","",SUMIFS(in_work,in_eq,A194,in_type,"Correctif",in_done,1,in_dnum,"&gt;="&amp;p_from,in_dnum,"&lt;="&amp;p_to))</f>
        <v/>
      </c>
      <c r="M194" s="128" t="str">
        <f>IF(A194="","",SUMIFS(in_work,in_eq,A194,in_type,"Amélioratif",in_done,1,in_dnum,"&gt;="&amp;p_from,in_dnum,"&lt;="&amp;p_to))</f>
        <v/>
      </c>
      <c r="N194" s="131" t="str">
        <f>IF(OR(A194="",N(K194)+N(L194)+N(M194)=0),"",K194/(K194+L194+M194))</f>
        <v/>
      </c>
      <c r="O194" s="81" t="str">
        <f>IF(A194="","",SUMIFS(in_parts,in_eq,A194,in_done,1,in_dnum,"&gt;="&amp;p_from,in_dnum,"&lt;="&amp;p_to))</f>
        <v/>
      </c>
      <c r="P194" s="81" t="str">
        <f>IF(A194="","",SUMIFS(in_mo,in_eq,A194,in_done,1,in_dnum,"&gt;="&amp;p_from,in_dnum,"&lt;="&amp;p_to))</f>
        <v/>
      </c>
      <c r="Q194" s="81" t="str">
        <f>IF(A194="","",SUMIFS(in_other,in_eq,A194,in_done,1,in_dnum,"&gt;="&amp;p_from,in_dnum,"&lt;="&amp;p_to))</f>
        <v/>
      </c>
      <c r="R194" s="81" t="str">
        <f>IF(A194="","",SUMIFS(in_total,in_eq,A194,in_done,1,in_dnum,"&gt;="&amp;p_from,in_dnum,"&lt;="&amp;p_to))</f>
        <v/>
      </c>
      <c r="S194" s="67" t="str">
        <f>IF(A194="","",SUMIFS(in_work,in_eq,A194,in_type,"Correctif",in_done,1,in_dnum,"&gt;="&amp;p_from,in_dnum,"&lt;="&amp;p_to))</f>
        <v/>
      </c>
      <c r="T194" s="67" t="str">
        <f>IF(A194="","",SUMIFS(in_stop,in_eq,A194,in_type,"Correctif",in_done,1,in_dnum,"&gt;="&amp;p_from,in_dnum,"&lt;="&amp;p_to))</f>
        <v/>
      </c>
    </row>
    <row r="195">
      <c r="A195" s="67" t="str">
        <f>IF(INDEX(eq_code,184)="","",INDEX(eq_code,184)&amp;"")</f>
        <v/>
      </c>
      <c r="B195" s="67" t="str">
        <f>IF(A195="","",INDEX(eq_des,184)&amp;"")</f>
        <v/>
      </c>
      <c r="C195" s="79" t="str">
        <f>IF(A195="","",INDEX(eq_crit,184)&amp;"")</f>
        <v/>
      </c>
      <c r="D195" s="127" t="str">
        <f>IF(A195="","",IF(MAX(p_from,N(INDEX(eq_start,184)))&gt;p_to,0,ROUND(IF(AND(ISNUMBER(INDEX(eq_hours,184)),N(INDEX(eq_hours,184))&gt;0,N(INDEX(eq_hours,184))&lt;=24),INDEX(eq_hours,184),0)*IF(p_days="7 jours sur 7",p_to-MAX(p_from,N(INDEX(eq_start,184)))+1,NETWORKDAYS.INTL(MAX(p_from,N(INDEX(eq_start,184))),p_to,p_weekend,p_holidays)),2)))</f>
        <v/>
      </c>
      <c r="E195" s="128" t="str">
        <f>IF(A195="","",SUMIFS(in_stop,in_eq,A195,in_done,1,in_dnum,"&gt;="&amp;p_from,in_dnum,"&lt;="&amp;p_to))</f>
        <v/>
      </c>
      <c r="F195" s="129" t="str">
        <f>IF(A195="","",COUNTIFS(in_eq,A195,in_type,"Correctif",in_done,1,in_dnum,"&gt;="&amp;p_from,in_dnum,"&lt;="&amp;p_to))</f>
        <v/>
      </c>
      <c r="G195" s="130" t="str">
        <f>IF(OR(A195="",N(F195)=0),"",MAX(0,D195-E195)/F195)</f>
        <v/>
      </c>
      <c r="H195" s="81" t="str">
        <f>IF(OR(A195="",N(F195)=0),"",S195/F195)</f>
        <v/>
      </c>
      <c r="I195" s="81" t="str">
        <f>IF(OR(A195="",N(F195)=0),"",T195/F195)</f>
        <v/>
      </c>
      <c r="J195" s="131" t="str">
        <f>IF(OR(A195="",N(D195)=0),"",MAX(0,D195-E195)/D195)</f>
        <v/>
      </c>
      <c r="K195" s="128" t="str">
        <f>IF(A195="","",SUMIFS(in_work,in_eq,A195,in_type,"Préventif",in_done,1,in_dnum,"&gt;="&amp;p_from,in_dnum,"&lt;="&amp;p_to))</f>
        <v/>
      </c>
      <c r="L195" s="128" t="str">
        <f>IF(A195="","",SUMIFS(in_work,in_eq,A195,in_type,"Correctif",in_done,1,in_dnum,"&gt;="&amp;p_from,in_dnum,"&lt;="&amp;p_to))</f>
        <v/>
      </c>
      <c r="M195" s="128" t="str">
        <f>IF(A195="","",SUMIFS(in_work,in_eq,A195,in_type,"Amélioratif",in_done,1,in_dnum,"&gt;="&amp;p_from,in_dnum,"&lt;="&amp;p_to))</f>
        <v/>
      </c>
      <c r="N195" s="131" t="str">
        <f>IF(OR(A195="",N(K195)+N(L195)+N(M195)=0),"",K195/(K195+L195+M195))</f>
        <v/>
      </c>
      <c r="O195" s="81" t="str">
        <f>IF(A195="","",SUMIFS(in_parts,in_eq,A195,in_done,1,in_dnum,"&gt;="&amp;p_from,in_dnum,"&lt;="&amp;p_to))</f>
        <v/>
      </c>
      <c r="P195" s="81" t="str">
        <f>IF(A195="","",SUMIFS(in_mo,in_eq,A195,in_done,1,in_dnum,"&gt;="&amp;p_from,in_dnum,"&lt;="&amp;p_to))</f>
        <v/>
      </c>
      <c r="Q195" s="81" t="str">
        <f>IF(A195="","",SUMIFS(in_other,in_eq,A195,in_done,1,in_dnum,"&gt;="&amp;p_from,in_dnum,"&lt;="&amp;p_to))</f>
        <v/>
      </c>
      <c r="R195" s="81" t="str">
        <f>IF(A195="","",SUMIFS(in_total,in_eq,A195,in_done,1,in_dnum,"&gt;="&amp;p_from,in_dnum,"&lt;="&amp;p_to))</f>
        <v/>
      </c>
      <c r="S195" s="67" t="str">
        <f>IF(A195="","",SUMIFS(in_work,in_eq,A195,in_type,"Correctif",in_done,1,in_dnum,"&gt;="&amp;p_from,in_dnum,"&lt;="&amp;p_to))</f>
        <v/>
      </c>
      <c r="T195" s="67" t="str">
        <f>IF(A195="","",SUMIFS(in_stop,in_eq,A195,in_type,"Correctif",in_done,1,in_dnum,"&gt;="&amp;p_from,in_dnum,"&lt;="&amp;p_to))</f>
        <v/>
      </c>
    </row>
    <row r="196">
      <c r="A196" s="67" t="str">
        <f>IF(INDEX(eq_code,185)="","",INDEX(eq_code,185)&amp;"")</f>
        <v/>
      </c>
      <c r="B196" s="67" t="str">
        <f>IF(A196="","",INDEX(eq_des,185)&amp;"")</f>
        <v/>
      </c>
      <c r="C196" s="79" t="str">
        <f>IF(A196="","",INDEX(eq_crit,185)&amp;"")</f>
        <v/>
      </c>
      <c r="D196" s="127" t="str">
        <f>IF(A196="","",IF(MAX(p_from,N(INDEX(eq_start,185)))&gt;p_to,0,ROUND(IF(AND(ISNUMBER(INDEX(eq_hours,185)),N(INDEX(eq_hours,185))&gt;0,N(INDEX(eq_hours,185))&lt;=24),INDEX(eq_hours,185),0)*IF(p_days="7 jours sur 7",p_to-MAX(p_from,N(INDEX(eq_start,185)))+1,NETWORKDAYS.INTL(MAX(p_from,N(INDEX(eq_start,185))),p_to,p_weekend,p_holidays)),2)))</f>
        <v/>
      </c>
      <c r="E196" s="128" t="str">
        <f>IF(A196="","",SUMIFS(in_stop,in_eq,A196,in_done,1,in_dnum,"&gt;="&amp;p_from,in_dnum,"&lt;="&amp;p_to))</f>
        <v/>
      </c>
      <c r="F196" s="129" t="str">
        <f>IF(A196="","",COUNTIFS(in_eq,A196,in_type,"Correctif",in_done,1,in_dnum,"&gt;="&amp;p_from,in_dnum,"&lt;="&amp;p_to))</f>
        <v/>
      </c>
      <c r="G196" s="130" t="str">
        <f>IF(OR(A196="",N(F196)=0),"",MAX(0,D196-E196)/F196)</f>
        <v/>
      </c>
      <c r="H196" s="81" t="str">
        <f>IF(OR(A196="",N(F196)=0),"",S196/F196)</f>
        <v/>
      </c>
      <c r="I196" s="81" t="str">
        <f>IF(OR(A196="",N(F196)=0),"",T196/F196)</f>
        <v/>
      </c>
      <c r="J196" s="131" t="str">
        <f>IF(OR(A196="",N(D196)=0),"",MAX(0,D196-E196)/D196)</f>
        <v/>
      </c>
      <c r="K196" s="128" t="str">
        <f>IF(A196="","",SUMIFS(in_work,in_eq,A196,in_type,"Préventif",in_done,1,in_dnum,"&gt;="&amp;p_from,in_dnum,"&lt;="&amp;p_to))</f>
        <v/>
      </c>
      <c r="L196" s="128" t="str">
        <f>IF(A196="","",SUMIFS(in_work,in_eq,A196,in_type,"Correctif",in_done,1,in_dnum,"&gt;="&amp;p_from,in_dnum,"&lt;="&amp;p_to))</f>
        <v/>
      </c>
      <c r="M196" s="128" t="str">
        <f>IF(A196="","",SUMIFS(in_work,in_eq,A196,in_type,"Amélioratif",in_done,1,in_dnum,"&gt;="&amp;p_from,in_dnum,"&lt;="&amp;p_to))</f>
        <v/>
      </c>
      <c r="N196" s="131" t="str">
        <f>IF(OR(A196="",N(K196)+N(L196)+N(M196)=0),"",K196/(K196+L196+M196))</f>
        <v/>
      </c>
      <c r="O196" s="81" t="str">
        <f>IF(A196="","",SUMIFS(in_parts,in_eq,A196,in_done,1,in_dnum,"&gt;="&amp;p_from,in_dnum,"&lt;="&amp;p_to))</f>
        <v/>
      </c>
      <c r="P196" s="81" t="str">
        <f>IF(A196="","",SUMIFS(in_mo,in_eq,A196,in_done,1,in_dnum,"&gt;="&amp;p_from,in_dnum,"&lt;="&amp;p_to))</f>
        <v/>
      </c>
      <c r="Q196" s="81" t="str">
        <f>IF(A196="","",SUMIFS(in_other,in_eq,A196,in_done,1,in_dnum,"&gt;="&amp;p_from,in_dnum,"&lt;="&amp;p_to))</f>
        <v/>
      </c>
      <c r="R196" s="81" t="str">
        <f>IF(A196="","",SUMIFS(in_total,in_eq,A196,in_done,1,in_dnum,"&gt;="&amp;p_from,in_dnum,"&lt;="&amp;p_to))</f>
        <v/>
      </c>
      <c r="S196" s="67" t="str">
        <f>IF(A196="","",SUMIFS(in_work,in_eq,A196,in_type,"Correctif",in_done,1,in_dnum,"&gt;="&amp;p_from,in_dnum,"&lt;="&amp;p_to))</f>
        <v/>
      </c>
      <c r="T196" s="67" t="str">
        <f>IF(A196="","",SUMIFS(in_stop,in_eq,A196,in_type,"Correctif",in_done,1,in_dnum,"&gt;="&amp;p_from,in_dnum,"&lt;="&amp;p_to))</f>
        <v/>
      </c>
    </row>
    <row r="197">
      <c r="A197" s="67" t="str">
        <f>IF(INDEX(eq_code,186)="","",INDEX(eq_code,186)&amp;"")</f>
        <v/>
      </c>
      <c r="B197" s="67" t="str">
        <f>IF(A197="","",INDEX(eq_des,186)&amp;"")</f>
        <v/>
      </c>
      <c r="C197" s="79" t="str">
        <f>IF(A197="","",INDEX(eq_crit,186)&amp;"")</f>
        <v/>
      </c>
      <c r="D197" s="127" t="str">
        <f>IF(A197="","",IF(MAX(p_from,N(INDEX(eq_start,186)))&gt;p_to,0,ROUND(IF(AND(ISNUMBER(INDEX(eq_hours,186)),N(INDEX(eq_hours,186))&gt;0,N(INDEX(eq_hours,186))&lt;=24),INDEX(eq_hours,186),0)*IF(p_days="7 jours sur 7",p_to-MAX(p_from,N(INDEX(eq_start,186)))+1,NETWORKDAYS.INTL(MAX(p_from,N(INDEX(eq_start,186))),p_to,p_weekend,p_holidays)),2)))</f>
        <v/>
      </c>
      <c r="E197" s="128" t="str">
        <f>IF(A197="","",SUMIFS(in_stop,in_eq,A197,in_done,1,in_dnum,"&gt;="&amp;p_from,in_dnum,"&lt;="&amp;p_to))</f>
        <v/>
      </c>
      <c r="F197" s="129" t="str">
        <f>IF(A197="","",COUNTIFS(in_eq,A197,in_type,"Correctif",in_done,1,in_dnum,"&gt;="&amp;p_from,in_dnum,"&lt;="&amp;p_to))</f>
        <v/>
      </c>
      <c r="G197" s="130" t="str">
        <f>IF(OR(A197="",N(F197)=0),"",MAX(0,D197-E197)/F197)</f>
        <v/>
      </c>
      <c r="H197" s="81" t="str">
        <f>IF(OR(A197="",N(F197)=0),"",S197/F197)</f>
        <v/>
      </c>
      <c r="I197" s="81" t="str">
        <f>IF(OR(A197="",N(F197)=0),"",T197/F197)</f>
        <v/>
      </c>
      <c r="J197" s="131" t="str">
        <f>IF(OR(A197="",N(D197)=0),"",MAX(0,D197-E197)/D197)</f>
        <v/>
      </c>
      <c r="K197" s="128" t="str">
        <f>IF(A197="","",SUMIFS(in_work,in_eq,A197,in_type,"Préventif",in_done,1,in_dnum,"&gt;="&amp;p_from,in_dnum,"&lt;="&amp;p_to))</f>
        <v/>
      </c>
      <c r="L197" s="128" t="str">
        <f>IF(A197="","",SUMIFS(in_work,in_eq,A197,in_type,"Correctif",in_done,1,in_dnum,"&gt;="&amp;p_from,in_dnum,"&lt;="&amp;p_to))</f>
        <v/>
      </c>
      <c r="M197" s="128" t="str">
        <f>IF(A197="","",SUMIFS(in_work,in_eq,A197,in_type,"Amélioratif",in_done,1,in_dnum,"&gt;="&amp;p_from,in_dnum,"&lt;="&amp;p_to))</f>
        <v/>
      </c>
      <c r="N197" s="131" t="str">
        <f>IF(OR(A197="",N(K197)+N(L197)+N(M197)=0),"",K197/(K197+L197+M197))</f>
        <v/>
      </c>
      <c r="O197" s="81" t="str">
        <f>IF(A197="","",SUMIFS(in_parts,in_eq,A197,in_done,1,in_dnum,"&gt;="&amp;p_from,in_dnum,"&lt;="&amp;p_to))</f>
        <v/>
      </c>
      <c r="P197" s="81" t="str">
        <f>IF(A197="","",SUMIFS(in_mo,in_eq,A197,in_done,1,in_dnum,"&gt;="&amp;p_from,in_dnum,"&lt;="&amp;p_to))</f>
        <v/>
      </c>
      <c r="Q197" s="81" t="str">
        <f>IF(A197="","",SUMIFS(in_other,in_eq,A197,in_done,1,in_dnum,"&gt;="&amp;p_from,in_dnum,"&lt;="&amp;p_to))</f>
        <v/>
      </c>
      <c r="R197" s="81" t="str">
        <f>IF(A197="","",SUMIFS(in_total,in_eq,A197,in_done,1,in_dnum,"&gt;="&amp;p_from,in_dnum,"&lt;="&amp;p_to))</f>
        <v/>
      </c>
      <c r="S197" s="67" t="str">
        <f>IF(A197="","",SUMIFS(in_work,in_eq,A197,in_type,"Correctif",in_done,1,in_dnum,"&gt;="&amp;p_from,in_dnum,"&lt;="&amp;p_to))</f>
        <v/>
      </c>
      <c r="T197" s="67" t="str">
        <f>IF(A197="","",SUMIFS(in_stop,in_eq,A197,in_type,"Correctif",in_done,1,in_dnum,"&gt;="&amp;p_from,in_dnum,"&lt;="&amp;p_to))</f>
        <v/>
      </c>
    </row>
    <row r="198">
      <c r="A198" s="67" t="str">
        <f>IF(INDEX(eq_code,187)="","",INDEX(eq_code,187)&amp;"")</f>
        <v/>
      </c>
      <c r="B198" s="67" t="str">
        <f>IF(A198="","",INDEX(eq_des,187)&amp;"")</f>
        <v/>
      </c>
      <c r="C198" s="79" t="str">
        <f>IF(A198="","",INDEX(eq_crit,187)&amp;"")</f>
        <v/>
      </c>
      <c r="D198" s="127" t="str">
        <f>IF(A198="","",IF(MAX(p_from,N(INDEX(eq_start,187)))&gt;p_to,0,ROUND(IF(AND(ISNUMBER(INDEX(eq_hours,187)),N(INDEX(eq_hours,187))&gt;0,N(INDEX(eq_hours,187))&lt;=24),INDEX(eq_hours,187),0)*IF(p_days="7 jours sur 7",p_to-MAX(p_from,N(INDEX(eq_start,187)))+1,NETWORKDAYS.INTL(MAX(p_from,N(INDEX(eq_start,187))),p_to,p_weekend,p_holidays)),2)))</f>
        <v/>
      </c>
      <c r="E198" s="128" t="str">
        <f>IF(A198="","",SUMIFS(in_stop,in_eq,A198,in_done,1,in_dnum,"&gt;="&amp;p_from,in_dnum,"&lt;="&amp;p_to))</f>
        <v/>
      </c>
      <c r="F198" s="129" t="str">
        <f>IF(A198="","",COUNTIFS(in_eq,A198,in_type,"Correctif",in_done,1,in_dnum,"&gt;="&amp;p_from,in_dnum,"&lt;="&amp;p_to))</f>
        <v/>
      </c>
      <c r="G198" s="130" t="str">
        <f>IF(OR(A198="",N(F198)=0),"",MAX(0,D198-E198)/F198)</f>
        <v/>
      </c>
      <c r="H198" s="81" t="str">
        <f>IF(OR(A198="",N(F198)=0),"",S198/F198)</f>
        <v/>
      </c>
      <c r="I198" s="81" t="str">
        <f>IF(OR(A198="",N(F198)=0),"",T198/F198)</f>
        <v/>
      </c>
      <c r="J198" s="131" t="str">
        <f>IF(OR(A198="",N(D198)=0),"",MAX(0,D198-E198)/D198)</f>
        <v/>
      </c>
      <c r="K198" s="128" t="str">
        <f>IF(A198="","",SUMIFS(in_work,in_eq,A198,in_type,"Préventif",in_done,1,in_dnum,"&gt;="&amp;p_from,in_dnum,"&lt;="&amp;p_to))</f>
        <v/>
      </c>
      <c r="L198" s="128" t="str">
        <f>IF(A198="","",SUMIFS(in_work,in_eq,A198,in_type,"Correctif",in_done,1,in_dnum,"&gt;="&amp;p_from,in_dnum,"&lt;="&amp;p_to))</f>
        <v/>
      </c>
      <c r="M198" s="128" t="str">
        <f>IF(A198="","",SUMIFS(in_work,in_eq,A198,in_type,"Amélioratif",in_done,1,in_dnum,"&gt;="&amp;p_from,in_dnum,"&lt;="&amp;p_to))</f>
        <v/>
      </c>
      <c r="N198" s="131" t="str">
        <f>IF(OR(A198="",N(K198)+N(L198)+N(M198)=0),"",K198/(K198+L198+M198))</f>
        <v/>
      </c>
      <c r="O198" s="81" t="str">
        <f>IF(A198="","",SUMIFS(in_parts,in_eq,A198,in_done,1,in_dnum,"&gt;="&amp;p_from,in_dnum,"&lt;="&amp;p_to))</f>
        <v/>
      </c>
      <c r="P198" s="81" t="str">
        <f>IF(A198="","",SUMIFS(in_mo,in_eq,A198,in_done,1,in_dnum,"&gt;="&amp;p_from,in_dnum,"&lt;="&amp;p_to))</f>
        <v/>
      </c>
      <c r="Q198" s="81" t="str">
        <f>IF(A198="","",SUMIFS(in_other,in_eq,A198,in_done,1,in_dnum,"&gt;="&amp;p_from,in_dnum,"&lt;="&amp;p_to))</f>
        <v/>
      </c>
      <c r="R198" s="81" t="str">
        <f>IF(A198="","",SUMIFS(in_total,in_eq,A198,in_done,1,in_dnum,"&gt;="&amp;p_from,in_dnum,"&lt;="&amp;p_to))</f>
        <v/>
      </c>
      <c r="S198" s="67" t="str">
        <f>IF(A198="","",SUMIFS(in_work,in_eq,A198,in_type,"Correctif",in_done,1,in_dnum,"&gt;="&amp;p_from,in_dnum,"&lt;="&amp;p_to))</f>
        <v/>
      </c>
      <c r="T198" s="67" t="str">
        <f>IF(A198="","",SUMIFS(in_stop,in_eq,A198,in_type,"Correctif",in_done,1,in_dnum,"&gt;="&amp;p_from,in_dnum,"&lt;="&amp;p_to))</f>
        <v/>
      </c>
    </row>
    <row r="199">
      <c r="A199" s="67" t="str">
        <f>IF(INDEX(eq_code,188)="","",INDEX(eq_code,188)&amp;"")</f>
        <v/>
      </c>
      <c r="B199" s="67" t="str">
        <f>IF(A199="","",INDEX(eq_des,188)&amp;"")</f>
        <v/>
      </c>
      <c r="C199" s="79" t="str">
        <f>IF(A199="","",INDEX(eq_crit,188)&amp;"")</f>
        <v/>
      </c>
      <c r="D199" s="127" t="str">
        <f>IF(A199="","",IF(MAX(p_from,N(INDEX(eq_start,188)))&gt;p_to,0,ROUND(IF(AND(ISNUMBER(INDEX(eq_hours,188)),N(INDEX(eq_hours,188))&gt;0,N(INDEX(eq_hours,188))&lt;=24),INDEX(eq_hours,188),0)*IF(p_days="7 jours sur 7",p_to-MAX(p_from,N(INDEX(eq_start,188)))+1,NETWORKDAYS.INTL(MAX(p_from,N(INDEX(eq_start,188))),p_to,p_weekend,p_holidays)),2)))</f>
        <v/>
      </c>
      <c r="E199" s="128" t="str">
        <f>IF(A199="","",SUMIFS(in_stop,in_eq,A199,in_done,1,in_dnum,"&gt;="&amp;p_from,in_dnum,"&lt;="&amp;p_to))</f>
        <v/>
      </c>
      <c r="F199" s="129" t="str">
        <f>IF(A199="","",COUNTIFS(in_eq,A199,in_type,"Correctif",in_done,1,in_dnum,"&gt;="&amp;p_from,in_dnum,"&lt;="&amp;p_to))</f>
        <v/>
      </c>
      <c r="G199" s="130" t="str">
        <f>IF(OR(A199="",N(F199)=0),"",MAX(0,D199-E199)/F199)</f>
        <v/>
      </c>
      <c r="H199" s="81" t="str">
        <f>IF(OR(A199="",N(F199)=0),"",S199/F199)</f>
        <v/>
      </c>
      <c r="I199" s="81" t="str">
        <f>IF(OR(A199="",N(F199)=0),"",T199/F199)</f>
        <v/>
      </c>
      <c r="J199" s="131" t="str">
        <f>IF(OR(A199="",N(D199)=0),"",MAX(0,D199-E199)/D199)</f>
        <v/>
      </c>
      <c r="K199" s="128" t="str">
        <f>IF(A199="","",SUMIFS(in_work,in_eq,A199,in_type,"Préventif",in_done,1,in_dnum,"&gt;="&amp;p_from,in_dnum,"&lt;="&amp;p_to))</f>
        <v/>
      </c>
      <c r="L199" s="128" t="str">
        <f>IF(A199="","",SUMIFS(in_work,in_eq,A199,in_type,"Correctif",in_done,1,in_dnum,"&gt;="&amp;p_from,in_dnum,"&lt;="&amp;p_to))</f>
        <v/>
      </c>
      <c r="M199" s="128" t="str">
        <f>IF(A199="","",SUMIFS(in_work,in_eq,A199,in_type,"Amélioratif",in_done,1,in_dnum,"&gt;="&amp;p_from,in_dnum,"&lt;="&amp;p_to))</f>
        <v/>
      </c>
      <c r="N199" s="131" t="str">
        <f>IF(OR(A199="",N(K199)+N(L199)+N(M199)=0),"",K199/(K199+L199+M199))</f>
        <v/>
      </c>
      <c r="O199" s="81" t="str">
        <f>IF(A199="","",SUMIFS(in_parts,in_eq,A199,in_done,1,in_dnum,"&gt;="&amp;p_from,in_dnum,"&lt;="&amp;p_to))</f>
        <v/>
      </c>
      <c r="P199" s="81" t="str">
        <f>IF(A199="","",SUMIFS(in_mo,in_eq,A199,in_done,1,in_dnum,"&gt;="&amp;p_from,in_dnum,"&lt;="&amp;p_to))</f>
        <v/>
      </c>
      <c r="Q199" s="81" t="str">
        <f>IF(A199="","",SUMIFS(in_other,in_eq,A199,in_done,1,in_dnum,"&gt;="&amp;p_from,in_dnum,"&lt;="&amp;p_to))</f>
        <v/>
      </c>
      <c r="R199" s="81" t="str">
        <f>IF(A199="","",SUMIFS(in_total,in_eq,A199,in_done,1,in_dnum,"&gt;="&amp;p_from,in_dnum,"&lt;="&amp;p_to))</f>
        <v/>
      </c>
      <c r="S199" s="67" t="str">
        <f>IF(A199="","",SUMIFS(in_work,in_eq,A199,in_type,"Correctif",in_done,1,in_dnum,"&gt;="&amp;p_from,in_dnum,"&lt;="&amp;p_to))</f>
        <v/>
      </c>
      <c r="T199" s="67" t="str">
        <f>IF(A199="","",SUMIFS(in_stop,in_eq,A199,in_type,"Correctif",in_done,1,in_dnum,"&gt;="&amp;p_from,in_dnum,"&lt;="&amp;p_to))</f>
        <v/>
      </c>
    </row>
    <row r="200">
      <c r="A200" s="67" t="str">
        <f>IF(INDEX(eq_code,189)="","",INDEX(eq_code,189)&amp;"")</f>
        <v/>
      </c>
      <c r="B200" s="67" t="str">
        <f>IF(A200="","",INDEX(eq_des,189)&amp;"")</f>
        <v/>
      </c>
      <c r="C200" s="79" t="str">
        <f>IF(A200="","",INDEX(eq_crit,189)&amp;"")</f>
        <v/>
      </c>
      <c r="D200" s="127" t="str">
        <f>IF(A200="","",IF(MAX(p_from,N(INDEX(eq_start,189)))&gt;p_to,0,ROUND(IF(AND(ISNUMBER(INDEX(eq_hours,189)),N(INDEX(eq_hours,189))&gt;0,N(INDEX(eq_hours,189))&lt;=24),INDEX(eq_hours,189),0)*IF(p_days="7 jours sur 7",p_to-MAX(p_from,N(INDEX(eq_start,189)))+1,NETWORKDAYS.INTL(MAX(p_from,N(INDEX(eq_start,189))),p_to,p_weekend,p_holidays)),2)))</f>
        <v/>
      </c>
      <c r="E200" s="128" t="str">
        <f>IF(A200="","",SUMIFS(in_stop,in_eq,A200,in_done,1,in_dnum,"&gt;="&amp;p_from,in_dnum,"&lt;="&amp;p_to))</f>
        <v/>
      </c>
      <c r="F200" s="129" t="str">
        <f>IF(A200="","",COUNTIFS(in_eq,A200,in_type,"Correctif",in_done,1,in_dnum,"&gt;="&amp;p_from,in_dnum,"&lt;="&amp;p_to))</f>
        <v/>
      </c>
      <c r="G200" s="130" t="str">
        <f>IF(OR(A200="",N(F200)=0),"",MAX(0,D200-E200)/F200)</f>
        <v/>
      </c>
      <c r="H200" s="81" t="str">
        <f>IF(OR(A200="",N(F200)=0),"",S200/F200)</f>
        <v/>
      </c>
      <c r="I200" s="81" t="str">
        <f>IF(OR(A200="",N(F200)=0),"",T200/F200)</f>
        <v/>
      </c>
      <c r="J200" s="131" t="str">
        <f>IF(OR(A200="",N(D200)=0),"",MAX(0,D200-E200)/D200)</f>
        <v/>
      </c>
      <c r="K200" s="128" t="str">
        <f>IF(A200="","",SUMIFS(in_work,in_eq,A200,in_type,"Préventif",in_done,1,in_dnum,"&gt;="&amp;p_from,in_dnum,"&lt;="&amp;p_to))</f>
        <v/>
      </c>
      <c r="L200" s="128" t="str">
        <f>IF(A200="","",SUMIFS(in_work,in_eq,A200,in_type,"Correctif",in_done,1,in_dnum,"&gt;="&amp;p_from,in_dnum,"&lt;="&amp;p_to))</f>
        <v/>
      </c>
      <c r="M200" s="128" t="str">
        <f>IF(A200="","",SUMIFS(in_work,in_eq,A200,in_type,"Amélioratif",in_done,1,in_dnum,"&gt;="&amp;p_from,in_dnum,"&lt;="&amp;p_to))</f>
        <v/>
      </c>
      <c r="N200" s="131" t="str">
        <f>IF(OR(A200="",N(K200)+N(L200)+N(M200)=0),"",K200/(K200+L200+M200))</f>
        <v/>
      </c>
      <c r="O200" s="81" t="str">
        <f>IF(A200="","",SUMIFS(in_parts,in_eq,A200,in_done,1,in_dnum,"&gt;="&amp;p_from,in_dnum,"&lt;="&amp;p_to))</f>
        <v/>
      </c>
      <c r="P200" s="81" t="str">
        <f>IF(A200="","",SUMIFS(in_mo,in_eq,A200,in_done,1,in_dnum,"&gt;="&amp;p_from,in_dnum,"&lt;="&amp;p_to))</f>
        <v/>
      </c>
      <c r="Q200" s="81" t="str">
        <f>IF(A200="","",SUMIFS(in_other,in_eq,A200,in_done,1,in_dnum,"&gt;="&amp;p_from,in_dnum,"&lt;="&amp;p_to))</f>
        <v/>
      </c>
      <c r="R200" s="81" t="str">
        <f>IF(A200="","",SUMIFS(in_total,in_eq,A200,in_done,1,in_dnum,"&gt;="&amp;p_from,in_dnum,"&lt;="&amp;p_to))</f>
        <v/>
      </c>
      <c r="S200" s="67" t="str">
        <f>IF(A200="","",SUMIFS(in_work,in_eq,A200,in_type,"Correctif",in_done,1,in_dnum,"&gt;="&amp;p_from,in_dnum,"&lt;="&amp;p_to))</f>
        <v/>
      </c>
      <c r="T200" s="67" t="str">
        <f>IF(A200="","",SUMIFS(in_stop,in_eq,A200,in_type,"Correctif",in_done,1,in_dnum,"&gt;="&amp;p_from,in_dnum,"&lt;="&amp;p_to))</f>
        <v/>
      </c>
    </row>
    <row r="201">
      <c r="A201" s="67" t="str">
        <f>IF(INDEX(eq_code,190)="","",INDEX(eq_code,190)&amp;"")</f>
        <v/>
      </c>
      <c r="B201" s="67" t="str">
        <f>IF(A201="","",INDEX(eq_des,190)&amp;"")</f>
        <v/>
      </c>
      <c r="C201" s="79" t="str">
        <f>IF(A201="","",INDEX(eq_crit,190)&amp;"")</f>
        <v/>
      </c>
      <c r="D201" s="127" t="str">
        <f>IF(A201="","",IF(MAX(p_from,N(INDEX(eq_start,190)))&gt;p_to,0,ROUND(IF(AND(ISNUMBER(INDEX(eq_hours,190)),N(INDEX(eq_hours,190))&gt;0,N(INDEX(eq_hours,190))&lt;=24),INDEX(eq_hours,190),0)*IF(p_days="7 jours sur 7",p_to-MAX(p_from,N(INDEX(eq_start,190)))+1,NETWORKDAYS.INTL(MAX(p_from,N(INDEX(eq_start,190))),p_to,p_weekend,p_holidays)),2)))</f>
        <v/>
      </c>
      <c r="E201" s="128" t="str">
        <f>IF(A201="","",SUMIFS(in_stop,in_eq,A201,in_done,1,in_dnum,"&gt;="&amp;p_from,in_dnum,"&lt;="&amp;p_to))</f>
        <v/>
      </c>
      <c r="F201" s="129" t="str">
        <f>IF(A201="","",COUNTIFS(in_eq,A201,in_type,"Correctif",in_done,1,in_dnum,"&gt;="&amp;p_from,in_dnum,"&lt;="&amp;p_to))</f>
        <v/>
      </c>
      <c r="G201" s="130" t="str">
        <f>IF(OR(A201="",N(F201)=0),"",MAX(0,D201-E201)/F201)</f>
        <v/>
      </c>
      <c r="H201" s="81" t="str">
        <f>IF(OR(A201="",N(F201)=0),"",S201/F201)</f>
        <v/>
      </c>
      <c r="I201" s="81" t="str">
        <f>IF(OR(A201="",N(F201)=0),"",T201/F201)</f>
        <v/>
      </c>
      <c r="J201" s="131" t="str">
        <f>IF(OR(A201="",N(D201)=0),"",MAX(0,D201-E201)/D201)</f>
        <v/>
      </c>
      <c r="K201" s="128" t="str">
        <f>IF(A201="","",SUMIFS(in_work,in_eq,A201,in_type,"Préventif",in_done,1,in_dnum,"&gt;="&amp;p_from,in_dnum,"&lt;="&amp;p_to))</f>
        <v/>
      </c>
      <c r="L201" s="128" t="str">
        <f>IF(A201="","",SUMIFS(in_work,in_eq,A201,in_type,"Correctif",in_done,1,in_dnum,"&gt;="&amp;p_from,in_dnum,"&lt;="&amp;p_to))</f>
        <v/>
      </c>
      <c r="M201" s="128" t="str">
        <f>IF(A201="","",SUMIFS(in_work,in_eq,A201,in_type,"Amélioratif",in_done,1,in_dnum,"&gt;="&amp;p_from,in_dnum,"&lt;="&amp;p_to))</f>
        <v/>
      </c>
      <c r="N201" s="131" t="str">
        <f>IF(OR(A201="",N(K201)+N(L201)+N(M201)=0),"",K201/(K201+L201+M201))</f>
        <v/>
      </c>
      <c r="O201" s="81" t="str">
        <f>IF(A201="","",SUMIFS(in_parts,in_eq,A201,in_done,1,in_dnum,"&gt;="&amp;p_from,in_dnum,"&lt;="&amp;p_to))</f>
        <v/>
      </c>
      <c r="P201" s="81" t="str">
        <f>IF(A201="","",SUMIFS(in_mo,in_eq,A201,in_done,1,in_dnum,"&gt;="&amp;p_from,in_dnum,"&lt;="&amp;p_to))</f>
        <v/>
      </c>
      <c r="Q201" s="81" t="str">
        <f>IF(A201="","",SUMIFS(in_other,in_eq,A201,in_done,1,in_dnum,"&gt;="&amp;p_from,in_dnum,"&lt;="&amp;p_to))</f>
        <v/>
      </c>
      <c r="R201" s="81" t="str">
        <f>IF(A201="","",SUMIFS(in_total,in_eq,A201,in_done,1,in_dnum,"&gt;="&amp;p_from,in_dnum,"&lt;="&amp;p_to))</f>
        <v/>
      </c>
      <c r="S201" s="67" t="str">
        <f>IF(A201="","",SUMIFS(in_work,in_eq,A201,in_type,"Correctif",in_done,1,in_dnum,"&gt;="&amp;p_from,in_dnum,"&lt;="&amp;p_to))</f>
        <v/>
      </c>
      <c r="T201" s="67" t="str">
        <f>IF(A201="","",SUMIFS(in_stop,in_eq,A201,in_type,"Correctif",in_done,1,in_dnum,"&gt;="&amp;p_from,in_dnum,"&lt;="&amp;p_to))</f>
        <v/>
      </c>
    </row>
    <row r="202">
      <c r="A202" s="67" t="str">
        <f>IF(INDEX(eq_code,191)="","",INDEX(eq_code,191)&amp;"")</f>
        <v/>
      </c>
      <c r="B202" s="67" t="str">
        <f>IF(A202="","",INDEX(eq_des,191)&amp;"")</f>
        <v/>
      </c>
      <c r="C202" s="79" t="str">
        <f>IF(A202="","",INDEX(eq_crit,191)&amp;"")</f>
        <v/>
      </c>
      <c r="D202" s="127" t="str">
        <f>IF(A202="","",IF(MAX(p_from,N(INDEX(eq_start,191)))&gt;p_to,0,ROUND(IF(AND(ISNUMBER(INDEX(eq_hours,191)),N(INDEX(eq_hours,191))&gt;0,N(INDEX(eq_hours,191))&lt;=24),INDEX(eq_hours,191),0)*IF(p_days="7 jours sur 7",p_to-MAX(p_from,N(INDEX(eq_start,191)))+1,NETWORKDAYS.INTL(MAX(p_from,N(INDEX(eq_start,191))),p_to,p_weekend,p_holidays)),2)))</f>
        <v/>
      </c>
      <c r="E202" s="128" t="str">
        <f>IF(A202="","",SUMIFS(in_stop,in_eq,A202,in_done,1,in_dnum,"&gt;="&amp;p_from,in_dnum,"&lt;="&amp;p_to))</f>
        <v/>
      </c>
      <c r="F202" s="129" t="str">
        <f>IF(A202="","",COUNTIFS(in_eq,A202,in_type,"Correctif",in_done,1,in_dnum,"&gt;="&amp;p_from,in_dnum,"&lt;="&amp;p_to))</f>
        <v/>
      </c>
      <c r="G202" s="130" t="str">
        <f>IF(OR(A202="",N(F202)=0),"",MAX(0,D202-E202)/F202)</f>
        <v/>
      </c>
      <c r="H202" s="81" t="str">
        <f>IF(OR(A202="",N(F202)=0),"",S202/F202)</f>
        <v/>
      </c>
      <c r="I202" s="81" t="str">
        <f>IF(OR(A202="",N(F202)=0),"",T202/F202)</f>
        <v/>
      </c>
      <c r="J202" s="131" t="str">
        <f>IF(OR(A202="",N(D202)=0),"",MAX(0,D202-E202)/D202)</f>
        <v/>
      </c>
      <c r="K202" s="128" t="str">
        <f>IF(A202="","",SUMIFS(in_work,in_eq,A202,in_type,"Préventif",in_done,1,in_dnum,"&gt;="&amp;p_from,in_dnum,"&lt;="&amp;p_to))</f>
        <v/>
      </c>
      <c r="L202" s="128" t="str">
        <f>IF(A202="","",SUMIFS(in_work,in_eq,A202,in_type,"Correctif",in_done,1,in_dnum,"&gt;="&amp;p_from,in_dnum,"&lt;="&amp;p_to))</f>
        <v/>
      </c>
      <c r="M202" s="128" t="str">
        <f>IF(A202="","",SUMIFS(in_work,in_eq,A202,in_type,"Amélioratif",in_done,1,in_dnum,"&gt;="&amp;p_from,in_dnum,"&lt;="&amp;p_to))</f>
        <v/>
      </c>
      <c r="N202" s="131" t="str">
        <f>IF(OR(A202="",N(K202)+N(L202)+N(M202)=0),"",K202/(K202+L202+M202))</f>
        <v/>
      </c>
      <c r="O202" s="81" t="str">
        <f>IF(A202="","",SUMIFS(in_parts,in_eq,A202,in_done,1,in_dnum,"&gt;="&amp;p_from,in_dnum,"&lt;="&amp;p_to))</f>
        <v/>
      </c>
      <c r="P202" s="81" t="str">
        <f>IF(A202="","",SUMIFS(in_mo,in_eq,A202,in_done,1,in_dnum,"&gt;="&amp;p_from,in_dnum,"&lt;="&amp;p_to))</f>
        <v/>
      </c>
      <c r="Q202" s="81" t="str">
        <f>IF(A202="","",SUMIFS(in_other,in_eq,A202,in_done,1,in_dnum,"&gt;="&amp;p_from,in_dnum,"&lt;="&amp;p_to))</f>
        <v/>
      </c>
      <c r="R202" s="81" t="str">
        <f>IF(A202="","",SUMIFS(in_total,in_eq,A202,in_done,1,in_dnum,"&gt;="&amp;p_from,in_dnum,"&lt;="&amp;p_to))</f>
        <v/>
      </c>
      <c r="S202" s="67" t="str">
        <f>IF(A202="","",SUMIFS(in_work,in_eq,A202,in_type,"Correctif",in_done,1,in_dnum,"&gt;="&amp;p_from,in_dnum,"&lt;="&amp;p_to))</f>
        <v/>
      </c>
      <c r="T202" s="67" t="str">
        <f>IF(A202="","",SUMIFS(in_stop,in_eq,A202,in_type,"Correctif",in_done,1,in_dnum,"&gt;="&amp;p_from,in_dnum,"&lt;="&amp;p_to))</f>
        <v/>
      </c>
    </row>
    <row r="203">
      <c r="A203" s="67" t="str">
        <f>IF(INDEX(eq_code,192)="","",INDEX(eq_code,192)&amp;"")</f>
        <v/>
      </c>
      <c r="B203" s="67" t="str">
        <f>IF(A203="","",INDEX(eq_des,192)&amp;"")</f>
        <v/>
      </c>
      <c r="C203" s="79" t="str">
        <f>IF(A203="","",INDEX(eq_crit,192)&amp;"")</f>
        <v/>
      </c>
      <c r="D203" s="127" t="str">
        <f>IF(A203="","",IF(MAX(p_from,N(INDEX(eq_start,192)))&gt;p_to,0,ROUND(IF(AND(ISNUMBER(INDEX(eq_hours,192)),N(INDEX(eq_hours,192))&gt;0,N(INDEX(eq_hours,192))&lt;=24),INDEX(eq_hours,192),0)*IF(p_days="7 jours sur 7",p_to-MAX(p_from,N(INDEX(eq_start,192)))+1,NETWORKDAYS.INTL(MAX(p_from,N(INDEX(eq_start,192))),p_to,p_weekend,p_holidays)),2)))</f>
        <v/>
      </c>
      <c r="E203" s="128" t="str">
        <f>IF(A203="","",SUMIFS(in_stop,in_eq,A203,in_done,1,in_dnum,"&gt;="&amp;p_from,in_dnum,"&lt;="&amp;p_to))</f>
        <v/>
      </c>
      <c r="F203" s="129" t="str">
        <f>IF(A203="","",COUNTIFS(in_eq,A203,in_type,"Correctif",in_done,1,in_dnum,"&gt;="&amp;p_from,in_dnum,"&lt;="&amp;p_to))</f>
        <v/>
      </c>
      <c r="G203" s="130" t="str">
        <f>IF(OR(A203="",N(F203)=0),"",MAX(0,D203-E203)/F203)</f>
        <v/>
      </c>
      <c r="H203" s="81" t="str">
        <f>IF(OR(A203="",N(F203)=0),"",S203/F203)</f>
        <v/>
      </c>
      <c r="I203" s="81" t="str">
        <f>IF(OR(A203="",N(F203)=0),"",T203/F203)</f>
        <v/>
      </c>
      <c r="J203" s="131" t="str">
        <f>IF(OR(A203="",N(D203)=0),"",MAX(0,D203-E203)/D203)</f>
        <v/>
      </c>
      <c r="K203" s="128" t="str">
        <f>IF(A203="","",SUMIFS(in_work,in_eq,A203,in_type,"Préventif",in_done,1,in_dnum,"&gt;="&amp;p_from,in_dnum,"&lt;="&amp;p_to))</f>
        <v/>
      </c>
      <c r="L203" s="128" t="str">
        <f>IF(A203="","",SUMIFS(in_work,in_eq,A203,in_type,"Correctif",in_done,1,in_dnum,"&gt;="&amp;p_from,in_dnum,"&lt;="&amp;p_to))</f>
        <v/>
      </c>
      <c r="M203" s="128" t="str">
        <f>IF(A203="","",SUMIFS(in_work,in_eq,A203,in_type,"Amélioratif",in_done,1,in_dnum,"&gt;="&amp;p_from,in_dnum,"&lt;="&amp;p_to))</f>
        <v/>
      </c>
      <c r="N203" s="131" t="str">
        <f>IF(OR(A203="",N(K203)+N(L203)+N(M203)=0),"",K203/(K203+L203+M203))</f>
        <v/>
      </c>
      <c r="O203" s="81" t="str">
        <f>IF(A203="","",SUMIFS(in_parts,in_eq,A203,in_done,1,in_dnum,"&gt;="&amp;p_from,in_dnum,"&lt;="&amp;p_to))</f>
        <v/>
      </c>
      <c r="P203" s="81" t="str">
        <f>IF(A203="","",SUMIFS(in_mo,in_eq,A203,in_done,1,in_dnum,"&gt;="&amp;p_from,in_dnum,"&lt;="&amp;p_to))</f>
        <v/>
      </c>
      <c r="Q203" s="81" t="str">
        <f>IF(A203="","",SUMIFS(in_other,in_eq,A203,in_done,1,in_dnum,"&gt;="&amp;p_from,in_dnum,"&lt;="&amp;p_to))</f>
        <v/>
      </c>
      <c r="R203" s="81" t="str">
        <f>IF(A203="","",SUMIFS(in_total,in_eq,A203,in_done,1,in_dnum,"&gt;="&amp;p_from,in_dnum,"&lt;="&amp;p_to))</f>
        <v/>
      </c>
      <c r="S203" s="67" t="str">
        <f>IF(A203="","",SUMIFS(in_work,in_eq,A203,in_type,"Correctif",in_done,1,in_dnum,"&gt;="&amp;p_from,in_dnum,"&lt;="&amp;p_to))</f>
        <v/>
      </c>
      <c r="T203" s="67" t="str">
        <f>IF(A203="","",SUMIFS(in_stop,in_eq,A203,in_type,"Correctif",in_done,1,in_dnum,"&gt;="&amp;p_from,in_dnum,"&lt;="&amp;p_to))</f>
        <v/>
      </c>
    </row>
    <row r="204">
      <c r="A204" s="67" t="str">
        <f>IF(INDEX(eq_code,193)="","",INDEX(eq_code,193)&amp;"")</f>
        <v/>
      </c>
      <c r="B204" s="67" t="str">
        <f>IF(A204="","",INDEX(eq_des,193)&amp;"")</f>
        <v/>
      </c>
      <c r="C204" s="79" t="str">
        <f>IF(A204="","",INDEX(eq_crit,193)&amp;"")</f>
        <v/>
      </c>
      <c r="D204" s="127" t="str">
        <f>IF(A204="","",IF(MAX(p_from,N(INDEX(eq_start,193)))&gt;p_to,0,ROUND(IF(AND(ISNUMBER(INDEX(eq_hours,193)),N(INDEX(eq_hours,193))&gt;0,N(INDEX(eq_hours,193))&lt;=24),INDEX(eq_hours,193),0)*IF(p_days="7 jours sur 7",p_to-MAX(p_from,N(INDEX(eq_start,193)))+1,NETWORKDAYS.INTL(MAX(p_from,N(INDEX(eq_start,193))),p_to,p_weekend,p_holidays)),2)))</f>
        <v/>
      </c>
      <c r="E204" s="128" t="str">
        <f>IF(A204="","",SUMIFS(in_stop,in_eq,A204,in_done,1,in_dnum,"&gt;="&amp;p_from,in_dnum,"&lt;="&amp;p_to))</f>
        <v/>
      </c>
      <c r="F204" s="129" t="str">
        <f>IF(A204="","",COUNTIFS(in_eq,A204,in_type,"Correctif",in_done,1,in_dnum,"&gt;="&amp;p_from,in_dnum,"&lt;="&amp;p_to))</f>
        <v/>
      </c>
      <c r="G204" s="130" t="str">
        <f>IF(OR(A204="",N(F204)=0),"",MAX(0,D204-E204)/F204)</f>
        <v/>
      </c>
      <c r="H204" s="81" t="str">
        <f>IF(OR(A204="",N(F204)=0),"",S204/F204)</f>
        <v/>
      </c>
      <c r="I204" s="81" t="str">
        <f>IF(OR(A204="",N(F204)=0),"",T204/F204)</f>
        <v/>
      </c>
      <c r="J204" s="131" t="str">
        <f>IF(OR(A204="",N(D204)=0),"",MAX(0,D204-E204)/D204)</f>
        <v/>
      </c>
      <c r="K204" s="128" t="str">
        <f>IF(A204="","",SUMIFS(in_work,in_eq,A204,in_type,"Préventif",in_done,1,in_dnum,"&gt;="&amp;p_from,in_dnum,"&lt;="&amp;p_to))</f>
        <v/>
      </c>
      <c r="L204" s="128" t="str">
        <f>IF(A204="","",SUMIFS(in_work,in_eq,A204,in_type,"Correctif",in_done,1,in_dnum,"&gt;="&amp;p_from,in_dnum,"&lt;="&amp;p_to))</f>
        <v/>
      </c>
      <c r="M204" s="128" t="str">
        <f>IF(A204="","",SUMIFS(in_work,in_eq,A204,in_type,"Amélioratif",in_done,1,in_dnum,"&gt;="&amp;p_from,in_dnum,"&lt;="&amp;p_to))</f>
        <v/>
      </c>
      <c r="N204" s="131" t="str">
        <f>IF(OR(A204="",N(K204)+N(L204)+N(M204)=0),"",K204/(K204+L204+M204))</f>
        <v/>
      </c>
      <c r="O204" s="81" t="str">
        <f>IF(A204="","",SUMIFS(in_parts,in_eq,A204,in_done,1,in_dnum,"&gt;="&amp;p_from,in_dnum,"&lt;="&amp;p_to))</f>
        <v/>
      </c>
      <c r="P204" s="81" t="str">
        <f>IF(A204="","",SUMIFS(in_mo,in_eq,A204,in_done,1,in_dnum,"&gt;="&amp;p_from,in_dnum,"&lt;="&amp;p_to))</f>
        <v/>
      </c>
      <c r="Q204" s="81" t="str">
        <f>IF(A204="","",SUMIFS(in_other,in_eq,A204,in_done,1,in_dnum,"&gt;="&amp;p_from,in_dnum,"&lt;="&amp;p_to))</f>
        <v/>
      </c>
      <c r="R204" s="81" t="str">
        <f>IF(A204="","",SUMIFS(in_total,in_eq,A204,in_done,1,in_dnum,"&gt;="&amp;p_from,in_dnum,"&lt;="&amp;p_to))</f>
        <v/>
      </c>
      <c r="S204" s="67" t="str">
        <f>IF(A204="","",SUMIFS(in_work,in_eq,A204,in_type,"Correctif",in_done,1,in_dnum,"&gt;="&amp;p_from,in_dnum,"&lt;="&amp;p_to))</f>
        <v/>
      </c>
      <c r="T204" s="67" t="str">
        <f>IF(A204="","",SUMIFS(in_stop,in_eq,A204,in_type,"Correctif",in_done,1,in_dnum,"&gt;="&amp;p_from,in_dnum,"&lt;="&amp;p_to))</f>
        <v/>
      </c>
    </row>
    <row r="205">
      <c r="A205" s="67" t="str">
        <f>IF(INDEX(eq_code,194)="","",INDEX(eq_code,194)&amp;"")</f>
        <v/>
      </c>
      <c r="B205" s="67" t="str">
        <f>IF(A205="","",INDEX(eq_des,194)&amp;"")</f>
        <v/>
      </c>
      <c r="C205" s="79" t="str">
        <f>IF(A205="","",INDEX(eq_crit,194)&amp;"")</f>
        <v/>
      </c>
      <c r="D205" s="127" t="str">
        <f>IF(A205="","",IF(MAX(p_from,N(INDEX(eq_start,194)))&gt;p_to,0,ROUND(IF(AND(ISNUMBER(INDEX(eq_hours,194)),N(INDEX(eq_hours,194))&gt;0,N(INDEX(eq_hours,194))&lt;=24),INDEX(eq_hours,194),0)*IF(p_days="7 jours sur 7",p_to-MAX(p_from,N(INDEX(eq_start,194)))+1,NETWORKDAYS.INTL(MAX(p_from,N(INDEX(eq_start,194))),p_to,p_weekend,p_holidays)),2)))</f>
        <v/>
      </c>
      <c r="E205" s="128" t="str">
        <f>IF(A205="","",SUMIFS(in_stop,in_eq,A205,in_done,1,in_dnum,"&gt;="&amp;p_from,in_dnum,"&lt;="&amp;p_to))</f>
        <v/>
      </c>
      <c r="F205" s="129" t="str">
        <f>IF(A205="","",COUNTIFS(in_eq,A205,in_type,"Correctif",in_done,1,in_dnum,"&gt;="&amp;p_from,in_dnum,"&lt;="&amp;p_to))</f>
        <v/>
      </c>
      <c r="G205" s="130" t="str">
        <f>IF(OR(A205="",N(F205)=0),"",MAX(0,D205-E205)/F205)</f>
        <v/>
      </c>
      <c r="H205" s="81" t="str">
        <f>IF(OR(A205="",N(F205)=0),"",S205/F205)</f>
        <v/>
      </c>
      <c r="I205" s="81" t="str">
        <f>IF(OR(A205="",N(F205)=0),"",T205/F205)</f>
        <v/>
      </c>
      <c r="J205" s="131" t="str">
        <f>IF(OR(A205="",N(D205)=0),"",MAX(0,D205-E205)/D205)</f>
        <v/>
      </c>
      <c r="K205" s="128" t="str">
        <f>IF(A205="","",SUMIFS(in_work,in_eq,A205,in_type,"Préventif",in_done,1,in_dnum,"&gt;="&amp;p_from,in_dnum,"&lt;="&amp;p_to))</f>
        <v/>
      </c>
      <c r="L205" s="128" t="str">
        <f>IF(A205="","",SUMIFS(in_work,in_eq,A205,in_type,"Correctif",in_done,1,in_dnum,"&gt;="&amp;p_from,in_dnum,"&lt;="&amp;p_to))</f>
        <v/>
      </c>
      <c r="M205" s="128" t="str">
        <f>IF(A205="","",SUMIFS(in_work,in_eq,A205,in_type,"Amélioratif",in_done,1,in_dnum,"&gt;="&amp;p_from,in_dnum,"&lt;="&amp;p_to))</f>
        <v/>
      </c>
      <c r="N205" s="131" t="str">
        <f>IF(OR(A205="",N(K205)+N(L205)+N(M205)=0),"",K205/(K205+L205+M205))</f>
        <v/>
      </c>
      <c r="O205" s="81" t="str">
        <f>IF(A205="","",SUMIFS(in_parts,in_eq,A205,in_done,1,in_dnum,"&gt;="&amp;p_from,in_dnum,"&lt;="&amp;p_to))</f>
        <v/>
      </c>
      <c r="P205" s="81" t="str">
        <f>IF(A205="","",SUMIFS(in_mo,in_eq,A205,in_done,1,in_dnum,"&gt;="&amp;p_from,in_dnum,"&lt;="&amp;p_to))</f>
        <v/>
      </c>
      <c r="Q205" s="81" t="str">
        <f>IF(A205="","",SUMIFS(in_other,in_eq,A205,in_done,1,in_dnum,"&gt;="&amp;p_from,in_dnum,"&lt;="&amp;p_to))</f>
        <v/>
      </c>
      <c r="R205" s="81" t="str">
        <f>IF(A205="","",SUMIFS(in_total,in_eq,A205,in_done,1,in_dnum,"&gt;="&amp;p_from,in_dnum,"&lt;="&amp;p_to))</f>
        <v/>
      </c>
      <c r="S205" s="67" t="str">
        <f>IF(A205="","",SUMIFS(in_work,in_eq,A205,in_type,"Correctif",in_done,1,in_dnum,"&gt;="&amp;p_from,in_dnum,"&lt;="&amp;p_to))</f>
        <v/>
      </c>
      <c r="T205" s="67" t="str">
        <f>IF(A205="","",SUMIFS(in_stop,in_eq,A205,in_type,"Correctif",in_done,1,in_dnum,"&gt;="&amp;p_from,in_dnum,"&lt;="&amp;p_to))</f>
        <v/>
      </c>
    </row>
    <row r="206">
      <c r="A206" s="67" t="str">
        <f>IF(INDEX(eq_code,195)="","",INDEX(eq_code,195)&amp;"")</f>
        <v/>
      </c>
      <c r="B206" s="67" t="str">
        <f>IF(A206="","",INDEX(eq_des,195)&amp;"")</f>
        <v/>
      </c>
      <c r="C206" s="79" t="str">
        <f>IF(A206="","",INDEX(eq_crit,195)&amp;"")</f>
        <v/>
      </c>
      <c r="D206" s="127" t="str">
        <f>IF(A206="","",IF(MAX(p_from,N(INDEX(eq_start,195)))&gt;p_to,0,ROUND(IF(AND(ISNUMBER(INDEX(eq_hours,195)),N(INDEX(eq_hours,195))&gt;0,N(INDEX(eq_hours,195))&lt;=24),INDEX(eq_hours,195),0)*IF(p_days="7 jours sur 7",p_to-MAX(p_from,N(INDEX(eq_start,195)))+1,NETWORKDAYS.INTL(MAX(p_from,N(INDEX(eq_start,195))),p_to,p_weekend,p_holidays)),2)))</f>
        <v/>
      </c>
      <c r="E206" s="128" t="str">
        <f>IF(A206="","",SUMIFS(in_stop,in_eq,A206,in_done,1,in_dnum,"&gt;="&amp;p_from,in_dnum,"&lt;="&amp;p_to))</f>
        <v/>
      </c>
      <c r="F206" s="129" t="str">
        <f>IF(A206="","",COUNTIFS(in_eq,A206,in_type,"Correctif",in_done,1,in_dnum,"&gt;="&amp;p_from,in_dnum,"&lt;="&amp;p_to))</f>
        <v/>
      </c>
      <c r="G206" s="130" t="str">
        <f>IF(OR(A206="",N(F206)=0),"",MAX(0,D206-E206)/F206)</f>
        <v/>
      </c>
      <c r="H206" s="81" t="str">
        <f>IF(OR(A206="",N(F206)=0),"",S206/F206)</f>
        <v/>
      </c>
      <c r="I206" s="81" t="str">
        <f>IF(OR(A206="",N(F206)=0),"",T206/F206)</f>
        <v/>
      </c>
      <c r="J206" s="131" t="str">
        <f>IF(OR(A206="",N(D206)=0),"",MAX(0,D206-E206)/D206)</f>
        <v/>
      </c>
      <c r="K206" s="128" t="str">
        <f>IF(A206="","",SUMIFS(in_work,in_eq,A206,in_type,"Préventif",in_done,1,in_dnum,"&gt;="&amp;p_from,in_dnum,"&lt;="&amp;p_to))</f>
        <v/>
      </c>
      <c r="L206" s="128" t="str">
        <f>IF(A206="","",SUMIFS(in_work,in_eq,A206,in_type,"Correctif",in_done,1,in_dnum,"&gt;="&amp;p_from,in_dnum,"&lt;="&amp;p_to))</f>
        <v/>
      </c>
      <c r="M206" s="128" t="str">
        <f>IF(A206="","",SUMIFS(in_work,in_eq,A206,in_type,"Amélioratif",in_done,1,in_dnum,"&gt;="&amp;p_from,in_dnum,"&lt;="&amp;p_to))</f>
        <v/>
      </c>
      <c r="N206" s="131" t="str">
        <f>IF(OR(A206="",N(K206)+N(L206)+N(M206)=0),"",K206/(K206+L206+M206))</f>
        <v/>
      </c>
      <c r="O206" s="81" t="str">
        <f>IF(A206="","",SUMIFS(in_parts,in_eq,A206,in_done,1,in_dnum,"&gt;="&amp;p_from,in_dnum,"&lt;="&amp;p_to))</f>
        <v/>
      </c>
      <c r="P206" s="81" t="str">
        <f>IF(A206="","",SUMIFS(in_mo,in_eq,A206,in_done,1,in_dnum,"&gt;="&amp;p_from,in_dnum,"&lt;="&amp;p_to))</f>
        <v/>
      </c>
      <c r="Q206" s="81" t="str">
        <f>IF(A206="","",SUMIFS(in_other,in_eq,A206,in_done,1,in_dnum,"&gt;="&amp;p_from,in_dnum,"&lt;="&amp;p_to))</f>
        <v/>
      </c>
      <c r="R206" s="81" t="str">
        <f>IF(A206="","",SUMIFS(in_total,in_eq,A206,in_done,1,in_dnum,"&gt;="&amp;p_from,in_dnum,"&lt;="&amp;p_to))</f>
        <v/>
      </c>
      <c r="S206" s="67" t="str">
        <f>IF(A206="","",SUMIFS(in_work,in_eq,A206,in_type,"Correctif",in_done,1,in_dnum,"&gt;="&amp;p_from,in_dnum,"&lt;="&amp;p_to))</f>
        <v/>
      </c>
      <c r="T206" s="67" t="str">
        <f>IF(A206="","",SUMIFS(in_stop,in_eq,A206,in_type,"Correctif",in_done,1,in_dnum,"&gt;="&amp;p_from,in_dnum,"&lt;="&amp;p_to))</f>
        <v/>
      </c>
    </row>
    <row r="207">
      <c r="A207" s="67" t="str">
        <f>IF(INDEX(eq_code,196)="","",INDEX(eq_code,196)&amp;"")</f>
        <v/>
      </c>
      <c r="B207" s="67" t="str">
        <f>IF(A207="","",INDEX(eq_des,196)&amp;"")</f>
        <v/>
      </c>
      <c r="C207" s="79" t="str">
        <f>IF(A207="","",INDEX(eq_crit,196)&amp;"")</f>
        <v/>
      </c>
      <c r="D207" s="127" t="str">
        <f>IF(A207="","",IF(MAX(p_from,N(INDEX(eq_start,196)))&gt;p_to,0,ROUND(IF(AND(ISNUMBER(INDEX(eq_hours,196)),N(INDEX(eq_hours,196))&gt;0,N(INDEX(eq_hours,196))&lt;=24),INDEX(eq_hours,196),0)*IF(p_days="7 jours sur 7",p_to-MAX(p_from,N(INDEX(eq_start,196)))+1,NETWORKDAYS.INTL(MAX(p_from,N(INDEX(eq_start,196))),p_to,p_weekend,p_holidays)),2)))</f>
        <v/>
      </c>
      <c r="E207" s="128" t="str">
        <f>IF(A207="","",SUMIFS(in_stop,in_eq,A207,in_done,1,in_dnum,"&gt;="&amp;p_from,in_dnum,"&lt;="&amp;p_to))</f>
        <v/>
      </c>
      <c r="F207" s="129" t="str">
        <f>IF(A207="","",COUNTIFS(in_eq,A207,in_type,"Correctif",in_done,1,in_dnum,"&gt;="&amp;p_from,in_dnum,"&lt;="&amp;p_to))</f>
        <v/>
      </c>
      <c r="G207" s="130" t="str">
        <f>IF(OR(A207="",N(F207)=0),"",MAX(0,D207-E207)/F207)</f>
        <v/>
      </c>
      <c r="H207" s="81" t="str">
        <f>IF(OR(A207="",N(F207)=0),"",S207/F207)</f>
        <v/>
      </c>
      <c r="I207" s="81" t="str">
        <f>IF(OR(A207="",N(F207)=0),"",T207/F207)</f>
        <v/>
      </c>
      <c r="J207" s="131" t="str">
        <f>IF(OR(A207="",N(D207)=0),"",MAX(0,D207-E207)/D207)</f>
        <v/>
      </c>
      <c r="K207" s="128" t="str">
        <f>IF(A207="","",SUMIFS(in_work,in_eq,A207,in_type,"Préventif",in_done,1,in_dnum,"&gt;="&amp;p_from,in_dnum,"&lt;="&amp;p_to))</f>
        <v/>
      </c>
      <c r="L207" s="128" t="str">
        <f>IF(A207="","",SUMIFS(in_work,in_eq,A207,in_type,"Correctif",in_done,1,in_dnum,"&gt;="&amp;p_from,in_dnum,"&lt;="&amp;p_to))</f>
        <v/>
      </c>
      <c r="M207" s="128" t="str">
        <f>IF(A207="","",SUMIFS(in_work,in_eq,A207,in_type,"Amélioratif",in_done,1,in_dnum,"&gt;="&amp;p_from,in_dnum,"&lt;="&amp;p_to))</f>
        <v/>
      </c>
      <c r="N207" s="131" t="str">
        <f>IF(OR(A207="",N(K207)+N(L207)+N(M207)=0),"",K207/(K207+L207+M207))</f>
        <v/>
      </c>
      <c r="O207" s="81" t="str">
        <f>IF(A207="","",SUMIFS(in_parts,in_eq,A207,in_done,1,in_dnum,"&gt;="&amp;p_from,in_dnum,"&lt;="&amp;p_to))</f>
        <v/>
      </c>
      <c r="P207" s="81" t="str">
        <f>IF(A207="","",SUMIFS(in_mo,in_eq,A207,in_done,1,in_dnum,"&gt;="&amp;p_from,in_dnum,"&lt;="&amp;p_to))</f>
        <v/>
      </c>
      <c r="Q207" s="81" t="str">
        <f>IF(A207="","",SUMIFS(in_other,in_eq,A207,in_done,1,in_dnum,"&gt;="&amp;p_from,in_dnum,"&lt;="&amp;p_to))</f>
        <v/>
      </c>
      <c r="R207" s="81" t="str">
        <f>IF(A207="","",SUMIFS(in_total,in_eq,A207,in_done,1,in_dnum,"&gt;="&amp;p_from,in_dnum,"&lt;="&amp;p_to))</f>
        <v/>
      </c>
      <c r="S207" s="67" t="str">
        <f>IF(A207="","",SUMIFS(in_work,in_eq,A207,in_type,"Correctif",in_done,1,in_dnum,"&gt;="&amp;p_from,in_dnum,"&lt;="&amp;p_to))</f>
        <v/>
      </c>
      <c r="T207" s="67" t="str">
        <f>IF(A207="","",SUMIFS(in_stop,in_eq,A207,in_type,"Correctif",in_done,1,in_dnum,"&gt;="&amp;p_from,in_dnum,"&lt;="&amp;p_to))</f>
        <v/>
      </c>
    </row>
    <row r="208">
      <c r="A208" s="67" t="str">
        <f>IF(INDEX(eq_code,197)="","",INDEX(eq_code,197)&amp;"")</f>
        <v/>
      </c>
      <c r="B208" s="67" t="str">
        <f>IF(A208="","",INDEX(eq_des,197)&amp;"")</f>
        <v/>
      </c>
      <c r="C208" s="79" t="str">
        <f>IF(A208="","",INDEX(eq_crit,197)&amp;"")</f>
        <v/>
      </c>
      <c r="D208" s="127" t="str">
        <f>IF(A208="","",IF(MAX(p_from,N(INDEX(eq_start,197)))&gt;p_to,0,ROUND(IF(AND(ISNUMBER(INDEX(eq_hours,197)),N(INDEX(eq_hours,197))&gt;0,N(INDEX(eq_hours,197))&lt;=24),INDEX(eq_hours,197),0)*IF(p_days="7 jours sur 7",p_to-MAX(p_from,N(INDEX(eq_start,197)))+1,NETWORKDAYS.INTL(MAX(p_from,N(INDEX(eq_start,197))),p_to,p_weekend,p_holidays)),2)))</f>
        <v/>
      </c>
      <c r="E208" s="128" t="str">
        <f>IF(A208="","",SUMIFS(in_stop,in_eq,A208,in_done,1,in_dnum,"&gt;="&amp;p_from,in_dnum,"&lt;="&amp;p_to))</f>
        <v/>
      </c>
      <c r="F208" s="129" t="str">
        <f>IF(A208="","",COUNTIFS(in_eq,A208,in_type,"Correctif",in_done,1,in_dnum,"&gt;="&amp;p_from,in_dnum,"&lt;="&amp;p_to))</f>
        <v/>
      </c>
      <c r="G208" s="130" t="str">
        <f>IF(OR(A208="",N(F208)=0),"",MAX(0,D208-E208)/F208)</f>
        <v/>
      </c>
      <c r="H208" s="81" t="str">
        <f>IF(OR(A208="",N(F208)=0),"",S208/F208)</f>
        <v/>
      </c>
      <c r="I208" s="81" t="str">
        <f>IF(OR(A208="",N(F208)=0),"",T208/F208)</f>
        <v/>
      </c>
      <c r="J208" s="131" t="str">
        <f>IF(OR(A208="",N(D208)=0),"",MAX(0,D208-E208)/D208)</f>
        <v/>
      </c>
      <c r="K208" s="128" t="str">
        <f>IF(A208="","",SUMIFS(in_work,in_eq,A208,in_type,"Préventif",in_done,1,in_dnum,"&gt;="&amp;p_from,in_dnum,"&lt;="&amp;p_to))</f>
        <v/>
      </c>
      <c r="L208" s="128" t="str">
        <f>IF(A208="","",SUMIFS(in_work,in_eq,A208,in_type,"Correctif",in_done,1,in_dnum,"&gt;="&amp;p_from,in_dnum,"&lt;="&amp;p_to))</f>
        <v/>
      </c>
      <c r="M208" s="128" t="str">
        <f>IF(A208="","",SUMIFS(in_work,in_eq,A208,in_type,"Amélioratif",in_done,1,in_dnum,"&gt;="&amp;p_from,in_dnum,"&lt;="&amp;p_to))</f>
        <v/>
      </c>
      <c r="N208" s="131" t="str">
        <f>IF(OR(A208="",N(K208)+N(L208)+N(M208)=0),"",K208/(K208+L208+M208))</f>
        <v/>
      </c>
      <c r="O208" s="81" t="str">
        <f>IF(A208="","",SUMIFS(in_parts,in_eq,A208,in_done,1,in_dnum,"&gt;="&amp;p_from,in_dnum,"&lt;="&amp;p_to))</f>
        <v/>
      </c>
      <c r="P208" s="81" t="str">
        <f>IF(A208="","",SUMIFS(in_mo,in_eq,A208,in_done,1,in_dnum,"&gt;="&amp;p_from,in_dnum,"&lt;="&amp;p_to))</f>
        <v/>
      </c>
      <c r="Q208" s="81" t="str">
        <f>IF(A208="","",SUMIFS(in_other,in_eq,A208,in_done,1,in_dnum,"&gt;="&amp;p_from,in_dnum,"&lt;="&amp;p_to))</f>
        <v/>
      </c>
      <c r="R208" s="81" t="str">
        <f>IF(A208="","",SUMIFS(in_total,in_eq,A208,in_done,1,in_dnum,"&gt;="&amp;p_from,in_dnum,"&lt;="&amp;p_to))</f>
        <v/>
      </c>
      <c r="S208" s="67" t="str">
        <f>IF(A208="","",SUMIFS(in_work,in_eq,A208,in_type,"Correctif",in_done,1,in_dnum,"&gt;="&amp;p_from,in_dnum,"&lt;="&amp;p_to))</f>
        <v/>
      </c>
      <c r="T208" s="67" t="str">
        <f>IF(A208="","",SUMIFS(in_stop,in_eq,A208,in_type,"Correctif",in_done,1,in_dnum,"&gt;="&amp;p_from,in_dnum,"&lt;="&amp;p_to))</f>
        <v/>
      </c>
    </row>
    <row r="209">
      <c r="A209" s="67" t="str">
        <f>IF(INDEX(eq_code,198)="","",INDEX(eq_code,198)&amp;"")</f>
        <v/>
      </c>
      <c r="B209" s="67" t="str">
        <f>IF(A209="","",INDEX(eq_des,198)&amp;"")</f>
        <v/>
      </c>
      <c r="C209" s="79" t="str">
        <f>IF(A209="","",INDEX(eq_crit,198)&amp;"")</f>
        <v/>
      </c>
      <c r="D209" s="127" t="str">
        <f>IF(A209="","",IF(MAX(p_from,N(INDEX(eq_start,198)))&gt;p_to,0,ROUND(IF(AND(ISNUMBER(INDEX(eq_hours,198)),N(INDEX(eq_hours,198))&gt;0,N(INDEX(eq_hours,198))&lt;=24),INDEX(eq_hours,198),0)*IF(p_days="7 jours sur 7",p_to-MAX(p_from,N(INDEX(eq_start,198)))+1,NETWORKDAYS.INTL(MAX(p_from,N(INDEX(eq_start,198))),p_to,p_weekend,p_holidays)),2)))</f>
        <v/>
      </c>
      <c r="E209" s="128" t="str">
        <f>IF(A209="","",SUMIFS(in_stop,in_eq,A209,in_done,1,in_dnum,"&gt;="&amp;p_from,in_dnum,"&lt;="&amp;p_to))</f>
        <v/>
      </c>
      <c r="F209" s="129" t="str">
        <f>IF(A209="","",COUNTIFS(in_eq,A209,in_type,"Correctif",in_done,1,in_dnum,"&gt;="&amp;p_from,in_dnum,"&lt;="&amp;p_to))</f>
        <v/>
      </c>
      <c r="G209" s="130" t="str">
        <f>IF(OR(A209="",N(F209)=0),"",MAX(0,D209-E209)/F209)</f>
        <v/>
      </c>
      <c r="H209" s="81" t="str">
        <f>IF(OR(A209="",N(F209)=0),"",S209/F209)</f>
        <v/>
      </c>
      <c r="I209" s="81" t="str">
        <f>IF(OR(A209="",N(F209)=0),"",T209/F209)</f>
        <v/>
      </c>
      <c r="J209" s="131" t="str">
        <f>IF(OR(A209="",N(D209)=0),"",MAX(0,D209-E209)/D209)</f>
        <v/>
      </c>
      <c r="K209" s="128" t="str">
        <f>IF(A209="","",SUMIFS(in_work,in_eq,A209,in_type,"Préventif",in_done,1,in_dnum,"&gt;="&amp;p_from,in_dnum,"&lt;="&amp;p_to))</f>
        <v/>
      </c>
      <c r="L209" s="128" t="str">
        <f>IF(A209="","",SUMIFS(in_work,in_eq,A209,in_type,"Correctif",in_done,1,in_dnum,"&gt;="&amp;p_from,in_dnum,"&lt;="&amp;p_to))</f>
        <v/>
      </c>
      <c r="M209" s="128" t="str">
        <f>IF(A209="","",SUMIFS(in_work,in_eq,A209,in_type,"Amélioratif",in_done,1,in_dnum,"&gt;="&amp;p_from,in_dnum,"&lt;="&amp;p_to))</f>
        <v/>
      </c>
      <c r="N209" s="131" t="str">
        <f>IF(OR(A209="",N(K209)+N(L209)+N(M209)=0),"",K209/(K209+L209+M209))</f>
        <v/>
      </c>
      <c r="O209" s="81" t="str">
        <f>IF(A209="","",SUMIFS(in_parts,in_eq,A209,in_done,1,in_dnum,"&gt;="&amp;p_from,in_dnum,"&lt;="&amp;p_to))</f>
        <v/>
      </c>
      <c r="P209" s="81" t="str">
        <f>IF(A209="","",SUMIFS(in_mo,in_eq,A209,in_done,1,in_dnum,"&gt;="&amp;p_from,in_dnum,"&lt;="&amp;p_to))</f>
        <v/>
      </c>
      <c r="Q209" s="81" t="str">
        <f>IF(A209="","",SUMIFS(in_other,in_eq,A209,in_done,1,in_dnum,"&gt;="&amp;p_from,in_dnum,"&lt;="&amp;p_to))</f>
        <v/>
      </c>
      <c r="R209" s="81" t="str">
        <f>IF(A209="","",SUMIFS(in_total,in_eq,A209,in_done,1,in_dnum,"&gt;="&amp;p_from,in_dnum,"&lt;="&amp;p_to))</f>
        <v/>
      </c>
      <c r="S209" s="67" t="str">
        <f>IF(A209="","",SUMIFS(in_work,in_eq,A209,in_type,"Correctif",in_done,1,in_dnum,"&gt;="&amp;p_from,in_dnum,"&lt;="&amp;p_to))</f>
        <v/>
      </c>
      <c r="T209" s="67" t="str">
        <f>IF(A209="","",SUMIFS(in_stop,in_eq,A209,in_type,"Correctif",in_done,1,in_dnum,"&gt;="&amp;p_from,in_dnum,"&lt;="&amp;p_to))</f>
        <v/>
      </c>
    </row>
    <row r="210">
      <c r="A210" s="67" t="str">
        <f>IF(INDEX(eq_code,199)="","",INDEX(eq_code,199)&amp;"")</f>
        <v/>
      </c>
      <c r="B210" s="67" t="str">
        <f>IF(A210="","",INDEX(eq_des,199)&amp;"")</f>
        <v/>
      </c>
      <c r="C210" s="79" t="str">
        <f>IF(A210="","",INDEX(eq_crit,199)&amp;"")</f>
        <v/>
      </c>
      <c r="D210" s="127" t="str">
        <f>IF(A210="","",IF(MAX(p_from,N(INDEX(eq_start,199)))&gt;p_to,0,ROUND(IF(AND(ISNUMBER(INDEX(eq_hours,199)),N(INDEX(eq_hours,199))&gt;0,N(INDEX(eq_hours,199))&lt;=24),INDEX(eq_hours,199),0)*IF(p_days="7 jours sur 7",p_to-MAX(p_from,N(INDEX(eq_start,199)))+1,NETWORKDAYS.INTL(MAX(p_from,N(INDEX(eq_start,199))),p_to,p_weekend,p_holidays)),2)))</f>
        <v/>
      </c>
      <c r="E210" s="128" t="str">
        <f>IF(A210="","",SUMIFS(in_stop,in_eq,A210,in_done,1,in_dnum,"&gt;="&amp;p_from,in_dnum,"&lt;="&amp;p_to))</f>
        <v/>
      </c>
      <c r="F210" s="129" t="str">
        <f>IF(A210="","",COUNTIFS(in_eq,A210,in_type,"Correctif",in_done,1,in_dnum,"&gt;="&amp;p_from,in_dnum,"&lt;="&amp;p_to))</f>
        <v/>
      </c>
      <c r="G210" s="130" t="str">
        <f>IF(OR(A210="",N(F210)=0),"",MAX(0,D210-E210)/F210)</f>
        <v/>
      </c>
      <c r="H210" s="81" t="str">
        <f>IF(OR(A210="",N(F210)=0),"",S210/F210)</f>
        <v/>
      </c>
      <c r="I210" s="81" t="str">
        <f>IF(OR(A210="",N(F210)=0),"",T210/F210)</f>
        <v/>
      </c>
      <c r="J210" s="131" t="str">
        <f>IF(OR(A210="",N(D210)=0),"",MAX(0,D210-E210)/D210)</f>
        <v/>
      </c>
      <c r="K210" s="128" t="str">
        <f>IF(A210="","",SUMIFS(in_work,in_eq,A210,in_type,"Préventif",in_done,1,in_dnum,"&gt;="&amp;p_from,in_dnum,"&lt;="&amp;p_to))</f>
        <v/>
      </c>
      <c r="L210" s="128" t="str">
        <f>IF(A210="","",SUMIFS(in_work,in_eq,A210,in_type,"Correctif",in_done,1,in_dnum,"&gt;="&amp;p_from,in_dnum,"&lt;="&amp;p_to))</f>
        <v/>
      </c>
      <c r="M210" s="128" t="str">
        <f>IF(A210="","",SUMIFS(in_work,in_eq,A210,in_type,"Amélioratif",in_done,1,in_dnum,"&gt;="&amp;p_from,in_dnum,"&lt;="&amp;p_to))</f>
        <v/>
      </c>
      <c r="N210" s="131" t="str">
        <f>IF(OR(A210="",N(K210)+N(L210)+N(M210)=0),"",K210/(K210+L210+M210))</f>
        <v/>
      </c>
      <c r="O210" s="81" t="str">
        <f>IF(A210="","",SUMIFS(in_parts,in_eq,A210,in_done,1,in_dnum,"&gt;="&amp;p_from,in_dnum,"&lt;="&amp;p_to))</f>
        <v/>
      </c>
      <c r="P210" s="81" t="str">
        <f>IF(A210="","",SUMIFS(in_mo,in_eq,A210,in_done,1,in_dnum,"&gt;="&amp;p_from,in_dnum,"&lt;="&amp;p_to))</f>
        <v/>
      </c>
      <c r="Q210" s="81" t="str">
        <f>IF(A210="","",SUMIFS(in_other,in_eq,A210,in_done,1,in_dnum,"&gt;="&amp;p_from,in_dnum,"&lt;="&amp;p_to))</f>
        <v/>
      </c>
      <c r="R210" s="81" t="str">
        <f>IF(A210="","",SUMIFS(in_total,in_eq,A210,in_done,1,in_dnum,"&gt;="&amp;p_from,in_dnum,"&lt;="&amp;p_to))</f>
        <v/>
      </c>
      <c r="S210" s="67" t="str">
        <f>IF(A210="","",SUMIFS(in_work,in_eq,A210,in_type,"Correctif",in_done,1,in_dnum,"&gt;="&amp;p_from,in_dnum,"&lt;="&amp;p_to))</f>
        <v/>
      </c>
      <c r="T210" s="67" t="str">
        <f>IF(A210="","",SUMIFS(in_stop,in_eq,A210,in_type,"Correctif",in_done,1,in_dnum,"&gt;="&amp;p_from,in_dnum,"&lt;="&amp;p_to))</f>
        <v/>
      </c>
    </row>
    <row r="211">
      <c r="A211" s="67" t="str">
        <f>IF(INDEX(eq_code,200)="","",INDEX(eq_code,200)&amp;"")</f>
        <v/>
      </c>
      <c r="B211" s="67" t="str">
        <f>IF(A211="","",INDEX(eq_des,200)&amp;"")</f>
        <v/>
      </c>
      <c r="C211" s="79" t="str">
        <f>IF(A211="","",INDEX(eq_crit,200)&amp;"")</f>
        <v/>
      </c>
      <c r="D211" s="127" t="str">
        <f>IF(A211="","",IF(MAX(p_from,N(INDEX(eq_start,200)))&gt;p_to,0,ROUND(IF(AND(ISNUMBER(INDEX(eq_hours,200)),N(INDEX(eq_hours,200))&gt;0,N(INDEX(eq_hours,200))&lt;=24),INDEX(eq_hours,200),0)*IF(p_days="7 jours sur 7",p_to-MAX(p_from,N(INDEX(eq_start,200)))+1,NETWORKDAYS.INTL(MAX(p_from,N(INDEX(eq_start,200))),p_to,p_weekend,p_holidays)),2)))</f>
        <v/>
      </c>
      <c r="E211" s="128" t="str">
        <f>IF(A211="","",SUMIFS(in_stop,in_eq,A211,in_done,1,in_dnum,"&gt;="&amp;p_from,in_dnum,"&lt;="&amp;p_to))</f>
        <v/>
      </c>
      <c r="F211" s="129" t="str">
        <f>IF(A211="","",COUNTIFS(in_eq,A211,in_type,"Correctif",in_done,1,in_dnum,"&gt;="&amp;p_from,in_dnum,"&lt;="&amp;p_to))</f>
        <v/>
      </c>
      <c r="G211" s="130" t="str">
        <f>IF(OR(A211="",N(F211)=0),"",MAX(0,D211-E211)/F211)</f>
        <v/>
      </c>
      <c r="H211" s="81" t="str">
        <f>IF(OR(A211="",N(F211)=0),"",S211/F211)</f>
        <v/>
      </c>
      <c r="I211" s="81" t="str">
        <f>IF(OR(A211="",N(F211)=0),"",T211/F211)</f>
        <v/>
      </c>
      <c r="J211" s="131" t="str">
        <f>IF(OR(A211="",N(D211)=0),"",MAX(0,D211-E211)/D211)</f>
        <v/>
      </c>
      <c r="K211" s="128" t="str">
        <f>IF(A211="","",SUMIFS(in_work,in_eq,A211,in_type,"Préventif",in_done,1,in_dnum,"&gt;="&amp;p_from,in_dnum,"&lt;="&amp;p_to))</f>
        <v/>
      </c>
      <c r="L211" s="128" t="str">
        <f>IF(A211="","",SUMIFS(in_work,in_eq,A211,in_type,"Correctif",in_done,1,in_dnum,"&gt;="&amp;p_from,in_dnum,"&lt;="&amp;p_to))</f>
        <v/>
      </c>
      <c r="M211" s="128" t="str">
        <f>IF(A211="","",SUMIFS(in_work,in_eq,A211,in_type,"Amélioratif",in_done,1,in_dnum,"&gt;="&amp;p_from,in_dnum,"&lt;="&amp;p_to))</f>
        <v/>
      </c>
      <c r="N211" s="131" t="str">
        <f>IF(OR(A211="",N(K211)+N(L211)+N(M211)=0),"",K211/(K211+L211+M211))</f>
        <v/>
      </c>
      <c r="O211" s="81" t="str">
        <f>IF(A211="","",SUMIFS(in_parts,in_eq,A211,in_done,1,in_dnum,"&gt;="&amp;p_from,in_dnum,"&lt;="&amp;p_to))</f>
        <v/>
      </c>
      <c r="P211" s="81" t="str">
        <f>IF(A211="","",SUMIFS(in_mo,in_eq,A211,in_done,1,in_dnum,"&gt;="&amp;p_from,in_dnum,"&lt;="&amp;p_to))</f>
        <v/>
      </c>
      <c r="Q211" s="81" t="str">
        <f>IF(A211="","",SUMIFS(in_other,in_eq,A211,in_done,1,in_dnum,"&gt;="&amp;p_from,in_dnum,"&lt;="&amp;p_to))</f>
        <v/>
      </c>
      <c r="R211" s="81" t="str">
        <f>IF(A211="","",SUMIFS(in_total,in_eq,A211,in_done,1,in_dnum,"&gt;="&amp;p_from,in_dnum,"&lt;="&amp;p_to))</f>
        <v/>
      </c>
      <c r="S211" s="67" t="str">
        <f>IF(A211="","",SUMIFS(in_work,in_eq,A211,in_type,"Correctif",in_done,1,in_dnum,"&gt;="&amp;p_from,in_dnum,"&lt;="&amp;p_to))</f>
        <v/>
      </c>
      <c r="T211" s="67" t="str">
        <f>IF(A211="","",SUMIFS(in_stop,in_eq,A211,in_type,"Correctif",in_done,1,in_dnum,"&gt;="&amp;p_from,in_dnum,"&lt;="&amp;p_to))</f>
        <v/>
      </c>
    </row>
  </sheetData>
  <mergeCells count="4">
    <mergeCell ref="G5:R8"/>
    <mergeCell ref="D6:E6"/>
    <mergeCell ref="P1:R1"/>
    <mergeCell ref="D5:E5"/>
  </mergeCells>
  <conditionalFormatting sqref="J11:J211">
    <cfRule type="expression" priority="1" dxfId="3" stopIfTrue="1">
      <formula>AND(ISNUMBER(J11),J11&lt;0.9)</formula>
    </cfRule>
    <cfRule type="expression" priority="2" dxfId="4" stopIfTrue="1">
      <formula>AND(ISNUMBER(J11),J11&lt;0.97)</formula>
    </cfRule>
    <cfRule type="expression" priority="3" dxfId="0">
      <formula>ISNUMBER(J11)</formula>
    </cfRule>
  </conditionalFormatting>
  <conditionalFormatting sqref="N12:N211">
    <cfRule type="dataBar" priority="4">
      <dataBar showValue="1">
        <cfvo type="num" val="0"/>
        <cfvo type="num" val="1"/>
        <color rgb="0016A34A"/>
      </dataBar>
    </cfRule>
  </conditionalFormatting>
  <conditionalFormatting sqref="C12:C211">
    <cfRule type="expression" priority="5" dxfId="3">
      <formula>$C12="A"</formula>
    </cfRule>
    <cfRule type="expression" priority="6" dxfId="4">
      <formula>$C12="B"</formula>
    </cfRule>
    <cfRule type="expression" priority="7" dxfId="5">
      <formula>$C12="C"</formula>
    </cfRule>
  </conditionalFormatting>
  <conditionalFormatting sqref="O12:O211">
    <cfRule type="expression" priority="8" dxfId="11">
      <formula>p_currency="MAD"</formula>
    </cfRule>
    <cfRule type="expression" priority="16" dxfId="12">
      <formula>p_currency="EUR"</formula>
    </cfRule>
    <cfRule type="expression" priority="24" dxfId="13">
      <formula>p_currency="USD"</formula>
    </cfRule>
  </conditionalFormatting>
  <conditionalFormatting sqref="P12:P211">
    <cfRule type="expression" priority="9" dxfId="11">
      <formula>p_currency="MAD"</formula>
    </cfRule>
    <cfRule type="expression" priority="17" dxfId="12">
      <formula>p_currency="EUR"</formula>
    </cfRule>
    <cfRule type="expression" priority="25" dxfId="13">
      <formula>p_currency="USD"</formula>
    </cfRule>
  </conditionalFormatting>
  <conditionalFormatting sqref="Q12:Q211">
    <cfRule type="expression" priority="10" dxfId="11">
      <formula>p_currency="MAD"</formula>
    </cfRule>
    <cfRule type="expression" priority="18" dxfId="12">
      <formula>p_currency="EUR"</formula>
    </cfRule>
    <cfRule type="expression" priority="26" dxfId="13">
      <formula>p_currency="USD"</formula>
    </cfRule>
  </conditionalFormatting>
  <conditionalFormatting sqref="R12:R211">
    <cfRule type="expression" priority="11" dxfId="11">
      <formula>p_currency="MAD"</formula>
    </cfRule>
    <cfRule type="expression" priority="19" dxfId="12">
      <formula>p_currency="EUR"</formula>
    </cfRule>
    <cfRule type="expression" priority="27" dxfId="13">
      <formula>p_currency="USD"</formula>
    </cfRule>
  </conditionalFormatting>
  <conditionalFormatting sqref="O11">
    <cfRule type="expression" priority="12" dxfId="11">
      <formula>p_currency="MAD"</formula>
    </cfRule>
    <cfRule type="expression" priority="20" dxfId="12">
      <formula>p_currency="EUR"</formula>
    </cfRule>
    <cfRule type="expression" priority="28" dxfId="13">
      <formula>p_currency="USD"</formula>
    </cfRule>
  </conditionalFormatting>
  <conditionalFormatting sqref="P11">
    <cfRule type="expression" priority="13" dxfId="11">
      <formula>p_currency="MAD"</formula>
    </cfRule>
    <cfRule type="expression" priority="21" dxfId="12">
      <formula>p_currency="EUR"</formula>
    </cfRule>
    <cfRule type="expression" priority="29" dxfId="13">
      <formula>p_currency="USD"</formula>
    </cfRule>
  </conditionalFormatting>
  <conditionalFormatting sqref="Q11">
    <cfRule type="expression" priority="14" dxfId="11">
      <formula>p_currency="MAD"</formula>
    </cfRule>
    <cfRule type="expression" priority="22" dxfId="12">
      <formula>p_currency="EUR"</formula>
    </cfRule>
    <cfRule type="expression" priority="30" dxfId="13">
      <formula>p_currency="USD"</formula>
    </cfRule>
  </conditionalFormatting>
  <conditionalFormatting sqref="R11">
    <cfRule type="expression" priority="15" dxfId="11">
      <formula>p_currency="MAD"</formula>
    </cfRule>
    <cfRule type="expression" priority="23" dxfId="12">
      <formula>p_currency="EUR"</formula>
    </cfRule>
    <cfRule type="expression" priority="31" dxfId="13">
      <formula>p_currency="USD"</formula>
    </cfRule>
  </conditionalFormatting>
  <dataValidations count="2">
    <dataValidation sqref="B5" showDropDown="0" showInputMessage="1" showErrorMessage="1" allowBlank="1" errorTitle="Début" error="Facultatif. Vide = 1er janvier de l'année de la date de situation." promptTitle="Début" prompt="Facultatif. Vide = 1er janvier de l'année de la date de situation." type="date" operator="between">
      <formula1>36526</formula1>
      <formula2>73051</formula2>
    </dataValidation>
    <dataValidation sqref="B6" showDropDown="0" showInputMessage="1" showErrorMessage="1" allowBlank="1" errorTitle="Fin" error="Facultatif. Vide = date de situation." promptTitle="Fin" prompt="Facultatif. Vide = date de situation." type="date" operator="between">
      <formula1>36526</formula1>
      <formula2>73051</formula2>
    </dataValidation>
  </dataValidations>
  <hyperlinks>
    <hyperlink ref="P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FF334155"/>
    <outlinePr summaryBelow="1" summaryRight="1"/>
    <pageSetUpPr fitToPage="1"/>
  </sheetPr>
  <dimension ref="A1:P205"/>
  <sheetViews>
    <sheetView showGridLines="0" tabSelected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4" customWidth="1" min="4" max="4"/>
    <col width="9" customWidth="1" min="5" max="5"/>
    <col width="12" customWidth="1" min="6" max="6"/>
    <col width="11" customWidth="1" min="7" max="7"/>
    <col width="11" customWidth="1" min="8" max="8"/>
    <col width="13" customWidth="1" min="9" max="9"/>
    <col width="12" customWidth="1" min="10" max="10"/>
    <col width="13" customWidth="1" min="11" max="11"/>
    <col width="9" customWidth="1" min="12" max="12"/>
    <col width="9" customWidth="1" min="13" max="13"/>
    <col width="12" customWidth="1" min="14" max="14"/>
    <col width="14" customWidth="1" min="15" max="15"/>
    <col width="28" customWidth="1" min="16" max="16"/>
  </cols>
  <sheetData>
    <row r="1" ht="38" customHeight="1">
      <c r="A1" s="2" t="inlineStr">
        <is>
          <t>Équipements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8" t="inlineStr">
        <is>
          <t>⌂ Mode d'emploi</t>
        </is>
      </c>
    </row>
    <row r="2" ht="22" customHeight="1">
      <c r="A2" s="4" t="inlineStr">
        <is>
          <t>Une ligne par machine ou installation. Le compteur et l'usage par semaine servent aux plans au compteur.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</row>
    <row r="3" ht="18" customHeight="1">
      <c r="O3" s="16" t="inlineStr">
        <is>
          <t>Saisie</t>
        </is>
      </c>
      <c r="P3" s="17" t="inlineStr">
        <is>
          <t>Calcul auto</t>
        </is>
      </c>
    </row>
    <row r="5" ht="44" customHeight="1">
      <c r="A5" s="43" t="inlineStr">
        <is>
          <t>Code</t>
        </is>
      </c>
      <c r="B5" s="43" t="inlineStr">
        <is>
          <t>Désignation</t>
        </is>
      </c>
      <c r="C5" s="43" t="inlineStr">
        <is>
          <t>Fabricant / modèle</t>
        </is>
      </c>
      <c r="D5" s="43" t="inlineStr">
        <is>
          <t>Atelier</t>
        </is>
      </c>
      <c r="E5" s="43" t="inlineStr">
        <is>
          <t>Criticité</t>
        </is>
      </c>
      <c r="F5" s="43" t="inlineStr">
        <is>
          <t>Mise en service</t>
        </is>
      </c>
      <c r="G5" s="43" t="inlineStr">
        <is>
          <t>Heures d'ouverture / jour</t>
        </is>
      </c>
      <c r="H5" s="43" t="inlineStr">
        <is>
          <t>Unité de compteur</t>
        </is>
      </c>
      <c r="I5" s="43" t="inlineStr">
        <is>
          <t>Dernier relevé du compteur</t>
        </is>
      </c>
      <c r="J5" s="43" t="inlineStr">
        <is>
          <t>Usage moyen / semaine</t>
        </is>
      </c>
      <c r="K5" s="43" t="inlineStr">
        <is>
          <t>Compteur retenu</t>
        </is>
      </c>
      <c r="L5" s="43" t="inlineStr">
        <is>
          <t>Plans actifs</t>
        </is>
      </c>
      <c r="M5" s="43" t="inlineStr">
        <is>
          <t>Plans en retard</t>
        </is>
      </c>
      <c r="N5" s="43" t="inlineStr">
        <is>
          <t>Dernière panne</t>
        </is>
      </c>
      <c r="O5" s="43" t="inlineStr">
        <is>
          <t>Coût cumulé</t>
        </is>
      </c>
      <c r="P5" s="43" t="inlineStr">
        <is>
          <t>Contrôle</t>
        </is>
      </c>
    </row>
    <row r="6">
      <c r="A6" s="65" t="n"/>
      <c r="B6" s="66" t="n"/>
      <c r="C6" s="66" t="n"/>
      <c r="D6" s="66" t="n"/>
      <c r="E6" s="68" t="n"/>
      <c r="F6" s="72" t="n"/>
      <c r="G6" s="71" t="n"/>
      <c r="H6" s="68" t="n"/>
      <c r="I6" s="73" t="n"/>
      <c r="J6" s="73" t="n"/>
      <c r="K6" s="75" t="str">
        <f>IF(A6="","",MAX(N(I6),SUMPRODUCT(MAX((in_eq=A6)*in_done*in_cnum))))</f>
        <v/>
      </c>
      <c r="L6" s="132" t="str">
        <f>IF(A6="","",COUNTIFS(pl_eq,A6,pl_status,"&lt;&gt;Inactif"))</f>
        <v/>
      </c>
      <c r="M6" s="132" t="str">
        <f>IF(A6="","",COUNTIFS(pl_eq,A6,pl_status,"En retard"))</f>
        <v/>
      </c>
      <c r="N6" s="74" t="str">
        <f>IF(A6="","",SUMPRODUCT(MAX((in_eq=A6)*in_done*(in_type="Correctif")*in_dnum)))</f>
        <v/>
      </c>
      <c r="O6" s="81" t="str">
        <f>IF(A6="","",SUMIFS(in_total,in_eq,A6,in_done,1))</f>
        <v/>
      </c>
      <c r="P6" s="79" t="str">
        <f>IF(COUNTA(A6:J6)=0,"",IF(A6="","Code manquant",IF(COUNTIF($A$6:$A$205,A6)&gt;1,"Code en double",IF(B6="","Désignation manquante",IF(AND(E6&lt;&gt;"",E6&lt;&gt;"A",E6&lt;&gt;"B",E6&lt;&gt;"C"),"Criticité : A, B ou C",IF(AND(F6&lt;&gt;"",OR(NOT(ISNUMBER(F6)),N(F6)&lt;=0)),"Mise en service invalide",IF(AND(G6&lt;&gt;"",OR(NOT(ISNUMBER(G6)),N(G6)&lt;0,N(G6)&gt;24)),"Heures d'ouverture entre 0 et 24",IF(AND(I6&lt;&gt;"",OR(NOT(ISNUMBER(I6)),N(I6)&lt;0)),"Relevé du compteur invalide",IF(AND(J6&lt;&gt;"",OR(NOT(ISNUMBER(J6)),N(J6)&lt;0)),"Usage par semaine invalide","OK")))))))))</f>
        <v/>
      </c>
    </row>
    <row r="7">
      <c r="A7" s="65" t="n"/>
      <c r="B7" s="66" t="n"/>
      <c r="C7" s="66" t="n"/>
      <c r="D7" s="66" t="n"/>
      <c r="E7" s="68" t="n"/>
      <c r="F7" s="72" t="n"/>
      <c r="G7" s="71" t="n"/>
      <c r="H7" s="68" t="n"/>
      <c r="I7" s="73" t="n"/>
      <c r="J7" s="73" t="n"/>
      <c r="K7" s="75" t="str">
        <f>IF(A7="","",MAX(N(I7),SUMPRODUCT(MAX((in_eq=A7)*in_done*in_cnum))))</f>
        <v/>
      </c>
      <c r="L7" s="132" t="str">
        <f>IF(A7="","",COUNTIFS(pl_eq,A7,pl_status,"&lt;&gt;Inactif"))</f>
        <v/>
      </c>
      <c r="M7" s="132" t="str">
        <f>IF(A7="","",COUNTIFS(pl_eq,A7,pl_status,"En retard"))</f>
        <v/>
      </c>
      <c r="N7" s="74" t="str">
        <f>IF(A7="","",SUMPRODUCT(MAX((in_eq=A7)*in_done*(in_type="Correctif")*in_dnum)))</f>
        <v/>
      </c>
      <c r="O7" s="81" t="str">
        <f>IF(A7="","",SUMIFS(in_total,in_eq,A7,in_done,1))</f>
        <v/>
      </c>
      <c r="P7" s="79" t="str">
        <f>IF(COUNTA(A7:J7)=0,"",IF(A7="","Code manquant",IF(COUNTIF($A$6:$A$205,A7)&gt;1,"Code en double",IF(B7="","Désignation manquante",IF(AND(E7&lt;&gt;"",E7&lt;&gt;"A",E7&lt;&gt;"B",E7&lt;&gt;"C"),"Criticité : A, B ou C",IF(AND(F7&lt;&gt;"",OR(NOT(ISNUMBER(F7)),N(F7)&lt;=0)),"Mise en service invalide",IF(AND(G7&lt;&gt;"",OR(NOT(ISNUMBER(G7)),N(G7)&lt;0,N(G7)&gt;24)),"Heures d'ouverture entre 0 et 24",IF(AND(I7&lt;&gt;"",OR(NOT(ISNUMBER(I7)),N(I7)&lt;0)),"Relevé du compteur invalide",IF(AND(J7&lt;&gt;"",OR(NOT(ISNUMBER(J7)),N(J7)&lt;0)),"Usage par semaine invalide","OK")))))))))</f>
        <v/>
      </c>
    </row>
    <row r="8">
      <c r="A8" s="65" t="n"/>
      <c r="B8" s="66" t="n"/>
      <c r="C8" s="66" t="n"/>
      <c r="D8" s="66" t="n"/>
      <c r="E8" s="68" t="n"/>
      <c r="F8" s="72" t="n"/>
      <c r="G8" s="71" t="n"/>
      <c r="H8" s="68" t="n"/>
      <c r="I8" s="73" t="n"/>
      <c r="J8" s="73" t="n"/>
      <c r="K8" s="75" t="str">
        <f>IF(A8="","",MAX(N(I8),SUMPRODUCT(MAX((in_eq=A8)*in_done*in_cnum))))</f>
        <v/>
      </c>
      <c r="L8" s="132" t="str">
        <f>IF(A8="","",COUNTIFS(pl_eq,A8,pl_status,"&lt;&gt;Inactif"))</f>
        <v/>
      </c>
      <c r="M8" s="132" t="str">
        <f>IF(A8="","",COUNTIFS(pl_eq,A8,pl_status,"En retard"))</f>
        <v/>
      </c>
      <c r="N8" s="74" t="str">
        <f>IF(A8="","",SUMPRODUCT(MAX((in_eq=A8)*in_done*(in_type="Correctif")*in_dnum)))</f>
        <v/>
      </c>
      <c r="O8" s="81" t="str">
        <f>IF(A8="","",SUMIFS(in_total,in_eq,A8,in_done,1))</f>
        <v/>
      </c>
      <c r="P8" s="79" t="str">
        <f>IF(COUNTA(A8:J8)=0,"",IF(A8="","Code manquant",IF(COUNTIF($A$6:$A$205,A8)&gt;1,"Code en double",IF(B8="","Désignation manquante",IF(AND(E8&lt;&gt;"",E8&lt;&gt;"A",E8&lt;&gt;"B",E8&lt;&gt;"C"),"Criticité : A, B ou C",IF(AND(F8&lt;&gt;"",OR(NOT(ISNUMBER(F8)),N(F8)&lt;=0)),"Mise en service invalide",IF(AND(G8&lt;&gt;"",OR(NOT(ISNUMBER(G8)),N(G8)&lt;0,N(G8)&gt;24)),"Heures d'ouverture entre 0 et 24",IF(AND(I8&lt;&gt;"",OR(NOT(ISNUMBER(I8)),N(I8)&lt;0)),"Relevé du compteur invalide",IF(AND(J8&lt;&gt;"",OR(NOT(ISNUMBER(J8)),N(J8)&lt;0)),"Usage par semaine invalide","OK")))))))))</f>
        <v/>
      </c>
    </row>
    <row r="9">
      <c r="A9" s="65" t="n"/>
      <c r="B9" s="66" t="n"/>
      <c r="C9" s="66" t="n"/>
      <c r="D9" s="66" t="n"/>
      <c r="E9" s="68" t="n"/>
      <c r="F9" s="72" t="n"/>
      <c r="G9" s="71" t="n"/>
      <c r="H9" s="68" t="n"/>
      <c r="I9" s="73" t="n"/>
      <c r="J9" s="73" t="n"/>
      <c r="K9" s="75" t="str">
        <f>IF(A9="","",MAX(N(I9),SUMPRODUCT(MAX((in_eq=A9)*in_done*in_cnum))))</f>
        <v/>
      </c>
      <c r="L9" s="132" t="str">
        <f>IF(A9="","",COUNTIFS(pl_eq,A9,pl_status,"&lt;&gt;Inactif"))</f>
        <v/>
      </c>
      <c r="M9" s="132" t="str">
        <f>IF(A9="","",COUNTIFS(pl_eq,A9,pl_status,"En retard"))</f>
        <v/>
      </c>
      <c r="N9" s="74" t="str">
        <f>IF(A9="","",SUMPRODUCT(MAX((in_eq=A9)*in_done*(in_type="Correctif")*in_dnum)))</f>
        <v/>
      </c>
      <c r="O9" s="81" t="str">
        <f>IF(A9="","",SUMIFS(in_total,in_eq,A9,in_done,1))</f>
        <v/>
      </c>
      <c r="P9" s="79" t="str">
        <f>IF(COUNTA(A9:J9)=0,"",IF(A9="","Code manquant",IF(COUNTIF($A$6:$A$205,A9)&gt;1,"Code en double",IF(B9="","Désignation manquante",IF(AND(E9&lt;&gt;"",E9&lt;&gt;"A",E9&lt;&gt;"B",E9&lt;&gt;"C"),"Criticité : A, B ou C",IF(AND(F9&lt;&gt;"",OR(NOT(ISNUMBER(F9)),N(F9)&lt;=0)),"Mise en service invalide",IF(AND(G9&lt;&gt;"",OR(NOT(ISNUMBER(G9)),N(G9)&lt;0,N(G9)&gt;24)),"Heures d'ouverture entre 0 et 24",IF(AND(I9&lt;&gt;"",OR(NOT(ISNUMBER(I9)),N(I9)&lt;0)),"Relevé du compteur invalide",IF(AND(J9&lt;&gt;"",OR(NOT(ISNUMBER(J9)),N(J9)&lt;0)),"Usage par semaine invalide","OK")))))))))</f>
        <v/>
      </c>
    </row>
    <row r="10">
      <c r="A10" s="65" t="n"/>
      <c r="B10" s="66" t="n"/>
      <c r="C10" s="66" t="n"/>
      <c r="D10" s="66" t="n"/>
      <c r="E10" s="68" t="n"/>
      <c r="F10" s="72" t="n"/>
      <c r="G10" s="71" t="n"/>
      <c r="H10" s="68" t="n"/>
      <c r="I10" s="73" t="n"/>
      <c r="J10" s="73" t="n"/>
      <c r="K10" s="75" t="str">
        <f>IF(A10="","",MAX(N(I10),SUMPRODUCT(MAX((in_eq=A10)*in_done*in_cnum))))</f>
        <v/>
      </c>
      <c r="L10" s="132" t="str">
        <f>IF(A10="","",COUNTIFS(pl_eq,A10,pl_status,"&lt;&gt;Inactif"))</f>
        <v/>
      </c>
      <c r="M10" s="132" t="str">
        <f>IF(A10="","",COUNTIFS(pl_eq,A10,pl_status,"En retard"))</f>
        <v/>
      </c>
      <c r="N10" s="74" t="str">
        <f>IF(A10="","",SUMPRODUCT(MAX((in_eq=A10)*in_done*(in_type="Correctif")*in_dnum)))</f>
        <v/>
      </c>
      <c r="O10" s="81" t="str">
        <f>IF(A10="","",SUMIFS(in_total,in_eq,A10,in_done,1))</f>
        <v/>
      </c>
      <c r="P10" s="79" t="str">
        <f>IF(COUNTA(A10:J10)=0,"",IF(A10="","Code manquant",IF(COUNTIF($A$6:$A$205,A10)&gt;1,"Code en double",IF(B10="","Désignation manquante",IF(AND(E10&lt;&gt;"",E10&lt;&gt;"A",E10&lt;&gt;"B",E10&lt;&gt;"C"),"Criticité : A, B ou C",IF(AND(F10&lt;&gt;"",OR(NOT(ISNUMBER(F10)),N(F10)&lt;=0)),"Mise en service invalide",IF(AND(G10&lt;&gt;"",OR(NOT(ISNUMBER(G10)),N(G10)&lt;0,N(G10)&gt;24)),"Heures d'ouverture entre 0 et 24",IF(AND(I10&lt;&gt;"",OR(NOT(ISNUMBER(I10)),N(I10)&lt;0)),"Relevé du compteur invalide",IF(AND(J10&lt;&gt;"",OR(NOT(ISNUMBER(J10)),N(J10)&lt;0)),"Usage par semaine invalide","OK")))))))))</f>
        <v/>
      </c>
    </row>
    <row r="11">
      <c r="A11" s="65" t="n"/>
      <c r="B11" s="66" t="n"/>
      <c r="C11" s="66" t="n"/>
      <c r="D11" s="66" t="n"/>
      <c r="E11" s="68" t="n"/>
      <c r="F11" s="72" t="n"/>
      <c r="G11" s="71" t="n"/>
      <c r="H11" s="68" t="n"/>
      <c r="I11" s="73" t="n"/>
      <c r="J11" s="73" t="n"/>
      <c r="K11" s="75" t="str">
        <f>IF(A11="","",MAX(N(I11),SUMPRODUCT(MAX((in_eq=A11)*in_done*in_cnum))))</f>
        <v/>
      </c>
      <c r="L11" s="132" t="str">
        <f>IF(A11="","",COUNTIFS(pl_eq,A11,pl_status,"&lt;&gt;Inactif"))</f>
        <v/>
      </c>
      <c r="M11" s="132" t="str">
        <f>IF(A11="","",COUNTIFS(pl_eq,A11,pl_status,"En retard"))</f>
        <v/>
      </c>
      <c r="N11" s="74" t="str">
        <f>IF(A11="","",SUMPRODUCT(MAX((in_eq=A11)*in_done*(in_type="Correctif")*in_dnum)))</f>
        <v/>
      </c>
      <c r="O11" s="81" t="str">
        <f>IF(A11="","",SUMIFS(in_total,in_eq,A11,in_done,1))</f>
        <v/>
      </c>
      <c r="P11" s="79" t="str">
        <f>IF(COUNTA(A11:J11)=0,"",IF(A11="","Code manquant",IF(COUNTIF($A$6:$A$205,A11)&gt;1,"Code en double",IF(B11="","Désignation manquante",IF(AND(E11&lt;&gt;"",E11&lt;&gt;"A",E11&lt;&gt;"B",E11&lt;&gt;"C"),"Criticité : A, B ou C",IF(AND(F11&lt;&gt;"",OR(NOT(ISNUMBER(F11)),N(F11)&lt;=0)),"Mise en service invalide",IF(AND(G11&lt;&gt;"",OR(NOT(ISNUMBER(G11)),N(G11)&lt;0,N(G11)&gt;24)),"Heures d'ouverture entre 0 et 24",IF(AND(I11&lt;&gt;"",OR(NOT(ISNUMBER(I11)),N(I11)&lt;0)),"Relevé du compteur invalide",IF(AND(J11&lt;&gt;"",OR(NOT(ISNUMBER(J11)),N(J11)&lt;0)),"Usage par semaine invalide","OK")))))))))</f>
        <v/>
      </c>
    </row>
    <row r="12">
      <c r="A12" s="65" t="n"/>
      <c r="B12" s="66" t="n"/>
      <c r="C12" s="66" t="n"/>
      <c r="D12" s="66" t="n"/>
      <c r="E12" s="68" t="n"/>
      <c r="F12" s="72" t="n"/>
      <c r="G12" s="71" t="n"/>
      <c r="H12" s="68" t="n"/>
      <c r="I12" s="73" t="n"/>
      <c r="J12" s="73" t="n"/>
      <c r="K12" s="75" t="str">
        <f>IF(A12="","",MAX(N(I12),SUMPRODUCT(MAX((in_eq=A12)*in_done*in_cnum))))</f>
        <v/>
      </c>
      <c r="L12" s="132" t="str">
        <f>IF(A12="","",COUNTIFS(pl_eq,A12,pl_status,"&lt;&gt;Inactif"))</f>
        <v/>
      </c>
      <c r="M12" s="132" t="str">
        <f>IF(A12="","",COUNTIFS(pl_eq,A12,pl_status,"En retard"))</f>
        <v/>
      </c>
      <c r="N12" s="74" t="str">
        <f>IF(A12="","",SUMPRODUCT(MAX((in_eq=A12)*in_done*(in_type="Correctif")*in_dnum)))</f>
        <v/>
      </c>
      <c r="O12" s="81" t="str">
        <f>IF(A12="","",SUMIFS(in_total,in_eq,A12,in_done,1))</f>
        <v/>
      </c>
      <c r="P12" s="79" t="str">
        <f>IF(COUNTA(A12:J12)=0,"",IF(A12="","Code manquant",IF(COUNTIF($A$6:$A$205,A12)&gt;1,"Code en double",IF(B12="","Désignation manquante",IF(AND(E12&lt;&gt;"",E12&lt;&gt;"A",E12&lt;&gt;"B",E12&lt;&gt;"C"),"Criticité : A, B ou C",IF(AND(F12&lt;&gt;"",OR(NOT(ISNUMBER(F12)),N(F12)&lt;=0)),"Mise en service invalide",IF(AND(G12&lt;&gt;"",OR(NOT(ISNUMBER(G12)),N(G12)&lt;0,N(G12)&gt;24)),"Heures d'ouverture entre 0 et 24",IF(AND(I12&lt;&gt;"",OR(NOT(ISNUMBER(I12)),N(I12)&lt;0)),"Relevé du compteur invalide",IF(AND(J12&lt;&gt;"",OR(NOT(ISNUMBER(J12)),N(J12)&lt;0)),"Usage par semaine invalide","OK")))))))))</f>
        <v/>
      </c>
    </row>
    <row r="13">
      <c r="A13" s="65" t="n"/>
      <c r="B13" s="66" t="n"/>
      <c r="C13" s="66" t="n"/>
      <c r="D13" s="66" t="n"/>
      <c r="E13" s="68" t="n"/>
      <c r="F13" s="72" t="n"/>
      <c r="G13" s="71" t="n"/>
      <c r="H13" s="68" t="n"/>
      <c r="I13" s="73" t="n"/>
      <c r="J13" s="73" t="n"/>
      <c r="K13" s="75" t="str">
        <f>IF(A13="","",MAX(N(I13),SUMPRODUCT(MAX((in_eq=A13)*in_done*in_cnum))))</f>
        <v/>
      </c>
      <c r="L13" s="132" t="str">
        <f>IF(A13="","",COUNTIFS(pl_eq,A13,pl_status,"&lt;&gt;Inactif"))</f>
        <v/>
      </c>
      <c r="M13" s="132" t="str">
        <f>IF(A13="","",COUNTIFS(pl_eq,A13,pl_status,"En retard"))</f>
        <v/>
      </c>
      <c r="N13" s="74" t="str">
        <f>IF(A13="","",SUMPRODUCT(MAX((in_eq=A13)*in_done*(in_type="Correctif")*in_dnum)))</f>
        <v/>
      </c>
      <c r="O13" s="81" t="str">
        <f>IF(A13="","",SUMIFS(in_total,in_eq,A13,in_done,1))</f>
        <v/>
      </c>
      <c r="P13" s="79" t="str">
        <f>IF(COUNTA(A13:J13)=0,"",IF(A13="","Code manquant",IF(COUNTIF($A$6:$A$205,A13)&gt;1,"Code en double",IF(B13="","Désignation manquante",IF(AND(E13&lt;&gt;"",E13&lt;&gt;"A",E13&lt;&gt;"B",E13&lt;&gt;"C"),"Criticité : A, B ou C",IF(AND(F13&lt;&gt;"",OR(NOT(ISNUMBER(F13)),N(F13)&lt;=0)),"Mise en service invalide",IF(AND(G13&lt;&gt;"",OR(NOT(ISNUMBER(G13)),N(G13)&lt;0,N(G13)&gt;24)),"Heures d'ouverture entre 0 et 24",IF(AND(I13&lt;&gt;"",OR(NOT(ISNUMBER(I13)),N(I13)&lt;0)),"Relevé du compteur invalide",IF(AND(J13&lt;&gt;"",OR(NOT(ISNUMBER(J13)),N(J13)&lt;0)),"Usage par semaine invalide","OK")))))))))</f>
        <v/>
      </c>
    </row>
    <row r="14">
      <c r="A14" s="65" t="n"/>
      <c r="B14" s="66" t="n"/>
      <c r="C14" s="66" t="n"/>
      <c r="D14" s="66" t="n"/>
      <c r="E14" s="68" t="n"/>
      <c r="F14" s="72" t="n"/>
      <c r="G14" s="71" t="n"/>
      <c r="H14" s="68" t="n"/>
      <c r="I14" s="73" t="n"/>
      <c r="J14" s="73" t="n"/>
      <c r="K14" s="75" t="str">
        <f>IF(A14="","",MAX(N(I14),SUMPRODUCT(MAX((in_eq=A14)*in_done*in_cnum))))</f>
        <v/>
      </c>
      <c r="L14" s="132" t="str">
        <f>IF(A14="","",COUNTIFS(pl_eq,A14,pl_status,"&lt;&gt;Inactif"))</f>
        <v/>
      </c>
      <c r="M14" s="132" t="str">
        <f>IF(A14="","",COUNTIFS(pl_eq,A14,pl_status,"En retard"))</f>
        <v/>
      </c>
      <c r="N14" s="74" t="str">
        <f>IF(A14="","",SUMPRODUCT(MAX((in_eq=A14)*in_done*(in_type="Correctif")*in_dnum)))</f>
        <v/>
      </c>
      <c r="O14" s="81" t="str">
        <f>IF(A14="","",SUMIFS(in_total,in_eq,A14,in_done,1))</f>
        <v/>
      </c>
      <c r="P14" s="79" t="str">
        <f>IF(COUNTA(A14:J14)=0,"",IF(A14="","Code manquant",IF(COUNTIF($A$6:$A$205,A14)&gt;1,"Code en double",IF(B14="","Désignation manquante",IF(AND(E14&lt;&gt;"",E14&lt;&gt;"A",E14&lt;&gt;"B",E14&lt;&gt;"C"),"Criticité : A, B ou C",IF(AND(F14&lt;&gt;"",OR(NOT(ISNUMBER(F14)),N(F14)&lt;=0)),"Mise en service invalide",IF(AND(G14&lt;&gt;"",OR(NOT(ISNUMBER(G14)),N(G14)&lt;0,N(G14)&gt;24)),"Heures d'ouverture entre 0 et 24",IF(AND(I14&lt;&gt;"",OR(NOT(ISNUMBER(I14)),N(I14)&lt;0)),"Relevé du compteur invalide",IF(AND(J14&lt;&gt;"",OR(NOT(ISNUMBER(J14)),N(J14)&lt;0)),"Usage par semaine invalide","OK")))))))))</f>
        <v/>
      </c>
    </row>
    <row r="15">
      <c r="A15" s="65" t="n"/>
      <c r="B15" s="66" t="n"/>
      <c r="C15" s="66" t="n"/>
      <c r="D15" s="66" t="n"/>
      <c r="E15" s="68" t="n"/>
      <c r="F15" s="72" t="n"/>
      <c r="G15" s="71" t="n"/>
      <c r="H15" s="68" t="n"/>
      <c r="I15" s="73" t="n"/>
      <c r="J15" s="73" t="n"/>
      <c r="K15" s="75" t="str">
        <f>IF(A15="","",MAX(N(I15),SUMPRODUCT(MAX((in_eq=A15)*in_done*in_cnum))))</f>
        <v/>
      </c>
      <c r="L15" s="132" t="str">
        <f>IF(A15="","",COUNTIFS(pl_eq,A15,pl_status,"&lt;&gt;Inactif"))</f>
        <v/>
      </c>
      <c r="M15" s="132" t="str">
        <f>IF(A15="","",COUNTIFS(pl_eq,A15,pl_status,"En retard"))</f>
        <v/>
      </c>
      <c r="N15" s="74" t="str">
        <f>IF(A15="","",SUMPRODUCT(MAX((in_eq=A15)*in_done*(in_type="Correctif")*in_dnum)))</f>
        <v/>
      </c>
      <c r="O15" s="81" t="str">
        <f>IF(A15="","",SUMIFS(in_total,in_eq,A15,in_done,1))</f>
        <v/>
      </c>
      <c r="P15" s="79" t="str">
        <f>IF(COUNTA(A15:J15)=0,"",IF(A15="","Code manquant",IF(COUNTIF($A$6:$A$205,A15)&gt;1,"Code en double",IF(B15="","Désignation manquante",IF(AND(E15&lt;&gt;"",E15&lt;&gt;"A",E15&lt;&gt;"B",E15&lt;&gt;"C"),"Criticité : A, B ou C",IF(AND(F15&lt;&gt;"",OR(NOT(ISNUMBER(F15)),N(F15)&lt;=0)),"Mise en service invalide",IF(AND(G15&lt;&gt;"",OR(NOT(ISNUMBER(G15)),N(G15)&lt;0,N(G15)&gt;24)),"Heures d'ouverture entre 0 et 24",IF(AND(I15&lt;&gt;"",OR(NOT(ISNUMBER(I15)),N(I15)&lt;0)),"Relevé du compteur invalide",IF(AND(J15&lt;&gt;"",OR(NOT(ISNUMBER(J15)),N(J15)&lt;0)),"Usage par semaine invalide","OK")))))))))</f>
        <v/>
      </c>
    </row>
    <row r="16">
      <c r="A16" s="65" t="n"/>
      <c r="B16" s="66" t="n"/>
      <c r="C16" s="66" t="n"/>
      <c r="D16" s="66" t="n"/>
      <c r="E16" s="68" t="n"/>
      <c r="F16" s="72" t="n"/>
      <c r="G16" s="71" t="n"/>
      <c r="H16" s="68" t="n"/>
      <c r="I16" s="73" t="n"/>
      <c r="J16" s="73" t="n"/>
      <c r="K16" s="75" t="str">
        <f>IF(A16="","",MAX(N(I16),SUMPRODUCT(MAX((in_eq=A16)*in_done*in_cnum))))</f>
        <v/>
      </c>
      <c r="L16" s="132" t="str">
        <f>IF(A16="","",COUNTIFS(pl_eq,A16,pl_status,"&lt;&gt;Inactif"))</f>
        <v/>
      </c>
      <c r="M16" s="132" t="str">
        <f>IF(A16="","",COUNTIFS(pl_eq,A16,pl_status,"En retard"))</f>
        <v/>
      </c>
      <c r="N16" s="74" t="str">
        <f>IF(A16="","",SUMPRODUCT(MAX((in_eq=A16)*in_done*(in_type="Correctif")*in_dnum)))</f>
        <v/>
      </c>
      <c r="O16" s="81" t="str">
        <f>IF(A16="","",SUMIFS(in_total,in_eq,A16,in_done,1))</f>
        <v/>
      </c>
      <c r="P16" s="79" t="str">
        <f>IF(COUNTA(A16:J16)=0,"",IF(A16="","Code manquant",IF(COUNTIF($A$6:$A$205,A16)&gt;1,"Code en double",IF(B16="","Désignation manquante",IF(AND(E16&lt;&gt;"",E16&lt;&gt;"A",E16&lt;&gt;"B",E16&lt;&gt;"C"),"Criticité : A, B ou C",IF(AND(F16&lt;&gt;"",OR(NOT(ISNUMBER(F16)),N(F16)&lt;=0)),"Mise en service invalide",IF(AND(G16&lt;&gt;"",OR(NOT(ISNUMBER(G16)),N(G16)&lt;0,N(G16)&gt;24)),"Heures d'ouverture entre 0 et 24",IF(AND(I16&lt;&gt;"",OR(NOT(ISNUMBER(I16)),N(I16)&lt;0)),"Relevé du compteur invalide",IF(AND(J16&lt;&gt;"",OR(NOT(ISNUMBER(J16)),N(J16)&lt;0)),"Usage par semaine invalide","OK")))))))))</f>
        <v/>
      </c>
    </row>
    <row r="17">
      <c r="A17" s="65" t="n"/>
      <c r="B17" s="66" t="n"/>
      <c r="C17" s="66" t="n"/>
      <c r="D17" s="66" t="n"/>
      <c r="E17" s="68" t="n"/>
      <c r="F17" s="72" t="n"/>
      <c r="G17" s="71" t="n"/>
      <c r="H17" s="68" t="n"/>
      <c r="I17" s="73" t="n"/>
      <c r="J17" s="73" t="n"/>
      <c r="K17" s="75" t="str">
        <f>IF(A17="","",MAX(N(I17),SUMPRODUCT(MAX((in_eq=A17)*in_done*in_cnum))))</f>
        <v/>
      </c>
      <c r="L17" s="132" t="str">
        <f>IF(A17="","",COUNTIFS(pl_eq,A17,pl_status,"&lt;&gt;Inactif"))</f>
        <v/>
      </c>
      <c r="M17" s="132" t="str">
        <f>IF(A17="","",COUNTIFS(pl_eq,A17,pl_status,"En retard"))</f>
        <v/>
      </c>
      <c r="N17" s="74" t="str">
        <f>IF(A17="","",SUMPRODUCT(MAX((in_eq=A17)*in_done*(in_type="Correctif")*in_dnum)))</f>
        <v/>
      </c>
      <c r="O17" s="81" t="str">
        <f>IF(A17="","",SUMIFS(in_total,in_eq,A17,in_done,1))</f>
        <v/>
      </c>
      <c r="P17" s="79" t="str">
        <f>IF(COUNTA(A17:J17)=0,"",IF(A17="","Code manquant",IF(COUNTIF($A$6:$A$205,A17)&gt;1,"Code en double",IF(B17="","Désignation manquante",IF(AND(E17&lt;&gt;"",E17&lt;&gt;"A",E17&lt;&gt;"B",E17&lt;&gt;"C"),"Criticité : A, B ou C",IF(AND(F17&lt;&gt;"",OR(NOT(ISNUMBER(F17)),N(F17)&lt;=0)),"Mise en service invalide",IF(AND(G17&lt;&gt;"",OR(NOT(ISNUMBER(G17)),N(G17)&lt;0,N(G17)&gt;24)),"Heures d'ouverture entre 0 et 24",IF(AND(I17&lt;&gt;"",OR(NOT(ISNUMBER(I17)),N(I17)&lt;0)),"Relevé du compteur invalide",IF(AND(J17&lt;&gt;"",OR(NOT(ISNUMBER(J17)),N(J17)&lt;0)),"Usage par semaine invalide","OK")))))))))</f>
        <v/>
      </c>
    </row>
    <row r="18">
      <c r="A18" s="65" t="n"/>
      <c r="B18" s="66" t="n"/>
      <c r="C18" s="66" t="n"/>
      <c r="D18" s="66" t="n"/>
      <c r="E18" s="68" t="n"/>
      <c r="F18" s="72" t="n"/>
      <c r="G18" s="71" t="n"/>
      <c r="H18" s="68" t="n"/>
      <c r="I18" s="73" t="n"/>
      <c r="J18" s="73" t="n"/>
      <c r="K18" s="75" t="str">
        <f>IF(A18="","",MAX(N(I18),SUMPRODUCT(MAX((in_eq=A18)*in_done*in_cnum))))</f>
        <v/>
      </c>
      <c r="L18" s="132" t="str">
        <f>IF(A18="","",COUNTIFS(pl_eq,A18,pl_status,"&lt;&gt;Inactif"))</f>
        <v/>
      </c>
      <c r="M18" s="132" t="str">
        <f>IF(A18="","",COUNTIFS(pl_eq,A18,pl_status,"En retard"))</f>
        <v/>
      </c>
      <c r="N18" s="74" t="str">
        <f>IF(A18="","",SUMPRODUCT(MAX((in_eq=A18)*in_done*(in_type="Correctif")*in_dnum)))</f>
        <v/>
      </c>
      <c r="O18" s="81" t="str">
        <f>IF(A18="","",SUMIFS(in_total,in_eq,A18,in_done,1))</f>
        <v/>
      </c>
      <c r="P18" s="79" t="str">
        <f>IF(COUNTA(A18:J18)=0,"",IF(A18="","Code manquant",IF(COUNTIF($A$6:$A$205,A18)&gt;1,"Code en double",IF(B18="","Désignation manquante",IF(AND(E18&lt;&gt;"",E18&lt;&gt;"A",E18&lt;&gt;"B",E18&lt;&gt;"C"),"Criticité : A, B ou C",IF(AND(F18&lt;&gt;"",OR(NOT(ISNUMBER(F18)),N(F18)&lt;=0)),"Mise en service invalide",IF(AND(G18&lt;&gt;"",OR(NOT(ISNUMBER(G18)),N(G18)&lt;0,N(G18)&gt;24)),"Heures d'ouverture entre 0 et 24",IF(AND(I18&lt;&gt;"",OR(NOT(ISNUMBER(I18)),N(I18)&lt;0)),"Relevé du compteur invalide",IF(AND(J18&lt;&gt;"",OR(NOT(ISNUMBER(J18)),N(J18)&lt;0)),"Usage par semaine invalide","OK")))))))))</f>
        <v/>
      </c>
    </row>
    <row r="19">
      <c r="A19" s="65" t="n"/>
      <c r="B19" s="66" t="n"/>
      <c r="C19" s="66" t="n"/>
      <c r="D19" s="66" t="n"/>
      <c r="E19" s="68" t="n"/>
      <c r="F19" s="72" t="n"/>
      <c r="G19" s="71" t="n"/>
      <c r="H19" s="68" t="n"/>
      <c r="I19" s="73" t="n"/>
      <c r="J19" s="73" t="n"/>
      <c r="K19" s="75" t="str">
        <f>IF(A19="","",MAX(N(I19),SUMPRODUCT(MAX((in_eq=A19)*in_done*in_cnum))))</f>
        <v/>
      </c>
      <c r="L19" s="132" t="str">
        <f>IF(A19="","",COUNTIFS(pl_eq,A19,pl_status,"&lt;&gt;Inactif"))</f>
        <v/>
      </c>
      <c r="M19" s="132" t="str">
        <f>IF(A19="","",COUNTIFS(pl_eq,A19,pl_status,"En retard"))</f>
        <v/>
      </c>
      <c r="N19" s="74" t="str">
        <f>IF(A19="","",SUMPRODUCT(MAX((in_eq=A19)*in_done*(in_type="Correctif")*in_dnum)))</f>
        <v/>
      </c>
      <c r="O19" s="81" t="str">
        <f>IF(A19="","",SUMIFS(in_total,in_eq,A19,in_done,1))</f>
        <v/>
      </c>
      <c r="P19" s="79" t="str">
        <f>IF(COUNTA(A19:J19)=0,"",IF(A19="","Code manquant",IF(COUNTIF($A$6:$A$205,A19)&gt;1,"Code en double",IF(B19="","Désignation manquante",IF(AND(E19&lt;&gt;"",E19&lt;&gt;"A",E19&lt;&gt;"B",E19&lt;&gt;"C"),"Criticité : A, B ou C",IF(AND(F19&lt;&gt;"",OR(NOT(ISNUMBER(F19)),N(F19)&lt;=0)),"Mise en service invalide",IF(AND(G19&lt;&gt;"",OR(NOT(ISNUMBER(G19)),N(G19)&lt;0,N(G19)&gt;24)),"Heures d'ouverture entre 0 et 24",IF(AND(I19&lt;&gt;"",OR(NOT(ISNUMBER(I19)),N(I19)&lt;0)),"Relevé du compteur invalide",IF(AND(J19&lt;&gt;"",OR(NOT(ISNUMBER(J19)),N(J19)&lt;0)),"Usage par semaine invalide","OK")))))))))</f>
        <v/>
      </c>
    </row>
    <row r="20">
      <c r="A20" s="65" t="n"/>
      <c r="B20" s="66" t="n"/>
      <c r="C20" s="66" t="n"/>
      <c r="D20" s="66" t="n"/>
      <c r="E20" s="68" t="n"/>
      <c r="F20" s="72" t="n"/>
      <c r="G20" s="71" t="n"/>
      <c r="H20" s="68" t="n"/>
      <c r="I20" s="73" t="n"/>
      <c r="J20" s="73" t="n"/>
      <c r="K20" s="75" t="str">
        <f>IF(A20="","",MAX(N(I20),SUMPRODUCT(MAX((in_eq=A20)*in_done*in_cnum))))</f>
        <v/>
      </c>
      <c r="L20" s="132" t="str">
        <f>IF(A20="","",COUNTIFS(pl_eq,A20,pl_status,"&lt;&gt;Inactif"))</f>
        <v/>
      </c>
      <c r="M20" s="132" t="str">
        <f>IF(A20="","",COUNTIFS(pl_eq,A20,pl_status,"En retard"))</f>
        <v/>
      </c>
      <c r="N20" s="74" t="str">
        <f>IF(A20="","",SUMPRODUCT(MAX((in_eq=A20)*in_done*(in_type="Correctif")*in_dnum)))</f>
        <v/>
      </c>
      <c r="O20" s="81" t="str">
        <f>IF(A20="","",SUMIFS(in_total,in_eq,A20,in_done,1))</f>
        <v/>
      </c>
      <c r="P20" s="79" t="str">
        <f>IF(COUNTA(A20:J20)=0,"",IF(A20="","Code manquant",IF(COUNTIF($A$6:$A$205,A20)&gt;1,"Code en double",IF(B20="","Désignation manquante",IF(AND(E20&lt;&gt;"",E20&lt;&gt;"A",E20&lt;&gt;"B",E20&lt;&gt;"C"),"Criticité : A, B ou C",IF(AND(F20&lt;&gt;"",OR(NOT(ISNUMBER(F20)),N(F20)&lt;=0)),"Mise en service invalide",IF(AND(G20&lt;&gt;"",OR(NOT(ISNUMBER(G20)),N(G20)&lt;0,N(G20)&gt;24)),"Heures d'ouverture entre 0 et 24",IF(AND(I20&lt;&gt;"",OR(NOT(ISNUMBER(I20)),N(I20)&lt;0)),"Relevé du compteur invalide",IF(AND(J20&lt;&gt;"",OR(NOT(ISNUMBER(J20)),N(J20)&lt;0)),"Usage par semaine invalide","OK")))))))))</f>
        <v/>
      </c>
    </row>
    <row r="21">
      <c r="A21" s="65" t="n"/>
      <c r="B21" s="66" t="n"/>
      <c r="C21" s="66" t="n"/>
      <c r="D21" s="66" t="n"/>
      <c r="E21" s="68" t="n"/>
      <c r="F21" s="72" t="n"/>
      <c r="G21" s="71" t="n"/>
      <c r="H21" s="68" t="n"/>
      <c r="I21" s="73" t="n"/>
      <c r="J21" s="73" t="n"/>
      <c r="K21" s="75" t="str">
        <f>IF(A21="","",MAX(N(I21),SUMPRODUCT(MAX((in_eq=A21)*in_done*in_cnum))))</f>
        <v/>
      </c>
      <c r="L21" s="132" t="str">
        <f>IF(A21="","",COUNTIFS(pl_eq,A21,pl_status,"&lt;&gt;Inactif"))</f>
        <v/>
      </c>
      <c r="M21" s="132" t="str">
        <f>IF(A21="","",COUNTIFS(pl_eq,A21,pl_status,"En retard"))</f>
        <v/>
      </c>
      <c r="N21" s="74" t="str">
        <f>IF(A21="","",SUMPRODUCT(MAX((in_eq=A21)*in_done*(in_type="Correctif")*in_dnum)))</f>
        <v/>
      </c>
      <c r="O21" s="81" t="str">
        <f>IF(A21="","",SUMIFS(in_total,in_eq,A21,in_done,1))</f>
        <v/>
      </c>
      <c r="P21" s="79" t="str">
        <f>IF(COUNTA(A21:J21)=0,"",IF(A21="","Code manquant",IF(COUNTIF($A$6:$A$205,A21)&gt;1,"Code en double",IF(B21="","Désignation manquante",IF(AND(E21&lt;&gt;"",E21&lt;&gt;"A",E21&lt;&gt;"B",E21&lt;&gt;"C"),"Criticité : A, B ou C",IF(AND(F21&lt;&gt;"",OR(NOT(ISNUMBER(F21)),N(F21)&lt;=0)),"Mise en service invalide",IF(AND(G21&lt;&gt;"",OR(NOT(ISNUMBER(G21)),N(G21)&lt;0,N(G21)&gt;24)),"Heures d'ouverture entre 0 et 24",IF(AND(I21&lt;&gt;"",OR(NOT(ISNUMBER(I21)),N(I21)&lt;0)),"Relevé du compteur invalide",IF(AND(J21&lt;&gt;"",OR(NOT(ISNUMBER(J21)),N(J21)&lt;0)),"Usage par semaine invalide","OK")))))))))</f>
        <v/>
      </c>
    </row>
    <row r="22">
      <c r="A22" s="65" t="n"/>
      <c r="B22" s="66" t="n"/>
      <c r="C22" s="66" t="n"/>
      <c r="D22" s="66" t="n"/>
      <c r="E22" s="68" t="n"/>
      <c r="F22" s="72" t="n"/>
      <c r="G22" s="71" t="n"/>
      <c r="H22" s="68" t="n"/>
      <c r="I22" s="73" t="n"/>
      <c r="J22" s="73" t="n"/>
      <c r="K22" s="75" t="str">
        <f>IF(A22="","",MAX(N(I22),SUMPRODUCT(MAX((in_eq=A22)*in_done*in_cnum))))</f>
        <v/>
      </c>
      <c r="L22" s="132" t="str">
        <f>IF(A22="","",COUNTIFS(pl_eq,A22,pl_status,"&lt;&gt;Inactif"))</f>
        <v/>
      </c>
      <c r="M22" s="132" t="str">
        <f>IF(A22="","",COUNTIFS(pl_eq,A22,pl_status,"En retard"))</f>
        <v/>
      </c>
      <c r="N22" s="74" t="str">
        <f>IF(A22="","",SUMPRODUCT(MAX((in_eq=A22)*in_done*(in_type="Correctif")*in_dnum)))</f>
        <v/>
      </c>
      <c r="O22" s="81" t="str">
        <f>IF(A22="","",SUMIFS(in_total,in_eq,A22,in_done,1))</f>
        <v/>
      </c>
      <c r="P22" s="79" t="str">
        <f>IF(COUNTA(A22:J22)=0,"",IF(A22="","Code manquant",IF(COUNTIF($A$6:$A$205,A22)&gt;1,"Code en double",IF(B22="","Désignation manquante",IF(AND(E22&lt;&gt;"",E22&lt;&gt;"A",E22&lt;&gt;"B",E22&lt;&gt;"C"),"Criticité : A, B ou C",IF(AND(F22&lt;&gt;"",OR(NOT(ISNUMBER(F22)),N(F22)&lt;=0)),"Mise en service invalide",IF(AND(G22&lt;&gt;"",OR(NOT(ISNUMBER(G22)),N(G22)&lt;0,N(G22)&gt;24)),"Heures d'ouverture entre 0 et 24",IF(AND(I22&lt;&gt;"",OR(NOT(ISNUMBER(I22)),N(I22)&lt;0)),"Relevé du compteur invalide",IF(AND(J22&lt;&gt;"",OR(NOT(ISNUMBER(J22)),N(J22)&lt;0)),"Usage par semaine invalide","OK")))))))))</f>
        <v/>
      </c>
    </row>
    <row r="23">
      <c r="A23" s="65" t="n"/>
      <c r="B23" s="66" t="n"/>
      <c r="C23" s="66" t="n"/>
      <c r="D23" s="66" t="n"/>
      <c r="E23" s="68" t="n"/>
      <c r="F23" s="72" t="n"/>
      <c r="G23" s="71" t="n"/>
      <c r="H23" s="68" t="n"/>
      <c r="I23" s="73" t="n"/>
      <c r="J23" s="73" t="n"/>
      <c r="K23" s="75" t="str">
        <f>IF(A23="","",MAX(N(I23),SUMPRODUCT(MAX((in_eq=A23)*in_done*in_cnum))))</f>
        <v/>
      </c>
      <c r="L23" s="132" t="str">
        <f>IF(A23="","",COUNTIFS(pl_eq,A23,pl_status,"&lt;&gt;Inactif"))</f>
        <v/>
      </c>
      <c r="M23" s="132" t="str">
        <f>IF(A23="","",COUNTIFS(pl_eq,A23,pl_status,"En retard"))</f>
        <v/>
      </c>
      <c r="N23" s="74" t="str">
        <f>IF(A23="","",SUMPRODUCT(MAX((in_eq=A23)*in_done*(in_type="Correctif")*in_dnum)))</f>
        <v/>
      </c>
      <c r="O23" s="81" t="str">
        <f>IF(A23="","",SUMIFS(in_total,in_eq,A23,in_done,1))</f>
        <v/>
      </c>
      <c r="P23" s="79" t="str">
        <f>IF(COUNTA(A23:J23)=0,"",IF(A23="","Code manquant",IF(COUNTIF($A$6:$A$205,A23)&gt;1,"Code en double",IF(B23="","Désignation manquante",IF(AND(E23&lt;&gt;"",E23&lt;&gt;"A",E23&lt;&gt;"B",E23&lt;&gt;"C"),"Criticité : A, B ou C",IF(AND(F23&lt;&gt;"",OR(NOT(ISNUMBER(F23)),N(F23)&lt;=0)),"Mise en service invalide",IF(AND(G23&lt;&gt;"",OR(NOT(ISNUMBER(G23)),N(G23)&lt;0,N(G23)&gt;24)),"Heures d'ouverture entre 0 et 24",IF(AND(I23&lt;&gt;"",OR(NOT(ISNUMBER(I23)),N(I23)&lt;0)),"Relevé du compteur invalide",IF(AND(J23&lt;&gt;"",OR(NOT(ISNUMBER(J23)),N(J23)&lt;0)),"Usage par semaine invalide","OK")))))))))</f>
        <v/>
      </c>
    </row>
    <row r="24">
      <c r="A24" s="65" t="n"/>
      <c r="B24" s="66" t="n"/>
      <c r="C24" s="66" t="n"/>
      <c r="D24" s="66" t="n"/>
      <c r="E24" s="68" t="n"/>
      <c r="F24" s="72" t="n"/>
      <c r="G24" s="71" t="n"/>
      <c r="H24" s="68" t="n"/>
      <c r="I24" s="73" t="n"/>
      <c r="J24" s="73" t="n"/>
      <c r="K24" s="75" t="str">
        <f>IF(A24="","",MAX(N(I24),SUMPRODUCT(MAX((in_eq=A24)*in_done*in_cnum))))</f>
        <v/>
      </c>
      <c r="L24" s="132" t="str">
        <f>IF(A24="","",COUNTIFS(pl_eq,A24,pl_status,"&lt;&gt;Inactif"))</f>
        <v/>
      </c>
      <c r="M24" s="132" t="str">
        <f>IF(A24="","",COUNTIFS(pl_eq,A24,pl_status,"En retard"))</f>
        <v/>
      </c>
      <c r="N24" s="74" t="str">
        <f>IF(A24="","",SUMPRODUCT(MAX((in_eq=A24)*in_done*(in_type="Correctif")*in_dnum)))</f>
        <v/>
      </c>
      <c r="O24" s="81" t="str">
        <f>IF(A24="","",SUMIFS(in_total,in_eq,A24,in_done,1))</f>
        <v/>
      </c>
      <c r="P24" s="79" t="str">
        <f>IF(COUNTA(A24:J24)=0,"",IF(A24="","Code manquant",IF(COUNTIF($A$6:$A$205,A24)&gt;1,"Code en double",IF(B24="","Désignation manquante",IF(AND(E24&lt;&gt;"",E24&lt;&gt;"A",E24&lt;&gt;"B",E24&lt;&gt;"C"),"Criticité : A, B ou C",IF(AND(F24&lt;&gt;"",OR(NOT(ISNUMBER(F24)),N(F24)&lt;=0)),"Mise en service invalide",IF(AND(G24&lt;&gt;"",OR(NOT(ISNUMBER(G24)),N(G24)&lt;0,N(G24)&gt;24)),"Heures d'ouverture entre 0 et 24",IF(AND(I24&lt;&gt;"",OR(NOT(ISNUMBER(I24)),N(I24)&lt;0)),"Relevé du compteur invalide",IF(AND(J24&lt;&gt;"",OR(NOT(ISNUMBER(J24)),N(J24)&lt;0)),"Usage par semaine invalide","OK")))))))))</f>
        <v/>
      </c>
    </row>
    <row r="25">
      <c r="A25" s="65" t="n"/>
      <c r="B25" s="66" t="n"/>
      <c r="C25" s="66" t="n"/>
      <c r="D25" s="66" t="n"/>
      <c r="E25" s="68" t="n"/>
      <c r="F25" s="72" t="n"/>
      <c r="G25" s="71" t="n"/>
      <c r="H25" s="68" t="n"/>
      <c r="I25" s="73" t="n"/>
      <c r="J25" s="73" t="n"/>
      <c r="K25" s="75" t="str">
        <f>IF(A25="","",MAX(N(I25),SUMPRODUCT(MAX((in_eq=A25)*in_done*in_cnum))))</f>
        <v/>
      </c>
      <c r="L25" s="132" t="str">
        <f>IF(A25="","",COUNTIFS(pl_eq,A25,pl_status,"&lt;&gt;Inactif"))</f>
        <v/>
      </c>
      <c r="M25" s="132" t="str">
        <f>IF(A25="","",COUNTIFS(pl_eq,A25,pl_status,"En retard"))</f>
        <v/>
      </c>
      <c r="N25" s="74" t="str">
        <f>IF(A25="","",SUMPRODUCT(MAX((in_eq=A25)*in_done*(in_type="Correctif")*in_dnum)))</f>
        <v/>
      </c>
      <c r="O25" s="81" t="str">
        <f>IF(A25="","",SUMIFS(in_total,in_eq,A25,in_done,1))</f>
        <v/>
      </c>
      <c r="P25" s="79" t="str">
        <f>IF(COUNTA(A25:J25)=0,"",IF(A25="","Code manquant",IF(COUNTIF($A$6:$A$205,A25)&gt;1,"Code en double",IF(B25="","Désignation manquante",IF(AND(E25&lt;&gt;"",E25&lt;&gt;"A",E25&lt;&gt;"B",E25&lt;&gt;"C"),"Criticité : A, B ou C",IF(AND(F25&lt;&gt;"",OR(NOT(ISNUMBER(F25)),N(F25)&lt;=0)),"Mise en service invalide",IF(AND(G25&lt;&gt;"",OR(NOT(ISNUMBER(G25)),N(G25)&lt;0,N(G25)&gt;24)),"Heures d'ouverture entre 0 et 24",IF(AND(I25&lt;&gt;"",OR(NOT(ISNUMBER(I25)),N(I25)&lt;0)),"Relevé du compteur invalide",IF(AND(J25&lt;&gt;"",OR(NOT(ISNUMBER(J25)),N(J25)&lt;0)),"Usage par semaine invalide","OK")))))))))</f>
        <v/>
      </c>
    </row>
    <row r="26">
      <c r="A26" s="65" t="n"/>
      <c r="B26" s="66" t="n"/>
      <c r="C26" s="66" t="n"/>
      <c r="D26" s="66" t="n"/>
      <c r="E26" s="68" t="n"/>
      <c r="F26" s="72" t="n"/>
      <c r="G26" s="71" t="n"/>
      <c r="H26" s="68" t="n"/>
      <c r="I26" s="73" t="n"/>
      <c r="J26" s="73" t="n"/>
      <c r="K26" s="75" t="str">
        <f>IF(A26="","",MAX(N(I26),SUMPRODUCT(MAX((in_eq=A26)*in_done*in_cnum))))</f>
        <v/>
      </c>
      <c r="L26" s="132" t="str">
        <f>IF(A26="","",COUNTIFS(pl_eq,A26,pl_status,"&lt;&gt;Inactif"))</f>
        <v/>
      </c>
      <c r="M26" s="132" t="str">
        <f>IF(A26="","",COUNTIFS(pl_eq,A26,pl_status,"En retard"))</f>
        <v/>
      </c>
      <c r="N26" s="74" t="str">
        <f>IF(A26="","",SUMPRODUCT(MAX((in_eq=A26)*in_done*(in_type="Correctif")*in_dnum)))</f>
        <v/>
      </c>
      <c r="O26" s="81" t="str">
        <f>IF(A26="","",SUMIFS(in_total,in_eq,A26,in_done,1))</f>
        <v/>
      </c>
      <c r="P26" s="79" t="str">
        <f>IF(COUNTA(A26:J26)=0,"",IF(A26="","Code manquant",IF(COUNTIF($A$6:$A$205,A26)&gt;1,"Code en double",IF(B26="","Désignation manquante",IF(AND(E26&lt;&gt;"",E26&lt;&gt;"A",E26&lt;&gt;"B",E26&lt;&gt;"C"),"Criticité : A, B ou C",IF(AND(F26&lt;&gt;"",OR(NOT(ISNUMBER(F26)),N(F26)&lt;=0)),"Mise en service invalide",IF(AND(G26&lt;&gt;"",OR(NOT(ISNUMBER(G26)),N(G26)&lt;0,N(G26)&gt;24)),"Heures d'ouverture entre 0 et 24",IF(AND(I26&lt;&gt;"",OR(NOT(ISNUMBER(I26)),N(I26)&lt;0)),"Relevé du compteur invalide",IF(AND(J26&lt;&gt;"",OR(NOT(ISNUMBER(J26)),N(J26)&lt;0)),"Usage par semaine invalide","OK")))))))))</f>
        <v/>
      </c>
    </row>
    <row r="27">
      <c r="A27" s="65" t="n"/>
      <c r="B27" s="66" t="n"/>
      <c r="C27" s="66" t="n"/>
      <c r="D27" s="66" t="n"/>
      <c r="E27" s="68" t="n"/>
      <c r="F27" s="72" t="n"/>
      <c r="G27" s="71" t="n"/>
      <c r="H27" s="68" t="n"/>
      <c r="I27" s="73" t="n"/>
      <c r="J27" s="73" t="n"/>
      <c r="K27" s="75" t="str">
        <f>IF(A27="","",MAX(N(I27),SUMPRODUCT(MAX((in_eq=A27)*in_done*in_cnum))))</f>
        <v/>
      </c>
      <c r="L27" s="132" t="str">
        <f>IF(A27="","",COUNTIFS(pl_eq,A27,pl_status,"&lt;&gt;Inactif"))</f>
        <v/>
      </c>
      <c r="M27" s="132" t="str">
        <f>IF(A27="","",COUNTIFS(pl_eq,A27,pl_status,"En retard"))</f>
        <v/>
      </c>
      <c r="N27" s="74" t="str">
        <f>IF(A27="","",SUMPRODUCT(MAX((in_eq=A27)*in_done*(in_type="Correctif")*in_dnum)))</f>
        <v/>
      </c>
      <c r="O27" s="81" t="str">
        <f>IF(A27="","",SUMIFS(in_total,in_eq,A27,in_done,1))</f>
        <v/>
      </c>
      <c r="P27" s="79" t="str">
        <f>IF(COUNTA(A27:J27)=0,"",IF(A27="","Code manquant",IF(COUNTIF($A$6:$A$205,A27)&gt;1,"Code en double",IF(B27="","Désignation manquante",IF(AND(E27&lt;&gt;"",E27&lt;&gt;"A",E27&lt;&gt;"B",E27&lt;&gt;"C"),"Criticité : A, B ou C",IF(AND(F27&lt;&gt;"",OR(NOT(ISNUMBER(F27)),N(F27)&lt;=0)),"Mise en service invalide",IF(AND(G27&lt;&gt;"",OR(NOT(ISNUMBER(G27)),N(G27)&lt;0,N(G27)&gt;24)),"Heures d'ouverture entre 0 et 24",IF(AND(I27&lt;&gt;"",OR(NOT(ISNUMBER(I27)),N(I27)&lt;0)),"Relevé du compteur invalide",IF(AND(J27&lt;&gt;"",OR(NOT(ISNUMBER(J27)),N(J27)&lt;0)),"Usage par semaine invalide","OK")))))))))</f>
        <v/>
      </c>
    </row>
    <row r="28">
      <c r="A28" s="65" t="n"/>
      <c r="B28" s="66" t="n"/>
      <c r="C28" s="66" t="n"/>
      <c r="D28" s="66" t="n"/>
      <c r="E28" s="68" t="n"/>
      <c r="F28" s="72" t="n"/>
      <c r="G28" s="71" t="n"/>
      <c r="H28" s="68" t="n"/>
      <c r="I28" s="73" t="n"/>
      <c r="J28" s="73" t="n"/>
      <c r="K28" s="75" t="str">
        <f>IF(A28="","",MAX(N(I28),SUMPRODUCT(MAX((in_eq=A28)*in_done*in_cnum))))</f>
        <v/>
      </c>
      <c r="L28" s="132" t="str">
        <f>IF(A28="","",COUNTIFS(pl_eq,A28,pl_status,"&lt;&gt;Inactif"))</f>
        <v/>
      </c>
      <c r="M28" s="132" t="str">
        <f>IF(A28="","",COUNTIFS(pl_eq,A28,pl_status,"En retard"))</f>
        <v/>
      </c>
      <c r="N28" s="74" t="str">
        <f>IF(A28="","",SUMPRODUCT(MAX((in_eq=A28)*in_done*(in_type="Correctif")*in_dnum)))</f>
        <v/>
      </c>
      <c r="O28" s="81" t="str">
        <f>IF(A28="","",SUMIFS(in_total,in_eq,A28,in_done,1))</f>
        <v/>
      </c>
      <c r="P28" s="79" t="str">
        <f>IF(COUNTA(A28:J28)=0,"",IF(A28="","Code manquant",IF(COUNTIF($A$6:$A$205,A28)&gt;1,"Code en double",IF(B28="","Désignation manquante",IF(AND(E28&lt;&gt;"",E28&lt;&gt;"A",E28&lt;&gt;"B",E28&lt;&gt;"C"),"Criticité : A, B ou C",IF(AND(F28&lt;&gt;"",OR(NOT(ISNUMBER(F28)),N(F28)&lt;=0)),"Mise en service invalide",IF(AND(G28&lt;&gt;"",OR(NOT(ISNUMBER(G28)),N(G28)&lt;0,N(G28)&gt;24)),"Heures d'ouverture entre 0 et 24",IF(AND(I28&lt;&gt;"",OR(NOT(ISNUMBER(I28)),N(I28)&lt;0)),"Relevé du compteur invalide",IF(AND(J28&lt;&gt;"",OR(NOT(ISNUMBER(J28)),N(J28)&lt;0)),"Usage par semaine invalide","OK")))))))))</f>
        <v/>
      </c>
    </row>
    <row r="29">
      <c r="A29" s="65" t="n"/>
      <c r="B29" s="66" t="n"/>
      <c r="C29" s="66" t="n"/>
      <c r="D29" s="66" t="n"/>
      <c r="E29" s="68" t="n"/>
      <c r="F29" s="72" t="n"/>
      <c r="G29" s="71" t="n"/>
      <c r="H29" s="68" t="n"/>
      <c r="I29" s="73" t="n"/>
      <c r="J29" s="73" t="n"/>
      <c r="K29" s="75" t="str">
        <f>IF(A29="","",MAX(N(I29),SUMPRODUCT(MAX((in_eq=A29)*in_done*in_cnum))))</f>
        <v/>
      </c>
      <c r="L29" s="132" t="str">
        <f>IF(A29="","",COUNTIFS(pl_eq,A29,pl_status,"&lt;&gt;Inactif"))</f>
        <v/>
      </c>
      <c r="M29" s="132" t="str">
        <f>IF(A29="","",COUNTIFS(pl_eq,A29,pl_status,"En retard"))</f>
        <v/>
      </c>
      <c r="N29" s="74" t="str">
        <f>IF(A29="","",SUMPRODUCT(MAX((in_eq=A29)*in_done*(in_type="Correctif")*in_dnum)))</f>
        <v/>
      </c>
      <c r="O29" s="81" t="str">
        <f>IF(A29="","",SUMIFS(in_total,in_eq,A29,in_done,1))</f>
        <v/>
      </c>
      <c r="P29" s="79" t="str">
        <f>IF(COUNTA(A29:J29)=0,"",IF(A29="","Code manquant",IF(COUNTIF($A$6:$A$205,A29)&gt;1,"Code en double",IF(B29="","Désignation manquante",IF(AND(E29&lt;&gt;"",E29&lt;&gt;"A",E29&lt;&gt;"B",E29&lt;&gt;"C"),"Criticité : A, B ou C",IF(AND(F29&lt;&gt;"",OR(NOT(ISNUMBER(F29)),N(F29)&lt;=0)),"Mise en service invalide",IF(AND(G29&lt;&gt;"",OR(NOT(ISNUMBER(G29)),N(G29)&lt;0,N(G29)&gt;24)),"Heures d'ouverture entre 0 et 24",IF(AND(I29&lt;&gt;"",OR(NOT(ISNUMBER(I29)),N(I29)&lt;0)),"Relevé du compteur invalide",IF(AND(J29&lt;&gt;"",OR(NOT(ISNUMBER(J29)),N(J29)&lt;0)),"Usage par semaine invalide","OK")))))))))</f>
        <v/>
      </c>
    </row>
    <row r="30">
      <c r="A30" s="65" t="n"/>
      <c r="B30" s="66" t="n"/>
      <c r="C30" s="66" t="n"/>
      <c r="D30" s="66" t="n"/>
      <c r="E30" s="68" t="n"/>
      <c r="F30" s="72" t="n"/>
      <c r="G30" s="71" t="n"/>
      <c r="H30" s="68" t="n"/>
      <c r="I30" s="73" t="n"/>
      <c r="J30" s="73" t="n"/>
      <c r="K30" s="75" t="str">
        <f>IF(A30="","",MAX(N(I30),SUMPRODUCT(MAX((in_eq=A30)*in_done*in_cnum))))</f>
        <v/>
      </c>
      <c r="L30" s="132" t="str">
        <f>IF(A30="","",COUNTIFS(pl_eq,A30,pl_status,"&lt;&gt;Inactif"))</f>
        <v/>
      </c>
      <c r="M30" s="132" t="str">
        <f>IF(A30="","",COUNTIFS(pl_eq,A30,pl_status,"En retard"))</f>
        <v/>
      </c>
      <c r="N30" s="74" t="str">
        <f>IF(A30="","",SUMPRODUCT(MAX((in_eq=A30)*in_done*(in_type="Correctif")*in_dnum)))</f>
        <v/>
      </c>
      <c r="O30" s="81" t="str">
        <f>IF(A30="","",SUMIFS(in_total,in_eq,A30,in_done,1))</f>
        <v/>
      </c>
      <c r="P30" s="79" t="str">
        <f>IF(COUNTA(A30:J30)=0,"",IF(A30="","Code manquant",IF(COUNTIF($A$6:$A$205,A30)&gt;1,"Code en double",IF(B30="","Désignation manquante",IF(AND(E30&lt;&gt;"",E30&lt;&gt;"A",E30&lt;&gt;"B",E30&lt;&gt;"C"),"Criticité : A, B ou C",IF(AND(F30&lt;&gt;"",OR(NOT(ISNUMBER(F30)),N(F30)&lt;=0)),"Mise en service invalide",IF(AND(G30&lt;&gt;"",OR(NOT(ISNUMBER(G30)),N(G30)&lt;0,N(G30)&gt;24)),"Heures d'ouverture entre 0 et 24",IF(AND(I30&lt;&gt;"",OR(NOT(ISNUMBER(I30)),N(I30)&lt;0)),"Relevé du compteur invalide",IF(AND(J30&lt;&gt;"",OR(NOT(ISNUMBER(J30)),N(J30)&lt;0)),"Usage par semaine invalide","OK")))))))))</f>
        <v/>
      </c>
    </row>
    <row r="31">
      <c r="A31" s="65" t="n"/>
      <c r="B31" s="66" t="n"/>
      <c r="C31" s="66" t="n"/>
      <c r="D31" s="66" t="n"/>
      <c r="E31" s="68" t="n"/>
      <c r="F31" s="72" t="n"/>
      <c r="G31" s="71" t="n"/>
      <c r="H31" s="68" t="n"/>
      <c r="I31" s="73" t="n"/>
      <c r="J31" s="73" t="n"/>
      <c r="K31" s="75" t="str">
        <f>IF(A31="","",MAX(N(I31),SUMPRODUCT(MAX((in_eq=A31)*in_done*in_cnum))))</f>
        <v/>
      </c>
      <c r="L31" s="132" t="str">
        <f>IF(A31="","",COUNTIFS(pl_eq,A31,pl_status,"&lt;&gt;Inactif"))</f>
        <v/>
      </c>
      <c r="M31" s="132" t="str">
        <f>IF(A31="","",COUNTIFS(pl_eq,A31,pl_status,"En retard"))</f>
        <v/>
      </c>
      <c r="N31" s="74" t="str">
        <f>IF(A31="","",SUMPRODUCT(MAX((in_eq=A31)*in_done*(in_type="Correctif")*in_dnum)))</f>
        <v/>
      </c>
      <c r="O31" s="81" t="str">
        <f>IF(A31="","",SUMIFS(in_total,in_eq,A31,in_done,1))</f>
        <v/>
      </c>
      <c r="P31" s="79" t="str">
        <f>IF(COUNTA(A31:J31)=0,"",IF(A31="","Code manquant",IF(COUNTIF($A$6:$A$205,A31)&gt;1,"Code en double",IF(B31="","Désignation manquante",IF(AND(E31&lt;&gt;"",E31&lt;&gt;"A",E31&lt;&gt;"B",E31&lt;&gt;"C"),"Criticité : A, B ou C",IF(AND(F31&lt;&gt;"",OR(NOT(ISNUMBER(F31)),N(F31)&lt;=0)),"Mise en service invalide",IF(AND(G31&lt;&gt;"",OR(NOT(ISNUMBER(G31)),N(G31)&lt;0,N(G31)&gt;24)),"Heures d'ouverture entre 0 et 24",IF(AND(I31&lt;&gt;"",OR(NOT(ISNUMBER(I31)),N(I31)&lt;0)),"Relevé du compteur invalide",IF(AND(J31&lt;&gt;"",OR(NOT(ISNUMBER(J31)),N(J31)&lt;0)),"Usage par semaine invalide","OK")))))))))</f>
        <v/>
      </c>
    </row>
    <row r="32">
      <c r="A32" s="65" t="n"/>
      <c r="B32" s="66" t="n"/>
      <c r="C32" s="66" t="n"/>
      <c r="D32" s="66" t="n"/>
      <c r="E32" s="68" t="n"/>
      <c r="F32" s="72" t="n"/>
      <c r="G32" s="71" t="n"/>
      <c r="H32" s="68" t="n"/>
      <c r="I32" s="73" t="n"/>
      <c r="J32" s="73" t="n"/>
      <c r="K32" s="75" t="str">
        <f>IF(A32="","",MAX(N(I32),SUMPRODUCT(MAX((in_eq=A32)*in_done*in_cnum))))</f>
        <v/>
      </c>
      <c r="L32" s="132" t="str">
        <f>IF(A32="","",COUNTIFS(pl_eq,A32,pl_status,"&lt;&gt;Inactif"))</f>
        <v/>
      </c>
      <c r="M32" s="132" t="str">
        <f>IF(A32="","",COUNTIFS(pl_eq,A32,pl_status,"En retard"))</f>
        <v/>
      </c>
      <c r="N32" s="74" t="str">
        <f>IF(A32="","",SUMPRODUCT(MAX((in_eq=A32)*in_done*(in_type="Correctif")*in_dnum)))</f>
        <v/>
      </c>
      <c r="O32" s="81" t="str">
        <f>IF(A32="","",SUMIFS(in_total,in_eq,A32,in_done,1))</f>
        <v/>
      </c>
      <c r="P32" s="79" t="str">
        <f>IF(COUNTA(A32:J32)=0,"",IF(A32="","Code manquant",IF(COUNTIF($A$6:$A$205,A32)&gt;1,"Code en double",IF(B32="","Désignation manquante",IF(AND(E32&lt;&gt;"",E32&lt;&gt;"A",E32&lt;&gt;"B",E32&lt;&gt;"C"),"Criticité : A, B ou C",IF(AND(F32&lt;&gt;"",OR(NOT(ISNUMBER(F32)),N(F32)&lt;=0)),"Mise en service invalide",IF(AND(G32&lt;&gt;"",OR(NOT(ISNUMBER(G32)),N(G32)&lt;0,N(G32)&gt;24)),"Heures d'ouverture entre 0 et 24",IF(AND(I32&lt;&gt;"",OR(NOT(ISNUMBER(I32)),N(I32)&lt;0)),"Relevé du compteur invalide",IF(AND(J32&lt;&gt;"",OR(NOT(ISNUMBER(J32)),N(J32)&lt;0)),"Usage par semaine invalide","OK")))))))))</f>
        <v/>
      </c>
    </row>
    <row r="33">
      <c r="A33" s="65" t="n"/>
      <c r="B33" s="66" t="n"/>
      <c r="C33" s="66" t="n"/>
      <c r="D33" s="66" t="n"/>
      <c r="E33" s="68" t="n"/>
      <c r="F33" s="72" t="n"/>
      <c r="G33" s="71" t="n"/>
      <c r="H33" s="68" t="n"/>
      <c r="I33" s="73" t="n"/>
      <c r="J33" s="73" t="n"/>
      <c r="K33" s="75" t="str">
        <f>IF(A33="","",MAX(N(I33),SUMPRODUCT(MAX((in_eq=A33)*in_done*in_cnum))))</f>
        <v/>
      </c>
      <c r="L33" s="132" t="str">
        <f>IF(A33="","",COUNTIFS(pl_eq,A33,pl_status,"&lt;&gt;Inactif"))</f>
        <v/>
      </c>
      <c r="M33" s="132" t="str">
        <f>IF(A33="","",COUNTIFS(pl_eq,A33,pl_status,"En retard"))</f>
        <v/>
      </c>
      <c r="N33" s="74" t="str">
        <f>IF(A33="","",SUMPRODUCT(MAX((in_eq=A33)*in_done*(in_type="Correctif")*in_dnum)))</f>
        <v/>
      </c>
      <c r="O33" s="81" t="str">
        <f>IF(A33="","",SUMIFS(in_total,in_eq,A33,in_done,1))</f>
        <v/>
      </c>
      <c r="P33" s="79" t="str">
        <f>IF(COUNTA(A33:J33)=0,"",IF(A33="","Code manquant",IF(COUNTIF($A$6:$A$205,A33)&gt;1,"Code en double",IF(B33="","Désignation manquante",IF(AND(E33&lt;&gt;"",E33&lt;&gt;"A",E33&lt;&gt;"B",E33&lt;&gt;"C"),"Criticité : A, B ou C",IF(AND(F33&lt;&gt;"",OR(NOT(ISNUMBER(F33)),N(F33)&lt;=0)),"Mise en service invalide",IF(AND(G33&lt;&gt;"",OR(NOT(ISNUMBER(G33)),N(G33)&lt;0,N(G33)&gt;24)),"Heures d'ouverture entre 0 et 24",IF(AND(I33&lt;&gt;"",OR(NOT(ISNUMBER(I33)),N(I33)&lt;0)),"Relevé du compteur invalide",IF(AND(J33&lt;&gt;"",OR(NOT(ISNUMBER(J33)),N(J33)&lt;0)),"Usage par semaine invalide","OK")))))))))</f>
        <v/>
      </c>
    </row>
    <row r="34">
      <c r="A34" s="65" t="n"/>
      <c r="B34" s="66" t="n"/>
      <c r="C34" s="66" t="n"/>
      <c r="D34" s="66" t="n"/>
      <c r="E34" s="68" t="n"/>
      <c r="F34" s="72" t="n"/>
      <c r="G34" s="71" t="n"/>
      <c r="H34" s="68" t="n"/>
      <c r="I34" s="73" t="n"/>
      <c r="J34" s="73" t="n"/>
      <c r="K34" s="75" t="str">
        <f>IF(A34="","",MAX(N(I34),SUMPRODUCT(MAX((in_eq=A34)*in_done*in_cnum))))</f>
        <v/>
      </c>
      <c r="L34" s="132" t="str">
        <f>IF(A34="","",COUNTIFS(pl_eq,A34,pl_status,"&lt;&gt;Inactif"))</f>
        <v/>
      </c>
      <c r="M34" s="132" t="str">
        <f>IF(A34="","",COUNTIFS(pl_eq,A34,pl_status,"En retard"))</f>
        <v/>
      </c>
      <c r="N34" s="74" t="str">
        <f>IF(A34="","",SUMPRODUCT(MAX((in_eq=A34)*in_done*(in_type="Correctif")*in_dnum)))</f>
        <v/>
      </c>
      <c r="O34" s="81" t="str">
        <f>IF(A34="","",SUMIFS(in_total,in_eq,A34,in_done,1))</f>
        <v/>
      </c>
      <c r="P34" s="79" t="str">
        <f>IF(COUNTA(A34:J34)=0,"",IF(A34="","Code manquant",IF(COUNTIF($A$6:$A$205,A34)&gt;1,"Code en double",IF(B34="","Désignation manquante",IF(AND(E34&lt;&gt;"",E34&lt;&gt;"A",E34&lt;&gt;"B",E34&lt;&gt;"C"),"Criticité : A, B ou C",IF(AND(F34&lt;&gt;"",OR(NOT(ISNUMBER(F34)),N(F34)&lt;=0)),"Mise en service invalide",IF(AND(G34&lt;&gt;"",OR(NOT(ISNUMBER(G34)),N(G34)&lt;0,N(G34)&gt;24)),"Heures d'ouverture entre 0 et 24",IF(AND(I34&lt;&gt;"",OR(NOT(ISNUMBER(I34)),N(I34)&lt;0)),"Relevé du compteur invalide",IF(AND(J34&lt;&gt;"",OR(NOT(ISNUMBER(J34)),N(J34)&lt;0)),"Usage par semaine invalide","OK")))))))))</f>
        <v/>
      </c>
    </row>
    <row r="35">
      <c r="A35" s="65" t="n"/>
      <c r="B35" s="66" t="n"/>
      <c r="C35" s="66" t="n"/>
      <c r="D35" s="66" t="n"/>
      <c r="E35" s="68" t="n"/>
      <c r="F35" s="72" t="n"/>
      <c r="G35" s="71" t="n"/>
      <c r="H35" s="68" t="n"/>
      <c r="I35" s="73" t="n"/>
      <c r="J35" s="73" t="n"/>
      <c r="K35" s="75" t="str">
        <f>IF(A35="","",MAX(N(I35),SUMPRODUCT(MAX((in_eq=A35)*in_done*in_cnum))))</f>
        <v/>
      </c>
      <c r="L35" s="132" t="str">
        <f>IF(A35="","",COUNTIFS(pl_eq,A35,pl_status,"&lt;&gt;Inactif"))</f>
        <v/>
      </c>
      <c r="M35" s="132" t="str">
        <f>IF(A35="","",COUNTIFS(pl_eq,A35,pl_status,"En retard"))</f>
        <v/>
      </c>
      <c r="N35" s="74" t="str">
        <f>IF(A35="","",SUMPRODUCT(MAX((in_eq=A35)*in_done*(in_type="Correctif")*in_dnum)))</f>
        <v/>
      </c>
      <c r="O35" s="81" t="str">
        <f>IF(A35="","",SUMIFS(in_total,in_eq,A35,in_done,1))</f>
        <v/>
      </c>
      <c r="P35" s="79" t="str">
        <f>IF(COUNTA(A35:J35)=0,"",IF(A35="","Code manquant",IF(COUNTIF($A$6:$A$205,A35)&gt;1,"Code en double",IF(B35="","Désignation manquante",IF(AND(E35&lt;&gt;"",E35&lt;&gt;"A",E35&lt;&gt;"B",E35&lt;&gt;"C"),"Criticité : A, B ou C",IF(AND(F35&lt;&gt;"",OR(NOT(ISNUMBER(F35)),N(F35)&lt;=0)),"Mise en service invalide",IF(AND(G35&lt;&gt;"",OR(NOT(ISNUMBER(G35)),N(G35)&lt;0,N(G35)&gt;24)),"Heures d'ouverture entre 0 et 24",IF(AND(I35&lt;&gt;"",OR(NOT(ISNUMBER(I35)),N(I35)&lt;0)),"Relevé du compteur invalide",IF(AND(J35&lt;&gt;"",OR(NOT(ISNUMBER(J35)),N(J35)&lt;0)),"Usage par semaine invalide","OK")))))))))</f>
        <v/>
      </c>
    </row>
    <row r="36">
      <c r="A36" s="65" t="n"/>
      <c r="B36" s="66" t="n"/>
      <c r="C36" s="66" t="n"/>
      <c r="D36" s="66" t="n"/>
      <c r="E36" s="68" t="n"/>
      <c r="F36" s="72" t="n"/>
      <c r="G36" s="71" t="n"/>
      <c r="H36" s="68" t="n"/>
      <c r="I36" s="73" t="n"/>
      <c r="J36" s="73" t="n"/>
      <c r="K36" s="75" t="str">
        <f>IF(A36="","",MAX(N(I36),SUMPRODUCT(MAX((in_eq=A36)*in_done*in_cnum))))</f>
        <v/>
      </c>
      <c r="L36" s="132" t="str">
        <f>IF(A36="","",COUNTIFS(pl_eq,A36,pl_status,"&lt;&gt;Inactif"))</f>
        <v/>
      </c>
      <c r="M36" s="132" t="str">
        <f>IF(A36="","",COUNTIFS(pl_eq,A36,pl_status,"En retard"))</f>
        <v/>
      </c>
      <c r="N36" s="74" t="str">
        <f>IF(A36="","",SUMPRODUCT(MAX((in_eq=A36)*in_done*(in_type="Correctif")*in_dnum)))</f>
        <v/>
      </c>
      <c r="O36" s="81" t="str">
        <f>IF(A36="","",SUMIFS(in_total,in_eq,A36,in_done,1))</f>
        <v/>
      </c>
      <c r="P36" s="79" t="str">
        <f>IF(COUNTA(A36:J36)=0,"",IF(A36="","Code manquant",IF(COUNTIF($A$6:$A$205,A36)&gt;1,"Code en double",IF(B36="","Désignation manquante",IF(AND(E36&lt;&gt;"",E36&lt;&gt;"A",E36&lt;&gt;"B",E36&lt;&gt;"C"),"Criticité : A, B ou C",IF(AND(F36&lt;&gt;"",OR(NOT(ISNUMBER(F36)),N(F36)&lt;=0)),"Mise en service invalide",IF(AND(G36&lt;&gt;"",OR(NOT(ISNUMBER(G36)),N(G36)&lt;0,N(G36)&gt;24)),"Heures d'ouverture entre 0 et 24",IF(AND(I36&lt;&gt;"",OR(NOT(ISNUMBER(I36)),N(I36)&lt;0)),"Relevé du compteur invalide",IF(AND(J36&lt;&gt;"",OR(NOT(ISNUMBER(J36)),N(J36)&lt;0)),"Usage par semaine invalide","OK")))))))))</f>
        <v/>
      </c>
    </row>
    <row r="37">
      <c r="A37" s="65" t="n"/>
      <c r="B37" s="66" t="n"/>
      <c r="C37" s="66" t="n"/>
      <c r="D37" s="66" t="n"/>
      <c r="E37" s="68" t="n"/>
      <c r="F37" s="72" t="n"/>
      <c r="G37" s="71" t="n"/>
      <c r="H37" s="68" t="n"/>
      <c r="I37" s="73" t="n"/>
      <c r="J37" s="73" t="n"/>
      <c r="K37" s="75" t="str">
        <f>IF(A37="","",MAX(N(I37),SUMPRODUCT(MAX((in_eq=A37)*in_done*in_cnum))))</f>
        <v/>
      </c>
      <c r="L37" s="132" t="str">
        <f>IF(A37="","",COUNTIFS(pl_eq,A37,pl_status,"&lt;&gt;Inactif"))</f>
        <v/>
      </c>
      <c r="M37" s="132" t="str">
        <f>IF(A37="","",COUNTIFS(pl_eq,A37,pl_status,"En retard"))</f>
        <v/>
      </c>
      <c r="N37" s="74" t="str">
        <f>IF(A37="","",SUMPRODUCT(MAX((in_eq=A37)*in_done*(in_type="Correctif")*in_dnum)))</f>
        <v/>
      </c>
      <c r="O37" s="81" t="str">
        <f>IF(A37="","",SUMIFS(in_total,in_eq,A37,in_done,1))</f>
        <v/>
      </c>
      <c r="P37" s="79" t="str">
        <f>IF(COUNTA(A37:J37)=0,"",IF(A37="","Code manquant",IF(COUNTIF($A$6:$A$205,A37)&gt;1,"Code en double",IF(B37="","Désignation manquante",IF(AND(E37&lt;&gt;"",E37&lt;&gt;"A",E37&lt;&gt;"B",E37&lt;&gt;"C"),"Criticité : A, B ou C",IF(AND(F37&lt;&gt;"",OR(NOT(ISNUMBER(F37)),N(F37)&lt;=0)),"Mise en service invalide",IF(AND(G37&lt;&gt;"",OR(NOT(ISNUMBER(G37)),N(G37)&lt;0,N(G37)&gt;24)),"Heures d'ouverture entre 0 et 24",IF(AND(I37&lt;&gt;"",OR(NOT(ISNUMBER(I37)),N(I37)&lt;0)),"Relevé du compteur invalide",IF(AND(J37&lt;&gt;"",OR(NOT(ISNUMBER(J37)),N(J37)&lt;0)),"Usage par semaine invalide","OK")))))))))</f>
        <v/>
      </c>
    </row>
    <row r="38">
      <c r="A38" s="65" t="n"/>
      <c r="B38" s="66" t="n"/>
      <c r="C38" s="66" t="n"/>
      <c r="D38" s="66" t="n"/>
      <c r="E38" s="68" t="n"/>
      <c r="F38" s="72" t="n"/>
      <c r="G38" s="71" t="n"/>
      <c r="H38" s="68" t="n"/>
      <c r="I38" s="73" t="n"/>
      <c r="J38" s="73" t="n"/>
      <c r="K38" s="75" t="str">
        <f>IF(A38="","",MAX(N(I38),SUMPRODUCT(MAX((in_eq=A38)*in_done*in_cnum))))</f>
        <v/>
      </c>
      <c r="L38" s="132" t="str">
        <f>IF(A38="","",COUNTIFS(pl_eq,A38,pl_status,"&lt;&gt;Inactif"))</f>
        <v/>
      </c>
      <c r="M38" s="132" t="str">
        <f>IF(A38="","",COUNTIFS(pl_eq,A38,pl_status,"En retard"))</f>
        <v/>
      </c>
      <c r="N38" s="74" t="str">
        <f>IF(A38="","",SUMPRODUCT(MAX((in_eq=A38)*in_done*(in_type="Correctif")*in_dnum)))</f>
        <v/>
      </c>
      <c r="O38" s="81" t="str">
        <f>IF(A38="","",SUMIFS(in_total,in_eq,A38,in_done,1))</f>
        <v/>
      </c>
      <c r="P38" s="79" t="str">
        <f>IF(COUNTA(A38:J38)=0,"",IF(A38="","Code manquant",IF(COUNTIF($A$6:$A$205,A38)&gt;1,"Code en double",IF(B38="","Désignation manquante",IF(AND(E38&lt;&gt;"",E38&lt;&gt;"A",E38&lt;&gt;"B",E38&lt;&gt;"C"),"Criticité : A, B ou C",IF(AND(F38&lt;&gt;"",OR(NOT(ISNUMBER(F38)),N(F38)&lt;=0)),"Mise en service invalide",IF(AND(G38&lt;&gt;"",OR(NOT(ISNUMBER(G38)),N(G38)&lt;0,N(G38)&gt;24)),"Heures d'ouverture entre 0 et 24",IF(AND(I38&lt;&gt;"",OR(NOT(ISNUMBER(I38)),N(I38)&lt;0)),"Relevé du compteur invalide",IF(AND(J38&lt;&gt;"",OR(NOT(ISNUMBER(J38)),N(J38)&lt;0)),"Usage par semaine invalide","OK")))))))))</f>
        <v/>
      </c>
    </row>
    <row r="39">
      <c r="A39" s="65" t="n"/>
      <c r="B39" s="66" t="n"/>
      <c r="C39" s="66" t="n"/>
      <c r="D39" s="66" t="n"/>
      <c r="E39" s="68" t="n"/>
      <c r="F39" s="72" t="n"/>
      <c r="G39" s="71" t="n"/>
      <c r="H39" s="68" t="n"/>
      <c r="I39" s="73" t="n"/>
      <c r="J39" s="73" t="n"/>
      <c r="K39" s="75" t="str">
        <f>IF(A39="","",MAX(N(I39),SUMPRODUCT(MAX((in_eq=A39)*in_done*in_cnum))))</f>
        <v/>
      </c>
      <c r="L39" s="132" t="str">
        <f>IF(A39="","",COUNTIFS(pl_eq,A39,pl_status,"&lt;&gt;Inactif"))</f>
        <v/>
      </c>
      <c r="M39" s="132" t="str">
        <f>IF(A39="","",COUNTIFS(pl_eq,A39,pl_status,"En retard"))</f>
        <v/>
      </c>
      <c r="N39" s="74" t="str">
        <f>IF(A39="","",SUMPRODUCT(MAX((in_eq=A39)*in_done*(in_type="Correctif")*in_dnum)))</f>
        <v/>
      </c>
      <c r="O39" s="81" t="str">
        <f>IF(A39="","",SUMIFS(in_total,in_eq,A39,in_done,1))</f>
        <v/>
      </c>
      <c r="P39" s="79" t="str">
        <f>IF(COUNTA(A39:J39)=0,"",IF(A39="","Code manquant",IF(COUNTIF($A$6:$A$205,A39)&gt;1,"Code en double",IF(B39="","Désignation manquante",IF(AND(E39&lt;&gt;"",E39&lt;&gt;"A",E39&lt;&gt;"B",E39&lt;&gt;"C"),"Criticité : A, B ou C",IF(AND(F39&lt;&gt;"",OR(NOT(ISNUMBER(F39)),N(F39)&lt;=0)),"Mise en service invalide",IF(AND(G39&lt;&gt;"",OR(NOT(ISNUMBER(G39)),N(G39)&lt;0,N(G39)&gt;24)),"Heures d'ouverture entre 0 et 24",IF(AND(I39&lt;&gt;"",OR(NOT(ISNUMBER(I39)),N(I39)&lt;0)),"Relevé du compteur invalide",IF(AND(J39&lt;&gt;"",OR(NOT(ISNUMBER(J39)),N(J39)&lt;0)),"Usage par semaine invalide","OK")))))))))</f>
        <v/>
      </c>
    </row>
    <row r="40">
      <c r="A40" s="65" t="n"/>
      <c r="B40" s="66" t="n"/>
      <c r="C40" s="66" t="n"/>
      <c r="D40" s="66" t="n"/>
      <c r="E40" s="68" t="n"/>
      <c r="F40" s="72" t="n"/>
      <c r="G40" s="71" t="n"/>
      <c r="H40" s="68" t="n"/>
      <c r="I40" s="73" t="n"/>
      <c r="J40" s="73" t="n"/>
      <c r="K40" s="75" t="str">
        <f>IF(A40="","",MAX(N(I40),SUMPRODUCT(MAX((in_eq=A40)*in_done*in_cnum))))</f>
        <v/>
      </c>
      <c r="L40" s="132" t="str">
        <f>IF(A40="","",COUNTIFS(pl_eq,A40,pl_status,"&lt;&gt;Inactif"))</f>
        <v/>
      </c>
      <c r="M40" s="132" t="str">
        <f>IF(A40="","",COUNTIFS(pl_eq,A40,pl_status,"En retard"))</f>
        <v/>
      </c>
      <c r="N40" s="74" t="str">
        <f>IF(A40="","",SUMPRODUCT(MAX((in_eq=A40)*in_done*(in_type="Correctif")*in_dnum)))</f>
        <v/>
      </c>
      <c r="O40" s="81" t="str">
        <f>IF(A40="","",SUMIFS(in_total,in_eq,A40,in_done,1))</f>
        <v/>
      </c>
      <c r="P40" s="79" t="str">
        <f>IF(COUNTA(A40:J40)=0,"",IF(A40="","Code manquant",IF(COUNTIF($A$6:$A$205,A40)&gt;1,"Code en double",IF(B40="","Désignation manquante",IF(AND(E40&lt;&gt;"",E40&lt;&gt;"A",E40&lt;&gt;"B",E40&lt;&gt;"C"),"Criticité : A, B ou C",IF(AND(F40&lt;&gt;"",OR(NOT(ISNUMBER(F40)),N(F40)&lt;=0)),"Mise en service invalide",IF(AND(G40&lt;&gt;"",OR(NOT(ISNUMBER(G40)),N(G40)&lt;0,N(G40)&gt;24)),"Heures d'ouverture entre 0 et 24",IF(AND(I40&lt;&gt;"",OR(NOT(ISNUMBER(I40)),N(I40)&lt;0)),"Relevé du compteur invalide",IF(AND(J40&lt;&gt;"",OR(NOT(ISNUMBER(J40)),N(J40)&lt;0)),"Usage par semaine invalide","OK")))))))))</f>
        <v/>
      </c>
    </row>
    <row r="41">
      <c r="A41" s="65" t="n"/>
      <c r="B41" s="66" t="n"/>
      <c r="C41" s="66" t="n"/>
      <c r="D41" s="66" t="n"/>
      <c r="E41" s="68" t="n"/>
      <c r="F41" s="72" t="n"/>
      <c r="G41" s="71" t="n"/>
      <c r="H41" s="68" t="n"/>
      <c r="I41" s="73" t="n"/>
      <c r="J41" s="73" t="n"/>
      <c r="K41" s="75" t="str">
        <f>IF(A41="","",MAX(N(I41),SUMPRODUCT(MAX((in_eq=A41)*in_done*in_cnum))))</f>
        <v/>
      </c>
      <c r="L41" s="132" t="str">
        <f>IF(A41="","",COUNTIFS(pl_eq,A41,pl_status,"&lt;&gt;Inactif"))</f>
        <v/>
      </c>
      <c r="M41" s="132" t="str">
        <f>IF(A41="","",COUNTIFS(pl_eq,A41,pl_status,"En retard"))</f>
        <v/>
      </c>
      <c r="N41" s="74" t="str">
        <f>IF(A41="","",SUMPRODUCT(MAX((in_eq=A41)*in_done*(in_type="Correctif")*in_dnum)))</f>
        <v/>
      </c>
      <c r="O41" s="81" t="str">
        <f>IF(A41="","",SUMIFS(in_total,in_eq,A41,in_done,1))</f>
        <v/>
      </c>
      <c r="P41" s="79" t="str">
        <f>IF(COUNTA(A41:J41)=0,"",IF(A41="","Code manquant",IF(COUNTIF($A$6:$A$205,A41)&gt;1,"Code en double",IF(B41="","Désignation manquante",IF(AND(E41&lt;&gt;"",E41&lt;&gt;"A",E41&lt;&gt;"B",E41&lt;&gt;"C"),"Criticité : A, B ou C",IF(AND(F41&lt;&gt;"",OR(NOT(ISNUMBER(F41)),N(F41)&lt;=0)),"Mise en service invalide",IF(AND(G41&lt;&gt;"",OR(NOT(ISNUMBER(G41)),N(G41)&lt;0,N(G41)&gt;24)),"Heures d'ouverture entre 0 et 24",IF(AND(I41&lt;&gt;"",OR(NOT(ISNUMBER(I41)),N(I41)&lt;0)),"Relevé du compteur invalide",IF(AND(J41&lt;&gt;"",OR(NOT(ISNUMBER(J41)),N(J41)&lt;0)),"Usage par semaine invalide","OK")))))))))</f>
        <v/>
      </c>
    </row>
    <row r="42">
      <c r="A42" s="65" t="n"/>
      <c r="B42" s="66" t="n"/>
      <c r="C42" s="66" t="n"/>
      <c r="D42" s="66" t="n"/>
      <c r="E42" s="68" t="n"/>
      <c r="F42" s="72" t="n"/>
      <c r="G42" s="71" t="n"/>
      <c r="H42" s="68" t="n"/>
      <c r="I42" s="73" t="n"/>
      <c r="J42" s="73" t="n"/>
      <c r="K42" s="75" t="str">
        <f>IF(A42="","",MAX(N(I42),SUMPRODUCT(MAX((in_eq=A42)*in_done*in_cnum))))</f>
        <v/>
      </c>
      <c r="L42" s="132" t="str">
        <f>IF(A42="","",COUNTIFS(pl_eq,A42,pl_status,"&lt;&gt;Inactif"))</f>
        <v/>
      </c>
      <c r="M42" s="132" t="str">
        <f>IF(A42="","",COUNTIFS(pl_eq,A42,pl_status,"En retard"))</f>
        <v/>
      </c>
      <c r="N42" s="74" t="str">
        <f>IF(A42="","",SUMPRODUCT(MAX((in_eq=A42)*in_done*(in_type="Correctif")*in_dnum)))</f>
        <v/>
      </c>
      <c r="O42" s="81" t="str">
        <f>IF(A42="","",SUMIFS(in_total,in_eq,A42,in_done,1))</f>
        <v/>
      </c>
      <c r="P42" s="79" t="str">
        <f>IF(COUNTA(A42:J42)=0,"",IF(A42="","Code manquant",IF(COUNTIF($A$6:$A$205,A42)&gt;1,"Code en double",IF(B42="","Désignation manquante",IF(AND(E42&lt;&gt;"",E42&lt;&gt;"A",E42&lt;&gt;"B",E42&lt;&gt;"C"),"Criticité : A, B ou C",IF(AND(F42&lt;&gt;"",OR(NOT(ISNUMBER(F42)),N(F42)&lt;=0)),"Mise en service invalide",IF(AND(G42&lt;&gt;"",OR(NOT(ISNUMBER(G42)),N(G42)&lt;0,N(G42)&gt;24)),"Heures d'ouverture entre 0 et 24",IF(AND(I42&lt;&gt;"",OR(NOT(ISNUMBER(I42)),N(I42)&lt;0)),"Relevé du compteur invalide",IF(AND(J42&lt;&gt;"",OR(NOT(ISNUMBER(J42)),N(J42)&lt;0)),"Usage par semaine invalide","OK")))))))))</f>
        <v/>
      </c>
    </row>
    <row r="43">
      <c r="A43" s="65" t="n"/>
      <c r="B43" s="66" t="n"/>
      <c r="C43" s="66" t="n"/>
      <c r="D43" s="66" t="n"/>
      <c r="E43" s="68" t="n"/>
      <c r="F43" s="72" t="n"/>
      <c r="G43" s="71" t="n"/>
      <c r="H43" s="68" t="n"/>
      <c r="I43" s="73" t="n"/>
      <c r="J43" s="73" t="n"/>
      <c r="K43" s="75" t="str">
        <f>IF(A43="","",MAX(N(I43),SUMPRODUCT(MAX((in_eq=A43)*in_done*in_cnum))))</f>
        <v/>
      </c>
      <c r="L43" s="132" t="str">
        <f>IF(A43="","",COUNTIFS(pl_eq,A43,pl_status,"&lt;&gt;Inactif"))</f>
        <v/>
      </c>
      <c r="M43" s="132" t="str">
        <f>IF(A43="","",COUNTIFS(pl_eq,A43,pl_status,"En retard"))</f>
        <v/>
      </c>
      <c r="N43" s="74" t="str">
        <f>IF(A43="","",SUMPRODUCT(MAX((in_eq=A43)*in_done*(in_type="Correctif")*in_dnum)))</f>
        <v/>
      </c>
      <c r="O43" s="81" t="str">
        <f>IF(A43="","",SUMIFS(in_total,in_eq,A43,in_done,1))</f>
        <v/>
      </c>
      <c r="P43" s="79" t="str">
        <f>IF(COUNTA(A43:J43)=0,"",IF(A43="","Code manquant",IF(COUNTIF($A$6:$A$205,A43)&gt;1,"Code en double",IF(B43="","Désignation manquante",IF(AND(E43&lt;&gt;"",E43&lt;&gt;"A",E43&lt;&gt;"B",E43&lt;&gt;"C"),"Criticité : A, B ou C",IF(AND(F43&lt;&gt;"",OR(NOT(ISNUMBER(F43)),N(F43)&lt;=0)),"Mise en service invalide",IF(AND(G43&lt;&gt;"",OR(NOT(ISNUMBER(G43)),N(G43)&lt;0,N(G43)&gt;24)),"Heures d'ouverture entre 0 et 24",IF(AND(I43&lt;&gt;"",OR(NOT(ISNUMBER(I43)),N(I43)&lt;0)),"Relevé du compteur invalide",IF(AND(J43&lt;&gt;"",OR(NOT(ISNUMBER(J43)),N(J43)&lt;0)),"Usage par semaine invalide","OK")))))))))</f>
        <v/>
      </c>
    </row>
    <row r="44">
      <c r="A44" s="65" t="n"/>
      <c r="B44" s="66" t="n"/>
      <c r="C44" s="66" t="n"/>
      <c r="D44" s="66" t="n"/>
      <c r="E44" s="68" t="n"/>
      <c r="F44" s="72" t="n"/>
      <c r="G44" s="71" t="n"/>
      <c r="H44" s="68" t="n"/>
      <c r="I44" s="73" t="n"/>
      <c r="J44" s="73" t="n"/>
      <c r="K44" s="75" t="str">
        <f>IF(A44="","",MAX(N(I44),SUMPRODUCT(MAX((in_eq=A44)*in_done*in_cnum))))</f>
        <v/>
      </c>
      <c r="L44" s="132" t="str">
        <f>IF(A44="","",COUNTIFS(pl_eq,A44,pl_status,"&lt;&gt;Inactif"))</f>
        <v/>
      </c>
      <c r="M44" s="132" t="str">
        <f>IF(A44="","",COUNTIFS(pl_eq,A44,pl_status,"En retard"))</f>
        <v/>
      </c>
      <c r="N44" s="74" t="str">
        <f>IF(A44="","",SUMPRODUCT(MAX((in_eq=A44)*in_done*(in_type="Correctif")*in_dnum)))</f>
        <v/>
      </c>
      <c r="O44" s="81" t="str">
        <f>IF(A44="","",SUMIFS(in_total,in_eq,A44,in_done,1))</f>
        <v/>
      </c>
      <c r="P44" s="79" t="str">
        <f>IF(COUNTA(A44:J44)=0,"",IF(A44="","Code manquant",IF(COUNTIF($A$6:$A$205,A44)&gt;1,"Code en double",IF(B44="","Désignation manquante",IF(AND(E44&lt;&gt;"",E44&lt;&gt;"A",E44&lt;&gt;"B",E44&lt;&gt;"C"),"Criticité : A, B ou C",IF(AND(F44&lt;&gt;"",OR(NOT(ISNUMBER(F44)),N(F44)&lt;=0)),"Mise en service invalide",IF(AND(G44&lt;&gt;"",OR(NOT(ISNUMBER(G44)),N(G44)&lt;0,N(G44)&gt;24)),"Heures d'ouverture entre 0 et 24",IF(AND(I44&lt;&gt;"",OR(NOT(ISNUMBER(I44)),N(I44)&lt;0)),"Relevé du compteur invalide",IF(AND(J44&lt;&gt;"",OR(NOT(ISNUMBER(J44)),N(J44)&lt;0)),"Usage par semaine invalide","OK")))))))))</f>
        <v/>
      </c>
    </row>
    <row r="45">
      <c r="A45" s="65" t="n"/>
      <c r="B45" s="66" t="n"/>
      <c r="C45" s="66" t="n"/>
      <c r="D45" s="66" t="n"/>
      <c r="E45" s="68" t="n"/>
      <c r="F45" s="72" t="n"/>
      <c r="G45" s="71" t="n"/>
      <c r="H45" s="68" t="n"/>
      <c r="I45" s="73" t="n"/>
      <c r="J45" s="73" t="n"/>
      <c r="K45" s="75" t="str">
        <f>IF(A45="","",MAX(N(I45),SUMPRODUCT(MAX((in_eq=A45)*in_done*in_cnum))))</f>
        <v/>
      </c>
      <c r="L45" s="132" t="str">
        <f>IF(A45="","",COUNTIFS(pl_eq,A45,pl_status,"&lt;&gt;Inactif"))</f>
        <v/>
      </c>
      <c r="M45" s="132" t="str">
        <f>IF(A45="","",COUNTIFS(pl_eq,A45,pl_status,"En retard"))</f>
        <v/>
      </c>
      <c r="N45" s="74" t="str">
        <f>IF(A45="","",SUMPRODUCT(MAX((in_eq=A45)*in_done*(in_type="Correctif")*in_dnum)))</f>
        <v/>
      </c>
      <c r="O45" s="81" t="str">
        <f>IF(A45="","",SUMIFS(in_total,in_eq,A45,in_done,1))</f>
        <v/>
      </c>
      <c r="P45" s="79" t="str">
        <f>IF(COUNTA(A45:J45)=0,"",IF(A45="","Code manquant",IF(COUNTIF($A$6:$A$205,A45)&gt;1,"Code en double",IF(B45="","Désignation manquante",IF(AND(E45&lt;&gt;"",E45&lt;&gt;"A",E45&lt;&gt;"B",E45&lt;&gt;"C"),"Criticité : A, B ou C",IF(AND(F45&lt;&gt;"",OR(NOT(ISNUMBER(F45)),N(F45)&lt;=0)),"Mise en service invalide",IF(AND(G45&lt;&gt;"",OR(NOT(ISNUMBER(G45)),N(G45)&lt;0,N(G45)&gt;24)),"Heures d'ouverture entre 0 et 24",IF(AND(I45&lt;&gt;"",OR(NOT(ISNUMBER(I45)),N(I45)&lt;0)),"Relevé du compteur invalide",IF(AND(J45&lt;&gt;"",OR(NOT(ISNUMBER(J45)),N(J45)&lt;0)),"Usage par semaine invalide","OK")))))))))</f>
        <v/>
      </c>
    </row>
    <row r="46">
      <c r="A46" s="65" t="n"/>
      <c r="B46" s="66" t="n"/>
      <c r="C46" s="66" t="n"/>
      <c r="D46" s="66" t="n"/>
      <c r="E46" s="68" t="n"/>
      <c r="F46" s="72" t="n"/>
      <c r="G46" s="71" t="n"/>
      <c r="H46" s="68" t="n"/>
      <c r="I46" s="73" t="n"/>
      <c r="J46" s="73" t="n"/>
      <c r="K46" s="75" t="str">
        <f>IF(A46="","",MAX(N(I46),SUMPRODUCT(MAX((in_eq=A46)*in_done*in_cnum))))</f>
        <v/>
      </c>
      <c r="L46" s="132" t="str">
        <f>IF(A46="","",COUNTIFS(pl_eq,A46,pl_status,"&lt;&gt;Inactif"))</f>
        <v/>
      </c>
      <c r="M46" s="132" t="str">
        <f>IF(A46="","",COUNTIFS(pl_eq,A46,pl_status,"En retard"))</f>
        <v/>
      </c>
      <c r="N46" s="74" t="str">
        <f>IF(A46="","",SUMPRODUCT(MAX((in_eq=A46)*in_done*(in_type="Correctif")*in_dnum)))</f>
        <v/>
      </c>
      <c r="O46" s="81" t="str">
        <f>IF(A46="","",SUMIFS(in_total,in_eq,A46,in_done,1))</f>
        <v/>
      </c>
      <c r="P46" s="79" t="str">
        <f>IF(COUNTA(A46:J46)=0,"",IF(A46="","Code manquant",IF(COUNTIF($A$6:$A$205,A46)&gt;1,"Code en double",IF(B46="","Désignation manquante",IF(AND(E46&lt;&gt;"",E46&lt;&gt;"A",E46&lt;&gt;"B",E46&lt;&gt;"C"),"Criticité : A, B ou C",IF(AND(F46&lt;&gt;"",OR(NOT(ISNUMBER(F46)),N(F46)&lt;=0)),"Mise en service invalide",IF(AND(G46&lt;&gt;"",OR(NOT(ISNUMBER(G46)),N(G46)&lt;0,N(G46)&gt;24)),"Heures d'ouverture entre 0 et 24",IF(AND(I46&lt;&gt;"",OR(NOT(ISNUMBER(I46)),N(I46)&lt;0)),"Relevé du compteur invalide",IF(AND(J46&lt;&gt;"",OR(NOT(ISNUMBER(J46)),N(J46)&lt;0)),"Usage par semaine invalide","OK")))))))))</f>
        <v/>
      </c>
    </row>
    <row r="47">
      <c r="A47" s="65" t="n"/>
      <c r="B47" s="66" t="n"/>
      <c r="C47" s="66" t="n"/>
      <c r="D47" s="66" t="n"/>
      <c r="E47" s="68" t="n"/>
      <c r="F47" s="72" t="n"/>
      <c r="G47" s="71" t="n"/>
      <c r="H47" s="68" t="n"/>
      <c r="I47" s="73" t="n"/>
      <c r="J47" s="73" t="n"/>
      <c r="K47" s="75" t="str">
        <f>IF(A47="","",MAX(N(I47),SUMPRODUCT(MAX((in_eq=A47)*in_done*in_cnum))))</f>
        <v/>
      </c>
      <c r="L47" s="132" t="str">
        <f>IF(A47="","",COUNTIFS(pl_eq,A47,pl_status,"&lt;&gt;Inactif"))</f>
        <v/>
      </c>
      <c r="M47" s="132" t="str">
        <f>IF(A47="","",COUNTIFS(pl_eq,A47,pl_status,"En retard"))</f>
        <v/>
      </c>
      <c r="N47" s="74" t="str">
        <f>IF(A47="","",SUMPRODUCT(MAX((in_eq=A47)*in_done*(in_type="Correctif")*in_dnum)))</f>
        <v/>
      </c>
      <c r="O47" s="81" t="str">
        <f>IF(A47="","",SUMIFS(in_total,in_eq,A47,in_done,1))</f>
        <v/>
      </c>
      <c r="P47" s="79" t="str">
        <f>IF(COUNTA(A47:J47)=0,"",IF(A47="","Code manquant",IF(COUNTIF($A$6:$A$205,A47)&gt;1,"Code en double",IF(B47="","Désignation manquante",IF(AND(E47&lt;&gt;"",E47&lt;&gt;"A",E47&lt;&gt;"B",E47&lt;&gt;"C"),"Criticité : A, B ou C",IF(AND(F47&lt;&gt;"",OR(NOT(ISNUMBER(F47)),N(F47)&lt;=0)),"Mise en service invalide",IF(AND(G47&lt;&gt;"",OR(NOT(ISNUMBER(G47)),N(G47)&lt;0,N(G47)&gt;24)),"Heures d'ouverture entre 0 et 24",IF(AND(I47&lt;&gt;"",OR(NOT(ISNUMBER(I47)),N(I47)&lt;0)),"Relevé du compteur invalide",IF(AND(J47&lt;&gt;"",OR(NOT(ISNUMBER(J47)),N(J47)&lt;0)),"Usage par semaine invalide","OK")))))))))</f>
        <v/>
      </c>
    </row>
    <row r="48">
      <c r="A48" s="65" t="n"/>
      <c r="B48" s="66" t="n"/>
      <c r="C48" s="66" t="n"/>
      <c r="D48" s="66" t="n"/>
      <c r="E48" s="68" t="n"/>
      <c r="F48" s="72" t="n"/>
      <c r="G48" s="71" t="n"/>
      <c r="H48" s="68" t="n"/>
      <c r="I48" s="73" t="n"/>
      <c r="J48" s="73" t="n"/>
      <c r="K48" s="75" t="str">
        <f>IF(A48="","",MAX(N(I48),SUMPRODUCT(MAX((in_eq=A48)*in_done*in_cnum))))</f>
        <v/>
      </c>
      <c r="L48" s="132" t="str">
        <f>IF(A48="","",COUNTIFS(pl_eq,A48,pl_status,"&lt;&gt;Inactif"))</f>
        <v/>
      </c>
      <c r="M48" s="132" t="str">
        <f>IF(A48="","",COUNTIFS(pl_eq,A48,pl_status,"En retard"))</f>
        <v/>
      </c>
      <c r="N48" s="74" t="str">
        <f>IF(A48="","",SUMPRODUCT(MAX((in_eq=A48)*in_done*(in_type="Correctif")*in_dnum)))</f>
        <v/>
      </c>
      <c r="O48" s="81" t="str">
        <f>IF(A48="","",SUMIFS(in_total,in_eq,A48,in_done,1))</f>
        <v/>
      </c>
      <c r="P48" s="79" t="str">
        <f>IF(COUNTA(A48:J48)=0,"",IF(A48="","Code manquant",IF(COUNTIF($A$6:$A$205,A48)&gt;1,"Code en double",IF(B48="","Désignation manquante",IF(AND(E48&lt;&gt;"",E48&lt;&gt;"A",E48&lt;&gt;"B",E48&lt;&gt;"C"),"Criticité : A, B ou C",IF(AND(F48&lt;&gt;"",OR(NOT(ISNUMBER(F48)),N(F48)&lt;=0)),"Mise en service invalide",IF(AND(G48&lt;&gt;"",OR(NOT(ISNUMBER(G48)),N(G48)&lt;0,N(G48)&gt;24)),"Heures d'ouverture entre 0 et 24",IF(AND(I48&lt;&gt;"",OR(NOT(ISNUMBER(I48)),N(I48)&lt;0)),"Relevé du compteur invalide",IF(AND(J48&lt;&gt;"",OR(NOT(ISNUMBER(J48)),N(J48)&lt;0)),"Usage par semaine invalide","OK")))))))))</f>
        <v/>
      </c>
    </row>
    <row r="49">
      <c r="A49" s="65" t="n"/>
      <c r="B49" s="66" t="n"/>
      <c r="C49" s="66" t="n"/>
      <c r="D49" s="66" t="n"/>
      <c r="E49" s="68" t="n"/>
      <c r="F49" s="72" t="n"/>
      <c r="G49" s="71" t="n"/>
      <c r="H49" s="68" t="n"/>
      <c r="I49" s="73" t="n"/>
      <c r="J49" s="73" t="n"/>
      <c r="K49" s="75" t="str">
        <f>IF(A49="","",MAX(N(I49),SUMPRODUCT(MAX((in_eq=A49)*in_done*in_cnum))))</f>
        <v/>
      </c>
      <c r="L49" s="132" t="str">
        <f>IF(A49="","",COUNTIFS(pl_eq,A49,pl_status,"&lt;&gt;Inactif"))</f>
        <v/>
      </c>
      <c r="M49" s="132" t="str">
        <f>IF(A49="","",COUNTIFS(pl_eq,A49,pl_status,"En retard"))</f>
        <v/>
      </c>
      <c r="N49" s="74" t="str">
        <f>IF(A49="","",SUMPRODUCT(MAX((in_eq=A49)*in_done*(in_type="Correctif")*in_dnum)))</f>
        <v/>
      </c>
      <c r="O49" s="81" t="str">
        <f>IF(A49="","",SUMIFS(in_total,in_eq,A49,in_done,1))</f>
        <v/>
      </c>
      <c r="P49" s="79" t="str">
        <f>IF(COUNTA(A49:J49)=0,"",IF(A49="","Code manquant",IF(COUNTIF($A$6:$A$205,A49)&gt;1,"Code en double",IF(B49="","Désignation manquante",IF(AND(E49&lt;&gt;"",E49&lt;&gt;"A",E49&lt;&gt;"B",E49&lt;&gt;"C"),"Criticité : A, B ou C",IF(AND(F49&lt;&gt;"",OR(NOT(ISNUMBER(F49)),N(F49)&lt;=0)),"Mise en service invalide",IF(AND(G49&lt;&gt;"",OR(NOT(ISNUMBER(G49)),N(G49)&lt;0,N(G49)&gt;24)),"Heures d'ouverture entre 0 et 24",IF(AND(I49&lt;&gt;"",OR(NOT(ISNUMBER(I49)),N(I49)&lt;0)),"Relevé du compteur invalide",IF(AND(J49&lt;&gt;"",OR(NOT(ISNUMBER(J49)),N(J49)&lt;0)),"Usage par semaine invalide","OK")))))))))</f>
        <v/>
      </c>
    </row>
    <row r="50">
      <c r="A50" s="65" t="n"/>
      <c r="B50" s="66" t="n"/>
      <c r="C50" s="66" t="n"/>
      <c r="D50" s="66" t="n"/>
      <c r="E50" s="68" t="n"/>
      <c r="F50" s="72" t="n"/>
      <c r="G50" s="71" t="n"/>
      <c r="H50" s="68" t="n"/>
      <c r="I50" s="73" t="n"/>
      <c r="J50" s="73" t="n"/>
      <c r="K50" s="75" t="str">
        <f>IF(A50="","",MAX(N(I50),SUMPRODUCT(MAX((in_eq=A50)*in_done*in_cnum))))</f>
        <v/>
      </c>
      <c r="L50" s="132" t="str">
        <f>IF(A50="","",COUNTIFS(pl_eq,A50,pl_status,"&lt;&gt;Inactif"))</f>
        <v/>
      </c>
      <c r="M50" s="132" t="str">
        <f>IF(A50="","",COUNTIFS(pl_eq,A50,pl_status,"En retard"))</f>
        <v/>
      </c>
      <c r="N50" s="74" t="str">
        <f>IF(A50="","",SUMPRODUCT(MAX((in_eq=A50)*in_done*(in_type="Correctif")*in_dnum)))</f>
        <v/>
      </c>
      <c r="O50" s="81" t="str">
        <f>IF(A50="","",SUMIFS(in_total,in_eq,A50,in_done,1))</f>
        <v/>
      </c>
      <c r="P50" s="79" t="str">
        <f>IF(COUNTA(A50:J50)=0,"",IF(A50="","Code manquant",IF(COUNTIF($A$6:$A$205,A50)&gt;1,"Code en double",IF(B50="","Désignation manquante",IF(AND(E50&lt;&gt;"",E50&lt;&gt;"A",E50&lt;&gt;"B",E50&lt;&gt;"C"),"Criticité : A, B ou C",IF(AND(F50&lt;&gt;"",OR(NOT(ISNUMBER(F50)),N(F50)&lt;=0)),"Mise en service invalide",IF(AND(G50&lt;&gt;"",OR(NOT(ISNUMBER(G50)),N(G50)&lt;0,N(G50)&gt;24)),"Heures d'ouverture entre 0 et 24",IF(AND(I50&lt;&gt;"",OR(NOT(ISNUMBER(I50)),N(I50)&lt;0)),"Relevé du compteur invalide",IF(AND(J50&lt;&gt;"",OR(NOT(ISNUMBER(J50)),N(J50)&lt;0)),"Usage par semaine invalide","OK")))))))))</f>
        <v/>
      </c>
    </row>
    <row r="51">
      <c r="A51" s="65" t="n"/>
      <c r="B51" s="66" t="n"/>
      <c r="C51" s="66" t="n"/>
      <c r="D51" s="66" t="n"/>
      <c r="E51" s="68" t="n"/>
      <c r="F51" s="72" t="n"/>
      <c r="G51" s="71" t="n"/>
      <c r="H51" s="68" t="n"/>
      <c r="I51" s="73" t="n"/>
      <c r="J51" s="73" t="n"/>
      <c r="K51" s="75" t="str">
        <f>IF(A51="","",MAX(N(I51),SUMPRODUCT(MAX((in_eq=A51)*in_done*in_cnum))))</f>
        <v/>
      </c>
      <c r="L51" s="132" t="str">
        <f>IF(A51="","",COUNTIFS(pl_eq,A51,pl_status,"&lt;&gt;Inactif"))</f>
        <v/>
      </c>
      <c r="M51" s="132" t="str">
        <f>IF(A51="","",COUNTIFS(pl_eq,A51,pl_status,"En retard"))</f>
        <v/>
      </c>
      <c r="N51" s="74" t="str">
        <f>IF(A51="","",SUMPRODUCT(MAX((in_eq=A51)*in_done*(in_type="Correctif")*in_dnum)))</f>
        <v/>
      </c>
      <c r="O51" s="81" t="str">
        <f>IF(A51="","",SUMIFS(in_total,in_eq,A51,in_done,1))</f>
        <v/>
      </c>
      <c r="P51" s="79" t="str">
        <f>IF(COUNTA(A51:J51)=0,"",IF(A51="","Code manquant",IF(COUNTIF($A$6:$A$205,A51)&gt;1,"Code en double",IF(B51="","Désignation manquante",IF(AND(E51&lt;&gt;"",E51&lt;&gt;"A",E51&lt;&gt;"B",E51&lt;&gt;"C"),"Criticité : A, B ou C",IF(AND(F51&lt;&gt;"",OR(NOT(ISNUMBER(F51)),N(F51)&lt;=0)),"Mise en service invalide",IF(AND(G51&lt;&gt;"",OR(NOT(ISNUMBER(G51)),N(G51)&lt;0,N(G51)&gt;24)),"Heures d'ouverture entre 0 et 24",IF(AND(I51&lt;&gt;"",OR(NOT(ISNUMBER(I51)),N(I51)&lt;0)),"Relevé du compteur invalide",IF(AND(J51&lt;&gt;"",OR(NOT(ISNUMBER(J51)),N(J51)&lt;0)),"Usage par semaine invalide","OK")))))))))</f>
        <v/>
      </c>
    </row>
    <row r="52">
      <c r="A52" s="65" t="n"/>
      <c r="B52" s="66" t="n"/>
      <c r="C52" s="66" t="n"/>
      <c r="D52" s="66" t="n"/>
      <c r="E52" s="68" t="n"/>
      <c r="F52" s="72" t="n"/>
      <c r="G52" s="71" t="n"/>
      <c r="H52" s="68" t="n"/>
      <c r="I52" s="73" t="n"/>
      <c r="J52" s="73" t="n"/>
      <c r="K52" s="75" t="str">
        <f>IF(A52="","",MAX(N(I52),SUMPRODUCT(MAX((in_eq=A52)*in_done*in_cnum))))</f>
        <v/>
      </c>
      <c r="L52" s="132" t="str">
        <f>IF(A52="","",COUNTIFS(pl_eq,A52,pl_status,"&lt;&gt;Inactif"))</f>
        <v/>
      </c>
      <c r="M52" s="132" t="str">
        <f>IF(A52="","",COUNTIFS(pl_eq,A52,pl_status,"En retard"))</f>
        <v/>
      </c>
      <c r="N52" s="74" t="str">
        <f>IF(A52="","",SUMPRODUCT(MAX((in_eq=A52)*in_done*(in_type="Correctif")*in_dnum)))</f>
        <v/>
      </c>
      <c r="O52" s="81" t="str">
        <f>IF(A52="","",SUMIFS(in_total,in_eq,A52,in_done,1))</f>
        <v/>
      </c>
      <c r="P52" s="79" t="str">
        <f>IF(COUNTA(A52:J52)=0,"",IF(A52="","Code manquant",IF(COUNTIF($A$6:$A$205,A52)&gt;1,"Code en double",IF(B52="","Désignation manquante",IF(AND(E52&lt;&gt;"",E52&lt;&gt;"A",E52&lt;&gt;"B",E52&lt;&gt;"C"),"Criticité : A, B ou C",IF(AND(F52&lt;&gt;"",OR(NOT(ISNUMBER(F52)),N(F52)&lt;=0)),"Mise en service invalide",IF(AND(G52&lt;&gt;"",OR(NOT(ISNUMBER(G52)),N(G52)&lt;0,N(G52)&gt;24)),"Heures d'ouverture entre 0 et 24",IF(AND(I52&lt;&gt;"",OR(NOT(ISNUMBER(I52)),N(I52)&lt;0)),"Relevé du compteur invalide",IF(AND(J52&lt;&gt;"",OR(NOT(ISNUMBER(J52)),N(J52)&lt;0)),"Usage par semaine invalide","OK")))))))))</f>
        <v/>
      </c>
    </row>
    <row r="53">
      <c r="A53" s="65" t="n"/>
      <c r="B53" s="66" t="n"/>
      <c r="C53" s="66" t="n"/>
      <c r="D53" s="66" t="n"/>
      <c r="E53" s="68" t="n"/>
      <c r="F53" s="72" t="n"/>
      <c r="G53" s="71" t="n"/>
      <c r="H53" s="68" t="n"/>
      <c r="I53" s="73" t="n"/>
      <c r="J53" s="73" t="n"/>
      <c r="K53" s="75" t="str">
        <f>IF(A53="","",MAX(N(I53),SUMPRODUCT(MAX((in_eq=A53)*in_done*in_cnum))))</f>
        <v/>
      </c>
      <c r="L53" s="132" t="str">
        <f>IF(A53="","",COUNTIFS(pl_eq,A53,pl_status,"&lt;&gt;Inactif"))</f>
        <v/>
      </c>
      <c r="M53" s="132" t="str">
        <f>IF(A53="","",COUNTIFS(pl_eq,A53,pl_status,"En retard"))</f>
        <v/>
      </c>
      <c r="N53" s="74" t="str">
        <f>IF(A53="","",SUMPRODUCT(MAX((in_eq=A53)*in_done*(in_type="Correctif")*in_dnum)))</f>
        <v/>
      </c>
      <c r="O53" s="81" t="str">
        <f>IF(A53="","",SUMIFS(in_total,in_eq,A53,in_done,1))</f>
        <v/>
      </c>
      <c r="P53" s="79" t="str">
        <f>IF(COUNTA(A53:J53)=0,"",IF(A53="","Code manquant",IF(COUNTIF($A$6:$A$205,A53)&gt;1,"Code en double",IF(B53="","Désignation manquante",IF(AND(E53&lt;&gt;"",E53&lt;&gt;"A",E53&lt;&gt;"B",E53&lt;&gt;"C"),"Criticité : A, B ou C",IF(AND(F53&lt;&gt;"",OR(NOT(ISNUMBER(F53)),N(F53)&lt;=0)),"Mise en service invalide",IF(AND(G53&lt;&gt;"",OR(NOT(ISNUMBER(G53)),N(G53)&lt;0,N(G53)&gt;24)),"Heures d'ouverture entre 0 et 24",IF(AND(I53&lt;&gt;"",OR(NOT(ISNUMBER(I53)),N(I53)&lt;0)),"Relevé du compteur invalide",IF(AND(J53&lt;&gt;"",OR(NOT(ISNUMBER(J53)),N(J53)&lt;0)),"Usage par semaine invalide","OK")))))))))</f>
        <v/>
      </c>
    </row>
    <row r="54">
      <c r="A54" s="65" t="n"/>
      <c r="B54" s="66" t="n"/>
      <c r="C54" s="66" t="n"/>
      <c r="D54" s="66" t="n"/>
      <c r="E54" s="68" t="n"/>
      <c r="F54" s="72" t="n"/>
      <c r="G54" s="71" t="n"/>
      <c r="H54" s="68" t="n"/>
      <c r="I54" s="73" t="n"/>
      <c r="J54" s="73" t="n"/>
      <c r="K54" s="75" t="str">
        <f>IF(A54="","",MAX(N(I54),SUMPRODUCT(MAX((in_eq=A54)*in_done*in_cnum))))</f>
        <v/>
      </c>
      <c r="L54" s="132" t="str">
        <f>IF(A54="","",COUNTIFS(pl_eq,A54,pl_status,"&lt;&gt;Inactif"))</f>
        <v/>
      </c>
      <c r="M54" s="132" t="str">
        <f>IF(A54="","",COUNTIFS(pl_eq,A54,pl_status,"En retard"))</f>
        <v/>
      </c>
      <c r="N54" s="74" t="str">
        <f>IF(A54="","",SUMPRODUCT(MAX((in_eq=A54)*in_done*(in_type="Correctif")*in_dnum)))</f>
        <v/>
      </c>
      <c r="O54" s="81" t="str">
        <f>IF(A54="","",SUMIFS(in_total,in_eq,A54,in_done,1))</f>
        <v/>
      </c>
      <c r="P54" s="79" t="str">
        <f>IF(COUNTA(A54:J54)=0,"",IF(A54="","Code manquant",IF(COUNTIF($A$6:$A$205,A54)&gt;1,"Code en double",IF(B54="","Désignation manquante",IF(AND(E54&lt;&gt;"",E54&lt;&gt;"A",E54&lt;&gt;"B",E54&lt;&gt;"C"),"Criticité : A, B ou C",IF(AND(F54&lt;&gt;"",OR(NOT(ISNUMBER(F54)),N(F54)&lt;=0)),"Mise en service invalide",IF(AND(G54&lt;&gt;"",OR(NOT(ISNUMBER(G54)),N(G54)&lt;0,N(G54)&gt;24)),"Heures d'ouverture entre 0 et 24",IF(AND(I54&lt;&gt;"",OR(NOT(ISNUMBER(I54)),N(I54)&lt;0)),"Relevé du compteur invalide",IF(AND(J54&lt;&gt;"",OR(NOT(ISNUMBER(J54)),N(J54)&lt;0)),"Usage par semaine invalide","OK")))))))))</f>
        <v/>
      </c>
    </row>
    <row r="55">
      <c r="A55" s="65" t="n"/>
      <c r="B55" s="66" t="n"/>
      <c r="C55" s="66" t="n"/>
      <c r="D55" s="66" t="n"/>
      <c r="E55" s="68" t="n"/>
      <c r="F55" s="72" t="n"/>
      <c r="G55" s="71" t="n"/>
      <c r="H55" s="68" t="n"/>
      <c r="I55" s="73" t="n"/>
      <c r="J55" s="73" t="n"/>
      <c r="K55" s="75" t="str">
        <f>IF(A55="","",MAX(N(I55),SUMPRODUCT(MAX((in_eq=A55)*in_done*in_cnum))))</f>
        <v/>
      </c>
      <c r="L55" s="132" t="str">
        <f>IF(A55="","",COUNTIFS(pl_eq,A55,pl_status,"&lt;&gt;Inactif"))</f>
        <v/>
      </c>
      <c r="M55" s="132" t="str">
        <f>IF(A55="","",COUNTIFS(pl_eq,A55,pl_status,"En retard"))</f>
        <v/>
      </c>
      <c r="N55" s="74" t="str">
        <f>IF(A55="","",SUMPRODUCT(MAX((in_eq=A55)*in_done*(in_type="Correctif")*in_dnum)))</f>
        <v/>
      </c>
      <c r="O55" s="81" t="str">
        <f>IF(A55="","",SUMIFS(in_total,in_eq,A55,in_done,1))</f>
        <v/>
      </c>
      <c r="P55" s="79" t="str">
        <f>IF(COUNTA(A55:J55)=0,"",IF(A55="","Code manquant",IF(COUNTIF($A$6:$A$205,A55)&gt;1,"Code en double",IF(B55="","Désignation manquante",IF(AND(E55&lt;&gt;"",E55&lt;&gt;"A",E55&lt;&gt;"B",E55&lt;&gt;"C"),"Criticité : A, B ou C",IF(AND(F55&lt;&gt;"",OR(NOT(ISNUMBER(F55)),N(F55)&lt;=0)),"Mise en service invalide",IF(AND(G55&lt;&gt;"",OR(NOT(ISNUMBER(G55)),N(G55)&lt;0,N(G55)&gt;24)),"Heures d'ouverture entre 0 et 24",IF(AND(I55&lt;&gt;"",OR(NOT(ISNUMBER(I55)),N(I55)&lt;0)),"Relevé du compteur invalide",IF(AND(J55&lt;&gt;"",OR(NOT(ISNUMBER(J55)),N(J55)&lt;0)),"Usage par semaine invalide","OK")))))))))</f>
        <v/>
      </c>
    </row>
    <row r="56">
      <c r="A56" s="65" t="n"/>
      <c r="B56" s="66" t="n"/>
      <c r="C56" s="66" t="n"/>
      <c r="D56" s="66" t="n"/>
      <c r="E56" s="68" t="n"/>
      <c r="F56" s="72" t="n"/>
      <c r="G56" s="71" t="n"/>
      <c r="H56" s="68" t="n"/>
      <c r="I56" s="73" t="n"/>
      <c r="J56" s="73" t="n"/>
      <c r="K56" s="75" t="str">
        <f>IF(A56="","",MAX(N(I56),SUMPRODUCT(MAX((in_eq=A56)*in_done*in_cnum))))</f>
        <v/>
      </c>
      <c r="L56" s="132" t="str">
        <f>IF(A56="","",COUNTIFS(pl_eq,A56,pl_status,"&lt;&gt;Inactif"))</f>
        <v/>
      </c>
      <c r="M56" s="132" t="str">
        <f>IF(A56="","",COUNTIFS(pl_eq,A56,pl_status,"En retard"))</f>
        <v/>
      </c>
      <c r="N56" s="74" t="str">
        <f>IF(A56="","",SUMPRODUCT(MAX((in_eq=A56)*in_done*(in_type="Correctif")*in_dnum)))</f>
        <v/>
      </c>
      <c r="O56" s="81" t="str">
        <f>IF(A56="","",SUMIFS(in_total,in_eq,A56,in_done,1))</f>
        <v/>
      </c>
      <c r="P56" s="79" t="str">
        <f>IF(COUNTA(A56:J56)=0,"",IF(A56="","Code manquant",IF(COUNTIF($A$6:$A$205,A56)&gt;1,"Code en double",IF(B56="","Désignation manquante",IF(AND(E56&lt;&gt;"",E56&lt;&gt;"A",E56&lt;&gt;"B",E56&lt;&gt;"C"),"Criticité : A, B ou C",IF(AND(F56&lt;&gt;"",OR(NOT(ISNUMBER(F56)),N(F56)&lt;=0)),"Mise en service invalide",IF(AND(G56&lt;&gt;"",OR(NOT(ISNUMBER(G56)),N(G56)&lt;0,N(G56)&gt;24)),"Heures d'ouverture entre 0 et 24",IF(AND(I56&lt;&gt;"",OR(NOT(ISNUMBER(I56)),N(I56)&lt;0)),"Relevé du compteur invalide",IF(AND(J56&lt;&gt;"",OR(NOT(ISNUMBER(J56)),N(J56)&lt;0)),"Usage par semaine invalide","OK")))))))))</f>
        <v/>
      </c>
    </row>
    <row r="57">
      <c r="A57" s="65" t="n"/>
      <c r="B57" s="66" t="n"/>
      <c r="C57" s="66" t="n"/>
      <c r="D57" s="66" t="n"/>
      <c r="E57" s="68" t="n"/>
      <c r="F57" s="72" t="n"/>
      <c r="G57" s="71" t="n"/>
      <c r="H57" s="68" t="n"/>
      <c r="I57" s="73" t="n"/>
      <c r="J57" s="73" t="n"/>
      <c r="K57" s="75" t="str">
        <f>IF(A57="","",MAX(N(I57),SUMPRODUCT(MAX((in_eq=A57)*in_done*in_cnum))))</f>
        <v/>
      </c>
      <c r="L57" s="132" t="str">
        <f>IF(A57="","",COUNTIFS(pl_eq,A57,pl_status,"&lt;&gt;Inactif"))</f>
        <v/>
      </c>
      <c r="M57" s="132" t="str">
        <f>IF(A57="","",COUNTIFS(pl_eq,A57,pl_status,"En retard"))</f>
        <v/>
      </c>
      <c r="N57" s="74" t="str">
        <f>IF(A57="","",SUMPRODUCT(MAX((in_eq=A57)*in_done*(in_type="Correctif")*in_dnum)))</f>
        <v/>
      </c>
      <c r="O57" s="81" t="str">
        <f>IF(A57="","",SUMIFS(in_total,in_eq,A57,in_done,1))</f>
        <v/>
      </c>
      <c r="P57" s="79" t="str">
        <f>IF(COUNTA(A57:J57)=0,"",IF(A57="","Code manquant",IF(COUNTIF($A$6:$A$205,A57)&gt;1,"Code en double",IF(B57="","Désignation manquante",IF(AND(E57&lt;&gt;"",E57&lt;&gt;"A",E57&lt;&gt;"B",E57&lt;&gt;"C"),"Criticité : A, B ou C",IF(AND(F57&lt;&gt;"",OR(NOT(ISNUMBER(F57)),N(F57)&lt;=0)),"Mise en service invalide",IF(AND(G57&lt;&gt;"",OR(NOT(ISNUMBER(G57)),N(G57)&lt;0,N(G57)&gt;24)),"Heures d'ouverture entre 0 et 24",IF(AND(I57&lt;&gt;"",OR(NOT(ISNUMBER(I57)),N(I57)&lt;0)),"Relevé du compteur invalide",IF(AND(J57&lt;&gt;"",OR(NOT(ISNUMBER(J57)),N(J57)&lt;0)),"Usage par semaine invalide","OK")))))))))</f>
        <v/>
      </c>
    </row>
    <row r="58">
      <c r="A58" s="65" t="n"/>
      <c r="B58" s="66" t="n"/>
      <c r="C58" s="66" t="n"/>
      <c r="D58" s="66" t="n"/>
      <c r="E58" s="68" t="n"/>
      <c r="F58" s="72" t="n"/>
      <c r="G58" s="71" t="n"/>
      <c r="H58" s="68" t="n"/>
      <c r="I58" s="73" t="n"/>
      <c r="J58" s="73" t="n"/>
      <c r="K58" s="75" t="str">
        <f>IF(A58="","",MAX(N(I58),SUMPRODUCT(MAX((in_eq=A58)*in_done*in_cnum))))</f>
        <v/>
      </c>
      <c r="L58" s="132" t="str">
        <f>IF(A58="","",COUNTIFS(pl_eq,A58,pl_status,"&lt;&gt;Inactif"))</f>
        <v/>
      </c>
      <c r="M58" s="132" t="str">
        <f>IF(A58="","",COUNTIFS(pl_eq,A58,pl_status,"En retard"))</f>
        <v/>
      </c>
      <c r="N58" s="74" t="str">
        <f>IF(A58="","",SUMPRODUCT(MAX((in_eq=A58)*in_done*(in_type="Correctif")*in_dnum)))</f>
        <v/>
      </c>
      <c r="O58" s="81" t="str">
        <f>IF(A58="","",SUMIFS(in_total,in_eq,A58,in_done,1))</f>
        <v/>
      </c>
      <c r="P58" s="79" t="str">
        <f>IF(COUNTA(A58:J58)=0,"",IF(A58="","Code manquant",IF(COUNTIF($A$6:$A$205,A58)&gt;1,"Code en double",IF(B58="","Désignation manquante",IF(AND(E58&lt;&gt;"",E58&lt;&gt;"A",E58&lt;&gt;"B",E58&lt;&gt;"C"),"Criticité : A, B ou C",IF(AND(F58&lt;&gt;"",OR(NOT(ISNUMBER(F58)),N(F58)&lt;=0)),"Mise en service invalide",IF(AND(G58&lt;&gt;"",OR(NOT(ISNUMBER(G58)),N(G58)&lt;0,N(G58)&gt;24)),"Heures d'ouverture entre 0 et 24",IF(AND(I58&lt;&gt;"",OR(NOT(ISNUMBER(I58)),N(I58)&lt;0)),"Relevé du compteur invalide",IF(AND(J58&lt;&gt;"",OR(NOT(ISNUMBER(J58)),N(J58)&lt;0)),"Usage par semaine invalide","OK")))))))))</f>
        <v/>
      </c>
    </row>
    <row r="59">
      <c r="A59" s="65" t="n"/>
      <c r="B59" s="66" t="n"/>
      <c r="C59" s="66" t="n"/>
      <c r="D59" s="66" t="n"/>
      <c r="E59" s="68" t="n"/>
      <c r="F59" s="72" t="n"/>
      <c r="G59" s="71" t="n"/>
      <c r="H59" s="68" t="n"/>
      <c r="I59" s="73" t="n"/>
      <c r="J59" s="73" t="n"/>
      <c r="K59" s="75" t="str">
        <f>IF(A59="","",MAX(N(I59),SUMPRODUCT(MAX((in_eq=A59)*in_done*in_cnum))))</f>
        <v/>
      </c>
      <c r="L59" s="132" t="str">
        <f>IF(A59="","",COUNTIFS(pl_eq,A59,pl_status,"&lt;&gt;Inactif"))</f>
        <v/>
      </c>
      <c r="M59" s="132" t="str">
        <f>IF(A59="","",COUNTIFS(pl_eq,A59,pl_status,"En retard"))</f>
        <v/>
      </c>
      <c r="N59" s="74" t="str">
        <f>IF(A59="","",SUMPRODUCT(MAX((in_eq=A59)*in_done*(in_type="Correctif")*in_dnum)))</f>
        <v/>
      </c>
      <c r="O59" s="81" t="str">
        <f>IF(A59="","",SUMIFS(in_total,in_eq,A59,in_done,1))</f>
        <v/>
      </c>
      <c r="P59" s="79" t="str">
        <f>IF(COUNTA(A59:J59)=0,"",IF(A59="","Code manquant",IF(COUNTIF($A$6:$A$205,A59)&gt;1,"Code en double",IF(B59="","Désignation manquante",IF(AND(E59&lt;&gt;"",E59&lt;&gt;"A",E59&lt;&gt;"B",E59&lt;&gt;"C"),"Criticité : A, B ou C",IF(AND(F59&lt;&gt;"",OR(NOT(ISNUMBER(F59)),N(F59)&lt;=0)),"Mise en service invalide",IF(AND(G59&lt;&gt;"",OR(NOT(ISNUMBER(G59)),N(G59)&lt;0,N(G59)&gt;24)),"Heures d'ouverture entre 0 et 24",IF(AND(I59&lt;&gt;"",OR(NOT(ISNUMBER(I59)),N(I59)&lt;0)),"Relevé du compteur invalide",IF(AND(J59&lt;&gt;"",OR(NOT(ISNUMBER(J59)),N(J59)&lt;0)),"Usage par semaine invalide","OK")))))))))</f>
        <v/>
      </c>
    </row>
    <row r="60">
      <c r="A60" s="65" t="n"/>
      <c r="B60" s="66" t="n"/>
      <c r="C60" s="66" t="n"/>
      <c r="D60" s="66" t="n"/>
      <c r="E60" s="68" t="n"/>
      <c r="F60" s="72" t="n"/>
      <c r="G60" s="71" t="n"/>
      <c r="H60" s="68" t="n"/>
      <c r="I60" s="73" t="n"/>
      <c r="J60" s="73" t="n"/>
      <c r="K60" s="75" t="str">
        <f>IF(A60="","",MAX(N(I60),SUMPRODUCT(MAX((in_eq=A60)*in_done*in_cnum))))</f>
        <v/>
      </c>
      <c r="L60" s="132" t="str">
        <f>IF(A60="","",COUNTIFS(pl_eq,A60,pl_status,"&lt;&gt;Inactif"))</f>
        <v/>
      </c>
      <c r="M60" s="132" t="str">
        <f>IF(A60="","",COUNTIFS(pl_eq,A60,pl_status,"En retard"))</f>
        <v/>
      </c>
      <c r="N60" s="74" t="str">
        <f>IF(A60="","",SUMPRODUCT(MAX((in_eq=A60)*in_done*(in_type="Correctif")*in_dnum)))</f>
        <v/>
      </c>
      <c r="O60" s="81" t="str">
        <f>IF(A60="","",SUMIFS(in_total,in_eq,A60,in_done,1))</f>
        <v/>
      </c>
      <c r="P60" s="79" t="str">
        <f>IF(COUNTA(A60:J60)=0,"",IF(A60="","Code manquant",IF(COUNTIF($A$6:$A$205,A60)&gt;1,"Code en double",IF(B60="","Désignation manquante",IF(AND(E60&lt;&gt;"",E60&lt;&gt;"A",E60&lt;&gt;"B",E60&lt;&gt;"C"),"Criticité : A, B ou C",IF(AND(F60&lt;&gt;"",OR(NOT(ISNUMBER(F60)),N(F60)&lt;=0)),"Mise en service invalide",IF(AND(G60&lt;&gt;"",OR(NOT(ISNUMBER(G60)),N(G60)&lt;0,N(G60)&gt;24)),"Heures d'ouverture entre 0 et 24",IF(AND(I60&lt;&gt;"",OR(NOT(ISNUMBER(I60)),N(I60)&lt;0)),"Relevé du compteur invalide",IF(AND(J60&lt;&gt;"",OR(NOT(ISNUMBER(J60)),N(J60)&lt;0)),"Usage par semaine invalide","OK")))))))))</f>
        <v/>
      </c>
    </row>
    <row r="61">
      <c r="A61" s="65" t="n"/>
      <c r="B61" s="66" t="n"/>
      <c r="C61" s="66" t="n"/>
      <c r="D61" s="66" t="n"/>
      <c r="E61" s="68" t="n"/>
      <c r="F61" s="72" t="n"/>
      <c r="G61" s="71" t="n"/>
      <c r="H61" s="68" t="n"/>
      <c r="I61" s="73" t="n"/>
      <c r="J61" s="73" t="n"/>
      <c r="K61" s="75" t="str">
        <f>IF(A61="","",MAX(N(I61),SUMPRODUCT(MAX((in_eq=A61)*in_done*in_cnum))))</f>
        <v/>
      </c>
      <c r="L61" s="132" t="str">
        <f>IF(A61="","",COUNTIFS(pl_eq,A61,pl_status,"&lt;&gt;Inactif"))</f>
        <v/>
      </c>
      <c r="M61" s="132" t="str">
        <f>IF(A61="","",COUNTIFS(pl_eq,A61,pl_status,"En retard"))</f>
        <v/>
      </c>
      <c r="N61" s="74" t="str">
        <f>IF(A61="","",SUMPRODUCT(MAX((in_eq=A61)*in_done*(in_type="Correctif")*in_dnum)))</f>
        <v/>
      </c>
      <c r="O61" s="81" t="str">
        <f>IF(A61="","",SUMIFS(in_total,in_eq,A61,in_done,1))</f>
        <v/>
      </c>
      <c r="P61" s="79" t="str">
        <f>IF(COUNTA(A61:J61)=0,"",IF(A61="","Code manquant",IF(COUNTIF($A$6:$A$205,A61)&gt;1,"Code en double",IF(B61="","Désignation manquante",IF(AND(E61&lt;&gt;"",E61&lt;&gt;"A",E61&lt;&gt;"B",E61&lt;&gt;"C"),"Criticité : A, B ou C",IF(AND(F61&lt;&gt;"",OR(NOT(ISNUMBER(F61)),N(F61)&lt;=0)),"Mise en service invalide",IF(AND(G61&lt;&gt;"",OR(NOT(ISNUMBER(G61)),N(G61)&lt;0,N(G61)&gt;24)),"Heures d'ouverture entre 0 et 24",IF(AND(I61&lt;&gt;"",OR(NOT(ISNUMBER(I61)),N(I61)&lt;0)),"Relevé du compteur invalide",IF(AND(J61&lt;&gt;"",OR(NOT(ISNUMBER(J61)),N(J61)&lt;0)),"Usage par semaine invalide","OK")))))))))</f>
        <v/>
      </c>
    </row>
    <row r="62">
      <c r="A62" s="65" t="n"/>
      <c r="B62" s="66" t="n"/>
      <c r="C62" s="66" t="n"/>
      <c r="D62" s="66" t="n"/>
      <c r="E62" s="68" t="n"/>
      <c r="F62" s="72" t="n"/>
      <c r="G62" s="71" t="n"/>
      <c r="H62" s="68" t="n"/>
      <c r="I62" s="73" t="n"/>
      <c r="J62" s="73" t="n"/>
      <c r="K62" s="75" t="str">
        <f>IF(A62="","",MAX(N(I62),SUMPRODUCT(MAX((in_eq=A62)*in_done*in_cnum))))</f>
        <v/>
      </c>
      <c r="L62" s="132" t="str">
        <f>IF(A62="","",COUNTIFS(pl_eq,A62,pl_status,"&lt;&gt;Inactif"))</f>
        <v/>
      </c>
      <c r="M62" s="132" t="str">
        <f>IF(A62="","",COUNTIFS(pl_eq,A62,pl_status,"En retard"))</f>
        <v/>
      </c>
      <c r="N62" s="74" t="str">
        <f>IF(A62="","",SUMPRODUCT(MAX((in_eq=A62)*in_done*(in_type="Correctif")*in_dnum)))</f>
        <v/>
      </c>
      <c r="O62" s="81" t="str">
        <f>IF(A62="","",SUMIFS(in_total,in_eq,A62,in_done,1))</f>
        <v/>
      </c>
      <c r="P62" s="79" t="str">
        <f>IF(COUNTA(A62:J62)=0,"",IF(A62="","Code manquant",IF(COUNTIF($A$6:$A$205,A62)&gt;1,"Code en double",IF(B62="","Désignation manquante",IF(AND(E62&lt;&gt;"",E62&lt;&gt;"A",E62&lt;&gt;"B",E62&lt;&gt;"C"),"Criticité : A, B ou C",IF(AND(F62&lt;&gt;"",OR(NOT(ISNUMBER(F62)),N(F62)&lt;=0)),"Mise en service invalide",IF(AND(G62&lt;&gt;"",OR(NOT(ISNUMBER(G62)),N(G62)&lt;0,N(G62)&gt;24)),"Heures d'ouverture entre 0 et 24",IF(AND(I62&lt;&gt;"",OR(NOT(ISNUMBER(I62)),N(I62)&lt;0)),"Relevé du compteur invalide",IF(AND(J62&lt;&gt;"",OR(NOT(ISNUMBER(J62)),N(J62)&lt;0)),"Usage par semaine invalide","OK")))))))))</f>
        <v/>
      </c>
    </row>
    <row r="63">
      <c r="A63" s="65" t="n"/>
      <c r="B63" s="66" t="n"/>
      <c r="C63" s="66" t="n"/>
      <c r="D63" s="66" t="n"/>
      <c r="E63" s="68" t="n"/>
      <c r="F63" s="72" t="n"/>
      <c r="G63" s="71" t="n"/>
      <c r="H63" s="68" t="n"/>
      <c r="I63" s="73" t="n"/>
      <c r="J63" s="73" t="n"/>
      <c r="K63" s="75" t="str">
        <f>IF(A63="","",MAX(N(I63),SUMPRODUCT(MAX((in_eq=A63)*in_done*in_cnum))))</f>
        <v/>
      </c>
      <c r="L63" s="132" t="str">
        <f>IF(A63="","",COUNTIFS(pl_eq,A63,pl_status,"&lt;&gt;Inactif"))</f>
        <v/>
      </c>
      <c r="M63" s="132" t="str">
        <f>IF(A63="","",COUNTIFS(pl_eq,A63,pl_status,"En retard"))</f>
        <v/>
      </c>
      <c r="N63" s="74" t="str">
        <f>IF(A63="","",SUMPRODUCT(MAX((in_eq=A63)*in_done*(in_type="Correctif")*in_dnum)))</f>
        <v/>
      </c>
      <c r="O63" s="81" t="str">
        <f>IF(A63="","",SUMIFS(in_total,in_eq,A63,in_done,1))</f>
        <v/>
      </c>
      <c r="P63" s="79" t="str">
        <f>IF(COUNTA(A63:J63)=0,"",IF(A63="","Code manquant",IF(COUNTIF($A$6:$A$205,A63)&gt;1,"Code en double",IF(B63="","Désignation manquante",IF(AND(E63&lt;&gt;"",E63&lt;&gt;"A",E63&lt;&gt;"B",E63&lt;&gt;"C"),"Criticité : A, B ou C",IF(AND(F63&lt;&gt;"",OR(NOT(ISNUMBER(F63)),N(F63)&lt;=0)),"Mise en service invalide",IF(AND(G63&lt;&gt;"",OR(NOT(ISNUMBER(G63)),N(G63)&lt;0,N(G63)&gt;24)),"Heures d'ouverture entre 0 et 24",IF(AND(I63&lt;&gt;"",OR(NOT(ISNUMBER(I63)),N(I63)&lt;0)),"Relevé du compteur invalide",IF(AND(J63&lt;&gt;"",OR(NOT(ISNUMBER(J63)),N(J63)&lt;0)),"Usage par semaine invalide","OK")))))))))</f>
        <v/>
      </c>
    </row>
    <row r="64">
      <c r="A64" s="65" t="n"/>
      <c r="B64" s="66" t="n"/>
      <c r="C64" s="66" t="n"/>
      <c r="D64" s="66" t="n"/>
      <c r="E64" s="68" t="n"/>
      <c r="F64" s="72" t="n"/>
      <c r="G64" s="71" t="n"/>
      <c r="H64" s="68" t="n"/>
      <c r="I64" s="73" t="n"/>
      <c r="J64" s="73" t="n"/>
      <c r="K64" s="75" t="str">
        <f>IF(A64="","",MAX(N(I64),SUMPRODUCT(MAX((in_eq=A64)*in_done*in_cnum))))</f>
        <v/>
      </c>
      <c r="L64" s="132" t="str">
        <f>IF(A64="","",COUNTIFS(pl_eq,A64,pl_status,"&lt;&gt;Inactif"))</f>
        <v/>
      </c>
      <c r="M64" s="132" t="str">
        <f>IF(A64="","",COUNTIFS(pl_eq,A64,pl_status,"En retard"))</f>
        <v/>
      </c>
      <c r="N64" s="74" t="str">
        <f>IF(A64="","",SUMPRODUCT(MAX((in_eq=A64)*in_done*(in_type="Correctif")*in_dnum)))</f>
        <v/>
      </c>
      <c r="O64" s="81" t="str">
        <f>IF(A64="","",SUMIFS(in_total,in_eq,A64,in_done,1))</f>
        <v/>
      </c>
      <c r="P64" s="79" t="str">
        <f>IF(COUNTA(A64:J64)=0,"",IF(A64="","Code manquant",IF(COUNTIF($A$6:$A$205,A64)&gt;1,"Code en double",IF(B64="","Désignation manquante",IF(AND(E64&lt;&gt;"",E64&lt;&gt;"A",E64&lt;&gt;"B",E64&lt;&gt;"C"),"Criticité : A, B ou C",IF(AND(F64&lt;&gt;"",OR(NOT(ISNUMBER(F64)),N(F64)&lt;=0)),"Mise en service invalide",IF(AND(G64&lt;&gt;"",OR(NOT(ISNUMBER(G64)),N(G64)&lt;0,N(G64)&gt;24)),"Heures d'ouverture entre 0 et 24",IF(AND(I64&lt;&gt;"",OR(NOT(ISNUMBER(I64)),N(I64)&lt;0)),"Relevé du compteur invalide",IF(AND(J64&lt;&gt;"",OR(NOT(ISNUMBER(J64)),N(J64)&lt;0)),"Usage par semaine invalide","OK")))))))))</f>
        <v/>
      </c>
    </row>
    <row r="65">
      <c r="A65" s="65" t="n"/>
      <c r="B65" s="66" t="n"/>
      <c r="C65" s="66" t="n"/>
      <c r="D65" s="66" t="n"/>
      <c r="E65" s="68" t="n"/>
      <c r="F65" s="72" t="n"/>
      <c r="G65" s="71" t="n"/>
      <c r="H65" s="68" t="n"/>
      <c r="I65" s="73" t="n"/>
      <c r="J65" s="73" t="n"/>
      <c r="K65" s="75" t="str">
        <f>IF(A65="","",MAX(N(I65),SUMPRODUCT(MAX((in_eq=A65)*in_done*in_cnum))))</f>
        <v/>
      </c>
      <c r="L65" s="132" t="str">
        <f>IF(A65="","",COUNTIFS(pl_eq,A65,pl_status,"&lt;&gt;Inactif"))</f>
        <v/>
      </c>
      <c r="M65" s="132" t="str">
        <f>IF(A65="","",COUNTIFS(pl_eq,A65,pl_status,"En retard"))</f>
        <v/>
      </c>
      <c r="N65" s="74" t="str">
        <f>IF(A65="","",SUMPRODUCT(MAX((in_eq=A65)*in_done*(in_type="Correctif")*in_dnum)))</f>
        <v/>
      </c>
      <c r="O65" s="81" t="str">
        <f>IF(A65="","",SUMIFS(in_total,in_eq,A65,in_done,1))</f>
        <v/>
      </c>
      <c r="P65" s="79" t="str">
        <f>IF(COUNTA(A65:J65)=0,"",IF(A65="","Code manquant",IF(COUNTIF($A$6:$A$205,A65)&gt;1,"Code en double",IF(B65="","Désignation manquante",IF(AND(E65&lt;&gt;"",E65&lt;&gt;"A",E65&lt;&gt;"B",E65&lt;&gt;"C"),"Criticité : A, B ou C",IF(AND(F65&lt;&gt;"",OR(NOT(ISNUMBER(F65)),N(F65)&lt;=0)),"Mise en service invalide",IF(AND(G65&lt;&gt;"",OR(NOT(ISNUMBER(G65)),N(G65)&lt;0,N(G65)&gt;24)),"Heures d'ouverture entre 0 et 24",IF(AND(I65&lt;&gt;"",OR(NOT(ISNUMBER(I65)),N(I65)&lt;0)),"Relevé du compteur invalide",IF(AND(J65&lt;&gt;"",OR(NOT(ISNUMBER(J65)),N(J65)&lt;0)),"Usage par semaine invalide","OK")))))))))</f>
        <v/>
      </c>
    </row>
    <row r="66">
      <c r="A66" s="65" t="n"/>
      <c r="B66" s="66" t="n"/>
      <c r="C66" s="66" t="n"/>
      <c r="D66" s="66" t="n"/>
      <c r="E66" s="68" t="n"/>
      <c r="F66" s="72" t="n"/>
      <c r="G66" s="71" t="n"/>
      <c r="H66" s="68" t="n"/>
      <c r="I66" s="73" t="n"/>
      <c r="J66" s="73" t="n"/>
      <c r="K66" s="75" t="str">
        <f>IF(A66="","",MAX(N(I66),SUMPRODUCT(MAX((in_eq=A66)*in_done*in_cnum))))</f>
        <v/>
      </c>
      <c r="L66" s="132" t="str">
        <f>IF(A66="","",COUNTIFS(pl_eq,A66,pl_status,"&lt;&gt;Inactif"))</f>
        <v/>
      </c>
      <c r="M66" s="132" t="str">
        <f>IF(A66="","",COUNTIFS(pl_eq,A66,pl_status,"En retard"))</f>
        <v/>
      </c>
      <c r="N66" s="74" t="str">
        <f>IF(A66="","",SUMPRODUCT(MAX((in_eq=A66)*in_done*(in_type="Correctif")*in_dnum)))</f>
        <v/>
      </c>
      <c r="O66" s="81" t="str">
        <f>IF(A66="","",SUMIFS(in_total,in_eq,A66,in_done,1))</f>
        <v/>
      </c>
      <c r="P66" s="79" t="str">
        <f>IF(COUNTA(A66:J66)=0,"",IF(A66="","Code manquant",IF(COUNTIF($A$6:$A$205,A66)&gt;1,"Code en double",IF(B66="","Désignation manquante",IF(AND(E66&lt;&gt;"",E66&lt;&gt;"A",E66&lt;&gt;"B",E66&lt;&gt;"C"),"Criticité : A, B ou C",IF(AND(F66&lt;&gt;"",OR(NOT(ISNUMBER(F66)),N(F66)&lt;=0)),"Mise en service invalide",IF(AND(G66&lt;&gt;"",OR(NOT(ISNUMBER(G66)),N(G66)&lt;0,N(G66)&gt;24)),"Heures d'ouverture entre 0 et 24",IF(AND(I66&lt;&gt;"",OR(NOT(ISNUMBER(I66)),N(I66)&lt;0)),"Relevé du compteur invalide",IF(AND(J66&lt;&gt;"",OR(NOT(ISNUMBER(J66)),N(J66)&lt;0)),"Usage par semaine invalide","OK")))))))))</f>
        <v/>
      </c>
    </row>
    <row r="67">
      <c r="A67" s="65" t="n"/>
      <c r="B67" s="66" t="n"/>
      <c r="C67" s="66" t="n"/>
      <c r="D67" s="66" t="n"/>
      <c r="E67" s="68" t="n"/>
      <c r="F67" s="72" t="n"/>
      <c r="G67" s="71" t="n"/>
      <c r="H67" s="68" t="n"/>
      <c r="I67" s="73" t="n"/>
      <c r="J67" s="73" t="n"/>
      <c r="K67" s="75" t="str">
        <f>IF(A67="","",MAX(N(I67),SUMPRODUCT(MAX((in_eq=A67)*in_done*in_cnum))))</f>
        <v/>
      </c>
      <c r="L67" s="132" t="str">
        <f>IF(A67="","",COUNTIFS(pl_eq,A67,pl_status,"&lt;&gt;Inactif"))</f>
        <v/>
      </c>
      <c r="M67" s="132" t="str">
        <f>IF(A67="","",COUNTIFS(pl_eq,A67,pl_status,"En retard"))</f>
        <v/>
      </c>
      <c r="N67" s="74" t="str">
        <f>IF(A67="","",SUMPRODUCT(MAX((in_eq=A67)*in_done*(in_type="Correctif")*in_dnum)))</f>
        <v/>
      </c>
      <c r="O67" s="81" t="str">
        <f>IF(A67="","",SUMIFS(in_total,in_eq,A67,in_done,1))</f>
        <v/>
      </c>
      <c r="P67" s="79" t="str">
        <f>IF(COUNTA(A67:J67)=0,"",IF(A67="","Code manquant",IF(COUNTIF($A$6:$A$205,A67)&gt;1,"Code en double",IF(B67="","Désignation manquante",IF(AND(E67&lt;&gt;"",E67&lt;&gt;"A",E67&lt;&gt;"B",E67&lt;&gt;"C"),"Criticité : A, B ou C",IF(AND(F67&lt;&gt;"",OR(NOT(ISNUMBER(F67)),N(F67)&lt;=0)),"Mise en service invalide",IF(AND(G67&lt;&gt;"",OR(NOT(ISNUMBER(G67)),N(G67)&lt;0,N(G67)&gt;24)),"Heures d'ouverture entre 0 et 24",IF(AND(I67&lt;&gt;"",OR(NOT(ISNUMBER(I67)),N(I67)&lt;0)),"Relevé du compteur invalide",IF(AND(J67&lt;&gt;"",OR(NOT(ISNUMBER(J67)),N(J67)&lt;0)),"Usage par semaine invalide","OK")))))))))</f>
        <v/>
      </c>
    </row>
    <row r="68">
      <c r="A68" s="65" t="n"/>
      <c r="B68" s="66" t="n"/>
      <c r="C68" s="66" t="n"/>
      <c r="D68" s="66" t="n"/>
      <c r="E68" s="68" t="n"/>
      <c r="F68" s="72" t="n"/>
      <c r="G68" s="71" t="n"/>
      <c r="H68" s="68" t="n"/>
      <c r="I68" s="73" t="n"/>
      <c r="J68" s="73" t="n"/>
      <c r="K68" s="75" t="str">
        <f>IF(A68="","",MAX(N(I68),SUMPRODUCT(MAX((in_eq=A68)*in_done*in_cnum))))</f>
        <v/>
      </c>
      <c r="L68" s="132" t="str">
        <f>IF(A68="","",COUNTIFS(pl_eq,A68,pl_status,"&lt;&gt;Inactif"))</f>
        <v/>
      </c>
      <c r="M68" s="132" t="str">
        <f>IF(A68="","",COUNTIFS(pl_eq,A68,pl_status,"En retard"))</f>
        <v/>
      </c>
      <c r="N68" s="74" t="str">
        <f>IF(A68="","",SUMPRODUCT(MAX((in_eq=A68)*in_done*(in_type="Correctif")*in_dnum)))</f>
        <v/>
      </c>
      <c r="O68" s="81" t="str">
        <f>IF(A68="","",SUMIFS(in_total,in_eq,A68,in_done,1))</f>
        <v/>
      </c>
      <c r="P68" s="79" t="str">
        <f>IF(COUNTA(A68:J68)=0,"",IF(A68="","Code manquant",IF(COUNTIF($A$6:$A$205,A68)&gt;1,"Code en double",IF(B68="","Désignation manquante",IF(AND(E68&lt;&gt;"",E68&lt;&gt;"A",E68&lt;&gt;"B",E68&lt;&gt;"C"),"Criticité : A, B ou C",IF(AND(F68&lt;&gt;"",OR(NOT(ISNUMBER(F68)),N(F68)&lt;=0)),"Mise en service invalide",IF(AND(G68&lt;&gt;"",OR(NOT(ISNUMBER(G68)),N(G68)&lt;0,N(G68)&gt;24)),"Heures d'ouverture entre 0 et 24",IF(AND(I68&lt;&gt;"",OR(NOT(ISNUMBER(I68)),N(I68)&lt;0)),"Relevé du compteur invalide",IF(AND(J68&lt;&gt;"",OR(NOT(ISNUMBER(J68)),N(J68)&lt;0)),"Usage par semaine invalide","OK")))))))))</f>
        <v/>
      </c>
    </row>
    <row r="69">
      <c r="A69" s="65" t="n"/>
      <c r="B69" s="66" t="n"/>
      <c r="C69" s="66" t="n"/>
      <c r="D69" s="66" t="n"/>
      <c r="E69" s="68" t="n"/>
      <c r="F69" s="72" t="n"/>
      <c r="G69" s="71" t="n"/>
      <c r="H69" s="68" t="n"/>
      <c r="I69" s="73" t="n"/>
      <c r="J69" s="73" t="n"/>
      <c r="K69" s="75" t="str">
        <f>IF(A69="","",MAX(N(I69),SUMPRODUCT(MAX((in_eq=A69)*in_done*in_cnum))))</f>
        <v/>
      </c>
      <c r="L69" s="132" t="str">
        <f>IF(A69="","",COUNTIFS(pl_eq,A69,pl_status,"&lt;&gt;Inactif"))</f>
        <v/>
      </c>
      <c r="M69" s="132" t="str">
        <f>IF(A69="","",COUNTIFS(pl_eq,A69,pl_status,"En retard"))</f>
        <v/>
      </c>
      <c r="N69" s="74" t="str">
        <f>IF(A69="","",SUMPRODUCT(MAX((in_eq=A69)*in_done*(in_type="Correctif")*in_dnum)))</f>
        <v/>
      </c>
      <c r="O69" s="81" t="str">
        <f>IF(A69="","",SUMIFS(in_total,in_eq,A69,in_done,1))</f>
        <v/>
      </c>
      <c r="P69" s="79" t="str">
        <f>IF(COUNTA(A69:J69)=0,"",IF(A69="","Code manquant",IF(COUNTIF($A$6:$A$205,A69)&gt;1,"Code en double",IF(B69="","Désignation manquante",IF(AND(E69&lt;&gt;"",E69&lt;&gt;"A",E69&lt;&gt;"B",E69&lt;&gt;"C"),"Criticité : A, B ou C",IF(AND(F69&lt;&gt;"",OR(NOT(ISNUMBER(F69)),N(F69)&lt;=0)),"Mise en service invalide",IF(AND(G69&lt;&gt;"",OR(NOT(ISNUMBER(G69)),N(G69)&lt;0,N(G69)&gt;24)),"Heures d'ouverture entre 0 et 24",IF(AND(I69&lt;&gt;"",OR(NOT(ISNUMBER(I69)),N(I69)&lt;0)),"Relevé du compteur invalide",IF(AND(J69&lt;&gt;"",OR(NOT(ISNUMBER(J69)),N(J69)&lt;0)),"Usage par semaine invalide","OK")))))))))</f>
        <v/>
      </c>
    </row>
    <row r="70">
      <c r="A70" s="65" t="n"/>
      <c r="B70" s="66" t="n"/>
      <c r="C70" s="66" t="n"/>
      <c r="D70" s="66" t="n"/>
      <c r="E70" s="68" t="n"/>
      <c r="F70" s="72" t="n"/>
      <c r="G70" s="71" t="n"/>
      <c r="H70" s="68" t="n"/>
      <c r="I70" s="73" t="n"/>
      <c r="J70" s="73" t="n"/>
      <c r="K70" s="75" t="str">
        <f>IF(A70="","",MAX(N(I70),SUMPRODUCT(MAX((in_eq=A70)*in_done*in_cnum))))</f>
        <v/>
      </c>
      <c r="L70" s="132" t="str">
        <f>IF(A70="","",COUNTIFS(pl_eq,A70,pl_status,"&lt;&gt;Inactif"))</f>
        <v/>
      </c>
      <c r="M70" s="132" t="str">
        <f>IF(A70="","",COUNTIFS(pl_eq,A70,pl_status,"En retard"))</f>
        <v/>
      </c>
      <c r="N70" s="74" t="str">
        <f>IF(A70="","",SUMPRODUCT(MAX((in_eq=A70)*in_done*(in_type="Correctif")*in_dnum)))</f>
        <v/>
      </c>
      <c r="O70" s="81" t="str">
        <f>IF(A70="","",SUMIFS(in_total,in_eq,A70,in_done,1))</f>
        <v/>
      </c>
      <c r="P70" s="79" t="str">
        <f>IF(COUNTA(A70:J70)=0,"",IF(A70="","Code manquant",IF(COUNTIF($A$6:$A$205,A70)&gt;1,"Code en double",IF(B70="","Désignation manquante",IF(AND(E70&lt;&gt;"",E70&lt;&gt;"A",E70&lt;&gt;"B",E70&lt;&gt;"C"),"Criticité : A, B ou C",IF(AND(F70&lt;&gt;"",OR(NOT(ISNUMBER(F70)),N(F70)&lt;=0)),"Mise en service invalide",IF(AND(G70&lt;&gt;"",OR(NOT(ISNUMBER(G70)),N(G70)&lt;0,N(G70)&gt;24)),"Heures d'ouverture entre 0 et 24",IF(AND(I70&lt;&gt;"",OR(NOT(ISNUMBER(I70)),N(I70)&lt;0)),"Relevé du compteur invalide",IF(AND(J70&lt;&gt;"",OR(NOT(ISNUMBER(J70)),N(J70)&lt;0)),"Usage par semaine invalide","OK")))))))))</f>
        <v/>
      </c>
    </row>
    <row r="71">
      <c r="A71" s="65" t="n"/>
      <c r="B71" s="66" t="n"/>
      <c r="C71" s="66" t="n"/>
      <c r="D71" s="66" t="n"/>
      <c r="E71" s="68" t="n"/>
      <c r="F71" s="72" t="n"/>
      <c r="G71" s="71" t="n"/>
      <c r="H71" s="68" t="n"/>
      <c r="I71" s="73" t="n"/>
      <c r="J71" s="73" t="n"/>
      <c r="K71" s="75" t="str">
        <f>IF(A71="","",MAX(N(I71),SUMPRODUCT(MAX((in_eq=A71)*in_done*in_cnum))))</f>
        <v/>
      </c>
      <c r="L71" s="132" t="str">
        <f>IF(A71="","",COUNTIFS(pl_eq,A71,pl_status,"&lt;&gt;Inactif"))</f>
        <v/>
      </c>
      <c r="M71" s="132" t="str">
        <f>IF(A71="","",COUNTIFS(pl_eq,A71,pl_status,"En retard"))</f>
        <v/>
      </c>
      <c r="N71" s="74" t="str">
        <f>IF(A71="","",SUMPRODUCT(MAX((in_eq=A71)*in_done*(in_type="Correctif")*in_dnum)))</f>
        <v/>
      </c>
      <c r="O71" s="81" t="str">
        <f>IF(A71="","",SUMIFS(in_total,in_eq,A71,in_done,1))</f>
        <v/>
      </c>
      <c r="P71" s="79" t="str">
        <f>IF(COUNTA(A71:J71)=0,"",IF(A71="","Code manquant",IF(COUNTIF($A$6:$A$205,A71)&gt;1,"Code en double",IF(B71="","Désignation manquante",IF(AND(E71&lt;&gt;"",E71&lt;&gt;"A",E71&lt;&gt;"B",E71&lt;&gt;"C"),"Criticité : A, B ou C",IF(AND(F71&lt;&gt;"",OR(NOT(ISNUMBER(F71)),N(F71)&lt;=0)),"Mise en service invalide",IF(AND(G71&lt;&gt;"",OR(NOT(ISNUMBER(G71)),N(G71)&lt;0,N(G71)&gt;24)),"Heures d'ouverture entre 0 et 24",IF(AND(I71&lt;&gt;"",OR(NOT(ISNUMBER(I71)),N(I71)&lt;0)),"Relevé du compteur invalide",IF(AND(J71&lt;&gt;"",OR(NOT(ISNUMBER(J71)),N(J71)&lt;0)),"Usage par semaine invalide","OK")))))))))</f>
        <v/>
      </c>
    </row>
    <row r="72">
      <c r="A72" s="65" t="n"/>
      <c r="B72" s="66" t="n"/>
      <c r="C72" s="66" t="n"/>
      <c r="D72" s="66" t="n"/>
      <c r="E72" s="68" t="n"/>
      <c r="F72" s="72" t="n"/>
      <c r="G72" s="71" t="n"/>
      <c r="H72" s="68" t="n"/>
      <c r="I72" s="73" t="n"/>
      <c r="J72" s="73" t="n"/>
      <c r="K72" s="75" t="str">
        <f>IF(A72="","",MAX(N(I72),SUMPRODUCT(MAX((in_eq=A72)*in_done*in_cnum))))</f>
        <v/>
      </c>
      <c r="L72" s="132" t="str">
        <f>IF(A72="","",COUNTIFS(pl_eq,A72,pl_status,"&lt;&gt;Inactif"))</f>
        <v/>
      </c>
      <c r="M72" s="132" t="str">
        <f>IF(A72="","",COUNTIFS(pl_eq,A72,pl_status,"En retard"))</f>
        <v/>
      </c>
      <c r="N72" s="74" t="str">
        <f>IF(A72="","",SUMPRODUCT(MAX((in_eq=A72)*in_done*(in_type="Correctif")*in_dnum)))</f>
        <v/>
      </c>
      <c r="O72" s="81" t="str">
        <f>IF(A72="","",SUMIFS(in_total,in_eq,A72,in_done,1))</f>
        <v/>
      </c>
      <c r="P72" s="79" t="str">
        <f>IF(COUNTA(A72:J72)=0,"",IF(A72="","Code manquant",IF(COUNTIF($A$6:$A$205,A72)&gt;1,"Code en double",IF(B72="","Désignation manquante",IF(AND(E72&lt;&gt;"",E72&lt;&gt;"A",E72&lt;&gt;"B",E72&lt;&gt;"C"),"Criticité : A, B ou C",IF(AND(F72&lt;&gt;"",OR(NOT(ISNUMBER(F72)),N(F72)&lt;=0)),"Mise en service invalide",IF(AND(G72&lt;&gt;"",OR(NOT(ISNUMBER(G72)),N(G72)&lt;0,N(G72)&gt;24)),"Heures d'ouverture entre 0 et 24",IF(AND(I72&lt;&gt;"",OR(NOT(ISNUMBER(I72)),N(I72)&lt;0)),"Relevé du compteur invalide",IF(AND(J72&lt;&gt;"",OR(NOT(ISNUMBER(J72)),N(J72)&lt;0)),"Usage par semaine invalide","OK")))))))))</f>
        <v/>
      </c>
    </row>
    <row r="73">
      <c r="A73" s="65" t="n"/>
      <c r="B73" s="66" t="n"/>
      <c r="C73" s="66" t="n"/>
      <c r="D73" s="66" t="n"/>
      <c r="E73" s="68" t="n"/>
      <c r="F73" s="72" t="n"/>
      <c r="G73" s="71" t="n"/>
      <c r="H73" s="68" t="n"/>
      <c r="I73" s="73" t="n"/>
      <c r="J73" s="73" t="n"/>
      <c r="K73" s="75" t="str">
        <f>IF(A73="","",MAX(N(I73),SUMPRODUCT(MAX((in_eq=A73)*in_done*in_cnum))))</f>
        <v/>
      </c>
      <c r="L73" s="132" t="str">
        <f>IF(A73="","",COUNTIFS(pl_eq,A73,pl_status,"&lt;&gt;Inactif"))</f>
        <v/>
      </c>
      <c r="M73" s="132" t="str">
        <f>IF(A73="","",COUNTIFS(pl_eq,A73,pl_status,"En retard"))</f>
        <v/>
      </c>
      <c r="N73" s="74" t="str">
        <f>IF(A73="","",SUMPRODUCT(MAX((in_eq=A73)*in_done*(in_type="Correctif")*in_dnum)))</f>
        <v/>
      </c>
      <c r="O73" s="81" t="str">
        <f>IF(A73="","",SUMIFS(in_total,in_eq,A73,in_done,1))</f>
        <v/>
      </c>
      <c r="P73" s="79" t="str">
        <f>IF(COUNTA(A73:J73)=0,"",IF(A73="","Code manquant",IF(COUNTIF($A$6:$A$205,A73)&gt;1,"Code en double",IF(B73="","Désignation manquante",IF(AND(E73&lt;&gt;"",E73&lt;&gt;"A",E73&lt;&gt;"B",E73&lt;&gt;"C"),"Criticité : A, B ou C",IF(AND(F73&lt;&gt;"",OR(NOT(ISNUMBER(F73)),N(F73)&lt;=0)),"Mise en service invalide",IF(AND(G73&lt;&gt;"",OR(NOT(ISNUMBER(G73)),N(G73)&lt;0,N(G73)&gt;24)),"Heures d'ouverture entre 0 et 24",IF(AND(I73&lt;&gt;"",OR(NOT(ISNUMBER(I73)),N(I73)&lt;0)),"Relevé du compteur invalide",IF(AND(J73&lt;&gt;"",OR(NOT(ISNUMBER(J73)),N(J73)&lt;0)),"Usage par semaine invalide","OK")))))))))</f>
        <v/>
      </c>
    </row>
    <row r="74">
      <c r="A74" s="65" t="n"/>
      <c r="B74" s="66" t="n"/>
      <c r="C74" s="66" t="n"/>
      <c r="D74" s="66" t="n"/>
      <c r="E74" s="68" t="n"/>
      <c r="F74" s="72" t="n"/>
      <c r="G74" s="71" t="n"/>
      <c r="H74" s="68" t="n"/>
      <c r="I74" s="73" t="n"/>
      <c r="J74" s="73" t="n"/>
      <c r="K74" s="75" t="str">
        <f>IF(A74="","",MAX(N(I74),SUMPRODUCT(MAX((in_eq=A74)*in_done*in_cnum))))</f>
        <v/>
      </c>
      <c r="L74" s="132" t="str">
        <f>IF(A74="","",COUNTIFS(pl_eq,A74,pl_status,"&lt;&gt;Inactif"))</f>
        <v/>
      </c>
      <c r="M74" s="132" t="str">
        <f>IF(A74="","",COUNTIFS(pl_eq,A74,pl_status,"En retard"))</f>
        <v/>
      </c>
      <c r="N74" s="74" t="str">
        <f>IF(A74="","",SUMPRODUCT(MAX((in_eq=A74)*in_done*(in_type="Correctif")*in_dnum)))</f>
        <v/>
      </c>
      <c r="O74" s="81" t="str">
        <f>IF(A74="","",SUMIFS(in_total,in_eq,A74,in_done,1))</f>
        <v/>
      </c>
      <c r="P74" s="79" t="str">
        <f>IF(COUNTA(A74:J74)=0,"",IF(A74="","Code manquant",IF(COUNTIF($A$6:$A$205,A74)&gt;1,"Code en double",IF(B74="","Désignation manquante",IF(AND(E74&lt;&gt;"",E74&lt;&gt;"A",E74&lt;&gt;"B",E74&lt;&gt;"C"),"Criticité : A, B ou C",IF(AND(F74&lt;&gt;"",OR(NOT(ISNUMBER(F74)),N(F74)&lt;=0)),"Mise en service invalide",IF(AND(G74&lt;&gt;"",OR(NOT(ISNUMBER(G74)),N(G74)&lt;0,N(G74)&gt;24)),"Heures d'ouverture entre 0 et 24",IF(AND(I74&lt;&gt;"",OR(NOT(ISNUMBER(I74)),N(I74)&lt;0)),"Relevé du compteur invalide",IF(AND(J74&lt;&gt;"",OR(NOT(ISNUMBER(J74)),N(J74)&lt;0)),"Usage par semaine invalide","OK")))))))))</f>
        <v/>
      </c>
    </row>
    <row r="75">
      <c r="A75" s="65" t="n"/>
      <c r="B75" s="66" t="n"/>
      <c r="C75" s="66" t="n"/>
      <c r="D75" s="66" t="n"/>
      <c r="E75" s="68" t="n"/>
      <c r="F75" s="72" t="n"/>
      <c r="G75" s="71" t="n"/>
      <c r="H75" s="68" t="n"/>
      <c r="I75" s="73" t="n"/>
      <c r="J75" s="73" t="n"/>
      <c r="K75" s="75" t="str">
        <f>IF(A75="","",MAX(N(I75),SUMPRODUCT(MAX((in_eq=A75)*in_done*in_cnum))))</f>
        <v/>
      </c>
      <c r="L75" s="132" t="str">
        <f>IF(A75="","",COUNTIFS(pl_eq,A75,pl_status,"&lt;&gt;Inactif"))</f>
        <v/>
      </c>
      <c r="M75" s="132" t="str">
        <f>IF(A75="","",COUNTIFS(pl_eq,A75,pl_status,"En retard"))</f>
        <v/>
      </c>
      <c r="N75" s="74" t="str">
        <f>IF(A75="","",SUMPRODUCT(MAX((in_eq=A75)*in_done*(in_type="Correctif")*in_dnum)))</f>
        <v/>
      </c>
      <c r="O75" s="81" t="str">
        <f>IF(A75="","",SUMIFS(in_total,in_eq,A75,in_done,1))</f>
        <v/>
      </c>
      <c r="P75" s="79" t="str">
        <f>IF(COUNTA(A75:J75)=0,"",IF(A75="","Code manquant",IF(COUNTIF($A$6:$A$205,A75)&gt;1,"Code en double",IF(B75="","Désignation manquante",IF(AND(E75&lt;&gt;"",E75&lt;&gt;"A",E75&lt;&gt;"B",E75&lt;&gt;"C"),"Criticité : A, B ou C",IF(AND(F75&lt;&gt;"",OR(NOT(ISNUMBER(F75)),N(F75)&lt;=0)),"Mise en service invalide",IF(AND(G75&lt;&gt;"",OR(NOT(ISNUMBER(G75)),N(G75)&lt;0,N(G75)&gt;24)),"Heures d'ouverture entre 0 et 24",IF(AND(I75&lt;&gt;"",OR(NOT(ISNUMBER(I75)),N(I75)&lt;0)),"Relevé du compteur invalide",IF(AND(J75&lt;&gt;"",OR(NOT(ISNUMBER(J75)),N(J75)&lt;0)),"Usage par semaine invalide","OK")))))))))</f>
        <v/>
      </c>
    </row>
    <row r="76">
      <c r="A76" s="65" t="n"/>
      <c r="B76" s="66" t="n"/>
      <c r="C76" s="66" t="n"/>
      <c r="D76" s="66" t="n"/>
      <c r="E76" s="68" t="n"/>
      <c r="F76" s="72" t="n"/>
      <c r="G76" s="71" t="n"/>
      <c r="H76" s="68" t="n"/>
      <c r="I76" s="73" t="n"/>
      <c r="J76" s="73" t="n"/>
      <c r="K76" s="75" t="str">
        <f>IF(A76="","",MAX(N(I76),SUMPRODUCT(MAX((in_eq=A76)*in_done*in_cnum))))</f>
        <v/>
      </c>
      <c r="L76" s="132" t="str">
        <f>IF(A76="","",COUNTIFS(pl_eq,A76,pl_status,"&lt;&gt;Inactif"))</f>
        <v/>
      </c>
      <c r="M76" s="132" t="str">
        <f>IF(A76="","",COUNTIFS(pl_eq,A76,pl_status,"En retard"))</f>
        <v/>
      </c>
      <c r="N76" s="74" t="str">
        <f>IF(A76="","",SUMPRODUCT(MAX((in_eq=A76)*in_done*(in_type="Correctif")*in_dnum)))</f>
        <v/>
      </c>
      <c r="O76" s="81" t="str">
        <f>IF(A76="","",SUMIFS(in_total,in_eq,A76,in_done,1))</f>
        <v/>
      </c>
      <c r="P76" s="79" t="str">
        <f>IF(COUNTA(A76:J76)=0,"",IF(A76="","Code manquant",IF(COUNTIF($A$6:$A$205,A76)&gt;1,"Code en double",IF(B76="","Désignation manquante",IF(AND(E76&lt;&gt;"",E76&lt;&gt;"A",E76&lt;&gt;"B",E76&lt;&gt;"C"),"Criticité : A, B ou C",IF(AND(F76&lt;&gt;"",OR(NOT(ISNUMBER(F76)),N(F76)&lt;=0)),"Mise en service invalide",IF(AND(G76&lt;&gt;"",OR(NOT(ISNUMBER(G76)),N(G76)&lt;0,N(G76)&gt;24)),"Heures d'ouverture entre 0 et 24",IF(AND(I76&lt;&gt;"",OR(NOT(ISNUMBER(I76)),N(I76)&lt;0)),"Relevé du compteur invalide",IF(AND(J76&lt;&gt;"",OR(NOT(ISNUMBER(J76)),N(J76)&lt;0)),"Usage par semaine invalide","OK")))))))))</f>
        <v/>
      </c>
    </row>
    <row r="77">
      <c r="A77" s="65" t="n"/>
      <c r="B77" s="66" t="n"/>
      <c r="C77" s="66" t="n"/>
      <c r="D77" s="66" t="n"/>
      <c r="E77" s="68" t="n"/>
      <c r="F77" s="72" t="n"/>
      <c r="G77" s="71" t="n"/>
      <c r="H77" s="68" t="n"/>
      <c r="I77" s="73" t="n"/>
      <c r="J77" s="73" t="n"/>
      <c r="K77" s="75" t="str">
        <f>IF(A77="","",MAX(N(I77),SUMPRODUCT(MAX((in_eq=A77)*in_done*in_cnum))))</f>
        <v/>
      </c>
      <c r="L77" s="132" t="str">
        <f>IF(A77="","",COUNTIFS(pl_eq,A77,pl_status,"&lt;&gt;Inactif"))</f>
        <v/>
      </c>
      <c r="M77" s="132" t="str">
        <f>IF(A77="","",COUNTIFS(pl_eq,A77,pl_status,"En retard"))</f>
        <v/>
      </c>
      <c r="N77" s="74" t="str">
        <f>IF(A77="","",SUMPRODUCT(MAX((in_eq=A77)*in_done*(in_type="Correctif")*in_dnum)))</f>
        <v/>
      </c>
      <c r="O77" s="81" t="str">
        <f>IF(A77="","",SUMIFS(in_total,in_eq,A77,in_done,1))</f>
        <v/>
      </c>
      <c r="P77" s="79" t="str">
        <f>IF(COUNTA(A77:J77)=0,"",IF(A77="","Code manquant",IF(COUNTIF($A$6:$A$205,A77)&gt;1,"Code en double",IF(B77="","Désignation manquante",IF(AND(E77&lt;&gt;"",E77&lt;&gt;"A",E77&lt;&gt;"B",E77&lt;&gt;"C"),"Criticité : A, B ou C",IF(AND(F77&lt;&gt;"",OR(NOT(ISNUMBER(F77)),N(F77)&lt;=0)),"Mise en service invalide",IF(AND(G77&lt;&gt;"",OR(NOT(ISNUMBER(G77)),N(G77)&lt;0,N(G77)&gt;24)),"Heures d'ouverture entre 0 et 24",IF(AND(I77&lt;&gt;"",OR(NOT(ISNUMBER(I77)),N(I77)&lt;0)),"Relevé du compteur invalide",IF(AND(J77&lt;&gt;"",OR(NOT(ISNUMBER(J77)),N(J77)&lt;0)),"Usage par semaine invalide","OK")))))))))</f>
        <v/>
      </c>
    </row>
    <row r="78">
      <c r="A78" s="65" t="n"/>
      <c r="B78" s="66" t="n"/>
      <c r="C78" s="66" t="n"/>
      <c r="D78" s="66" t="n"/>
      <c r="E78" s="68" t="n"/>
      <c r="F78" s="72" t="n"/>
      <c r="G78" s="71" t="n"/>
      <c r="H78" s="68" t="n"/>
      <c r="I78" s="73" t="n"/>
      <c r="J78" s="73" t="n"/>
      <c r="K78" s="75" t="str">
        <f>IF(A78="","",MAX(N(I78),SUMPRODUCT(MAX((in_eq=A78)*in_done*in_cnum))))</f>
        <v/>
      </c>
      <c r="L78" s="132" t="str">
        <f>IF(A78="","",COUNTIFS(pl_eq,A78,pl_status,"&lt;&gt;Inactif"))</f>
        <v/>
      </c>
      <c r="M78" s="132" t="str">
        <f>IF(A78="","",COUNTIFS(pl_eq,A78,pl_status,"En retard"))</f>
        <v/>
      </c>
      <c r="N78" s="74" t="str">
        <f>IF(A78="","",SUMPRODUCT(MAX((in_eq=A78)*in_done*(in_type="Correctif")*in_dnum)))</f>
        <v/>
      </c>
      <c r="O78" s="81" t="str">
        <f>IF(A78="","",SUMIFS(in_total,in_eq,A78,in_done,1))</f>
        <v/>
      </c>
      <c r="P78" s="79" t="str">
        <f>IF(COUNTA(A78:J78)=0,"",IF(A78="","Code manquant",IF(COUNTIF($A$6:$A$205,A78)&gt;1,"Code en double",IF(B78="","Désignation manquante",IF(AND(E78&lt;&gt;"",E78&lt;&gt;"A",E78&lt;&gt;"B",E78&lt;&gt;"C"),"Criticité : A, B ou C",IF(AND(F78&lt;&gt;"",OR(NOT(ISNUMBER(F78)),N(F78)&lt;=0)),"Mise en service invalide",IF(AND(G78&lt;&gt;"",OR(NOT(ISNUMBER(G78)),N(G78)&lt;0,N(G78)&gt;24)),"Heures d'ouverture entre 0 et 24",IF(AND(I78&lt;&gt;"",OR(NOT(ISNUMBER(I78)),N(I78)&lt;0)),"Relevé du compteur invalide",IF(AND(J78&lt;&gt;"",OR(NOT(ISNUMBER(J78)),N(J78)&lt;0)),"Usage par semaine invalide","OK")))))))))</f>
        <v/>
      </c>
    </row>
    <row r="79">
      <c r="A79" s="65" t="n"/>
      <c r="B79" s="66" t="n"/>
      <c r="C79" s="66" t="n"/>
      <c r="D79" s="66" t="n"/>
      <c r="E79" s="68" t="n"/>
      <c r="F79" s="72" t="n"/>
      <c r="G79" s="71" t="n"/>
      <c r="H79" s="68" t="n"/>
      <c r="I79" s="73" t="n"/>
      <c r="J79" s="73" t="n"/>
      <c r="K79" s="75" t="str">
        <f>IF(A79="","",MAX(N(I79),SUMPRODUCT(MAX((in_eq=A79)*in_done*in_cnum))))</f>
        <v/>
      </c>
      <c r="L79" s="132" t="str">
        <f>IF(A79="","",COUNTIFS(pl_eq,A79,pl_status,"&lt;&gt;Inactif"))</f>
        <v/>
      </c>
      <c r="M79" s="132" t="str">
        <f>IF(A79="","",COUNTIFS(pl_eq,A79,pl_status,"En retard"))</f>
        <v/>
      </c>
      <c r="N79" s="74" t="str">
        <f>IF(A79="","",SUMPRODUCT(MAX((in_eq=A79)*in_done*(in_type="Correctif")*in_dnum)))</f>
        <v/>
      </c>
      <c r="O79" s="81" t="str">
        <f>IF(A79="","",SUMIFS(in_total,in_eq,A79,in_done,1))</f>
        <v/>
      </c>
      <c r="P79" s="79" t="str">
        <f>IF(COUNTA(A79:J79)=0,"",IF(A79="","Code manquant",IF(COUNTIF($A$6:$A$205,A79)&gt;1,"Code en double",IF(B79="","Désignation manquante",IF(AND(E79&lt;&gt;"",E79&lt;&gt;"A",E79&lt;&gt;"B",E79&lt;&gt;"C"),"Criticité : A, B ou C",IF(AND(F79&lt;&gt;"",OR(NOT(ISNUMBER(F79)),N(F79)&lt;=0)),"Mise en service invalide",IF(AND(G79&lt;&gt;"",OR(NOT(ISNUMBER(G79)),N(G79)&lt;0,N(G79)&gt;24)),"Heures d'ouverture entre 0 et 24",IF(AND(I79&lt;&gt;"",OR(NOT(ISNUMBER(I79)),N(I79)&lt;0)),"Relevé du compteur invalide",IF(AND(J79&lt;&gt;"",OR(NOT(ISNUMBER(J79)),N(J79)&lt;0)),"Usage par semaine invalide","OK")))))))))</f>
        <v/>
      </c>
    </row>
    <row r="80">
      <c r="A80" s="65" t="n"/>
      <c r="B80" s="66" t="n"/>
      <c r="C80" s="66" t="n"/>
      <c r="D80" s="66" t="n"/>
      <c r="E80" s="68" t="n"/>
      <c r="F80" s="72" t="n"/>
      <c r="G80" s="71" t="n"/>
      <c r="H80" s="68" t="n"/>
      <c r="I80" s="73" t="n"/>
      <c r="J80" s="73" t="n"/>
      <c r="K80" s="75" t="str">
        <f>IF(A80="","",MAX(N(I80),SUMPRODUCT(MAX((in_eq=A80)*in_done*in_cnum))))</f>
        <v/>
      </c>
      <c r="L80" s="132" t="str">
        <f>IF(A80="","",COUNTIFS(pl_eq,A80,pl_status,"&lt;&gt;Inactif"))</f>
        <v/>
      </c>
      <c r="M80" s="132" t="str">
        <f>IF(A80="","",COUNTIFS(pl_eq,A80,pl_status,"En retard"))</f>
        <v/>
      </c>
      <c r="N80" s="74" t="str">
        <f>IF(A80="","",SUMPRODUCT(MAX((in_eq=A80)*in_done*(in_type="Correctif")*in_dnum)))</f>
        <v/>
      </c>
      <c r="O80" s="81" t="str">
        <f>IF(A80="","",SUMIFS(in_total,in_eq,A80,in_done,1))</f>
        <v/>
      </c>
      <c r="P80" s="79" t="str">
        <f>IF(COUNTA(A80:J80)=0,"",IF(A80="","Code manquant",IF(COUNTIF($A$6:$A$205,A80)&gt;1,"Code en double",IF(B80="","Désignation manquante",IF(AND(E80&lt;&gt;"",E80&lt;&gt;"A",E80&lt;&gt;"B",E80&lt;&gt;"C"),"Criticité : A, B ou C",IF(AND(F80&lt;&gt;"",OR(NOT(ISNUMBER(F80)),N(F80)&lt;=0)),"Mise en service invalide",IF(AND(G80&lt;&gt;"",OR(NOT(ISNUMBER(G80)),N(G80)&lt;0,N(G80)&gt;24)),"Heures d'ouverture entre 0 et 24",IF(AND(I80&lt;&gt;"",OR(NOT(ISNUMBER(I80)),N(I80)&lt;0)),"Relevé du compteur invalide",IF(AND(J80&lt;&gt;"",OR(NOT(ISNUMBER(J80)),N(J80)&lt;0)),"Usage par semaine invalide","OK")))))))))</f>
        <v/>
      </c>
    </row>
    <row r="81">
      <c r="A81" s="65" t="n"/>
      <c r="B81" s="66" t="n"/>
      <c r="C81" s="66" t="n"/>
      <c r="D81" s="66" t="n"/>
      <c r="E81" s="68" t="n"/>
      <c r="F81" s="72" t="n"/>
      <c r="G81" s="71" t="n"/>
      <c r="H81" s="68" t="n"/>
      <c r="I81" s="73" t="n"/>
      <c r="J81" s="73" t="n"/>
      <c r="K81" s="75" t="str">
        <f>IF(A81="","",MAX(N(I81),SUMPRODUCT(MAX((in_eq=A81)*in_done*in_cnum))))</f>
        <v/>
      </c>
      <c r="L81" s="132" t="str">
        <f>IF(A81="","",COUNTIFS(pl_eq,A81,pl_status,"&lt;&gt;Inactif"))</f>
        <v/>
      </c>
      <c r="M81" s="132" t="str">
        <f>IF(A81="","",COUNTIFS(pl_eq,A81,pl_status,"En retard"))</f>
        <v/>
      </c>
      <c r="N81" s="74" t="str">
        <f>IF(A81="","",SUMPRODUCT(MAX((in_eq=A81)*in_done*(in_type="Correctif")*in_dnum)))</f>
        <v/>
      </c>
      <c r="O81" s="81" t="str">
        <f>IF(A81="","",SUMIFS(in_total,in_eq,A81,in_done,1))</f>
        <v/>
      </c>
      <c r="P81" s="79" t="str">
        <f>IF(COUNTA(A81:J81)=0,"",IF(A81="","Code manquant",IF(COUNTIF($A$6:$A$205,A81)&gt;1,"Code en double",IF(B81="","Désignation manquante",IF(AND(E81&lt;&gt;"",E81&lt;&gt;"A",E81&lt;&gt;"B",E81&lt;&gt;"C"),"Criticité : A, B ou C",IF(AND(F81&lt;&gt;"",OR(NOT(ISNUMBER(F81)),N(F81)&lt;=0)),"Mise en service invalide",IF(AND(G81&lt;&gt;"",OR(NOT(ISNUMBER(G81)),N(G81)&lt;0,N(G81)&gt;24)),"Heures d'ouverture entre 0 et 24",IF(AND(I81&lt;&gt;"",OR(NOT(ISNUMBER(I81)),N(I81)&lt;0)),"Relevé du compteur invalide",IF(AND(J81&lt;&gt;"",OR(NOT(ISNUMBER(J81)),N(J81)&lt;0)),"Usage par semaine invalide","OK")))))))))</f>
        <v/>
      </c>
    </row>
    <row r="82">
      <c r="A82" s="65" t="n"/>
      <c r="B82" s="66" t="n"/>
      <c r="C82" s="66" t="n"/>
      <c r="D82" s="66" t="n"/>
      <c r="E82" s="68" t="n"/>
      <c r="F82" s="72" t="n"/>
      <c r="G82" s="71" t="n"/>
      <c r="H82" s="68" t="n"/>
      <c r="I82" s="73" t="n"/>
      <c r="J82" s="73" t="n"/>
      <c r="K82" s="75" t="str">
        <f>IF(A82="","",MAX(N(I82),SUMPRODUCT(MAX((in_eq=A82)*in_done*in_cnum))))</f>
        <v/>
      </c>
      <c r="L82" s="132" t="str">
        <f>IF(A82="","",COUNTIFS(pl_eq,A82,pl_status,"&lt;&gt;Inactif"))</f>
        <v/>
      </c>
      <c r="M82" s="132" t="str">
        <f>IF(A82="","",COUNTIFS(pl_eq,A82,pl_status,"En retard"))</f>
        <v/>
      </c>
      <c r="N82" s="74" t="str">
        <f>IF(A82="","",SUMPRODUCT(MAX((in_eq=A82)*in_done*(in_type="Correctif")*in_dnum)))</f>
        <v/>
      </c>
      <c r="O82" s="81" t="str">
        <f>IF(A82="","",SUMIFS(in_total,in_eq,A82,in_done,1))</f>
        <v/>
      </c>
      <c r="P82" s="79" t="str">
        <f>IF(COUNTA(A82:J82)=0,"",IF(A82="","Code manquant",IF(COUNTIF($A$6:$A$205,A82)&gt;1,"Code en double",IF(B82="","Désignation manquante",IF(AND(E82&lt;&gt;"",E82&lt;&gt;"A",E82&lt;&gt;"B",E82&lt;&gt;"C"),"Criticité : A, B ou C",IF(AND(F82&lt;&gt;"",OR(NOT(ISNUMBER(F82)),N(F82)&lt;=0)),"Mise en service invalide",IF(AND(G82&lt;&gt;"",OR(NOT(ISNUMBER(G82)),N(G82)&lt;0,N(G82)&gt;24)),"Heures d'ouverture entre 0 et 24",IF(AND(I82&lt;&gt;"",OR(NOT(ISNUMBER(I82)),N(I82)&lt;0)),"Relevé du compteur invalide",IF(AND(J82&lt;&gt;"",OR(NOT(ISNUMBER(J82)),N(J82)&lt;0)),"Usage par semaine invalide","OK")))))))))</f>
        <v/>
      </c>
    </row>
    <row r="83">
      <c r="A83" s="65" t="n"/>
      <c r="B83" s="66" t="n"/>
      <c r="C83" s="66" t="n"/>
      <c r="D83" s="66" t="n"/>
      <c r="E83" s="68" t="n"/>
      <c r="F83" s="72" t="n"/>
      <c r="G83" s="71" t="n"/>
      <c r="H83" s="68" t="n"/>
      <c r="I83" s="73" t="n"/>
      <c r="J83" s="73" t="n"/>
      <c r="K83" s="75" t="str">
        <f>IF(A83="","",MAX(N(I83),SUMPRODUCT(MAX((in_eq=A83)*in_done*in_cnum))))</f>
        <v/>
      </c>
      <c r="L83" s="132" t="str">
        <f>IF(A83="","",COUNTIFS(pl_eq,A83,pl_status,"&lt;&gt;Inactif"))</f>
        <v/>
      </c>
      <c r="M83" s="132" t="str">
        <f>IF(A83="","",COUNTIFS(pl_eq,A83,pl_status,"En retard"))</f>
        <v/>
      </c>
      <c r="N83" s="74" t="str">
        <f>IF(A83="","",SUMPRODUCT(MAX((in_eq=A83)*in_done*(in_type="Correctif")*in_dnum)))</f>
        <v/>
      </c>
      <c r="O83" s="81" t="str">
        <f>IF(A83="","",SUMIFS(in_total,in_eq,A83,in_done,1))</f>
        <v/>
      </c>
      <c r="P83" s="79" t="str">
        <f>IF(COUNTA(A83:J83)=0,"",IF(A83="","Code manquant",IF(COUNTIF($A$6:$A$205,A83)&gt;1,"Code en double",IF(B83="","Désignation manquante",IF(AND(E83&lt;&gt;"",E83&lt;&gt;"A",E83&lt;&gt;"B",E83&lt;&gt;"C"),"Criticité : A, B ou C",IF(AND(F83&lt;&gt;"",OR(NOT(ISNUMBER(F83)),N(F83)&lt;=0)),"Mise en service invalide",IF(AND(G83&lt;&gt;"",OR(NOT(ISNUMBER(G83)),N(G83)&lt;0,N(G83)&gt;24)),"Heures d'ouverture entre 0 et 24",IF(AND(I83&lt;&gt;"",OR(NOT(ISNUMBER(I83)),N(I83)&lt;0)),"Relevé du compteur invalide",IF(AND(J83&lt;&gt;"",OR(NOT(ISNUMBER(J83)),N(J83)&lt;0)),"Usage par semaine invalide","OK")))))))))</f>
        <v/>
      </c>
    </row>
    <row r="84">
      <c r="A84" s="65" t="n"/>
      <c r="B84" s="66" t="n"/>
      <c r="C84" s="66" t="n"/>
      <c r="D84" s="66" t="n"/>
      <c r="E84" s="68" t="n"/>
      <c r="F84" s="72" t="n"/>
      <c r="G84" s="71" t="n"/>
      <c r="H84" s="68" t="n"/>
      <c r="I84" s="73" t="n"/>
      <c r="J84" s="73" t="n"/>
      <c r="K84" s="75" t="str">
        <f>IF(A84="","",MAX(N(I84),SUMPRODUCT(MAX((in_eq=A84)*in_done*in_cnum))))</f>
        <v/>
      </c>
      <c r="L84" s="132" t="str">
        <f>IF(A84="","",COUNTIFS(pl_eq,A84,pl_status,"&lt;&gt;Inactif"))</f>
        <v/>
      </c>
      <c r="M84" s="132" t="str">
        <f>IF(A84="","",COUNTIFS(pl_eq,A84,pl_status,"En retard"))</f>
        <v/>
      </c>
      <c r="N84" s="74" t="str">
        <f>IF(A84="","",SUMPRODUCT(MAX((in_eq=A84)*in_done*(in_type="Correctif")*in_dnum)))</f>
        <v/>
      </c>
      <c r="O84" s="81" t="str">
        <f>IF(A84="","",SUMIFS(in_total,in_eq,A84,in_done,1))</f>
        <v/>
      </c>
      <c r="P84" s="79" t="str">
        <f>IF(COUNTA(A84:J84)=0,"",IF(A84="","Code manquant",IF(COUNTIF($A$6:$A$205,A84)&gt;1,"Code en double",IF(B84="","Désignation manquante",IF(AND(E84&lt;&gt;"",E84&lt;&gt;"A",E84&lt;&gt;"B",E84&lt;&gt;"C"),"Criticité : A, B ou C",IF(AND(F84&lt;&gt;"",OR(NOT(ISNUMBER(F84)),N(F84)&lt;=0)),"Mise en service invalide",IF(AND(G84&lt;&gt;"",OR(NOT(ISNUMBER(G84)),N(G84)&lt;0,N(G84)&gt;24)),"Heures d'ouverture entre 0 et 24",IF(AND(I84&lt;&gt;"",OR(NOT(ISNUMBER(I84)),N(I84)&lt;0)),"Relevé du compteur invalide",IF(AND(J84&lt;&gt;"",OR(NOT(ISNUMBER(J84)),N(J84)&lt;0)),"Usage par semaine invalide","OK")))))))))</f>
        <v/>
      </c>
    </row>
    <row r="85">
      <c r="A85" s="65" t="n"/>
      <c r="B85" s="66" t="n"/>
      <c r="C85" s="66" t="n"/>
      <c r="D85" s="66" t="n"/>
      <c r="E85" s="68" t="n"/>
      <c r="F85" s="72" t="n"/>
      <c r="G85" s="71" t="n"/>
      <c r="H85" s="68" t="n"/>
      <c r="I85" s="73" t="n"/>
      <c r="J85" s="73" t="n"/>
      <c r="K85" s="75" t="str">
        <f>IF(A85="","",MAX(N(I85),SUMPRODUCT(MAX((in_eq=A85)*in_done*in_cnum))))</f>
        <v/>
      </c>
      <c r="L85" s="132" t="str">
        <f>IF(A85="","",COUNTIFS(pl_eq,A85,pl_status,"&lt;&gt;Inactif"))</f>
        <v/>
      </c>
      <c r="M85" s="132" t="str">
        <f>IF(A85="","",COUNTIFS(pl_eq,A85,pl_status,"En retard"))</f>
        <v/>
      </c>
      <c r="N85" s="74" t="str">
        <f>IF(A85="","",SUMPRODUCT(MAX((in_eq=A85)*in_done*(in_type="Correctif")*in_dnum)))</f>
        <v/>
      </c>
      <c r="O85" s="81" t="str">
        <f>IF(A85="","",SUMIFS(in_total,in_eq,A85,in_done,1))</f>
        <v/>
      </c>
      <c r="P85" s="79" t="str">
        <f>IF(COUNTA(A85:J85)=0,"",IF(A85="","Code manquant",IF(COUNTIF($A$6:$A$205,A85)&gt;1,"Code en double",IF(B85="","Désignation manquante",IF(AND(E85&lt;&gt;"",E85&lt;&gt;"A",E85&lt;&gt;"B",E85&lt;&gt;"C"),"Criticité : A, B ou C",IF(AND(F85&lt;&gt;"",OR(NOT(ISNUMBER(F85)),N(F85)&lt;=0)),"Mise en service invalide",IF(AND(G85&lt;&gt;"",OR(NOT(ISNUMBER(G85)),N(G85)&lt;0,N(G85)&gt;24)),"Heures d'ouverture entre 0 et 24",IF(AND(I85&lt;&gt;"",OR(NOT(ISNUMBER(I85)),N(I85)&lt;0)),"Relevé du compteur invalide",IF(AND(J85&lt;&gt;"",OR(NOT(ISNUMBER(J85)),N(J85)&lt;0)),"Usage par semaine invalide","OK")))))))))</f>
        <v/>
      </c>
    </row>
    <row r="86">
      <c r="A86" s="65" t="n"/>
      <c r="B86" s="66" t="n"/>
      <c r="C86" s="66" t="n"/>
      <c r="D86" s="66" t="n"/>
      <c r="E86" s="68" t="n"/>
      <c r="F86" s="72" t="n"/>
      <c r="G86" s="71" t="n"/>
      <c r="H86" s="68" t="n"/>
      <c r="I86" s="73" t="n"/>
      <c r="J86" s="73" t="n"/>
      <c r="K86" s="75" t="str">
        <f>IF(A86="","",MAX(N(I86),SUMPRODUCT(MAX((in_eq=A86)*in_done*in_cnum))))</f>
        <v/>
      </c>
      <c r="L86" s="132" t="str">
        <f>IF(A86="","",COUNTIFS(pl_eq,A86,pl_status,"&lt;&gt;Inactif"))</f>
        <v/>
      </c>
      <c r="M86" s="132" t="str">
        <f>IF(A86="","",COUNTIFS(pl_eq,A86,pl_status,"En retard"))</f>
        <v/>
      </c>
      <c r="N86" s="74" t="str">
        <f>IF(A86="","",SUMPRODUCT(MAX((in_eq=A86)*in_done*(in_type="Correctif")*in_dnum)))</f>
        <v/>
      </c>
      <c r="O86" s="81" t="str">
        <f>IF(A86="","",SUMIFS(in_total,in_eq,A86,in_done,1))</f>
        <v/>
      </c>
      <c r="P86" s="79" t="str">
        <f>IF(COUNTA(A86:J86)=0,"",IF(A86="","Code manquant",IF(COUNTIF($A$6:$A$205,A86)&gt;1,"Code en double",IF(B86="","Désignation manquante",IF(AND(E86&lt;&gt;"",E86&lt;&gt;"A",E86&lt;&gt;"B",E86&lt;&gt;"C"),"Criticité : A, B ou C",IF(AND(F86&lt;&gt;"",OR(NOT(ISNUMBER(F86)),N(F86)&lt;=0)),"Mise en service invalide",IF(AND(G86&lt;&gt;"",OR(NOT(ISNUMBER(G86)),N(G86)&lt;0,N(G86)&gt;24)),"Heures d'ouverture entre 0 et 24",IF(AND(I86&lt;&gt;"",OR(NOT(ISNUMBER(I86)),N(I86)&lt;0)),"Relevé du compteur invalide",IF(AND(J86&lt;&gt;"",OR(NOT(ISNUMBER(J86)),N(J86)&lt;0)),"Usage par semaine invalide","OK")))))))))</f>
        <v/>
      </c>
    </row>
    <row r="87">
      <c r="A87" s="65" t="n"/>
      <c r="B87" s="66" t="n"/>
      <c r="C87" s="66" t="n"/>
      <c r="D87" s="66" t="n"/>
      <c r="E87" s="68" t="n"/>
      <c r="F87" s="72" t="n"/>
      <c r="G87" s="71" t="n"/>
      <c r="H87" s="68" t="n"/>
      <c r="I87" s="73" t="n"/>
      <c r="J87" s="73" t="n"/>
      <c r="K87" s="75" t="str">
        <f>IF(A87="","",MAX(N(I87),SUMPRODUCT(MAX((in_eq=A87)*in_done*in_cnum))))</f>
        <v/>
      </c>
      <c r="L87" s="132" t="str">
        <f>IF(A87="","",COUNTIFS(pl_eq,A87,pl_status,"&lt;&gt;Inactif"))</f>
        <v/>
      </c>
      <c r="M87" s="132" t="str">
        <f>IF(A87="","",COUNTIFS(pl_eq,A87,pl_status,"En retard"))</f>
        <v/>
      </c>
      <c r="N87" s="74" t="str">
        <f>IF(A87="","",SUMPRODUCT(MAX((in_eq=A87)*in_done*(in_type="Correctif")*in_dnum)))</f>
        <v/>
      </c>
      <c r="O87" s="81" t="str">
        <f>IF(A87="","",SUMIFS(in_total,in_eq,A87,in_done,1))</f>
        <v/>
      </c>
      <c r="P87" s="79" t="str">
        <f>IF(COUNTA(A87:J87)=0,"",IF(A87="","Code manquant",IF(COUNTIF($A$6:$A$205,A87)&gt;1,"Code en double",IF(B87="","Désignation manquante",IF(AND(E87&lt;&gt;"",E87&lt;&gt;"A",E87&lt;&gt;"B",E87&lt;&gt;"C"),"Criticité : A, B ou C",IF(AND(F87&lt;&gt;"",OR(NOT(ISNUMBER(F87)),N(F87)&lt;=0)),"Mise en service invalide",IF(AND(G87&lt;&gt;"",OR(NOT(ISNUMBER(G87)),N(G87)&lt;0,N(G87)&gt;24)),"Heures d'ouverture entre 0 et 24",IF(AND(I87&lt;&gt;"",OR(NOT(ISNUMBER(I87)),N(I87)&lt;0)),"Relevé du compteur invalide",IF(AND(J87&lt;&gt;"",OR(NOT(ISNUMBER(J87)),N(J87)&lt;0)),"Usage par semaine invalide","OK")))))))))</f>
        <v/>
      </c>
    </row>
    <row r="88">
      <c r="A88" s="65" t="n"/>
      <c r="B88" s="66" t="n"/>
      <c r="C88" s="66" t="n"/>
      <c r="D88" s="66" t="n"/>
      <c r="E88" s="68" t="n"/>
      <c r="F88" s="72" t="n"/>
      <c r="G88" s="71" t="n"/>
      <c r="H88" s="68" t="n"/>
      <c r="I88" s="73" t="n"/>
      <c r="J88" s="73" t="n"/>
      <c r="K88" s="75" t="str">
        <f>IF(A88="","",MAX(N(I88),SUMPRODUCT(MAX((in_eq=A88)*in_done*in_cnum))))</f>
        <v/>
      </c>
      <c r="L88" s="132" t="str">
        <f>IF(A88="","",COUNTIFS(pl_eq,A88,pl_status,"&lt;&gt;Inactif"))</f>
        <v/>
      </c>
      <c r="M88" s="132" t="str">
        <f>IF(A88="","",COUNTIFS(pl_eq,A88,pl_status,"En retard"))</f>
        <v/>
      </c>
      <c r="N88" s="74" t="str">
        <f>IF(A88="","",SUMPRODUCT(MAX((in_eq=A88)*in_done*(in_type="Correctif")*in_dnum)))</f>
        <v/>
      </c>
      <c r="O88" s="81" t="str">
        <f>IF(A88="","",SUMIFS(in_total,in_eq,A88,in_done,1))</f>
        <v/>
      </c>
      <c r="P88" s="79" t="str">
        <f>IF(COUNTA(A88:J88)=0,"",IF(A88="","Code manquant",IF(COUNTIF($A$6:$A$205,A88)&gt;1,"Code en double",IF(B88="","Désignation manquante",IF(AND(E88&lt;&gt;"",E88&lt;&gt;"A",E88&lt;&gt;"B",E88&lt;&gt;"C"),"Criticité : A, B ou C",IF(AND(F88&lt;&gt;"",OR(NOT(ISNUMBER(F88)),N(F88)&lt;=0)),"Mise en service invalide",IF(AND(G88&lt;&gt;"",OR(NOT(ISNUMBER(G88)),N(G88)&lt;0,N(G88)&gt;24)),"Heures d'ouverture entre 0 et 24",IF(AND(I88&lt;&gt;"",OR(NOT(ISNUMBER(I88)),N(I88)&lt;0)),"Relevé du compteur invalide",IF(AND(J88&lt;&gt;"",OR(NOT(ISNUMBER(J88)),N(J88)&lt;0)),"Usage par semaine invalide","OK")))))))))</f>
        <v/>
      </c>
    </row>
    <row r="89">
      <c r="A89" s="65" t="n"/>
      <c r="B89" s="66" t="n"/>
      <c r="C89" s="66" t="n"/>
      <c r="D89" s="66" t="n"/>
      <c r="E89" s="68" t="n"/>
      <c r="F89" s="72" t="n"/>
      <c r="G89" s="71" t="n"/>
      <c r="H89" s="68" t="n"/>
      <c r="I89" s="73" t="n"/>
      <c r="J89" s="73" t="n"/>
      <c r="K89" s="75" t="str">
        <f>IF(A89="","",MAX(N(I89),SUMPRODUCT(MAX((in_eq=A89)*in_done*in_cnum))))</f>
        <v/>
      </c>
      <c r="L89" s="132" t="str">
        <f>IF(A89="","",COUNTIFS(pl_eq,A89,pl_status,"&lt;&gt;Inactif"))</f>
        <v/>
      </c>
      <c r="M89" s="132" t="str">
        <f>IF(A89="","",COUNTIFS(pl_eq,A89,pl_status,"En retard"))</f>
        <v/>
      </c>
      <c r="N89" s="74" t="str">
        <f>IF(A89="","",SUMPRODUCT(MAX((in_eq=A89)*in_done*(in_type="Correctif")*in_dnum)))</f>
        <v/>
      </c>
      <c r="O89" s="81" t="str">
        <f>IF(A89="","",SUMIFS(in_total,in_eq,A89,in_done,1))</f>
        <v/>
      </c>
      <c r="P89" s="79" t="str">
        <f>IF(COUNTA(A89:J89)=0,"",IF(A89="","Code manquant",IF(COUNTIF($A$6:$A$205,A89)&gt;1,"Code en double",IF(B89="","Désignation manquante",IF(AND(E89&lt;&gt;"",E89&lt;&gt;"A",E89&lt;&gt;"B",E89&lt;&gt;"C"),"Criticité : A, B ou C",IF(AND(F89&lt;&gt;"",OR(NOT(ISNUMBER(F89)),N(F89)&lt;=0)),"Mise en service invalide",IF(AND(G89&lt;&gt;"",OR(NOT(ISNUMBER(G89)),N(G89)&lt;0,N(G89)&gt;24)),"Heures d'ouverture entre 0 et 24",IF(AND(I89&lt;&gt;"",OR(NOT(ISNUMBER(I89)),N(I89)&lt;0)),"Relevé du compteur invalide",IF(AND(J89&lt;&gt;"",OR(NOT(ISNUMBER(J89)),N(J89)&lt;0)),"Usage par semaine invalide","OK")))))))))</f>
        <v/>
      </c>
    </row>
    <row r="90">
      <c r="A90" s="65" t="n"/>
      <c r="B90" s="66" t="n"/>
      <c r="C90" s="66" t="n"/>
      <c r="D90" s="66" t="n"/>
      <c r="E90" s="68" t="n"/>
      <c r="F90" s="72" t="n"/>
      <c r="G90" s="71" t="n"/>
      <c r="H90" s="68" t="n"/>
      <c r="I90" s="73" t="n"/>
      <c r="J90" s="73" t="n"/>
      <c r="K90" s="75" t="str">
        <f>IF(A90="","",MAX(N(I90),SUMPRODUCT(MAX((in_eq=A90)*in_done*in_cnum))))</f>
        <v/>
      </c>
      <c r="L90" s="132" t="str">
        <f>IF(A90="","",COUNTIFS(pl_eq,A90,pl_status,"&lt;&gt;Inactif"))</f>
        <v/>
      </c>
      <c r="M90" s="132" t="str">
        <f>IF(A90="","",COUNTIFS(pl_eq,A90,pl_status,"En retard"))</f>
        <v/>
      </c>
      <c r="N90" s="74" t="str">
        <f>IF(A90="","",SUMPRODUCT(MAX((in_eq=A90)*in_done*(in_type="Correctif")*in_dnum)))</f>
        <v/>
      </c>
      <c r="O90" s="81" t="str">
        <f>IF(A90="","",SUMIFS(in_total,in_eq,A90,in_done,1))</f>
        <v/>
      </c>
      <c r="P90" s="79" t="str">
        <f>IF(COUNTA(A90:J90)=0,"",IF(A90="","Code manquant",IF(COUNTIF($A$6:$A$205,A90)&gt;1,"Code en double",IF(B90="","Désignation manquante",IF(AND(E90&lt;&gt;"",E90&lt;&gt;"A",E90&lt;&gt;"B",E90&lt;&gt;"C"),"Criticité : A, B ou C",IF(AND(F90&lt;&gt;"",OR(NOT(ISNUMBER(F90)),N(F90)&lt;=0)),"Mise en service invalide",IF(AND(G90&lt;&gt;"",OR(NOT(ISNUMBER(G90)),N(G90)&lt;0,N(G90)&gt;24)),"Heures d'ouverture entre 0 et 24",IF(AND(I90&lt;&gt;"",OR(NOT(ISNUMBER(I90)),N(I90)&lt;0)),"Relevé du compteur invalide",IF(AND(J90&lt;&gt;"",OR(NOT(ISNUMBER(J90)),N(J90)&lt;0)),"Usage par semaine invalide","OK")))))))))</f>
        <v/>
      </c>
    </row>
    <row r="91">
      <c r="A91" s="65" t="n"/>
      <c r="B91" s="66" t="n"/>
      <c r="C91" s="66" t="n"/>
      <c r="D91" s="66" t="n"/>
      <c r="E91" s="68" t="n"/>
      <c r="F91" s="72" t="n"/>
      <c r="G91" s="71" t="n"/>
      <c r="H91" s="68" t="n"/>
      <c r="I91" s="73" t="n"/>
      <c r="J91" s="73" t="n"/>
      <c r="K91" s="75" t="str">
        <f>IF(A91="","",MAX(N(I91),SUMPRODUCT(MAX((in_eq=A91)*in_done*in_cnum))))</f>
        <v/>
      </c>
      <c r="L91" s="132" t="str">
        <f>IF(A91="","",COUNTIFS(pl_eq,A91,pl_status,"&lt;&gt;Inactif"))</f>
        <v/>
      </c>
      <c r="M91" s="132" t="str">
        <f>IF(A91="","",COUNTIFS(pl_eq,A91,pl_status,"En retard"))</f>
        <v/>
      </c>
      <c r="N91" s="74" t="str">
        <f>IF(A91="","",SUMPRODUCT(MAX((in_eq=A91)*in_done*(in_type="Correctif")*in_dnum)))</f>
        <v/>
      </c>
      <c r="O91" s="81" t="str">
        <f>IF(A91="","",SUMIFS(in_total,in_eq,A91,in_done,1))</f>
        <v/>
      </c>
      <c r="P91" s="79" t="str">
        <f>IF(COUNTA(A91:J91)=0,"",IF(A91="","Code manquant",IF(COUNTIF($A$6:$A$205,A91)&gt;1,"Code en double",IF(B91="","Désignation manquante",IF(AND(E91&lt;&gt;"",E91&lt;&gt;"A",E91&lt;&gt;"B",E91&lt;&gt;"C"),"Criticité : A, B ou C",IF(AND(F91&lt;&gt;"",OR(NOT(ISNUMBER(F91)),N(F91)&lt;=0)),"Mise en service invalide",IF(AND(G91&lt;&gt;"",OR(NOT(ISNUMBER(G91)),N(G91)&lt;0,N(G91)&gt;24)),"Heures d'ouverture entre 0 et 24",IF(AND(I91&lt;&gt;"",OR(NOT(ISNUMBER(I91)),N(I91)&lt;0)),"Relevé du compteur invalide",IF(AND(J91&lt;&gt;"",OR(NOT(ISNUMBER(J91)),N(J91)&lt;0)),"Usage par semaine invalide","OK")))))))))</f>
        <v/>
      </c>
    </row>
    <row r="92">
      <c r="A92" s="65" t="n"/>
      <c r="B92" s="66" t="n"/>
      <c r="C92" s="66" t="n"/>
      <c r="D92" s="66" t="n"/>
      <c r="E92" s="68" t="n"/>
      <c r="F92" s="72" t="n"/>
      <c r="G92" s="71" t="n"/>
      <c r="H92" s="68" t="n"/>
      <c r="I92" s="73" t="n"/>
      <c r="J92" s="73" t="n"/>
      <c r="K92" s="75" t="str">
        <f>IF(A92="","",MAX(N(I92),SUMPRODUCT(MAX((in_eq=A92)*in_done*in_cnum))))</f>
        <v/>
      </c>
      <c r="L92" s="132" t="str">
        <f>IF(A92="","",COUNTIFS(pl_eq,A92,pl_status,"&lt;&gt;Inactif"))</f>
        <v/>
      </c>
      <c r="M92" s="132" t="str">
        <f>IF(A92="","",COUNTIFS(pl_eq,A92,pl_status,"En retard"))</f>
        <v/>
      </c>
      <c r="N92" s="74" t="str">
        <f>IF(A92="","",SUMPRODUCT(MAX((in_eq=A92)*in_done*(in_type="Correctif")*in_dnum)))</f>
        <v/>
      </c>
      <c r="O92" s="81" t="str">
        <f>IF(A92="","",SUMIFS(in_total,in_eq,A92,in_done,1))</f>
        <v/>
      </c>
      <c r="P92" s="79" t="str">
        <f>IF(COUNTA(A92:J92)=0,"",IF(A92="","Code manquant",IF(COUNTIF($A$6:$A$205,A92)&gt;1,"Code en double",IF(B92="","Désignation manquante",IF(AND(E92&lt;&gt;"",E92&lt;&gt;"A",E92&lt;&gt;"B",E92&lt;&gt;"C"),"Criticité : A, B ou C",IF(AND(F92&lt;&gt;"",OR(NOT(ISNUMBER(F92)),N(F92)&lt;=0)),"Mise en service invalide",IF(AND(G92&lt;&gt;"",OR(NOT(ISNUMBER(G92)),N(G92)&lt;0,N(G92)&gt;24)),"Heures d'ouverture entre 0 et 24",IF(AND(I92&lt;&gt;"",OR(NOT(ISNUMBER(I92)),N(I92)&lt;0)),"Relevé du compteur invalide",IF(AND(J92&lt;&gt;"",OR(NOT(ISNUMBER(J92)),N(J92)&lt;0)),"Usage par semaine invalide","OK")))))))))</f>
        <v/>
      </c>
    </row>
    <row r="93">
      <c r="A93" s="65" t="n"/>
      <c r="B93" s="66" t="n"/>
      <c r="C93" s="66" t="n"/>
      <c r="D93" s="66" t="n"/>
      <c r="E93" s="68" t="n"/>
      <c r="F93" s="72" t="n"/>
      <c r="G93" s="71" t="n"/>
      <c r="H93" s="68" t="n"/>
      <c r="I93" s="73" t="n"/>
      <c r="J93" s="73" t="n"/>
      <c r="K93" s="75" t="str">
        <f>IF(A93="","",MAX(N(I93),SUMPRODUCT(MAX((in_eq=A93)*in_done*in_cnum))))</f>
        <v/>
      </c>
      <c r="L93" s="132" t="str">
        <f>IF(A93="","",COUNTIFS(pl_eq,A93,pl_status,"&lt;&gt;Inactif"))</f>
        <v/>
      </c>
      <c r="M93" s="132" t="str">
        <f>IF(A93="","",COUNTIFS(pl_eq,A93,pl_status,"En retard"))</f>
        <v/>
      </c>
      <c r="N93" s="74" t="str">
        <f>IF(A93="","",SUMPRODUCT(MAX((in_eq=A93)*in_done*(in_type="Correctif")*in_dnum)))</f>
        <v/>
      </c>
      <c r="O93" s="81" t="str">
        <f>IF(A93="","",SUMIFS(in_total,in_eq,A93,in_done,1))</f>
        <v/>
      </c>
      <c r="P93" s="79" t="str">
        <f>IF(COUNTA(A93:J93)=0,"",IF(A93="","Code manquant",IF(COUNTIF($A$6:$A$205,A93)&gt;1,"Code en double",IF(B93="","Désignation manquante",IF(AND(E93&lt;&gt;"",E93&lt;&gt;"A",E93&lt;&gt;"B",E93&lt;&gt;"C"),"Criticité : A, B ou C",IF(AND(F93&lt;&gt;"",OR(NOT(ISNUMBER(F93)),N(F93)&lt;=0)),"Mise en service invalide",IF(AND(G93&lt;&gt;"",OR(NOT(ISNUMBER(G93)),N(G93)&lt;0,N(G93)&gt;24)),"Heures d'ouverture entre 0 et 24",IF(AND(I93&lt;&gt;"",OR(NOT(ISNUMBER(I93)),N(I93)&lt;0)),"Relevé du compteur invalide",IF(AND(J93&lt;&gt;"",OR(NOT(ISNUMBER(J93)),N(J93)&lt;0)),"Usage par semaine invalide","OK")))))))))</f>
        <v/>
      </c>
    </row>
    <row r="94">
      <c r="A94" s="65" t="n"/>
      <c r="B94" s="66" t="n"/>
      <c r="C94" s="66" t="n"/>
      <c r="D94" s="66" t="n"/>
      <c r="E94" s="68" t="n"/>
      <c r="F94" s="72" t="n"/>
      <c r="G94" s="71" t="n"/>
      <c r="H94" s="68" t="n"/>
      <c r="I94" s="73" t="n"/>
      <c r="J94" s="73" t="n"/>
      <c r="K94" s="75" t="str">
        <f>IF(A94="","",MAX(N(I94),SUMPRODUCT(MAX((in_eq=A94)*in_done*in_cnum))))</f>
        <v/>
      </c>
      <c r="L94" s="132" t="str">
        <f>IF(A94="","",COUNTIFS(pl_eq,A94,pl_status,"&lt;&gt;Inactif"))</f>
        <v/>
      </c>
      <c r="M94" s="132" t="str">
        <f>IF(A94="","",COUNTIFS(pl_eq,A94,pl_status,"En retard"))</f>
        <v/>
      </c>
      <c r="N94" s="74" t="str">
        <f>IF(A94="","",SUMPRODUCT(MAX((in_eq=A94)*in_done*(in_type="Correctif")*in_dnum)))</f>
        <v/>
      </c>
      <c r="O94" s="81" t="str">
        <f>IF(A94="","",SUMIFS(in_total,in_eq,A94,in_done,1))</f>
        <v/>
      </c>
      <c r="P94" s="79" t="str">
        <f>IF(COUNTA(A94:J94)=0,"",IF(A94="","Code manquant",IF(COUNTIF($A$6:$A$205,A94)&gt;1,"Code en double",IF(B94="","Désignation manquante",IF(AND(E94&lt;&gt;"",E94&lt;&gt;"A",E94&lt;&gt;"B",E94&lt;&gt;"C"),"Criticité : A, B ou C",IF(AND(F94&lt;&gt;"",OR(NOT(ISNUMBER(F94)),N(F94)&lt;=0)),"Mise en service invalide",IF(AND(G94&lt;&gt;"",OR(NOT(ISNUMBER(G94)),N(G94)&lt;0,N(G94)&gt;24)),"Heures d'ouverture entre 0 et 24",IF(AND(I94&lt;&gt;"",OR(NOT(ISNUMBER(I94)),N(I94)&lt;0)),"Relevé du compteur invalide",IF(AND(J94&lt;&gt;"",OR(NOT(ISNUMBER(J94)),N(J94)&lt;0)),"Usage par semaine invalide","OK")))))))))</f>
        <v/>
      </c>
    </row>
    <row r="95">
      <c r="A95" s="65" t="n"/>
      <c r="B95" s="66" t="n"/>
      <c r="C95" s="66" t="n"/>
      <c r="D95" s="66" t="n"/>
      <c r="E95" s="68" t="n"/>
      <c r="F95" s="72" t="n"/>
      <c r="G95" s="71" t="n"/>
      <c r="H95" s="68" t="n"/>
      <c r="I95" s="73" t="n"/>
      <c r="J95" s="73" t="n"/>
      <c r="K95" s="75" t="str">
        <f>IF(A95="","",MAX(N(I95),SUMPRODUCT(MAX((in_eq=A95)*in_done*in_cnum))))</f>
        <v/>
      </c>
      <c r="L95" s="132" t="str">
        <f>IF(A95="","",COUNTIFS(pl_eq,A95,pl_status,"&lt;&gt;Inactif"))</f>
        <v/>
      </c>
      <c r="M95" s="132" t="str">
        <f>IF(A95="","",COUNTIFS(pl_eq,A95,pl_status,"En retard"))</f>
        <v/>
      </c>
      <c r="N95" s="74" t="str">
        <f>IF(A95="","",SUMPRODUCT(MAX((in_eq=A95)*in_done*(in_type="Correctif")*in_dnum)))</f>
        <v/>
      </c>
      <c r="O95" s="81" t="str">
        <f>IF(A95="","",SUMIFS(in_total,in_eq,A95,in_done,1))</f>
        <v/>
      </c>
      <c r="P95" s="79" t="str">
        <f>IF(COUNTA(A95:J95)=0,"",IF(A95="","Code manquant",IF(COUNTIF($A$6:$A$205,A95)&gt;1,"Code en double",IF(B95="","Désignation manquante",IF(AND(E95&lt;&gt;"",E95&lt;&gt;"A",E95&lt;&gt;"B",E95&lt;&gt;"C"),"Criticité : A, B ou C",IF(AND(F95&lt;&gt;"",OR(NOT(ISNUMBER(F95)),N(F95)&lt;=0)),"Mise en service invalide",IF(AND(G95&lt;&gt;"",OR(NOT(ISNUMBER(G95)),N(G95)&lt;0,N(G95)&gt;24)),"Heures d'ouverture entre 0 et 24",IF(AND(I95&lt;&gt;"",OR(NOT(ISNUMBER(I95)),N(I95)&lt;0)),"Relevé du compteur invalide",IF(AND(J95&lt;&gt;"",OR(NOT(ISNUMBER(J95)),N(J95)&lt;0)),"Usage par semaine invalide","OK")))))))))</f>
        <v/>
      </c>
    </row>
    <row r="96">
      <c r="A96" s="65" t="n"/>
      <c r="B96" s="66" t="n"/>
      <c r="C96" s="66" t="n"/>
      <c r="D96" s="66" t="n"/>
      <c r="E96" s="68" t="n"/>
      <c r="F96" s="72" t="n"/>
      <c r="G96" s="71" t="n"/>
      <c r="H96" s="68" t="n"/>
      <c r="I96" s="73" t="n"/>
      <c r="J96" s="73" t="n"/>
      <c r="K96" s="75" t="str">
        <f>IF(A96="","",MAX(N(I96),SUMPRODUCT(MAX((in_eq=A96)*in_done*in_cnum))))</f>
        <v/>
      </c>
      <c r="L96" s="132" t="str">
        <f>IF(A96="","",COUNTIFS(pl_eq,A96,pl_status,"&lt;&gt;Inactif"))</f>
        <v/>
      </c>
      <c r="M96" s="132" t="str">
        <f>IF(A96="","",COUNTIFS(pl_eq,A96,pl_status,"En retard"))</f>
        <v/>
      </c>
      <c r="N96" s="74" t="str">
        <f>IF(A96="","",SUMPRODUCT(MAX((in_eq=A96)*in_done*(in_type="Correctif")*in_dnum)))</f>
        <v/>
      </c>
      <c r="O96" s="81" t="str">
        <f>IF(A96="","",SUMIFS(in_total,in_eq,A96,in_done,1))</f>
        <v/>
      </c>
      <c r="P96" s="79" t="str">
        <f>IF(COUNTA(A96:J96)=0,"",IF(A96="","Code manquant",IF(COUNTIF($A$6:$A$205,A96)&gt;1,"Code en double",IF(B96="","Désignation manquante",IF(AND(E96&lt;&gt;"",E96&lt;&gt;"A",E96&lt;&gt;"B",E96&lt;&gt;"C"),"Criticité : A, B ou C",IF(AND(F96&lt;&gt;"",OR(NOT(ISNUMBER(F96)),N(F96)&lt;=0)),"Mise en service invalide",IF(AND(G96&lt;&gt;"",OR(NOT(ISNUMBER(G96)),N(G96)&lt;0,N(G96)&gt;24)),"Heures d'ouverture entre 0 et 24",IF(AND(I96&lt;&gt;"",OR(NOT(ISNUMBER(I96)),N(I96)&lt;0)),"Relevé du compteur invalide",IF(AND(J96&lt;&gt;"",OR(NOT(ISNUMBER(J96)),N(J96)&lt;0)),"Usage par semaine invalide","OK")))))))))</f>
        <v/>
      </c>
    </row>
    <row r="97">
      <c r="A97" s="65" t="n"/>
      <c r="B97" s="66" t="n"/>
      <c r="C97" s="66" t="n"/>
      <c r="D97" s="66" t="n"/>
      <c r="E97" s="68" t="n"/>
      <c r="F97" s="72" t="n"/>
      <c r="G97" s="71" t="n"/>
      <c r="H97" s="68" t="n"/>
      <c r="I97" s="73" t="n"/>
      <c r="J97" s="73" t="n"/>
      <c r="K97" s="75" t="str">
        <f>IF(A97="","",MAX(N(I97),SUMPRODUCT(MAX((in_eq=A97)*in_done*in_cnum))))</f>
        <v/>
      </c>
      <c r="L97" s="132" t="str">
        <f>IF(A97="","",COUNTIFS(pl_eq,A97,pl_status,"&lt;&gt;Inactif"))</f>
        <v/>
      </c>
      <c r="M97" s="132" t="str">
        <f>IF(A97="","",COUNTIFS(pl_eq,A97,pl_status,"En retard"))</f>
        <v/>
      </c>
      <c r="N97" s="74" t="str">
        <f>IF(A97="","",SUMPRODUCT(MAX((in_eq=A97)*in_done*(in_type="Correctif")*in_dnum)))</f>
        <v/>
      </c>
      <c r="O97" s="81" t="str">
        <f>IF(A97="","",SUMIFS(in_total,in_eq,A97,in_done,1))</f>
        <v/>
      </c>
      <c r="P97" s="79" t="str">
        <f>IF(COUNTA(A97:J97)=0,"",IF(A97="","Code manquant",IF(COUNTIF($A$6:$A$205,A97)&gt;1,"Code en double",IF(B97="","Désignation manquante",IF(AND(E97&lt;&gt;"",E97&lt;&gt;"A",E97&lt;&gt;"B",E97&lt;&gt;"C"),"Criticité : A, B ou C",IF(AND(F97&lt;&gt;"",OR(NOT(ISNUMBER(F97)),N(F97)&lt;=0)),"Mise en service invalide",IF(AND(G97&lt;&gt;"",OR(NOT(ISNUMBER(G97)),N(G97)&lt;0,N(G97)&gt;24)),"Heures d'ouverture entre 0 et 24",IF(AND(I97&lt;&gt;"",OR(NOT(ISNUMBER(I97)),N(I97)&lt;0)),"Relevé du compteur invalide",IF(AND(J97&lt;&gt;"",OR(NOT(ISNUMBER(J97)),N(J97)&lt;0)),"Usage par semaine invalide","OK")))))))))</f>
        <v/>
      </c>
    </row>
    <row r="98">
      <c r="A98" s="65" t="n"/>
      <c r="B98" s="66" t="n"/>
      <c r="C98" s="66" t="n"/>
      <c r="D98" s="66" t="n"/>
      <c r="E98" s="68" t="n"/>
      <c r="F98" s="72" t="n"/>
      <c r="G98" s="71" t="n"/>
      <c r="H98" s="68" t="n"/>
      <c r="I98" s="73" t="n"/>
      <c r="J98" s="73" t="n"/>
      <c r="K98" s="75" t="str">
        <f>IF(A98="","",MAX(N(I98),SUMPRODUCT(MAX((in_eq=A98)*in_done*in_cnum))))</f>
        <v/>
      </c>
      <c r="L98" s="132" t="str">
        <f>IF(A98="","",COUNTIFS(pl_eq,A98,pl_status,"&lt;&gt;Inactif"))</f>
        <v/>
      </c>
      <c r="M98" s="132" t="str">
        <f>IF(A98="","",COUNTIFS(pl_eq,A98,pl_status,"En retard"))</f>
        <v/>
      </c>
      <c r="N98" s="74" t="str">
        <f>IF(A98="","",SUMPRODUCT(MAX((in_eq=A98)*in_done*(in_type="Correctif")*in_dnum)))</f>
        <v/>
      </c>
      <c r="O98" s="81" t="str">
        <f>IF(A98="","",SUMIFS(in_total,in_eq,A98,in_done,1))</f>
        <v/>
      </c>
      <c r="P98" s="79" t="str">
        <f>IF(COUNTA(A98:J98)=0,"",IF(A98="","Code manquant",IF(COUNTIF($A$6:$A$205,A98)&gt;1,"Code en double",IF(B98="","Désignation manquante",IF(AND(E98&lt;&gt;"",E98&lt;&gt;"A",E98&lt;&gt;"B",E98&lt;&gt;"C"),"Criticité : A, B ou C",IF(AND(F98&lt;&gt;"",OR(NOT(ISNUMBER(F98)),N(F98)&lt;=0)),"Mise en service invalide",IF(AND(G98&lt;&gt;"",OR(NOT(ISNUMBER(G98)),N(G98)&lt;0,N(G98)&gt;24)),"Heures d'ouverture entre 0 et 24",IF(AND(I98&lt;&gt;"",OR(NOT(ISNUMBER(I98)),N(I98)&lt;0)),"Relevé du compteur invalide",IF(AND(J98&lt;&gt;"",OR(NOT(ISNUMBER(J98)),N(J98)&lt;0)),"Usage par semaine invalide","OK")))))))))</f>
        <v/>
      </c>
    </row>
    <row r="99">
      <c r="A99" s="65" t="n"/>
      <c r="B99" s="66" t="n"/>
      <c r="C99" s="66" t="n"/>
      <c r="D99" s="66" t="n"/>
      <c r="E99" s="68" t="n"/>
      <c r="F99" s="72" t="n"/>
      <c r="G99" s="71" t="n"/>
      <c r="H99" s="68" t="n"/>
      <c r="I99" s="73" t="n"/>
      <c r="J99" s="73" t="n"/>
      <c r="K99" s="75" t="str">
        <f>IF(A99="","",MAX(N(I99),SUMPRODUCT(MAX((in_eq=A99)*in_done*in_cnum))))</f>
        <v/>
      </c>
      <c r="L99" s="132" t="str">
        <f>IF(A99="","",COUNTIFS(pl_eq,A99,pl_status,"&lt;&gt;Inactif"))</f>
        <v/>
      </c>
      <c r="M99" s="132" t="str">
        <f>IF(A99="","",COUNTIFS(pl_eq,A99,pl_status,"En retard"))</f>
        <v/>
      </c>
      <c r="N99" s="74" t="str">
        <f>IF(A99="","",SUMPRODUCT(MAX((in_eq=A99)*in_done*(in_type="Correctif")*in_dnum)))</f>
        <v/>
      </c>
      <c r="O99" s="81" t="str">
        <f>IF(A99="","",SUMIFS(in_total,in_eq,A99,in_done,1))</f>
        <v/>
      </c>
      <c r="P99" s="79" t="str">
        <f>IF(COUNTA(A99:J99)=0,"",IF(A99="","Code manquant",IF(COUNTIF($A$6:$A$205,A99)&gt;1,"Code en double",IF(B99="","Désignation manquante",IF(AND(E99&lt;&gt;"",E99&lt;&gt;"A",E99&lt;&gt;"B",E99&lt;&gt;"C"),"Criticité : A, B ou C",IF(AND(F99&lt;&gt;"",OR(NOT(ISNUMBER(F99)),N(F99)&lt;=0)),"Mise en service invalide",IF(AND(G99&lt;&gt;"",OR(NOT(ISNUMBER(G99)),N(G99)&lt;0,N(G99)&gt;24)),"Heures d'ouverture entre 0 et 24",IF(AND(I99&lt;&gt;"",OR(NOT(ISNUMBER(I99)),N(I99)&lt;0)),"Relevé du compteur invalide",IF(AND(J99&lt;&gt;"",OR(NOT(ISNUMBER(J99)),N(J99)&lt;0)),"Usage par semaine invalide","OK")))))))))</f>
        <v/>
      </c>
    </row>
    <row r="100">
      <c r="A100" s="65" t="n"/>
      <c r="B100" s="66" t="n"/>
      <c r="C100" s="66" t="n"/>
      <c r="D100" s="66" t="n"/>
      <c r="E100" s="68" t="n"/>
      <c r="F100" s="72" t="n"/>
      <c r="G100" s="71" t="n"/>
      <c r="H100" s="68" t="n"/>
      <c r="I100" s="73" t="n"/>
      <c r="J100" s="73" t="n"/>
      <c r="K100" s="75" t="str">
        <f>IF(A100="","",MAX(N(I100),SUMPRODUCT(MAX((in_eq=A100)*in_done*in_cnum))))</f>
        <v/>
      </c>
      <c r="L100" s="132" t="str">
        <f>IF(A100="","",COUNTIFS(pl_eq,A100,pl_status,"&lt;&gt;Inactif"))</f>
        <v/>
      </c>
      <c r="M100" s="132" t="str">
        <f>IF(A100="","",COUNTIFS(pl_eq,A100,pl_status,"En retard"))</f>
        <v/>
      </c>
      <c r="N100" s="74" t="str">
        <f>IF(A100="","",SUMPRODUCT(MAX((in_eq=A100)*in_done*(in_type="Correctif")*in_dnum)))</f>
        <v/>
      </c>
      <c r="O100" s="81" t="str">
        <f>IF(A100="","",SUMIFS(in_total,in_eq,A100,in_done,1))</f>
        <v/>
      </c>
      <c r="P100" s="79" t="str">
        <f>IF(COUNTA(A100:J100)=0,"",IF(A100="","Code manquant",IF(COUNTIF($A$6:$A$205,A100)&gt;1,"Code en double",IF(B100="","Désignation manquante",IF(AND(E100&lt;&gt;"",E100&lt;&gt;"A",E100&lt;&gt;"B",E100&lt;&gt;"C"),"Criticité : A, B ou C",IF(AND(F100&lt;&gt;"",OR(NOT(ISNUMBER(F100)),N(F100)&lt;=0)),"Mise en service invalide",IF(AND(G100&lt;&gt;"",OR(NOT(ISNUMBER(G100)),N(G100)&lt;0,N(G100)&gt;24)),"Heures d'ouverture entre 0 et 24",IF(AND(I100&lt;&gt;"",OR(NOT(ISNUMBER(I100)),N(I100)&lt;0)),"Relevé du compteur invalide",IF(AND(J100&lt;&gt;"",OR(NOT(ISNUMBER(J100)),N(J100)&lt;0)),"Usage par semaine invalide","OK")))))))))</f>
        <v/>
      </c>
    </row>
    <row r="101">
      <c r="A101" s="65" t="n"/>
      <c r="B101" s="66" t="n"/>
      <c r="C101" s="66" t="n"/>
      <c r="D101" s="66" t="n"/>
      <c r="E101" s="68" t="n"/>
      <c r="F101" s="72" t="n"/>
      <c r="G101" s="71" t="n"/>
      <c r="H101" s="68" t="n"/>
      <c r="I101" s="73" t="n"/>
      <c r="J101" s="73" t="n"/>
      <c r="K101" s="75" t="str">
        <f>IF(A101="","",MAX(N(I101),SUMPRODUCT(MAX((in_eq=A101)*in_done*in_cnum))))</f>
        <v/>
      </c>
      <c r="L101" s="132" t="str">
        <f>IF(A101="","",COUNTIFS(pl_eq,A101,pl_status,"&lt;&gt;Inactif"))</f>
        <v/>
      </c>
      <c r="M101" s="132" t="str">
        <f>IF(A101="","",COUNTIFS(pl_eq,A101,pl_status,"En retard"))</f>
        <v/>
      </c>
      <c r="N101" s="74" t="str">
        <f>IF(A101="","",SUMPRODUCT(MAX((in_eq=A101)*in_done*(in_type="Correctif")*in_dnum)))</f>
        <v/>
      </c>
      <c r="O101" s="81" t="str">
        <f>IF(A101="","",SUMIFS(in_total,in_eq,A101,in_done,1))</f>
        <v/>
      </c>
      <c r="P101" s="79" t="str">
        <f>IF(COUNTA(A101:J101)=0,"",IF(A101="","Code manquant",IF(COUNTIF($A$6:$A$205,A101)&gt;1,"Code en double",IF(B101="","Désignation manquante",IF(AND(E101&lt;&gt;"",E101&lt;&gt;"A",E101&lt;&gt;"B",E101&lt;&gt;"C"),"Criticité : A, B ou C",IF(AND(F101&lt;&gt;"",OR(NOT(ISNUMBER(F101)),N(F101)&lt;=0)),"Mise en service invalide",IF(AND(G101&lt;&gt;"",OR(NOT(ISNUMBER(G101)),N(G101)&lt;0,N(G101)&gt;24)),"Heures d'ouverture entre 0 et 24",IF(AND(I101&lt;&gt;"",OR(NOT(ISNUMBER(I101)),N(I101)&lt;0)),"Relevé du compteur invalide",IF(AND(J101&lt;&gt;"",OR(NOT(ISNUMBER(J101)),N(J101)&lt;0)),"Usage par semaine invalide","OK")))))))))</f>
        <v/>
      </c>
    </row>
    <row r="102">
      <c r="A102" s="65" t="n"/>
      <c r="B102" s="66" t="n"/>
      <c r="C102" s="66" t="n"/>
      <c r="D102" s="66" t="n"/>
      <c r="E102" s="68" t="n"/>
      <c r="F102" s="72" t="n"/>
      <c r="G102" s="71" t="n"/>
      <c r="H102" s="68" t="n"/>
      <c r="I102" s="73" t="n"/>
      <c r="J102" s="73" t="n"/>
      <c r="K102" s="75" t="str">
        <f>IF(A102="","",MAX(N(I102),SUMPRODUCT(MAX((in_eq=A102)*in_done*in_cnum))))</f>
        <v/>
      </c>
      <c r="L102" s="132" t="str">
        <f>IF(A102="","",COUNTIFS(pl_eq,A102,pl_status,"&lt;&gt;Inactif"))</f>
        <v/>
      </c>
      <c r="M102" s="132" t="str">
        <f>IF(A102="","",COUNTIFS(pl_eq,A102,pl_status,"En retard"))</f>
        <v/>
      </c>
      <c r="N102" s="74" t="str">
        <f>IF(A102="","",SUMPRODUCT(MAX((in_eq=A102)*in_done*(in_type="Correctif")*in_dnum)))</f>
        <v/>
      </c>
      <c r="O102" s="81" t="str">
        <f>IF(A102="","",SUMIFS(in_total,in_eq,A102,in_done,1))</f>
        <v/>
      </c>
      <c r="P102" s="79" t="str">
        <f>IF(COUNTA(A102:J102)=0,"",IF(A102="","Code manquant",IF(COUNTIF($A$6:$A$205,A102)&gt;1,"Code en double",IF(B102="","Désignation manquante",IF(AND(E102&lt;&gt;"",E102&lt;&gt;"A",E102&lt;&gt;"B",E102&lt;&gt;"C"),"Criticité : A, B ou C",IF(AND(F102&lt;&gt;"",OR(NOT(ISNUMBER(F102)),N(F102)&lt;=0)),"Mise en service invalide",IF(AND(G102&lt;&gt;"",OR(NOT(ISNUMBER(G102)),N(G102)&lt;0,N(G102)&gt;24)),"Heures d'ouverture entre 0 et 24",IF(AND(I102&lt;&gt;"",OR(NOT(ISNUMBER(I102)),N(I102)&lt;0)),"Relevé du compteur invalide",IF(AND(J102&lt;&gt;"",OR(NOT(ISNUMBER(J102)),N(J102)&lt;0)),"Usage par semaine invalide","OK")))))))))</f>
        <v/>
      </c>
    </row>
    <row r="103">
      <c r="A103" s="65" t="n"/>
      <c r="B103" s="66" t="n"/>
      <c r="C103" s="66" t="n"/>
      <c r="D103" s="66" t="n"/>
      <c r="E103" s="68" t="n"/>
      <c r="F103" s="72" t="n"/>
      <c r="G103" s="71" t="n"/>
      <c r="H103" s="68" t="n"/>
      <c r="I103" s="73" t="n"/>
      <c r="J103" s="73" t="n"/>
      <c r="K103" s="75" t="str">
        <f>IF(A103="","",MAX(N(I103),SUMPRODUCT(MAX((in_eq=A103)*in_done*in_cnum))))</f>
        <v/>
      </c>
      <c r="L103" s="132" t="str">
        <f>IF(A103="","",COUNTIFS(pl_eq,A103,pl_status,"&lt;&gt;Inactif"))</f>
        <v/>
      </c>
      <c r="M103" s="132" t="str">
        <f>IF(A103="","",COUNTIFS(pl_eq,A103,pl_status,"En retard"))</f>
        <v/>
      </c>
      <c r="N103" s="74" t="str">
        <f>IF(A103="","",SUMPRODUCT(MAX((in_eq=A103)*in_done*(in_type="Correctif")*in_dnum)))</f>
        <v/>
      </c>
      <c r="O103" s="81" t="str">
        <f>IF(A103="","",SUMIFS(in_total,in_eq,A103,in_done,1))</f>
        <v/>
      </c>
      <c r="P103" s="79" t="str">
        <f>IF(COUNTA(A103:J103)=0,"",IF(A103="","Code manquant",IF(COUNTIF($A$6:$A$205,A103)&gt;1,"Code en double",IF(B103="","Désignation manquante",IF(AND(E103&lt;&gt;"",E103&lt;&gt;"A",E103&lt;&gt;"B",E103&lt;&gt;"C"),"Criticité : A, B ou C",IF(AND(F103&lt;&gt;"",OR(NOT(ISNUMBER(F103)),N(F103)&lt;=0)),"Mise en service invalide",IF(AND(G103&lt;&gt;"",OR(NOT(ISNUMBER(G103)),N(G103)&lt;0,N(G103)&gt;24)),"Heures d'ouverture entre 0 et 24",IF(AND(I103&lt;&gt;"",OR(NOT(ISNUMBER(I103)),N(I103)&lt;0)),"Relevé du compteur invalide",IF(AND(J103&lt;&gt;"",OR(NOT(ISNUMBER(J103)),N(J103)&lt;0)),"Usage par semaine invalide","OK")))))))))</f>
        <v/>
      </c>
    </row>
    <row r="104">
      <c r="A104" s="65" t="n"/>
      <c r="B104" s="66" t="n"/>
      <c r="C104" s="66" t="n"/>
      <c r="D104" s="66" t="n"/>
      <c r="E104" s="68" t="n"/>
      <c r="F104" s="72" t="n"/>
      <c r="G104" s="71" t="n"/>
      <c r="H104" s="68" t="n"/>
      <c r="I104" s="73" t="n"/>
      <c r="J104" s="73" t="n"/>
      <c r="K104" s="75" t="str">
        <f>IF(A104="","",MAX(N(I104),SUMPRODUCT(MAX((in_eq=A104)*in_done*in_cnum))))</f>
        <v/>
      </c>
      <c r="L104" s="132" t="str">
        <f>IF(A104="","",COUNTIFS(pl_eq,A104,pl_status,"&lt;&gt;Inactif"))</f>
        <v/>
      </c>
      <c r="M104" s="132" t="str">
        <f>IF(A104="","",COUNTIFS(pl_eq,A104,pl_status,"En retard"))</f>
        <v/>
      </c>
      <c r="N104" s="74" t="str">
        <f>IF(A104="","",SUMPRODUCT(MAX((in_eq=A104)*in_done*(in_type="Correctif")*in_dnum)))</f>
        <v/>
      </c>
      <c r="O104" s="81" t="str">
        <f>IF(A104="","",SUMIFS(in_total,in_eq,A104,in_done,1))</f>
        <v/>
      </c>
      <c r="P104" s="79" t="str">
        <f>IF(COUNTA(A104:J104)=0,"",IF(A104="","Code manquant",IF(COUNTIF($A$6:$A$205,A104)&gt;1,"Code en double",IF(B104="","Désignation manquante",IF(AND(E104&lt;&gt;"",E104&lt;&gt;"A",E104&lt;&gt;"B",E104&lt;&gt;"C"),"Criticité : A, B ou C",IF(AND(F104&lt;&gt;"",OR(NOT(ISNUMBER(F104)),N(F104)&lt;=0)),"Mise en service invalide",IF(AND(G104&lt;&gt;"",OR(NOT(ISNUMBER(G104)),N(G104)&lt;0,N(G104)&gt;24)),"Heures d'ouverture entre 0 et 24",IF(AND(I104&lt;&gt;"",OR(NOT(ISNUMBER(I104)),N(I104)&lt;0)),"Relevé du compteur invalide",IF(AND(J104&lt;&gt;"",OR(NOT(ISNUMBER(J104)),N(J104)&lt;0)),"Usage par semaine invalide","OK")))))))))</f>
        <v/>
      </c>
    </row>
    <row r="105">
      <c r="A105" s="65" t="n"/>
      <c r="B105" s="66" t="n"/>
      <c r="C105" s="66" t="n"/>
      <c r="D105" s="66" t="n"/>
      <c r="E105" s="68" t="n"/>
      <c r="F105" s="72" t="n"/>
      <c r="G105" s="71" t="n"/>
      <c r="H105" s="68" t="n"/>
      <c r="I105" s="73" t="n"/>
      <c r="J105" s="73" t="n"/>
      <c r="K105" s="75" t="str">
        <f>IF(A105="","",MAX(N(I105),SUMPRODUCT(MAX((in_eq=A105)*in_done*in_cnum))))</f>
        <v/>
      </c>
      <c r="L105" s="132" t="str">
        <f>IF(A105="","",COUNTIFS(pl_eq,A105,pl_status,"&lt;&gt;Inactif"))</f>
        <v/>
      </c>
      <c r="M105" s="132" t="str">
        <f>IF(A105="","",COUNTIFS(pl_eq,A105,pl_status,"En retard"))</f>
        <v/>
      </c>
      <c r="N105" s="74" t="str">
        <f>IF(A105="","",SUMPRODUCT(MAX((in_eq=A105)*in_done*(in_type="Correctif")*in_dnum)))</f>
        <v/>
      </c>
      <c r="O105" s="81" t="str">
        <f>IF(A105="","",SUMIFS(in_total,in_eq,A105,in_done,1))</f>
        <v/>
      </c>
      <c r="P105" s="79" t="str">
        <f>IF(COUNTA(A105:J105)=0,"",IF(A105="","Code manquant",IF(COUNTIF($A$6:$A$205,A105)&gt;1,"Code en double",IF(B105="","Désignation manquante",IF(AND(E105&lt;&gt;"",E105&lt;&gt;"A",E105&lt;&gt;"B",E105&lt;&gt;"C"),"Criticité : A, B ou C",IF(AND(F105&lt;&gt;"",OR(NOT(ISNUMBER(F105)),N(F105)&lt;=0)),"Mise en service invalide",IF(AND(G105&lt;&gt;"",OR(NOT(ISNUMBER(G105)),N(G105)&lt;0,N(G105)&gt;24)),"Heures d'ouverture entre 0 et 24",IF(AND(I105&lt;&gt;"",OR(NOT(ISNUMBER(I105)),N(I105)&lt;0)),"Relevé du compteur invalide",IF(AND(J105&lt;&gt;"",OR(NOT(ISNUMBER(J105)),N(J105)&lt;0)),"Usage par semaine invalide","OK")))))))))</f>
        <v/>
      </c>
    </row>
    <row r="106">
      <c r="A106" s="65" t="n"/>
      <c r="B106" s="66" t="n"/>
      <c r="C106" s="66" t="n"/>
      <c r="D106" s="66" t="n"/>
      <c r="E106" s="68" t="n"/>
      <c r="F106" s="72" t="n"/>
      <c r="G106" s="71" t="n"/>
      <c r="H106" s="68" t="n"/>
      <c r="I106" s="73" t="n"/>
      <c r="J106" s="73" t="n"/>
      <c r="K106" s="75" t="str">
        <f>IF(A106="","",MAX(N(I106),SUMPRODUCT(MAX((in_eq=A106)*in_done*in_cnum))))</f>
        <v/>
      </c>
      <c r="L106" s="132" t="str">
        <f>IF(A106="","",COUNTIFS(pl_eq,A106,pl_status,"&lt;&gt;Inactif"))</f>
        <v/>
      </c>
      <c r="M106" s="132" t="str">
        <f>IF(A106="","",COUNTIFS(pl_eq,A106,pl_status,"En retard"))</f>
        <v/>
      </c>
      <c r="N106" s="74" t="str">
        <f>IF(A106="","",SUMPRODUCT(MAX((in_eq=A106)*in_done*(in_type="Correctif")*in_dnum)))</f>
        <v/>
      </c>
      <c r="O106" s="81" t="str">
        <f>IF(A106="","",SUMIFS(in_total,in_eq,A106,in_done,1))</f>
        <v/>
      </c>
      <c r="P106" s="79" t="str">
        <f>IF(COUNTA(A106:J106)=0,"",IF(A106="","Code manquant",IF(COUNTIF($A$6:$A$205,A106)&gt;1,"Code en double",IF(B106="","Désignation manquante",IF(AND(E106&lt;&gt;"",E106&lt;&gt;"A",E106&lt;&gt;"B",E106&lt;&gt;"C"),"Criticité : A, B ou C",IF(AND(F106&lt;&gt;"",OR(NOT(ISNUMBER(F106)),N(F106)&lt;=0)),"Mise en service invalide",IF(AND(G106&lt;&gt;"",OR(NOT(ISNUMBER(G106)),N(G106)&lt;0,N(G106)&gt;24)),"Heures d'ouverture entre 0 et 24",IF(AND(I106&lt;&gt;"",OR(NOT(ISNUMBER(I106)),N(I106)&lt;0)),"Relevé du compteur invalide",IF(AND(J106&lt;&gt;"",OR(NOT(ISNUMBER(J106)),N(J106)&lt;0)),"Usage par semaine invalide","OK")))))))))</f>
        <v/>
      </c>
    </row>
    <row r="107">
      <c r="A107" s="65" t="n"/>
      <c r="B107" s="66" t="n"/>
      <c r="C107" s="66" t="n"/>
      <c r="D107" s="66" t="n"/>
      <c r="E107" s="68" t="n"/>
      <c r="F107" s="72" t="n"/>
      <c r="G107" s="71" t="n"/>
      <c r="H107" s="68" t="n"/>
      <c r="I107" s="73" t="n"/>
      <c r="J107" s="73" t="n"/>
      <c r="K107" s="75" t="str">
        <f>IF(A107="","",MAX(N(I107),SUMPRODUCT(MAX((in_eq=A107)*in_done*in_cnum))))</f>
        <v/>
      </c>
      <c r="L107" s="132" t="str">
        <f>IF(A107="","",COUNTIFS(pl_eq,A107,pl_status,"&lt;&gt;Inactif"))</f>
        <v/>
      </c>
      <c r="M107" s="132" t="str">
        <f>IF(A107="","",COUNTIFS(pl_eq,A107,pl_status,"En retard"))</f>
        <v/>
      </c>
      <c r="N107" s="74" t="str">
        <f>IF(A107="","",SUMPRODUCT(MAX((in_eq=A107)*in_done*(in_type="Correctif")*in_dnum)))</f>
        <v/>
      </c>
      <c r="O107" s="81" t="str">
        <f>IF(A107="","",SUMIFS(in_total,in_eq,A107,in_done,1))</f>
        <v/>
      </c>
      <c r="P107" s="79" t="str">
        <f>IF(COUNTA(A107:J107)=0,"",IF(A107="","Code manquant",IF(COUNTIF($A$6:$A$205,A107)&gt;1,"Code en double",IF(B107="","Désignation manquante",IF(AND(E107&lt;&gt;"",E107&lt;&gt;"A",E107&lt;&gt;"B",E107&lt;&gt;"C"),"Criticité : A, B ou C",IF(AND(F107&lt;&gt;"",OR(NOT(ISNUMBER(F107)),N(F107)&lt;=0)),"Mise en service invalide",IF(AND(G107&lt;&gt;"",OR(NOT(ISNUMBER(G107)),N(G107)&lt;0,N(G107)&gt;24)),"Heures d'ouverture entre 0 et 24",IF(AND(I107&lt;&gt;"",OR(NOT(ISNUMBER(I107)),N(I107)&lt;0)),"Relevé du compteur invalide",IF(AND(J107&lt;&gt;"",OR(NOT(ISNUMBER(J107)),N(J107)&lt;0)),"Usage par semaine invalide","OK")))))))))</f>
        <v/>
      </c>
    </row>
    <row r="108">
      <c r="A108" s="65" t="n"/>
      <c r="B108" s="66" t="n"/>
      <c r="C108" s="66" t="n"/>
      <c r="D108" s="66" t="n"/>
      <c r="E108" s="68" t="n"/>
      <c r="F108" s="72" t="n"/>
      <c r="G108" s="71" t="n"/>
      <c r="H108" s="68" t="n"/>
      <c r="I108" s="73" t="n"/>
      <c r="J108" s="73" t="n"/>
      <c r="K108" s="75" t="str">
        <f>IF(A108="","",MAX(N(I108),SUMPRODUCT(MAX((in_eq=A108)*in_done*in_cnum))))</f>
        <v/>
      </c>
      <c r="L108" s="132" t="str">
        <f>IF(A108="","",COUNTIFS(pl_eq,A108,pl_status,"&lt;&gt;Inactif"))</f>
        <v/>
      </c>
      <c r="M108" s="132" t="str">
        <f>IF(A108="","",COUNTIFS(pl_eq,A108,pl_status,"En retard"))</f>
        <v/>
      </c>
      <c r="N108" s="74" t="str">
        <f>IF(A108="","",SUMPRODUCT(MAX((in_eq=A108)*in_done*(in_type="Correctif")*in_dnum)))</f>
        <v/>
      </c>
      <c r="O108" s="81" t="str">
        <f>IF(A108="","",SUMIFS(in_total,in_eq,A108,in_done,1))</f>
        <v/>
      </c>
      <c r="P108" s="79" t="str">
        <f>IF(COUNTA(A108:J108)=0,"",IF(A108="","Code manquant",IF(COUNTIF($A$6:$A$205,A108)&gt;1,"Code en double",IF(B108="","Désignation manquante",IF(AND(E108&lt;&gt;"",E108&lt;&gt;"A",E108&lt;&gt;"B",E108&lt;&gt;"C"),"Criticité : A, B ou C",IF(AND(F108&lt;&gt;"",OR(NOT(ISNUMBER(F108)),N(F108)&lt;=0)),"Mise en service invalide",IF(AND(G108&lt;&gt;"",OR(NOT(ISNUMBER(G108)),N(G108)&lt;0,N(G108)&gt;24)),"Heures d'ouverture entre 0 et 24",IF(AND(I108&lt;&gt;"",OR(NOT(ISNUMBER(I108)),N(I108)&lt;0)),"Relevé du compteur invalide",IF(AND(J108&lt;&gt;"",OR(NOT(ISNUMBER(J108)),N(J108)&lt;0)),"Usage par semaine invalide","OK")))))))))</f>
        <v/>
      </c>
    </row>
    <row r="109">
      <c r="A109" s="65" t="n"/>
      <c r="B109" s="66" t="n"/>
      <c r="C109" s="66" t="n"/>
      <c r="D109" s="66" t="n"/>
      <c r="E109" s="68" t="n"/>
      <c r="F109" s="72" t="n"/>
      <c r="G109" s="71" t="n"/>
      <c r="H109" s="68" t="n"/>
      <c r="I109" s="73" t="n"/>
      <c r="J109" s="73" t="n"/>
      <c r="K109" s="75" t="str">
        <f>IF(A109="","",MAX(N(I109),SUMPRODUCT(MAX((in_eq=A109)*in_done*in_cnum))))</f>
        <v/>
      </c>
      <c r="L109" s="132" t="str">
        <f>IF(A109="","",COUNTIFS(pl_eq,A109,pl_status,"&lt;&gt;Inactif"))</f>
        <v/>
      </c>
      <c r="M109" s="132" t="str">
        <f>IF(A109="","",COUNTIFS(pl_eq,A109,pl_status,"En retard"))</f>
        <v/>
      </c>
      <c r="N109" s="74" t="str">
        <f>IF(A109="","",SUMPRODUCT(MAX((in_eq=A109)*in_done*(in_type="Correctif")*in_dnum)))</f>
        <v/>
      </c>
      <c r="O109" s="81" t="str">
        <f>IF(A109="","",SUMIFS(in_total,in_eq,A109,in_done,1))</f>
        <v/>
      </c>
      <c r="P109" s="79" t="str">
        <f>IF(COUNTA(A109:J109)=0,"",IF(A109="","Code manquant",IF(COUNTIF($A$6:$A$205,A109)&gt;1,"Code en double",IF(B109="","Désignation manquante",IF(AND(E109&lt;&gt;"",E109&lt;&gt;"A",E109&lt;&gt;"B",E109&lt;&gt;"C"),"Criticité : A, B ou C",IF(AND(F109&lt;&gt;"",OR(NOT(ISNUMBER(F109)),N(F109)&lt;=0)),"Mise en service invalide",IF(AND(G109&lt;&gt;"",OR(NOT(ISNUMBER(G109)),N(G109)&lt;0,N(G109)&gt;24)),"Heures d'ouverture entre 0 et 24",IF(AND(I109&lt;&gt;"",OR(NOT(ISNUMBER(I109)),N(I109)&lt;0)),"Relevé du compteur invalide",IF(AND(J109&lt;&gt;"",OR(NOT(ISNUMBER(J109)),N(J109)&lt;0)),"Usage par semaine invalide","OK")))))))))</f>
        <v/>
      </c>
    </row>
    <row r="110">
      <c r="A110" s="65" t="n"/>
      <c r="B110" s="66" t="n"/>
      <c r="C110" s="66" t="n"/>
      <c r="D110" s="66" t="n"/>
      <c r="E110" s="68" t="n"/>
      <c r="F110" s="72" t="n"/>
      <c r="G110" s="71" t="n"/>
      <c r="H110" s="68" t="n"/>
      <c r="I110" s="73" t="n"/>
      <c r="J110" s="73" t="n"/>
      <c r="K110" s="75" t="str">
        <f>IF(A110="","",MAX(N(I110),SUMPRODUCT(MAX((in_eq=A110)*in_done*in_cnum))))</f>
        <v/>
      </c>
      <c r="L110" s="132" t="str">
        <f>IF(A110="","",COUNTIFS(pl_eq,A110,pl_status,"&lt;&gt;Inactif"))</f>
        <v/>
      </c>
      <c r="M110" s="132" t="str">
        <f>IF(A110="","",COUNTIFS(pl_eq,A110,pl_status,"En retard"))</f>
        <v/>
      </c>
      <c r="N110" s="74" t="str">
        <f>IF(A110="","",SUMPRODUCT(MAX((in_eq=A110)*in_done*(in_type="Correctif")*in_dnum)))</f>
        <v/>
      </c>
      <c r="O110" s="81" t="str">
        <f>IF(A110="","",SUMIFS(in_total,in_eq,A110,in_done,1))</f>
        <v/>
      </c>
      <c r="P110" s="79" t="str">
        <f>IF(COUNTA(A110:J110)=0,"",IF(A110="","Code manquant",IF(COUNTIF($A$6:$A$205,A110)&gt;1,"Code en double",IF(B110="","Désignation manquante",IF(AND(E110&lt;&gt;"",E110&lt;&gt;"A",E110&lt;&gt;"B",E110&lt;&gt;"C"),"Criticité : A, B ou C",IF(AND(F110&lt;&gt;"",OR(NOT(ISNUMBER(F110)),N(F110)&lt;=0)),"Mise en service invalide",IF(AND(G110&lt;&gt;"",OR(NOT(ISNUMBER(G110)),N(G110)&lt;0,N(G110)&gt;24)),"Heures d'ouverture entre 0 et 24",IF(AND(I110&lt;&gt;"",OR(NOT(ISNUMBER(I110)),N(I110)&lt;0)),"Relevé du compteur invalide",IF(AND(J110&lt;&gt;"",OR(NOT(ISNUMBER(J110)),N(J110)&lt;0)),"Usage par semaine invalide","OK")))))))))</f>
        <v/>
      </c>
    </row>
    <row r="111">
      <c r="A111" s="65" t="n"/>
      <c r="B111" s="66" t="n"/>
      <c r="C111" s="66" t="n"/>
      <c r="D111" s="66" t="n"/>
      <c r="E111" s="68" t="n"/>
      <c r="F111" s="72" t="n"/>
      <c r="G111" s="71" t="n"/>
      <c r="H111" s="68" t="n"/>
      <c r="I111" s="73" t="n"/>
      <c r="J111" s="73" t="n"/>
      <c r="K111" s="75" t="str">
        <f>IF(A111="","",MAX(N(I111),SUMPRODUCT(MAX((in_eq=A111)*in_done*in_cnum))))</f>
        <v/>
      </c>
      <c r="L111" s="132" t="str">
        <f>IF(A111="","",COUNTIFS(pl_eq,A111,pl_status,"&lt;&gt;Inactif"))</f>
        <v/>
      </c>
      <c r="M111" s="132" t="str">
        <f>IF(A111="","",COUNTIFS(pl_eq,A111,pl_status,"En retard"))</f>
        <v/>
      </c>
      <c r="N111" s="74" t="str">
        <f>IF(A111="","",SUMPRODUCT(MAX((in_eq=A111)*in_done*(in_type="Correctif")*in_dnum)))</f>
        <v/>
      </c>
      <c r="O111" s="81" t="str">
        <f>IF(A111="","",SUMIFS(in_total,in_eq,A111,in_done,1))</f>
        <v/>
      </c>
      <c r="P111" s="79" t="str">
        <f>IF(COUNTA(A111:J111)=0,"",IF(A111="","Code manquant",IF(COUNTIF($A$6:$A$205,A111)&gt;1,"Code en double",IF(B111="","Désignation manquante",IF(AND(E111&lt;&gt;"",E111&lt;&gt;"A",E111&lt;&gt;"B",E111&lt;&gt;"C"),"Criticité : A, B ou C",IF(AND(F111&lt;&gt;"",OR(NOT(ISNUMBER(F111)),N(F111)&lt;=0)),"Mise en service invalide",IF(AND(G111&lt;&gt;"",OR(NOT(ISNUMBER(G111)),N(G111)&lt;0,N(G111)&gt;24)),"Heures d'ouverture entre 0 et 24",IF(AND(I111&lt;&gt;"",OR(NOT(ISNUMBER(I111)),N(I111)&lt;0)),"Relevé du compteur invalide",IF(AND(J111&lt;&gt;"",OR(NOT(ISNUMBER(J111)),N(J111)&lt;0)),"Usage par semaine invalide","OK")))))))))</f>
        <v/>
      </c>
    </row>
    <row r="112">
      <c r="A112" s="65" t="n"/>
      <c r="B112" s="66" t="n"/>
      <c r="C112" s="66" t="n"/>
      <c r="D112" s="66" t="n"/>
      <c r="E112" s="68" t="n"/>
      <c r="F112" s="72" t="n"/>
      <c r="G112" s="71" t="n"/>
      <c r="H112" s="68" t="n"/>
      <c r="I112" s="73" t="n"/>
      <c r="J112" s="73" t="n"/>
      <c r="K112" s="75" t="str">
        <f>IF(A112="","",MAX(N(I112),SUMPRODUCT(MAX((in_eq=A112)*in_done*in_cnum))))</f>
        <v/>
      </c>
      <c r="L112" s="132" t="str">
        <f>IF(A112="","",COUNTIFS(pl_eq,A112,pl_status,"&lt;&gt;Inactif"))</f>
        <v/>
      </c>
      <c r="M112" s="132" t="str">
        <f>IF(A112="","",COUNTIFS(pl_eq,A112,pl_status,"En retard"))</f>
        <v/>
      </c>
      <c r="N112" s="74" t="str">
        <f>IF(A112="","",SUMPRODUCT(MAX((in_eq=A112)*in_done*(in_type="Correctif")*in_dnum)))</f>
        <v/>
      </c>
      <c r="O112" s="81" t="str">
        <f>IF(A112="","",SUMIFS(in_total,in_eq,A112,in_done,1))</f>
        <v/>
      </c>
      <c r="P112" s="79" t="str">
        <f>IF(COUNTA(A112:J112)=0,"",IF(A112="","Code manquant",IF(COUNTIF($A$6:$A$205,A112)&gt;1,"Code en double",IF(B112="","Désignation manquante",IF(AND(E112&lt;&gt;"",E112&lt;&gt;"A",E112&lt;&gt;"B",E112&lt;&gt;"C"),"Criticité : A, B ou C",IF(AND(F112&lt;&gt;"",OR(NOT(ISNUMBER(F112)),N(F112)&lt;=0)),"Mise en service invalide",IF(AND(G112&lt;&gt;"",OR(NOT(ISNUMBER(G112)),N(G112)&lt;0,N(G112)&gt;24)),"Heures d'ouverture entre 0 et 24",IF(AND(I112&lt;&gt;"",OR(NOT(ISNUMBER(I112)),N(I112)&lt;0)),"Relevé du compteur invalide",IF(AND(J112&lt;&gt;"",OR(NOT(ISNUMBER(J112)),N(J112)&lt;0)),"Usage par semaine invalide","OK")))))))))</f>
        <v/>
      </c>
    </row>
    <row r="113">
      <c r="A113" s="65" t="n"/>
      <c r="B113" s="66" t="n"/>
      <c r="C113" s="66" t="n"/>
      <c r="D113" s="66" t="n"/>
      <c r="E113" s="68" t="n"/>
      <c r="F113" s="72" t="n"/>
      <c r="G113" s="71" t="n"/>
      <c r="H113" s="68" t="n"/>
      <c r="I113" s="73" t="n"/>
      <c r="J113" s="73" t="n"/>
      <c r="K113" s="75" t="str">
        <f>IF(A113="","",MAX(N(I113),SUMPRODUCT(MAX((in_eq=A113)*in_done*in_cnum))))</f>
        <v/>
      </c>
      <c r="L113" s="132" t="str">
        <f>IF(A113="","",COUNTIFS(pl_eq,A113,pl_status,"&lt;&gt;Inactif"))</f>
        <v/>
      </c>
      <c r="M113" s="132" t="str">
        <f>IF(A113="","",COUNTIFS(pl_eq,A113,pl_status,"En retard"))</f>
        <v/>
      </c>
      <c r="N113" s="74" t="str">
        <f>IF(A113="","",SUMPRODUCT(MAX((in_eq=A113)*in_done*(in_type="Correctif")*in_dnum)))</f>
        <v/>
      </c>
      <c r="O113" s="81" t="str">
        <f>IF(A113="","",SUMIFS(in_total,in_eq,A113,in_done,1))</f>
        <v/>
      </c>
      <c r="P113" s="79" t="str">
        <f>IF(COUNTA(A113:J113)=0,"",IF(A113="","Code manquant",IF(COUNTIF($A$6:$A$205,A113)&gt;1,"Code en double",IF(B113="","Désignation manquante",IF(AND(E113&lt;&gt;"",E113&lt;&gt;"A",E113&lt;&gt;"B",E113&lt;&gt;"C"),"Criticité : A, B ou C",IF(AND(F113&lt;&gt;"",OR(NOT(ISNUMBER(F113)),N(F113)&lt;=0)),"Mise en service invalide",IF(AND(G113&lt;&gt;"",OR(NOT(ISNUMBER(G113)),N(G113)&lt;0,N(G113)&gt;24)),"Heures d'ouverture entre 0 et 24",IF(AND(I113&lt;&gt;"",OR(NOT(ISNUMBER(I113)),N(I113)&lt;0)),"Relevé du compteur invalide",IF(AND(J113&lt;&gt;"",OR(NOT(ISNUMBER(J113)),N(J113)&lt;0)),"Usage par semaine invalide","OK")))))))))</f>
        <v/>
      </c>
    </row>
    <row r="114">
      <c r="A114" s="65" t="n"/>
      <c r="B114" s="66" t="n"/>
      <c r="C114" s="66" t="n"/>
      <c r="D114" s="66" t="n"/>
      <c r="E114" s="68" t="n"/>
      <c r="F114" s="72" t="n"/>
      <c r="G114" s="71" t="n"/>
      <c r="H114" s="68" t="n"/>
      <c r="I114" s="73" t="n"/>
      <c r="J114" s="73" t="n"/>
      <c r="K114" s="75" t="str">
        <f>IF(A114="","",MAX(N(I114),SUMPRODUCT(MAX((in_eq=A114)*in_done*in_cnum))))</f>
        <v/>
      </c>
      <c r="L114" s="132" t="str">
        <f>IF(A114="","",COUNTIFS(pl_eq,A114,pl_status,"&lt;&gt;Inactif"))</f>
        <v/>
      </c>
      <c r="M114" s="132" t="str">
        <f>IF(A114="","",COUNTIFS(pl_eq,A114,pl_status,"En retard"))</f>
        <v/>
      </c>
      <c r="N114" s="74" t="str">
        <f>IF(A114="","",SUMPRODUCT(MAX((in_eq=A114)*in_done*(in_type="Correctif")*in_dnum)))</f>
        <v/>
      </c>
      <c r="O114" s="81" t="str">
        <f>IF(A114="","",SUMIFS(in_total,in_eq,A114,in_done,1))</f>
        <v/>
      </c>
      <c r="P114" s="79" t="str">
        <f>IF(COUNTA(A114:J114)=0,"",IF(A114="","Code manquant",IF(COUNTIF($A$6:$A$205,A114)&gt;1,"Code en double",IF(B114="","Désignation manquante",IF(AND(E114&lt;&gt;"",E114&lt;&gt;"A",E114&lt;&gt;"B",E114&lt;&gt;"C"),"Criticité : A, B ou C",IF(AND(F114&lt;&gt;"",OR(NOT(ISNUMBER(F114)),N(F114)&lt;=0)),"Mise en service invalide",IF(AND(G114&lt;&gt;"",OR(NOT(ISNUMBER(G114)),N(G114)&lt;0,N(G114)&gt;24)),"Heures d'ouverture entre 0 et 24",IF(AND(I114&lt;&gt;"",OR(NOT(ISNUMBER(I114)),N(I114)&lt;0)),"Relevé du compteur invalide",IF(AND(J114&lt;&gt;"",OR(NOT(ISNUMBER(J114)),N(J114)&lt;0)),"Usage par semaine invalide","OK")))))))))</f>
        <v/>
      </c>
    </row>
    <row r="115">
      <c r="A115" s="65" t="n"/>
      <c r="B115" s="66" t="n"/>
      <c r="C115" s="66" t="n"/>
      <c r="D115" s="66" t="n"/>
      <c r="E115" s="68" t="n"/>
      <c r="F115" s="72" t="n"/>
      <c r="G115" s="71" t="n"/>
      <c r="H115" s="68" t="n"/>
      <c r="I115" s="73" t="n"/>
      <c r="J115" s="73" t="n"/>
      <c r="K115" s="75" t="str">
        <f>IF(A115="","",MAX(N(I115),SUMPRODUCT(MAX((in_eq=A115)*in_done*in_cnum))))</f>
        <v/>
      </c>
      <c r="L115" s="132" t="str">
        <f>IF(A115="","",COUNTIFS(pl_eq,A115,pl_status,"&lt;&gt;Inactif"))</f>
        <v/>
      </c>
      <c r="M115" s="132" t="str">
        <f>IF(A115="","",COUNTIFS(pl_eq,A115,pl_status,"En retard"))</f>
        <v/>
      </c>
      <c r="N115" s="74" t="str">
        <f>IF(A115="","",SUMPRODUCT(MAX((in_eq=A115)*in_done*(in_type="Correctif")*in_dnum)))</f>
        <v/>
      </c>
      <c r="O115" s="81" t="str">
        <f>IF(A115="","",SUMIFS(in_total,in_eq,A115,in_done,1))</f>
        <v/>
      </c>
      <c r="P115" s="79" t="str">
        <f>IF(COUNTA(A115:J115)=0,"",IF(A115="","Code manquant",IF(COUNTIF($A$6:$A$205,A115)&gt;1,"Code en double",IF(B115="","Désignation manquante",IF(AND(E115&lt;&gt;"",E115&lt;&gt;"A",E115&lt;&gt;"B",E115&lt;&gt;"C"),"Criticité : A, B ou C",IF(AND(F115&lt;&gt;"",OR(NOT(ISNUMBER(F115)),N(F115)&lt;=0)),"Mise en service invalide",IF(AND(G115&lt;&gt;"",OR(NOT(ISNUMBER(G115)),N(G115)&lt;0,N(G115)&gt;24)),"Heures d'ouverture entre 0 et 24",IF(AND(I115&lt;&gt;"",OR(NOT(ISNUMBER(I115)),N(I115)&lt;0)),"Relevé du compteur invalide",IF(AND(J115&lt;&gt;"",OR(NOT(ISNUMBER(J115)),N(J115)&lt;0)),"Usage par semaine invalide","OK")))))))))</f>
        <v/>
      </c>
    </row>
    <row r="116">
      <c r="A116" s="65" t="n"/>
      <c r="B116" s="66" t="n"/>
      <c r="C116" s="66" t="n"/>
      <c r="D116" s="66" t="n"/>
      <c r="E116" s="68" t="n"/>
      <c r="F116" s="72" t="n"/>
      <c r="G116" s="71" t="n"/>
      <c r="H116" s="68" t="n"/>
      <c r="I116" s="73" t="n"/>
      <c r="J116" s="73" t="n"/>
      <c r="K116" s="75" t="str">
        <f>IF(A116="","",MAX(N(I116),SUMPRODUCT(MAX((in_eq=A116)*in_done*in_cnum))))</f>
        <v/>
      </c>
      <c r="L116" s="132" t="str">
        <f>IF(A116="","",COUNTIFS(pl_eq,A116,pl_status,"&lt;&gt;Inactif"))</f>
        <v/>
      </c>
      <c r="M116" s="132" t="str">
        <f>IF(A116="","",COUNTIFS(pl_eq,A116,pl_status,"En retard"))</f>
        <v/>
      </c>
      <c r="N116" s="74" t="str">
        <f>IF(A116="","",SUMPRODUCT(MAX((in_eq=A116)*in_done*(in_type="Correctif")*in_dnum)))</f>
        <v/>
      </c>
      <c r="O116" s="81" t="str">
        <f>IF(A116="","",SUMIFS(in_total,in_eq,A116,in_done,1))</f>
        <v/>
      </c>
      <c r="P116" s="79" t="str">
        <f>IF(COUNTA(A116:J116)=0,"",IF(A116="","Code manquant",IF(COUNTIF($A$6:$A$205,A116)&gt;1,"Code en double",IF(B116="","Désignation manquante",IF(AND(E116&lt;&gt;"",E116&lt;&gt;"A",E116&lt;&gt;"B",E116&lt;&gt;"C"),"Criticité : A, B ou C",IF(AND(F116&lt;&gt;"",OR(NOT(ISNUMBER(F116)),N(F116)&lt;=0)),"Mise en service invalide",IF(AND(G116&lt;&gt;"",OR(NOT(ISNUMBER(G116)),N(G116)&lt;0,N(G116)&gt;24)),"Heures d'ouverture entre 0 et 24",IF(AND(I116&lt;&gt;"",OR(NOT(ISNUMBER(I116)),N(I116)&lt;0)),"Relevé du compteur invalide",IF(AND(J116&lt;&gt;"",OR(NOT(ISNUMBER(J116)),N(J116)&lt;0)),"Usage par semaine invalide","OK")))))))))</f>
        <v/>
      </c>
    </row>
    <row r="117">
      <c r="A117" s="65" t="n"/>
      <c r="B117" s="66" t="n"/>
      <c r="C117" s="66" t="n"/>
      <c r="D117" s="66" t="n"/>
      <c r="E117" s="68" t="n"/>
      <c r="F117" s="72" t="n"/>
      <c r="G117" s="71" t="n"/>
      <c r="H117" s="68" t="n"/>
      <c r="I117" s="73" t="n"/>
      <c r="J117" s="73" t="n"/>
      <c r="K117" s="75" t="str">
        <f>IF(A117="","",MAX(N(I117),SUMPRODUCT(MAX((in_eq=A117)*in_done*in_cnum))))</f>
        <v/>
      </c>
      <c r="L117" s="132" t="str">
        <f>IF(A117="","",COUNTIFS(pl_eq,A117,pl_status,"&lt;&gt;Inactif"))</f>
        <v/>
      </c>
      <c r="M117" s="132" t="str">
        <f>IF(A117="","",COUNTIFS(pl_eq,A117,pl_status,"En retard"))</f>
        <v/>
      </c>
      <c r="N117" s="74" t="str">
        <f>IF(A117="","",SUMPRODUCT(MAX((in_eq=A117)*in_done*(in_type="Correctif")*in_dnum)))</f>
        <v/>
      </c>
      <c r="O117" s="81" t="str">
        <f>IF(A117="","",SUMIFS(in_total,in_eq,A117,in_done,1))</f>
        <v/>
      </c>
      <c r="P117" s="79" t="str">
        <f>IF(COUNTA(A117:J117)=0,"",IF(A117="","Code manquant",IF(COUNTIF($A$6:$A$205,A117)&gt;1,"Code en double",IF(B117="","Désignation manquante",IF(AND(E117&lt;&gt;"",E117&lt;&gt;"A",E117&lt;&gt;"B",E117&lt;&gt;"C"),"Criticité : A, B ou C",IF(AND(F117&lt;&gt;"",OR(NOT(ISNUMBER(F117)),N(F117)&lt;=0)),"Mise en service invalide",IF(AND(G117&lt;&gt;"",OR(NOT(ISNUMBER(G117)),N(G117)&lt;0,N(G117)&gt;24)),"Heures d'ouverture entre 0 et 24",IF(AND(I117&lt;&gt;"",OR(NOT(ISNUMBER(I117)),N(I117)&lt;0)),"Relevé du compteur invalide",IF(AND(J117&lt;&gt;"",OR(NOT(ISNUMBER(J117)),N(J117)&lt;0)),"Usage par semaine invalide","OK")))))))))</f>
        <v/>
      </c>
    </row>
    <row r="118">
      <c r="A118" s="65" t="n"/>
      <c r="B118" s="66" t="n"/>
      <c r="C118" s="66" t="n"/>
      <c r="D118" s="66" t="n"/>
      <c r="E118" s="68" t="n"/>
      <c r="F118" s="72" t="n"/>
      <c r="G118" s="71" t="n"/>
      <c r="H118" s="68" t="n"/>
      <c r="I118" s="73" t="n"/>
      <c r="J118" s="73" t="n"/>
      <c r="K118" s="75" t="str">
        <f>IF(A118="","",MAX(N(I118),SUMPRODUCT(MAX((in_eq=A118)*in_done*in_cnum))))</f>
        <v/>
      </c>
      <c r="L118" s="132" t="str">
        <f>IF(A118="","",COUNTIFS(pl_eq,A118,pl_status,"&lt;&gt;Inactif"))</f>
        <v/>
      </c>
      <c r="M118" s="132" t="str">
        <f>IF(A118="","",COUNTIFS(pl_eq,A118,pl_status,"En retard"))</f>
        <v/>
      </c>
      <c r="N118" s="74" t="str">
        <f>IF(A118="","",SUMPRODUCT(MAX((in_eq=A118)*in_done*(in_type="Correctif")*in_dnum)))</f>
        <v/>
      </c>
      <c r="O118" s="81" t="str">
        <f>IF(A118="","",SUMIFS(in_total,in_eq,A118,in_done,1))</f>
        <v/>
      </c>
      <c r="P118" s="79" t="str">
        <f>IF(COUNTA(A118:J118)=0,"",IF(A118="","Code manquant",IF(COUNTIF($A$6:$A$205,A118)&gt;1,"Code en double",IF(B118="","Désignation manquante",IF(AND(E118&lt;&gt;"",E118&lt;&gt;"A",E118&lt;&gt;"B",E118&lt;&gt;"C"),"Criticité : A, B ou C",IF(AND(F118&lt;&gt;"",OR(NOT(ISNUMBER(F118)),N(F118)&lt;=0)),"Mise en service invalide",IF(AND(G118&lt;&gt;"",OR(NOT(ISNUMBER(G118)),N(G118)&lt;0,N(G118)&gt;24)),"Heures d'ouverture entre 0 et 24",IF(AND(I118&lt;&gt;"",OR(NOT(ISNUMBER(I118)),N(I118)&lt;0)),"Relevé du compteur invalide",IF(AND(J118&lt;&gt;"",OR(NOT(ISNUMBER(J118)),N(J118)&lt;0)),"Usage par semaine invalide","OK")))))))))</f>
        <v/>
      </c>
    </row>
    <row r="119">
      <c r="A119" s="65" t="n"/>
      <c r="B119" s="66" t="n"/>
      <c r="C119" s="66" t="n"/>
      <c r="D119" s="66" t="n"/>
      <c r="E119" s="68" t="n"/>
      <c r="F119" s="72" t="n"/>
      <c r="G119" s="71" t="n"/>
      <c r="H119" s="68" t="n"/>
      <c r="I119" s="73" t="n"/>
      <c r="J119" s="73" t="n"/>
      <c r="K119" s="75" t="str">
        <f>IF(A119="","",MAX(N(I119),SUMPRODUCT(MAX((in_eq=A119)*in_done*in_cnum))))</f>
        <v/>
      </c>
      <c r="L119" s="132" t="str">
        <f>IF(A119="","",COUNTIFS(pl_eq,A119,pl_status,"&lt;&gt;Inactif"))</f>
        <v/>
      </c>
      <c r="M119" s="132" t="str">
        <f>IF(A119="","",COUNTIFS(pl_eq,A119,pl_status,"En retard"))</f>
        <v/>
      </c>
      <c r="N119" s="74" t="str">
        <f>IF(A119="","",SUMPRODUCT(MAX((in_eq=A119)*in_done*(in_type="Correctif")*in_dnum)))</f>
        <v/>
      </c>
      <c r="O119" s="81" t="str">
        <f>IF(A119="","",SUMIFS(in_total,in_eq,A119,in_done,1))</f>
        <v/>
      </c>
      <c r="P119" s="79" t="str">
        <f>IF(COUNTA(A119:J119)=0,"",IF(A119="","Code manquant",IF(COUNTIF($A$6:$A$205,A119)&gt;1,"Code en double",IF(B119="","Désignation manquante",IF(AND(E119&lt;&gt;"",E119&lt;&gt;"A",E119&lt;&gt;"B",E119&lt;&gt;"C"),"Criticité : A, B ou C",IF(AND(F119&lt;&gt;"",OR(NOT(ISNUMBER(F119)),N(F119)&lt;=0)),"Mise en service invalide",IF(AND(G119&lt;&gt;"",OR(NOT(ISNUMBER(G119)),N(G119)&lt;0,N(G119)&gt;24)),"Heures d'ouverture entre 0 et 24",IF(AND(I119&lt;&gt;"",OR(NOT(ISNUMBER(I119)),N(I119)&lt;0)),"Relevé du compteur invalide",IF(AND(J119&lt;&gt;"",OR(NOT(ISNUMBER(J119)),N(J119)&lt;0)),"Usage par semaine invalide","OK")))))))))</f>
        <v/>
      </c>
    </row>
    <row r="120">
      <c r="A120" s="65" t="n"/>
      <c r="B120" s="66" t="n"/>
      <c r="C120" s="66" t="n"/>
      <c r="D120" s="66" t="n"/>
      <c r="E120" s="68" t="n"/>
      <c r="F120" s="72" t="n"/>
      <c r="G120" s="71" t="n"/>
      <c r="H120" s="68" t="n"/>
      <c r="I120" s="73" t="n"/>
      <c r="J120" s="73" t="n"/>
      <c r="K120" s="75" t="str">
        <f>IF(A120="","",MAX(N(I120),SUMPRODUCT(MAX((in_eq=A120)*in_done*in_cnum))))</f>
        <v/>
      </c>
      <c r="L120" s="132" t="str">
        <f>IF(A120="","",COUNTIFS(pl_eq,A120,pl_status,"&lt;&gt;Inactif"))</f>
        <v/>
      </c>
      <c r="M120" s="132" t="str">
        <f>IF(A120="","",COUNTIFS(pl_eq,A120,pl_status,"En retard"))</f>
        <v/>
      </c>
      <c r="N120" s="74" t="str">
        <f>IF(A120="","",SUMPRODUCT(MAX((in_eq=A120)*in_done*(in_type="Correctif")*in_dnum)))</f>
        <v/>
      </c>
      <c r="O120" s="81" t="str">
        <f>IF(A120="","",SUMIFS(in_total,in_eq,A120,in_done,1))</f>
        <v/>
      </c>
      <c r="P120" s="79" t="str">
        <f>IF(COUNTA(A120:J120)=0,"",IF(A120="","Code manquant",IF(COUNTIF($A$6:$A$205,A120)&gt;1,"Code en double",IF(B120="","Désignation manquante",IF(AND(E120&lt;&gt;"",E120&lt;&gt;"A",E120&lt;&gt;"B",E120&lt;&gt;"C"),"Criticité : A, B ou C",IF(AND(F120&lt;&gt;"",OR(NOT(ISNUMBER(F120)),N(F120)&lt;=0)),"Mise en service invalide",IF(AND(G120&lt;&gt;"",OR(NOT(ISNUMBER(G120)),N(G120)&lt;0,N(G120)&gt;24)),"Heures d'ouverture entre 0 et 24",IF(AND(I120&lt;&gt;"",OR(NOT(ISNUMBER(I120)),N(I120)&lt;0)),"Relevé du compteur invalide",IF(AND(J120&lt;&gt;"",OR(NOT(ISNUMBER(J120)),N(J120)&lt;0)),"Usage par semaine invalide","OK")))))))))</f>
        <v/>
      </c>
    </row>
    <row r="121">
      <c r="A121" s="65" t="n"/>
      <c r="B121" s="66" t="n"/>
      <c r="C121" s="66" t="n"/>
      <c r="D121" s="66" t="n"/>
      <c r="E121" s="68" t="n"/>
      <c r="F121" s="72" t="n"/>
      <c r="G121" s="71" t="n"/>
      <c r="H121" s="68" t="n"/>
      <c r="I121" s="73" t="n"/>
      <c r="J121" s="73" t="n"/>
      <c r="K121" s="75" t="str">
        <f>IF(A121="","",MAX(N(I121),SUMPRODUCT(MAX((in_eq=A121)*in_done*in_cnum))))</f>
        <v/>
      </c>
      <c r="L121" s="132" t="str">
        <f>IF(A121="","",COUNTIFS(pl_eq,A121,pl_status,"&lt;&gt;Inactif"))</f>
        <v/>
      </c>
      <c r="M121" s="132" t="str">
        <f>IF(A121="","",COUNTIFS(pl_eq,A121,pl_status,"En retard"))</f>
        <v/>
      </c>
      <c r="N121" s="74" t="str">
        <f>IF(A121="","",SUMPRODUCT(MAX((in_eq=A121)*in_done*(in_type="Correctif")*in_dnum)))</f>
        <v/>
      </c>
      <c r="O121" s="81" t="str">
        <f>IF(A121="","",SUMIFS(in_total,in_eq,A121,in_done,1))</f>
        <v/>
      </c>
      <c r="P121" s="79" t="str">
        <f>IF(COUNTA(A121:J121)=0,"",IF(A121="","Code manquant",IF(COUNTIF($A$6:$A$205,A121)&gt;1,"Code en double",IF(B121="","Désignation manquante",IF(AND(E121&lt;&gt;"",E121&lt;&gt;"A",E121&lt;&gt;"B",E121&lt;&gt;"C"),"Criticité : A, B ou C",IF(AND(F121&lt;&gt;"",OR(NOT(ISNUMBER(F121)),N(F121)&lt;=0)),"Mise en service invalide",IF(AND(G121&lt;&gt;"",OR(NOT(ISNUMBER(G121)),N(G121)&lt;0,N(G121)&gt;24)),"Heures d'ouverture entre 0 et 24",IF(AND(I121&lt;&gt;"",OR(NOT(ISNUMBER(I121)),N(I121)&lt;0)),"Relevé du compteur invalide",IF(AND(J121&lt;&gt;"",OR(NOT(ISNUMBER(J121)),N(J121)&lt;0)),"Usage par semaine invalide","OK")))))))))</f>
        <v/>
      </c>
    </row>
    <row r="122">
      <c r="A122" s="65" t="n"/>
      <c r="B122" s="66" t="n"/>
      <c r="C122" s="66" t="n"/>
      <c r="D122" s="66" t="n"/>
      <c r="E122" s="68" t="n"/>
      <c r="F122" s="72" t="n"/>
      <c r="G122" s="71" t="n"/>
      <c r="H122" s="68" t="n"/>
      <c r="I122" s="73" t="n"/>
      <c r="J122" s="73" t="n"/>
      <c r="K122" s="75" t="str">
        <f>IF(A122="","",MAX(N(I122),SUMPRODUCT(MAX((in_eq=A122)*in_done*in_cnum))))</f>
        <v/>
      </c>
      <c r="L122" s="132" t="str">
        <f>IF(A122="","",COUNTIFS(pl_eq,A122,pl_status,"&lt;&gt;Inactif"))</f>
        <v/>
      </c>
      <c r="M122" s="132" t="str">
        <f>IF(A122="","",COUNTIFS(pl_eq,A122,pl_status,"En retard"))</f>
        <v/>
      </c>
      <c r="N122" s="74" t="str">
        <f>IF(A122="","",SUMPRODUCT(MAX((in_eq=A122)*in_done*(in_type="Correctif")*in_dnum)))</f>
        <v/>
      </c>
      <c r="O122" s="81" t="str">
        <f>IF(A122="","",SUMIFS(in_total,in_eq,A122,in_done,1))</f>
        <v/>
      </c>
      <c r="P122" s="79" t="str">
        <f>IF(COUNTA(A122:J122)=0,"",IF(A122="","Code manquant",IF(COUNTIF($A$6:$A$205,A122)&gt;1,"Code en double",IF(B122="","Désignation manquante",IF(AND(E122&lt;&gt;"",E122&lt;&gt;"A",E122&lt;&gt;"B",E122&lt;&gt;"C"),"Criticité : A, B ou C",IF(AND(F122&lt;&gt;"",OR(NOT(ISNUMBER(F122)),N(F122)&lt;=0)),"Mise en service invalide",IF(AND(G122&lt;&gt;"",OR(NOT(ISNUMBER(G122)),N(G122)&lt;0,N(G122)&gt;24)),"Heures d'ouverture entre 0 et 24",IF(AND(I122&lt;&gt;"",OR(NOT(ISNUMBER(I122)),N(I122)&lt;0)),"Relevé du compteur invalide",IF(AND(J122&lt;&gt;"",OR(NOT(ISNUMBER(J122)),N(J122)&lt;0)),"Usage par semaine invalide","OK")))))))))</f>
        <v/>
      </c>
    </row>
    <row r="123">
      <c r="A123" s="65" t="n"/>
      <c r="B123" s="66" t="n"/>
      <c r="C123" s="66" t="n"/>
      <c r="D123" s="66" t="n"/>
      <c r="E123" s="68" t="n"/>
      <c r="F123" s="72" t="n"/>
      <c r="G123" s="71" t="n"/>
      <c r="H123" s="68" t="n"/>
      <c r="I123" s="73" t="n"/>
      <c r="J123" s="73" t="n"/>
      <c r="K123" s="75" t="str">
        <f>IF(A123="","",MAX(N(I123),SUMPRODUCT(MAX((in_eq=A123)*in_done*in_cnum))))</f>
        <v/>
      </c>
      <c r="L123" s="132" t="str">
        <f>IF(A123="","",COUNTIFS(pl_eq,A123,pl_status,"&lt;&gt;Inactif"))</f>
        <v/>
      </c>
      <c r="M123" s="132" t="str">
        <f>IF(A123="","",COUNTIFS(pl_eq,A123,pl_status,"En retard"))</f>
        <v/>
      </c>
      <c r="N123" s="74" t="str">
        <f>IF(A123="","",SUMPRODUCT(MAX((in_eq=A123)*in_done*(in_type="Correctif")*in_dnum)))</f>
        <v/>
      </c>
      <c r="O123" s="81" t="str">
        <f>IF(A123="","",SUMIFS(in_total,in_eq,A123,in_done,1))</f>
        <v/>
      </c>
      <c r="P123" s="79" t="str">
        <f>IF(COUNTA(A123:J123)=0,"",IF(A123="","Code manquant",IF(COUNTIF($A$6:$A$205,A123)&gt;1,"Code en double",IF(B123="","Désignation manquante",IF(AND(E123&lt;&gt;"",E123&lt;&gt;"A",E123&lt;&gt;"B",E123&lt;&gt;"C"),"Criticité : A, B ou C",IF(AND(F123&lt;&gt;"",OR(NOT(ISNUMBER(F123)),N(F123)&lt;=0)),"Mise en service invalide",IF(AND(G123&lt;&gt;"",OR(NOT(ISNUMBER(G123)),N(G123)&lt;0,N(G123)&gt;24)),"Heures d'ouverture entre 0 et 24",IF(AND(I123&lt;&gt;"",OR(NOT(ISNUMBER(I123)),N(I123)&lt;0)),"Relevé du compteur invalide",IF(AND(J123&lt;&gt;"",OR(NOT(ISNUMBER(J123)),N(J123)&lt;0)),"Usage par semaine invalide","OK")))))))))</f>
        <v/>
      </c>
    </row>
    <row r="124">
      <c r="A124" s="65" t="n"/>
      <c r="B124" s="66" t="n"/>
      <c r="C124" s="66" t="n"/>
      <c r="D124" s="66" t="n"/>
      <c r="E124" s="68" t="n"/>
      <c r="F124" s="72" t="n"/>
      <c r="G124" s="71" t="n"/>
      <c r="H124" s="68" t="n"/>
      <c r="I124" s="73" t="n"/>
      <c r="J124" s="73" t="n"/>
      <c r="K124" s="75" t="str">
        <f>IF(A124="","",MAX(N(I124),SUMPRODUCT(MAX((in_eq=A124)*in_done*in_cnum))))</f>
        <v/>
      </c>
      <c r="L124" s="132" t="str">
        <f>IF(A124="","",COUNTIFS(pl_eq,A124,pl_status,"&lt;&gt;Inactif"))</f>
        <v/>
      </c>
      <c r="M124" s="132" t="str">
        <f>IF(A124="","",COUNTIFS(pl_eq,A124,pl_status,"En retard"))</f>
        <v/>
      </c>
      <c r="N124" s="74" t="str">
        <f>IF(A124="","",SUMPRODUCT(MAX((in_eq=A124)*in_done*(in_type="Correctif")*in_dnum)))</f>
        <v/>
      </c>
      <c r="O124" s="81" t="str">
        <f>IF(A124="","",SUMIFS(in_total,in_eq,A124,in_done,1))</f>
        <v/>
      </c>
      <c r="P124" s="79" t="str">
        <f>IF(COUNTA(A124:J124)=0,"",IF(A124="","Code manquant",IF(COUNTIF($A$6:$A$205,A124)&gt;1,"Code en double",IF(B124="","Désignation manquante",IF(AND(E124&lt;&gt;"",E124&lt;&gt;"A",E124&lt;&gt;"B",E124&lt;&gt;"C"),"Criticité : A, B ou C",IF(AND(F124&lt;&gt;"",OR(NOT(ISNUMBER(F124)),N(F124)&lt;=0)),"Mise en service invalide",IF(AND(G124&lt;&gt;"",OR(NOT(ISNUMBER(G124)),N(G124)&lt;0,N(G124)&gt;24)),"Heures d'ouverture entre 0 et 24",IF(AND(I124&lt;&gt;"",OR(NOT(ISNUMBER(I124)),N(I124)&lt;0)),"Relevé du compteur invalide",IF(AND(J124&lt;&gt;"",OR(NOT(ISNUMBER(J124)),N(J124)&lt;0)),"Usage par semaine invalide","OK")))))))))</f>
        <v/>
      </c>
    </row>
    <row r="125">
      <c r="A125" s="65" t="n"/>
      <c r="B125" s="66" t="n"/>
      <c r="C125" s="66" t="n"/>
      <c r="D125" s="66" t="n"/>
      <c r="E125" s="68" t="n"/>
      <c r="F125" s="72" t="n"/>
      <c r="G125" s="71" t="n"/>
      <c r="H125" s="68" t="n"/>
      <c r="I125" s="73" t="n"/>
      <c r="J125" s="73" t="n"/>
      <c r="K125" s="75" t="str">
        <f>IF(A125="","",MAX(N(I125),SUMPRODUCT(MAX((in_eq=A125)*in_done*in_cnum))))</f>
        <v/>
      </c>
      <c r="L125" s="132" t="str">
        <f>IF(A125="","",COUNTIFS(pl_eq,A125,pl_status,"&lt;&gt;Inactif"))</f>
        <v/>
      </c>
      <c r="M125" s="132" t="str">
        <f>IF(A125="","",COUNTIFS(pl_eq,A125,pl_status,"En retard"))</f>
        <v/>
      </c>
      <c r="N125" s="74" t="str">
        <f>IF(A125="","",SUMPRODUCT(MAX((in_eq=A125)*in_done*(in_type="Correctif")*in_dnum)))</f>
        <v/>
      </c>
      <c r="O125" s="81" t="str">
        <f>IF(A125="","",SUMIFS(in_total,in_eq,A125,in_done,1))</f>
        <v/>
      </c>
      <c r="P125" s="79" t="str">
        <f>IF(COUNTA(A125:J125)=0,"",IF(A125="","Code manquant",IF(COUNTIF($A$6:$A$205,A125)&gt;1,"Code en double",IF(B125="","Désignation manquante",IF(AND(E125&lt;&gt;"",E125&lt;&gt;"A",E125&lt;&gt;"B",E125&lt;&gt;"C"),"Criticité : A, B ou C",IF(AND(F125&lt;&gt;"",OR(NOT(ISNUMBER(F125)),N(F125)&lt;=0)),"Mise en service invalide",IF(AND(G125&lt;&gt;"",OR(NOT(ISNUMBER(G125)),N(G125)&lt;0,N(G125)&gt;24)),"Heures d'ouverture entre 0 et 24",IF(AND(I125&lt;&gt;"",OR(NOT(ISNUMBER(I125)),N(I125)&lt;0)),"Relevé du compteur invalide",IF(AND(J125&lt;&gt;"",OR(NOT(ISNUMBER(J125)),N(J125)&lt;0)),"Usage par semaine invalide","OK")))))))))</f>
        <v/>
      </c>
    </row>
    <row r="126">
      <c r="A126" s="65" t="n"/>
      <c r="B126" s="66" t="n"/>
      <c r="C126" s="66" t="n"/>
      <c r="D126" s="66" t="n"/>
      <c r="E126" s="68" t="n"/>
      <c r="F126" s="72" t="n"/>
      <c r="G126" s="71" t="n"/>
      <c r="H126" s="68" t="n"/>
      <c r="I126" s="73" t="n"/>
      <c r="J126" s="73" t="n"/>
      <c r="K126" s="75" t="str">
        <f>IF(A126="","",MAX(N(I126),SUMPRODUCT(MAX((in_eq=A126)*in_done*in_cnum))))</f>
        <v/>
      </c>
      <c r="L126" s="132" t="str">
        <f>IF(A126="","",COUNTIFS(pl_eq,A126,pl_status,"&lt;&gt;Inactif"))</f>
        <v/>
      </c>
      <c r="M126" s="132" t="str">
        <f>IF(A126="","",COUNTIFS(pl_eq,A126,pl_status,"En retard"))</f>
        <v/>
      </c>
      <c r="N126" s="74" t="str">
        <f>IF(A126="","",SUMPRODUCT(MAX((in_eq=A126)*in_done*(in_type="Correctif")*in_dnum)))</f>
        <v/>
      </c>
      <c r="O126" s="81" t="str">
        <f>IF(A126="","",SUMIFS(in_total,in_eq,A126,in_done,1))</f>
        <v/>
      </c>
      <c r="P126" s="79" t="str">
        <f>IF(COUNTA(A126:J126)=0,"",IF(A126="","Code manquant",IF(COUNTIF($A$6:$A$205,A126)&gt;1,"Code en double",IF(B126="","Désignation manquante",IF(AND(E126&lt;&gt;"",E126&lt;&gt;"A",E126&lt;&gt;"B",E126&lt;&gt;"C"),"Criticité : A, B ou C",IF(AND(F126&lt;&gt;"",OR(NOT(ISNUMBER(F126)),N(F126)&lt;=0)),"Mise en service invalide",IF(AND(G126&lt;&gt;"",OR(NOT(ISNUMBER(G126)),N(G126)&lt;0,N(G126)&gt;24)),"Heures d'ouverture entre 0 et 24",IF(AND(I126&lt;&gt;"",OR(NOT(ISNUMBER(I126)),N(I126)&lt;0)),"Relevé du compteur invalide",IF(AND(J126&lt;&gt;"",OR(NOT(ISNUMBER(J126)),N(J126)&lt;0)),"Usage par semaine invalide","OK")))))))))</f>
        <v/>
      </c>
    </row>
    <row r="127">
      <c r="A127" s="65" t="n"/>
      <c r="B127" s="66" t="n"/>
      <c r="C127" s="66" t="n"/>
      <c r="D127" s="66" t="n"/>
      <c r="E127" s="68" t="n"/>
      <c r="F127" s="72" t="n"/>
      <c r="G127" s="71" t="n"/>
      <c r="H127" s="68" t="n"/>
      <c r="I127" s="73" t="n"/>
      <c r="J127" s="73" t="n"/>
      <c r="K127" s="75" t="str">
        <f>IF(A127="","",MAX(N(I127),SUMPRODUCT(MAX((in_eq=A127)*in_done*in_cnum))))</f>
        <v/>
      </c>
      <c r="L127" s="132" t="str">
        <f>IF(A127="","",COUNTIFS(pl_eq,A127,pl_status,"&lt;&gt;Inactif"))</f>
        <v/>
      </c>
      <c r="M127" s="132" t="str">
        <f>IF(A127="","",COUNTIFS(pl_eq,A127,pl_status,"En retard"))</f>
        <v/>
      </c>
      <c r="N127" s="74" t="str">
        <f>IF(A127="","",SUMPRODUCT(MAX((in_eq=A127)*in_done*(in_type="Correctif")*in_dnum)))</f>
        <v/>
      </c>
      <c r="O127" s="81" t="str">
        <f>IF(A127="","",SUMIFS(in_total,in_eq,A127,in_done,1))</f>
        <v/>
      </c>
      <c r="P127" s="79" t="str">
        <f>IF(COUNTA(A127:J127)=0,"",IF(A127="","Code manquant",IF(COUNTIF($A$6:$A$205,A127)&gt;1,"Code en double",IF(B127="","Désignation manquante",IF(AND(E127&lt;&gt;"",E127&lt;&gt;"A",E127&lt;&gt;"B",E127&lt;&gt;"C"),"Criticité : A, B ou C",IF(AND(F127&lt;&gt;"",OR(NOT(ISNUMBER(F127)),N(F127)&lt;=0)),"Mise en service invalide",IF(AND(G127&lt;&gt;"",OR(NOT(ISNUMBER(G127)),N(G127)&lt;0,N(G127)&gt;24)),"Heures d'ouverture entre 0 et 24",IF(AND(I127&lt;&gt;"",OR(NOT(ISNUMBER(I127)),N(I127)&lt;0)),"Relevé du compteur invalide",IF(AND(J127&lt;&gt;"",OR(NOT(ISNUMBER(J127)),N(J127)&lt;0)),"Usage par semaine invalide","OK")))))))))</f>
        <v/>
      </c>
    </row>
    <row r="128">
      <c r="A128" s="65" t="n"/>
      <c r="B128" s="66" t="n"/>
      <c r="C128" s="66" t="n"/>
      <c r="D128" s="66" t="n"/>
      <c r="E128" s="68" t="n"/>
      <c r="F128" s="72" t="n"/>
      <c r="G128" s="71" t="n"/>
      <c r="H128" s="68" t="n"/>
      <c r="I128" s="73" t="n"/>
      <c r="J128" s="73" t="n"/>
      <c r="K128" s="75" t="str">
        <f>IF(A128="","",MAX(N(I128),SUMPRODUCT(MAX((in_eq=A128)*in_done*in_cnum))))</f>
        <v/>
      </c>
      <c r="L128" s="132" t="str">
        <f>IF(A128="","",COUNTIFS(pl_eq,A128,pl_status,"&lt;&gt;Inactif"))</f>
        <v/>
      </c>
      <c r="M128" s="132" t="str">
        <f>IF(A128="","",COUNTIFS(pl_eq,A128,pl_status,"En retard"))</f>
        <v/>
      </c>
      <c r="N128" s="74" t="str">
        <f>IF(A128="","",SUMPRODUCT(MAX((in_eq=A128)*in_done*(in_type="Correctif")*in_dnum)))</f>
        <v/>
      </c>
      <c r="O128" s="81" t="str">
        <f>IF(A128="","",SUMIFS(in_total,in_eq,A128,in_done,1))</f>
        <v/>
      </c>
      <c r="P128" s="79" t="str">
        <f>IF(COUNTA(A128:J128)=0,"",IF(A128="","Code manquant",IF(COUNTIF($A$6:$A$205,A128)&gt;1,"Code en double",IF(B128="","Désignation manquante",IF(AND(E128&lt;&gt;"",E128&lt;&gt;"A",E128&lt;&gt;"B",E128&lt;&gt;"C"),"Criticité : A, B ou C",IF(AND(F128&lt;&gt;"",OR(NOT(ISNUMBER(F128)),N(F128)&lt;=0)),"Mise en service invalide",IF(AND(G128&lt;&gt;"",OR(NOT(ISNUMBER(G128)),N(G128)&lt;0,N(G128)&gt;24)),"Heures d'ouverture entre 0 et 24",IF(AND(I128&lt;&gt;"",OR(NOT(ISNUMBER(I128)),N(I128)&lt;0)),"Relevé du compteur invalide",IF(AND(J128&lt;&gt;"",OR(NOT(ISNUMBER(J128)),N(J128)&lt;0)),"Usage par semaine invalide","OK")))))))))</f>
        <v/>
      </c>
    </row>
    <row r="129">
      <c r="A129" s="65" t="n"/>
      <c r="B129" s="66" t="n"/>
      <c r="C129" s="66" t="n"/>
      <c r="D129" s="66" t="n"/>
      <c r="E129" s="68" t="n"/>
      <c r="F129" s="72" t="n"/>
      <c r="G129" s="71" t="n"/>
      <c r="H129" s="68" t="n"/>
      <c r="I129" s="73" t="n"/>
      <c r="J129" s="73" t="n"/>
      <c r="K129" s="75" t="str">
        <f>IF(A129="","",MAX(N(I129),SUMPRODUCT(MAX((in_eq=A129)*in_done*in_cnum))))</f>
        <v/>
      </c>
      <c r="L129" s="132" t="str">
        <f>IF(A129="","",COUNTIFS(pl_eq,A129,pl_status,"&lt;&gt;Inactif"))</f>
        <v/>
      </c>
      <c r="M129" s="132" t="str">
        <f>IF(A129="","",COUNTIFS(pl_eq,A129,pl_status,"En retard"))</f>
        <v/>
      </c>
      <c r="N129" s="74" t="str">
        <f>IF(A129="","",SUMPRODUCT(MAX((in_eq=A129)*in_done*(in_type="Correctif")*in_dnum)))</f>
        <v/>
      </c>
      <c r="O129" s="81" t="str">
        <f>IF(A129="","",SUMIFS(in_total,in_eq,A129,in_done,1))</f>
        <v/>
      </c>
      <c r="P129" s="79" t="str">
        <f>IF(COUNTA(A129:J129)=0,"",IF(A129="","Code manquant",IF(COUNTIF($A$6:$A$205,A129)&gt;1,"Code en double",IF(B129="","Désignation manquante",IF(AND(E129&lt;&gt;"",E129&lt;&gt;"A",E129&lt;&gt;"B",E129&lt;&gt;"C"),"Criticité : A, B ou C",IF(AND(F129&lt;&gt;"",OR(NOT(ISNUMBER(F129)),N(F129)&lt;=0)),"Mise en service invalide",IF(AND(G129&lt;&gt;"",OR(NOT(ISNUMBER(G129)),N(G129)&lt;0,N(G129)&gt;24)),"Heures d'ouverture entre 0 et 24",IF(AND(I129&lt;&gt;"",OR(NOT(ISNUMBER(I129)),N(I129)&lt;0)),"Relevé du compteur invalide",IF(AND(J129&lt;&gt;"",OR(NOT(ISNUMBER(J129)),N(J129)&lt;0)),"Usage par semaine invalide","OK")))))))))</f>
        <v/>
      </c>
    </row>
    <row r="130">
      <c r="A130" s="65" t="n"/>
      <c r="B130" s="66" t="n"/>
      <c r="C130" s="66" t="n"/>
      <c r="D130" s="66" t="n"/>
      <c r="E130" s="68" t="n"/>
      <c r="F130" s="72" t="n"/>
      <c r="G130" s="71" t="n"/>
      <c r="H130" s="68" t="n"/>
      <c r="I130" s="73" t="n"/>
      <c r="J130" s="73" t="n"/>
      <c r="K130" s="75" t="str">
        <f>IF(A130="","",MAX(N(I130),SUMPRODUCT(MAX((in_eq=A130)*in_done*in_cnum))))</f>
        <v/>
      </c>
      <c r="L130" s="132" t="str">
        <f>IF(A130="","",COUNTIFS(pl_eq,A130,pl_status,"&lt;&gt;Inactif"))</f>
        <v/>
      </c>
      <c r="M130" s="132" t="str">
        <f>IF(A130="","",COUNTIFS(pl_eq,A130,pl_status,"En retard"))</f>
        <v/>
      </c>
      <c r="N130" s="74" t="str">
        <f>IF(A130="","",SUMPRODUCT(MAX((in_eq=A130)*in_done*(in_type="Correctif")*in_dnum)))</f>
        <v/>
      </c>
      <c r="O130" s="81" t="str">
        <f>IF(A130="","",SUMIFS(in_total,in_eq,A130,in_done,1))</f>
        <v/>
      </c>
      <c r="P130" s="79" t="str">
        <f>IF(COUNTA(A130:J130)=0,"",IF(A130="","Code manquant",IF(COUNTIF($A$6:$A$205,A130)&gt;1,"Code en double",IF(B130="","Désignation manquante",IF(AND(E130&lt;&gt;"",E130&lt;&gt;"A",E130&lt;&gt;"B",E130&lt;&gt;"C"),"Criticité : A, B ou C",IF(AND(F130&lt;&gt;"",OR(NOT(ISNUMBER(F130)),N(F130)&lt;=0)),"Mise en service invalide",IF(AND(G130&lt;&gt;"",OR(NOT(ISNUMBER(G130)),N(G130)&lt;0,N(G130)&gt;24)),"Heures d'ouverture entre 0 et 24",IF(AND(I130&lt;&gt;"",OR(NOT(ISNUMBER(I130)),N(I130)&lt;0)),"Relevé du compteur invalide",IF(AND(J130&lt;&gt;"",OR(NOT(ISNUMBER(J130)),N(J130)&lt;0)),"Usage par semaine invalide","OK")))))))))</f>
        <v/>
      </c>
    </row>
    <row r="131">
      <c r="A131" s="65" t="n"/>
      <c r="B131" s="66" t="n"/>
      <c r="C131" s="66" t="n"/>
      <c r="D131" s="66" t="n"/>
      <c r="E131" s="68" t="n"/>
      <c r="F131" s="72" t="n"/>
      <c r="G131" s="71" t="n"/>
      <c r="H131" s="68" t="n"/>
      <c r="I131" s="73" t="n"/>
      <c r="J131" s="73" t="n"/>
      <c r="K131" s="75" t="str">
        <f>IF(A131="","",MAX(N(I131),SUMPRODUCT(MAX((in_eq=A131)*in_done*in_cnum))))</f>
        <v/>
      </c>
      <c r="L131" s="132" t="str">
        <f>IF(A131="","",COUNTIFS(pl_eq,A131,pl_status,"&lt;&gt;Inactif"))</f>
        <v/>
      </c>
      <c r="M131" s="132" t="str">
        <f>IF(A131="","",COUNTIFS(pl_eq,A131,pl_status,"En retard"))</f>
        <v/>
      </c>
      <c r="N131" s="74" t="str">
        <f>IF(A131="","",SUMPRODUCT(MAX((in_eq=A131)*in_done*(in_type="Correctif")*in_dnum)))</f>
        <v/>
      </c>
      <c r="O131" s="81" t="str">
        <f>IF(A131="","",SUMIFS(in_total,in_eq,A131,in_done,1))</f>
        <v/>
      </c>
      <c r="P131" s="79" t="str">
        <f>IF(COUNTA(A131:J131)=0,"",IF(A131="","Code manquant",IF(COUNTIF($A$6:$A$205,A131)&gt;1,"Code en double",IF(B131="","Désignation manquante",IF(AND(E131&lt;&gt;"",E131&lt;&gt;"A",E131&lt;&gt;"B",E131&lt;&gt;"C"),"Criticité : A, B ou C",IF(AND(F131&lt;&gt;"",OR(NOT(ISNUMBER(F131)),N(F131)&lt;=0)),"Mise en service invalide",IF(AND(G131&lt;&gt;"",OR(NOT(ISNUMBER(G131)),N(G131)&lt;0,N(G131)&gt;24)),"Heures d'ouverture entre 0 et 24",IF(AND(I131&lt;&gt;"",OR(NOT(ISNUMBER(I131)),N(I131)&lt;0)),"Relevé du compteur invalide",IF(AND(J131&lt;&gt;"",OR(NOT(ISNUMBER(J131)),N(J131)&lt;0)),"Usage par semaine invalide","OK")))))))))</f>
        <v/>
      </c>
    </row>
    <row r="132">
      <c r="A132" s="65" t="n"/>
      <c r="B132" s="66" t="n"/>
      <c r="C132" s="66" t="n"/>
      <c r="D132" s="66" t="n"/>
      <c r="E132" s="68" t="n"/>
      <c r="F132" s="72" t="n"/>
      <c r="G132" s="71" t="n"/>
      <c r="H132" s="68" t="n"/>
      <c r="I132" s="73" t="n"/>
      <c r="J132" s="73" t="n"/>
      <c r="K132" s="75" t="str">
        <f>IF(A132="","",MAX(N(I132),SUMPRODUCT(MAX((in_eq=A132)*in_done*in_cnum))))</f>
        <v/>
      </c>
      <c r="L132" s="132" t="str">
        <f>IF(A132="","",COUNTIFS(pl_eq,A132,pl_status,"&lt;&gt;Inactif"))</f>
        <v/>
      </c>
      <c r="M132" s="132" t="str">
        <f>IF(A132="","",COUNTIFS(pl_eq,A132,pl_status,"En retard"))</f>
        <v/>
      </c>
      <c r="N132" s="74" t="str">
        <f>IF(A132="","",SUMPRODUCT(MAX((in_eq=A132)*in_done*(in_type="Correctif")*in_dnum)))</f>
        <v/>
      </c>
      <c r="O132" s="81" t="str">
        <f>IF(A132="","",SUMIFS(in_total,in_eq,A132,in_done,1))</f>
        <v/>
      </c>
      <c r="P132" s="79" t="str">
        <f>IF(COUNTA(A132:J132)=0,"",IF(A132="","Code manquant",IF(COUNTIF($A$6:$A$205,A132)&gt;1,"Code en double",IF(B132="","Désignation manquante",IF(AND(E132&lt;&gt;"",E132&lt;&gt;"A",E132&lt;&gt;"B",E132&lt;&gt;"C"),"Criticité : A, B ou C",IF(AND(F132&lt;&gt;"",OR(NOT(ISNUMBER(F132)),N(F132)&lt;=0)),"Mise en service invalide",IF(AND(G132&lt;&gt;"",OR(NOT(ISNUMBER(G132)),N(G132)&lt;0,N(G132)&gt;24)),"Heures d'ouverture entre 0 et 24",IF(AND(I132&lt;&gt;"",OR(NOT(ISNUMBER(I132)),N(I132)&lt;0)),"Relevé du compteur invalide",IF(AND(J132&lt;&gt;"",OR(NOT(ISNUMBER(J132)),N(J132)&lt;0)),"Usage par semaine invalide","OK")))))))))</f>
        <v/>
      </c>
    </row>
    <row r="133">
      <c r="A133" s="65" t="n"/>
      <c r="B133" s="66" t="n"/>
      <c r="C133" s="66" t="n"/>
      <c r="D133" s="66" t="n"/>
      <c r="E133" s="68" t="n"/>
      <c r="F133" s="72" t="n"/>
      <c r="G133" s="71" t="n"/>
      <c r="H133" s="68" t="n"/>
      <c r="I133" s="73" t="n"/>
      <c r="J133" s="73" t="n"/>
      <c r="K133" s="75" t="str">
        <f>IF(A133="","",MAX(N(I133),SUMPRODUCT(MAX((in_eq=A133)*in_done*in_cnum))))</f>
        <v/>
      </c>
      <c r="L133" s="132" t="str">
        <f>IF(A133="","",COUNTIFS(pl_eq,A133,pl_status,"&lt;&gt;Inactif"))</f>
        <v/>
      </c>
      <c r="M133" s="132" t="str">
        <f>IF(A133="","",COUNTIFS(pl_eq,A133,pl_status,"En retard"))</f>
        <v/>
      </c>
      <c r="N133" s="74" t="str">
        <f>IF(A133="","",SUMPRODUCT(MAX((in_eq=A133)*in_done*(in_type="Correctif")*in_dnum)))</f>
        <v/>
      </c>
      <c r="O133" s="81" t="str">
        <f>IF(A133="","",SUMIFS(in_total,in_eq,A133,in_done,1))</f>
        <v/>
      </c>
      <c r="P133" s="79" t="str">
        <f>IF(COUNTA(A133:J133)=0,"",IF(A133="","Code manquant",IF(COUNTIF($A$6:$A$205,A133)&gt;1,"Code en double",IF(B133="","Désignation manquante",IF(AND(E133&lt;&gt;"",E133&lt;&gt;"A",E133&lt;&gt;"B",E133&lt;&gt;"C"),"Criticité : A, B ou C",IF(AND(F133&lt;&gt;"",OR(NOT(ISNUMBER(F133)),N(F133)&lt;=0)),"Mise en service invalide",IF(AND(G133&lt;&gt;"",OR(NOT(ISNUMBER(G133)),N(G133)&lt;0,N(G133)&gt;24)),"Heures d'ouverture entre 0 et 24",IF(AND(I133&lt;&gt;"",OR(NOT(ISNUMBER(I133)),N(I133)&lt;0)),"Relevé du compteur invalide",IF(AND(J133&lt;&gt;"",OR(NOT(ISNUMBER(J133)),N(J133)&lt;0)),"Usage par semaine invalide","OK")))))))))</f>
        <v/>
      </c>
    </row>
    <row r="134">
      <c r="A134" s="65" t="n"/>
      <c r="B134" s="66" t="n"/>
      <c r="C134" s="66" t="n"/>
      <c r="D134" s="66" t="n"/>
      <c r="E134" s="68" t="n"/>
      <c r="F134" s="72" t="n"/>
      <c r="G134" s="71" t="n"/>
      <c r="H134" s="68" t="n"/>
      <c r="I134" s="73" t="n"/>
      <c r="J134" s="73" t="n"/>
      <c r="K134" s="75" t="str">
        <f>IF(A134="","",MAX(N(I134),SUMPRODUCT(MAX((in_eq=A134)*in_done*in_cnum))))</f>
        <v/>
      </c>
      <c r="L134" s="132" t="str">
        <f>IF(A134="","",COUNTIFS(pl_eq,A134,pl_status,"&lt;&gt;Inactif"))</f>
        <v/>
      </c>
      <c r="M134" s="132" t="str">
        <f>IF(A134="","",COUNTIFS(pl_eq,A134,pl_status,"En retard"))</f>
        <v/>
      </c>
      <c r="N134" s="74" t="str">
        <f>IF(A134="","",SUMPRODUCT(MAX((in_eq=A134)*in_done*(in_type="Correctif")*in_dnum)))</f>
        <v/>
      </c>
      <c r="O134" s="81" t="str">
        <f>IF(A134="","",SUMIFS(in_total,in_eq,A134,in_done,1))</f>
        <v/>
      </c>
      <c r="P134" s="79" t="str">
        <f>IF(COUNTA(A134:J134)=0,"",IF(A134="","Code manquant",IF(COUNTIF($A$6:$A$205,A134)&gt;1,"Code en double",IF(B134="","Désignation manquante",IF(AND(E134&lt;&gt;"",E134&lt;&gt;"A",E134&lt;&gt;"B",E134&lt;&gt;"C"),"Criticité : A, B ou C",IF(AND(F134&lt;&gt;"",OR(NOT(ISNUMBER(F134)),N(F134)&lt;=0)),"Mise en service invalide",IF(AND(G134&lt;&gt;"",OR(NOT(ISNUMBER(G134)),N(G134)&lt;0,N(G134)&gt;24)),"Heures d'ouverture entre 0 et 24",IF(AND(I134&lt;&gt;"",OR(NOT(ISNUMBER(I134)),N(I134)&lt;0)),"Relevé du compteur invalide",IF(AND(J134&lt;&gt;"",OR(NOT(ISNUMBER(J134)),N(J134)&lt;0)),"Usage par semaine invalide","OK")))))))))</f>
        <v/>
      </c>
    </row>
    <row r="135">
      <c r="A135" s="65" t="n"/>
      <c r="B135" s="66" t="n"/>
      <c r="C135" s="66" t="n"/>
      <c r="D135" s="66" t="n"/>
      <c r="E135" s="68" t="n"/>
      <c r="F135" s="72" t="n"/>
      <c r="G135" s="71" t="n"/>
      <c r="H135" s="68" t="n"/>
      <c r="I135" s="73" t="n"/>
      <c r="J135" s="73" t="n"/>
      <c r="K135" s="75" t="str">
        <f>IF(A135="","",MAX(N(I135),SUMPRODUCT(MAX((in_eq=A135)*in_done*in_cnum))))</f>
        <v/>
      </c>
      <c r="L135" s="132" t="str">
        <f>IF(A135="","",COUNTIFS(pl_eq,A135,pl_status,"&lt;&gt;Inactif"))</f>
        <v/>
      </c>
      <c r="M135" s="132" t="str">
        <f>IF(A135="","",COUNTIFS(pl_eq,A135,pl_status,"En retard"))</f>
        <v/>
      </c>
      <c r="N135" s="74" t="str">
        <f>IF(A135="","",SUMPRODUCT(MAX((in_eq=A135)*in_done*(in_type="Correctif")*in_dnum)))</f>
        <v/>
      </c>
      <c r="O135" s="81" t="str">
        <f>IF(A135="","",SUMIFS(in_total,in_eq,A135,in_done,1))</f>
        <v/>
      </c>
      <c r="P135" s="79" t="str">
        <f>IF(COUNTA(A135:J135)=0,"",IF(A135="","Code manquant",IF(COUNTIF($A$6:$A$205,A135)&gt;1,"Code en double",IF(B135="","Désignation manquante",IF(AND(E135&lt;&gt;"",E135&lt;&gt;"A",E135&lt;&gt;"B",E135&lt;&gt;"C"),"Criticité : A, B ou C",IF(AND(F135&lt;&gt;"",OR(NOT(ISNUMBER(F135)),N(F135)&lt;=0)),"Mise en service invalide",IF(AND(G135&lt;&gt;"",OR(NOT(ISNUMBER(G135)),N(G135)&lt;0,N(G135)&gt;24)),"Heures d'ouverture entre 0 et 24",IF(AND(I135&lt;&gt;"",OR(NOT(ISNUMBER(I135)),N(I135)&lt;0)),"Relevé du compteur invalide",IF(AND(J135&lt;&gt;"",OR(NOT(ISNUMBER(J135)),N(J135)&lt;0)),"Usage par semaine invalide","OK")))))))))</f>
        <v/>
      </c>
    </row>
    <row r="136">
      <c r="A136" s="65" t="n"/>
      <c r="B136" s="66" t="n"/>
      <c r="C136" s="66" t="n"/>
      <c r="D136" s="66" t="n"/>
      <c r="E136" s="68" t="n"/>
      <c r="F136" s="72" t="n"/>
      <c r="G136" s="71" t="n"/>
      <c r="H136" s="68" t="n"/>
      <c r="I136" s="73" t="n"/>
      <c r="J136" s="73" t="n"/>
      <c r="K136" s="75" t="str">
        <f>IF(A136="","",MAX(N(I136),SUMPRODUCT(MAX((in_eq=A136)*in_done*in_cnum))))</f>
        <v/>
      </c>
      <c r="L136" s="132" t="str">
        <f>IF(A136="","",COUNTIFS(pl_eq,A136,pl_status,"&lt;&gt;Inactif"))</f>
        <v/>
      </c>
      <c r="M136" s="132" t="str">
        <f>IF(A136="","",COUNTIFS(pl_eq,A136,pl_status,"En retard"))</f>
        <v/>
      </c>
      <c r="N136" s="74" t="str">
        <f>IF(A136="","",SUMPRODUCT(MAX((in_eq=A136)*in_done*(in_type="Correctif")*in_dnum)))</f>
        <v/>
      </c>
      <c r="O136" s="81" t="str">
        <f>IF(A136="","",SUMIFS(in_total,in_eq,A136,in_done,1))</f>
        <v/>
      </c>
      <c r="P136" s="79" t="str">
        <f>IF(COUNTA(A136:J136)=0,"",IF(A136="","Code manquant",IF(COUNTIF($A$6:$A$205,A136)&gt;1,"Code en double",IF(B136="","Désignation manquante",IF(AND(E136&lt;&gt;"",E136&lt;&gt;"A",E136&lt;&gt;"B",E136&lt;&gt;"C"),"Criticité : A, B ou C",IF(AND(F136&lt;&gt;"",OR(NOT(ISNUMBER(F136)),N(F136)&lt;=0)),"Mise en service invalide",IF(AND(G136&lt;&gt;"",OR(NOT(ISNUMBER(G136)),N(G136)&lt;0,N(G136)&gt;24)),"Heures d'ouverture entre 0 et 24",IF(AND(I136&lt;&gt;"",OR(NOT(ISNUMBER(I136)),N(I136)&lt;0)),"Relevé du compteur invalide",IF(AND(J136&lt;&gt;"",OR(NOT(ISNUMBER(J136)),N(J136)&lt;0)),"Usage par semaine invalide","OK")))))))))</f>
        <v/>
      </c>
    </row>
    <row r="137">
      <c r="A137" s="65" t="n"/>
      <c r="B137" s="66" t="n"/>
      <c r="C137" s="66" t="n"/>
      <c r="D137" s="66" t="n"/>
      <c r="E137" s="68" t="n"/>
      <c r="F137" s="72" t="n"/>
      <c r="G137" s="71" t="n"/>
      <c r="H137" s="68" t="n"/>
      <c r="I137" s="73" t="n"/>
      <c r="J137" s="73" t="n"/>
      <c r="K137" s="75" t="str">
        <f>IF(A137="","",MAX(N(I137),SUMPRODUCT(MAX((in_eq=A137)*in_done*in_cnum))))</f>
        <v/>
      </c>
      <c r="L137" s="132" t="str">
        <f>IF(A137="","",COUNTIFS(pl_eq,A137,pl_status,"&lt;&gt;Inactif"))</f>
        <v/>
      </c>
      <c r="M137" s="132" t="str">
        <f>IF(A137="","",COUNTIFS(pl_eq,A137,pl_status,"En retard"))</f>
        <v/>
      </c>
      <c r="N137" s="74" t="str">
        <f>IF(A137="","",SUMPRODUCT(MAX((in_eq=A137)*in_done*(in_type="Correctif")*in_dnum)))</f>
        <v/>
      </c>
      <c r="O137" s="81" t="str">
        <f>IF(A137="","",SUMIFS(in_total,in_eq,A137,in_done,1))</f>
        <v/>
      </c>
      <c r="P137" s="79" t="str">
        <f>IF(COUNTA(A137:J137)=0,"",IF(A137="","Code manquant",IF(COUNTIF($A$6:$A$205,A137)&gt;1,"Code en double",IF(B137="","Désignation manquante",IF(AND(E137&lt;&gt;"",E137&lt;&gt;"A",E137&lt;&gt;"B",E137&lt;&gt;"C"),"Criticité : A, B ou C",IF(AND(F137&lt;&gt;"",OR(NOT(ISNUMBER(F137)),N(F137)&lt;=0)),"Mise en service invalide",IF(AND(G137&lt;&gt;"",OR(NOT(ISNUMBER(G137)),N(G137)&lt;0,N(G137)&gt;24)),"Heures d'ouverture entre 0 et 24",IF(AND(I137&lt;&gt;"",OR(NOT(ISNUMBER(I137)),N(I137)&lt;0)),"Relevé du compteur invalide",IF(AND(J137&lt;&gt;"",OR(NOT(ISNUMBER(J137)),N(J137)&lt;0)),"Usage par semaine invalide","OK")))))))))</f>
        <v/>
      </c>
    </row>
    <row r="138">
      <c r="A138" s="65" t="n"/>
      <c r="B138" s="66" t="n"/>
      <c r="C138" s="66" t="n"/>
      <c r="D138" s="66" t="n"/>
      <c r="E138" s="68" t="n"/>
      <c r="F138" s="72" t="n"/>
      <c r="G138" s="71" t="n"/>
      <c r="H138" s="68" t="n"/>
      <c r="I138" s="73" t="n"/>
      <c r="J138" s="73" t="n"/>
      <c r="K138" s="75" t="str">
        <f>IF(A138="","",MAX(N(I138),SUMPRODUCT(MAX((in_eq=A138)*in_done*in_cnum))))</f>
        <v/>
      </c>
      <c r="L138" s="132" t="str">
        <f>IF(A138="","",COUNTIFS(pl_eq,A138,pl_status,"&lt;&gt;Inactif"))</f>
        <v/>
      </c>
      <c r="M138" s="132" t="str">
        <f>IF(A138="","",COUNTIFS(pl_eq,A138,pl_status,"En retard"))</f>
        <v/>
      </c>
      <c r="N138" s="74" t="str">
        <f>IF(A138="","",SUMPRODUCT(MAX((in_eq=A138)*in_done*(in_type="Correctif")*in_dnum)))</f>
        <v/>
      </c>
      <c r="O138" s="81" t="str">
        <f>IF(A138="","",SUMIFS(in_total,in_eq,A138,in_done,1))</f>
        <v/>
      </c>
      <c r="P138" s="79" t="str">
        <f>IF(COUNTA(A138:J138)=0,"",IF(A138="","Code manquant",IF(COUNTIF($A$6:$A$205,A138)&gt;1,"Code en double",IF(B138="","Désignation manquante",IF(AND(E138&lt;&gt;"",E138&lt;&gt;"A",E138&lt;&gt;"B",E138&lt;&gt;"C"),"Criticité : A, B ou C",IF(AND(F138&lt;&gt;"",OR(NOT(ISNUMBER(F138)),N(F138)&lt;=0)),"Mise en service invalide",IF(AND(G138&lt;&gt;"",OR(NOT(ISNUMBER(G138)),N(G138)&lt;0,N(G138)&gt;24)),"Heures d'ouverture entre 0 et 24",IF(AND(I138&lt;&gt;"",OR(NOT(ISNUMBER(I138)),N(I138)&lt;0)),"Relevé du compteur invalide",IF(AND(J138&lt;&gt;"",OR(NOT(ISNUMBER(J138)),N(J138)&lt;0)),"Usage par semaine invalide","OK")))))))))</f>
        <v/>
      </c>
    </row>
    <row r="139">
      <c r="A139" s="65" t="n"/>
      <c r="B139" s="66" t="n"/>
      <c r="C139" s="66" t="n"/>
      <c r="D139" s="66" t="n"/>
      <c r="E139" s="68" t="n"/>
      <c r="F139" s="72" t="n"/>
      <c r="G139" s="71" t="n"/>
      <c r="H139" s="68" t="n"/>
      <c r="I139" s="73" t="n"/>
      <c r="J139" s="73" t="n"/>
      <c r="K139" s="75" t="str">
        <f>IF(A139="","",MAX(N(I139),SUMPRODUCT(MAX((in_eq=A139)*in_done*in_cnum))))</f>
        <v/>
      </c>
      <c r="L139" s="132" t="str">
        <f>IF(A139="","",COUNTIFS(pl_eq,A139,pl_status,"&lt;&gt;Inactif"))</f>
        <v/>
      </c>
      <c r="M139" s="132" t="str">
        <f>IF(A139="","",COUNTIFS(pl_eq,A139,pl_status,"En retard"))</f>
        <v/>
      </c>
      <c r="N139" s="74" t="str">
        <f>IF(A139="","",SUMPRODUCT(MAX((in_eq=A139)*in_done*(in_type="Correctif")*in_dnum)))</f>
        <v/>
      </c>
      <c r="O139" s="81" t="str">
        <f>IF(A139="","",SUMIFS(in_total,in_eq,A139,in_done,1))</f>
        <v/>
      </c>
      <c r="P139" s="79" t="str">
        <f>IF(COUNTA(A139:J139)=0,"",IF(A139="","Code manquant",IF(COUNTIF($A$6:$A$205,A139)&gt;1,"Code en double",IF(B139="","Désignation manquante",IF(AND(E139&lt;&gt;"",E139&lt;&gt;"A",E139&lt;&gt;"B",E139&lt;&gt;"C"),"Criticité : A, B ou C",IF(AND(F139&lt;&gt;"",OR(NOT(ISNUMBER(F139)),N(F139)&lt;=0)),"Mise en service invalide",IF(AND(G139&lt;&gt;"",OR(NOT(ISNUMBER(G139)),N(G139)&lt;0,N(G139)&gt;24)),"Heures d'ouverture entre 0 et 24",IF(AND(I139&lt;&gt;"",OR(NOT(ISNUMBER(I139)),N(I139)&lt;0)),"Relevé du compteur invalide",IF(AND(J139&lt;&gt;"",OR(NOT(ISNUMBER(J139)),N(J139)&lt;0)),"Usage par semaine invalide","OK")))))))))</f>
        <v/>
      </c>
    </row>
    <row r="140">
      <c r="A140" s="65" t="n"/>
      <c r="B140" s="66" t="n"/>
      <c r="C140" s="66" t="n"/>
      <c r="D140" s="66" t="n"/>
      <c r="E140" s="68" t="n"/>
      <c r="F140" s="72" t="n"/>
      <c r="G140" s="71" t="n"/>
      <c r="H140" s="68" t="n"/>
      <c r="I140" s="73" t="n"/>
      <c r="J140" s="73" t="n"/>
      <c r="K140" s="75" t="str">
        <f>IF(A140="","",MAX(N(I140),SUMPRODUCT(MAX((in_eq=A140)*in_done*in_cnum))))</f>
        <v/>
      </c>
      <c r="L140" s="132" t="str">
        <f>IF(A140="","",COUNTIFS(pl_eq,A140,pl_status,"&lt;&gt;Inactif"))</f>
        <v/>
      </c>
      <c r="M140" s="132" t="str">
        <f>IF(A140="","",COUNTIFS(pl_eq,A140,pl_status,"En retard"))</f>
        <v/>
      </c>
      <c r="N140" s="74" t="str">
        <f>IF(A140="","",SUMPRODUCT(MAX((in_eq=A140)*in_done*(in_type="Correctif")*in_dnum)))</f>
        <v/>
      </c>
      <c r="O140" s="81" t="str">
        <f>IF(A140="","",SUMIFS(in_total,in_eq,A140,in_done,1))</f>
        <v/>
      </c>
      <c r="P140" s="79" t="str">
        <f>IF(COUNTA(A140:J140)=0,"",IF(A140="","Code manquant",IF(COUNTIF($A$6:$A$205,A140)&gt;1,"Code en double",IF(B140="","Désignation manquante",IF(AND(E140&lt;&gt;"",E140&lt;&gt;"A",E140&lt;&gt;"B",E140&lt;&gt;"C"),"Criticité : A, B ou C",IF(AND(F140&lt;&gt;"",OR(NOT(ISNUMBER(F140)),N(F140)&lt;=0)),"Mise en service invalide",IF(AND(G140&lt;&gt;"",OR(NOT(ISNUMBER(G140)),N(G140)&lt;0,N(G140)&gt;24)),"Heures d'ouverture entre 0 et 24",IF(AND(I140&lt;&gt;"",OR(NOT(ISNUMBER(I140)),N(I140)&lt;0)),"Relevé du compteur invalide",IF(AND(J140&lt;&gt;"",OR(NOT(ISNUMBER(J140)),N(J140)&lt;0)),"Usage par semaine invalide","OK")))))))))</f>
        <v/>
      </c>
    </row>
    <row r="141">
      <c r="A141" s="65" t="n"/>
      <c r="B141" s="66" t="n"/>
      <c r="C141" s="66" t="n"/>
      <c r="D141" s="66" t="n"/>
      <c r="E141" s="68" t="n"/>
      <c r="F141" s="72" t="n"/>
      <c r="G141" s="71" t="n"/>
      <c r="H141" s="68" t="n"/>
      <c r="I141" s="73" t="n"/>
      <c r="J141" s="73" t="n"/>
      <c r="K141" s="75" t="str">
        <f>IF(A141="","",MAX(N(I141),SUMPRODUCT(MAX((in_eq=A141)*in_done*in_cnum))))</f>
        <v/>
      </c>
      <c r="L141" s="132" t="str">
        <f>IF(A141="","",COUNTIFS(pl_eq,A141,pl_status,"&lt;&gt;Inactif"))</f>
        <v/>
      </c>
      <c r="M141" s="132" t="str">
        <f>IF(A141="","",COUNTIFS(pl_eq,A141,pl_status,"En retard"))</f>
        <v/>
      </c>
      <c r="N141" s="74" t="str">
        <f>IF(A141="","",SUMPRODUCT(MAX((in_eq=A141)*in_done*(in_type="Correctif")*in_dnum)))</f>
        <v/>
      </c>
      <c r="O141" s="81" t="str">
        <f>IF(A141="","",SUMIFS(in_total,in_eq,A141,in_done,1))</f>
        <v/>
      </c>
      <c r="P141" s="79" t="str">
        <f>IF(COUNTA(A141:J141)=0,"",IF(A141="","Code manquant",IF(COUNTIF($A$6:$A$205,A141)&gt;1,"Code en double",IF(B141="","Désignation manquante",IF(AND(E141&lt;&gt;"",E141&lt;&gt;"A",E141&lt;&gt;"B",E141&lt;&gt;"C"),"Criticité : A, B ou C",IF(AND(F141&lt;&gt;"",OR(NOT(ISNUMBER(F141)),N(F141)&lt;=0)),"Mise en service invalide",IF(AND(G141&lt;&gt;"",OR(NOT(ISNUMBER(G141)),N(G141)&lt;0,N(G141)&gt;24)),"Heures d'ouverture entre 0 et 24",IF(AND(I141&lt;&gt;"",OR(NOT(ISNUMBER(I141)),N(I141)&lt;0)),"Relevé du compteur invalide",IF(AND(J141&lt;&gt;"",OR(NOT(ISNUMBER(J141)),N(J141)&lt;0)),"Usage par semaine invalide","OK")))))))))</f>
        <v/>
      </c>
    </row>
    <row r="142">
      <c r="A142" s="65" t="n"/>
      <c r="B142" s="66" t="n"/>
      <c r="C142" s="66" t="n"/>
      <c r="D142" s="66" t="n"/>
      <c r="E142" s="68" t="n"/>
      <c r="F142" s="72" t="n"/>
      <c r="G142" s="71" t="n"/>
      <c r="H142" s="68" t="n"/>
      <c r="I142" s="73" t="n"/>
      <c r="J142" s="73" t="n"/>
      <c r="K142" s="75" t="str">
        <f>IF(A142="","",MAX(N(I142),SUMPRODUCT(MAX((in_eq=A142)*in_done*in_cnum))))</f>
        <v/>
      </c>
      <c r="L142" s="132" t="str">
        <f>IF(A142="","",COUNTIFS(pl_eq,A142,pl_status,"&lt;&gt;Inactif"))</f>
        <v/>
      </c>
      <c r="M142" s="132" t="str">
        <f>IF(A142="","",COUNTIFS(pl_eq,A142,pl_status,"En retard"))</f>
        <v/>
      </c>
      <c r="N142" s="74" t="str">
        <f>IF(A142="","",SUMPRODUCT(MAX((in_eq=A142)*in_done*(in_type="Correctif")*in_dnum)))</f>
        <v/>
      </c>
      <c r="O142" s="81" t="str">
        <f>IF(A142="","",SUMIFS(in_total,in_eq,A142,in_done,1))</f>
        <v/>
      </c>
      <c r="P142" s="79" t="str">
        <f>IF(COUNTA(A142:J142)=0,"",IF(A142="","Code manquant",IF(COUNTIF($A$6:$A$205,A142)&gt;1,"Code en double",IF(B142="","Désignation manquante",IF(AND(E142&lt;&gt;"",E142&lt;&gt;"A",E142&lt;&gt;"B",E142&lt;&gt;"C"),"Criticité : A, B ou C",IF(AND(F142&lt;&gt;"",OR(NOT(ISNUMBER(F142)),N(F142)&lt;=0)),"Mise en service invalide",IF(AND(G142&lt;&gt;"",OR(NOT(ISNUMBER(G142)),N(G142)&lt;0,N(G142)&gt;24)),"Heures d'ouverture entre 0 et 24",IF(AND(I142&lt;&gt;"",OR(NOT(ISNUMBER(I142)),N(I142)&lt;0)),"Relevé du compteur invalide",IF(AND(J142&lt;&gt;"",OR(NOT(ISNUMBER(J142)),N(J142)&lt;0)),"Usage par semaine invalide","OK")))))))))</f>
        <v/>
      </c>
    </row>
    <row r="143">
      <c r="A143" s="65" t="n"/>
      <c r="B143" s="66" t="n"/>
      <c r="C143" s="66" t="n"/>
      <c r="D143" s="66" t="n"/>
      <c r="E143" s="68" t="n"/>
      <c r="F143" s="72" t="n"/>
      <c r="G143" s="71" t="n"/>
      <c r="H143" s="68" t="n"/>
      <c r="I143" s="73" t="n"/>
      <c r="J143" s="73" t="n"/>
      <c r="K143" s="75" t="str">
        <f>IF(A143="","",MAX(N(I143),SUMPRODUCT(MAX((in_eq=A143)*in_done*in_cnum))))</f>
        <v/>
      </c>
      <c r="L143" s="132" t="str">
        <f>IF(A143="","",COUNTIFS(pl_eq,A143,pl_status,"&lt;&gt;Inactif"))</f>
        <v/>
      </c>
      <c r="M143" s="132" t="str">
        <f>IF(A143="","",COUNTIFS(pl_eq,A143,pl_status,"En retard"))</f>
        <v/>
      </c>
      <c r="N143" s="74" t="str">
        <f>IF(A143="","",SUMPRODUCT(MAX((in_eq=A143)*in_done*(in_type="Correctif")*in_dnum)))</f>
        <v/>
      </c>
      <c r="O143" s="81" t="str">
        <f>IF(A143="","",SUMIFS(in_total,in_eq,A143,in_done,1))</f>
        <v/>
      </c>
      <c r="P143" s="79" t="str">
        <f>IF(COUNTA(A143:J143)=0,"",IF(A143="","Code manquant",IF(COUNTIF($A$6:$A$205,A143)&gt;1,"Code en double",IF(B143="","Désignation manquante",IF(AND(E143&lt;&gt;"",E143&lt;&gt;"A",E143&lt;&gt;"B",E143&lt;&gt;"C"),"Criticité : A, B ou C",IF(AND(F143&lt;&gt;"",OR(NOT(ISNUMBER(F143)),N(F143)&lt;=0)),"Mise en service invalide",IF(AND(G143&lt;&gt;"",OR(NOT(ISNUMBER(G143)),N(G143)&lt;0,N(G143)&gt;24)),"Heures d'ouverture entre 0 et 24",IF(AND(I143&lt;&gt;"",OR(NOT(ISNUMBER(I143)),N(I143)&lt;0)),"Relevé du compteur invalide",IF(AND(J143&lt;&gt;"",OR(NOT(ISNUMBER(J143)),N(J143)&lt;0)),"Usage par semaine invalide","OK")))))))))</f>
        <v/>
      </c>
    </row>
    <row r="144">
      <c r="A144" s="65" t="n"/>
      <c r="B144" s="66" t="n"/>
      <c r="C144" s="66" t="n"/>
      <c r="D144" s="66" t="n"/>
      <c r="E144" s="68" t="n"/>
      <c r="F144" s="72" t="n"/>
      <c r="G144" s="71" t="n"/>
      <c r="H144" s="68" t="n"/>
      <c r="I144" s="73" t="n"/>
      <c r="J144" s="73" t="n"/>
      <c r="K144" s="75" t="str">
        <f>IF(A144="","",MAX(N(I144),SUMPRODUCT(MAX((in_eq=A144)*in_done*in_cnum))))</f>
        <v/>
      </c>
      <c r="L144" s="132" t="str">
        <f>IF(A144="","",COUNTIFS(pl_eq,A144,pl_status,"&lt;&gt;Inactif"))</f>
        <v/>
      </c>
      <c r="M144" s="132" t="str">
        <f>IF(A144="","",COUNTIFS(pl_eq,A144,pl_status,"En retard"))</f>
        <v/>
      </c>
      <c r="N144" s="74" t="str">
        <f>IF(A144="","",SUMPRODUCT(MAX((in_eq=A144)*in_done*(in_type="Correctif")*in_dnum)))</f>
        <v/>
      </c>
      <c r="O144" s="81" t="str">
        <f>IF(A144="","",SUMIFS(in_total,in_eq,A144,in_done,1))</f>
        <v/>
      </c>
      <c r="P144" s="79" t="str">
        <f>IF(COUNTA(A144:J144)=0,"",IF(A144="","Code manquant",IF(COUNTIF($A$6:$A$205,A144)&gt;1,"Code en double",IF(B144="","Désignation manquante",IF(AND(E144&lt;&gt;"",E144&lt;&gt;"A",E144&lt;&gt;"B",E144&lt;&gt;"C"),"Criticité : A, B ou C",IF(AND(F144&lt;&gt;"",OR(NOT(ISNUMBER(F144)),N(F144)&lt;=0)),"Mise en service invalide",IF(AND(G144&lt;&gt;"",OR(NOT(ISNUMBER(G144)),N(G144)&lt;0,N(G144)&gt;24)),"Heures d'ouverture entre 0 et 24",IF(AND(I144&lt;&gt;"",OR(NOT(ISNUMBER(I144)),N(I144)&lt;0)),"Relevé du compteur invalide",IF(AND(J144&lt;&gt;"",OR(NOT(ISNUMBER(J144)),N(J144)&lt;0)),"Usage par semaine invalide","OK")))))))))</f>
        <v/>
      </c>
    </row>
    <row r="145">
      <c r="A145" s="65" t="n"/>
      <c r="B145" s="66" t="n"/>
      <c r="C145" s="66" t="n"/>
      <c r="D145" s="66" t="n"/>
      <c r="E145" s="68" t="n"/>
      <c r="F145" s="72" t="n"/>
      <c r="G145" s="71" t="n"/>
      <c r="H145" s="68" t="n"/>
      <c r="I145" s="73" t="n"/>
      <c r="J145" s="73" t="n"/>
      <c r="K145" s="75" t="str">
        <f>IF(A145="","",MAX(N(I145),SUMPRODUCT(MAX((in_eq=A145)*in_done*in_cnum))))</f>
        <v/>
      </c>
      <c r="L145" s="132" t="str">
        <f>IF(A145="","",COUNTIFS(pl_eq,A145,pl_status,"&lt;&gt;Inactif"))</f>
        <v/>
      </c>
      <c r="M145" s="132" t="str">
        <f>IF(A145="","",COUNTIFS(pl_eq,A145,pl_status,"En retard"))</f>
        <v/>
      </c>
      <c r="N145" s="74" t="str">
        <f>IF(A145="","",SUMPRODUCT(MAX((in_eq=A145)*in_done*(in_type="Correctif")*in_dnum)))</f>
        <v/>
      </c>
      <c r="O145" s="81" t="str">
        <f>IF(A145="","",SUMIFS(in_total,in_eq,A145,in_done,1))</f>
        <v/>
      </c>
      <c r="P145" s="79" t="str">
        <f>IF(COUNTA(A145:J145)=0,"",IF(A145="","Code manquant",IF(COUNTIF($A$6:$A$205,A145)&gt;1,"Code en double",IF(B145="","Désignation manquante",IF(AND(E145&lt;&gt;"",E145&lt;&gt;"A",E145&lt;&gt;"B",E145&lt;&gt;"C"),"Criticité : A, B ou C",IF(AND(F145&lt;&gt;"",OR(NOT(ISNUMBER(F145)),N(F145)&lt;=0)),"Mise en service invalide",IF(AND(G145&lt;&gt;"",OR(NOT(ISNUMBER(G145)),N(G145)&lt;0,N(G145)&gt;24)),"Heures d'ouverture entre 0 et 24",IF(AND(I145&lt;&gt;"",OR(NOT(ISNUMBER(I145)),N(I145)&lt;0)),"Relevé du compteur invalide",IF(AND(J145&lt;&gt;"",OR(NOT(ISNUMBER(J145)),N(J145)&lt;0)),"Usage par semaine invalide","OK")))))))))</f>
        <v/>
      </c>
    </row>
    <row r="146">
      <c r="A146" s="65" t="n"/>
      <c r="B146" s="66" t="n"/>
      <c r="C146" s="66" t="n"/>
      <c r="D146" s="66" t="n"/>
      <c r="E146" s="68" t="n"/>
      <c r="F146" s="72" t="n"/>
      <c r="G146" s="71" t="n"/>
      <c r="H146" s="68" t="n"/>
      <c r="I146" s="73" t="n"/>
      <c r="J146" s="73" t="n"/>
      <c r="K146" s="75" t="str">
        <f>IF(A146="","",MAX(N(I146),SUMPRODUCT(MAX((in_eq=A146)*in_done*in_cnum))))</f>
        <v/>
      </c>
      <c r="L146" s="132" t="str">
        <f>IF(A146="","",COUNTIFS(pl_eq,A146,pl_status,"&lt;&gt;Inactif"))</f>
        <v/>
      </c>
      <c r="M146" s="132" t="str">
        <f>IF(A146="","",COUNTIFS(pl_eq,A146,pl_status,"En retard"))</f>
        <v/>
      </c>
      <c r="N146" s="74" t="str">
        <f>IF(A146="","",SUMPRODUCT(MAX((in_eq=A146)*in_done*(in_type="Correctif")*in_dnum)))</f>
        <v/>
      </c>
      <c r="O146" s="81" t="str">
        <f>IF(A146="","",SUMIFS(in_total,in_eq,A146,in_done,1))</f>
        <v/>
      </c>
      <c r="P146" s="79" t="str">
        <f>IF(COUNTA(A146:J146)=0,"",IF(A146="","Code manquant",IF(COUNTIF($A$6:$A$205,A146)&gt;1,"Code en double",IF(B146="","Désignation manquante",IF(AND(E146&lt;&gt;"",E146&lt;&gt;"A",E146&lt;&gt;"B",E146&lt;&gt;"C"),"Criticité : A, B ou C",IF(AND(F146&lt;&gt;"",OR(NOT(ISNUMBER(F146)),N(F146)&lt;=0)),"Mise en service invalide",IF(AND(G146&lt;&gt;"",OR(NOT(ISNUMBER(G146)),N(G146)&lt;0,N(G146)&gt;24)),"Heures d'ouverture entre 0 et 24",IF(AND(I146&lt;&gt;"",OR(NOT(ISNUMBER(I146)),N(I146)&lt;0)),"Relevé du compteur invalide",IF(AND(J146&lt;&gt;"",OR(NOT(ISNUMBER(J146)),N(J146)&lt;0)),"Usage par semaine invalide","OK")))))))))</f>
        <v/>
      </c>
    </row>
    <row r="147">
      <c r="A147" s="65" t="n"/>
      <c r="B147" s="66" t="n"/>
      <c r="C147" s="66" t="n"/>
      <c r="D147" s="66" t="n"/>
      <c r="E147" s="68" t="n"/>
      <c r="F147" s="72" t="n"/>
      <c r="G147" s="71" t="n"/>
      <c r="H147" s="68" t="n"/>
      <c r="I147" s="73" t="n"/>
      <c r="J147" s="73" t="n"/>
      <c r="K147" s="75" t="str">
        <f>IF(A147="","",MAX(N(I147),SUMPRODUCT(MAX((in_eq=A147)*in_done*in_cnum))))</f>
        <v/>
      </c>
      <c r="L147" s="132" t="str">
        <f>IF(A147="","",COUNTIFS(pl_eq,A147,pl_status,"&lt;&gt;Inactif"))</f>
        <v/>
      </c>
      <c r="M147" s="132" t="str">
        <f>IF(A147="","",COUNTIFS(pl_eq,A147,pl_status,"En retard"))</f>
        <v/>
      </c>
      <c r="N147" s="74" t="str">
        <f>IF(A147="","",SUMPRODUCT(MAX((in_eq=A147)*in_done*(in_type="Correctif")*in_dnum)))</f>
        <v/>
      </c>
      <c r="O147" s="81" t="str">
        <f>IF(A147="","",SUMIFS(in_total,in_eq,A147,in_done,1))</f>
        <v/>
      </c>
      <c r="P147" s="79" t="str">
        <f>IF(COUNTA(A147:J147)=0,"",IF(A147="","Code manquant",IF(COUNTIF($A$6:$A$205,A147)&gt;1,"Code en double",IF(B147="","Désignation manquante",IF(AND(E147&lt;&gt;"",E147&lt;&gt;"A",E147&lt;&gt;"B",E147&lt;&gt;"C"),"Criticité : A, B ou C",IF(AND(F147&lt;&gt;"",OR(NOT(ISNUMBER(F147)),N(F147)&lt;=0)),"Mise en service invalide",IF(AND(G147&lt;&gt;"",OR(NOT(ISNUMBER(G147)),N(G147)&lt;0,N(G147)&gt;24)),"Heures d'ouverture entre 0 et 24",IF(AND(I147&lt;&gt;"",OR(NOT(ISNUMBER(I147)),N(I147)&lt;0)),"Relevé du compteur invalide",IF(AND(J147&lt;&gt;"",OR(NOT(ISNUMBER(J147)),N(J147)&lt;0)),"Usage par semaine invalide","OK")))))))))</f>
        <v/>
      </c>
    </row>
    <row r="148">
      <c r="A148" s="65" t="n"/>
      <c r="B148" s="66" t="n"/>
      <c r="C148" s="66" t="n"/>
      <c r="D148" s="66" t="n"/>
      <c r="E148" s="68" t="n"/>
      <c r="F148" s="72" t="n"/>
      <c r="G148" s="71" t="n"/>
      <c r="H148" s="68" t="n"/>
      <c r="I148" s="73" t="n"/>
      <c r="J148" s="73" t="n"/>
      <c r="K148" s="75" t="str">
        <f>IF(A148="","",MAX(N(I148),SUMPRODUCT(MAX((in_eq=A148)*in_done*in_cnum))))</f>
        <v/>
      </c>
      <c r="L148" s="132" t="str">
        <f>IF(A148="","",COUNTIFS(pl_eq,A148,pl_status,"&lt;&gt;Inactif"))</f>
        <v/>
      </c>
      <c r="M148" s="132" t="str">
        <f>IF(A148="","",COUNTIFS(pl_eq,A148,pl_status,"En retard"))</f>
        <v/>
      </c>
      <c r="N148" s="74" t="str">
        <f>IF(A148="","",SUMPRODUCT(MAX((in_eq=A148)*in_done*(in_type="Correctif")*in_dnum)))</f>
        <v/>
      </c>
      <c r="O148" s="81" t="str">
        <f>IF(A148="","",SUMIFS(in_total,in_eq,A148,in_done,1))</f>
        <v/>
      </c>
      <c r="P148" s="79" t="str">
        <f>IF(COUNTA(A148:J148)=0,"",IF(A148="","Code manquant",IF(COUNTIF($A$6:$A$205,A148)&gt;1,"Code en double",IF(B148="","Désignation manquante",IF(AND(E148&lt;&gt;"",E148&lt;&gt;"A",E148&lt;&gt;"B",E148&lt;&gt;"C"),"Criticité : A, B ou C",IF(AND(F148&lt;&gt;"",OR(NOT(ISNUMBER(F148)),N(F148)&lt;=0)),"Mise en service invalide",IF(AND(G148&lt;&gt;"",OR(NOT(ISNUMBER(G148)),N(G148)&lt;0,N(G148)&gt;24)),"Heures d'ouverture entre 0 et 24",IF(AND(I148&lt;&gt;"",OR(NOT(ISNUMBER(I148)),N(I148)&lt;0)),"Relevé du compteur invalide",IF(AND(J148&lt;&gt;"",OR(NOT(ISNUMBER(J148)),N(J148)&lt;0)),"Usage par semaine invalide","OK")))))))))</f>
        <v/>
      </c>
    </row>
    <row r="149">
      <c r="A149" s="65" t="n"/>
      <c r="B149" s="66" t="n"/>
      <c r="C149" s="66" t="n"/>
      <c r="D149" s="66" t="n"/>
      <c r="E149" s="68" t="n"/>
      <c r="F149" s="72" t="n"/>
      <c r="G149" s="71" t="n"/>
      <c r="H149" s="68" t="n"/>
      <c r="I149" s="73" t="n"/>
      <c r="J149" s="73" t="n"/>
      <c r="K149" s="75" t="str">
        <f>IF(A149="","",MAX(N(I149),SUMPRODUCT(MAX((in_eq=A149)*in_done*in_cnum))))</f>
        <v/>
      </c>
      <c r="L149" s="132" t="str">
        <f>IF(A149="","",COUNTIFS(pl_eq,A149,pl_status,"&lt;&gt;Inactif"))</f>
        <v/>
      </c>
      <c r="M149" s="132" t="str">
        <f>IF(A149="","",COUNTIFS(pl_eq,A149,pl_status,"En retard"))</f>
        <v/>
      </c>
      <c r="N149" s="74" t="str">
        <f>IF(A149="","",SUMPRODUCT(MAX((in_eq=A149)*in_done*(in_type="Correctif")*in_dnum)))</f>
        <v/>
      </c>
      <c r="O149" s="81" t="str">
        <f>IF(A149="","",SUMIFS(in_total,in_eq,A149,in_done,1))</f>
        <v/>
      </c>
      <c r="P149" s="79" t="str">
        <f>IF(COUNTA(A149:J149)=0,"",IF(A149="","Code manquant",IF(COUNTIF($A$6:$A$205,A149)&gt;1,"Code en double",IF(B149="","Désignation manquante",IF(AND(E149&lt;&gt;"",E149&lt;&gt;"A",E149&lt;&gt;"B",E149&lt;&gt;"C"),"Criticité : A, B ou C",IF(AND(F149&lt;&gt;"",OR(NOT(ISNUMBER(F149)),N(F149)&lt;=0)),"Mise en service invalide",IF(AND(G149&lt;&gt;"",OR(NOT(ISNUMBER(G149)),N(G149)&lt;0,N(G149)&gt;24)),"Heures d'ouverture entre 0 et 24",IF(AND(I149&lt;&gt;"",OR(NOT(ISNUMBER(I149)),N(I149)&lt;0)),"Relevé du compteur invalide",IF(AND(J149&lt;&gt;"",OR(NOT(ISNUMBER(J149)),N(J149)&lt;0)),"Usage par semaine invalide","OK")))))))))</f>
        <v/>
      </c>
    </row>
    <row r="150">
      <c r="A150" s="65" t="n"/>
      <c r="B150" s="66" t="n"/>
      <c r="C150" s="66" t="n"/>
      <c r="D150" s="66" t="n"/>
      <c r="E150" s="68" t="n"/>
      <c r="F150" s="72" t="n"/>
      <c r="G150" s="71" t="n"/>
      <c r="H150" s="68" t="n"/>
      <c r="I150" s="73" t="n"/>
      <c r="J150" s="73" t="n"/>
      <c r="K150" s="75" t="str">
        <f>IF(A150="","",MAX(N(I150),SUMPRODUCT(MAX((in_eq=A150)*in_done*in_cnum))))</f>
        <v/>
      </c>
      <c r="L150" s="132" t="str">
        <f>IF(A150="","",COUNTIFS(pl_eq,A150,pl_status,"&lt;&gt;Inactif"))</f>
        <v/>
      </c>
      <c r="M150" s="132" t="str">
        <f>IF(A150="","",COUNTIFS(pl_eq,A150,pl_status,"En retard"))</f>
        <v/>
      </c>
      <c r="N150" s="74" t="str">
        <f>IF(A150="","",SUMPRODUCT(MAX((in_eq=A150)*in_done*(in_type="Correctif")*in_dnum)))</f>
        <v/>
      </c>
      <c r="O150" s="81" t="str">
        <f>IF(A150="","",SUMIFS(in_total,in_eq,A150,in_done,1))</f>
        <v/>
      </c>
      <c r="P150" s="79" t="str">
        <f>IF(COUNTA(A150:J150)=0,"",IF(A150="","Code manquant",IF(COUNTIF($A$6:$A$205,A150)&gt;1,"Code en double",IF(B150="","Désignation manquante",IF(AND(E150&lt;&gt;"",E150&lt;&gt;"A",E150&lt;&gt;"B",E150&lt;&gt;"C"),"Criticité : A, B ou C",IF(AND(F150&lt;&gt;"",OR(NOT(ISNUMBER(F150)),N(F150)&lt;=0)),"Mise en service invalide",IF(AND(G150&lt;&gt;"",OR(NOT(ISNUMBER(G150)),N(G150)&lt;0,N(G150)&gt;24)),"Heures d'ouverture entre 0 et 24",IF(AND(I150&lt;&gt;"",OR(NOT(ISNUMBER(I150)),N(I150)&lt;0)),"Relevé du compteur invalide",IF(AND(J150&lt;&gt;"",OR(NOT(ISNUMBER(J150)),N(J150)&lt;0)),"Usage par semaine invalide","OK")))))))))</f>
        <v/>
      </c>
    </row>
    <row r="151">
      <c r="A151" s="65" t="n"/>
      <c r="B151" s="66" t="n"/>
      <c r="C151" s="66" t="n"/>
      <c r="D151" s="66" t="n"/>
      <c r="E151" s="68" t="n"/>
      <c r="F151" s="72" t="n"/>
      <c r="G151" s="71" t="n"/>
      <c r="H151" s="68" t="n"/>
      <c r="I151" s="73" t="n"/>
      <c r="J151" s="73" t="n"/>
      <c r="K151" s="75" t="str">
        <f>IF(A151="","",MAX(N(I151),SUMPRODUCT(MAX((in_eq=A151)*in_done*in_cnum))))</f>
        <v/>
      </c>
      <c r="L151" s="132" t="str">
        <f>IF(A151="","",COUNTIFS(pl_eq,A151,pl_status,"&lt;&gt;Inactif"))</f>
        <v/>
      </c>
      <c r="M151" s="132" t="str">
        <f>IF(A151="","",COUNTIFS(pl_eq,A151,pl_status,"En retard"))</f>
        <v/>
      </c>
      <c r="N151" s="74" t="str">
        <f>IF(A151="","",SUMPRODUCT(MAX((in_eq=A151)*in_done*(in_type="Correctif")*in_dnum)))</f>
        <v/>
      </c>
      <c r="O151" s="81" t="str">
        <f>IF(A151="","",SUMIFS(in_total,in_eq,A151,in_done,1))</f>
        <v/>
      </c>
      <c r="P151" s="79" t="str">
        <f>IF(COUNTA(A151:J151)=0,"",IF(A151="","Code manquant",IF(COUNTIF($A$6:$A$205,A151)&gt;1,"Code en double",IF(B151="","Désignation manquante",IF(AND(E151&lt;&gt;"",E151&lt;&gt;"A",E151&lt;&gt;"B",E151&lt;&gt;"C"),"Criticité : A, B ou C",IF(AND(F151&lt;&gt;"",OR(NOT(ISNUMBER(F151)),N(F151)&lt;=0)),"Mise en service invalide",IF(AND(G151&lt;&gt;"",OR(NOT(ISNUMBER(G151)),N(G151)&lt;0,N(G151)&gt;24)),"Heures d'ouverture entre 0 et 24",IF(AND(I151&lt;&gt;"",OR(NOT(ISNUMBER(I151)),N(I151)&lt;0)),"Relevé du compteur invalide",IF(AND(J151&lt;&gt;"",OR(NOT(ISNUMBER(J151)),N(J151)&lt;0)),"Usage par semaine invalide","OK")))))))))</f>
        <v/>
      </c>
    </row>
    <row r="152">
      <c r="A152" s="65" t="n"/>
      <c r="B152" s="66" t="n"/>
      <c r="C152" s="66" t="n"/>
      <c r="D152" s="66" t="n"/>
      <c r="E152" s="68" t="n"/>
      <c r="F152" s="72" t="n"/>
      <c r="G152" s="71" t="n"/>
      <c r="H152" s="68" t="n"/>
      <c r="I152" s="73" t="n"/>
      <c r="J152" s="73" t="n"/>
      <c r="K152" s="75" t="str">
        <f>IF(A152="","",MAX(N(I152),SUMPRODUCT(MAX((in_eq=A152)*in_done*in_cnum))))</f>
        <v/>
      </c>
      <c r="L152" s="132" t="str">
        <f>IF(A152="","",COUNTIFS(pl_eq,A152,pl_status,"&lt;&gt;Inactif"))</f>
        <v/>
      </c>
      <c r="M152" s="132" t="str">
        <f>IF(A152="","",COUNTIFS(pl_eq,A152,pl_status,"En retard"))</f>
        <v/>
      </c>
      <c r="N152" s="74" t="str">
        <f>IF(A152="","",SUMPRODUCT(MAX((in_eq=A152)*in_done*(in_type="Correctif")*in_dnum)))</f>
        <v/>
      </c>
      <c r="O152" s="81" t="str">
        <f>IF(A152="","",SUMIFS(in_total,in_eq,A152,in_done,1))</f>
        <v/>
      </c>
      <c r="P152" s="79" t="str">
        <f>IF(COUNTA(A152:J152)=0,"",IF(A152="","Code manquant",IF(COUNTIF($A$6:$A$205,A152)&gt;1,"Code en double",IF(B152="","Désignation manquante",IF(AND(E152&lt;&gt;"",E152&lt;&gt;"A",E152&lt;&gt;"B",E152&lt;&gt;"C"),"Criticité : A, B ou C",IF(AND(F152&lt;&gt;"",OR(NOT(ISNUMBER(F152)),N(F152)&lt;=0)),"Mise en service invalide",IF(AND(G152&lt;&gt;"",OR(NOT(ISNUMBER(G152)),N(G152)&lt;0,N(G152)&gt;24)),"Heures d'ouverture entre 0 et 24",IF(AND(I152&lt;&gt;"",OR(NOT(ISNUMBER(I152)),N(I152)&lt;0)),"Relevé du compteur invalide",IF(AND(J152&lt;&gt;"",OR(NOT(ISNUMBER(J152)),N(J152)&lt;0)),"Usage par semaine invalide","OK")))))))))</f>
        <v/>
      </c>
    </row>
    <row r="153">
      <c r="A153" s="65" t="n"/>
      <c r="B153" s="66" t="n"/>
      <c r="C153" s="66" t="n"/>
      <c r="D153" s="66" t="n"/>
      <c r="E153" s="68" t="n"/>
      <c r="F153" s="72" t="n"/>
      <c r="G153" s="71" t="n"/>
      <c r="H153" s="68" t="n"/>
      <c r="I153" s="73" t="n"/>
      <c r="J153" s="73" t="n"/>
      <c r="K153" s="75" t="str">
        <f>IF(A153="","",MAX(N(I153),SUMPRODUCT(MAX((in_eq=A153)*in_done*in_cnum))))</f>
        <v/>
      </c>
      <c r="L153" s="132" t="str">
        <f>IF(A153="","",COUNTIFS(pl_eq,A153,pl_status,"&lt;&gt;Inactif"))</f>
        <v/>
      </c>
      <c r="M153" s="132" t="str">
        <f>IF(A153="","",COUNTIFS(pl_eq,A153,pl_status,"En retard"))</f>
        <v/>
      </c>
      <c r="N153" s="74" t="str">
        <f>IF(A153="","",SUMPRODUCT(MAX((in_eq=A153)*in_done*(in_type="Correctif")*in_dnum)))</f>
        <v/>
      </c>
      <c r="O153" s="81" t="str">
        <f>IF(A153="","",SUMIFS(in_total,in_eq,A153,in_done,1))</f>
        <v/>
      </c>
      <c r="P153" s="79" t="str">
        <f>IF(COUNTA(A153:J153)=0,"",IF(A153="","Code manquant",IF(COUNTIF($A$6:$A$205,A153)&gt;1,"Code en double",IF(B153="","Désignation manquante",IF(AND(E153&lt;&gt;"",E153&lt;&gt;"A",E153&lt;&gt;"B",E153&lt;&gt;"C"),"Criticité : A, B ou C",IF(AND(F153&lt;&gt;"",OR(NOT(ISNUMBER(F153)),N(F153)&lt;=0)),"Mise en service invalide",IF(AND(G153&lt;&gt;"",OR(NOT(ISNUMBER(G153)),N(G153)&lt;0,N(G153)&gt;24)),"Heures d'ouverture entre 0 et 24",IF(AND(I153&lt;&gt;"",OR(NOT(ISNUMBER(I153)),N(I153)&lt;0)),"Relevé du compteur invalide",IF(AND(J153&lt;&gt;"",OR(NOT(ISNUMBER(J153)),N(J153)&lt;0)),"Usage par semaine invalide","OK")))))))))</f>
        <v/>
      </c>
    </row>
    <row r="154">
      <c r="A154" s="65" t="n"/>
      <c r="B154" s="66" t="n"/>
      <c r="C154" s="66" t="n"/>
      <c r="D154" s="66" t="n"/>
      <c r="E154" s="68" t="n"/>
      <c r="F154" s="72" t="n"/>
      <c r="G154" s="71" t="n"/>
      <c r="H154" s="68" t="n"/>
      <c r="I154" s="73" t="n"/>
      <c r="J154" s="73" t="n"/>
      <c r="K154" s="75" t="str">
        <f>IF(A154="","",MAX(N(I154),SUMPRODUCT(MAX((in_eq=A154)*in_done*in_cnum))))</f>
        <v/>
      </c>
      <c r="L154" s="132" t="str">
        <f>IF(A154="","",COUNTIFS(pl_eq,A154,pl_status,"&lt;&gt;Inactif"))</f>
        <v/>
      </c>
      <c r="M154" s="132" t="str">
        <f>IF(A154="","",COUNTIFS(pl_eq,A154,pl_status,"En retard"))</f>
        <v/>
      </c>
      <c r="N154" s="74" t="str">
        <f>IF(A154="","",SUMPRODUCT(MAX((in_eq=A154)*in_done*(in_type="Correctif")*in_dnum)))</f>
        <v/>
      </c>
      <c r="O154" s="81" t="str">
        <f>IF(A154="","",SUMIFS(in_total,in_eq,A154,in_done,1))</f>
        <v/>
      </c>
      <c r="P154" s="79" t="str">
        <f>IF(COUNTA(A154:J154)=0,"",IF(A154="","Code manquant",IF(COUNTIF($A$6:$A$205,A154)&gt;1,"Code en double",IF(B154="","Désignation manquante",IF(AND(E154&lt;&gt;"",E154&lt;&gt;"A",E154&lt;&gt;"B",E154&lt;&gt;"C"),"Criticité : A, B ou C",IF(AND(F154&lt;&gt;"",OR(NOT(ISNUMBER(F154)),N(F154)&lt;=0)),"Mise en service invalide",IF(AND(G154&lt;&gt;"",OR(NOT(ISNUMBER(G154)),N(G154)&lt;0,N(G154)&gt;24)),"Heures d'ouverture entre 0 et 24",IF(AND(I154&lt;&gt;"",OR(NOT(ISNUMBER(I154)),N(I154)&lt;0)),"Relevé du compteur invalide",IF(AND(J154&lt;&gt;"",OR(NOT(ISNUMBER(J154)),N(J154)&lt;0)),"Usage par semaine invalide","OK")))))))))</f>
        <v/>
      </c>
    </row>
    <row r="155">
      <c r="A155" s="65" t="n"/>
      <c r="B155" s="66" t="n"/>
      <c r="C155" s="66" t="n"/>
      <c r="D155" s="66" t="n"/>
      <c r="E155" s="68" t="n"/>
      <c r="F155" s="72" t="n"/>
      <c r="G155" s="71" t="n"/>
      <c r="H155" s="68" t="n"/>
      <c r="I155" s="73" t="n"/>
      <c r="J155" s="73" t="n"/>
      <c r="K155" s="75" t="str">
        <f>IF(A155="","",MAX(N(I155),SUMPRODUCT(MAX((in_eq=A155)*in_done*in_cnum))))</f>
        <v/>
      </c>
      <c r="L155" s="132" t="str">
        <f>IF(A155="","",COUNTIFS(pl_eq,A155,pl_status,"&lt;&gt;Inactif"))</f>
        <v/>
      </c>
      <c r="M155" s="132" t="str">
        <f>IF(A155="","",COUNTIFS(pl_eq,A155,pl_status,"En retard"))</f>
        <v/>
      </c>
      <c r="N155" s="74" t="str">
        <f>IF(A155="","",SUMPRODUCT(MAX((in_eq=A155)*in_done*(in_type="Correctif")*in_dnum)))</f>
        <v/>
      </c>
      <c r="O155" s="81" t="str">
        <f>IF(A155="","",SUMIFS(in_total,in_eq,A155,in_done,1))</f>
        <v/>
      </c>
      <c r="P155" s="79" t="str">
        <f>IF(COUNTA(A155:J155)=0,"",IF(A155="","Code manquant",IF(COUNTIF($A$6:$A$205,A155)&gt;1,"Code en double",IF(B155="","Désignation manquante",IF(AND(E155&lt;&gt;"",E155&lt;&gt;"A",E155&lt;&gt;"B",E155&lt;&gt;"C"),"Criticité : A, B ou C",IF(AND(F155&lt;&gt;"",OR(NOT(ISNUMBER(F155)),N(F155)&lt;=0)),"Mise en service invalide",IF(AND(G155&lt;&gt;"",OR(NOT(ISNUMBER(G155)),N(G155)&lt;0,N(G155)&gt;24)),"Heures d'ouverture entre 0 et 24",IF(AND(I155&lt;&gt;"",OR(NOT(ISNUMBER(I155)),N(I155)&lt;0)),"Relevé du compteur invalide",IF(AND(J155&lt;&gt;"",OR(NOT(ISNUMBER(J155)),N(J155)&lt;0)),"Usage par semaine invalide","OK")))))))))</f>
        <v/>
      </c>
    </row>
    <row r="156">
      <c r="A156" s="65" t="n"/>
      <c r="B156" s="66" t="n"/>
      <c r="C156" s="66" t="n"/>
      <c r="D156" s="66" t="n"/>
      <c r="E156" s="68" t="n"/>
      <c r="F156" s="72" t="n"/>
      <c r="G156" s="71" t="n"/>
      <c r="H156" s="68" t="n"/>
      <c r="I156" s="73" t="n"/>
      <c r="J156" s="73" t="n"/>
      <c r="K156" s="75" t="str">
        <f>IF(A156="","",MAX(N(I156),SUMPRODUCT(MAX((in_eq=A156)*in_done*in_cnum))))</f>
        <v/>
      </c>
      <c r="L156" s="132" t="str">
        <f>IF(A156="","",COUNTIFS(pl_eq,A156,pl_status,"&lt;&gt;Inactif"))</f>
        <v/>
      </c>
      <c r="M156" s="132" t="str">
        <f>IF(A156="","",COUNTIFS(pl_eq,A156,pl_status,"En retard"))</f>
        <v/>
      </c>
      <c r="N156" s="74" t="str">
        <f>IF(A156="","",SUMPRODUCT(MAX((in_eq=A156)*in_done*(in_type="Correctif")*in_dnum)))</f>
        <v/>
      </c>
      <c r="O156" s="81" t="str">
        <f>IF(A156="","",SUMIFS(in_total,in_eq,A156,in_done,1))</f>
        <v/>
      </c>
      <c r="P156" s="79" t="str">
        <f>IF(COUNTA(A156:J156)=0,"",IF(A156="","Code manquant",IF(COUNTIF($A$6:$A$205,A156)&gt;1,"Code en double",IF(B156="","Désignation manquante",IF(AND(E156&lt;&gt;"",E156&lt;&gt;"A",E156&lt;&gt;"B",E156&lt;&gt;"C"),"Criticité : A, B ou C",IF(AND(F156&lt;&gt;"",OR(NOT(ISNUMBER(F156)),N(F156)&lt;=0)),"Mise en service invalide",IF(AND(G156&lt;&gt;"",OR(NOT(ISNUMBER(G156)),N(G156)&lt;0,N(G156)&gt;24)),"Heures d'ouverture entre 0 et 24",IF(AND(I156&lt;&gt;"",OR(NOT(ISNUMBER(I156)),N(I156)&lt;0)),"Relevé du compteur invalide",IF(AND(J156&lt;&gt;"",OR(NOT(ISNUMBER(J156)),N(J156)&lt;0)),"Usage par semaine invalide","OK")))))))))</f>
        <v/>
      </c>
    </row>
    <row r="157">
      <c r="A157" s="65" t="n"/>
      <c r="B157" s="66" t="n"/>
      <c r="C157" s="66" t="n"/>
      <c r="D157" s="66" t="n"/>
      <c r="E157" s="68" t="n"/>
      <c r="F157" s="72" t="n"/>
      <c r="G157" s="71" t="n"/>
      <c r="H157" s="68" t="n"/>
      <c r="I157" s="73" t="n"/>
      <c r="J157" s="73" t="n"/>
      <c r="K157" s="75" t="str">
        <f>IF(A157="","",MAX(N(I157),SUMPRODUCT(MAX((in_eq=A157)*in_done*in_cnum))))</f>
        <v/>
      </c>
      <c r="L157" s="132" t="str">
        <f>IF(A157="","",COUNTIFS(pl_eq,A157,pl_status,"&lt;&gt;Inactif"))</f>
        <v/>
      </c>
      <c r="M157" s="132" t="str">
        <f>IF(A157="","",COUNTIFS(pl_eq,A157,pl_status,"En retard"))</f>
        <v/>
      </c>
      <c r="N157" s="74" t="str">
        <f>IF(A157="","",SUMPRODUCT(MAX((in_eq=A157)*in_done*(in_type="Correctif")*in_dnum)))</f>
        <v/>
      </c>
      <c r="O157" s="81" t="str">
        <f>IF(A157="","",SUMIFS(in_total,in_eq,A157,in_done,1))</f>
        <v/>
      </c>
      <c r="P157" s="79" t="str">
        <f>IF(COUNTA(A157:J157)=0,"",IF(A157="","Code manquant",IF(COUNTIF($A$6:$A$205,A157)&gt;1,"Code en double",IF(B157="","Désignation manquante",IF(AND(E157&lt;&gt;"",E157&lt;&gt;"A",E157&lt;&gt;"B",E157&lt;&gt;"C"),"Criticité : A, B ou C",IF(AND(F157&lt;&gt;"",OR(NOT(ISNUMBER(F157)),N(F157)&lt;=0)),"Mise en service invalide",IF(AND(G157&lt;&gt;"",OR(NOT(ISNUMBER(G157)),N(G157)&lt;0,N(G157)&gt;24)),"Heures d'ouverture entre 0 et 24",IF(AND(I157&lt;&gt;"",OR(NOT(ISNUMBER(I157)),N(I157)&lt;0)),"Relevé du compteur invalide",IF(AND(J157&lt;&gt;"",OR(NOT(ISNUMBER(J157)),N(J157)&lt;0)),"Usage par semaine invalide","OK")))))))))</f>
        <v/>
      </c>
    </row>
    <row r="158">
      <c r="A158" s="65" t="n"/>
      <c r="B158" s="66" t="n"/>
      <c r="C158" s="66" t="n"/>
      <c r="D158" s="66" t="n"/>
      <c r="E158" s="68" t="n"/>
      <c r="F158" s="72" t="n"/>
      <c r="G158" s="71" t="n"/>
      <c r="H158" s="68" t="n"/>
      <c r="I158" s="73" t="n"/>
      <c r="J158" s="73" t="n"/>
      <c r="K158" s="75" t="str">
        <f>IF(A158="","",MAX(N(I158),SUMPRODUCT(MAX((in_eq=A158)*in_done*in_cnum))))</f>
        <v/>
      </c>
      <c r="L158" s="132" t="str">
        <f>IF(A158="","",COUNTIFS(pl_eq,A158,pl_status,"&lt;&gt;Inactif"))</f>
        <v/>
      </c>
      <c r="M158" s="132" t="str">
        <f>IF(A158="","",COUNTIFS(pl_eq,A158,pl_status,"En retard"))</f>
        <v/>
      </c>
      <c r="N158" s="74" t="str">
        <f>IF(A158="","",SUMPRODUCT(MAX((in_eq=A158)*in_done*(in_type="Correctif")*in_dnum)))</f>
        <v/>
      </c>
      <c r="O158" s="81" t="str">
        <f>IF(A158="","",SUMIFS(in_total,in_eq,A158,in_done,1))</f>
        <v/>
      </c>
      <c r="P158" s="79" t="str">
        <f>IF(COUNTA(A158:J158)=0,"",IF(A158="","Code manquant",IF(COUNTIF($A$6:$A$205,A158)&gt;1,"Code en double",IF(B158="","Désignation manquante",IF(AND(E158&lt;&gt;"",E158&lt;&gt;"A",E158&lt;&gt;"B",E158&lt;&gt;"C"),"Criticité : A, B ou C",IF(AND(F158&lt;&gt;"",OR(NOT(ISNUMBER(F158)),N(F158)&lt;=0)),"Mise en service invalide",IF(AND(G158&lt;&gt;"",OR(NOT(ISNUMBER(G158)),N(G158)&lt;0,N(G158)&gt;24)),"Heures d'ouverture entre 0 et 24",IF(AND(I158&lt;&gt;"",OR(NOT(ISNUMBER(I158)),N(I158)&lt;0)),"Relevé du compteur invalide",IF(AND(J158&lt;&gt;"",OR(NOT(ISNUMBER(J158)),N(J158)&lt;0)),"Usage par semaine invalide","OK")))))))))</f>
        <v/>
      </c>
    </row>
    <row r="159">
      <c r="A159" s="65" t="n"/>
      <c r="B159" s="66" t="n"/>
      <c r="C159" s="66" t="n"/>
      <c r="D159" s="66" t="n"/>
      <c r="E159" s="68" t="n"/>
      <c r="F159" s="72" t="n"/>
      <c r="G159" s="71" t="n"/>
      <c r="H159" s="68" t="n"/>
      <c r="I159" s="73" t="n"/>
      <c r="J159" s="73" t="n"/>
      <c r="K159" s="75" t="str">
        <f>IF(A159="","",MAX(N(I159),SUMPRODUCT(MAX((in_eq=A159)*in_done*in_cnum))))</f>
        <v/>
      </c>
      <c r="L159" s="132" t="str">
        <f>IF(A159="","",COUNTIFS(pl_eq,A159,pl_status,"&lt;&gt;Inactif"))</f>
        <v/>
      </c>
      <c r="M159" s="132" t="str">
        <f>IF(A159="","",COUNTIFS(pl_eq,A159,pl_status,"En retard"))</f>
        <v/>
      </c>
      <c r="N159" s="74" t="str">
        <f>IF(A159="","",SUMPRODUCT(MAX((in_eq=A159)*in_done*(in_type="Correctif")*in_dnum)))</f>
        <v/>
      </c>
      <c r="O159" s="81" t="str">
        <f>IF(A159="","",SUMIFS(in_total,in_eq,A159,in_done,1))</f>
        <v/>
      </c>
      <c r="P159" s="79" t="str">
        <f>IF(COUNTA(A159:J159)=0,"",IF(A159="","Code manquant",IF(COUNTIF($A$6:$A$205,A159)&gt;1,"Code en double",IF(B159="","Désignation manquante",IF(AND(E159&lt;&gt;"",E159&lt;&gt;"A",E159&lt;&gt;"B",E159&lt;&gt;"C"),"Criticité : A, B ou C",IF(AND(F159&lt;&gt;"",OR(NOT(ISNUMBER(F159)),N(F159)&lt;=0)),"Mise en service invalide",IF(AND(G159&lt;&gt;"",OR(NOT(ISNUMBER(G159)),N(G159)&lt;0,N(G159)&gt;24)),"Heures d'ouverture entre 0 et 24",IF(AND(I159&lt;&gt;"",OR(NOT(ISNUMBER(I159)),N(I159)&lt;0)),"Relevé du compteur invalide",IF(AND(J159&lt;&gt;"",OR(NOT(ISNUMBER(J159)),N(J159)&lt;0)),"Usage par semaine invalide","OK")))))))))</f>
        <v/>
      </c>
    </row>
    <row r="160">
      <c r="A160" s="65" t="n"/>
      <c r="B160" s="66" t="n"/>
      <c r="C160" s="66" t="n"/>
      <c r="D160" s="66" t="n"/>
      <c r="E160" s="68" t="n"/>
      <c r="F160" s="72" t="n"/>
      <c r="G160" s="71" t="n"/>
      <c r="H160" s="68" t="n"/>
      <c r="I160" s="73" t="n"/>
      <c r="J160" s="73" t="n"/>
      <c r="K160" s="75" t="str">
        <f>IF(A160="","",MAX(N(I160),SUMPRODUCT(MAX((in_eq=A160)*in_done*in_cnum))))</f>
        <v/>
      </c>
      <c r="L160" s="132" t="str">
        <f>IF(A160="","",COUNTIFS(pl_eq,A160,pl_status,"&lt;&gt;Inactif"))</f>
        <v/>
      </c>
      <c r="M160" s="132" t="str">
        <f>IF(A160="","",COUNTIFS(pl_eq,A160,pl_status,"En retard"))</f>
        <v/>
      </c>
      <c r="N160" s="74" t="str">
        <f>IF(A160="","",SUMPRODUCT(MAX((in_eq=A160)*in_done*(in_type="Correctif")*in_dnum)))</f>
        <v/>
      </c>
      <c r="O160" s="81" t="str">
        <f>IF(A160="","",SUMIFS(in_total,in_eq,A160,in_done,1))</f>
        <v/>
      </c>
      <c r="P160" s="79" t="str">
        <f>IF(COUNTA(A160:J160)=0,"",IF(A160="","Code manquant",IF(COUNTIF($A$6:$A$205,A160)&gt;1,"Code en double",IF(B160="","Désignation manquante",IF(AND(E160&lt;&gt;"",E160&lt;&gt;"A",E160&lt;&gt;"B",E160&lt;&gt;"C"),"Criticité : A, B ou C",IF(AND(F160&lt;&gt;"",OR(NOT(ISNUMBER(F160)),N(F160)&lt;=0)),"Mise en service invalide",IF(AND(G160&lt;&gt;"",OR(NOT(ISNUMBER(G160)),N(G160)&lt;0,N(G160)&gt;24)),"Heures d'ouverture entre 0 et 24",IF(AND(I160&lt;&gt;"",OR(NOT(ISNUMBER(I160)),N(I160)&lt;0)),"Relevé du compteur invalide",IF(AND(J160&lt;&gt;"",OR(NOT(ISNUMBER(J160)),N(J160)&lt;0)),"Usage par semaine invalide","OK")))))))))</f>
        <v/>
      </c>
    </row>
    <row r="161">
      <c r="A161" s="65" t="n"/>
      <c r="B161" s="66" t="n"/>
      <c r="C161" s="66" t="n"/>
      <c r="D161" s="66" t="n"/>
      <c r="E161" s="68" t="n"/>
      <c r="F161" s="72" t="n"/>
      <c r="G161" s="71" t="n"/>
      <c r="H161" s="68" t="n"/>
      <c r="I161" s="73" t="n"/>
      <c r="J161" s="73" t="n"/>
      <c r="K161" s="75" t="str">
        <f>IF(A161="","",MAX(N(I161),SUMPRODUCT(MAX((in_eq=A161)*in_done*in_cnum))))</f>
        <v/>
      </c>
      <c r="L161" s="132" t="str">
        <f>IF(A161="","",COUNTIFS(pl_eq,A161,pl_status,"&lt;&gt;Inactif"))</f>
        <v/>
      </c>
      <c r="M161" s="132" t="str">
        <f>IF(A161="","",COUNTIFS(pl_eq,A161,pl_status,"En retard"))</f>
        <v/>
      </c>
      <c r="N161" s="74" t="str">
        <f>IF(A161="","",SUMPRODUCT(MAX((in_eq=A161)*in_done*(in_type="Correctif")*in_dnum)))</f>
        <v/>
      </c>
      <c r="O161" s="81" t="str">
        <f>IF(A161="","",SUMIFS(in_total,in_eq,A161,in_done,1))</f>
        <v/>
      </c>
      <c r="P161" s="79" t="str">
        <f>IF(COUNTA(A161:J161)=0,"",IF(A161="","Code manquant",IF(COUNTIF($A$6:$A$205,A161)&gt;1,"Code en double",IF(B161="","Désignation manquante",IF(AND(E161&lt;&gt;"",E161&lt;&gt;"A",E161&lt;&gt;"B",E161&lt;&gt;"C"),"Criticité : A, B ou C",IF(AND(F161&lt;&gt;"",OR(NOT(ISNUMBER(F161)),N(F161)&lt;=0)),"Mise en service invalide",IF(AND(G161&lt;&gt;"",OR(NOT(ISNUMBER(G161)),N(G161)&lt;0,N(G161)&gt;24)),"Heures d'ouverture entre 0 et 24",IF(AND(I161&lt;&gt;"",OR(NOT(ISNUMBER(I161)),N(I161)&lt;0)),"Relevé du compteur invalide",IF(AND(J161&lt;&gt;"",OR(NOT(ISNUMBER(J161)),N(J161)&lt;0)),"Usage par semaine invalide","OK")))))))))</f>
        <v/>
      </c>
    </row>
    <row r="162">
      <c r="A162" s="65" t="n"/>
      <c r="B162" s="66" t="n"/>
      <c r="C162" s="66" t="n"/>
      <c r="D162" s="66" t="n"/>
      <c r="E162" s="68" t="n"/>
      <c r="F162" s="72" t="n"/>
      <c r="G162" s="71" t="n"/>
      <c r="H162" s="68" t="n"/>
      <c r="I162" s="73" t="n"/>
      <c r="J162" s="73" t="n"/>
      <c r="K162" s="75" t="str">
        <f>IF(A162="","",MAX(N(I162),SUMPRODUCT(MAX((in_eq=A162)*in_done*in_cnum))))</f>
        <v/>
      </c>
      <c r="L162" s="132" t="str">
        <f>IF(A162="","",COUNTIFS(pl_eq,A162,pl_status,"&lt;&gt;Inactif"))</f>
        <v/>
      </c>
      <c r="M162" s="132" t="str">
        <f>IF(A162="","",COUNTIFS(pl_eq,A162,pl_status,"En retard"))</f>
        <v/>
      </c>
      <c r="N162" s="74" t="str">
        <f>IF(A162="","",SUMPRODUCT(MAX((in_eq=A162)*in_done*(in_type="Correctif")*in_dnum)))</f>
        <v/>
      </c>
      <c r="O162" s="81" t="str">
        <f>IF(A162="","",SUMIFS(in_total,in_eq,A162,in_done,1))</f>
        <v/>
      </c>
      <c r="P162" s="79" t="str">
        <f>IF(COUNTA(A162:J162)=0,"",IF(A162="","Code manquant",IF(COUNTIF($A$6:$A$205,A162)&gt;1,"Code en double",IF(B162="","Désignation manquante",IF(AND(E162&lt;&gt;"",E162&lt;&gt;"A",E162&lt;&gt;"B",E162&lt;&gt;"C"),"Criticité : A, B ou C",IF(AND(F162&lt;&gt;"",OR(NOT(ISNUMBER(F162)),N(F162)&lt;=0)),"Mise en service invalide",IF(AND(G162&lt;&gt;"",OR(NOT(ISNUMBER(G162)),N(G162)&lt;0,N(G162)&gt;24)),"Heures d'ouverture entre 0 et 24",IF(AND(I162&lt;&gt;"",OR(NOT(ISNUMBER(I162)),N(I162)&lt;0)),"Relevé du compteur invalide",IF(AND(J162&lt;&gt;"",OR(NOT(ISNUMBER(J162)),N(J162)&lt;0)),"Usage par semaine invalide","OK")))))))))</f>
        <v/>
      </c>
    </row>
    <row r="163">
      <c r="A163" s="65" t="n"/>
      <c r="B163" s="66" t="n"/>
      <c r="C163" s="66" t="n"/>
      <c r="D163" s="66" t="n"/>
      <c r="E163" s="68" t="n"/>
      <c r="F163" s="72" t="n"/>
      <c r="G163" s="71" t="n"/>
      <c r="H163" s="68" t="n"/>
      <c r="I163" s="73" t="n"/>
      <c r="J163" s="73" t="n"/>
      <c r="K163" s="75" t="str">
        <f>IF(A163="","",MAX(N(I163),SUMPRODUCT(MAX((in_eq=A163)*in_done*in_cnum))))</f>
        <v/>
      </c>
      <c r="L163" s="132" t="str">
        <f>IF(A163="","",COUNTIFS(pl_eq,A163,pl_status,"&lt;&gt;Inactif"))</f>
        <v/>
      </c>
      <c r="M163" s="132" t="str">
        <f>IF(A163="","",COUNTIFS(pl_eq,A163,pl_status,"En retard"))</f>
        <v/>
      </c>
      <c r="N163" s="74" t="str">
        <f>IF(A163="","",SUMPRODUCT(MAX((in_eq=A163)*in_done*(in_type="Correctif")*in_dnum)))</f>
        <v/>
      </c>
      <c r="O163" s="81" t="str">
        <f>IF(A163="","",SUMIFS(in_total,in_eq,A163,in_done,1))</f>
        <v/>
      </c>
      <c r="P163" s="79" t="str">
        <f>IF(COUNTA(A163:J163)=0,"",IF(A163="","Code manquant",IF(COUNTIF($A$6:$A$205,A163)&gt;1,"Code en double",IF(B163="","Désignation manquante",IF(AND(E163&lt;&gt;"",E163&lt;&gt;"A",E163&lt;&gt;"B",E163&lt;&gt;"C"),"Criticité : A, B ou C",IF(AND(F163&lt;&gt;"",OR(NOT(ISNUMBER(F163)),N(F163)&lt;=0)),"Mise en service invalide",IF(AND(G163&lt;&gt;"",OR(NOT(ISNUMBER(G163)),N(G163)&lt;0,N(G163)&gt;24)),"Heures d'ouverture entre 0 et 24",IF(AND(I163&lt;&gt;"",OR(NOT(ISNUMBER(I163)),N(I163)&lt;0)),"Relevé du compteur invalide",IF(AND(J163&lt;&gt;"",OR(NOT(ISNUMBER(J163)),N(J163)&lt;0)),"Usage par semaine invalide","OK")))))))))</f>
        <v/>
      </c>
    </row>
    <row r="164">
      <c r="A164" s="65" t="n"/>
      <c r="B164" s="66" t="n"/>
      <c r="C164" s="66" t="n"/>
      <c r="D164" s="66" t="n"/>
      <c r="E164" s="68" t="n"/>
      <c r="F164" s="72" t="n"/>
      <c r="G164" s="71" t="n"/>
      <c r="H164" s="68" t="n"/>
      <c r="I164" s="73" t="n"/>
      <c r="J164" s="73" t="n"/>
      <c r="K164" s="75" t="str">
        <f>IF(A164="","",MAX(N(I164),SUMPRODUCT(MAX((in_eq=A164)*in_done*in_cnum))))</f>
        <v/>
      </c>
      <c r="L164" s="132" t="str">
        <f>IF(A164="","",COUNTIFS(pl_eq,A164,pl_status,"&lt;&gt;Inactif"))</f>
        <v/>
      </c>
      <c r="M164" s="132" t="str">
        <f>IF(A164="","",COUNTIFS(pl_eq,A164,pl_status,"En retard"))</f>
        <v/>
      </c>
      <c r="N164" s="74" t="str">
        <f>IF(A164="","",SUMPRODUCT(MAX((in_eq=A164)*in_done*(in_type="Correctif")*in_dnum)))</f>
        <v/>
      </c>
      <c r="O164" s="81" t="str">
        <f>IF(A164="","",SUMIFS(in_total,in_eq,A164,in_done,1))</f>
        <v/>
      </c>
      <c r="P164" s="79" t="str">
        <f>IF(COUNTA(A164:J164)=0,"",IF(A164="","Code manquant",IF(COUNTIF($A$6:$A$205,A164)&gt;1,"Code en double",IF(B164="","Désignation manquante",IF(AND(E164&lt;&gt;"",E164&lt;&gt;"A",E164&lt;&gt;"B",E164&lt;&gt;"C"),"Criticité : A, B ou C",IF(AND(F164&lt;&gt;"",OR(NOT(ISNUMBER(F164)),N(F164)&lt;=0)),"Mise en service invalide",IF(AND(G164&lt;&gt;"",OR(NOT(ISNUMBER(G164)),N(G164)&lt;0,N(G164)&gt;24)),"Heures d'ouverture entre 0 et 24",IF(AND(I164&lt;&gt;"",OR(NOT(ISNUMBER(I164)),N(I164)&lt;0)),"Relevé du compteur invalide",IF(AND(J164&lt;&gt;"",OR(NOT(ISNUMBER(J164)),N(J164)&lt;0)),"Usage par semaine invalide","OK")))))))))</f>
        <v/>
      </c>
    </row>
    <row r="165">
      <c r="A165" s="65" t="n"/>
      <c r="B165" s="66" t="n"/>
      <c r="C165" s="66" t="n"/>
      <c r="D165" s="66" t="n"/>
      <c r="E165" s="68" t="n"/>
      <c r="F165" s="72" t="n"/>
      <c r="G165" s="71" t="n"/>
      <c r="H165" s="68" t="n"/>
      <c r="I165" s="73" t="n"/>
      <c r="J165" s="73" t="n"/>
      <c r="K165" s="75" t="str">
        <f>IF(A165="","",MAX(N(I165),SUMPRODUCT(MAX((in_eq=A165)*in_done*in_cnum))))</f>
        <v/>
      </c>
      <c r="L165" s="132" t="str">
        <f>IF(A165="","",COUNTIFS(pl_eq,A165,pl_status,"&lt;&gt;Inactif"))</f>
        <v/>
      </c>
      <c r="M165" s="132" t="str">
        <f>IF(A165="","",COUNTIFS(pl_eq,A165,pl_status,"En retard"))</f>
        <v/>
      </c>
      <c r="N165" s="74" t="str">
        <f>IF(A165="","",SUMPRODUCT(MAX((in_eq=A165)*in_done*(in_type="Correctif")*in_dnum)))</f>
        <v/>
      </c>
      <c r="O165" s="81" t="str">
        <f>IF(A165="","",SUMIFS(in_total,in_eq,A165,in_done,1))</f>
        <v/>
      </c>
      <c r="P165" s="79" t="str">
        <f>IF(COUNTA(A165:J165)=0,"",IF(A165="","Code manquant",IF(COUNTIF($A$6:$A$205,A165)&gt;1,"Code en double",IF(B165="","Désignation manquante",IF(AND(E165&lt;&gt;"",E165&lt;&gt;"A",E165&lt;&gt;"B",E165&lt;&gt;"C"),"Criticité : A, B ou C",IF(AND(F165&lt;&gt;"",OR(NOT(ISNUMBER(F165)),N(F165)&lt;=0)),"Mise en service invalide",IF(AND(G165&lt;&gt;"",OR(NOT(ISNUMBER(G165)),N(G165)&lt;0,N(G165)&gt;24)),"Heures d'ouverture entre 0 et 24",IF(AND(I165&lt;&gt;"",OR(NOT(ISNUMBER(I165)),N(I165)&lt;0)),"Relevé du compteur invalide",IF(AND(J165&lt;&gt;"",OR(NOT(ISNUMBER(J165)),N(J165)&lt;0)),"Usage par semaine invalide","OK")))))))))</f>
        <v/>
      </c>
    </row>
    <row r="166">
      <c r="A166" s="65" t="n"/>
      <c r="B166" s="66" t="n"/>
      <c r="C166" s="66" t="n"/>
      <c r="D166" s="66" t="n"/>
      <c r="E166" s="68" t="n"/>
      <c r="F166" s="72" t="n"/>
      <c r="G166" s="71" t="n"/>
      <c r="H166" s="68" t="n"/>
      <c r="I166" s="73" t="n"/>
      <c r="J166" s="73" t="n"/>
      <c r="K166" s="75" t="str">
        <f>IF(A166="","",MAX(N(I166),SUMPRODUCT(MAX((in_eq=A166)*in_done*in_cnum))))</f>
        <v/>
      </c>
      <c r="L166" s="132" t="str">
        <f>IF(A166="","",COUNTIFS(pl_eq,A166,pl_status,"&lt;&gt;Inactif"))</f>
        <v/>
      </c>
      <c r="M166" s="132" t="str">
        <f>IF(A166="","",COUNTIFS(pl_eq,A166,pl_status,"En retard"))</f>
        <v/>
      </c>
      <c r="N166" s="74" t="str">
        <f>IF(A166="","",SUMPRODUCT(MAX((in_eq=A166)*in_done*(in_type="Correctif")*in_dnum)))</f>
        <v/>
      </c>
      <c r="O166" s="81" t="str">
        <f>IF(A166="","",SUMIFS(in_total,in_eq,A166,in_done,1))</f>
        <v/>
      </c>
      <c r="P166" s="79" t="str">
        <f>IF(COUNTA(A166:J166)=0,"",IF(A166="","Code manquant",IF(COUNTIF($A$6:$A$205,A166)&gt;1,"Code en double",IF(B166="","Désignation manquante",IF(AND(E166&lt;&gt;"",E166&lt;&gt;"A",E166&lt;&gt;"B",E166&lt;&gt;"C"),"Criticité : A, B ou C",IF(AND(F166&lt;&gt;"",OR(NOT(ISNUMBER(F166)),N(F166)&lt;=0)),"Mise en service invalide",IF(AND(G166&lt;&gt;"",OR(NOT(ISNUMBER(G166)),N(G166)&lt;0,N(G166)&gt;24)),"Heures d'ouverture entre 0 et 24",IF(AND(I166&lt;&gt;"",OR(NOT(ISNUMBER(I166)),N(I166)&lt;0)),"Relevé du compteur invalide",IF(AND(J166&lt;&gt;"",OR(NOT(ISNUMBER(J166)),N(J166)&lt;0)),"Usage par semaine invalide","OK")))))))))</f>
        <v/>
      </c>
    </row>
    <row r="167">
      <c r="A167" s="65" t="n"/>
      <c r="B167" s="66" t="n"/>
      <c r="C167" s="66" t="n"/>
      <c r="D167" s="66" t="n"/>
      <c r="E167" s="68" t="n"/>
      <c r="F167" s="72" t="n"/>
      <c r="G167" s="71" t="n"/>
      <c r="H167" s="68" t="n"/>
      <c r="I167" s="73" t="n"/>
      <c r="J167" s="73" t="n"/>
      <c r="K167" s="75" t="str">
        <f>IF(A167="","",MAX(N(I167),SUMPRODUCT(MAX((in_eq=A167)*in_done*in_cnum))))</f>
        <v/>
      </c>
      <c r="L167" s="132" t="str">
        <f>IF(A167="","",COUNTIFS(pl_eq,A167,pl_status,"&lt;&gt;Inactif"))</f>
        <v/>
      </c>
      <c r="M167" s="132" t="str">
        <f>IF(A167="","",COUNTIFS(pl_eq,A167,pl_status,"En retard"))</f>
        <v/>
      </c>
      <c r="N167" s="74" t="str">
        <f>IF(A167="","",SUMPRODUCT(MAX((in_eq=A167)*in_done*(in_type="Correctif")*in_dnum)))</f>
        <v/>
      </c>
      <c r="O167" s="81" t="str">
        <f>IF(A167="","",SUMIFS(in_total,in_eq,A167,in_done,1))</f>
        <v/>
      </c>
      <c r="P167" s="79" t="str">
        <f>IF(COUNTA(A167:J167)=0,"",IF(A167="","Code manquant",IF(COUNTIF($A$6:$A$205,A167)&gt;1,"Code en double",IF(B167="","Désignation manquante",IF(AND(E167&lt;&gt;"",E167&lt;&gt;"A",E167&lt;&gt;"B",E167&lt;&gt;"C"),"Criticité : A, B ou C",IF(AND(F167&lt;&gt;"",OR(NOT(ISNUMBER(F167)),N(F167)&lt;=0)),"Mise en service invalide",IF(AND(G167&lt;&gt;"",OR(NOT(ISNUMBER(G167)),N(G167)&lt;0,N(G167)&gt;24)),"Heures d'ouverture entre 0 et 24",IF(AND(I167&lt;&gt;"",OR(NOT(ISNUMBER(I167)),N(I167)&lt;0)),"Relevé du compteur invalide",IF(AND(J167&lt;&gt;"",OR(NOT(ISNUMBER(J167)),N(J167)&lt;0)),"Usage par semaine invalide","OK")))))))))</f>
        <v/>
      </c>
    </row>
    <row r="168">
      <c r="A168" s="65" t="n"/>
      <c r="B168" s="66" t="n"/>
      <c r="C168" s="66" t="n"/>
      <c r="D168" s="66" t="n"/>
      <c r="E168" s="68" t="n"/>
      <c r="F168" s="72" t="n"/>
      <c r="G168" s="71" t="n"/>
      <c r="H168" s="68" t="n"/>
      <c r="I168" s="73" t="n"/>
      <c r="J168" s="73" t="n"/>
      <c r="K168" s="75" t="str">
        <f>IF(A168="","",MAX(N(I168),SUMPRODUCT(MAX((in_eq=A168)*in_done*in_cnum))))</f>
        <v/>
      </c>
      <c r="L168" s="132" t="str">
        <f>IF(A168="","",COUNTIFS(pl_eq,A168,pl_status,"&lt;&gt;Inactif"))</f>
        <v/>
      </c>
      <c r="M168" s="132" t="str">
        <f>IF(A168="","",COUNTIFS(pl_eq,A168,pl_status,"En retard"))</f>
        <v/>
      </c>
      <c r="N168" s="74" t="str">
        <f>IF(A168="","",SUMPRODUCT(MAX((in_eq=A168)*in_done*(in_type="Correctif")*in_dnum)))</f>
        <v/>
      </c>
      <c r="O168" s="81" t="str">
        <f>IF(A168="","",SUMIFS(in_total,in_eq,A168,in_done,1))</f>
        <v/>
      </c>
      <c r="P168" s="79" t="str">
        <f>IF(COUNTA(A168:J168)=0,"",IF(A168="","Code manquant",IF(COUNTIF($A$6:$A$205,A168)&gt;1,"Code en double",IF(B168="","Désignation manquante",IF(AND(E168&lt;&gt;"",E168&lt;&gt;"A",E168&lt;&gt;"B",E168&lt;&gt;"C"),"Criticité : A, B ou C",IF(AND(F168&lt;&gt;"",OR(NOT(ISNUMBER(F168)),N(F168)&lt;=0)),"Mise en service invalide",IF(AND(G168&lt;&gt;"",OR(NOT(ISNUMBER(G168)),N(G168)&lt;0,N(G168)&gt;24)),"Heures d'ouverture entre 0 et 24",IF(AND(I168&lt;&gt;"",OR(NOT(ISNUMBER(I168)),N(I168)&lt;0)),"Relevé du compteur invalide",IF(AND(J168&lt;&gt;"",OR(NOT(ISNUMBER(J168)),N(J168)&lt;0)),"Usage par semaine invalide","OK")))))))))</f>
        <v/>
      </c>
    </row>
    <row r="169">
      <c r="A169" s="65" t="n"/>
      <c r="B169" s="66" t="n"/>
      <c r="C169" s="66" t="n"/>
      <c r="D169" s="66" t="n"/>
      <c r="E169" s="68" t="n"/>
      <c r="F169" s="72" t="n"/>
      <c r="G169" s="71" t="n"/>
      <c r="H169" s="68" t="n"/>
      <c r="I169" s="73" t="n"/>
      <c r="J169" s="73" t="n"/>
      <c r="K169" s="75" t="str">
        <f>IF(A169="","",MAX(N(I169),SUMPRODUCT(MAX((in_eq=A169)*in_done*in_cnum))))</f>
        <v/>
      </c>
      <c r="L169" s="132" t="str">
        <f>IF(A169="","",COUNTIFS(pl_eq,A169,pl_status,"&lt;&gt;Inactif"))</f>
        <v/>
      </c>
      <c r="M169" s="132" t="str">
        <f>IF(A169="","",COUNTIFS(pl_eq,A169,pl_status,"En retard"))</f>
        <v/>
      </c>
      <c r="N169" s="74" t="str">
        <f>IF(A169="","",SUMPRODUCT(MAX((in_eq=A169)*in_done*(in_type="Correctif")*in_dnum)))</f>
        <v/>
      </c>
      <c r="O169" s="81" t="str">
        <f>IF(A169="","",SUMIFS(in_total,in_eq,A169,in_done,1))</f>
        <v/>
      </c>
      <c r="P169" s="79" t="str">
        <f>IF(COUNTA(A169:J169)=0,"",IF(A169="","Code manquant",IF(COUNTIF($A$6:$A$205,A169)&gt;1,"Code en double",IF(B169="","Désignation manquante",IF(AND(E169&lt;&gt;"",E169&lt;&gt;"A",E169&lt;&gt;"B",E169&lt;&gt;"C"),"Criticité : A, B ou C",IF(AND(F169&lt;&gt;"",OR(NOT(ISNUMBER(F169)),N(F169)&lt;=0)),"Mise en service invalide",IF(AND(G169&lt;&gt;"",OR(NOT(ISNUMBER(G169)),N(G169)&lt;0,N(G169)&gt;24)),"Heures d'ouverture entre 0 et 24",IF(AND(I169&lt;&gt;"",OR(NOT(ISNUMBER(I169)),N(I169)&lt;0)),"Relevé du compteur invalide",IF(AND(J169&lt;&gt;"",OR(NOT(ISNUMBER(J169)),N(J169)&lt;0)),"Usage par semaine invalide","OK")))))))))</f>
        <v/>
      </c>
    </row>
    <row r="170">
      <c r="A170" s="65" t="n"/>
      <c r="B170" s="66" t="n"/>
      <c r="C170" s="66" t="n"/>
      <c r="D170" s="66" t="n"/>
      <c r="E170" s="68" t="n"/>
      <c r="F170" s="72" t="n"/>
      <c r="G170" s="71" t="n"/>
      <c r="H170" s="68" t="n"/>
      <c r="I170" s="73" t="n"/>
      <c r="J170" s="73" t="n"/>
      <c r="K170" s="75" t="str">
        <f>IF(A170="","",MAX(N(I170),SUMPRODUCT(MAX((in_eq=A170)*in_done*in_cnum))))</f>
        <v/>
      </c>
      <c r="L170" s="132" t="str">
        <f>IF(A170="","",COUNTIFS(pl_eq,A170,pl_status,"&lt;&gt;Inactif"))</f>
        <v/>
      </c>
      <c r="M170" s="132" t="str">
        <f>IF(A170="","",COUNTIFS(pl_eq,A170,pl_status,"En retard"))</f>
        <v/>
      </c>
      <c r="N170" s="74" t="str">
        <f>IF(A170="","",SUMPRODUCT(MAX((in_eq=A170)*in_done*(in_type="Correctif")*in_dnum)))</f>
        <v/>
      </c>
      <c r="O170" s="81" t="str">
        <f>IF(A170="","",SUMIFS(in_total,in_eq,A170,in_done,1))</f>
        <v/>
      </c>
      <c r="P170" s="79" t="str">
        <f>IF(COUNTA(A170:J170)=0,"",IF(A170="","Code manquant",IF(COUNTIF($A$6:$A$205,A170)&gt;1,"Code en double",IF(B170="","Désignation manquante",IF(AND(E170&lt;&gt;"",E170&lt;&gt;"A",E170&lt;&gt;"B",E170&lt;&gt;"C"),"Criticité : A, B ou C",IF(AND(F170&lt;&gt;"",OR(NOT(ISNUMBER(F170)),N(F170)&lt;=0)),"Mise en service invalide",IF(AND(G170&lt;&gt;"",OR(NOT(ISNUMBER(G170)),N(G170)&lt;0,N(G170)&gt;24)),"Heures d'ouverture entre 0 et 24",IF(AND(I170&lt;&gt;"",OR(NOT(ISNUMBER(I170)),N(I170)&lt;0)),"Relevé du compteur invalide",IF(AND(J170&lt;&gt;"",OR(NOT(ISNUMBER(J170)),N(J170)&lt;0)),"Usage par semaine invalide","OK")))))))))</f>
        <v/>
      </c>
    </row>
    <row r="171">
      <c r="A171" s="65" t="n"/>
      <c r="B171" s="66" t="n"/>
      <c r="C171" s="66" t="n"/>
      <c r="D171" s="66" t="n"/>
      <c r="E171" s="68" t="n"/>
      <c r="F171" s="72" t="n"/>
      <c r="G171" s="71" t="n"/>
      <c r="H171" s="68" t="n"/>
      <c r="I171" s="73" t="n"/>
      <c r="J171" s="73" t="n"/>
      <c r="K171" s="75" t="str">
        <f>IF(A171="","",MAX(N(I171),SUMPRODUCT(MAX((in_eq=A171)*in_done*in_cnum))))</f>
        <v/>
      </c>
      <c r="L171" s="132" t="str">
        <f>IF(A171="","",COUNTIFS(pl_eq,A171,pl_status,"&lt;&gt;Inactif"))</f>
        <v/>
      </c>
      <c r="M171" s="132" t="str">
        <f>IF(A171="","",COUNTIFS(pl_eq,A171,pl_status,"En retard"))</f>
        <v/>
      </c>
      <c r="N171" s="74" t="str">
        <f>IF(A171="","",SUMPRODUCT(MAX((in_eq=A171)*in_done*(in_type="Correctif")*in_dnum)))</f>
        <v/>
      </c>
      <c r="O171" s="81" t="str">
        <f>IF(A171="","",SUMIFS(in_total,in_eq,A171,in_done,1))</f>
        <v/>
      </c>
      <c r="P171" s="79" t="str">
        <f>IF(COUNTA(A171:J171)=0,"",IF(A171="","Code manquant",IF(COUNTIF($A$6:$A$205,A171)&gt;1,"Code en double",IF(B171="","Désignation manquante",IF(AND(E171&lt;&gt;"",E171&lt;&gt;"A",E171&lt;&gt;"B",E171&lt;&gt;"C"),"Criticité : A, B ou C",IF(AND(F171&lt;&gt;"",OR(NOT(ISNUMBER(F171)),N(F171)&lt;=0)),"Mise en service invalide",IF(AND(G171&lt;&gt;"",OR(NOT(ISNUMBER(G171)),N(G171)&lt;0,N(G171)&gt;24)),"Heures d'ouverture entre 0 et 24",IF(AND(I171&lt;&gt;"",OR(NOT(ISNUMBER(I171)),N(I171)&lt;0)),"Relevé du compteur invalide",IF(AND(J171&lt;&gt;"",OR(NOT(ISNUMBER(J171)),N(J171)&lt;0)),"Usage par semaine invalide","OK")))))))))</f>
        <v/>
      </c>
    </row>
    <row r="172">
      <c r="A172" s="65" t="n"/>
      <c r="B172" s="66" t="n"/>
      <c r="C172" s="66" t="n"/>
      <c r="D172" s="66" t="n"/>
      <c r="E172" s="68" t="n"/>
      <c r="F172" s="72" t="n"/>
      <c r="G172" s="71" t="n"/>
      <c r="H172" s="68" t="n"/>
      <c r="I172" s="73" t="n"/>
      <c r="J172" s="73" t="n"/>
      <c r="K172" s="75" t="str">
        <f>IF(A172="","",MAX(N(I172),SUMPRODUCT(MAX((in_eq=A172)*in_done*in_cnum))))</f>
        <v/>
      </c>
      <c r="L172" s="132" t="str">
        <f>IF(A172="","",COUNTIFS(pl_eq,A172,pl_status,"&lt;&gt;Inactif"))</f>
        <v/>
      </c>
      <c r="M172" s="132" t="str">
        <f>IF(A172="","",COUNTIFS(pl_eq,A172,pl_status,"En retard"))</f>
        <v/>
      </c>
      <c r="N172" s="74" t="str">
        <f>IF(A172="","",SUMPRODUCT(MAX((in_eq=A172)*in_done*(in_type="Correctif")*in_dnum)))</f>
        <v/>
      </c>
      <c r="O172" s="81" t="str">
        <f>IF(A172="","",SUMIFS(in_total,in_eq,A172,in_done,1))</f>
        <v/>
      </c>
      <c r="P172" s="79" t="str">
        <f>IF(COUNTA(A172:J172)=0,"",IF(A172="","Code manquant",IF(COUNTIF($A$6:$A$205,A172)&gt;1,"Code en double",IF(B172="","Désignation manquante",IF(AND(E172&lt;&gt;"",E172&lt;&gt;"A",E172&lt;&gt;"B",E172&lt;&gt;"C"),"Criticité : A, B ou C",IF(AND(F172&lt;&gt;"",OR(NOT(ISNUMBER(F172)),N(F172)&lt;=0)),"Mise en service invalide",IF(AND(G172&lt;&gt;"",OR(NOT(ISNUMBER(G172)),N(G172)&lt;0,N(G172)&gt;24)),"Heures d'ouverture entre 0 et 24",IF(AND(I172&lt;&gt;"",OR(NOT(ISNUMBER(I172)),N(I172)&lt;0)),"Relevé du compteur invalide",IF(AND(J172&lt;&gt;"",OR(NOT(ISNUMBER(J172)),N(J172)&lt;0)),"Usage par semaine invalide","OK")))))))))</f>
        <v/>
      </c>
    </row>
    <row r="173">
      <c r="A173" s="65" t="n"/>
      <c r="B173" s="66" t="n"/>
      <c r="C173" s="66" t="n"/>
      <c r="D173" s="66" t="n"/>
      <c r="E173" s="68" t="n"/>
      <c r="F173" s="72" t="n"/>
      <c r="G173" s="71" t="n"/>
      <c r="H173" s="68" t="n"/>
      <c r="I173" s="73" t="n"/>
      <c r="J173" s="73" t="n"/>
      <c r="K173" s="75" t="str">
        <f>IF(A173="","",MAX(N(I173),SUMPRODUCT(MAX((in_eq=A173)*in_done*in_cnum))))</f>
        <v/>
      </c>
      <c r="L173" s="132" t="str">
        <f>IF(A173="","",COUNTIFS(pl_eq,A173,pl_status,"&lt;&gt;Inactif"))</f>
        <v/>
      </c>
      <c r="M173" s="132" t="str">
        <f>IF(A173="","",COUNTIFS(pl_eq,A173,pl_status,"En retard"))</f>
        <v/>
      </c>
      <c r="N173" s="74" t="str">
        <f>IF(A173="","",SUMPRODUCT(MAX((in_eq=A173)*in_done*(in_type="Correctif")*in_dnum)))</f>
        <v/>
      </c>
      <c r="O173" s="81" t="str">
        <f>IF(A173="","",SUMIFS(in_total,in_eq,A173,in_done,1))</f>
        <v/>
      </c>
      <c r="P173" s="79" t="str">
        <f>IF(COUNTA(A173:J173)=0,"",IF(A173="","Code manquant",IF(COUNTIF($A$6:$A$205,A173)&gt;1,"Code en double",IF(B173="","Désignation manquante",IF(AND(E173&lt;&gt;"",E173&lt;&gt;"A",E173&lt;&gt;"B",E173&lt;&gt;"C"),"Criticité : A, B ou C",IF(AND(F173&lt;&gt;"",OR(NOT(ISNUMBER(F173)),N(F173)&lt;=0)),"Mise en service invalide",IF(AND(G173&lt;&gt;"",OR(NOT(ISNUMBER(G173)),N(G173)&lt;0,N(G173)&gt;24)),"Heures d'ouverture entre 0 et 24",IF(AND(I173&lt;&gt;"",OR(NOT(ISNUMBER(I173)),N(I173)&lt;0)),"Relevé du compteur invalide",IF(AND(J173&lt;&gt;"",OR(NOT(ISNUMBER(J173)),N(J173)&lt;0)),"Usage par semaine invalide","OK")))))))))</f>
        <v/>
      </c>
    </row>
    <row r="174">
      <c r="A174" s="65" t="n"/>
      <c r="B174" s="66" t="n"/>
      <c r="C174" s="66" t="n"/>
      <c r="D174" s="66" t="n"/>
      <c r="E174" s="68" t="n"/>
      <c r="F174" s="72" t="n"/>
      <c r="G174" s="71" t="n"/>
      <c r="H174" s="68" t="n"/>
      <c r="I174" s="73" t="n"/>
      <c r="J174" s="73" t="n"/>
      <c r="K174" s="75" t="str">
        <f>IF(A174="","",MAX(N(I174),SUMPRODUCT(MAX((in_eq=A174)*in_done*in_cnum))))</f>
        <v/>
      </c>
      <c r="L174" s="132" t="str">
        <f>IF(A174="","",COUNTIFS(pl_eq,A174,pl_status,"&lt;&gt;Inactif"))</f>
        <v/>
      </c>
      <c r="M174" s="132" t="str">
        <f>IF(A174="","",COUNTIFS(pl_eq,A174,pl_status,"En retard"))</f>
        <v/>
      </c>
      <c r="N174" s="74" t="str">
        <f>IF(A174="","",SUMPRODUCT(MAX((in_eq=A174)*in_done*(in_type="Correctif")*in_dnum)))</f>
        <v/>
      </c>
      <c r="O174" s="81" t="str">
        <f>IF(A174="","",SUMIFS(in_total,in_eq,A174,in_done,1))</f>
        <v/>
      </c>
      <c r="P174" s="79" t="str">
        <f>IF(COUNTA(A174:J174)=0,"",IF(A174="","Code manquant",IF(COUNTIF($A$6:$A$205,A174)&gt;1,"Code en double",IF(B174="","Désignation manquante",IF(AND(E174&lt;&gt;"",E174&lt;&gt;"A",E174&lt;&gt;"B",E174&lt;&gt;"C"),"Criticité : A, B ou C",IF(AND(F174&lt;&gt;"",OR(NOT(ISNUMBER(F174)),N(F174)&lt;=0)),"Mise en service invalide",IF(AND(G174&lt;&gt;"",OR(NOT(ISNUMBER(G174)),N(G174)&lt;0,N(G174)&gt;24)),"Heures d'ouverture entre 0 et 24",IF(AND(I174&lt;&gt;"",OR(NOT(ISNUMBER(I174)),N(I174)&lt;0)),"Relevé du compteur invalide",IF(AND(J174&lt;&gt;"",OR(NOT(ISNUMBER(J174)),N(J174)&lt;0)),"Usage par semaine invalide","OK")))))))))</f>
        <v/>
      </c>
    </row>
    <row r="175">
      <c r="A175" s="65" t="n"/>
      <c r="B175" s="66" t="n"/>
      <c r="C175" s="66" t="n"/>
      <c r="D175" s="66" t="n"/>
      <c r="E175" s="68" t="n"/>
      <c r="F175" s="72" t="n"/>
      <c r="G175" s="71" t="n"/>
      <c r="H175" s="68" t="n"/>
      <c r="I175" s="73" t="n"/>
      <c r="J175" s="73" t="n"/>
      <c r="K175" s="75" t="str">
        <f>IF(A175="","",MAX(N(I175),SUMPRODUCT(MAX((in_eq=A175)*in_done*in_cnum))))</f>
        <v/>
      </c>
      <c r="L175" s="132" t="str">
        <f>IF(A175="","",COUNTIFS(pl_eq,A175,pl_status,"&lt;&gt;Inactif"))</f>
        <v/>
      </c>
      <c r="M175" s="132" t="str">
        <f>IF(A175="","",COUNTIFS(pl_eq,A175,pl_status,"En retard"))</f>
        <v/>
      </c>
      <c r="N175" s="74" t="str">
        <f>IF(A175="","",SUMPRODUCT(MAX((in_eq=A175)*in_done*(in_type="Correctif")*in_dnum)))</f>
        <v/>
      </c>
      <c r="O175" s="81" t="str">
        <f>IF(A175="","",SUMIFS(in_total,in_eq,A175,in_done,1))</f>
        <v/>
      </c>
      <c r="P175" s="79" t="str">
        <f>IF(COUNTA(A175:J175)=0,"",IF(A175="","Code manquant",IF(COUNTIF($A$6:$A$205,A175)&gt;1,"Code en double",IF(B175="","Désignation manquante",IF(AND(E175&lt;&gt;"",E175&lt;&gt;"A",E175&lt;&gt;"B",E175&lt;&gt;"C"),"Criticité : A, B ou C",IF(AND(F175&lt;&gt;"",OR(NOT(ISNUMBER(F175)),N(F175)&lt;=0)),"Mise en service invalide",IF(AND(G175&lt;&gt;"",OR(NOT(ISNUMBER(G175)),N(G175)&lt;0,N(G175)&gt;24)),"Heures d'ouverture entre 0 et 24",IF(AND(I175&lt;&gt;"",OR(NOT(ISNUMBER(I175)),N(I175)&lt;0)),"Relevé du compteur invalide",IF(AND(J175&lt;&gt;"",OR(NOT(ISNUMBER(J175)),N(J175)&lt;0)),"Usage par semaine invalide","OK")))))))))</f>
        <v/>
      </c>
    </row>
    <row r="176">
      <c r="A176" s="65" t="n"/>
      <c r="B176" s="66" t="n"/>
      <c r="C176" s="66" t="n"/>
      <c r="D176" s="66" t="n"/>
      <c r="E176" s="68" t="n"/>
      <c r="F176" s="72" t="n"/>
      <c r="G176" s="71" t="n"/>
      <c r="H176" s="68" t="n"/>
      <c r="I176" s="73" t="n"/>
      <c r="J176" s="73" t="n"/>
      <c r="K176" s="75" t="str">
        <f>IF(A176="","",MAX(N(I176),SUMPRODUCT(MAX((in_eq=A176)*in_done*in_cnum))))</f>
        <v/>
      </c>
      <c r="L176" s="132" t="str">
        <f>IF(A176="","",COUNTIFS(pl_eq,A176,pl_status,"&lt;&gt;Inactif"))</f>
        <v/>
      </c>
      <c r="M176" s="132" t="str">
        <f>IF(A176="","",COUNTIFS(pl_eq,A176,pl_status,"En retard"))</f>
        <v/>
      </c>
      <c r="N176" s="74" t="str">
        <f>IF(A176="","",SUMPRODUCT(MAX((in_eq=A176)*in_done*(in_type="Correctif")*in_dnum)))</f>
        <v/>
      </c>
      <c r="O176" s="81" t="str">
        <f>IF(A176="","",SUMIFS(in_total,in_eq,A176,in_done,1))</f>
        <v/>
      </c>
      <c r="P176" s="79" t="str">
        <f>IF(COUNTA(A176:J176)=0,"",IF(A176="","Code manquant",IF(COUNTIF($A$6:$A$205,A176)&gt;1,"Code en double",IF(B176="","Désignation manquante",IF(AND(E176&lt;&gt;"",E176&lt;&gt;"A",E176&lt;&gt;"B",E176&lt;&gt;"C"),"Criticité : A, B ou C",IF(AND(F176&lt;&gt;"",OR(NOT(ISNUMBER(F176)),N(F176)&lt;=0)),"Mise en service invalide",IF(AND(G176&lt;&gt;"",OR(NOT(ISNUMBER(G176)),N(G176)&lt;0,N(G176)&gt;24)),"Heures d'ouverture entre 0 et 24",IF(AND(I176&lt;&gt;"",OR(NOT(ISNUMBER(I176)),N(I176)&lt;0)),"Relevé du compteur invalide",IF(AND(J176&lt;&gt;"",OR(NOT(ISNUMBER(J176)),N(J176)&lt;0)),"Usage par semaine invalide","OK")))))))))</f>
        <v/>
      </c>
    </row>
    <row r="177">
      <c r="A177" s="65" t="n"/>
      <c r="B177" s="66" t="n"/>
      <c r="C177" s="66" t="n"/>
      <c r="D177" s="66" t="n"/>
      <c r="E177" s="68" t="n"/>
      <c r="F177" s="72" t="n"/>
      <c r="G177" s="71" t="n"/>
      <c r="H177" s="68" t="n"/>
      <c r="I177" s="73" t="n"/>
      <c r="J177" s="73" t="n"/>
      <c r="K177" s="75" t="str">
        <f>IF(A177="","",MAX(N(I177),SUMPRODUCT(MAX((in_eq=A177)*in_done*in_cnum))))</f>
        <v/>
      </c>
      <c r="L177" s="132" t="str">
        <f>IF(A177="","",COUNTIFS(pl_eq,A177,pl_status,"&lt;&gt;Inactif"))</f>
        <v/>
      </c>
      <c r="M177" s="132" t="str">
        <f>IF(A177="","",COUNTIFS(pl_eq,A177,pl_status,"En retard"))</f>
        <v/>
      </c>
      <c r="N177" s="74" t="str">
        <f>IF(A177="","",SUMPRODUCT(MAX((in_eq=A177)*in_done*(in_type="Correctif")*in_dnum)))</f>
        <v/>
      </c>
      <c r="O177" s="81" t="str">
        <f>IF(A177="","",SUMIFS(in_total,in_eq,A177,in_done,1))</f>
        <v/>
      </c>
      <c r="P177" s="79" t="str">
        <f>IF(COUNTA(A177:J177)=0,"",IF(A177="","Code manquant",IF(COUNTIF($A$6:$A$205,A177)&gt;1,"Code en double",IF(B177="","Désignation manquante",IF(AND(E177&lt;&gt;"",E177&lt;&gt;"A",E177&lt;&gt;"B",E177&lt;&gt;"C"),"Criticité : A, B ou C",IF(AND(F177&lt;&gt;"",OR(NOT(ISNUMBER(F177)),N(F177)&lt;=0)),"Mise en service invalide",IF(AND(G177&lt;&gt;"",OR(NOT(ISNUMBER(G177)),N(G177)&lt;0,N(G177)&gt;24)),"Heures d'ouverture entre 0 et 24",IF(AND(I177&lt;&gt;"",OR(NOT(ISNUMBER(I177)),N(I177)&lt;0)),"Relevé du compteur invalide",IF(AND(J177&lt;&gt;"",OR(NOT(ISNUMBER(J177)),N(J177)&lt;0)),"Usage par semaine invalide","OK")))))))))</f>
        <v/>
      </c>
    </row>
    <row r="178">
      <c r="A178" s="65" t="n"/>
      <c r="B178" s="66" t="n"/>
      <c r="C178" s="66" t="n"/>
      <c r="D178" s="66" t="n"/>
      <c r="E178" s="68" t="n"/>
      <c r="F178" s="72" t="n"/>
      <c r="G178" s="71" t="n"/>
      <c r="H178" s="68" t="n"/>
      <c r="I178" s="73" t="n"/>
      <c r="J178" s="73" t="n"/>
      <c r="K178" s="75" t="str">
        <f>IF(A178="","",MAX(N(I178),SUMPRODUCT(MAX((in_eq=A178)*in_done*in_cnum))))</f>
        <v/>
      </c>
      <c r="L178" s="132" t="str">
        <f>IF(A178="","",COUNTIFS(pl_eq,A178,pl_status,"&lt;&gt;Inactif"))</f>
        <v/>
      </c>
      <c r="M178" s="132" t="str">
        <f>IF(A178="","",COUNTIFS(pl_eq,A178,pl_status,"En retard"))</f>
        <v/>
      </c>
      <c r="N178" s="74" t="str">
        <f>IF(A178="","",SUMPRODUCT(MAX((in_eq=A178)*in_done*(in_type="Correctif")*in_dnum)))</f>
        <v/>
      </c>
      <c r="O178" s="81" t="str">
        <f>IF(A178="","",SUMIFS(in_total,in_eq,A178,in_done,1))</f>
        <v/>
      </c>
      <c r="P178" s="79" t="str">
        <f>IF(COUNTA(A178:J178)=0,"",IF(A178="","Code manquant",IF(COUNTIF($A$6:$A$205,A178)&gt;1,"Code en double",IF(B178="","Désignation manquante",IF(AND(E178&lt;&gt;"",E178&lt;&gt;"A",E178&lt;&gt;"B",E178&lt;&gt;"C"),"Criticité : A, B ou C",IF(AND(F178&lt;&gt;"",OR(NOT(ISNUMBER(F178)),N(F178)&lt;=0)),"Mise en service invalide",IF(AND(G178&lt;&gt;"",OR(NOT(ISNUMBER(G178)),N(G178)&lt;0,N(G178)&gt;24)),"Heures d'ouverture entre 0 et 24",IF(AND(I178&lt;&gt;"",OR(NOT(ISNUMBER(I178)),N(I178)&lt;0)),"Relevé du compteur invalide",IF(AND(J178&lt;&gt;"",OR(NOT(ISNUMBER(J178)),N(J178)&lt;0)),"Usage par semaine invalide","OK")))))))))</f>
        <v/>
      </c>
    </row>
    <row r="179">
      <c r="A179" s="65" t="n"/>
      <c r="B179" s="66" t="n"/>
      <c r="C179" s="66" t="n"/>
      <c r="D179" s="66" t="n"/>
      <c r="E179" s="68" t="n"/>
      <c r="F179" s="72" t="n"/>
      <c r="G179" s="71" t="n"/>
      <c r="H179" s="68" t="n"/>
      <c r="I179" s="73" t="n"/>
      <c r="J179" s="73" t="n"/>
      <c r="K179" s="75" t="str">
        <f>IF(A179="","",MAX(N(I179),SUMPRODUCT(MAX((in_eq=A179)*in_done*in_cnum))))</f>
        <v/>
      </c>
      <c r="L179" s="132" t="str">
        <f>IF(A179="","",COUNTIFS(pl_eq,A179,pl_status,"&lt;&gt;Inactif"))</f>
        <v/>
      </c>
      <c r="M179" s="132" t="str">
        <f>IF(A179="","",COUNTIFS(pl_eq,A179,pl_status,"En retard"))</f>
        <v/>
      </c>
      <c r="N179" s="74" t="str">
        <f>IF(A179="","",SUMPRODUCT(MAX((in_eq=A179)*in_done*(in_type="Correctif")*in_dnum)))</f>
        <v/>
      </c>
      <c r="O179" s="81" t="str">
        <f>IF(A179="","",SUMIFS(in_total,in_eq,A179,in_done,1))</f>
        <v/>
      </c>
      <c r="P179" s="79" t="str">
        <f>IF(COUNTA(A179:J179)=0,"",IF(A179="","Code manquant",IF(COUNTIF($A$6:$A$205,A179)&gt;1,"Code en double",IF(B179="","Désignation manquante",IF(AND(E179&lt;&gt;"",E179&lt;&gt;"A",E179&lt;&gt;"B",E179&lt;&gt;"C"),"Criticité : A, B ou C",IF(AND(F179&lt;&gt;"",OR(NOT(ISNUMBER(F179)),N(F179)&lt;=0)),"Mise en service invalide",IF(AND(G179&lt;&gt;"",OR(NOT(ISNUMBER(G179)),N(G179)&lt;0,N(G179)&gt;24)),"Heures d'ouverture entre 0 et 24",IF(AND(I179&lt;&gt;"",OR(NOT(ISNUMBER(I179)),N(I179)&lt;0)),"Relevé du compteur invalide",IF(AND(J179&lt;&gt;"",OR(NOT(ISNUMBER(J179)),N(J179)&lt;0)),"Usage par semaine invalide","OK")))))))))</f>
        <v/>
      </c>
    </row>
    <row r="180">
      <c r="A180" s="65" t="n"/>
      <c r="B180" s="66" t="n"/>
      <c r="C180" s="66" t="n"/>
      <c r="D180" s="66" t="n"/>
      <c r="E180" s="68" t="n"/>
      <c r="F180" s="72" t="n"/>
      <c r="G180" s="71" t="n"/>
      <c r="H180" s="68" t="n"/>
      <c r="I180" s="73" t="n"/>
      <c r="J180" s="73" t="n"/>
      <c r="K180" s="75" t="str">
        <f>IF(A180="","",MAX(N(I180),SUMPRODUCT(MAX((in_eq=A180)*in_done*in_cnum))))</f>
        <v/>
      </c>
      <c r="L180" s="132" t="str">
        <f>IF(A180="","",COUNTIFS(pl_eq,A180,pl_status,"&lt;&gt;Inactif"))</f>
        <v/>
      </c>
      <c r="M180" s="132" t="str">
        <f>IF(A180="","",COUNTIFS(pl_eq,A180,pl_status,"En retard"))</f>
        <v/>
      </c>
      <c r="N180" s="74" t="str">
        <f>IF(A180="","",SUMPRODUCT(MAX((in_eq=A180)*in_done*(in_type="Correctif")*in_dnum)))</f>
        <v/>
      </c>
      <c r="O180" s="81" t="str">
        <f>IF(A180="","",SUMIFS(in_total,in_eq,A180,in_done,1))</f>
        <v/>
      </c>
      <c r="P180" s="79" t="str">
        <f>IF(COUNTA(A180:J180)=0,"",IF(A180="","Code manquant",IF(COUNTIF($A$6:$A$205,A180)&gt;1,"Code en double",IF(B180="","Désignation manquante",IF(AND(E180&lt;&gt;"",E180&lt;&gt;"A",E180&lt;&gt;"B",E180&lt;&gt;"C"),"Criticité : A, B ou C",IF(AND(F180&lt;&gt;"",OR(NOT(ISNUMBER(F180)),N(F180)&lt;=0)),"Mise en service invalide",IF(AND(G180&lt;&gt;"",OR(NOT(ISNUMBER(G180)),N(G180)&lt;0,N(G180)&gt;24)),"Heures d'ouverture entre 0 et 24",IF(AND(I180&lt;&gt;"",OR(NOT(ISNUMBER(I180)),N(I180)&lt;0)),"Relevé du compteur invalide",IF(AND(J180&lt;&gt;"",OR(NOT(ISNUMBER(J180)),N(J180)&lt;0)),"Usage par semaine invalide","OK")))))))))</f>
        <v/>
      </c>
    </row>
    <row r="181">
      <c r="A181" s="65" t="n"/>
      <c r="B181" s="66" t="n"/>
      <c r="C181" s="66" t="n"/>
      <c r="D181" s="66" t="n"/>
      <c r="E181" s="68" t="n"/>
      <c r="F181" s="72" t="n"/>
      <c r="G181" s="71" t="n"/>
      <c r="H181" s="68" t="n"/>
      <c r="I181" s="73" t="n"/>
      <c r="J181" s="73" t="n"/>
      <c r="K181" s="75" t="str">
        <f>IF(A181="","",MAX(N(I181),SUMPRODUCT(MAX((in_eq=A181)*in_done*in_cnum))))</f>
        <v/>
      </c>
      <c r="L181" s="132" t="str">
        <f>IF(A181="","",COUNTIFS(pl_eq,A181,pl_status,"&lt;&gt;Inactif"))</f>
        <v/>
      </c>
      <c r="M181" s="132" t="str">
        <f>IF(A181="","",COUNTIFS(pl_eq,A181,pl_status,"En retard"))</f>
        <v/>
      </c>
      <c r="N181" s="74" t="str">
        <f>IF(A181="","",SUMPRODUCT(MAX((in_eq=A181)*in_done*(in_type="Correctif")*in_dnum)))</f>
        <v/>
      </c>
      <c r="O181" s="81" t="str">
        <f>IF(A181="","",SUMIFS(in_total,in_eq,A181,in_done,1))</f>
        <v/>
      </c>
      <c r="P181" s="79" t="str">
        <f>IF(COUNTA(A181:J181)=0,"",IF(A181="","Code manquant",IF(COUNTIF($A$6:$A$205,A181)&gt;1,"Code en double",IF(B181="","Désignation manquante",IF(AND(E181&lt;&gt;"",E181&lt;&gt;"A",E181&lt;&gt;"B",E181&lt;&gt;"C"),"Criticité : A, B ou C",IF(AND(F181&lt;&gt;"",OR(NOT(ISNUMBER(F181)),N(F181)&lt;=0)),"Mise en service invalide",IF(AND(G181&lt;&gt;"",OR(NOT(ISNUMBER(G181)),N(G181)&lt;0,N(G181)&gt;24)),"Heures d'ouverture entre 0 et 24",IF(AND(I181&lt;&gt;"",OR(NOT(ISNUMBER(I181)),N(I181)&lt;0)),"Relevé du compteur invalide",IF(AND(J181&lt;&gt;"",OR(NOT(ISNUMBER(J181)),N(J181)&lt;0)),"Usage par semaine invalide","OK")))))))))</f>
        <v/>
      </c>
    </row>
    <row r="182">
      <c r="A182" s="65" t="n"/>
      <c r="B182" s="66" t="n"/>
      <c r="C182" s="66" t="n"/>
      <c r="D182" s="66" t="n"/>
      <c r="E182" s="68" t="n"/>
      <c r="F182" s="72" t="n"/>
      <c r="G182" s="71" t="n"/>
      <c r="H182" s="68" t="n"/>
      <c r="I182" s="73" t="n"/>
      <c r="J182" s="73" t="n"/>
      <c r="K182" s="75" t="str">
        <f>IF(A182="","",MAX(N(I182),SUMPRODUCT(MAX((in_eq=A182)*in_done*in_cnum))))</f>
        <v/>
      </c>
      <c r="L182" s="132" t="str">
        <f>IF(A182="","",COUNTIFS(pl_eq,A182,pl_status,"&lt;&gt;Inactif"))</f>
        <v/>
      </c>
      <c r="M182" s="132" t="str">
        <f>IF(A182="","",COUNTIFS(pl_eq,A182,pl_status,"En retard"))</f>
        <v/>
      </c>
      <c r="N182" s="74" t="str">
        <f>IF(A182="","",SUMPRODUCT(MAX((in_eq=A182)*in_done*(in_type="Correctif")*in_dnum)))</f>
        <v/>
      </c>
      <c r="O182" s="81" t="str">
        <f>IF(A182="","",SUMIFS(in_total,in_eq,A182,in_done,1))</f>
        <v/>
      </c>
      <c r="P182" s="79" t="str">
        <f>IF(COUNTA(A182:J182)=0,"",IF(A182="","Code manquant",IF(COUNTIF($A$6:$A$205,A182)&gt;1,"Code en double",IF(B182="","Désignation manquante",IF(AND(E182&lt;&gt;"",E182&lt;&gt;"A",E182&lt;&gt;"B",E182&lt;&gt;"C"),"Criticité : A, B ou C",IF(AND(F182&lt;&gt;"",OR(NOT(ISNUMBER(F182)),N(F182)&lt;=0)),"Mise en service invalide",IF(AND(G182&lt;&gt;"",OR(NOT(ISNUMBER(G182)),N(G182)&lt;0,N(G182)&gt;24)),"Heures d'ouverture entre 0 et 24",IF(AND(I182&lt;&gt;"",OR(NOT(ISNUMBER(I182)),N(I182)&lt;0)),"Relevé du compteur invalide",IF(AND(J182&lt;&gt;"",OR(NOT(ISNUMBER(J182)),N(J182)&lt;0)),"Usage par semaine invalide","OK")))))))))</f>
        <v/>
      </c>
    </row>
    <row r="183">
      <c r="A183" s="65" t="n"/>
      <c r="B183" s="66" t="n"/>
      <c r="C183" s="66" t="n"/>
      <c r="D183" s="66" t="n"/>
      <c r="E183" s="68" t="n"/>
      <c r="F183" s="72" t="n"/>
      <c r="G183" s="71" t="n"/>
      <c r="H183" s="68" t="n"/>
      <c r="I183" s="73" t="n"/>
      <c r="J183" s="73" t="n"/>
      <c r="K183" s="75" t="str">
        <f>IF(A183="","",MAX(N(I183),SUMPRODUCT(MAX((in_eq=A183)*in_done*in_cnum))))</f>
        <v/>
      </c>
      <c r="L183" s="132" t="str">
        <f>IF(A183="","",COUNTIFS(pl_eq,A183,pl_status,"&lt;&gt;Inactif"))</f>
        <v/>
      </c>
      <c r="M183" s="132" t="str">
        <f>IF(A183="","",COUNTIFS(pl_eq,A183,pl_status,"En retard"))</f>
        <v/>
      </c>
      <c r="N183" s="74" t="str">
        <f>IF(A183="","",SUMPRODUCT(MAX((in_eq=A183)*in_done*(in_type="Correctif")*in_dnum)))</f>
        <v/>
      </c>
      <c r="O183" s="81" t="str">
        <f>IF(A183="","",SUMIFS(in_total,in_eq,A183,in_done,1))</f>
        <v/>
      </c>
      <c r="P183" s="79" t="str">
        <f>IF(COUNTA(A183:J183)=0,"",IF(A183="","Code manquant",IF(COUNTIF($A$6:$A$205,A183)&gt;1,"Code en double",IF(B183="","Désignation manquante",IF(AND(E183&lt;&gt;"",E183&lt;&gt;"A",E183&lt;&gt;"B",E183&lt;&gt;"C"),"Criticité : A, B ou C",IF(AND(F183&lt;&gt;"",OR(NOT(ISNUMBER(F183)),N(F183)&lt;=0)),"Mise en service invalide",IF(AND(G183&lt;&gt;"",OR(NOT(ISNUMBER(G183)),N(G183)&lt;0,N(G183)&gt;24)),"Heures d'ouverture entre 0 et 24",IF(AND(I183&lt;&gt;"",OR(NOT(ISNUMBER(I183)),N(I183)&lt;0)),"Relevé du compteur invalide",IF(AND(J183&lt;&gt;"",OR(NOT(ISNUMBER(J183)),N(J183)&lt;0)),"Usage par semaine invalide","OK")))))))))</f>
        <v/>
      </c>
    </row>
    <row r="184">
      <c r="A184" s="65" t="n"/>
      <c r="B184" s="66" t="n"/>
      <c r="C184" s="66" t="n"/>
      <c r="D184" s="66" t="n"/>
      <c r="E184" s="68" t="n"/>
      <c r="F184" s="72" t="n"/>
      <c r="G184" s="71" t="n"/>
      <c r="H184" s="68" t="n"/>
      <c r="I184" s="73" t="n"/>
      <c r="J184" s="73" t="n"/>
      <c r="K184" s="75" t="str">
        <f>IF(A184="","",MAX(N(I184),SUMPRODUCT(MAX((in_eq=A184)*in_done*in_cnum))))</f>
        <v/>
      </c>
      <c r="L184" s="132" t="str">
        <f>IF(A184="","",COUNTIFS(pl_eq,A184,pl_status,"&lt;&gt;Inactif"))</f>
        <v/>
      </c>
      <c r="M184" s="132" t="str">
        <f>IF(A184="","",COUNTIFS(pl_eq,A184,pl_status,"En retard"))</f>
        <v/>
      </c>
      <c r="N184" s="74" t="str">
        <f>IF(A184="","",SUMPRODUCT(MAX((in_eq=A184)*in_done*(in_type="Correctif")*in_dnum)))</f>
        <v/>
      </c>
      <c r="O184" s="81" t="str">
        <f>IF(A184="","",SUMIFS(in_total,in_eq,A184,in_done,1))</f>
        <v/>
      </c>
      <c r="P184" s="79" t="str">
        <f>IF(COUNTA(A184:J184)=0,"",IF(A184="","Code manquant",IF(COUNTIF($A$6:$A$205,A184)&gt;1,"Code en double",IF(B184="","Désignation manquante",IF(AND(E184&lt;&gt;"",E184&lt;&gt;"A",E184&lt;&gt;"B",E184&lt;&gt;"C"),"Criticité : A, B ou C",IF(AND(F184&lt;&gt;"",OR(NOT(ISNUMBER(F184)),N(F184)&lt;=0)),"Mise en service invalide",IF(AND(G184&lt;&gt;"",OR(NOT(ISNUMBER(G184)),N(G184)&lt;0,N(G184)&gt;24)),"Heures d'ouverture entre 0 et 24",IF(AND(I184&lt;&gt;"",OR(NOT(ISNUMBER(I184)),N(I184)&lt;0)),"Relevé du compteur invalide",IF(AND(J184&lt;&gt;"",OR(NOT(ISNUMBER(J184)),N(J184)&lt;0)),"Usage par semaine invalide","OK")))))))))</f>
        <v/>
      </c>
    </row>
    <row r="185">
      <c r="A185" s="65" t="n"/>
      <c r="B185" s="66" t="n"/>
      <c r="C185" s="66" t="n"/>
      <c r="D185" s="66" t="n"/>
      <c r="E185" s="68" t="n"/>
      <c r="F185" s="72" t="n"/>
      <c r="G185" s="71" t="n"/>
      <c r="H185" s="68" t="n"/>
      <c r="I185" s="73" t="n"/>
      <c r="J185" s="73" t="n"/>
      <c r="K185" s="75" t="str">
        <f>IF(A185="","",MAX(N(I185),SUMPRODUCT(MAX((in_eq=A185)*in_done*in_cnum))))</f>
        <v/>
      </c>
      <c r="L185" s="132" t="str">
        <f>IF(A185="","",COUNTIFS(pl_eq,A185,pl_status,"&lt;&gt;Inactif"))</f>
        <v/>
      </c>
      <c r="M185" s="132" t="str">
        <f>IF(A185="","",COUNTIFS(pl_eq,A185,pl_status,"En retard"))</f>
        <v/>
      </c>
      <c r="N185" s="74" t="str">
        <f>IF(A185="","",SUMPRODUCT(MAX((in_eq=A185)*in_done*(in_type="Correctif")*in_dnum)))</f>
        <v/>
      </c>
      <c r="O185" s="81" t="str">
        <f>IF(A185="","",SUMIFS(in_total,in_eq,A185,in_done,1))</f>
        <v/>
      </c>
      <c r="P185" s="79" t="str">
        <f>IF(COUNTA(A185:J185)=0,"",IF(A185="","Code manquant",IF(COUNTIF($A$6:$A$205,A185)&gt;1,"Code en double",IF(B185="","Désignation manquante",IF(AND(E185&lt;&gt;"",E185&lt;&gt;"A",E185&lt;&gt;"B",E185&lt;&gt;"C"),"Criticité : A, B ou C",IF(AND(F185&lt;&gt;"",OR(NOT(ISNUMBER(F185)),N(F185)&lt;=0)),"Mise en service invalide",IF(AND(G185&lt;&gt;"",OR(NOT(ISNUMBER(G185)),N(G185)&lt;0,N(G185)&gt;24)),"Heures d'ouverture entre 0 et 24",IF(AND(I185&lt;&gt;"",OR(NOT(ISNUMBER(I185)),N(I185)&lt;0)),"Relevé du compteur invalide",IF(AND(J185&lt;&gt;"",OR(NOT(ISNUMBER(J185)),N(J185)&lt;0)),"Usage par semaine invalide","OK")))))))))</f>
        <v/>
      </c>
    </row>
    <row r="186">
      <c r="A186" s="65" t="n"/>
      <c r="B186" s="66" t="n"/>
      <c r="C186" s="66" t="n"/>
      <c r="D186" s="66" t="n"/>
      <c r="E186" s="68" t="n"/>
      <c r="F186" s="72" t="n"/>
      <c r="G186" s="71" t="n"/>
      <c r="H186" s="68" t="n"/>
      <c r="I186" s="73" t="n"/>
      <c r="J186" s="73" t="n"/>
      <c r="K186" s="75" t="str">
        <f>IF(A186="","",MAX(N(I186),SUMPRODUCT(MAX((in_eq=A186)*in_done*in_cnum))))</f>
        <v/>
      </c>
      <c r="L186" s="132" t="str">
        <f>IF(A186="","",COUNTIFS(pl_eq,A186,pl_status,"&lt;&gt;Inactif"))</f>
        <v/>
      </c>
      <c r="M186" s="132" t="str">
        <f>IF(A186="","",COUNTIFS(pl_eq,A186,pl_status,"En retard"))</f>
        <v/>
      </c>
      <c r="N186" s="74" t="str">
        <f>IF(A186="","",SUMPRODUCT(MAX((in_eq=A186)*in_done*(in_type="Correctif")*in_dnum)))</f>
        <v/>
      </c>
      <c r="O186" s="81" t="str">
        <f>IF(A186="","",SUMIFS(in_total,in_eq,A186,in_done,1))</f>
        <v/>
      </c>
      <c r="P186" s="79" t="str">
        <f>IF(COUNTA(A186:J186)=0,"",IF(A186="","Code manquant",IF(COUNTIF($A$6:$A$205,A186)&gt;1,"Code en double",IF(B186="","Désignation manquante",IF(AND(E186&lt;&gt;"",E186&lt;&gt;"A",E186&lt;&gt;"B",E186&lt;&gt;"C"),"Criticité : A, B ou C",IF(AND(F186&lt;&gt;"",OR(NOT(ISNUMBER(F186)),N(F186)&lt;=0)),"Mise en service invalide",IF(AND(G186&lt;&gt;"",OR(NOT(ISNUMBER(G186)),N(G186)&lt;0,N(G186)&gt;24)),"Heures d'ouverture entre 0 et 24",IF(AND(I186&lt;&gt;"",OR(NOT(ISNUMBER(I186)),N(I186)&lt;0)),"Relevé du compteur invalide",IF(AND(J186&lt;&gt;"",OR(NOT(ISNUMBER(J186)),N(J186)&lt;0)),"Usage par semaine invalide","OK")))))))))</f>
        <v/>
      </c>
    </row>
    <row r="187">
      <c r="A187" s="65" t="n"/>
      <c r="B187" s="66" t="n"/>
      <c r="C187" s="66" t="n"/>
      <c r="D187" s="66" t="n"/>
      <c r="E187" s="68" t="n"/>
      <c r="F187" s="72" t="n"/>
      <c r="G187" s="71" t="n"/>
      <c r="H187" s="68" t="n"/>
      <c r="I187" s="73" t="n"/>
      <c r="J187" s="73" t="n"/>
      <c r="K187" s="75" t="str">
        <f>IF(A187="","",MAX(N(I187),SUMPRODUCT(MAX((in_eq=A187)*in_done*in_cnum))))</f>
        <v/>
      </c>
      <c r="L187" s="132" t="str">
        <f>IF(A187="","",COUNTIFS(pl_eq,A187,pl_status,"&lt;&gt;Inactif"))</f>
        <v/>
      </c>
      <c r="M187" s="132" t="str">
        <f>IF(A187="","",COUNTIFS(pl_eq,A187,pl_status,"En retard"))</f>
        <v/>
      </c>
      <c r="N187" s="74" t="str">
        <f>IF(A187="","",SUMPRODUCT(MAX((in_eq=A187)*in_done*(in_type="Correctif")*in_dnum)))</f>
        <v/>
      </c>
      <c r="O187" s="81" t="str">
        <f>IF(A187="","",SUMIFS(in_total,in_eq,A187,in_done,1))</f>
        <v/>
      </c>
      <c r="P187" s="79" t="str">
        <f>IF(COUNTA(A187:J187)=0,"",IF(A187="","Code manquant",IF(COUNTIF($A$6:$A$205,A187)&gt;1,"Code en double",IF(B187="","Désignation manquante",IF(AND(E187&lt;&gt;"",E187&lt;&gt;"A",E187&lt;&gt;"B",E187&lt;&gt;"C"),"Criticité : A, B ou C",IF(AND(F187&lt;&gt;"",OR(NOT(ISNUMBER(F187)),N(F187)&lt;=0)),"Mise en service invalide",IF(AND(G187&lt;&gt;"",OR(NOT(ISNUMBER(G187)),N(G187)&lt;0,N(G187)&gt;24)),"Heures d'ouverture entre 0 et 24",IF(AND(I187&lt;&gt;"",OR(NOT(ISNUMBER(I187)),N(I187)&lt;0)),"Relevé du compteur invalide",IF(AND(J187&lt;&gt;"",OR(NOT(ISNUMBER(J187)),N(J187)&lt;0)),"Usage par semaine invalide","OK")))))))))</f>
        <v/>
      </c>
    </row>
    <row r="188">
      <c r="A188" s="65" t="n"/>
      <c r="B188" s="66" t="n"/>
      <c r="C188" s="66" t="n"/>
      <c r="D188" s="66" t="n"/>
      <c r="E188" s="68" t="n"/>
      <c r="F188" s="72" t="n"/>
      <c r="G188" s="71" t="n"/>
      <c r="H188" s="68" t="n"/>
      <c r="I188" s="73" t="n"/>
      <c r="J188" s="73" t="n"/>
      <c r="K188" s="75" t="str">
        <f>IF(A188="","",MAX(N(I188),SUMPRODUCT(MAX((in_eq=A188)*in_done*in_cnum))))</f>
        <v/>
      </c>
      <c r="L188" s="132" t="str">
        <f>IF(A188="","",COUNTIFS(pl_eq,A188,pl_status,"&lt;&gt;Inactif"))</f>
        <v/>
      </c>
      <c r="M188" s="132" t="str">
        <f>IF(A188="","",COUNTIFS(pl_eq,A188,pl_status,"En retard"))</f>
        <v/>
      </c>
      <c r="N188" s="74" t="str">
        <f>IF(A188="","",SUMPRODUCT(MAX((in_eq=A188)*in_done*(in_type="Correctif")*in_dnum)))</f>
        <v/>
      </c>
      <c r="O188" s="81" t="str">
        <f>IF(A188="","",SUMIFS(in_total,in_eq,A188,in_done,1))</f>
        <v/>
      </c>
      <c r="P188" s="79" t="str">
        <f>IF(COUNTA(A188:J188)=0,"",IF(A188="","Code manquant",IF(COUNTIF($A$6:$A$205,A188)&gt;1,"Code en double",IF(B188="","Désignation manquante",IF(AND(E188&lt;&gt;"",E188&lt;&gt;"A",E188&lt;&gt;"B",E188&lt;&gt;"C"),"Criticité : A, B ou C",IF(AND(F188&lt;&gt;"",OR(NOT(ISNUMBER(F188)),N(F188)&lt;=0)),"Mise en service invalide",IF(AND(G188&lt;&gt;"",OR(NOT(ISNUMBER(G188)),N(G188)&lt;0,N(G188)&gt;24)),"Heures d'ouverture entre 0 et 24",IF(AND(I188&lt;&gt;"",OR(NOT(ISNUMBER(I188)),N(I188)&lt;0)),"Relevé du compteur invalide",IF(AND(J188&lt;&gt;"",OR(NOT(ISNUMBER(J188)),N(J188)&lt;0)),"Usage par semaine invalide","OK")))))))))</f>
        <v/>
      </c>
    </row>
    <row r="189">
      <c r="A189" s="65" t="n"/>
      <c r="B189" s="66" t="n"/>
      <c r="C189" s="66" t="n"/>
      <c r="D189" s="66" t="n"/>
      <c r="E189" s="68" t="n"/>
      <c r="F189" s="72" t="n"/>
      <c r="G189" s="71" t="n"/>
      <c r="H189" s="68" t="n"/>
      <c r="I189" s="73" t="n"/>
      <c r="J189" s="73" t="n"/>
      <c r="K189" s="75" t="str">
        <f>IF(A189="","",MAX(N(I189),SUMPRODUCT(MAX((in_eq=A189)*in_done*in_cnum))))</f>
        <v/>
      </c>
      <c r="L189" s="132" t="str">
        <f>IF(A189="","",COUNTIFS(pl_eq,A189,pl_status,"&lt;&gt;Inactif"))</f>
        <v/>
      </c>
      <c r="M189" s="132" t="str">
        <f>IF(A189="","",COUNTIFS(pl_eq,A189,pl_status,"En retard"))</f>
        <v/>
      </c>
      <c r="N189" s="74" t="str">
        <f>IF(A189="","",SUMPRODUCT(MAX((in_eq=A189)*in_done*(in_type="Correctif")*in_dnum)))</f>
        <v/>
      </c>
      <c r="O189" s="81" t="str">
        <f>IF(A189="","",SUMIFS(in_total,in_eq,A189,in_done,1))</f>
        <v/>
      </c>
      <c r="P189" s="79" t="str">
        <f>IF(COUNTA(A189:J189)=0,"",IF(A189="","Code manquant",IF(COUNTIF($A$6:$A$205,A189)&gt;1,"Code en double",IF(B189="","Désignation manquante",IF(AND(E189&lt;&gt;"",E189&lt;&gt;"A",E189&lt;&gt;"B",E189&lt;&gt;"C"),"Criticité : A, B ou C",IF(AND(F189&lt;&gt;"",OR(NOT(ISNUMBER(F189)),N(F189)&lt;=0)),"Mise en service invalide",IF(AND(G189&lt;&gt;"",OR(NOT(ISNUMBER(G189)),N(G189)&lt;0,N(G189)&gt;24)),"Heures d'ouverture entre 0 et 24",IF(AND(I189&lt;&gt;"",OR(NOT(ISNUMBER(I189)),N(I189)&lt;0)),"Relevé du compteur invalide",IF(AND(J189&lt;&gt;"",OR(NOT(ISNUMBER(J189)),N(J189)&lt;0)),"Usage par semaine invalide","OK")))))))))</f>
        <v/>
      </c>
    </row>
    <row r="190">
      <c r="A190" s="65" t="n"/>
      <c r="B190" s="66" t="n"/>
      <c r="C190" s="66" t="n"/>
      <c r="D190" s="66" t="n"/>
      <c r="E190" s="68" t="n"/>
      <c r="F190" s="72" t="n"/>
      <c r="G190" s="71" t="n"/>
      <c r="H190" s="68" t="n"/>
      <c r="I190" s="73" t="n"/>
      <c r="J190" s="73" t="n"/>
      <c r="K190" s="75" t="str">
        <f>IF(A190="","",MAX(N(I190),SUMPRODUCT(MAX((in_eq=A190)*in_done*in_cnum))))</f>
        <v/>
      </c>
      <c r="L190" s="132" t="str">
        <f>IF(A190="","",COUNTIFS(pl_eq,A190,pl_status,"&lt;&gt;Inactif"))</f>
        <v/>
      </c>
      <c r="M190" s="132" t="str">
        <f>IF(A190="","",COUNTIFS(pl_eq,A190,pl_status,"En retard"))</f>
        <v/>
      </c>
      <c r="N190" s="74" t="str">
        <f>IF(A190="","",SUMPRODUCT(MAX((in_eq=A190)*in_done*(in_type="Correctif")*in_dnum)))</f>
        <v/>
      </c>
      <c r="O190" s="81" t="str">
        <f>IF(A190="","",SUMIFS(in_total,in_eq,A190,in_done,1))</f>
        <v/>
      </c>
      <c r="P190" s="79" t="str">
        <f>IF(COUNTA(A190:J190)=0,"",IF(A190="","Code manquant",IF(COUNTIF($A$6:$A$205,A190)&gt;1,"Code en double",IF(B190="","Désignation manquante",IF(AND(E190&lt;&gt;"",E190&lt;&gt;"A",E190&lt;&gt;"B",E190&lt;&gt;"C"),"Criticité : A, B ou C",IF(AND(F190&lt;&gt;"",OR(NOT(ISNUMBER(F190)),N(F190)&lt;=0)),"Mise en service invalide",IF(AND(G190&lt;&gt;"",OR(NOT(ISNUMBER(G190)),N(G190)&lt;0,N(G190)&gt;24)),"Heures d'ouverture entre 0 et 24",IF(AND(I190&lt;&gt;"",OR(NOT(ISNUMBER(I190)),N(I190)&lt;0)),"Relevé du compteur invalide",IF(AND(J190&lt;&gt;"",OR(NOT(ISNUMBER(J190)),N(J190)&lt;0)),"Usage par semaine invalide","OK")))))))))</f>
        <v/>
      </c>
    </row>
    <row r="191">
      <c r="A191" s="65" t="n"/>
      <c r="B191" s="66" t="n"/>
      <c r="C191" s="66" t="n"/>
      <c r="D191" s="66" t="n"/>
      <c r="E191" s="68" t="n"/>
      <c r="F191" s="72" t="n"/>
      <c r="G191" s="71" t="n"/>
      <c r="H191" s="68" t="n"/>
      <c r="I191" s="73" t="n"/>
      <c r="J191" s="73" t="n"/>
      <c r="K191" s="75" t="str">
        <f>IF(A191="","",MAX(N(I191),SUMPRODUCT(MAX((in_eq=A191)*in_done*in_cnum))))</f>
        <v/>
      </c>
      <c r="L191" s="132" t="str">
        <f>IF(A191="","",COUNTIFS(pl_eq,A191,pl_status,"&lt;&gt;Inactif"))</f>
        <v/>
      </c>
      <c r="M191" s="132" t="str">
        <f>IF(A191="","",COUNTIFS(pl_eq,A191,pl_status,"En retard"))</f>
        <v/>
      </c>
      <c r="N191" s="74" t="str">
        <f>IF(A191="","",SUMPRODUCT(MAX((in_eq=A191)*in_done*(in_type="Correctif")*in_dnum)))</f>
        <v/>
      </c>
      <c r="O191" s="81" t="str">
        <f>IF(A191="","",SUMIFS(in_total,in_eq,A191,in_done,1))</f>
        <v/>
      </c>
      <c r="P191" s="79" t="str">
        <f>IF(COUNTA(A191:J191)=0,"",IF(A191="","Code manquant",IF(COUNTIF($A$6:$A$205,A191)&gt;1,"Code en double",IF(B191="","Désignation manquante",IF(AND(E191&lt;&gt;"",E191&lt;&gt;"A",E191&lt;&gt;"B",E191&lt;&gt;"C"),"Criticité : A, B ou C",IF(AND(F191&lt;&gt;"",OR(NOT(ISNUMBER(F191)),N(F191)&lt;=0)),"Mise en service invalide",IF(AND(G191&lt;&gt;"",OR(NOT(ISNUMBER(G191)),N(G191)&lt;0,N(G191)&gt;24)),"Heures d'ouverture entre 0 et 24",IF(AND(I191&lt;&gt;"",OR(NOT(ISNUMBER(I191)),N(I191)&lt;0)),"Relevé du compteur invalide",IF(AND(J191&lt;&gt;"",OR(NOT(ISNUMBER(J191)),N(J191)&lt;0)),"Usage par semaine invalide","OK")))))))))</f>
        <v/>
      </c>
    </row>
    <row r="192">
      <c r="A192" s="65" t="n"/>
      <c r="B192" s="66" t="n"/>
      <c r="C192" s="66" t="n"/>
      <c r="D192" s="66" t="n"/>
      <c r="E192" s="68" t="n"/>
      <c r="F192" s="72" t="n"/>
      <c r="G192" s="71" t="n"/>
      <c r="H192" s="68" t="n"/>
      <c r="I192" s="73" t="n"/>
      <c r="J192" s="73" t="n"/>
      <c r="K192" s="75" t="str">
        <f>IF(A192="","",MAX(N(I192),SUMPRODUCT(MAX((in_eq=A192)*in_done*in_cnum))))</f>
        <v/>
      </c>
      <c r="L192" s="132" t="str">
        <f>IF(A192="","",COUNTIFS(pl_eq,A192,pl_status,"&lt;&gt;Inactif"))</f>
        <v/>
      </c>
      <c r="M192" s="132" t="str">
        <f>IF(A192="","",COUNTIFS(pl_eq,A192,pl_status,"En retard"))</f>
        <v/>
      </c>
      <c r="N192" s="74" t="str">
        <f>IF(A192="","",SUMPRODUCT(MAX((in_eq=A192)*in_done*(in_type="Correctif")*in_dnum)))</f>
        <v/>
      </c>
      <c r="O192" s="81" t="str">
        <f>IF(A192="","",SUMIFS(in_total,in_eq,A192,in_done,1))</f>
        <v/>
      </c>
      <c r="P192" s="79" t="str">
        <f>IF(COUNTA(A192:J192)=0,"",IF(A192="","Code manquant",IF(COUNTIF($A$6:$A$205,A192)&gt;1,"Code en double",IF(B192="","Désignation manquante",IF(AND(E192&lt;&gt;"",E192&lt;&gt;"A",E192&lt;&gt;"B",E192&lt;&gt;"C"),"Criticité : A, B ou C",IF(AND(F192&lt;&gt;"",OR(NOT(ISNUMBER(F192)),N(F192)&lt;=0)),"Mise en service invalide",IF(AND(G192&lt;&gt;"",OR(NOT(ISNUMBER(G192)),N(G192)&lt;0,N(G192)&gt;24)),"Heures d'ouverture entre 0 et 24",IF(AND(I192&lt;&gt;"",OR(NOT(ISNUMBER(I192)),N(I192)&lt;0)),"Relevé du compteur invalide",IF(AND(J192&lt;&gt;"",OR(NOT(ISNUMBER(J192)),N(J192)&lt;0)),"Usage par semaine invalide","OK")))))))))</f>
        <v/>
      </c>
    </row>
    <row r="193">
      <c r="A193" s="65" t="n"/>
      <c r="B193" s="66" t="n"/>
      <c r="C193" s="66" t="n"/>
      <c r="D193" s="66" t="n"/>
      <c r="E193" s="68" t="n"/>
      <c r="F193" s="72" t="n"/>
      <c r="G193" s="71" t="n"/>
      <c r="H193" s="68" t="n"/>
      <c r="I193" s="73" t="n"/>
      <c r="J193" s="73" t="n"/>
      <c r="K193" s="75" t="str">
        <f>IF(A193="","",MAX(N(I193),SUMPRODUCT(MAX((in_eq=A193)*in_done*in_cnum))))</f>
        <v/>
      </c>
      <c r="L193" s="132" t="str">
        <f>IF(A193="","",COUNTIFS(pl_eq,A193,pl_status,"&lt;&gt;Inactif"))</f>
        <v/>
      </c>
      <c r="M193" s="132" t="str">
        <f>IF(A193="","",COUNTIFS(pl_eq,A193,pl_status,"En retard"))</f>
        <v/>
      </c>
      <c r="N193" s="74" t="str">
        <f>IF(A193="","",SUMPRODUCT(MAX((in_eq=A193)*in_done*(in_type="Correctif")*in_dnum)))</f>
        <v/>
      </c>
      <c r="O193" s="81" t="str">
        <f>IF(A193="","",SUMIFS(in_total,in_eq,A193,in_done,1))</f>
        <v/>
      </c>
      <c r="P193" s="79" t="str">
        <f>IF(COUNTA(A193:J193)=0,"",IF(A193="","Code manquant",IF(COUNTIF($A$6:$A$205,A193)&gt;1,"Code en double",IF(B193="","Désignation manquante",IF(AND(E193&lt;&gt;"",E193&lt;&gt;"A",E193&lt;&gt;"B",E193&lt;&gt;"C"),"Criticité : A, B ou C",IF(AND(F193&lt;&gt;"",OR(NOT(ISNUMBER(F193)),N(F193)&lt;=0)),"Mise en service invalide",IF(AND(G193&lt;&gt;"",OR(NOT(ISNUMBER(G193)),N(G193)&lt;0,N(G193)&gt;24)),"Heures d'ouverture entre 0 et 24",IF(AND(I193&lt;&gt;"",OR(NOT(ISNUMBER(I193)),N(I193)&lt;0)),"Relevé du compteur invalide",IF(AND(J193&lt;&gt;"",OR(NOT(ISNUMBER(J193)),N(J193)&lt;0)),"Usage par semaine invalide","OK")))))))))</f>
        <v/>
      </c>
    </row>
    <row r="194">
      <c r="A194" s="65" t="n"/>
      <c r="B194" s="66" t="n"/>
      <c r="C194" s="66" t="n"/>
      <c r="D194" s="66" t="n"/>
      <c r="E194" s="68" t="n"/>
      <c r="F194" s="72" t="n"/>
      <c r="G194" s="71" t="n"/>
      <c r="H194" s="68" t="n"/>
      <c r="I194" s="73" t="n"/>
      <c r="J194" s="73" t="n"/>
      <c r="K194" s="75" t="str">
        <f>IF(A194="","",MAX(N(I194),SUMPRODUCT(MAX((in_eq=A194)*in_done*in_cnum))))</f>
        <v/>
      </c>
      <c r="L194" s="132" t="str">
        <f>IF(A194="","",COUNTIFS(pl_eq,A194,pl_status,"&lt;&gt;Inactif"))</f>
        <v/>
      </c>
      <c r="M194" s="132" t="str">
        <f>IF(A194="","",COUNTIFS(pl_eq,A194,pl_status,"En retard"))</f>
        <v/>
      </c>
      <c r="N194" s="74" t="str">
        <f>IF(A194="","",SUMPRODUCT(MAX((in_eq=A194)*in_done*(in_type="Correctif")*in_dnum)))</f>
        <v/>
      </c>
      <c r="O194" s="81" t="str">
        <f>IF(A194="","",SUMIFS(in_total,in_eq,A194,in_done,1))</f>
        <v/>
      </c>
      <c r="P194" s="79" t="str">
        <f>IF(COUNTA(A194:J194)=0,"",IF(A194="","Code manquant",IF(COUNTIF($A$6:$A$205,A194)&gt;1,"Code en double",IF(B194="","Désignation manquante",IF(AND(E194&lt;&gt;"",E194&lt;&gt;"A",E194&lt;&gt;"B",E194&lt;&gt;"C"),"Criticité : A, B ou C",IF(AND(F194&lt;&gt;"",OR(NOT(ISNUMBER(F194)),N(F194)&lt;=0)),"Mise en service invalide",IF(AND(G194&lt;&gt;"",OR(NOT(ISNUMBER(G194)),N(G194)&lt;0,N(G194)&gt;24)),"Heures d'ouverture entre 0 et 24",IF(AND(I194&lt;&gt;"",OR(NOT(ISNUMBER(I194)),N(I194)&lt;0)),"Relevé du compteur invalide",IF(AND(J194&lt;&gt;"",OR(NOT(ISNUMBER(J194)),N(J194)&lt;0)),"Usage par semaine invalide","OK")))))))))</f>
        <v/>
      </c>
    </row>
    <row r="195">
      <c r="A195" s="65" t="n"/>
      <c r="B195" s="66" t="n"/>
      <c r="C195" s="66" t="n"/>
      <c r="D195" s="66" t="n"/>
      <c r="E195" s="68" t="n"/>
      <c r="F195" s="72" t="n"/>
      <c r="G195" s="71" t="n"/>
      <c r="H195" s="68" t="n"/>
      <c r="I195" s="73" t="n"/>
      <c r="J195" s="73" t="n"/>
      <c r="K195" s="75" t="str">
        <f>IF(A195="","",MAX(N(I195),SUMPRODUCT(MAX((in_eq=A195)*in_done*in_cnum))))</f>
        <v/>
      </c>
      <c r="L195" s="132" t="str">
        <f>IF(A195="","",COUNTIFS(pl_eq,A195,pl_status,"&lt;&gt;Inactif"))</f>
        <v/>
      </c>
      <c r="M195" s="132" t="str">
        <f>IF(A195="","",COUNTIFS(pl_eq,A195,pl_status,"En retard"))</f>
        <v/>
      </c>
      <c r="N195" s="74" t="str">
        <f>IF(A195="","",SUMPRODUCT(MAX((in_eq=A195)*in_done*(in_type="Correctif")*in_dnum)))</f>
        <v/>
      </c>
      <c r="O195" s="81" t="str">
        <f>IF(A195="","",SUMIFS(in_total,in_eq,A195,in_done,1))</f>
        <v/>
      </c>
      <c r="P195" s="79" t="str">
        <f>IF(COUNTA(A195:J195)=0,"",IF(A195="","Code manquant",IF(COUNTIF($A$6:$A$205,A195)&gt;1,"Code en double",IF(B195="","Désignation manquante",IF(AND(E195&lt;&gt;"",E195&lt;&gt;"A",E195&lt;&gt;"B",E195&lt;&gt;"C"),"Criticité : A, B ou C",IF(AND(F195&lt;&gt;"",OR(NOT(ISNUMBER(F195)),N(F195)&lt;=0)),"Mise en service invalide",IF(AND(G195&lt;&gt;"",OR(NOT(ISNUMBER(G195)),N(G195)&lt;0,N(G195)&gt;24)),"Heures d'ouverture entre 0 et 24",IF(AND(I195&lt;&gt;"",OR(NOT(ISNUMBER(I195)),N(I195)&lt;0)),"Relevé du compteur invalide",IF(AND(J195&lt;&gt;"",OR(NOT(ISNUMBER(J195)),N(J195)&lt;0)),"Usage par semaine invalide","OK")))))))))</f>
        <v/>
      </c>
    </row>
    <row r="196">
      <c r="A196" s="65" t="n"/>
      <c r="B196" s="66" t="n"/>
      <c r="C196" s="66" t="n"/>
      <c r="D196" s="66" t="n"/>
      <c r="E196" s="68" t="n"/>
      <c r="F196" s="72" t="n"/>
      <c r="G196" s="71" t="n"/>
      <c r="H196" s="68" t="n"/>
      <c r="I196" s="73" t="n"/>
      <c r="J196" s="73" t="n"/>
      <c r="K196" s="75" t="str">
        <f>IF(A196="","",MAX(N(I196),SUMPRODUCT(MAX((in_eq=A196)*in_done*in_cnum))))</f>
        <v/>
      </c>
      <c r="L196" s="132" t="str">
        <f>IF(A196="","",COUNTIFS(pl_eq,A196,pl_status,"&lt;&gt;Inactif"))</f>
        <v/>
      </c>
      <c r="M196" s="132" t="str">
        <f>IF(A196="","",COUNTIFS(pl_eq,A196,pl_status,"En retard"))</f>
        <v/>
      </c>
      <c r="N196" s="74" t="str">
        <f>IF(A196="","",SUMPRODUCT(MAX((in_eq=A196)*in_done*(in_type="Correctif")*in_dnum)))</f>
        <v/>
      </c>
      <c r="O196" s="81" t="str">
        <f>IF(A196="","",SUMIFS(in_total,in_eq,A196,in_done,1))</f>
        <v/>
      </c>
      <c r="P196" s="79" t="str">
        <f>IF(COUNTA(A196:J196)=0,"",IF(A196="","Code manquant",IF(COUNTIF($A$6:$A$205,A196)&gt;1,"Code en double",IF(B196="","Désignation manquante",IF(AND(E196&lt;&gt;"",E196&lt;&gt;"A",E196&lt;&gt;"B",E196&lt;&gt;"C"),"Criticité : A, B ou C",IF(AND(F196&lt;&gt;"",OR(NOT(ISNUMBER(F196)),N(F196)&lt;=0)),"Mise en service invalide",IF(AND(G196&lt;&gt;"",OR(NOT(ISNUMBER(G196)),N(G196)&lt;0,N(G196)&gt;24)),"Heures d'ouverture entre 0 et 24",IF(AND(I196&lt;&gt;"",OR(NOT(ISNUMBER(I196)),N(I196)&lt;0)),"Relevé du compteur invalide",IF(AND(J196&lt;&gt;"",OR(NOT(ISNUMBER(J196)),N(J196)&lt;0)),"Usage par semaine invalide","OK")))))))))</f>
        <v/>
      </c>
    </row>
    <row r="197">
      <c r="A197" s="65" t="n"/>
      <c r="B197" s="66" t="n"/>
      <c r="C197" s="66" t="n"/>
      <c r="D197" s="66" t="n"/>
      <c r="E197" s="68" t="n"/>
      <c r="F197" s="72" t="n"/>
      <c r="G197" s="71" t="n"/>
      <c r="H197" s="68" t="n"/>
      <c r="I197" s="73" t="n"/>
      <c r="J197" s="73" t="n"/>
      <c r="K197" s="75" t="str">
        <f>IF(A197="","",MAX(N(I197),SUMPRODUCT(MAX((in_eq=A197)*in_done*in_cnum))))</f>
        <v/>
      </c>
      <c r="L197" s="132" t="str">
        <f>IF(A197="","",COUNTIFS(pl_eq,A197,pl_status,"&lt;&gt;Inactif"))</f>
        <v/>
      </c>
      <c r="M197" s="132" t="str">
        <f>IF(A197="","",COUNTIFS(pl_eq,A197,pl_status,"En retard"))</f>
        <v/>
      </c>
      <c r="N197" s="74" t="str">
        <f>IF(A197="","",SUMPRODUCT(MAX((in_eq=A197)*in_done*(in_type="Correctif")*in_dnum)))</f>
        <v/>
      </c>
      <c r="O197" s="81" t="str">
        <f>IF(A197="","",SUMIFS(in_total,in_eq,A197,in_done,1))</f>
        <v/>
      </c>
      <c r="P197" s="79" t="str">
        <f>IF(COUNTA(A197:J197)=0,"",IF(A197="","Code manquant",IF(COUNTIF($A$6:$A$205,A197)&gt;1,"Code en double",IF(B197="","Désignation manquante",IF(AND(E197&lt;&gt;"",E197&lt;&gt;"A",E197&lt;&gt;"B",E197&lt;&gt;"C"),"Criticité : A, B ou C",IF(AND(F197&lt;&gt;"",OR(NOT(ISNUMBER(F197)),N(F197)&lt;=0)),"Mise en service invalide",IF(AND(G197&lt;&gt;"",OR(NOT(ISNUMBER(G197)),N(G197)&lt;0,N(G197)&gt;24)),"Heures d'ouverture entre 0 et 24",IF(AND(I197&lt;&gt;"",OR(NOT(ISNUMBER(I197)),N(I197)&lt;0)),"Relevé du compteur invalide",IF(AND(J197&lt;&gt;"",OR(NOT(ISNUMBER(J197)),N(J197)&lt;0)),"Usage par semaine invalide","OK")))))))))</f>
        <v/>
      </c>
    </row>
    <row r="198">
      <c r="A198" s="65" t="n"/>
      <c r="B198" s="66" t="n"/>
      <c r="C198" s="66" t="n"/>
      <c r="D198" s="66" t="n"/>
      <c r="E198" s="68" t="n"/>
      <c r="F198" s="72" t="n"/>
      <c r="G198" s="71" t="n"/>
      <c r="H198" s="68" t="n"/>
      <c r="I198" s="73" t="n"/>
      <c r="J198" s="73" t="n"/>
      <c r="K198" s="75" t="str">
        <f>IF(A198="","",MAX(N(I198),SUMPRODUCT(MAX((in_eq=A198)*in_done*in_cnum))))</f>
        <v/>
      </c>
      <c r="L198" s="132" t="str">
        <f>IF(A198="","",COUNTIFS(pl_eq,A198,pl_status,"&lt;&gt;Inactif"))</f>
        <v/>
      </c>
      <c r="M198" s="132" t="str">
        <f>IF(A198="","",COUNTIFS(pl_eq,A198,pl_status,"En retard"))</f>
        <v/>
      </c>
      <c r="N198" s="74" t="str">
        <f>IF(A198="","",SUMPRODUCT(MAX((in_eq=A198)*in_done*(in_type="Correctif")*in_dnum)))</f>
        <v/>
      </c>
      <c r="O198" s="81" t="str">
        <f>IF(A198="","",SUMIFS(in_total,in_eq,A198,in_done,1))</f>
        <v/>
      </c>
      <c r="P198" s="79" t="str">
        <f>IF(COUNTA(A198:J198)=0,"",IF(A198="","Code manquant",IF(COUNTIF($A$6:$A$205,A198)&gt;1,"Code en double",IF(B198="","Désignation manquante",IF(AND(E198&lt;&gt;"",E198&lt;&gt;"A",E198&lt;&gt;"B",E198&lt;&gt;"C"),"Criticité : A, B ou C",IF(AND(F198&lt;&gt;"",OR(NOT(ISNUMBER(F198)),N(F198)&lt;=0)),"Mise en service invalide",IF(AND(G198&lt;&gt;"",OR(NOT(ISNUMBER(G198)),N(G198)&lt;0,N(G198)&gt;24)),"Heures d'ouverture entre 0 et 24",IF(AND(I198&lt;&gt;"",OR(NOT(ISNUMBER(I198)),N(I198)&lt;0)),"Relevé du compteur invalide",IF(AND(J198&lt;&gt;"",OR(NOT(ISNUMBER(J198)),N(J198)&lt;0)),"Usage par semaine invalide","OK")))))))))</f>
        <v/>
      </c>
    </row>
    <row r="199">
      <c r="A199" s="65" t="n"/>
      <c r="B199" s="66" t="n"/>
      <c r="C199" s="66" t="n"/>
      <c r="D199" s="66" t="n"/>
      <c r="E199" s="68" t="n"/>
      <c r="F199" s="72" t="n"/>
      <c r="G199" s="71" t="n"/>
      <c r="H199" s="68" t="n"/>
      <c r="I199" s="73" t="n"/>
      <c r="J199" s="73" t="n"/>
      <c r="K199" s="75" t="str">
        <f>IF(A199="","",MAX(N(I199),SUMPRODUCT(MAX((in_eq=A199)*in_done*in_cnum))))</f>
        <v/>
      </c>
      <c r="L199" s="132" t="str">
        <f>IF(A199="","",COUNTIFS(pl_eq,A199,pl_status,"&lt;&gt;Inactif"))</f>
        <v/>
      </c>
      <c r="M199" s="132" t="str">
        <f>IF(A199="","",COUNTIFS(pl_eq,A199,pl_status,"En retard"))</f>
        <v/>
      </c>
      <c r="N199" s="74" t="str">
        <f>IF(A199="","",SUMPRODUCT(MAX((in_eq=A199)*in_done*(in_type="Correctif")*in_dnum)))</f>
        <v/>
      </c>
      <c r="O199" s="81" t="str">
        <f>IF(A199="","",SUMIFS(in_total,in_eq,A199,in_done,1))</f>
        <v/>
      </c>
      <c r="P199" s="79" t="str">
        <f>IF(COUNTA(A199:J199)=0,"",IF(A199="","Code manquant",IF(COUNTIF($A$6:$A$205,A199)&gt;1,"Code en double",IF(B199="","Désignation manquante",IF(AND(E199&lt;&gt;"",E199&lt;&gt;"A",E199&lt;&gt;"B",E199&lt;&gt;"C"),"Criticité : A, B ou C",IF(AND(F199&lt;&gt;"",OR(NOT(ISNUMBER(F199)),N(F199)&lt;=0)),"Mise en service invalide",IF(AND(G199&lt;&gt;"",OR(NOT(ISNUMBER(G199)),N(G199)&lt;0,N(G199)&gt;24)),"Heures d'ouverture entre 0 et 24",IF(AND(I199&lt;&gt;"",OR(NOT(ISNUMBER(I199)),N(I199)&lt;0)),"Relevé du compteur invalide",IF(AND(J199&lt;&gt;"",OR(NOT(ISNUMBER(J199)),N(J199)&lt;0)),"Usage par semaine invalide","OK")))))))))</f>
        <v/>
      </c>
    </row>
    <row r="200">
      <c r="A200" s="65" t="n"/>
      <c r="B200" s="66" t="n"/>
      <c r="C200" s="66" t="n"/>
      <c r="D200" s="66" t="n"/>
      <c r="E200" s="68" t="n"/>
      <c r="F200" s="72" t="n"/>
      <c r="G200" s="71" t="n"/>
      <c r="H200" s="68" t="n"/>
      <c r="I200" s="73" t="n"/>
      <c r="J200" s="73" t="n"/>
      <c r="K200" s="75" t="str">
        <f>IF(A200="","",MAX(N(I200),SUMPRODUCT(MAX((in_eq=A200)*in_done*in_cnum))))</f>
        <v/>
      </c>
      <c r="L200" s="132" t="str">
        <f>IF(A200="","",COUNTIFS(pl_eq,A200,pl_status,"&lt;&gt;Inactif"))</f>
        <v/>
      </c>
      <c r="M200" s="132" t="str">
        <f>IF(A200="","",COUNTIFS(pl_eq,A200,pl_status,"En retard"))</f>
        <v/>
      </c>
      <c r="N200" s="74" t="str">
        <f>IF(A200="","",SUMPRODUCT(MAX((in_eq=A200)*in_done*(in_type="Correctif")*in_dnum)))</f>
        <v/>
      </c>
      <c r="O200" s="81" t="str">
        <f>IF(A200="","",SUMIFS(in_total,in_eq,A200,in_done,1))</f>
        <v/>
      </c>
      <c r="P200" s="79" t="str">
        <f>IF(COUNTA(A200:J200)=0,"",IF(A200="","Code manquant",IF(COUNTIF($A$6:$A$205,A200)&gt;1,"Code en double",IF(B200="","Désignation manquante",IF(AND(E200&lt;&gt;"",E200&lt;&gt;"A",E200&lt;&gt;"B",E200&lt;&gt;"C"),"Criticité : A, B ou C",IF(AND(F200&lt;&gt;"",OR(NOT(ISNUMBER(F200)),N(F200)&lt;=0)),"Mise en service invalide",IF(AND(G200&lt;&gt;"",OR(NOT(ISNUMBER(G200)),N(G200)&lt;0,N(G200)&gt;24)),"Heures d'ouverture entre 0 et 24",IF(AND(I200&lt;&gt;"",OR(NOT(ISNUMBER(I200)),N(I200)&lt;0)),"Relevé du compteur invalide",IF(AND(J200&lt;&gt;"",OR(NOT(ISNUMBER(J200)),N(J200)&lt;0)),"Usage par semaine invalide","OK")))))))))</f>
        <v/>
      </c>
    </row>
    <row r="201">
      <c r="A201" s="65" t="n"/>
      <c r="B201" s="66" t="n"/>
      <c r="C201" s="66" t="n"/>
      <c r="D201" s="66" t="n"/>
      <c r="E201" s="68" t="n"/>
      <c r="F201" s="72" t="n"/>
      <c r="G201" s="71" t="n"/>
      <c r="H201" s="68" t="n"/>
      <c r="I201" s="73" t="n"/>
      <c r="J201" s="73" t="n"/>
      <c r="K201" s="75" t="str">
        <f>IF(A201="","",MAX(N(I201),SUMPRODUCT(MAX((in_eq=A201)*in_done*in_cnum))))</f>
        <v/>
      </c>
      <c r="L201" s="132" t="str">
        <f>IF(A201="","",COUNTIFS(pl_eq,A201,pl_status,"&lt;&gt;Inactif"))</f>
        <v/>
      </c>
      <c r="M201" s="132" t="str">
        <f>IF(A201="","",COUNTIFS(pl_eq,A201,pl_status,"En retard"))</f>
        <v/>
      </c>
      <c r="N201" s="74" t="str">
        <f>IF(A201="","",SUMPRODUCT(MAX((in_eq=A201)*in_done*(in_type="Correctif")*in_dnum)))</f>
        <v/>
      </c>
      <c r="O201" s="81" t="str">
        <f>IF(A201="","",SUMIFS(in_total,in_eq,A201,in_done,1))</f>
        <v/>
      </c>
      <c r="P201" s="79" t="str">
        <f>IF(COUNTA(A201:J201)=0,"",IF(A201="","Code manquant",IF(COUNTIF($A$6:$A$205,A201)&gt;1,"Code en double",IF(B201="","Désignation manquante",IF(AND(E201&lt;&gt;"",E201&lt;&gt;"A",E201&lt;&gt;"B",E201&lt;&gt;"C"),"Criticité : A, B ou C",IF(AND(F201&lt;&gt;"",OR(NOT(ISNUMBER(F201)),N(F201)&lt;=0)),"Mise en service invalide",IF(AND(G201&lt;&gt;"",OR(NOT(ISNUMBER(G201)),N(G201)&lt;0,N(G201)&gt;24)),"Heures d'ouverture entre 0 et 24",IF(AND(I201&lt;&gt;"",OR(NOT(ISNUMBER(I201)),N(I201)&lt;0)),"Relevé du compteur invalide",IF(AND(J201&lt;&gt;"",OR(NOT(ISNUMBER(J201)),N(J201)&lt;0)),"Usage par semaine invalide","OK")))))))))</f>
        <v/>
      </c>
    </row>
    <row r="202">
      <c r="A202" s="65" t="n"/>
      <c r="B202" s="66" t="n"/>
      <c r="C202" s="66" t="n"/>
      <c r="D202" s="66" t="n"/>
      <c r="E202" s="68" t="n"/>
      <c r="F202" s="72" t="n"/>
      <c r="G202" s="71" t="n"/>
      <c r="H202" s="68" t="n"/>
      <c r="I202" s="73" t="n"/>
      <c r="J202" s="73" t="n"/>
      <c r="K202" s="75" t="str">
        <f>IF(A202="","",MAX(N(I202),SUMPRODUCT(MAX((in_eq=A202)*in_done*in_cnum))))</f>
        <v/>
      </c>
      <c r="L202" s="132" t="str">
        <f>IF(A202="","",COUNTIFS(pl_eq,A202,pl_status,"&lt;&gt;Inactif"))</f>
        <v/>
      </c>
      <c r="M202" s="132" t="str">
        <f>IF(A202="","",COUNTIFS(pl_eq,A202,pl_status,"En retard"))</f>
        <v/>
      </c>
      <c r="N202" s="74" t="str">
        <f>IF(A202="","",SUMPRODUCT(MAX((in_eq=A202)*in_done*(in_type="Correctif")*in_dnum)))</f>
        <v/>
      </c>
      <c r="O202" s="81" t="str">
        <f>IF(A202="","",SUMIFS(in_total,in_eq,A202,in_done,1))</f>
        <v/>
      </c>
      <c r="P202" s="79" t="str">
        <f>IF(COUNTA(A202:J202)=0,"",IF(A202="","Code manquant",IF(COUNTIF($A$6:$A$205,A202)&gt;1,"Code en double",IF(B202="","Désignation manquante",IF(AND(E202&lt;&gt;"",E202&lt;&gt;"A",E202&lt;&gt;"B",E202&lt;&gt;"C"),"Criticité : A, B ou C",IF(AND(F202&lt;&gt;"",OR(NOT(ISNUMBER(F202)),N(F202)&lt;=0)),"Mise en service invalide",IF(AND(G202&lt;&gt;"",OR(NOT(ISNUMBER(G202)),N(G202)&lt;0,N(G202)&gt;24)),"Heures d'ouverture entre 0 et 24",IF(AND(I202&lt;&gt;"",OR(NOT(ISNUMBER(I202)),N(I202)&lt;0)),"Relevé du compteur invalide",IF(AND(J202&lt;&gt;"",OR(NOT(ISNUMBER(J202)),N(J202)&lt;0)),"Usage par semaine invalide","OK")))))))))</f>
        <v/>
      </c>
    </row>
    <row r="203">
      <c r="A203" s="65" t="n"/>
      <c r="B203" s="66" t="n"/>
      <c r="C203" s="66" t="n"/>
      <c r="D203" s="66" t="n"/>
      <c r="E203" s="68" t="n"/>
      <c r="F203" s="72" t="n"/>
      <c r="G203" s="71" t="n"/>
      <c r="H203" s="68" t="n"/>
      <c r="I203" s="73" t="n"/>
      <c r="J203" s="73" t="n"/>
      <c r="K203" s="75" t="str">
        <f>IF(A203="","",MAX(N(I203),SUMPRODUCT(MAX((in_eq=A203)*in_done*in_cnum))))</f>
        <v/>
      </c>
      <c r="L203" s="132" t="str">
        <f>IF(A203="","",COUNTIFS(pl_eq,A203,pl_status,"&lt;&gt;Inactif"))</f>
        <v/>
      </c>
      <c r="M203" s="132" t="str">
        <f>IF(A203="","",COUNTIFS(pl_eq,A203,pl_status,"En retard"))</f>
        <v/>
      </c>
      <c r="N203" s="74" t="str">
        <f>IF(A203="","",SUMPRODUCT(MAX((in_eq=A203)*in_done*(in_type="Correctif")*in_dnum)))</f>
        <v/>
      </c>
      <c r="O203" s="81" t="str">
        <f>IF(A203="","",SUMIFS(in_total,in_eq,A203,in_done,1))</f>
        <v/>
      </c>
      <c r="P203" s="79" t="str">
        <f>IF(COUNTA(A203:J203)=0,"",IF(A203="","Code manquant",IF(COUNTIF($A$6:$A$205,A203)&gt;1,"Code en double",IF(B203="","Désignation manquante",IF(AND(E203&lt;&gt;"",E203&lt;&gt;"A",E203&lt;&gt;"B",E203&lt;&gt;"C"),"Criticité : A, B ou C",IF(AND(F203&lt;&gt;"",OR(NOT(ISNUMBER(F203)),N(F203)&lt;=0)),"Mise en service invalide",IF(AND(G203&lt;&gt;"",OR(NOT(ISNUMBER(G203)),N(G203)&lt;0,N(G203)&gt;24)),"Heures d'ouverture entre 0 et 24",IF(AND(I203&lt;&gt;"",OR(NOT(ISNUMBER(I203)),N(I203)&lt;0)),"Relevé du compteur invalide",IF(AND(J203&lt;&gt;"",OR(NOT(ISNUMBER(J203)),N(J203)&lt;0)),"Usage par semaine invalide","OK")))))))))</f>
        <v/>
      </c>
    </row>
    <row r="204">
      <c r="A204" s="65" t="n"/>
      <c r="B204" s="66" t="n"/>
      <c r="C204" s="66" t="n"/>
      <c r="D204" s="66" t="n"/>
      <c r="E204" s="68" t="n"/>
      <c r="F204" s="72" t="n"/>
      <c r="G204" s="71" t="n"/>
      <c r="H204" s="68" t="n"/>
      <c r="I204" s="73" t="n"/>
      <c r="J204" s="73" t="n"/>
      <c r="K204" s="75" t="str">
        <f>IF(A204="","",MAX(N(I204),SUMPRODUCT(MAX((in_eq=A204)*in_done*in_cnum))))</f>
        <v/>
      </c>
      <c r="L204" s="132" t="str">
        <f>IF(A204="","",COUNTIFS(pl_eq,A204,pl_status,"&lt;&gt;Inactif"))</f>
        <v/>
      </c>
      <c r="M204" s="132" t="str">
        <f>IF(A204="","",COUNTIFS(pl_eq,A204,pl_status,"En retard"))</f>
        <v/>
      </c>
      <c r="N204" s="74" t="str">
        <f>IF(A204="","",SUMPRODUCT(MAX((in_eq=A204)*in_done*(in_type="Correctif")*in_dnum)))</f>
        <v/>
      </c>
      <c r="O204" s="81" t="str">
        <f>IF(A204="","",SUMIFS(in_total,in_eq,A204,in_done,1))</f>
        <v/>
      </c>
      <c r="P204" s="79" t="str">
        <f>IF(COUNTA(A204:J204)=0,"",IF(A204="","Code manquant",IF(COUNTIF($A$6:$A$205,A204)&gt;1,"Code en double",IF(B204="","Désignation manquante",IF(AND(E204&lt;&gt;"",E204&lt;&gt;"A",E204&lt;&gt;"B",E204&lt;&gt;"C"),"Criticité : A, B ou C",IF(AND(F204&lt;&gt;"",OR(NOT(ISNUMBER(F204)),N(F204)&lt;=0)),"Mise en service invalide",IF(AND(G204&lt;&gt;"",OR(NOT(ISNUMBER(G204)),N(G204)&lt;0,N(G204)&gt;24)),"Heures d'ouverture entre 0 et 24",IF(AND(I204&lt;&gt;"",OR(NOT(ISNUMBER(I204)),N(I204)&lt;0)),"Relevé du compteur invalide",IF(AND(J204&lt;&gt;"",OR(NOT(ISNUMBER(J204)),N(J204)&lt;0)),"Usage par semaine invalide","OK")))))))))</f>
        <v/>
      </c>
    </row>
    <row r="205">
      <c r="A205" s="65" t="n"/>
      <c r="B205" s="66" t="n"/>
      <c r="C205" s="66" t="n"/>
      <c r="D205" s="66" t="n"/>
      <c r="E205" s="68" t="n"/>
      <c r="F205" s="72" t="n"/>
      <c r="G205" s="71" t="n"/>
      <c r="H205" s="68" t="n"/>
      <c r="I205" s="73" t="n"/>
      <c r="J205" s="73" t="n"/>
      <c r="K205" s="75" t="str">
        <f>IF(A205="","",MAX(N(I205),SUMPRODUCT(MAX((in_eq=A205)*in_done*in_cnum))))</f>
        <v/>
      </c>
      <c r="L205" s="132" t="str">
        <f>IF(A205="","",COUNTIFS(pl_eq,A205,pl_status,"&lt;&gt;Inactif"))</f>
        <v/>
      </c>
      <c r="M205" s="132" t="str">
        <f>IF(A205="","",COUNTIFS(pl_eq,A205,pl_status,"En retard"))</f>
        <v/>
      </c>
      <c r="N205" s="74" t="str">
        <f>IF(A205="","",SUMPRODUCT(MAX((in_eq=A205)*in_done*(in_type="Correctif")*in_dnum)))</f>
        <v/>
      </c>
      <c r="O205" s="81" t="str">
        <f>IF(A205="","",SUMIFS(in_total,in_eq,A205,in_done,1))</f>
        <v/>
      </c>
      <c r="P205" s="79" t="str">
        <f>IF(COUNTA(A205:J205)=0,"",IF(A205="","Code manquant",IF(COUNTIF($A$6:$A$205,A205)&gt;1,"Code en double",IF(B205="","Désignation manquante",IF(AND(E205&lt;&gt;"",E205&lt;&gt;"A",E205&lt;&gt;"B",E205&lt;&gt;"C"),"Criticité : A, B ou C",IF(AND(F205&lt;&gt;"",OR(NOT(ISNUMBER(F205)),N(F205)&lt;=0)),"Mise en service invalide",IF(AND(G205&lt;&gt;"",OR(NOT(ISNUMBER(G205)),N(G205)&lt;0,N(G205)&gt;24)),"Heures d'ouverture entre 0 et 24",IF(AND(I205&lt;&gt;"",OR(NOT(ISNUMBER(I205)),N(I205)&lt;0)),"Relevé du compteur invalide",IF(AND(J205&lt;&gt;"",OR(NOT(ISNUMBER(J205)),N(J205)&lt;0)),"Usage par semaine invalide","OK")))))))))</f>
        <v/>
      </c>
    </row>
  </sheetData>
  <autoFilter ref="A5:P205"/>
  <mergeCells count="1">
    <mergeCell ref="N1:P1"/>
  </mergeCells>
  <conditionalFormatting sqref="E6:E205">
    <cfRule type="expression" priority="1" dxfId="3">
      <formula>$E6="A"</formula>
    </cfRule>
    <cfRule type="expression" priority="2" dxfId="4">
      <formula>$E6="B"</formula>
    </cfRule>
    <cfRule type="expression" priority="3" dxfId="5">
      <formula>$E6="C"</formula>
    </cfRule>
  </conditionalFormatting>
  <conditionalFormatting sqref="M6:M205">
    <cfRule type="expression" priority="4" dxfId="3">
      <formula>N($M6)&gt;0</formula>
    </cfRule>
  </conditionalFormatting>
  <conditionalFormatting sqref="P6:P205">
    <cfRule type="expression" priority="5" dxfId="0">
      <formula>$P6="OK"</formula>
    </cfRule>
    <cfRule type="expression" priority="6" dxfId="3">
      <formula>AND($P6&lt;&gt;"",$P6&lt;&gt;"OK")</formula>
    </cfRule>
  </conditionalFormatting>
  <conditionalFormatting sqref="O6:O205">
    <cfRule type="expression" priority="7" dxfId="11">
      <formula>p_currency="MAD"</formula>
    </cfRule>
    <cfRule type="expression" priority="8" dxfId="12">
      <formula>p_currency="EUR"</formula>
    </cfRule>
    <cfRule type="expression" priority="9" dxfId="13">
      <formula>p_currency="USD"</formula>
    </cfRule>
  </conditionalFormatting>
  <dataValidations count="10">
    <dataValidation sqref="A6:A205" showDropDown="0" showInputMessage="1" showErrorMessage="1" allowBlank="1" errorTitle="Code équipement" error="Texte de 20 caractères au plus." promptTitle="Code équipement" prompt="Code court et unique, par exemple TOUR-01. Ne le changez plus une fois des plans ou des interventions saisis." type="textLength" operator="lessThanOrEqual">
      <formula1>20</formula1>
    </dataValidation>
    <dataValidation sqref="B6:B205" showDropDown="0" showInputMessage="1" showErrorMessage="1" allowBlank="1" errorTitle="Désignation" error="Texte de 80 caractères au plus." promptTitle="Désignation" prompt="Nom de la machine ou de l'installation." type="textLength" operator="lessThanOrEqual">
      <formula1>80</formula1>
    </dataValidation>
    <dataValidation sqref="C6:C205" showDropDown="0" showInputMessage="1" showErrorMessage="1" allowBlank="1" errorTitle="Fabricant / modèle" error="Texte de 80 caractères au plus." promptTitle="Fabricant / modèle" prompt="Facultatif. Fabricant, modèle, année ou numéro de série." type="textLength" operator="lessThanOrEqual">
      <formula1>80</formula1>
    </dataValidation>
    <dataValidation sqref="D6:D205" showDropDown="0" showInputMessage="1" showErrorMessage="1" allowBlank="1" errorTitle="Atelier" error="Choisissez l'atelier (liste de la feuille Paramètres)." promptTitle="Atelier" prompt="Choisissez l'atelier (liste de la feuille Paramètres)." type="list">
      <formula1>=shop_list</formula1>
    </dataValidation>
    <dataValidation sqref="E6:E205" showDropDown="0" showInputMessage="1" showErrorMessage="1" allowBlank="1" errorTitle="Criticité" error="A = machine critique, B = importante, C = secondaire (définitions dans Paramètres)." promptTitle="Criticité" prompt="A = machine critique, B = importante, C = secondaire (définitions dans Paramètres)." type="list">
      <formula1>"A,B,C"</formula1>
    </dataValidation>
    <dataValidation sqref="F6:F205" showDropDown="0" showInputMessage="1" showErrorMessage="1" allowBlank="1" errorTitle="Mise en service" error="Date de mise en service (jj/mm/aaaa). Sert de point de départ d'un plan sans réalisation connue." promptTitle="Mise en service" prompt="Date de mise en service (jj/mm/aaaa). Sert de point de départ d'un plan sans réalisation connue." type="date" operator="between">
      <formula1>36526</formula1>
      <formula2>73051</formula2>
    </dataValidation>
    <dataValidation sqref="G6:G205" showDropDown="0" showInputMessage="1" showErrorMessage="1" allowBlank="1" errorTitle="Heures d'ouverture" error="Heures pendant lesquelles la machine doit produire par jour travaillé, entre 0 et 24 (16 pour deux équipes)." promptTitle="Heures d'ouverture" prompt="Heures pendant lesquelles la machine doit produire par jour travaillé, entre 0 et 24 (16 pour deux équipes)." type="decimal" operator="between">
      <formula1>0</formula1>
      <formula2>24</formula2>
    </dataValidation>
    <dataValidation sqref="H6:H205" showDropDown="0" showInputMessage="1" showErrorMessage="1" allowBlank="1" errorTitle="Unité de compteur" error="Facultatif. Unité du compteur de la machine (heures, cycles, coups...)." promptTitle="Unité de compteur" prompt="Facultatif. Unité du compteur de la machine (heures, cycles, coups...)." type="list">
      <formula1>=unit_list</formula1>
    </dataValidation>
    <dataValidation sqref="I6:I205" showDropDown="0" showInputMessage="1" showErrorMessage="1" allowBlank="1" errorTitle="Dernier relevé" error="Valeur affichée au compteur de la machine lors du dernier relevé." promptTitle="Dernier relevé" prompt="Valeur affichée au compteur de la machine lors du dernier relevé." type="decimal" operator="greaterThanOrEqual">
      <formula1>0</formula1>
    </dataValidation>
    <dataValidation sqref="J6:J205" showDropDown="0" showInputMessage="1" showErrorMessage="1" allowBlank="1" errorTitle="Usage par semaine" error="Facultatif. Unités de compteur consommées en moyenne par semaine (80 heures, 26 000 coups). Sert à estimer la date des plans au compteur." promptTitle="Usage par semaine" prompt="Facultatif. Unités de compteur consommées en moyenne par semaine (80 heures, 26 000 coups). Sert à estimer la date des plans au compteur." type="decimal" operator="greaterThanOrEqual">
      <formula1>0</formula1>
    </dataValidation>
  </dataValidations>
  <hyperlinks>
    <hyperlink ref="N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FF94A3B8"/>
    <outlinePr summaryBelow="1" summaryRight="1"/>
    <pageSetUpPr fitToPage="1"/>
  </sheetPr>
  <dimension ref="A1:M56"/>
  <sheetViews>
    <sheetView showGridLines="0" tabSelected="0" zoomScale="100"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3" customWidth="1" min="3" max="3"/>
    <col width="22" customWidth="1" min="4" max="4"/>
    <col width="18" customWidth="1" min="5" max="5"/>
    <col width="13" customWidth="1" min="6" max="6"/>
    <col width="3" customWidth="1" min="7" max="7"/>
    <col width="18" customWidth="1" min="8" max="8"/>
    <col width="3" customWidth="1" min="9" max="9"/>
    <col width="13" customWidth="1" min="10" max="10"/>
    <col width="3" customWidth="1" min="11" max="11"/>
    <col width="13" customWidth="1" min="12" max="12"/>
    <col width="3" customWidth="1" min="13" max="13"/>
  </cols>
  <sheetData>
    <row r="1" ht="38" customHeight="1">
      <c r="A1" s="2" t="inlineStr">
        <is>
          <t>Paramètres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8" t="inlineStr">
        <is>
          <t>⌂ Mode d'emploi</t>
        </is>
      </c>
    </row>
    <row r="2" ht="22" customHeight="1">
      <c r="A2" s="4" t="inlineStr">
        <is>
          <t>Réglages du classeur et listes déroulantes. Les cellules blanches sont à remplir.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18" customHeight="1"/>
    <row r="4" ht="22" customHeight="1">
      <c r="A4" s="5" t="inlineStr">
        <is>
          <t>Votre atelier</t>
        </is>
      </c>
      <c r="B4" s="6" t="n"/>
    </row>
    <row r="5" ht="34" customHeight="1">
      <c r="A5" s="98" t="inlineStr">
        <is>
          <t>Nom de l'entreprise</t>
        </is>
      </c>
      <c r="B5" s="133" t="n"/>
      <c r="D5" s="43" t="inlineStr">
        <is>
          <t>Technicien</t>
        </is>
      </c>
      <c r="E5" s="43" t="inlineStr">
        <is>
          <t>Spécialité</t>
        </is>
      </c>
      <c r="F5" s="43" t="inlineStr">
        <is>
          <t>Taux horaire</t>
        </is>
      </c>
      <c r="H5" s="43" t="inlineStr">
        <is>
          <t>Ateliers</t>
        </is>
      </c>
      <c r="J5" s="43" t="inlineStr">
        <is>
          <t>Unités de compteur</t>
        </is>
      </c>
      <c r="L5" s="43" t="inlineStr">
        <is>
          <t>Jours fériés</t>
        </is>
      </c>
    </row>
    <row r="6">
      <c r="A6" s="98" t="inlineStr">
        <is>
          <t>Devise</t>
        </is>
      </c>
      <c r="B6" s="99" t="inlineStr">
        <is>
          <t>MAD</t>
        </is>
      </c>
      <c r="D6" s="66" t="n"/>
      <c r="E6" s="66" t="n"/>
      <c r="F6" s="80" t="n"/>
      <c r="H6" s="66" t="n"/>
      <c r="J6" s="66" t="inlineStr">
        <is>
          <t>heures</t>
        </is>
      </c>
      <c r="L6" s="72" t="n"/>
    </row>
    <row r="7">
      <c r="A7" s="98" t="inlineStr">
        <is>
          <t>Date de situation (vide = aujourd'hui)</t>
        </is>
      </c>
      <c r="B7" s="116" t="n"/>
      <c r="D7" s="66" t="n"/>
      <c r="E7" s="66" t="n"/>
      <c r="F7" s="80" t="n"/>
      <c r="H7" s="66" t="n"/>
      <c r="J7" s="66" t="inlineStr">
        <is>
          <t>cycles</t>
        </is>
      </c>
      <c r="L7" s="72" t="n"/>
    </row>
    <row r="8">
      <c r="A8" s="98" t="inlineStr">
        <is>
          <t>Alerte « Bientôt » (jours)</t>
        </is>
      </c>
      <c r="B8" s="134" t="n">
        <v>14</v>
      </c>
      <c r="D8" s="66" t="n"/>
      <c r="E8" s="66" t="n"/>
      <c r="F8" s="80" t="n"/>
      <c r="H8" s="66" t="n"/>
      <c r="J8" s="66" t="inlineStr">
        <is>
          <t>coups</t>
        </is>
      </c>
      <c r="L8" s="72" t="n"/>
    </row>
    <row r="9">
      <c r="A9" s="98" t="inlineStr">
        <is>
          <t>Alerte compteur (% de la périodicité)</t>
        </is>
      </c>
      <c r="B9" s="135" t="n">
        <v>0.1</v>
      </c>
      <c r="D9" s="66" t="n"/>
      <c r="E9" s="66" t="n"/>
      <c r="F9" s="80" t="n"/>
      <c r="H9" s="66" t="n"/>
      <c r="J9" s="66" t="inlineStr">
        <is>
          <t>km</t>
        </is>
      </c>
      <c r="L9" s="72" t="n"/>
    </row>
    <row r="10">
      <c r="A10" s="98" t="inlineStr">
        <is>
          <t>Jours travaillés</t>
        </is>
      </c>
      <c r="B10" s="133" t="inlineStr">
        <is>
          <t>Lundi au vendredi</t>
        </is>
      </c>
      <c r="D10" s="66" t="n"/>
      <c r="E10" s="66" t="n"/>
      <c r="F10" s="80" t="n"/>
      <c r="H10" s="66" t="n"/>
      <c r="J10" s="66" t="n"/>
      <c r="L10" s="72" t="n"/>
    </row>
    <row r="11">
      <c r="D11" s="66" t="n"/>
      <c r="E11" s="66" t="n"/>
      <c r="F11" s="80" t="n"/>
      <c r="H11" s="66" t="n"/>
      <c r="J11" s="66" t="n"/>
      <c r="L11" s="72" t="n"/>
    </row>
    <row r="12" ht="22" customHeight="1">
      <c r="A12" s="5" t="inlineStr">
        <is>
          <t>Valeurs utilisées par les formules</t>
        </is>
      </c>
      <c r="B12" s="6" t="n"/>
      <c r="D12" s="66" t="n"/>
      <c r="E12" s="66" t="n"/>
      <c r="F12" s="80" t="n"/>
      <c r="H12" s="66" t="n"/>
      <c r="J12" s="66" t="n"/>
      <c r="L12" s="72" t="n"/>
    </row>
    <row r="13">
      <c r="A13" s="136" t="inlineStr">
        <is>
          <t>Date de situation retenue</t>
        </is>
      </c>
      <c r="B13" s="137">
        <f>IF(N(p_today_in)&gt;0,INT(p_today_in),TODAY())</f>
        <v>46331.0</v>
      </c>
      <c r="D13" s="66" t="n"/>
      <c r="E13" s="66" t="n"/>
      <c r="F13" s="80" t="n"/>
      <c r="H13" s="66" t="n"/>
      <c r="J13" s="66" t="n"/>
      <c r="L13" s="72" t="n"/>
    </row>
    <row r="14">
      <c r="A14" s="136" t="inlineStr">
        <is>
          <t>Lundi de la semaine en cours</t>
        </is>
      </c>
      <c r="B14" s="137">
        <f>p_today-WEEKDAY(p_today,3)</f>
        <v>46328.0</v>
      </c>
      <c r="D14" s="66" t="n"/>
      <c r="E14" s="66" t="n"/>
      <c r="F14" s="80" t="n"/>
      <c r="H14" s="66" t="n"/>
      <c r="J14" s="66" t="n"/>
      <c r="L14" s="72" t="n"/>
    </row>
    <row r="15">
      <c r="A15" s="136" t="inlineStr">
        <is>
          <t>Code des jours non travaillés</t>
        </is>
      </c>
      <c r="B15" s="138">
        <f>IF(p_days="Lundi au samedi",11,1)</f>
        <v>1.0</v>
      </c>
      <c r="D15" s="66" t="n"/>
      <c r="E15" s="66" t="n"/>
      <c r="F15" s="80" t="n"/>
      <c r="H15" s="66" t="n"/>
      <c r="J15" s="66" t="n"/>
      <c r="L15" s="72" t="n"/>
    </row>
    <row r="16">
      <c r="A16" s="86" t="inlineStr">
        <is>
          <t>Code 1 = samedi et dimanche non travaillés, 11 = dimanche seul. En « 7 jours sur 7 », tous les jours de la période comptent, jours fériés compris.</t>
        </is>
      </c>
      <c r="D16" s="66" t="n"/>
      <c r="E16" s="66" t="n"/>
      <c r="F16" s="80" t="n"/>
      <c r="H16" s="66" t="n"/>
      <c r="J16" s="66" t="n"/>
      <c r="L16" s="72" t="n"/>
    </row>
    <row r="17">
      <c r="D17" s="66" t="n"/>
      <c r="E17" s="66" t="n"/>
      <c r="F17" s="80" t="n"/>
      <c r="H17" s="66" t="n"/>
      <c r="J17" s="66" t="n"/>
      <c r="L17" s="72" t="n"/>
    </row>
    <row r="18">
      <c r="D18" s="66" t="n"/>
      <c r="E18" s="66" t="n"/>
      <c r="F18" s="80" t="n"/>
      <c r="H18" s="66" t="n"/>
      <c r="J18" s="66" t="n"/>
      <c r="L18" s="72" t="n"/>
    </row>
    <row r="19">
      <c r="D19" s="66" t="n"/>
      <c r="E19" s="66" t="n"/>
      <c r="F19" s="80" t="n"/>
      <c r="H19" s="66" t="n"/>
      <c r="J19" s="66" t="n"/>
      <c r="L19" s="72" t="n"/>
    </row>
    <row r="20">
      <c r="D20" s="66" t="n"/>
      <c r="E20" s="66" t="n"/>
      <c r="F20" s="80" t="n"/>
      <c r="H20" s="66" t="n"/>
      <c r="J20" s="66" t="n"/>
      <c r="L20" s="72" t="n"/>
    </row>
    <row r="21">
      <c r="D21" s="66" t="n"/>
      <c r="E21" s="66" t="n"/>
      <c r="F21" s="80" t="n"/>
      <c r="H21" s="66" t="n"/>
      <c r="L21" s="72" t="n"/>
    </row>
    <row r="22">
      <c r="D22" s="66" t="n"/>
      <c r="E22" s="66" t="n"/>
      <c r="F22" s="80" t="n"/>
      <c r="H22" s="66" t="n"/>
      <c r="L22" s="72" t="n"/>
    </row>
    <row r="23">
      <c r="D23" s="66" t="n"/>
      <c r="E23" s="66" t="n"/>
      <c r="F23" s="80" t="n"/>
      <c r="H23" s="66" t="n"/>
      <c r="L23" s="72" t="n"/>
    </row>
    <row r="24">
      <c r="D24" s="66" t="n"/>
      <c r="E24" s="66" t="n"/>
      <c r="F24" s="80" t="n"/>
      <c r="H24" s="66" t="n"/>
      <c r="L24" s="72" t="n"/>
    </row>
    <row r="25">
      <c r="D25" s="66" t="n"/>
      <c r="E25" s="66" t="n"/>
      <c r="F25" s="80" t="n"/>
      <c r="H25" s="66" t="n"/>
      <c r="L25" s="72" t="n"/>
    </row>
    <row r="26">
      <c r="D26" s="66" t="n"/>
      <c r="E26" s="66" t="n"/>
      <c r="F26" s="80" t="n"/>
      <c r="H26" s="66" t="n"/>
      <c r="L26" s="72" t="n"/>
    </row>
    <row r="27">
      <c r="D27" s="66" t="n"/>
      <c r="E27" s="66" t="n"/>
      <c r="F27" s="80" t="n"/>
      <c r="H27" s="66" t="n"/>
      <c r="L27" s="72" t="n"/>
    </row>
    <row r="28">
      <c r="D28" s="66" t="n"/>
      <c r="E28" s="66" t="n"/>
      <c r="F28" s="80" t="n"/>
      <c r="H28" s="66" t="n"/>
      <c r="L28" s="72" t="n"/>
    </row>
    <row r="29">
      <c r="D29" s="66" t="n"/>
      <c r="E29" s="66" t="n"/>
      <c r="F29" s="80" t="n"/>
      <c r="H29" s="66" t="n"/>
      <c r="L29" s="72" t="n"/>
    </row>
    <row r="30">
      <c r="D30" s="66" t="n"/>
      <c r="E30" s="66" t="n"/>
      <c r="F30" s="80" t="n"/>
      <c r="H30" s="66" t="n"/>
      <c r="L30" s="72" t="n"/>
    </row>
    <row r="31">
      <c r="D31" s="66" t="n"/>
      <c r="E31" s="66" t="n"/>
      <c r="F31" s="80" t="n"/>
      <c r="H31" s="66" t="n"/>
      <c r="L31" s="72" t="n"/>
    </row>
    <row r="32">
      <c r="D32" s="66" t="n"/>
      <c r="E32" s="66" t="n"/>
      <c r="F32" s="80" t="n"/>
      <c r="H32" s="66" t="n"/>
      <c r="L32" s="72" t="n"/>
    </row>
    <row r="33">
      <c r="D33" s="66" t="n"/>
      <c r="E33" s="66" t="n"/>
      <c r="F33" s="80" t="n"/>
      <c r="H33" s="66" t="n"/>
      <c r="L33" s="72" t="n"/>
    </row>
    <row r="34">
      <c r="D34" s="66" t="n"/>
      <c r="E34" s="66" t="n"/>
      <c r="F34" s="80" t="n"/>
      <c r="H34" s="66" t="n"/>
      <c r="L34" s="72" t="n"/>
    </row>
    <row r="35">
      <c r="D35" s="66" t="n"/>
      <c r="E35" s="66" t="n"/>
      <c r="F35" s="80" t="n"/>
      <c r="H35" s="66" t="n"/>
      <c r="L35" s="72" t="n"/>
    </row>
    <row r="36">
      <c r="L36" s="72" t="n"/>
    </row>
    <row r="37">
      <c r="L37" s="72" t="n"/>
    </row>
    <row r="38">
      <c r="L38" s="72" t="n"/>
    </row>
    <row r="39">
      <c r="L39" s="72" t="n"/>
    </row>
    <row r="40">
      <c r="L40" s="72" t="n"/>
    </row>
    <row r="41">
      <c r="L41" s="72" t="n"/>
    </row>
    <row r="42">
      <c r="L42" s="72" t="n"/>
    </row>
    <row r="43">
      <c r="L43" s="72" t="n"/>
    </row>
    <row r="44">
      <c r="L44" s="72" t="n"/>
    </row>
    <row r="45">
      <c r="L45" s="72" t="n"/>
    </row>
    <row r="48" ht="22" customHeight="1">
      <c r="A48" s="5" t="inlineStr">
        <is>
          <t>Types d'intervention (liste fixe)</t>
        </is>
      </c>
      <c r="B48" s="6" t="n"/>
      <c r="C48" s="6" t="n"/>
      <c r="D48" s="6" t="n"/>
      <c r="E48" s="6" t="n"/>
      <c r="F48" s="6" t="n"/>
    </row>
    <row r="49">
      <c r="A49" s="139" t="inlineStr">
        <is>
          <t>Préventif</t>
        </is>
      </c>
      <c r="B49" s="140" t="inlineStr">
        <is>
          <t>Travail planifié par un plan : graissage, vidange, contrôle réglementaire.</t>
        </is>
      </c>
      <c r="C49" s="108" t="n"/>
      <c r="D49" s="108" t="n"/>
      <c r="E49" s="108" t="n"/>
      <c r="F49" s="50" t="n"/>
    </row>
    <row r="50">
      <c r="A50" s="139" t="inlineStr">
        <is>
          <t>Correctif</t>
        </is>
      </c>
      <c r="B50" s="140" t="inlineStr">
        <is>
          <t>Réparation après une panne ou un défaut. Compte comme une panne dans le MTBF.</t>
        </is>
      </c>
      <c r="C50" s="108" t="n"/>
      <c r="D50" s="108" t="n"/>
      <c r="E50" s="108" t="n"/>
      <c r="F50" s="50" t="n"/>
    </row>
    <row r="51">
      <c r="A51" s="139" t="inlineStr">
        <is>
          <t>Amélioratif</t>
        </is>
      </c>
      <c r="B51" s="140" t="inlineStr">
        <is>
          <t>Modification pour améliorer la machine, la sécurité ou l'ergonomie.</t>
        </is>
      </c>
      <c r="C51" s="108" t="n"/>
      <c r="D51" s="108" t="n"/>
      <c r="E51" s="108" t="n"/>
      <c r="F51" s="50" t="n"/>
    </row>
    <row r="53" ht="22" customHeight="1">
      <c r="A53" s="5" t="inlineStr">
        <is>
          <t>Criticité (liste fixe, définitions modifiables)</t>
        </is>
      </c>
      <c r="B53" s="6" t="n"/>
      <c r="C53" s="6" t="n"/>
      <c r="D53" s="6" t="n"/>
      <c r="E53" s="6" t="n"/>
      <c r="F53" s="6" t="n"/>
    </row>
    <row r="54">
      <c r="A54" s="141" t="inlineStr">
        <is>
          <t>A</t>
        </is>
      </c>
      <c r="B54" s="142" t="inlineStr">
        <is>
          <t>Machine goulot ou sans solution de secours : une panne arrête les livraisons.</t>
        </is>
      </c>
      <c r="C54" s="108" t="n"/>
      <c r="D54" s="108" t="n"/>
      <c r="E54" s="108" t="n"/>
      <c r="F54" s="50" t="n"/>
    </row>
    <row r="55">
      <c r="A55" s="141" t="inlineStr">
        <is>
          <t>B</t>
        </is>
      </c>
      <c r="B55" s="142" t="inlineStr">
        <is>
          <t>Machine importante avec une solution de repli (autre machine, sous-traitance).</t>
        </is>
      </c>
      <c r="C55" s="108" t="n"/>
      <c r="D55" s="108" t="n"/>
      <c r="E55" s="108" t="n"/>
      <c r="F55" s="50" t="n"/>
    </row>
    <row r="56">
      <c r="A56" s="141" t="inlineStr">
        <is>
          <t>C</t>
        </is>
      </c>
      <c r="B56" s="142" t="inlineStr">
        <is>
          <t>Équipement secondaire : une panne gêne sans arrêter la production.</t>
        </is>
      </c>
      <c r="C56" s="108" t="n"/>
      <c r="D56" s="108" t="n"/>
      <c r="E56" s="108" t="n"/>
      <c r="F56" s="50" t="n"/>
    </row>
  </sheetData>
  <mergeCells count="8">
    <mergeCell ref="A16:B18"/>
    <mergeCell ref="B55:F55"/>
    <mergeCell ref="B54:F54"/>
    <mergeCell ref="B51:F51"/>
    <mergeCell ref="K1:M1"/>
    <mergeCell ref="B50:F50"/>
    <mergeCell ref="B56:F56"/>
    <mergeCell ref="B49:F49"/>
  </mergeCells>
  <conditionalFormatting sqref="A49:A51">
    <cfRule type="expression" priority="1" dxfId="0">
      <formula>$A49="Préventif"</formula>
    </cfRule>
    <cfRule type="expression" priority="2" dxfId="1">
      <formula>$A49="Correctif"</formula>
    </cfRule>
    <cfRule type="expression" priority="3" dxfId="2">
      <formula>$A49="Amélioratif"</formula>
    </cfRule>
  </conditionalFormatting>
  <conditionalFormatting sqref="F6:F35">
    <cfRule type="expression" priority="4" dxfId="11">
      <formula>p_currency="MAD"</formula>
    </cfRule>
    <cfRule type="expression" priority="5" dxfId="12">
      <formula>p_currency="EUR"</formula>
    </cfRule>
    <cfRule type="expression" priority="6" dxfId="13">
      <formula>p_currency="USD"</formula>
    </cfRule>
  </conditionalFormatting>
  <dataValidations count="13">
    <dataValidation sqref="B6" showDropDown="0" showInputMessage="1" showErrorMessage="1" allowBlank="1" errorTitle="Devise" error="Choisissez MAD (dirham), EUR (euro) ou USD (dollar). Tous les montants du classeur changent de format." promptTitle="Devise" prompt="Choisissez MAD (dirham), EUR (euro) ou USD (dollar). Tous les montants du classeur changent de format." type="list">
      <formula1>"MAD,EUR,USD"</formula1>
    </dataValidation>
    <dataValidation sqref="B5" showDropDown="0" showInputMessage="1" showErrorMessage="1" allowBlank="1" errorTitle="Entreprise" error="Texte de 80 caractères au plus." promptTitle="Entreprise" prompt="Nom affiché sur le tableau de bord et la fiche d'intervention." type="textLength" operator="lessThanOrEqual">
      <formula1>80</formula1>
    </dataValidation>
    <dataValidation sqref="B7" showDropDown="0" showInputMessage="1" showErrorMessage="1" allowBlank="1" errorTitle="Date de situation" error="Facultatif. Date à laquelle les échéances sont évaluées. Laissez vide pour la date du jour." promptTitle="Date de situation" prompt="Facultatif. Date à laquelle les échéances sont évaluées. Laissez vide pour la date du jour." type="date" operator="between">
      <formula1>36526</formula1>
      <formula2>73051</formula2>
    </dataValidation>
    <dataValidation sqref="B8" showDropDown="0" showInputMessage="1" showErrorMessage="1" allowBlank="1" errorTitle="Alerte en jours" error="Un plan passe en « Bientôt » quand il reste ce nombre de jours ou moins avant l'échéance." promptTitle="Alerte en jours" prompt="Un plan passe en « Bientôt » quand il reste ce nombre de jours ou moins avant l'échéance." type="whole" operator="between">
      <formula1>0</formula1>
      <formula2>365</formula2>
    </dataValidation>
    <dataValidation sqref="B9" showDropDown="0" showInputMessage="1" showErrorMessage="1" allowBlank="1" errorTitle="Alerte compteur" error="Un plan au compteur passe en « Bientôt » quand le reste est inférieur ou égal à ce pourcentage de la périodicité (10 % de 2 000 h = 200 h)." promptTitle="Alerte compteur" prompt="Un plan au compteur passe en « Bientôt » quand le reste est inférieur ou égal à ce pourcentage de la périodicité (10 % de 2 000 h = 200 h)." type="decimal" operator="between">
      <formula1>0</formula1>
      <formula2>1</formula2>
    </dataValidation>
    <dataValidation sqref="B10" showDropDown="0" showInputMessage="1" showErrorMessage="1" allowBlank="1" errorTitle="Jours travaillés" error="Jours d'ouverture de l'atelier, pour le temps d'ouverture des indicateurs." promptTitle="Jours travaillés" prompt="Jours d'ouverture de l'atelier, pour le temps d'ouverture des indicateurs." type="list">
      <formula1>"Lundi au vendredi,Lundi au samedi,7 jours sur 7"</formula1>
    </dataValidation>
    <dataValidation sqref="B54:B56" showDropDown="0" showInputMessage="1" showErrorMessage="1" allowBlank="1" errorTitle="Criticité" error="Texte de 200 caractères au plus." promptTitle="Criticité" prompt="Décrivez ce que signifie ce niveau de criticité dans votre atelier." type="textLength" operator="lessThanOrEqual">
      <formula1>200</formula1>
    </dataValidation>
    <dataValidation sqref="D6:D35" showDropDown="0" showInputMessage="1" showErrorMessage="1" allowBlank="1" errorTitle="Technicien" error="Texte de 60 caractères au plus." promptTitle="Technicien" prompt="Nom du technicien ou du prestataire, tel qu'il apparaîtra dans les listes." type="textLength" operator="lessThanOrEqual">
      <formula1>60</formula1>
    </dataValidation>
    <dataValidation sqref="E6:E35" showDropDown="0" showInputMessage="1" showErrorMessage="1" allowBlank="1" errorTitle="Spécialité" error="Texte de 60 caractères au plus." promptTitle="Spécialité" prompt="Mécanicien, électricien, automaticien, prestataire..." type="textLength" operator="lessThanOrEqual">
      <formula1>60</formula1>
    </dataValidation>
    <dataValidation sqref="F6:F35" showDropDown="0" showInputMessage="1" showErrorMessage="1" allowBlank="1" errorTitle="Taux horaire" error="Coût d'une heure de ce technicien (salaire chargé), pour calculer la main-d'oeuvre." promptTitle="Taux horaire" prompt="Coût d'une heure de ce technicien (salaire chargé), pour calculer la main-d'oeuvre." type="decimal" operator="greaterThanOrEqual">
      <formula1>0</formula1>
    </dataValidation>
    <dataValidation sqref="H6:H35" showDropDown="0" showInputMessage="1" showErrorMessage="1" allowBlank="1" errorTitle="Atelier" error="Texte de 40 caractères au plus." promptTitle="Atelier" prompt="Atelier, ligne ou zone (Usinage, Soudure, Utilités...)." type="textLength" operator="lessThanOrEqual">
      <formula1>40</formula1>
    </dataValidation>
    <dataValidation sqref="J6:J20" showDropDown="0" showInputMessage="1" showErrorMessage="1" allowBlank="1" errorTitle="Unité" error="Texte de 20 caractères au plus." promptTitle="Unité" prompt="Heures, cycles, coups, km..." type="textLength" operator="lessThanOrEqual">
      <formula1>20</formula1>
    </dataValidation>
    <dataValidation sqref="L6:L45" showDropDown="0" showInputMessage="1" showErrorMessage="1" allowBlank="1" errorTitle="Jour férié" error="Un jour non travaillé par ligne (jj/mm/aaaa). Fêtes, ponts, fermeture annuelle." promptTitle="Jour férié" prompt="Un jour non travaillé par ligne (jj/mm/aaaa). Fêtes, ponts, fermeture annuelle." type="date" operator="between">
      <formula1>36526</formula1>
      <formula2>73051</formula2>
    </dataValidation>
  </dataValidations>
  <hyperlinks>
    <hyperlink ref="K1" location="'Mode d''emploi'!A1"/>
  </hyperlinks>
  <printOptions horizontalCentered="1"/>
  <pageMargins left="0.4" right="0.4" top="0.5" bottom="0.5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FF2563EB"/>
    <outlinePr summaryBelow="1" summaryRight="1"/>
    <pageSetUpPr fitToPage="1"/>
  </sheetPr>
  <dimension ref="A1:F79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6" customWidth="1" min="3" max="3"/>
    <col width="40" customWidth="1" min="4" max="4"/>
    <col width="16" customWidth="1" min="5" max="5"/>
    <col width="3" customWidth="1" min="6" max="6"/>
  </cols>
  <sheetData>
    <row r="1">
      <c r="A1" s="143" t="n"/>
      <c r="B1" s="143" t="n"/>
      <c r="C1" s="143" t="n"/>
      <c r="D1" s="143" t="n"/>
      <c r="E1" s="143" t="n"/>
      <c r="F1" s="143" t="n"/>
    </row>
    <row r="2" ht="34" customHeight="1">
      <c r="A2" s="143" t="n"/>
      <c r="B2" s="144" t="inlineStr">
        <is>
          <t>Qualis ERP</t>
        </is>
      </c>
      <c r="C2" s="145" t="n"/>
      <c r="D2" s="145" t="n"/>
      <c r="E2" s="145" t="n"/>
      <c r="F2" s="143" t="n"/>
    </row>
    <row r="3">
      <c r="A3" s="143" t="n"/>
      <c r="B3" s="146" t="inlineStr">
        <is>
          <t>La maintenance préventive reliée aux machines, au stock de pièces et à l'atelier.</t>
        </is>
      </c>
      <c r="F3" s="143" t="n"/>
    </row>
    <row r="4" ht="46" customHeight="1">
      <c r="A4" s="143" t="n"/>
      <c r="B4" s="147" t="inlineStr">
        <is>
          <t>Ce fichier tient un vrai plan de maintenance, au calendrier comme au compteur, avec ses indicateurs. Voici ce qu'il ne peut pas faire, ce que Qualis ERP fait à la place, et ce que vous payez, ou pas.</t>
        </is>
      </c>
      <c r="F4" s="143" t="n"/>
    </row>
    <row r="5">
      <c r="A5" s="143" t="n"/>
      <c r="B5" s="143" t="n"/>
      <c r="C5" s="143" t="n"/>
      <c r="D5" s="143" t="n"/>
      <c r="E5" s="143" t="n"/>
      <c r="F5" s="143" t="n"/>
    </row>
    <row r="6" ht="22" customHeight="1">
      <c r="A6" s="143" t="n"/>
      <c r="B6" s="148" t="inlineStr">
        <is>
          <t>Ce que ce fichier fait bien</t>
        </is>
      </c>
      <c r="C6" s="149" t="n"/>
      <c r="D6" s="149" t="n"/>
      <c r="E6" s="149" t="n"/>
      <c r="F6" s="143" t="n"/>
    </row>
    <row r="7" ht="18" customHeight="1">
      <c r="A7" s="143" t="n"/>
      <c r="B7" s="150" t="inlineStr">
        <is>
          <t>✓  Il recalcule chaque échéance à partir du journal : une intervention préventive saisie met son plan à jour.</t>
        </is>
      </c>
      <c r="F7" s="143" t="n"/>
    </row>
    <row r="8" ht="18" customHeight="1">
      <c r="A8" s="143" t="n"/>
      <c r="B8" s="150" t="inlineStr">
        <is>
          <t>✓  Il gère les plans au compteur (heures, cycles, coups) et « au premier des deux », pas seulement le calendrier.</t>
        </is>
      </c>
      <c r="F8" s="143" t="n"/>
    </row>
    <row r="9" ht="18" customHeight="1">
      <c r="A9" s="143" t="n"/>
      <c r="B9" s="150" t="inlineStr">
        <is>
          <t>✓  Il est gratuit, sans macro VBA, et s'ouvre dans Excel, LibreOffice et Google Sheets.</t>
        </is>
      </c>
      <c r="F9" s="143" t="n"/>
    </row>
    <row r="10">
      <c r="A10" s="143" t="n"/>
      <c r="B10" s="143" t="n"/>
      <c r="C10" s="143" t="n"/>
      <c r="D10" s="143" t="n"/>
      <c r="E10" s="143" t="n"/>
      <c r="F10" s="143" t="n"/>
    </row>
    <row r="11" ht="22" customHeight="1">
      <c r="A11" s="143" t="n"/>
      <c r="B11" s="148" t="inlineStr">
        <is>
          <t>Là où un tableur atteint ses limites</t>
        </is>
      </c>
      <c r="C11" s="149" t="n"/>
      <c r="D11" s="149" t="n"/>
      <c r="E11" s="149" t="n"/>
      <c r="F11" s="143" t="n"/>
    </row>
    <row r="12" ht="18" customHeight="1">
      <c r="A12" s="143" t="n"/>
      <c r="B12" s="151" t="inlineStr">
        <is>
          <t>•  Personne n'est prévenu : une échéance n'apparaît que si quelqu'un ouvre le fichier.</t>
        </is>
      </c>
      <c r="F12" s="143" t="n"/>
    </row>
    <row r="13" ht="18" customHeight="1">
      <c r="A13" s="143" t="n"/>
      <c r="B13" s="151" t="inlineStr">
        <is>
          <t>•  Les relevés de compteur sont recopiés à la main, avec le retard de la dernière saisie.</t>
        </is>
      </c>
      <c r="F13" s="143" t="n"/>
    </row>
    <row r="14" ht="30" customHeight="1">
      <c r="A14" s="143" t="n"/>
      <c r="B14" s="151" t="inlineStr">
        <is>
          <t>•  Le coût des pièces est tapé à la main : le stock de pièces détachées ne bouge pas quand un technicien les prend.</t>
        </is>
      </c>
      <c r="F14" s="143" t="n"/>
    </row>
    <row r="15" ht="30" customHeight="1">
      <c r="A15" s="143" t="n"/>
      <c r="B15" s="151" t="inlineStr">
        <is>
          <t>•  Un seul utilisateur à la fois : l'atelier ne peut pas signaler une panne pendant que le bureau modifie le fichier.</t>
        </is>
      </c>
      <c r="F15" s="143" t="n"/>
    </row>
    <row r="16">
      <c r="A16" s="143" t="n"/>
      <c r="B16" s="143" t="n"/>
      <c r="C16" s="143" t="n"/>
      <c r="D16" s="143" t="n"/>
      <c r="E16" s="143" t="n"/>
      <c r="F16" s="143" t="n"/>
    </row>
    <row r="17" ht="22" customHeight="1">
      <c r="A17" s="143" t="n"/>
      <c r="B17" s="148" t="inlineStr">
        <is>
          <t>Ce fichier et Qualis ERP, côte à côte</t>
        </is>
      </c>
      <c r="C17" s="149" t="n"/>
      <c r="D17" s="149" t="n"/>
      <c r="E17" s="149" t="n"/>
      <c r="F17" s="143" t="n"/>
    </row>
    <row r="18" ht="22" customHeight="1">
      <c r="A18" s="143" t="n"/>
      <c r="B18" s="152" t="inlineStr"/>
      <c r="C18" s="153" t="inlineStr">
        <is>
          <t>Ce fichier Excel</t>
        </is>
      </c>
      <c r="D18" s="154" t="inlineStr">
        <is>
          <t>Qualis ERP</t>
        </is>
      </c>
      <c r="E18" s="154" t="inlineStr">
        <is>
          <t>Offre</t>
        </is>
      </c>
      <c r="F18" s="143" t="n"/>
    </row>
    <row r="19" ht="32" customHeight="1">
      <c r="A19" s="143" t="n"/>
      <c r="B19" s="155" t="inlineStr">
        <is>
          <t>Plans préventifs</t>
        </is>
      </c>
      <c r="C19" s="156" t="inlineStr">
        <is>
          <t>Calendrier, compteur ou premier des deux</t>
        </is>
      </c>
      <c r="D19" s="157" t="inlineStr">
        <is>
          <t>Les mêmes déclenchements, et l'ordre de travail créé seul avant l'échéance</t>
        </is>
      </c>
      <c r="E19" s="158" t="inlineStr">
        <is>
          <t>Complete</t>
        </is>
      </c>
      <c r="F19" s="143" t="n"/>
    </row>
    <row r="20" ht="32" customHeight="1">
      <c r="A20" s="143" t="n"/>
      <c r="B20" s="155" t="inlineStr">
        <is>
          <t>Compteurs</t>
        </is>
      </c>
      <c r="C20" s="156" t="inlineStr">
        <is>
          <t>Relevé saisi à la main</t>
        </is>
      </c>
      <c r="D20" s="157" t="inlineStr">
        <is>
          <t>Relevés de compteur, ou compteur qui avance avec la production</t>
        </is>
      </c>
      <c r="E20" s="158" t="inlineStr">
        <is>
          <t>Complete</t>
        </is>
      </c>
      <c r="F20" s="143" t="n"/>
    </row>
    <row r="21" ht="32" customHeight="1">
      <c r="A21" s="143" t="n"/>
      <c r="B21" s="155" t="inlineStr">
        <is>
          <t>Demandes d'intervention</t>
        </is>
      </c>
      <c r="C21" s="156" t="inlineStr">
        <is>
          <t>Non</t>
        </is>
      </c>
      <c r="D21" s="157" t="inlineStr">
        <is>
          <t>L'atelier signale un problème, la maintenance le trie et le convertit en ordre</t>
        </is>
      </c>
      <c r="E21" s="158" t="inlineStr">
        <is>
          <t>Complete</t>
        </is>
      </c>
      <c r="F21" s="143" t="n"/>
    </row>
    <row r="22" ht="32" customHeight="1">
      <c r="A22" s="143" t="n"/>
      <c r="B22" s="155" t="inlineStr">
        <is>
          <t>Pièces détachées</t>
        </is>
      </c>
      <c r="C22" s="156" t="inlineStr">
        <is>
          <t>Coût saisi à la main</t>
        </is>
      </c>
      <c r="D22" s="157" t="inlineStr">
        <is>
          <t>Pièces sorties du stock sur l'ordre, coût figé à la sortie</t>
        </is>
      </c>
      <c r="E22" s="158" t="inlineStr">
        <is>
          <t>Complete</t>
        </is>
      </c>
      <c r="F22" s="143" t="n"/>
    </row>
    <row r="23" ht="32" customHeight="1">
      <c r="A23" s="143" t="n"/>
      <c r="B23" s="155" t="inlineStr">
        <is>
          <t>Indicateurs</t>
        </is>
      </c>
      <c r="C23" s="156" t="inlineStr">
        <is>
          <t>MTBF, MTTR, disponibilité</t>
        </is>
      </c>
      <c r="D23" s="157" t="inlineStr">
        <is>
          <t>MTBF, MTTR, disponibilité Ai et Ao, conformité préventive</t>
        </is>
      </c>
      <c r="E23" s="158" t="inlineStr">
        <is>
          <t>Complete</t>
        </is>
      </c>
      <c r="F23" s="143" t="n"/>
    </row>
    <row r="24" ht="32" customHeight="1">
      <c r="A24" s="143" t="n"/>
      <c r="B24" s="155" t="inlineStr">
        <is>
          <t>Stock des pièces</t>
        </is>
      </c>
      <c r="C24" s="156" t="inlineStr">
        <is>
          <t>Non relié</t>
        </is>
      </c>
      <c r="D24" s="157" t="inlineStr">
        <is>
          <t>Stock en temps réel par emplacement, lots et numéros de série</t>
        </is>
      </c>
      <c r="E24" s="159" t="inlineStr">
        <is>
          <t>Start (gratuit)</t>
        </is>
      </c>
      <c r="F24" s="143" t="n"/>
    </row>
    <row r="25" ht="32" customHeight="1">
      <c r="A25" s="143" t="n"/>
      <c r="B25" s="155" t="inlineStr">
        <is>
          <t>Historique</t>
        </is>
      </c>
      <c r="C25" s="156" t="inlineStr">
        <is>
          <t>Non</t>
        </is>
      </c>
      <c r="D25" s="157" t="inlineStr">
        <is>
          <t>Journal d'audit : qui a modifié quoi, et quand</t>
        </is>
      </c>
      <c r="E25" s="159" t="inlineStr">
        <is>
          <t>Start (gratuit)</t>
        </is>
      </c>
      <c r="F25" s="143" t="n"/>
    </row>
    <row r="26">
      <c r="A26" s="143" t="n"/>
      <c r="B26" s="143" t="n"/>
      <c r="C26" s="143" t="n"/>
      <c r="D26" s="143" t="n"/>
      <c r="E26" s="143" t="n"/>
      <c r="F26" s="143" t="n"/>
    </row>
    <row r="27" ht="22" customHeight="1">
      <c r="A27" s="143" t="n"/>
      <c r="B27" s="148" t="inlineStr">
        <is>
          <t>Pourquoi Qualis Start est gratuit, et le reste</t>
        </is>
      </c>
      <c r="C27" s="149" t="n"/>
      <c r="D27" s="149" t="n"/>
      <c r="E27" s="149" t="n"/>
      <c r="F27" s="143" t="n"/>
    </row>
    <row r="28" ht="30" customHeight="1">
      <c r="A28" s="143" t="n"/>
      <c r="B28" s="151" t="inlineStr">
        <is>
          <t>→  Qualis Start est gratuit à vie, sans carte bancaire et sans limite d'utilisateurs : articles, unités, entrepôts, emplacements, stock en temps réel, lots et numéros de série, clients, fournisseurs, personnel, tâches.</t>
        </is>
      </c>
      <c r="F28" s="143" t="n"/>
    </row>
    <row r="29" ht="30" customHeight="1">
      <c r="A29" s="143" t="n"/>
      <c r="B29" s="151" t="inlineStr">
        <is>
          <t>→  Nous le donnons parce que le stock est la base de tout le reste : une entreprise qui y tient déjà ses pièces détachées ajoute la maintenance le jour où elle en a besoin, sans ressaisir ses articles.</t>
        </is>
      </c>
      <c r="F29" s="143" t="n"/>
    </row>
    <row r="30" ht="30" customHeight="1">
      <c r="A30" s="143" t="n"/>
      <c r="B30" s="151" t="inlineStr">
        <is>
          <t>→  Les modules de production, d'achat, de vente, de facturation, de qualité et de maintenance font partie de Qualis Complete, payé par siège bureau, au mois ou à l'année, à prix public. Les opérateurs d'atelier ont un siège moins cher.</t>
        </is>
      </c>
      <c r="F30" s="143" t="n"/>
    </row>
    <row r="31">
      <c r="A31" s="143" t="n"/>
      <c r="B31" s="143" t="n"/>
      <c r="C31" s="143" t="n"/>
      <c r="D31" s="143" t="n"/>
      <c r="E31" s="143" t="n"/>
      <c r="F31" s="143" t="n"/>
    </row>
    <row r="32" ht="22" customHeight="1">
      <c r="A32" s="143" t="n"/>
      <c r="B32" s="148" t="inlineStr">
        <is>
          <t>Passer du fichier à Qualis ERP</t>
        </is>
      </c>
      <c r="C32" s="149" t="n"/>
      <c r="D32" s="149" t="n"/>
      <c r="E32" s="149" t="n"/>
      <c r="F32" s="143" t="n"/>
    </row>
    <row r="33" ht="18" customHeight="1">
      <c r="A33" s="143" t="n"/>
      <c r="B33" s="151" t="inlineStr">
        <is>
          <t xml:space="preserve">  1.  Créez un compte gratuit sur qualis-erp.com, en deux minutes, sans carte bancaire.</t>
        </is>
      </c>
      <c r="F33" s="143" t="n"/>
    </row>
    <row r="34" ht="18" customHeight="1">
      <c r="A34" s="143" t="n"/>
      <c r="B34" s="151" t="inlineStr">
        <is>
          <t xml:space="preserve">  2.  Tenez le stock de vos pièces détachées dans Qualis Start, avec les emplacements du magasin.</t>
        </is>
      </c>
      <c r="F34" s="143" t="n"/>
    </row>
    <row r="35" ht="30" customHeight="1">
      <c r="A35" s="143" t="n"/>
      <c r="B35" s="151" t="inlineStr">
        <is>
          <t xml:space="preserve">  3.  Quand vous voulez les plans, les ordres de travail et les indicateurs dans le même outil, ajoutez Qualis Complete et importez vos équipements depuis la feuille « Équipements ».</t>
        </is>
      </c>
      <c r="F35" s="143" t="n"/>
    </row>
    <row r="36">
      <c r="A36" s="143" t="n"/>
      <c r="B36" s="143" t="n"/>
      <c r="C36" s="143" t="n"/>
      <c r="D36" s="143" t="n"/>
      <c r="E36" s="143" t="n"/>
      <c r="F36" s="143" t="n"/>
    </row>
    <row r="37" ht="38" customHeight="1">
      <c r="A37" s="143" t="n"/>
      <c r="B37" s="160" t="inlineStr">
        <is>
          <t>Créer un compte Qualis ERP gratuit  →</t>
        </is>
      </c>
      <c r="C37" s="161" t="n"/>
      <c r="D37" s="162" t="inlineStr">
        <is>
          <t>Voir les tarifs publics</t>
        </is>
      </c>
      <c r="E37" s="163" t="inlineStr">
        <is>
          <t>qualis-erp.com</t>
        </is>
      </c>
      <c r="F37" s="143" t="n"/>
    </row>
    <row r="38">
      <c r="A38" s="143" t="n"/>
      <c r="B38" s="143" t="n"/>
      <c r="C38" s="143" t="n"/>
      <c r="D38" s="143" t="n"/>
      <c r="E38" s="143" t="n"/>
      <c r="F38" s="143" t="n"/>
    </row>
    <row r="39" ht="40" customHeight="1">
      <c r="A39" s="143" t="n"/>
      <c r="B39" s="164" t="inlineStr">
        <is>
          <t>Qualis ERP est un ERP industriel en ligne, en français, pour les PME qui fabriquent sur stock ou à la commande. Édité par BERRYNOON SARLAU, Casablanca.</t>
        </is>
      </c>
      <c r="F39" s="143" t="n"/>
    </row>
    <row r="40">
      <c r="A40" s="143" t="n"/>
      <c r="B40" s="143" t="n"/>
      <c r="C40" s="143" t="n"/>
      <c r="D40" s="143" t="n"/>
      <c r="E40" s="143" t="n"/>
      <c r="F40" s="143" t="n"/>
    </row>
    <row r="41">
      <c r="A41" s="143" t="n"/>
      <c r="B41" s="143" t="n"/>
      <c r="C41" s="143" t="n"/>
      <c r="D41" s="143" t="n"/>
      <c r="E41" s="143" t="n"/>
      <c r="F41" s="143" t="n"/>
    </row>
    <row r="42">
      <c r="A42" s="143" t="n"/>
      <c r="B42" s="143" t="n"/>
      <c r="C42" s="143" t="n"/>
      <c r="D42" s="143" t="n"/>
      <c r="E42" s="143" t="n"/>
      <c r="F42" s="143" t="n"/>
    </row>
    <row r="43">
      <c r="A43" s="143" t="n"/>
      <c r="B43" s="143" t="n"/>
      <c r="C43" s="143" t="n"/>
      <c r="D43" s="143" t="n"/>
      <c r="E43" s="143" t="n"/>
      <c r="F43" s="143" t="n"/>
    </row>
    <row r="44">
      <c r="A44" s="143" t="n"/>
      <c r="B44" s="143" t="n"/>
      <c r="C44" s="143" t="n"/>
      <c r="D44" s="143" t="n"/>
      <c r="E44" s="143" t="n"/>
      <c r="F44" s="143" t="n"/>
    </row>
    <row r="45">
      <c r="A45" s="143" t="n"/>
      <c r="B45" s="143" t="n"/>
      <c r="C45" s="143" t="n"/>
      <c r="D45" s="143" t="n"/>
      <c r="E45" s="143" t="n"/>
      <c r="F45" s="143" t="n"/>
    </row>
    <row r="46">
      <c r="A46" s="143" t="n"/>
      <c r="B46" s="143" t="n"/>
      <c r="C46" s="143" t="n"/>
      <c r="D46" s="143" t="n"/>
      <c r="E46" s="143" t="n"/>
      <c r="F46" s="143" t="n"/>
    </row>
    <row r="47">
      <c r="A47" s="143" t="n"/>
      <c r="B47" s="143" t="n"/>
      <c r="C47" s="143" t="n"/>
      <c r="D47" s="143" t="n"/>
      <c r="E47" s="143" t="n"/>
      <c r="F47" s="143" t="n"/>
    </row>
    <row r="48">
      <c r="A48" s="143" t="n"/>
      <c r="B48" s="143" t="n"/>
      <c r="C48" s="143" t="n"/>
      <c r="D48" s="143" t="n"/>
      <c r="E48" s="143" t="n"/>
      <c r="F48" s="143" t="n"/>
    </row>
    <row r="49">
      <c r="A49" s="143" t="n"/>
      <c r="B49" s="143" t="n"/>
      <c r="C49" s="143" t="n"/>
      <c r="D49" s="143" t="n"/>
      <c r="E49" s="143" t="n"/>
      <c r="F49" s="143" t="n"/>
    </row>
    <row r="50">
      <c r="A50" s="143" t="n"/>
      <c r="B50" s="143" t="n"/>
      <c r="C50" s="143" t="n"/>
      <c r="D50" s="143" t="n"/>
      <c r="E50" s="143" t="n"/>
      <c r="F50" s="143" t="n"/>
    </row>
    <row r="51">
      <c r="A51" s="143" t="n"/>
      <c r="B51" s="143" t="n"/>
      <c r="C51" s="143" t="n"/>
      <c r="D51" s="143" t="n"/>
      <c r="E51" s="143" t="n"/>
      <c r="F51" s="143" t="n"/>
    </row>
    <row r="52">
      <c r="A52" s="143" t="n"/>
      <c r="B52" s="143" t="n"/>
      <c r="C52" s="143" t="n"/>
      <c r="D52" s="143" t="n"/>
      <c r="E52" s="143" t="n"/>
      <c r="F52" s="143" t="n"/>
    </row>
    <row r="53">
      <c r="A53" s="143" t="n"/>
      <c r="B53" s="143" t="n"/>
      <c r="C53" s="143" t="n"/>
      <c r="D53" s="143" t="n"/>
      <c r="E53" s="143" t="n"/>
      <c r="F53" s="143" t="n"/>
    </row>
    <row r="54">
      <c r="A54" s="143" t="n"/>
      <c r="B54" s="143" t="n"/>
      <c r="C54" s="143" t="n"/>
      <c r="D54" s="143" t="n"/>
      <c r="E54" s="143" t="n"/>
      <c r="F54" s="143" t="n"/>
    </row>
    <row r="55">
      <c r="A55" s="143" t="n"/>
      <c r="B55" s="143" t="n"/>
      <c r="C55" s="143" t="n"/>
      <c r="D55" s="143" t="n"/>
      <c r="E55" s="143" t="n"/>
      <c r="F55" s="143" t="n"/>
    </row>
    <row r="56">
      <c r="A56" s="143" t="n"/>
      <c r="B56" s="143" t="n"/>
      <c r="C56" s="143" t="n"/>
      <c r="D56" s="143" t="n"/>
      <c r="E56" s="143" t="n"/>
      <c r="F56" s="143" t="n"/>
    </row>
    <row r="57">
      <c r="A57" s="143" t="n"/>
      <c r="B57" s="143" t="n"/>
      <c r="C57" s="143" t="n"/>
      <c r="D57" s="143" t="n"/>
      <c r="E57" s="143" t="n"/>
      <c r="F57" s="143" t="n"/>
    </row>
    <row r="58">
      <c r="A58" s="143" t="n"/>
      <c r="B58" s="143" t="n"/>
      <c r="C58" s="143" t="n"/>
      <c r="D58" s="143" t="n"/>
      <c r="E58" s="143" t="n"/>
      <c r="F58" s="143" t="n"/>
    </row>
    <row r="59">
      <c r="A59" s="143" t="n"/>
      <c r="B59" s="143" t="n"/>
      <c r="C59" s="143" t="n"/>
      <c r="D59" s="143" t="n"/>
      <c r="E59" s="143" t="n"/>
      <c r="F59" s="143" t="n"/>
    </row>
    <row r="60">
      <c r="A60" s="143" t="n"/>
      <c r="B60" s="143" t="n"/>
      <c r="C60" s="143" t="n"/>
      <c r="D60" s="143" t="n"/>
      <c r="E60" s="143" t="n"/>
      <c r="F60" s="143" t="n"/>
    </row>
    <row r="61">
      <c r="A61" s="143" t="n"/>
      <c r="B61" s="143" t="n"/>
      <c r="C61" s="143" t="n"/>
      <c r="D61" s="143" t="n"/>
      <c r="E61" s="143" t="n"/>
      <c r="F61" s="143" t="n"/>
    </row>
    <row r="62">
      <c r="A62" s="143" t="n"/>
      <c r="B62" s="143" t="n"/>
      <c r="C62" s="143" t="n"/>
      <c r="D62" s="143" t="n"/>
      <c r="E62" s="143" t="n"/>
      <c r="F62" s="143" t="n"/>
    </row>
    <row r="63">
      <c r="A63" s="143" t="n"/>
      <c r="B63" s="143" t="n"/>
      <c r="C63" s="143" t="n"/>
      <c r="D63" s="143" t="n"/>
      <c r="E63" s="143" t="n"/>
      <c r="F63" s="143" t="n"/>
    </row>
    <row r="64">
      <c r="A64" s="143" t="n"/>
      <c r="B64" s="143" t="n"/>
      <c r="C64" s="143" t="n"/>
      <c r="D64" s="143" t="n"/>
      <c r="E64" s="143" t="n"/>
      <c r="F64" s="143" t="n"/>
    </row>
    <row r="65">
      <c r="A65" s="143" t="n"/>
      <c r="B65" s="143" t="n"/>
      <c r="C65" s="143" t="n"/>
      <c r="D65" s="143" t="n"/>
      <c r="E65" s="143" t="n"/>
      <c r="F65" s="143" t="n"/>
    </row>
    <row r="66">
      <c r="A66" s="143" t="n"/>
      <c r="B66" s="143" t="n"/>
      <c r="C66" s="143" t="n"/>
      <c r="D66" s="143" t="n"/>
      <c r="E66" s="143" t="n"/>
      <c r="F66" s="143" t="n"/>
    </row>
    <row r="67">
      <c r="A67" s="143" t="n"/>
      <c r="B67" s="143" t="n"/>
      <c r="C67" s="143" t="n"/>
      <c r="D67" s="143" t="n"/>
      <c r="E67" s="143" t="n"/>
      <c r="F67" s="143" t="n"/>
    </row>
    <row r="68">
      <c r="A68" s="143" t="n"/>
      <c r="B68" s="143" t="n"/>
      <c r="C68" s="143" t="n"/>
      <c r="D68" s="143" t="n"/>
      <c r="E68" s="143" t="n"/>
      <c r="F68" s="143" t="n"/>
    </row>
    <row r="69">
      <c r="A69" s="143" t="n"/>
      <c r="B69" s="143" t="n"/>
      <c r="C69" s="143" t="n"/>
      <c r="D69" s="143" t="n"/>
      <c r="E69" s="143" t="n"/>
      <c r="F69" s="143" t="n"/>
    </row>
    <row r="70">
      <c r="A70" s="143" t="n"/>
      <c r="B70" s="143" t="n"/>
      <c r="C70" s="143" t="n"/>
      <c r="D70" s="143" t="n"/>
      <c r="E70" s="143" t="n"/>
      <c r="F70" s="143" t="n"/>
    </row>
    <row r="71">
      <c r="A71" s="143" t="n"/>
      <c r="B71" s="143" t="n"/>
      <c r="C71" s="143" t="n"/>
      <c r="D71" s="143" t="n"/>
      <c r="E71" s="143" t="n"/>
      <c r="F71" s="143" t="n"/>
    </row>
    <row r="72">
      <c r="A72" s="143" t="n"/>
      <c r="B72" s="143" t="n"/>
      <c r="C72" s="143" t="n"/>
      <c r="D72" s="143" t="n"/>
      <c r="E72" s="143" t="n"/>
      <c r="F72" s="143" t="n"/>
    </row>
    <row r="73">
      <c r="A73" s="143" t="n"/>
      <c r="B73" s="143" t="n"/>
      <c r="C73" s="143" t="n"/>
      <c r="D73" s="143" t="n"/>
      <c r="E73" s="143" t="n"/>
      <c r="F73" s="143" t="n"/>
    </row>
    <row r="74">
      <c r="A74" s="143" t="n"/>
      <c r="B74" s="143" t="n"/>
      <c r="C74" s="143" t="n"/>
      <c r="D74" s="143" t="n"/>
      <c r="E74" s="143" t="n"/>
      <c r="F74" s="143" t="n"/>
    </row>
    <row r="75">
      <c r="A75" s="143" t="n"/>
      <c r="B75" s="143" t="n"/>
      <c r="C75" s="143" t="n"/>
      <c r="D75" s="143" t="n"/>
      <c r="E75" s="143" t="n"/>
      <c r="F75" s="143" t="n"/>
    </row>
    <row r="76">
      <c r="A76" s="143" t="n"/>
      <c r="B76" s="143" t="n"/>
      <c r="C76" s="143" t="n"/>
      <c r="D76" s="143" t="n"/>
      <c r="E76" s="143" t="n"/>
      <c r="F76" s="143" t="n"/>
    </row>
    <row r="77">
      <c r="A77" s="143" t="n"/>
      <c r="B77" s="143" t="n"/>
      <c r="C77" s="143" t="n"/>
      <c r="D77" s="143" t="n"/>
      <c r="E77" s="143" t="n"/>
      <c r="F77" s="143" t="n"/>
    </row>
    <row r="78">
      <c r="A78" s="143" t="n"/>
      <c r="B78" s="143" t="n"/>
      <c r="C78" s="143" t="n"/>
      <c r="D78" s="143" t="n"/>
      <c r="E78" s="143" t="n"/>
      <c r="F78" s="143" t="n"/>
    </row>
    <row r="79">
      <c r="A79" s="143" t="n"/>
      <c r="B79" s="143" t="n"/>
      <c r="C79" s="143" t="n"/>
      <c r="D79" s="143" t="n"/>
      <c r="E79" s="143" t="n"/>
      <c r="F79" s="143" t="n"/>
    </row>
  </sheetData>
  <mergeCells count="17">
    <mergeCell ref="B9:E9"/>
    <mergeCell ref="B8:E8"/>
    <mergeCell ref="B35:E35"/>
    <mergeCell ref="B4:E4"/>
    <mergeCell ref="B12:E12"/>
    <mergeCell ref="B13:E13"/>
    <mergeCell ref="B37:C37"/>
    <mergeCell ref="B30:E30"/>
    <mergeCell ref="B15:E15"/>
    <mergeCell ref="B7:E7"/>
    <mergeCell ref="B29:E29"/>
    <mergeCell ref="B33:E33"/>
    <mergeCell ref="B3:E3"/>
    <mergeCell ref="B39:E39"/>
    <mergeCell ref="B34:E34"/>
    <mergeCell ref="B28:E28"/>
    <mergeCell ref="B14:E14"/>
  </mergeCells>
  <hyperlinks>
    <hyperlink xmlns:r="http://schemas.openxmlformats.org/officeDocument/2006/relationships" ref="B37" r:id="rId1"/>
    <hyperlink xmlns:r="http://schemas.openxmlformats.org/officeDocument/2006/relationships" ref="D37" r:id="rId2"/>
    <hyperlink xmlns:r="http://schemas.openxmlformats.org/officeDocument/2006/relationships" ref="E37" r:id="rId3"/>
  </hyperlink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Modèle gratuit</dc:creator>
  <dc:title xmlns:dc="http://purl.org/dc/elements/1.1/">Plan de maintenance préventive Excel</dc:title>
  <dc:subject xmlns:dc="http://purl.org/dc/elements/1.1/">Modèle gratuit de plan de maintenance préventive (GMAO Excel)</dc:subject>
  <dc:language xmlns:dc="http://purl.org/dc/elements/1.1/">fr-FR</dc:language>
  <dcterms:created xmlns:dcterms="http://purl.org/dc/terms/" xmlns:xsi="http://www.w3.org/2001/XMLSchema-instance" xsi:type="dcterms:W3CDTF">2026-11-05T21:55:48Z</dcterms:created>
  <dcterms:modified xmlns:dcterms="http://purl.org/dc/terms/" xmlns:xsi="http://www.w3.org/2001/XMLSchema-instance" xsi:type="dcterms:W3CDTF">2026-11-05T21:55:56Z</dcterms:modified>
  <cp:keywords>plan de maintenance préventive, gmao excel, fiche d'intervention, mtbf, mttr, excel</cp:keywords>
</cp:coreProperties>
</file>